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ml.chartshapes+xml"/>
  <Override PartName="/xl/drawings/drawing5.xml" ContentType="application/vnd.openxmlformats-officedocument.drawingml.chartshapes+xml"/>
  <Override PartName="/xl/drawings/drawing6.xml" ContentType="application/vnd.openxmlformats-officedocument.drawing+xml"/>
  <Override PartName="/xl/drawings/drawing7.xml" ContentType="application/vnd.openxmlformats-officedocument.drawingml.chartshapes+xml"/>
  <Override PartName="/xl/drawings/drawing8.xml" ContentType="application/vnd.openxmlformats-officedocument.drawingml.chartshap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400" activeTab="1"/>
  </bookViews>
  <sheets>
    <sheet name="Cover" sheetId="1" r:id="rId1"/>
    <sheet name="N_Summary" sheetId="2" r:id="rId2"/>
    <sheet name="DRAM" sheetId="3" r:id="rId3"/>
    <sheet name="NAND" sheetId="4" r:id="rId4"/>
  </sheets>
  <definedNames>
    <definedName name="\0">#REF!</definedName>
    <definedName name="\00">#REF!</definedName>
    <definedName name="\01">#REF!</definedName>
    <definedName name="\a">#REF!</definedName>
    <definedName name="\b">#REF!</definedName>
    <definedName name="\c">#REF!</definedName>
    <definedName name="\d">#REF!</definedName>
    <definedName name="\DDR32Cont">OFFSET(DRAM!#REF!,0,0,COUNTA(DRAM!#REF!),5)</definedName>
    <definedName name="\DDR32Spot">OFFSET(DRAM!#REF!,0,0,COUNTA(DRAM!#REF!),8)</definedName>
    <definedName name="\e">#REF!</definedName>
    <definedName name="\f">#REF!</definedName>
    <definedName name="\g">#REF!</definedName>
    <definedName name="\h">#REF!</definedName>
    <definedName name="\i">#REF!</definedName>
    <definedName name="\MLC32Cont">OFFSET(NAND!#REF!,0,0,COUNTA(NAND!#REF!),5)</definedName>
    <definedName name="\MLC32Spot">OFFSET(NAND!#REF!,0,0,COUNTA(NAND!#REF!),6)</definedName>
    <definedName name="\MLC64Cont">OFFSET(NAND!#REF!,0,0,COUNTA(NAND!#REF!),5)</definedName>
    <definedName name="\MLC64Spot">OFFSET(NAND!#REF!,0,0,COUNTA(NAND!#REF!),6)</definedName>
    <definedName name="\MSD4CL2Spot">OFFSET(#REF!,0,0,COUNTA(#REF!),6)</definedName>
    <definedName name="\MSD4CL6Spot">OFFSET(#REF!,0,0,COUNTA(#REF!),5)</definedName>
    <definedName name="\MSD8CL2Spot">OFFSET(#REF!,0,0,COUNTA(#REF!),6)</definedName>
    <definedName name="\MSD8CL6Spot">OFFSET(#REF!,0,0,COUNTA(#REF!),5)</definedName>
    <definedName name="\SD4CL2Spot">OFFSET(#REF!,0,0,COUNTA(#REF!),6)</definedName>
    <definedName name="\SD4CL6Spot">OFFSET(#REF!,0,0,COUNTA(#REF!),5)</definedName>
    <definedName name="\SD8CL2Spot">OFFSET(#REF!,0,0,COUNTA(#REF!),6)</definedName>
    <definedName name="\SD8CL6Spot">OFFSET(#REF!,0,0,COUNTA(#REF!),5)</definedName>
    <definedName name="\TLC64Cont">OFFSET(NAND!#REF!,0,0,COUNTA(NAND!$A$26:$A$2668),5)</definedName>
    <definedName name="\TLC64Spot">OFFSET(NAND!#REF!,0,0,COUNTA(NAND!#REF!),6)</definedName>
    <definedName name="__123Graph_A" hidden="1">#REF!</definedName>
    <definedName name="__123Graph_X" hidden="1">#REF!</definedName>
    <definedName name="__ben1">#REF!</definedName>
    <definedName name="__ben2">#REF!</definedName>
    <definedName name="__cpu1">#REF!</definedName>
    <definedName name="__cpu2">#REF!</definedName>
    <definedName name="__cpu3">#REF!</definedName>
    <definedName name="__cpu4">#REF!</definedName>
    <definedName name="__dat1">#REF!</definedName>
    <definedName name="__dat2">#REF!</definedName>
    <definedName name="__dat3">#REF!</definedName>
    <definedName name="__dat4">#REF!</definedName>
    <definedName name="__FDS_HYPERLINK_TOGGLE_STATE__" hidden="1">"ON"</definedName>
    <definedName name="__FDS_UNIQUE_RANGE_ID_GENERATOR_COUNTER" hidden="1">1</definedName>
    <definedName name="__fpu1">#REF!</definedName>
    <definedName name="__fpu2">#REF!</definedName>
    <definedName name="__fpu3">#REF!</definedName>
    <definedName name="__fpu4">#REF!</definedName>
    <definedName name="__lsu1">#REF!</definedName>
    <definedName name="__lsu2">#REF!</definedName>
    <definedName name="__lsu3">#REF!</definedName>
    <definedName name="__lsu4">#REF!</definedName>
    <definedName name="__msu1">#REF!</definedName>
    <definedName name="__msu2">#REF!</definedName>
    <definedName name="__msu3">#REF!</definedName>
    <definedName name="__msu4">#REF!</definedName>
    <definedName name="__mv1">#REF!</definedName>
    <definedName name="__mv2">#REF!</definedName>
    <definedName name="__mv3">#REF!</definedName>
    <definedName name="__mv4">#REF!</definedName>
    <definedName name="__pu1">#REF!</definedName>
    <definedName name="__pu2">#REF!</definedName>
    <definedName name="__pu3">#REF!</definedName>
    <definedName name="__pu4">#REF!</definedName>
    <definedName name="__ssu1">#REF!</definedName>
    <definedName name="__ssu2">#REF!</definedName>
    <definedName name="__ssu3">#REF!</definedName>
    <definedName name="__ssu4">#REF!</definedName>
    <definedName name="__su1">#REF!</definedName>
    <definedName name="__su2">#REF!</definedName>
    <definedName name="__su3">#REF!</definedName>
    <definedName name="__su4">#REF!</definedName>
    <definedName name="__suv1">#REF!</definedName>
    <definedName name="__suv2">#REF!</definedName>
    <definedName name="__suv3">#REF!</definedName>
    <definedName name="__suv4">#REF!</definedName>
    <definedName name="__sw1">#REF!</definedName>
    <definedName name="__sw2">#REF!</definedName>
    <definedName name="__sw3">#REF!</definedName>
    <definedName name="__sw4">#REF!</definedName>
    <definedName name="__tk1">#REF!</definedName>
    <definedName name="__tk2">#REF!</definedName>
    <definedName name="__tk3">#REF!</definedName>
    <definedName name="__tk4">#REF!</definedName>
    <definedName name="__top20">#REF!</definedName>
    <definedName name="__van1">#REF!</definedName>
    <definedName name="__van2">#REF!</definedName>
    <definedName name="__van3">#REF!</definedName>
    <definedName name="__van4">#REF!</definedName>
    <definedName name="__xx1">#REF!</definedName>
    <definedName name="__xx10">#REF!</definedName>
    <definedName name="__xx2">#REF!</definedName>
    <definedName name="__xx3">#REF!</definedName>
    <definedName name="__xx4">#REF!</definedName>
    <definedName name="__xx5">#REF!</definedName>
    <definedName name="__xx6">#REF!</definedName>
    <definedName name="__xx7">#REF!</definedName>
    <definedName name="__xx8">#REF!</definedName>
    <definedName name="__xx9">#REF!</definedName>
    <definedName name="_2_0FAMERangeDJ_BALA" localSheetId="0">#REF!</definedName>
    <definedName name="_3_0FAMERangeDJ_BALA" localSheetId="0">#REF!</definedName>
    <definedName name="_4_0FAMERangeDJ_BALA" localSheetId="0">#REF!</definedName>
    <definedName name="_5_0FAMERangeDJ_BALA" localSheetId="0">#REF!</definedName>
    <definedName name="_6_0FAMERangeDJ_BALA" localSheetId="0">#REF!</definedName>
    <definedName name="_7_0FAMERangeGCI_BAL">#REF!</definedName>
    <definedName name="_8_0FAMERangeGCI_BAL">#REF!</definedName>
    <definedName name="_9_0Revenu">#REF!</definedName>
    <definedName name="_91L1">#REF!</definedName>
    <definedName name="_91L2">#REF!</definedName>
    <definedName name="_91L3">#REF!</definedName>
    <definedName name="_92L1">#REF!</definedName>
    <definedName name="_92L2">#REF!</definedName>
    <definedName name="_92L3">#REF!</definedName>
    <definedName name="_93L1">#REF!</definedName>
    <definedName name="_93L2">#REF!</definedName>
    <definedName name="_93L3">#REF!</definedName>
    <definedName name="_ben1">#REF!</definedName>
    <definedName name="_ben2">#REF!</definedName>
    <definedName name="_ben3">#REF!</definedName>
    <definedName name="_ben4">#REF!</definedName>
    <definedName name="_cpu1">#REF!</definedName>
    <definedName name="_cpu2">#REF!</definedName>
    <definedName name="_cpu3">#REF!</definedName>
    <definedName name="_cpu4">#REF!</definedName>
    <definedName name="_cu102.ShareScalingFactor" hidden="1">1000000</definedName>
    <definedName name="_cu103.EmployeeScalingFactor" hidden="1">1000</definedName>
    <definedName name="_cu107.DPSSymbol" hidden="1">"€"</definedName>
    <definedName name="_cu107.EPSSymbol" hidden="1">"€"</definedName>
    <definedName name="_cu71.ScalingFactor" hidden="1">1000000</definedName>
    <definedName name="_dat1">#REF!</definedName>
    <definedName name="_dat2">#REF!</definedName>
    <definedName name="_dat3">#REF!</definedName>
    <definedName name="_dat4">#REF!</definedName>
    <definedName name="_Fill" hidden="1">#REF!</definedName>
    <definedName name="_fpu1">#REF!</definedName>
    <definedName name="_fpu2">#REF!</definedName>
    <definedName name="_fpu3">#REF!</definedName>
    <definedName name="_fpu4">#REF!</definedName>
    <definedName name="_ftnref1">"#N/A"</definedName>
    <definedName name="_I1.2008.06">#REF!</definedName>
    <definedName name="_I1.2009.01">#REF!</definedName>
    <definedName name="_I1.2009.06">#REF!</definedName>
    <definedName name="_I1.2010.01">#REF!</definedName>
    <definedName name="_I1.2010.06">#REF!</definedName>
    <definedName name="_I2.2008.12">#REF!</definedName>
    <definedName name="_I2.2009.07">#REF!</definedName>
    <definedName name="_I2.2009.12">#REF!</definedName>
    <definedName name="_I2.2010.07">#REF!</definedName>
    <definedName name="_I2.2010.12">#REF!</definedName>
    <definedName name="_jk47">#REF!</definedName>
    <definedName name="_Key1" hidden="1">#REF!</definedName>
    <definedName name="_Key2" hidden="1">#REF!</definedName>
    <definedName name="_lsu1">#REF!</definedName>
    <definedName name="_lsu2">#REF!</definedName>
    <definedName name="_lsu3">#REF!</definedName>
    <definedName name="_lsu4">#REF!</definedName>
    <definedName name="_MatMult_A" hidden="1">#REF!</definedName>
    <definedName name="_MatMult_AxB" hidden="1">#REF!</definedName>
    <definedName name="_MatMult_B" hidden="1">#REF!</definedName>
    <definedName name="_msu1">#REF!</definedName>
    <definedName name="_msu2">#REF!</definedName>
    <definedName name="_msu3">#REF!</definedName>
    <definedName name="_msu4">#REF!</definedName>
    <definedName name="_mv1">#REF!</definedName>
    <definedName name="_mv2">#REF!</definedName>
    <definedName name="_mv3">#REF!</definedName>
    <definedName name="_mv4">#REF!</definedName>
    <definedName name="_nme1">#REF!</definedName>
    <definedName name="_O4">#REF!</definedName>
    <definedName name="_Order1" hidden="1">255</definedName>
    <definedName name="_Order2" hidden="1">255</definedName>
    <definedName name="_ph3">#REF!</definedName>
    <definedName name="_pu1">#REF!</definedName>
    <definedName name="_pu2">#REF!</definedName>
    <definedName name="_pu3">#REF!</definedName>
    <definedName name="_pu4">#REF!</definedName>
    <definedName name="_Q1.2008.03">#REF!</definedName>
    <definedName name="_Q1.2009.03">#REF!</definedName>
    <definedName name="_Q1.2010.03">#REF!</definedName>
    <definedName name="_Q1.2011.03">#REF!</definedName>
    <definedName name="_Q2.2008.06">#REF!</definedName>
    <definedName name="_Q2.2009.06">#REF!</definedName>
    <definedName name="_Q2.2010.06">#REF!</definedName>
    <definedName name="_Q2.2011.06">#REF!</definedName>
    <definedName name="_Q3.2008.09">#REF!</definedName>
    <definedName name="_Q3.2009.09">#REF!</definedName>
    <definedName name="_Q3.2010.09">#REF!</definedName>
    <definedName name="_Q3.2011.09">#REF!</definedName>
    <definedName name="_Q4.2008.12">#REF!</definedName>
    <definedName name="_Q4.2009.12">#REF!</definedName>
    <definedName name="_Q4.2010.12">#REF!</definedName>
    <definedName name="_Q4.2011.12">#REF!</definedName>
    <definedName name="_Regression_Int" hidden="1">1</definedName>
    <definedName name="_sel1">#REF!</definedName>
    <definedName name="_sel2">#REF!</definedName>
    <definedName name="_Sort" hidden="1">#REF!</definedName>
    <definedName name="_ssu1">#REF!</definedName>
    <definedName name="_ssu2">#REF!</definedName>
    <definedName name="_ssu3">#REF!</definedName>
    <definedName name="_ssu4">#REF!</definedName>
    <definedName name="_su1">#REF!</definedName>
    <definedName name="_su2">#REF!</definedName>
    <definedName name="_su3">#REF!</definedName>
    <definedName name="_su4">#REF!</definedName>
    <definedName name="_suv1">#REF!</definedName>
    <definedName name="_suv2">#REF!</definedName>
    <definedName name="_suv3">#REF!</definedName>
    <definedName name="_suv4">#REF!</definedName>
    <definedName name="_sw1">#REF!</definedName>
    <definedName name="_sw2">#REF!</definedName>
    <definedName name="_sw3">#REF!</definedName>
    <definedName name="_sw4">#REF!</definedName>
    <definedName name="_tk1">#REF!</definedName>
    <definedName name="_tk2">#REF!</definedName>
    <definedName name="_tk3">#REF!</definedName>
    <definedName name="_tk4">#REF!</definedName>
    <definedName name="_top20">#REF!</definedName>
    <definedName name="_van1">#REF!</definedName>
    <definedName name="_van2">#REF!</definedName>
    <definedName name="_van3">#REF!</definedName>
    <definedName name="_van4">#REF!</definedName>
    <definedName name="_vol2">#REF!</definedName>
    <definedName name="_xx1">#REF!</definedName>
    <definedName name="_xx10">#REF!</definedName>
    <definedName name="_xx2">#REF!</definedName>
    <definedName name="_xx3">#REF!</definedName>
    <definedName name="_xx4">#REF!</definedName>
    <definedName name="_xx5">#REF!</definedName>
    <definedName name="_xx6">#REF!</definedName>
    <definedName name="_xx7">#REF!</definedName>
    <definedName name="_xx8">#REF!</definedName>
    <definedName name="_xx9">#REF!</definedName>
    <definedName name="a" localSheetId="0" hidden="1">{"External_Annual_Income",#N/A,FALSE,"External";"External_Quarterly_Income",#N/A,FALSE,"External"}</definedName>
    <definedName name="aa">#REF!</definedName>
    <definedName name="AA_1">#REF!</definedName>
    <definedName name="AAA">#REF!</definedName>
    <definedName name="AAA_DOCTOPS" hidden="1">"AAA_SET"</definedName>
    <definedName name="AAA_duser" hidden="1">"OFF"</definedName>
    <definedName name="aaaa">#REF!</definedName>
    <definedName name="aaaaa" hidden="1">{"Annual_Income",#N/A,FALSE,"Report Page";"Balance_Cash_Flow",#N/A,FALSE,"Report Page";"Quarterly_Income",#N/A,FALSE,"Report Page"}</definedName>
    <definedName name="aaaaaaa">#REF!</definedName>
    <definedName name="AAB_Addin5" hidden="1">"AAB_Description for addin 5,Description for addin 5,Description for addin 5,Description for addin 5,Description for addin 5,Description for addin 5"</definedName>
    <definedName name="ACCAR1">#REF!</definedName>
    <definedName name="ACCAR2">#REF!</definedName>
    <definedName name="ACCAR3">#REF!</definedName>
    <definedName name="ACCAR4">#REF!</definedName>
    <definedName name="AccessoriesHighEst">#REF!</definedName>
    <definedName name="AccessoriesLowEst">#REF!</definedName>
    <definedName name="ACJPCAR4">#REF!</definedName>
    <definedName name="acl_y_f">#REF!</definedName>
    <definedName name="Acquisitions">#REF!</definedName>
    <definedName name="Act_Int">#REF!</definedName>
    <definedName name="ACUSCAR1">#REF!</definedName>
    <definedName name="ACUSCAR2">#REF!</definedName>
    <definedName name="ACUSCAR3">#REF!</definedName>
    <definedName name="ACUSCAR4">#REF!</definedName>
    <definedName name="acustrk1">#REF!</definedName>
    <definedName name="acustrk2">#REF!</definedName>
    <definedName name="acustrk3">#REF!</definedName>
    <definedName name="acustrk4">#REF!</definedName>
    <definedName name="AdditionalHighEst">#REF!</definedName>
    <definedName name="AdditionalLowEst">#REF!</definedName>
    <definedName name="adf">#REF!</definedName>
    <definedName name="adjust">#REF!</definedName>
    <definedName name="Adjusted_EBIT">#REF!</definedName>
    <definedName name="Adjusted_EBITDA">#REF!</definedName>
    <definedName name="Adjusted_EPS">#REF!</definedName>
    <definedName name="AdjustedBeta">#REF!</definedName>
    <definedName name="afgag" hidden="1">{"subs",#N/A,FALSE,"database ";"proportional",#N/A,FALSE,"database "}</definedName>
    <definedName name="agag" hidden="1">{"External_Annual_Income",#N/A,FALSE,"External";"External_Quarterly_Income",#N/A,FALSE,"External"}</definedName>
    <definedName name="AJHFkjDGHF" hidden="1">{"Annual_Income",#N/A,FALSE,"Report Page";"Balance_Cash_Flow",#N/A,FALSE,"Report Page";"Quarterly_Income",#N/A,FALSE,"Report Page"}</definedName>
    <definedName name="allinv">#REF!</definedName>
    <definedName name="allother">#REF!</definedName>
    <definedName name="allother2">#REF!</definedName>
    <definedName name="allsls">#REF!</definedName>
    <definedName name="amustrk1">#REF!</definedName>
    <definedName name="amustrk2">#REF!</definedName>
    <definedName name="amustrk3">#REF!</definedName>
    <definedName name="amustrk4">#REF!</definedName>
    <definedName name="Annual_Table">#REF!</definedName>
    <definedName name="anscount" hidden="1">1</definedName>
    <definedName name="APAC_APL">#REF!</definedName>
    <definedName name="APAC_BASE_TECH_LIST">#REF!</definedName>
    <definedName name="APAC_BASECELL">#REF!</definedName>
    <definedName name="APAC_JPN">#REF!</definedName>
    <definedName name="APAC_LGE">#REF!</definedName>
    <definedName name="APAC_MOT">#REF!</definedName>
    <definedName name="APAC_NOK">#REF!</definedName>
    <definedName name="APAC_NOM">#REF!</definedName>
    <definedName name="APAC_OTH">#REF!</definedName>
    <definedName name="APAC_PUB">#REF!</definedName>
    <definedName name="APAC_RIM">#REF!</definedName>
    <definedName name="APAC_SAM">#REF!</definedName>
    <definedName name="APAC_SMC">#REF!</definedName>
    <definedName name="app38b">#REF!</definedName>
    <definedName name="AppDevRange">#REF!</definedName>
    <definedName name="Arial">#REF!</definedName>
    <definedName name="as">#REF!</definedName>
    <definedName name="AS2DocOpenMode" hidden="1">"AS2DocumentEdit"</definedName>
    <definedName name="asdadf" hidden="1">{"sweden",#N/A,FALSE,"Sweden";"germany",#N/A,FALSE,"Germany";"portugal",#N/A,FALSE,"Portugal";"belgium",#N/A,FALSE,"Belgium";"japan",#N/A,FALSE,"Japan ";"italy",#N/A,FALSE,"Italy";"spain",#N/A,FALSE,"Spain";"korea",#N/A,FALSE,"Korea"}</definedName>
    <definedName name="asdf" localSheetId="0" hidden="1">{"Annual_Income",#N/A,FALSE,"Report Page";"Balance_Cash_Flow",#N/A,FALSE,"Report Page";"Quarterly_Income",#N/A,FALSE,"Report Page"}</definedName>
    <definedName name="asdf2eer">#REF!</definedName>
    <definedName name="asdfag" hidden="1">{"Annual_Income",#N/A,FALSE,"Report Page";"Balance_Cash_Flow",#N/A,FALSE,"Report Page";"Quarterly_Income",#N/A,FALSE,"Report Page"}</definedName>
    <definedName name="asdfas">#REF!</definedName>
    <definedName name="asdfasdf">#REF!</definedName>
    <definedName name="asdfasdfasdfasdfasd">#REF!</definedName>
    <definedName name="as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gasdf" hidden="1">{#N/A,#N/A,FALSE,"Report Print"}</definedName>
    <definedName name="asdgasgd" hidden="1">{"External_Annual_Income",#N/A,FALSE,"External";"External_Quarterly_Income",#N/A,FALSE,"External"}</definedName>
    <definedName name="Associate_affiliate_income">#REF!</definedName>
    <definedName name="asuktrk1">#REF!</definedName>
    <definedName name="asuktrk2">#REF!</definedName>
    <definedName name="asuktrk3">#REF!</definedName>
    <definedName name="asuktrk4">#REF!</definedName>
    <definedName name="at">#REF!</definedName>
    <definedName name="australia">#REF!</definedName>
    <definedName name="australia1">#REF!</definedName>
    <definedName name="AUWG1">#REF!</definedName>
    <definedName name="AUWG2">#REF!</definedName>
    <definedName name="AUWG3">#REF!</definedName>
    <definedName name="AUWG4">#REF!</definedName>
    <definedName name="AUWGCAR1">#REF!</definedName>
    <definedName name="AUWGCAR2">#REF!</definedName>
    <definedName name="AUWGCAR3">#REF!</definedName>
    <definedName name="AUWGCAR4">#REF!</definedName>
    <definedName name="b">#REF!</definedName>
    <definedName name="BasicPhoneHighCost">#REF!</definedName>
    <definedName name="BasicPhoneHighEst">#REF!</definedName>
    <definedName name="BasicPhoneLowCost">#REF!</definedName>
    <definedName name="BasicPhoneLowEst">#REF!</definedName>
    <definedName name="BasicPhoneReducedCost">#REF!</definedName>
    <definedName name="BasicPhoneTargetAccessories">#REF!</definedName>
    <definedName name="BasicPhoneTargetAdditionalCosts">#REF!</definedName>
    <definedName name="BasicPhoneTargetBasicCompoments">#REF!</definedName>
    <definedName name="BasicPhoneTargetCameraComponents">#REF!</definedName>
    <definedName name="BasicPhoneTargetUpgrades">#REF!</definedName>
    <definedName name="batch1">#REF!</definedName>
    <definedName name="bb">#REF!</definedName>
    <definedName name="BeginDate">#REF!</definedName>
    <definedName name="begindate2">#REF!</definedName>
    <definedName name="bhpq">#REF!</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 hidden="1">#REF!</definedName>
    <definedName name="BLPH40" hidden="1">#REF!</definedName>
    <definedName name="BLPH5" hidden="1">#REF!</definedName>
    <definedName name="BLPH6" hidden="1">#REF!</definedName>
    <definedName name="BLPH7" hidden="1">#REF!</definedName>
    <definedName name="BLPH8" hidden="1">#REF!</definedName>
    <definedName name="BLPH9" hidden="1">#REF!</definedName>
    <definedName name="BLUKCAR1">#REF!</definedName>
    <definedName name="BLUKCAR2">#REF!</definedName>
    <definedName name="BLUKCAR3">#REF!</definedName>
    <definedName name="BLUKCAR4">#REF!</definedName>
    <definedName name="BMCAR1">#REF!</definedName>
    <definedName name="BMCAR2">#REF!</definedName>
    <definedName name="BMCAR3">#REF!</definedName>
    <definedName name="BMCAR4">#REF!</definedName>
    <definedName name="BMUSCAR1">#REF!</definedName>
    <definedName name="BMUSCAR2">#REF!</definedName>
    <definedName name="BMUSCAR3">#REF!</definedName>
    <definedName name="BMUSCAR4">#REF!</definedName>
    <definedName name="BMUSZ3R1">#REF!</definedName>
    <definedName name="BMUSZ3R2">#REF!</definedName>
    <definedName name="BMUSZ3R3">#REF!</definedName>
    <definedName name="BMUSZ3R4">#REF!</definedName>
    <definedName name="BMWGCAR1">#REF!</definedName>
    <definedName name="BMWGCAR2">#REF!</definedName>
    <definedName name="BMWGCAR3">#REF!</definedName>
    <definedName name="BMWGCAR4">#REF!</definedName>
    <definedName name="BMWGTDL1">#REF!</definedName>
    <definedName name="BMWGTDL2">#REF!</definedName>
    <definedName name="BMWGTDL3">#REF!</definedName>
    <definedName name="BMWGTDL4">#REF!</definedName>
    <definedName name="bob">#REF!</definedName>
    <definedName name="BookValueOfDebt">#REF!</definedName>
    <definedName name="BookValueOfNetDebt">#REF!</definedName>
    <definedName name="Brent_oil">#REF!</definedName>
    <definedName name="BS">#REF!</definedName>
    <definedName name="BUCAR1">#REF!</definedName>
    <definedName name="BUCAR2">#REF!</definedName>
    <definedName name="BUCAR3">#REF!</definedName>
    <definedName name="BUCAR4">#REF!</definedName>
    <definedName name="BUTRK1">#REF!</definedName>
    <definedName name="BUTRK2">#REF!</definedName>
    <definedName name="BUTRK3">#REF!</definedName>
    <definedName name="BUTRK4">#REF!</definedName>
    <definedName name="BVPS00">#REF!</definedName>
    <definedName name="BVPS01">#REF!</definedName>
    <definedName name="BVPS99">#REF!</definedName>
    <definedName name="c_last">#REF!</definedName>
    <definedName name="c_now">#REF!</definedName>
    <definedName name="c_ylast">#REF!</definedName>
    <definedName name="c_ynow">#REF!</definedName>
    <definedName name="CAGR">#REF!</definedName>
    <definedName name="cagr2">#REF!</definedName>
    <definedName name="CAGRS">#REF!</definedName>
    <definedName name="CALA_APL">#REF!</definedName>
    <definedName name="CALA_BASE_TECH_LIST">#REF!</definedName>
    <definedName name="CALA_BASECELL">#REF!</definedName>
    <definedName name="CALA_JPN">#REF!</definedName>
    <definedName name="CALA_LGE">#REF!</definedName>
    <definedName name="CALA_MOT">#REF!</definedName>
    <definedName name="CALA_NOK">#REF!</definedName>
    <definedName name="CALA_NOM">#REF!</definedName>
    <definedName name="CALA_OTH">#REF!</definedName>
    <definedName name="CALA_PUB">#REF!</definedName>
    <definedName name="CALA_RIM">#REF!</definedName>
    <definedName name="CALA_SAM">#REF!</definedName>
    <definedName name="CALA_SMC">#REF!</definedName>
    <definedName name="CameraComponentsHighEst">#REF!</definedName>
    <definedName name="CameraComponentsLowEst">#REF!</definedName>
    <definedName name="CameraPhoneHighCost">#REF!</definedName>
    <definedName name="CameraPhoneLowCost">#REF!</definedName>
    <definedName name="CameraPhoneReducedCost">#REF!</definedName>
    <definedName name="CameraPhoneTargetAccessories">#REF!</definedName>
    <definedName name="CameraPhoneTargetAdditionalCosts">#REF!</definedName>
    <definedName name="CameraPhoneTargetBasicCompoments">#REF!</definedName>
    <definedName name="CameraPhoneTargetCameraComponents">#REF!</definedName>
    <definedName name="CameraPhoneTargetUpgrades">#REF!</definedName>
    <definedName name="Capex">#REF!</definedName>
    <definedName name="Capex2000">#REF!</definedName>
    <definedName name="Capital_employed">#REF!</definedName>
    <definedName name="Capital_employed2">#REF!</definedName>
    <definedName name="Capital_expenditure">#REF!</definedName>
    <definedName name="CARS">#REF!</definedName>
    <definedName name="CARSEG">#REF!</definedName>
    <definedName name="Cash">#REF!</definedName>
    <definedName name="Cash_flow_from_operations">#REF!</definedName>
    <definedName name="Cash_flow_from_operations_per_share">#REF!</definedName>
    <definedName name="Cash_flow_from_operations2">#REF!</definedName>
    <definedName name="CAUSCAR1">#REF!</definedName>
    <definedName name="CAUSCAR2">#REF!</definedName>
    <definedName name="CAUSCAR3">#REF!</definedName>
    <definedName name="CAUSCAR4">#REF!</definedName>
    <definedName name="CAUSTRK1">#REF!</definedName>
    <definedName name="cc">#REF!</definedName>
    <definedName name="Ccy" localSheetId="0">#REF!</definedName>
    <definedName name="CDMARoyalty">#REF!</definedName>
    <definedName name="CEE_APL">#REF!</definedName>
    <definedName name="CEE_BASE_TECH_LIST">#REF!</definedName>
    <definedName name="CEE_BASECELL">#REF!</definedName>
    <definedName name="CEE_JPN">#REF!</definedName>
    <definedName name="CEE_LGE">#REF!</definedName>
    <definedName name="CEE_MOT">#REF!</definedName>
    <definedName name="CEE_NOK">#REF!</definedName>
    <definedName name="CEE_NOM">#REF!</definedName>
    <definedName name="CEE_OTH">#REF!</definedName>
    <definedName name="CEE_PUB">#REF!</definedName>
    <definedName name="CEE_RIM">#REF!</definedName>
    <definedName name="CEE_SAM">#REF!</definedName>
    <definedName name="CEE_SMC">#REF!</definedName>
    <definedName name="CFS">#REF!</definedName>
    <definedName name="Charges_OtherServices">#REF!</definedName>
    <definedName name="Charges_VoiceMail">#REF!</definedName>
    <definedName name="Charts">#REF!</definedName>
    <definedName name="ChartSpot">#REF!</definedName>
    <definedName name="Check">#REF!</definedName>
    <definedName name="Chemicals">#REF!</definedName>
    <definedName name="Chemicals_depreciation">#REF!</definedName>
    <definedName name="Chemicals_inflation_uplift">#REF!</definedName>
    <definedName name="Chemicals_maintenance_capex">#REF!</definedName>
    <definedName name="chevcar1">#REF!</definedName>
    <definedName name="chevcar2">#REF!</definedName>
    <definedName name="chevcar3">#REF!</definedName>
    <definedName name="chevcar4">#REF!</definedName>
    <definedName name="china">#REF!</definedName>
    <definedName name="Choices_Wrapper" localSheetId="0">#REF!</definedName>
    <definedName name="Chrysler_Highlighted">#REF!</definedName>
    <definedName name="CHTRK1">#REF!</definedName>
    <definedName name="CHTRK2">#REF!</definedName>
    <definedName name="CHTRK3">#REF!</definedName>
    <definedName name="CHTRK4">#REF!</definedName>
    <definedName name="CHUSMED1">#REF!</definedName>
    <definedName name="CHUSMED2">#REF!</definedName>
    <definedName name="CHUSMED3">#REF!</definedName>
    <definedName name="CHUSMED4">#REF!</definedName>
    <definedName name="CIQWBGuid" localSheetId="0" hidden="1">"853bda00-7c5d-479b-8ec3-06a918d4f73e"</definedName>
    <definedName name="clear1">#REF!</definedName>
    <definedName name="clear3">#REF!</definedName>
    <definedName name="clear7">#REF!</definedName>
    <definedName name="clear8">#REF!</definedName>
    <definedName name="ClearDataRange201" localSheetId="0">#REF!</definedName>
    <definedName name="cmfg">#REF!</definedName>
    <definedName name="Co_Group_Coeff">#REF!</definedName>
    <definedName name="Co_Ind_Coeff">#REF!</definedName>
    <definedName name="Co_Industry_Coeff">#REF!</definedName>
    <definedName name="co1_options">#REF!</definedName>
    <definedName name="co1_primshares">#REF!</definedName>
    <definedName name="co1_spcurr">#REF!</definedName>
    <definedName name="codata">#REF!</definedName>
    <definedName name="codata2">#REF!</definedName>
    <definedName name="code">#REF!</definedName>
    <definedName name="COHQ">#REF!</definedName>
    <definedName name="COHQSEL">#REF!</definedName>
    <definedName name="column_head">#REF!</definedName>
    <definedName name="column_headings">#REF!</definedName>
    <definedName name="column_numbers">#REF!</definedName>
    <definedName name="ColumnLookup">#REF!</definedName>
    <definedName name="comp">#REF!</definedName>
    <definedName name="Comp1">#REF!</definedName>
    <definedName name="comp2">#REF!</definedName>
    <definedName name="Company_reported_exceptionals">#REF!</definedName>
    <definedName name="ConsEst">#REF!</definedName>
    <definedName name="Conv" localSheetId="0">#REF!</definedName>
    <definedName name="copy_dsinv">#REF!</definedName>
    <definedName name="copy_dssal">#REF!</definedName>
    <definedName name="copy_shinv">#REF!</definedName>
    <definedName name="copy_shsal">#REF!</definedName>
    <definedName name="corp">#REF!</definedName>
    <definedName name="corpb">#REF!</definedName>
    <definedName name="coselect">#REF!</definedName>
    <definedName name="coTitle">#REF!</definedName>
    <definedName name="count2">#REF!</definedName>
    <definedName name="CountryCurrencyMapping">#REF!</definedName>
    <definedName name="CRUSCAR1">#REF!</definedName>
    <definedName name="CRUSCAR2">#REF!</definedName>
    <definedName name="CRUSCAR3">#REF!</definedName>
    <definedName name="CRUSCAR4">#REF!</definedName>
    <definedName name="CRUSTRK1">#REF!</definedName>
    <definedName name="CRUSTRK2">#REF!</definedName>
    <definedName name="CRUSTRK3">#REF!</definedName>
    <definedName name="CRUSTRK4">#REF!</definedName>
    <definedName name="cu102.ShareScalingFactor" hidden="1">1000000</definedName>
    <definedName name="cu103.EmployeeScalingFactor" hidden="1">1000</definedName>
    <definedName name="cu107.DPSSymbol" hidden="1">"€"</definedName>
    <definedName name="cu107.EPSSymbol" hidden="1">"€"</definedName>
    <definedName name="cu71.ScalingFactor" hidden="1">1000000</definedName>
    <definedName name="Currency">#REF!</definedName>
    <definedName name="CurrencyCell">#REF!</definedName>
    <definedName name="currencycell2">#REF!</definedName>
    <definedName name="Current_assets">#REF!</definedName>
    <definedName name="Current_cost_adjusted_net_income">#REF!</definedName>
    <definedName name="CurrentXrateVintage">#REF!</definedName>
    <definedName name="D">#REF!</definedName>
    <definedName name="d_det">#REF!</definedName>
    <definedName name="d_sum">#REF!</definedName>
    <definedName name="dasfsdf">#REF!</definedName>
    <definedName name="data">#REF!</definedName>
    <definedName name="data_range">#REF!</definedName>
    <definedName name="data2">#REF!</definedName>
    <definedName name="Database" localSheetId="0">#REF!</definedName>
    <definedName name="Database">#REF!</definedName>
    <definedName name="datablk">#REF!</definedName>
    <definedName name="DATABLK2">#REF!</definedName>
    <definedName name="DATABLK3">#REF!</definedName>
    <definedName name="DataPVChart" localSheetId="0">#REF!</definedName>
    <definedName name="DataSPChart" localSheetId="0">#REF!,#REF!</definedName>
    <definedName name="Date" localSheetId="0">#REF!</definedName>
    <definedName name="date1">#REF!</definedName>
    <definedName name="date10">#REF!</definedName>
    <definedName name="date11">#REF!</definedName>
    <definedName name="date12">#REF!</definedName>
    <definedName name="date13">#REF!</definedName>
    <definedName name="date14">#REF!</definedName>
    <definedName name="date2">#REF!</definedName>
    <definedName name="date3">#REF!</definedName>
    <definedName name="date4">#REF!</definedName>
    <definedName name="date6">#REF!</definedName>
    <definedName name="date7">#REF!</definedName>
    <definedName name="date8">#REF!</definedName>
    <definedName name="date9">#REF!</definedName>
    <definedName name="Dates" localSheetId="0">#REF!</definedName>
    <definedName name="DD">#REF!</definedName>
    <definedName name="ddd">#REF!</definedName>
    <definedName name="dddd">#REF!</definedName>
    <definedName name="DDR32Spot">DRAM!#REF!</definedName>
    <definedName name="Debt">#REF!</definedName>
    <definedName name="Debt2000">#REF!</definedName>
    <definedName name="Def">#REF!</definedName>
    <definedName name="del_brd">#REF!</definedName>
    <definedName name="del_c_mfg">#REF!</definedName>
    <definedName name="del_c_seg">#REF!</definedName>
    <definedName name="del_car">#REF!</definedName>
    <definedName name="del_corp">#REF!</definedName>
    <definedName name="del_corpb">#REF!</definedName>
    <definedName name="del_det">#REF!</definedName>
    <definedName name="del_dom">#REF!</definedName>
    <definedName name="del_ind">#REF!</definedName>
    <definedName name="del_rdet">#REF!</definedName>
    <definedName name="del_rsum">#REF!</definedName>
    <definedName name="del_seg">#REF!</definedName>
    <definedName name="del_t_mfg">#REF!</definedName>
    <definedName name="del_t_seg">#REF!</definedName>
    <definedName name="del_trk">#REF!</definedName>
    <definedName name="delta">#N/A</definedName>
    <definedName name="delta2">#REF!</definedName>
    <definedName name="delta3">#REF!</definedName>
    <definedName name="dep_delay" localSheetId="0">#REF!</definedName>
    <definedName name="dep_qtr" localSheetId="0">#REF!</definedName>
    <definedName name="det5wetwegs">#REF!</definedName>
    <definedName name="detail">#REF!</definedName>
    <definedName name="DevCodeLUP">#REF!</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fh" hidden="1">{#N/A,#N/A,FALSE,"Report Print"}</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CAR1">#REF!</definedName>
    <definedName name="DGCAR2">#REF!</definedName>
    <definedName name="DGCAR3">#REF!</definedName>
    <definedName name="DGCAR4">#REF!</definedName>
    <definedName name="DGUSTRK1">#REF!</definedName>
    <definedName name="DGUSTRK2">#REF!</definedName>
    <definedName name="DGUSTRK3">#REF!</definedName>
    <definedName name="DGUSTRK4">#REF!</definedName>
    <definedName name="disc">#REF!</definedName>
    <definedName name="DIV">#REF!</definedName>
    <definedName name="divchg">#REF!</definedName>
    <definedName name="Divestments">#REF!</definedName>
    <definedName name="Dividends_paid">#REF!</definedName>
    <definedName name="Dividends_paid_to_minorities">#REF!</definedName>
    <definedName name="DIVP00">#REF!</definedName>
    <definedName name="DIVP01">#REF!</definedName>
    <definedName name="DIVP96">#REF!</definedName>
    <definedName name="DIVP97">#REF!</definedName>
    <definedName name="DIVP98">#REF!</definedName>
    <definedName name="DIVP99">#REF!</definedName>
    <definedName name="DIVS00">#REF!</definedName>
    <definedName name="DIVS01">#REF!</definedName>
    <definedName name="DIVS96">#REF!</definedName>
    <definedName name="DIVS97">#REF!</definedName>
    <definedName name="DIVS98">#REF!</definedName>
    <definedName name="DIVS99">#REF!</definedName>
    <definedName name="Downstream_depreciation">#REF!</definedName>
    <definedName name="Downstream_inflation_uplift">#REF!</definedName>
    <definedName name="Downstream_maintenance_capex">#REF!</definedName>
    <definedName name="DPS">#REF!</definedName>
    <definedName name="DRAM" localSheetId="0">#REF!</definedName>
    <definedName name="DRIVE">#REF!</definedName>
    <definedName name="DSINV">#REF!</definedName>
    <definedName name="DSSAL">#REF!</definedName>
    <definedName name="E">#REF!</definedName>
    <definedName name="E_P">#REF!</definedName>
    <definedName name="EG_PAGE">#REF!</definedName>
    <definedName name="end">#REF!</definedName>
    <definedName name="EndDate">#REF!</definedName>
    <definedName name="enddate2">#REF!</definedName>
    <definedName name="EndYear">#REF!</definedName>
    <definedName name="EPS">#REF!</definedName>
    <definedName name="EqGrwth">#REF!</definedName>
    <definedName name="Eric">#REF!</definedName>
    <definedName name="EV">#REF!</definedName>
    <definedName name="Exceptionals">#REF!</definedName>
    <definedName name="Exchange_gains_losses">#REF!</definedName>
    <definedName name="ExchangeRate">#REF!</definedName>
    <definedName name="Exploration_expense">#REF!</definedName>
    <definedName name="ExportList2008">#REF!</definedName>
    <definedName name="ExportList2009">#REF!</definedName>
    <definedName name="ExportList2010">#REF!</definedName>
    <definedName name="ExportList2011">#REF!</definedName>
    <definedName name="ExportList2012">#REF!</definedName>
    <definedName name="ExportList2013">#REF!</definedName>
    <definedName name="ExportList2014">#REF!</definedName>
    <definedName name="ExportList2015">#REF!</definedName>
    <definedName name="ExportList2016">#REF!,#REF!</definedName>
    <definedName name="ExportList2017">#REF!</definedName>
    <definedName name="ExportList2018">#REF!</definedName>
    <definedName name="ExportList2019">#REF!</definedName>
    <definedName name="ExportList2020">#REF!</definedName>
    <definedName name="ExportList2021">#REF!</definedName>
    <definedName name="ExportList2022">#REF!</definedName>
    <definedName name="F" localSheetId="0">#REF!</definedName>
    <definedName name="F.2008.12">#REF!</definedName>
    <definedName name="F.2009.07">#REF!</definedName>
    <definedName name="F.2009.12">#REF!</definedName>
    <definedName name="F.2010.07">#REF!</definedName>
    <definedName name="F.2010.12">#REF!</definedName>
    <definedName name="F.2011.12">#REF!</definedName>
    <definedName name="fallout_rate2">#REF!</definedName>
    <definedName name="falloutrate3">#REF!</definedName>
    <definedName name="FE" localSheetId="0">#REF!</definedName>
    <definedName name="ff" localSheetId="0">#REF!</definedName>
    <definedName name="ffff">#REF!</definedName>
    <definedName name="fig4b">#REF!</definedName>
    <definedName name="FIGrwth">#REF!</definedName>
    <definedName name="Fil" localSheetId="0">#REF!</definedName>
    <definedName name="FINCriteriaType">1</definedName>
    <definedName name="firstcell">#REF!</definedName>
    <definedName name="firstcell2">#REF!</definedName>
    <definedName name="Fixed_assets_investments">#REF!</definedName>
    <definedName name="fmtr">#REF!</definedName>
    <definedName name="FOCAR1">#REF!</definedName>
    <definedName name="FOCAR2">#REF!</definedName>
    <definedName name="FOCAR3">#REF!</definedName>
    <definedName name="FOCAR4">#REF!</definedName>
    <definedName name="FOMEDHD1">#REF!</definedName>
    <definedName name="FOMEDHD2">#REF!</definedName>
    <definedName name="FOMEDHD3">#REF!</definedName>
    <definedName name="FOMEDHD4">#REF!</definedName>
    <definedName name="footno">#REF!</definedName>
    <definedName name="footnotes">#REF!</definedName>
    <definedName name="footnotes2">#REF!</definedName>
    <definedName name="FOUR">#REF!</definedName>
    <definedName name="FOURFIVE">#REF!</definedName>
    <definedName name="FOURFOUR">#REF!</definedName>
    <definedName name="FOURSIX">#REF!</definedName>
    <definedName name="FOUSTRK1">#REF!</definedName>
    <definedName name="FOUSTRK2">#REF!</definedName>
    <definedName name="FOUSTRK3">#REF!</definedName>
    <definedName name="FOUSTRK4">#REF!</definedName>
    <definedName name="FranceSCurve">#REF!</definedName>
    <definedName name="FreeCashFlowsToEquity">#REF!</definedName>
    <definedName name="freq2">#REF!</definedName>
    <definedName name="Frequency">#REF!</definedName>
    <definedName name="FRITCAR1">#REF!</definedName>
    <definedName name="FRITCAR2">#REF!</definedName>
    <definedName name="FRITCAR3">#REF!</definedName>
    <definedName name="FRITCAR4">#REF!</definedName>
    <definedName name="FULLFIVE">#REF!</definedName>
    <definedName name="FULLFOUR">#REF!</definedName>
    <definedName name="FULLSIX">#REF!</definedName>
    <definedName name="FX_Rates">#REF!</definedName>
    <definedName name="G">#REF!</definedName>
    <definedName name="GermanySCurve">#REF!</definedName>
    <definedName name="GetWWData">#REF!</definedName>
    <definedName name="gg">#REF!</definedName>
    <definedName name="GLO_APL">#REF!</definedName>
    <definedName name="GLO_JPN">#REF!</definedName>
    <definedName name="GLO_LGE">#REF!</definedName>
    <definedName name="GLO_MOT">#REF!</definedName>
    <definedName name="GLO_NOK">#REF!</definedName>
    <definedName name="GLO_OTH">#REF!</definedName>
    <definedName name="GLO_PUB">#REF!</definedName>
    <definedName name="GLO_RIM">#REF!</definedName>
    <definedName name="GLO_SAM">#REF!</definedName>
    <definedName name="GLO_SMC">#REF!</definedName>
    <definedName name="GMTRK">#REF!</definedName>
    <definedName name="GMUSW4F">#REF!</definedName>
    <definedName name="graph" hidden="1">#REF!</definedName>
    <definedName name="GraphB" hidden="1">#REF!</definedName>
    <definedName name="growth_proj_range">#REF!</definedName>
    <definedName name="Grp_coeff">#REF!</definedName>
    <definedName name="H">#REF!</definedName>
    <definedName name="h_20">#REF!</definedName>
    <definedName name="h_brd">#REF!</definedName>
    <definedName name="h_carm">#REF!</definedName>
    <definedName name="h_cars">#REF!</definedName>
    <definedName name="h_carsg">#REF!</definedName>
    <definedName name="h_corp">#REF!</definedName>
    <definedName name="h_corpb">#REF!</definedName>
    <definedName name="h_det">#REF!</definedName>
    <definedName name="h_ind">#REF!</definedName>
    <definedName name="h_seg">#REF!</definedName>
    <definedName name="h_trk">#REF!</definedName>
    <definedName name="h_trkm">#REF!</definedName>
    <definedName name="h_trksg">#REF!</definedName>
    <definedName name="HandsetMarketShareAddresses">#REF!</definedName>
    <definedName name="HandsetRevenues">#REF!</definedName>
    <definedName name="HDD" localSheetId="0">#REF!</definedName>
    <definedName name="Health">#REF!</definedName>
    <definedName name="Health_depreciation">#REF!</definedName>
    <definedName name="Health_inflation_uplift">#REF!</definedName>
    <definedName name="Health_maintenance_capex">#REF!</definedName>
    <definedName name="HH">#REF!</definedName>
    <definedName name="hk">#REF!</definedName>
    <definedName name="HMTRK1">#REF!</definedName>
    <definedName name="HMTRK2">#REF!</definedName>
    <definedName name="HMTRK3">#REF!</definedName>
    <definedName name="HMTRK4">#REF!</definedName>
    <definedName name="HOCAR1">#REF!</definedName>
    <definedName name="HOCAR2">#REF!</definedName>
    <definedName name="HOCAR3">#REF!</definedName>
    <definedName name="HOCAR4">#REF!</definedName>
    <definedName name="HOJPTRK1">#REF!</definedName>
    <definedName name="HOJPTRK1A">#REF!</definedName>
    <definedName name="HOJPTRK2">#REF!</definedName>
    <definedName name="HOJPTRK2A">#REF!</definedName>
    <definedName name="HOJPTRK3">#REF!</definedName>
    <definedName name="HOJPTRK3A">#REF!</definedName>
    <definedName name="HOJPTRK4">#REF!</definedName>
    <definedName name="HOJPTRK4A">#REF!</definedName>
    <definedName name="HOME">#REF!</definedName>
    <definedName name="HONDTRK1">#REF!</definedName>
    <definedName name="HONDTRK2">#REF!</definedName>
    <definedName name="HONDTRK3">#REF!</definedName>
    <definedName name="HONDTRK4">#REF!</definedName>
    <definedName name="HOUSTRK1">#REF!</definedName>
    <definedName name="HOUSTRK2">#REF!</definedName>
    <definedName name="HOUSTRK3">#REF!</definedName>
    <definedName name="HOUSTRK4">#REF!</definedName>
    <definedName name="HTML_CodePage" hidden="1">1252</definedName>
    <definedName name="HTML_Control" hidden="1">{"'2.1'!$E$2:$O$37"}</definedName>
    <definedName name="HTML_Control1" hidden="1">{"'Industry'!$A$1:$M$85","'Industry'!$I$20:$M$45"}</definedName>
    <definedName name="HTML_Description" hidden="1">""</definedName>
    <definedName name="HTML_Email" hidden="1">""</definedName>
    <definedName name="HTML_Header" hidden="1">"Segment Profit (Loss)"</definedName>
    <definedName name="HTML_LastUpdate" hidden="1">"04/14/2000"</definedName>
    <definedName name="HTML_LineAfter" hidden="1">TRUE</definedName>
    <definedName name="HTML_LineBefore" hidden="1">TRUE</definedName>
    <definedName name="HTML_Name" hidden="1">"David Cole"</definedName>
    <definedName name="HTML_OBDlg2" hidden="1">TRUE</definedName>
    <definedName name="HTML_OBDlg4" hidden="1">TRUE</definedName>
    <definedName name="HTML_OS" hidden="1">0</definedName>
    <definedName name="HTML_PathFile" hidden="1">"C:\2000web\tables.htm"</definedName>
    <definedName name="HTML_Title" hidden="1">"proforma"</definedName>
    <definedName name="Huawei">#REF!</definedName>
    <definedName name="hykocar1">#REF!</definedName>
    <definedName name="hykocar2">#REF!</definedName>
    <definedName name="hykocar3">#REF!</definedName>
    <definedName name="hykocar4">#REF!</definedName>
    <definedName name="hykotrk1">#REF!</definedName>
    <definedName name="hykotrk2">#REF!</definedName>
    <definedName name="hykotrk3">#REF!</definedName>
    <definedName name="hykotrk4">#REF!</definedName>
    <definedName name="I">#REF!</definedName>
    <definedName name="I1.2008.06">#REF!</definedName>
    <definedName name="I1.2009.01">#REF!</definedName>
    <definedName name="I1.2009.06">#REF!</definedName>
    <definedName name="I1.2010.01">#REF!</definedName>
    <definedName name="I1.2010.06">#REF!</definedName>
    <definedName name="I2.2008.12">#REF!</definedName>
    <definedName name="I2.2009.07">#REF!</definedName>
    <definedName name="I2.2009.12">#REF!</definedName>
    <definedName name="I2.2010.07">#REF!</definedName>
    <definedName name="I2.2010.12">#REF!</definedName>
    <definedName name="icount">#REF!</definedName>
    <definedName name="icount0">#REF!</definedName>
    <definedName name="II">#REF!</definedName>
    <definedName name="imp">#REF!</definedName>
    <definedName name="ImpliedBeta">#REF!</definedName>
    <definedName name="ImpliedWACC">#REF!</definedName>
    <definedName name="ind">#REF!</definedName>
    <definedName name="Ind_coeff">#REF!</definedName>
    <definedName name="IndexedData" localSheetId="0">#REF!</definedName>
    <definedName name="India">#REF!</definedName>
    <definedName name="indonesia">#REF!</definedName>
    <definedName name="InfraMarketShareAddresses">#REF!</definedName>
    <definedName name="InfraRevenues">#REF!</definedName>
    <definedName name="INJPCAR1">#REF!</definedName>
    <definedName name="INJPCAR2">#REF!</definedName>
    <definedName name="INJPCAR3">#REF!</definedName>
    <definedName name="INJPCAR4">#REF!</definedName>
    <definedName name="INJPTRK1">#REF!</definedName>
    <definedName name="INJPTRK2">#REF!</definedName>
    <definedName name="INJPTRK3">#REF!</definedName>
    <definedName name="INJPTRK4">#REF!</definedName>
    <definedName name="inv">#REF!</definedName>
    <definedName name="inva">#REF!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BS_PERIOD" hidden="1">"c13823"</definedName>
    <definedName name="IQ_ACCEPTANCES_OTHER_FOREIGN_BANKS_LL_REC_FFIEC" hidden="1">"c15293"</definedName>
    <definedName name="IQ_ACCEPTANCES_OTHER_US_BANKS_LL_REC_FFIEC" hidden="1">"c15292"</definedName>
    <definedName name="IQ_ACQUIRED_BY_REPORTING_BANK_FDIC" hidden="1">"c6535"</definedName>
    <definedName name="IQ_ADDIN">"AUTO"</definedName>
    <definedName name="IQ_ADDITIONAL_NON_INT_INC_FDIC" hidden="1">"c6574"</definedName>
    <definedName name="IQ_ADDITIONS_NON_ACCRUAL_ASSET_DURING_QTR_FFIEC" hidden="1">"c15349"</definedName>
    <definedName name="IQ_ADJUSTABLE_RATE_LOANS_FDIC" hidden="1">"c6375"</definedName>
    <definedName name="IQ_AE_BR" hidden="1">"c10"</definedName>
    <definedName name="IQ_AFTER_TAX_INCOME_FDIC" hidden="1">"c6583"</definedName>
    <definedName name="IQ_AG_PROD_FARM_LOANS_DOM_QUARTERLY_AVG_FFIEC" hidden="1">"c15477"</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_OTHER_DEPOSITS_FOREIGN_DEP_FFIEC" hidden="1">"c15347"</definedName>
    <definedName name="IQ_ALL_OTHER_INVEST_UNCONSOL_SUBS_FFIEC" hidden="1">"c15275"</definedName>
    <definedName name="IQ_AMENDED_BALANCE_PREVIOUS_YR_FDIC" hidden="1">"c6499"</definedName>
    <definedName name="IQ_AMORT_EXPENSE_FDIC" hidden="1">"c6677"</definedName>
    <definedName name="IQ_AMORTIZED_COST_FDIC" hidden="1">"c6426"</definedName>
    <definedName name="IQ_ANALYST_EMAIL" hidden="1">"c13738"</definedName>
    <definedName name="IQ_ANALYST_NAME" hidden="1">"c13736"</definedName>
    <definedName name="IQ_ANALYST_PHONE" hidden="1">"c13737"</definedName>
    <definedName name="IQ_ANALYST_START_DATE" hidden="1">"c13740"</definedName>
    <definedName name="IQ_AP_BR" hidden="1">"c34"</definedName>
    <definedName name="IQ_APPLICABLE_INCOME_TAXES_FTE_FFIEC" hidden="1">"c13853"</definedName>
    <definedName name="IQ_AR_BR" hidden="1">"c41"</definedName>
    <definedName name="IQ_ASSET_BACKED_FDIC" hidden="1">"c6301"</definedName>
    <definedName name="IQ_ASSET_WRITEDOWN_BR" hidden="1">"c50"</definedName>
    <definedName name="IQ_ASSET_WRITEDOWN_CF_BR" hidden="1">"c53"</definedName>
    <definedName name="IQ_ASSET_WRITEDOWN_SUPPLE" hidden="1">"c13812"</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ETTING_OTHER_ADJUSTMENTS" hidden="1">"c13842"</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ID" hidden="1">"c13756"</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NDRATING_FITCH" hidden="1">"c223"</definedName>
    <definedName name="IQ_BONDRATING_FITCH_DATE" hidden="1">"c241"</definedName>
    <definedName name="IQ_BONDRATING_SP" hidden="1">"c224"</definedName>
    <definedName name="IQ_BONDRATING_SP_DATE" hidden="1">"c242"</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STDDEV_EST_REUT" hidden="1">"c5408"</definedName>
    <definedName name="IQ_BV_STDDEV_EST_THOM" hidden="1">"c5152"</definedName>
    <definedName name="IQ_CAPEX_BR" hidden="1">"c111"</definedName>
    <definedName name="IQ_CAPITAL_ALLOCATION_ADJUSTMENT_FOREIGN_FFIEC" hidden="1">"c15389"</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DEPOSITORY_INSTIT_US_DOM_FFIEC" hidden="1">"c15288"</definedName>
    <definedName name="IQ_CASH_DIVIDENDS_NET_INCOME_FDIC" hidden="1">"c6738"</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FOREIGN_BRANCH_OTHER_US_BANKS_FFIEC" hidden="1">"c15282"</definedName>
    <definedName name="IQ_CASH_IN_PROCESS_FDIC" hidden="1">"c6386"</definedName>
    <definedName name="IQ_CASH_OPER_ACT_OR_EST" hidden="1">"c4164"</definedName>
    <definedName name="IQ_CASH_OTHER_BANKS_FOREIGN_COUNTRIES_FFIEC" hidden="1">"c15283"</definedName>
    <definedName name="IQ_CASH_OTHER_US_COMM_BANK_DEP_INSTIT_FFIEC" hidden="1">"c15281"</definedName>
    <definedName name="IQ_CASH_STRUCTURED_PRODUCTS_AVAIL_SALE_FFIEC" hidden="1">"c15263"</definedName>
    <definedName name="IQ_CASH_STRUCTURED_PRODUCTS_FFIEC" hidden="1">"c15260"</definedName>
    <definedName name="IQ_CCE_FDIC" hidden="1">"c6296"</definedName>
    <definedName name="IQ_CDS_COUPON" hidden="1">"c15234"</definedName>
    <definedName name="IQ_CDS_NEXT_SERIES_ID" hidden="1">"c15231"</definedName>
    <definedName name="IQ_CDS_PREV_SERIES_ID" hidden="1">"c15232"</definedName>
    <definedName name="IQ_CDS_PRICE_TYPE" hidden="1">"c15233"</definedName>
    <definedName name="IQ_CEO_ID" hidden="1">"c15210"</definedName>
    <definedName name="IQ_CEO_NAME" hidden="1">"c15209"</definedName>
    <definedName name="IQ_CERTIFIED_OFFICIAL_CHECKS_TRANS_ACCTS_FFIEC" hidden="1">"c15320"</definedName>
    <definedName name="IQ_CFO_ID" hidden="1">"c15212"</definedName>
    <definedName name="IQ_CFO_NAME" hidden="1">"c15211"</definedName>
    <definedName name="IQ_CH" hidden="1">110000</definedName>
    <definedName name="IQ_CHAIRMAN_ID" hidden="1">"c15218"</definedName>
    <definedName name="IQ_CHAIRMAN_NAME" hidden="1">"c15217"</definedName>
    <definedName name="IQ_CHANGE_AP_BR" hidden="1">"c135"</definedName>
    <definedName name="IQ_CHANGE_AR_BR" hidden="1">"c142"</definedName>
    <definedName name="IQ_CHANGE_DEF_TAX_TOTAL" hidden="1">"c15557"</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LASSB_OUTSTANDING_BS_DATE" hidden="1">"c1972"</definedName>
    <definedName name="IQ_CLASSB_OUTSTANDING_FILING_DATE" hidden="1">"c1974"</definedName>
    <definedName name="IQ_CLOSED_END_1_4_FAM_LOANS_TOT_LOANS_FFIEC" hidden="1">"c13866"</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MO_FDIC" hidden="1">"c6406"</definedName>
    <definedName name="IQ_COLLECTION_DOMESTIC_FDIC" hidden="1">"c6387"</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DOM_QUARTERLY_AVG_FFIEC" hidden="1">"c15478"</definedName>
    <definedName name="IQ_COMMERCIAL_INDUSTRIAL_LOANS_NET_FDIC" hidden="1">"c6317"</definedName>
    <definedName name="IQ_COMMERCIAL_INDUSTRIAL_NET_CHARGE_OFFS_FDIC" hidden="1">"c6636"</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RECOVERIES_FDIC" hidden="1">"c6617"</definedName>
    <definedName name="IQ_COMMERCIAL_INDUSTRIAL_TOTAL_LOANS_FOREIGN_FDIC" hidden="1">"c6451"</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MPANY_TICKER_NO_EXCH" hidden="1">"c15490"</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NSOLIDATED_NI_FOREIGN_FFIEC" hidden="1">"c15396"</definedName>
    <definedName name="IQ_CONST_LAND_DEV_LOANS_TOT_LOANS_FFIEC" hidden="1">"c13865"</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UMER_LOANS_TOT_LOANS_FFIEC" hidden="1">"c13875"</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RATE" hidden="1">"c2192"</definedName>
    <definedName name="IQ_CONVERT_DEBT" hidden="1">"c224"</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RPORATE_OVER_TOTAL" hidden="1">"c13767"</definedName>
    <definedName name="IQ_COST_OF_FUNDING_ASSETS_FDIC" hidden="1">"c6725"</definedName>
    <definedName name="IQ_COVERAGE_RATIO" hidden="1">"c15243"</definedName>
    <definedName name="IQ_CQ" hidden="1">5000</definedName>
    <definedName name="IQ_CREDIT_CARD_CHARGE_OFFS_FDIC" hidden="1">"c6652"</definedName>
    <definedName name="IQ_CREDIT_CARD_FEE" hidden="1">"c231"</definedName>
    <definedName name="IQ_CREDIT_CARD_LINES_FDIC" hidden="1">"c6525"</definedName>
    <definedName name="IQ_CREDIT_CARD_LOANS_DOM_QUARTERLY_AVG_FFIEC" hidden="1">"c15480"</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_FFIEC" hidden="1">"c15287"</definedName>
    <definedName name="IQ_CURRENCY_COIN_DOMESTIC_FDIC" hidden="1">"c6388"</definedName>
    <definedName name="IQ_CURRENCY_GAIN_BR" hidden="1">"c236"</definedName>
    <definedName name="IQ_CURRENT_PORT_DEBT_BR" hidden="1">"c1567"</definedName>
    <definedName name="IQ_CY" hidden="1">10000</definedName>
    <definedName name="IQ_DA_BR" hidden="1">"c248"</definedName>
    <definedName name="IQ_DA_CF_BR" hidden="1">"c251"</definedName>
    <definedName name="IQ_DA_SUPPL_BR" hidden="1">"c260"</definedName>
    <definedName name="IQ_DA_SUPPL_CF_BR" hidden="1">"c263"</definedName>
    <definedName name="IQ_DAILY" hidden="1">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OREIGN_BANKS_FOREIGN_AGENCIES_FFIEC" hidden="1">"c15344"</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IC" hidden="1">"c13834"</definedName>
    <definedName name="IQ_DIRECT_INDIRECT_RE_VENTURES_FFIEC" hidden="1">"c15266"</definedName>
    <definedName name="IQ_DIRECT_INDIRECT_RE_VENTURES_UNCONSOL_FFIEC" hidden="1">"c15274"</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M_OFFICE_DEPOSITS_TOT_DEPOSITS_FFIEC" hidden="1">"c13910"</definedName>
    <definedName name="IQ_DPAC" hidden="1">"c2801"</definedName>
    <definedName name="IQ_EARNING_ASSETS_FDIC" hidden="1">"c6360"</definedName>
    <definedName name="IQ_EARNING_ASSETS_YIELD_FDIC" hidden="1">"c6724"</definedName>
    <definedName name="IQ_EARNINGS_COVERAGE_NET_CHARGE_OFFS_FDIC" hidden="1">"c6735"</definedName>
    <definedName name="IQ_EBIT_10K" hidden="1">"IQ_EBIT_10K"</definedName>
    <definedName name="IQ_EBIT_10Q" hidden="1">"IQ_EBIT_10Q"</definedName>
    <definedName name="IQ_EBIT_10Q1" hidden="1">"IQ_EBIT_10Q1"</definedName>
    <definedName name="IQ_EBIT_GROWTH_1" hidden="1">"c157"</definedName>
    <definedName name="IQ_EBIT_GROWTH_2" hidden="1">"c161"</definedName>
    <definedName name="IQ_EBITDA_10K" hidden="1">"IQ_EBITDA_10K"</definedName>
    <definedName name="IQ_EBITDA_10Q" hidden="1">"IQ_EBITDA_10Q"</definedName>
    <definedName name="IQ_EBITDA_10Q1" hidden="1">"IQ_EBITDA_10Q1"</definedName>
    <definedName name="IQ_EBITDA_GROWTH_1" hidden="1">"c156"</definedName>
    <definedName name="IQ_EBITDA_GROWTH_2" hidden="1">"c160"</definedName>
    <definedName name="IQ_EBITDA_NO_EST" hidden="1">"c267"</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LIMINATIONS_CONSOL_OFFICES_FOREIGN_FFIEC" hidden="1">"c15395"</definedName>
    <definedName name="IQ_EPS" hidden="1">"IQ_EPS"</definedName>
    <definedName name="IQ_EPS_10K" hidden="1">"IQ_EPS_10K"</definedName>
    <definedName name="IQ_EPS_10Q" hidden="1">"IQ_EPS_10Q"</definedName>
    <definedName name="IQ_EPS_10Q1" hidden="1">"IQ_EPS_10Q1"</definedName>
    <definedName name="IQ_EPS_NO_EST" hidden="1">"c271"</definedName>
    <definedName name="IQ_EQUITY_CAPITAL_ASSETS_FDIC" hidden="1">"c6744"</definedName>
    <definedName name="IQ_EQUITY_FDIC" hidden="1">"c6353"</definedName>
    <definedName name="IQ_EQUITY_LIST" hidden="1">"c15158"</definedName>
    <definedName name="IQ_EQUITY_SECURITIES_FDIC" hidden="1">"c6304"</definedName>
    <definedName name="IQ_EQUITY_SECURITIES_QUARTERLY_AVG_FFIEC" hidden="1">"c15474"</definedName>
    <definedName name="IQ_EQUITY_SECURITY_EXPOSURES_FDIC" hidden="1">"c6664"</definedName>
    <definedName name="IQ_EQUITY_TIER_ONE_CAPITAL" hidden="1">"c15246"</definedName>
    <definedName name="IQ_EQUITY_TIER_ONE_CAPITAL_RATIO" hidden="1">"c15242"</definedName>
    <definedName name="IQ_ESOP_OVER_TOTAL" hidden="1">"c13768"</definedName>
    <definedName name="IQ_EST_ACT_BV_REUT" hidden="1">"c5409"</definedName>
    <definedName name="IQ_EST_ACT_BV_THOM" hidden="1">"c5153"</definedName>
    <definedName name="IQ_EST_ACT_FFO_THOM" hidden="1">"c4005"</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EPS_SURPRISE" hidden="1">"c1635"</definedName>
    <definedName name="IQ_EST_FFO_DIFF_THOM" hidden="1">"c5186"</definedName>
    <definedName name="IQ_EST_FFO_SURPRISE_PERCENT_THOM" hidden="1">"c5187"</definedName>
    <definedName name="IQ_EST_NEXT_EARNINGS_DATE" hidden="1">"c13591"</definedName>
    <definedName name="IQ_EST_NUM_BUY_CIQ" hidden="1">"c3700"</definedName>
    <definedName name="IQ_EST_NUM_BUY_REUT" hidden="1">"c3869"</definedName>
    <definedName name="IQ_EST_NUM_BUY_THOM" hidden="1">"c5165"</definedName>
    <definedName name="IQ_EST_NUM_HOLD_CIQ" hidden="1">"c3702"</definedName>
    <definedName name="IQ_EST_NUM_HOLD_REUT" hidden="1">"c3871"</definedName>
    <definedName name="IQ_EST_NUM_HOLD_THOM" hidden="1">"c5167"</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IMATED_ASSESSABLE_DEPOSITS_FDIC" hidden="1">"c6490"</definedName>
    <definedName name="IQ_ESTIMATED_INSURED_DEPOSITS_FDIC" hidden="1">"c6491"</definedName>
    <definedName name="IQ_EV_OVER_REVENUE_EST" hidden="1">"c165"</definedName>
    <definedName name="IQ_EV_OVER_REVENUE_EST_1" hidden="1">"c166"</definedName>
    <definedName name="IQ_EVENT_DATE" hidden="1">"c13819"</definedName>
    <definedName name="IQ_EVENT_ID" hidden="1">"c13818"</definedName>
    <definedName name="IQ_EVENT_TIME" hidden="1">"c13820"</definedName>
    <definedName name="IQ_EVENT_TYPE" hidden="1">"c13821"</definedName>
    <definedName name="IQ_EXPENSE_CODE_">"C132814"</definedName>
    <definedName name="IQ_EXPLORE_DRILL_EXP_TOTAL" hidden="1">"c13850"</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_ITEMS_OTHER_ADJUSTMENTS_FOREIGN_FFIEC" hidden="1">"c15392"</definedName>
    <definedName name="IQ_EXTRAORDINARY_GAINS_FDIC" hidden="1">"c6586"</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FDIC" hidden="1">"c6343"</definedName>
    <definedName name="IQ_FED_FUNDS_SOLD_FDIC" hidden="1">"c6307"</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ES_OTHER_INCOME" hidden="1">"c15257"</definedName>
    <definedName name="IQ_FFO_EST_THOM" hidden="1">"c3999"</definedName>
    <definedName name="IQ_FFO_HIGH_EST_THOM" hidden="1">"c4001"</definedName>
    <definedName name="IQ_FFO_LOW_EST_THOM" hidden="1">"c4002"</definedName>
    <definedName name="IQ_FFO_MEDIAN_EST_THOM" hidden="1">"c4000"</definedName>
    <definedName name="IQ_FFO_NO_EST" hidden="1">"c276"</definedName>
    <definedName name="IQ_FFO_NUM_EST_THOM" hidden="1">"c4003"</definedName>
    <definedName name="IQ_FFO_STDDEV_EST_THOM" hidden="1">"c4004"</definedName>
    <definedName name="IQ_FH" hidden="1">100000</definedName>
    <definedName name="IQ_FHLB_ADVANCES_FDIC" hidden="1">"c6366"</definedName>
    <definedName name="IQ_FHLB_DUE_AFTER_FIVE" hidden="1">"c2086"</definedName>
    <definedName name="IQ_FIDUCIARY_ACTIVITIES_FDIC" hidden="1">"c6571"</definedName>
    <definedName name="IQ_FIFETEEN_YEAR_FIXED_AND_FLOATING_RATE_FDIC" hidden="1">"c6423"</definedName>
    <definedName name="IQ_FIFETEEN_YEAR_MORTGAGE_PASS_THROUGHS_FDIC" hidden="1">"c6415"</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UNDATION_OVER_TOTAL" hidden="1">"c13769"</definedName>
    <definedName name="IQ_FQ" hidden="1">500</definedName>
    <definedName name="IQ_FULLY_INSURED_BROKERED_DEPOSITS_FFIEC" hidden="1">"c15305"</definedName>
    <definedName name="IQ_FULLY_INSURED_DEPOSITS_FDIC" hidden="1">"c6487"</definedName>
    <definedName name="IQ_FUND_NAV" hidden="1">"c15225"</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 hidden="1">"c6517"</definedName>
    <definedName name="IQ_FX_CONTRACTS_SPOT_FDIC" hidden="1">"c6356"</definedName>
    <definedName name="IQ_FY" hidden="1">1000</definedName>
    <definedName name="IQ_FY_DATE" hidden="1">"IQ_FY_DATE"</definedName>
    <definedName name="IQ_GAAP_EST_CIQ" hidden="1">"c13924"</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C_BNK" hidden="1">"c488"</definedName>
    <definedName name="IQ_GAIN_INVEST_REV_BR" hidden="1">"c496"</definedName>
    <definedName name="IQ_GAIN_LOSS_HTM_AFS_SECURITIES_FOREIGN_FFIEC" hidden="1">"c15384"</definedName>
    <definedName name="IQ_GAIN_SALE_LOANS_FDIC" hidden="1">"c6673"</definedName>
    <definedName name="IQ_GAIN_SALE_RE_FDIC" hidden="1">"c6674"</definedName>
    <definedName name="IQ_GAINS_SALE_ASSETS_FDIC" hidden="1">"c6675"</definedName>
    <definedName name="IQ_GENERAL_ALLOWANCE" hidden="1">"c15248"</definedName>
    <definedName name="IQ_GNMA_FDIC" hidden="1">"c6398"</definedName>
    <definedName name="IQ_GOODWILL_FDIC" hidden="1">"c6334"</definedName>
    <definedName name="IQ_GOODWILL_IMPAIRMENT_FDIC" hidden="1">"c6678"</definedName>
    <definedName name="IQ_GOODWILL_INTAN_FDIC" hidden="1">"c6333"</definedName>
    <definedName name="IQ_GROSS_GW" hidden="1">"c519"</definedName>
    <definedName name="IQ_GROSS_INTAN" hidden="1">"c520"</definedName>
    <definedName name="IQ_GW_AMORT_BR" hidden="1">"c532"</definedName>
    <definedName name="IQ_GW_INTAN_AMORT_BR" hidden="1">"c1470"</definedName>
    <definedName name="IQ_GW_INTAN_AMORT_CF_BR" hidden="1">"c1473"</definedName>
    <definedName name="IQ_HEDGEFUND_OVER_TOTAL" hidden="1">"c13771"</definedName>
    <definedName name="IQ_HELD_MATURITY_FDIC" hidden="1">"c6408"</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PAIRED_LOANS" hidden="1">"c15250"</definedName>
    <definedName name="IQ_IMPAIRMENT_GW_SUPPLE" hidden="1">"c13811"</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_FOREIGN_FFIEC" hidden="1">"c15391"</definedName>
    <definedName name="IQ_INCOME_TAXES_FDIC" hidden="1">"c6582"</definedName>
    <definedName name="IQ_INDEX_CURRENCY" hidden="1">"c15224"</definedName>
    <definedName name="IQ_INDEX_TYPE" hidden="1">"c15223"</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_SETTLE_SUPPLE" hidden="1">"c13814"</definedName>
    <definedName name="IQ_INSIDER_3MTH_BOUGHT" hidden="1">"c1534"</definedName>
    <definedName name="IQ_INSIDER_3MTH_NET" hidden="1">"c1535"</definedName>
    <definedName name="IQ_INSIDER_3MTH_SOLD" hidden="1">"c1533"</definedName>
    <definedName name="IQ_INSIDER_6MTH_BOUGHT" hidden="1">"c1537"</definedName>
    <definedName name="IQ_INSIDER_6MTH_NET" hidden="1">"c1538"</definedName>
    <definedName name="IQ_INSIDER_6MTH_SOLD" hidden="1">"c1536"</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RE_LOANS_DOM_FFIEC" hidden="1">"c15353"</definedName>
    <definedName name="IQ_INT_FEE_INC_TAX_EXEMPT_OBLIGATIONS_DOM_FFIEC" hidden="1">"c15362"</definedName>
    <definedName name="IQ_INT_FEE_INC_TAXABLE_OBLIGATIONS_DOM_FFIEC" hidden="1">"c15361"</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INCOME_FTE_AVG_ASSETS_FFIEC" hidden="1">"c13856"</definedName>
    <definedName name="IQ_INT_INCOME_FTE_AVG_EARNING_ASSETS_FFIEC" hidden="1">"c13857"</definedName>
    <definedName name="IQ_INT_INCOME_FTE_FFIEC" hidden="1">"c13852"</definedName>
    <definedName name="IQ_INT_SAVINGS_DEPOSITS_MMDA_DOM_FFIEC" hidden="1">"c15364"</definedName>
    <definedName name="IQ_INT_SUB_NOTES_FDIC" hidden="1">"c6568"</definedName>
    <definedName name="IQ_INT_TRANSACTION_ACCOUNTS_DOM_FFIEC" hidden="1">"c15363"</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INC_10K" hidden="1">"IQ_INTEREST_INC_10K"</definedName>
    <definedName name="IQ_INTEREST_INC_10Q" hidden="1">"IQ_INTEREST_INC_10Q"</definedName>
    <definedName name="IQ_INTEREST_INC_10Q1" hidden="1">"IQ_INTEREST_INC_10Q1"</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REL_ID" hidden="1">"c15220"</definedName>
    <definedName name="IQ_INV_REL_NAME" hidden="1">"c15219"</definedName>
    <definedName name="IQ_INVEST_LOANS_CF_BR" hidden="1">"c630"</definedName>
    <definedName name="IQ_INVEST_SECURITY_CF_BR" hidden="1">"c639"</definedName>
    <definedName name="IQ_INVESTMENT_BANKING_OTHER_FEES_FDIC" hidden="1">"c6666"</definedName>
    <definedName name="IQ_IPRD_SUPPLE" hidden="1">"c13813"</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GAL_SETTLE_BR" hidden="1">"c649"</definedName>
    <definedName name="IQ_LEGAL_SETTLE_SUPPLE" hidden="1">"c13815"</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FE_INSURANCE_ASSETS_FDIC" hidden="1">"c6372"</definedName>
    <definedName name="IQ_LIQUIDATION_VALUE_PREFERRED_CONVERT" hidden="1">"c13835"</definedName>
    <definedName name="IQ_LIQUIDATION_VALUE_PREFERRED_NON_REDEEM" hidden="1">"c13836"</definedName>
    <definedName name="IQ_LIQUIDATION_VALUE_PREFERRED_REDEEM" hidden="1">"c13837"</definedName>
    <definedName name="IQ_LOAN_COMMITMENTS_REVOLVING_FDIC" hidden="1">"c6524"</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_DEBT_BR" hidden="1">"c676"</definedName>
    <definedName name="IQ_LT_DEBT_ISSUED_BR" hidden="1">"c683"</definedName>
    <definedName name="IQ_LT_DEBT_REPAID_BR" hidden="1">"c691"</definedName>
    <definedName name="IQ_LT_INVEST_BR" hidden="1">"c698"</definedName>
    <definedName name="IQ_LT_SENIOR_DEBT" hidden="1">"c702"</definedName>
    <definedName name="IQ_LT_SUB_DEBT" hidden="1">"c703"</definedName>
    <definedName name="IQ_LTM" hidden="1">2000</definedName>
    <definedName name="IQ_LTM_DATE" hidden="1">"IQ_LTM_DATE"</definedName>
    <definedName name="IQ_LTMMONTH" hidden="1">120000</definedName>
    <definedName name="IQ_MAINT_CAPEX_ACT_OR_EST" hidden="1">"c4458"</definedName>
    <definedName name="IQ_MARKTCAP" hidden="1">"c258"</definedName>
    <definedName name="IQ_MATURITY_ONE_YEAR_LESS_FDIC" hidden="1">"c6425"</definedName>
    <definedName name="IQ_MBS_QUARTERLY_AVG_FFIEC" hidden="1">"c15471"</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ERGER_SUPPLE" hidden="1">"c13810"</definedName>
    <definedName name="IQ_MINORITY_INTEREST_BR" hidden="1">"c729"</definedName>
    <definedName name="IQ_MMDA_NON_TRANS_ACCTS_FFIEC" hidden="1">"c15330"</definedName>
    <definedName name="IQ_MMDA_SAVINGS_TOT_DEPOSITS_FFIEC" hidden="1">"c13905"</definedName>
    <definedName name="IQ_MONEY_MARKET_DEPOSIT_ACCOUNTS_FDIC" hidden="1">"c6553"</definedName>
    <definedName name="IQ_MONTH" hidden="1">15000</definedName>
    <definedName name="IQ_MORTGAGE_BACKED_SECURITIES_FDIC" hidden="1">"c6402"</definedName>
    <definedName name="IQ_MORTGAGE_DEBT_UNDER_CAPITAL_LEASES_FFIEC" hidden="1">"c15276"</definedName>
    <definedName name="IQ_MORTGAGE_SERVICING_FDIC" hidden="1">"c6335"</definedName>
    <definedName name="IQ_MTD" hidden="1">800000</definedName>
    <definedName name="IQ_MULTIFAM_5_LOANS_TOT_LOANS_FFIEC" hidden="1">"c13869"</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NAMES_REVISION_DATE_" localSheetId="0" hidden="1">42468.0333564815</definedName>
    <definedName name="IQ_NATIVE_COMPANY_NAME" hidden="1">"c13822"</definedName>
    <definedName name="IQ_NAV_ACT_OR_EST" hidden="1">"c2225"</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T_BOOKING_LOCATION_ADJUSTMENT_FOREIGN_FFIEC" hidden="1">"c15385"</definedName>
    <definedName name="IQ_NET_CHARGE_OFFS_FDIC" hidden="1">"c6641"</definedName>
    <definedName name="IQ_NET_CHARGE_OFFS_LOANS_FDIC" hidden="1">"c6751"</definedName>
    <definedName name="IQ_NET_DEBT_ISSUED_BR" hidden="1">"c753"</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_10K" hidden="1">"IQ_NET_INC_10K"</definedName>
    <definedName name="IQ_NET_INC_10Q" hidden="1">"IQ_NET_INC_10Q"</definedName>
    <definedName name="IQ_NET_INC_10Q1" hidden="1">"IQ_NET_INC_10Q1"</definedName>
    <definedName name="IQ_NET_INC_GROWTH_1" hidden="1">"c158"</definedName>
    <definedName name="IQ_NET_INC_GROWTH_2" hidden="1">"c162"</definedName>
    <definedName name="IQ_NET_INCOME_FDIC" hidden="1">"c6587"</definedName>
    <definedName name="IQ_NET_INT_INC_BNK_FDIC" hidden="1">"c6570"</definedName>
    <definedName name="IQ_NET_INT_INC_BR" hidden="1">"c765"</definedName>
    <definedName name="IQ_NET_INTEREST_INC_INTERNATIONAL_OPS_FFIEC" hidden="1">"c15375"</definedName>
    <definedName name="IQ_NET_INTEREST_MARGIN_FDIC" hidden="1">"c6726"</definedName>
    <definedName name="IQ_NET_LOANS_LEASES_CORE_DEPOSITS_FDIC" hidden="1">"c6743"</definedName>
    <definedName name="IQ_NET_LOANS_LEASES_DEPOSITS_FDIC" hidden="1">"c6742"</definedName>
    <definedName name="IQ_NET_NONINTEREST_INC_EXP_INTERNATIONAL_OPS_FFIEC" hidden="1">"c15387"</definedName>
    <definedName name="IQ_NET_OPERATING_INCOME_ASSETS_FDIC" hidden="1">"c6729"</definedName>
    <definedName name="IQ_NET_SECURITIZATION_INC_FOREIGN_FFIEC" hidden="1">"c15379"</definedName>
    <definedName name="IQ_NET_SECURITIZATION_INCOME_FDIC" hidden="1">"c6669"</definedName>
    <definedName name="IQ_NET_SERVICING_FEES_FDIC" hidden="1">"c6668"</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EARNINGS_DATE" hidden="1">"c13592"</definedName>
    <definedName name="IQ_NI_BANK_AND_NONCONTROLLING_INTEREST_FFIEC" hidden="1">"c15365"</definedName>
    <definedName name="IQ_NI_BEFORE_INTERNAL_ALLOCATIONS_FOREIGN_FFIEC" hidden="1">"c15393"</definedName>
    <definedName name="IQ_NI_NON_CONTROLLING_INTERESTS_FFIEC" hidden="1">"c15366"</definedName>
    <definedName name="IQ_NON_ACCRUAL_ASSET_SOLD_DURING_QTR_FFIEC" hidden="1">"c15350"</definedName>
    <definedName name="IQ_NON_CURRENT_LOANS_FFIEC" hidden="1">"c13860"</definedName>
    <definedName name="IQ_NON_INT_EXP_FDIC" hidden="1">"c6579"</definedName>
    <definedName name="IQ_NON_INT_INC_FDIC" hidden="1">"c6575"</definedName>
    <definedName name="IQ_NON_PERFORMING_ASSETS_FFIEC" hidden="1">"c13859"</definedName>
    <definedName name="IQ_NON_PERFORMING_LOANS_FFIEC" hidden="1">"c13861"</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FARM_NONRES_DOM_FFIEC" hidden="1">"c15271"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OTHER_TRANS_ACCTS_TOT_DEPOSITS_FFIEC" hidden="1">"c13903"</definedName>
    <definedName name="IQ_NTM" hidden="1">6000</definedName>
    <definedName name="IQ_NUM_CONTRIBUTORS" hidden="1">"c13739"</definedName>
    <definedName name="IQ_NUM_OFFICES" hidden="1">"c2088"</definedName>
    <definedName name="IQ_NUMBER_DEPOSITS_LESS_THAN_100K_FDIC" hidden="1">"c6495"</definedName>
    <definedName name="IQ_NUMBER_DEPOSITS_MORE_THAN_100K_FDIC" hidden="1">"c6493"</definedName>
    <definedName name="IQ_NUMBER_SHAREHOLDERS_CLASSB"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G_OTHER_ADJ" hidden="1">"c1999"</definedName>
    <definedName name="IQ_OG_TOTAL_OIL_PRODUCTON" hidden="1">"c2059"</definedName>
    <definedName name="IQ_OPENED55" hidden="1">1</definedName>
    <definedName name="IQ_OPER_INC_BR" hidden="1">"c850"</definedName>
    <definedName name="IQ_OPTIONS_EXCERCISED" hidden="1">"c2116"</definedName>
    <definedName name="IQ_OPTIONS_OS" hidden="1">"c858"</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FOREIGN_FFIEC" hidden="1">"c15273"</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BORROWED_MONEY_FAIR_VALUE_TOT_FFIEC" hidden="1">"c15409"</definedName>
    <definedName name="IQ_OTHER_BORROWED_MONEY_LEVEL_1_FFIEC" hidden="1">"c15431"</definedName>
    <definedName name="IQ_OTHER_BORROWED_MONEY_LEVEL_2_FFIEC" hidden="1">"c15444"</definedName>
    <definedName name="IQ_OTHER_BORROWED_MONEY_LEVEL_3_FFIEC" hidden="1">"c15457"</definedName>
    <definedName name="IQ_OTHER_CA_SUPPL_BR" hidden="1">"c871"</definedName>
    <definedName name="IQ_OTHER_CL_SUPPL_BR" hidden="1">"c880"</definedName>
    <definedName name="IQ_OTHER_COMPREHENSIVE_INCOME_FDIC" hidden="1">"c6503"</definedName>
    <definedName name="IQ_OTHER_DEBT_SECURITIES_QUARTERLY_AVG_FFIEC" hidden="1">"c15473"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NONINTEREST_INC_FOREIGN_FFIEC" hidden="1">"c15380"</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OVER_TOTAL" hidden="1">"c13770"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SAVINGS_DEPOSITS_NON_TRANS_ACCTS_FFIEC" hidden="1">"c15331"</definedName>
    <definedName name="IQ_OTHER_SECURITIES_QUARTERLY_AVG_FFIEC" hidden="1">"c15472"</definedName>
    <definedName name="IQ_OTHER_TAX_EQUIVALENT_ADJUSTMENTS_FFIEC" hidden="1">"c13855"</definedName>
    <definedName name="IQ_OTHER_TRADING_ASSETS_FAIR_VALUE_TOT_FFIEC" hidden="1">"c15404"</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LIABILITIES_FAIR_VALUE_TOT_FFIEC" hidden="1">"c15408"</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THER_UNUSUAL_SUPPLE" hidden="1">"c13816"</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BV_FWD" hidden="1">"c15235"</definedName>
    <definedName name="IQ_PC_WRITTEN" hidden="1">"c1027"</definedName>
    <definedName name="IQ_PERCENT_CHANGE_EST_FFO_12MONTHS" hidden="1">"c1828"</definedName>
    <definedName name="IQ_PERCENT_CHANGE_EST_FFO_12MONTHS_THOM" hidden="1">"c5248"</definedName>
    <definedName name="IQ_PERCENT_CHANGE_EST_FFO_18MONTHS" hidden="1">"c1829"</definedName>
    <definedName name="IQ_PERCENT_CHANGE_EST_FFO_18MONTHS_THOM" hidden="1">"c5249"</definedName>
    <definedName name="IQ_PERCENT_CHANGE_EST_FFO_3MONTHS" hidden="1">"c1825"</definedName>
    <definedName name="IQ_PERCENT_CHANGE_EST_FFO_3MONTHS_THOM" hidden="1">"c5245"</definedName>
    <definedName name="IQ_PERCENT_CHANGE_EST_FFO_6MONTHS" hidden="1">"c1826"</definedName>
    <definedName name="IQ_PERCENT_CHANGE_EST_FFO_6MONTHS_THOM" hidden="1">"c5246"</definedName>
    <definedName name="IQ_PERCENT_CHANGE_EST_FFO_9MONTHS" hidden="1">"c1827"</definedName>
    <definedName name="IQ_PERCENT_CHANGE_EST_FFO_9MONTHS_THOM" hidden="1">"c5247"</definedName>
    <definedName name="IQ_PERCENT_CHANGE_EST_FFO_DAY" hidden="1">"c1822"</definedName>
    <definedName name="IQ_PERCENT_CHANGE_EST_FFO_DAY_THOM" hidden="1">"c5243"</definedName>
    <definedName name="IQ_PERCENT_CHANGE_EST_FFO_MONTH" hidden="1">"c1824"</definedName>
    <definedName name="IQ_PERCENT_CHANGE_EST_FFO_MONTH_THOM" hidden="1">"c5244"</definedName>
    <definedName name="IQ_PERCENT_CHANGE_EST_FFO_WEEK" hidden="1">"c1823"</definedName>
    <definedName name="IQ_PERCENT_CHANGE_EST_FFO_WEEK_THOM" hidden="1">"c5274"</definedName>
    <definedName name="IQ_PERCENT_INSURED_FDIC" hidden="1">"c6374"</definedName>
    <definedName name="IQ_PERIODDATE_FDIC" hidden="1">"c13646"</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DEPOSITS_FFIEC" hidden="1">"c15312"</definedName>
    <definedName name="IQ_PREFERRED_FDIC" hidden="1">"c6349"</definedName>
    <definedName name="IQ_PREMISES_EQUIPMENT_FDIC" hidden="1">"c6577"</definedName>
    <definedName name="IQ_PRESIDENT_ID" hidden="1">"c15216"</definedName>
    <definedName name="IQ_PRESIDENT_NAME" hidden="1">"c15215"</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RETURN_ASSETS_FDIC" hidden="1">"c6731"</definedName>
    <definedName name="IQ_PRICE_OVER_EPS_EST" hidden="1">"c174"</definedName>
    <definedName name="IQ_PRICE_OVER_EPS_EST_1" hidden="1">"c175"</definedName>
    <definedName name="IQ_PRICEDATETIME" hidden="1">"IQ_PRICEDATETIME"</definedName>
    <definedName name="IQ_PRIMARY_EPS_TYPE_THOM" hidden="1">"c5297"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COMP" hidden="1">"c13750"</definedName>
    <definedName name="IQ_RE_FORECLOSURE_FDIC" hidden="1">"c6332"</definedName>
    <definedName name="IQ_RE_INVEST_FDIC" hidden="1">"c6331"</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_SUPPLE" hidden="1">"c13809"</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COMMON_EQUITY" hidden="1">"c13838"</definedName>
    <definedName name="IQ_RETURN_EQUITY_BROK" hidden="1">"c1120"</definedName>
    <definedName name="IQ_RETURN_EQUITY_FDIC" hidden="1">"c6732"</definedName>
    <definedName name="IQ_REV_BEFORE_LOAN_LOSS_FOREIGN_FFIEC" hidden="1">"c15381"</definedName>
    <definedName name="IQ_REVALUATION_GAINS_FDIC" hidden="1">"c6428"</definedName>
    <definedName name="IQ_REVALUATION_LOSSES_FDIC" hidden="1">"c6429"</definedName>
    <definedName name="IQ_REVENUE_10K" hidden="1">"IQ_REVENUE_10K"</definedName>
    <definedName name="IQ_REVENUE_10Q" hidden="1">"IQ_REVENUE_10Q"</definedName>
    <definedName name="IQ_REVENUE_10Q1" hidden="1">"IQ_REVENUE_10Q1"</definedName>
    <definedName name="IQ_REVENUE_GROWTH_1" hidden="1">"c155"</definedName>
    <definedName name="IQ_REVENUE_GROWTH_2" hidden="1">"c159"</definedName>
    <definedName name="IQ_REVENUE_NO_EST" hidden="1">"c263"</definedName>
    <definedName name="IQ_REVOLVING_SECURED_1_4_NON_ACCRUAL_FFIEC" hidden="1">"c13314"</definedName>
    <definedName name="IQ_RISK_WEIGHTED_ASSETS_FDIC" hidden="1">"c6370"</definedName>
    <definedName name="IQ_SALARY_FDIC" hidden="1">"c6576"</definedName>
    <definedName name="IQ_SALE_CONVERSION_ACQUISITION_NET_COMMON_FFIEC" hidden="1">"c15351"</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AVINGS_DEPOSITS_NON_TRANS_ACCTS_FFIEC" hidden="1">"c15329"</definedName>
    <definedName name="IQ_SAVINGS_DEPOSITS_QUARTERLY_AVG_FFIEC" hidden="1">"c15485"</definedName>
    <definedName name="IQ_SEC_OTHER_NONFARM_NONRES_NON_ACCRUAL_FFIEC" hidden="1">"c15462"</definedName>
    <definedName name="IQ_SEC_OWNER_NONFARM_NONRES_NON_ACCRUAL_FFIEC" hidden="1">"c15461"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STATE_POLI_SUBD_QUARTERLY_AVG_FFIEC" hidden="1">"c15470"</definedName>
    <definedName name="IQ_SECURITIES_UNDERWRITING_FDIC" hidden="1">"c6529"</definedName>
    <definedName name="IQ_SECURITY_ACTIVE_STATUS" hidden="1">"c15160"</definedName>
    <definedName name="IQ_SECURITY_NAME" hidden="1">"c15159"</definedName>
    <definedName name="IQ_SERVICE_CHARGES_FDIC" hidden="1">"c6572"</definedName>
    <definedName name="IQ_SHAREOUTSTANDING" hidden="1">"c1347"</definedName>
    <definedName name="IQ_SP_ISSUE_LC_ACTION" hidden="1">"c2644"</definedName>
    <definedName name="IQ_SP_ISSUE_LC_DATE" hidden="1">"c2643"</definedName>
    <definedName name="IQ_SP_ISSUE_LC_LT" hidden="1">"c2645"</definedName>
    <definedName name="IQ_SPECIAL_DIV_CF_BR" hidden="1">"c1171"</definedName>
    <definedName name="IQ_SPECIFIC_ALLOWANCE" hidden="1">"c15247"</definedName>
    <definedName name="IQ_ST_DEBT_BR" hidden="1">"c1178"</definedName>
    <definedName name="IQ_ST_DEBT_ISSUED_BR" hidden="1">"c1183"</definedName>
    <definedName name="IQ_ST_DEBT_REPAID_BR" hidden="1">"c1191"</definedName>
    <definedName name="IQ_STANDBY_LOC_FHLB_BANK_BEHALF_OFF_BS_FFIEC" hidden="1">"c15412"</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OCK_BASED_EXPLORE_DRILL" hidden="1">"c13851"</definedName>
    <definedName name="IQ_SUB_DEBT_FDIC" hidden="1">"c6346"</definedName>
    <definedName name="IQ_SUB_NOTES_DEBENTURES_FAIR_VALUE_TOT_FFIEC" hidden="1">"c15410"</definedName>
    <definedName name="IQ_SUB_NOTES_DEBENTURES_LEVEL_1_FFIEC" hidden="1">"c15432"</definedName>
    <definedName name="IQ_SUB_NOTES_DEBENTURES_LEVEL_2_FFIEC" hidden="1">"c15445"</definedName>
    <definedName name="IQ_SUB_NOTES_DEBENTURES_LEVEL_3_FFIEC" hidden="1">"c15458"</definedName>
    <definedName name="IQ_SURPLUS_FDIC" hidden="1">"c6351"</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FFIEC" hidden="1">"c13915"</definedName>
    <definedName name="IQ_TARGET_PRICE_LASTCLOSE" hidden="1">"c1855"</definedName>
    <definedName name="IQ_TAX_EQUIVALENT_ADJUSTMENTS_FFIEC" hidden="1">"c13854"</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TWO_CAPITAL_RATIO" hidden="1">"c15241"</definedName>
    <definedName name="IQ_TIME_DEPOSIT_LESS_100000_QUARTERLY_AVG_FFIEC" hidden="1">"c15487"</definedName>
    <definedName name="IQ_TIME_DEPOSIT_MORE_100000_QUARTERLY_AVG_FFIEC" hidden="1">"c15486"</definedName>
    <definedName name="IQ_TIME_DEPOSITS_LESS_100K_TOT_DEPOSITS_FFIEC" hidden="1">"c13907"</definedName>
    <definedName name="IQ_TIME_DEPOSITS_LESS_THAN_100K_FDIC" hidden="1">"c6465"</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SSETS_FAIR_VALUE_TOT_FFIEC" hidden="1">"c15405"</definedName>
    <definedName name="IQ_TOTAL_ASSETS_FDIC" hidden="1">"c6339"</definedName>
    <definedName name="IQ_TOTAL_ASSETS_LEVEL_1_FFIEC" hidden="1">"c15427"</definedName>
    <definedName name="IQ_TOTAL_ASSETS_LEVEL_2_FFIEC" hidden="1">"c15440"</definedName>
    <definedName name="IQ_TOTAL_ASSETS_LEVEL_3_FFIEC" hidden="1">"c15453"</definedName>
    <definedName name="IQ_TOTAL_BROKERED_DEPOSIT_FFIEC" hidden="1">"c15304"</definedName>
    <definedName name="IQ_TOTAL_CASH_DUE_DEPOSITORY_INSTIT_DOM_FFIEC" hidden="1">"c15291"</definedName>
    <definedName name="IQ_TOTAL_CASH_DUE_DEPOSITORY_INSTIT_FFIEC" hidden="1">"c15285"</definedName>
    <definedName name="IQ_TOTAL_CHARGE_OFFS_FDIC" hidden="1">"c6603"</definedName>
    <definedName name="IQ_TOTAL_COMMON_EQUITY_FFIEC" hidden="1">"c13913"</definedName>
    <definedName name="IQ_TOTAL_COMMON_EQUITY_TOTAL_ASSETS_FFIEC" hidden="1">"c13864"</definedName>
    <definedName name="IQ_TOTAL_DEBT_DUE" hidden="1">"c2509"</definedName>
    <definedName name="IQ_TOTAL_DEBT_ISSUED_BR" hidden="1">"c1253"</definedName>
    <definedName name="IQ_TOTAL_DEBT_REPAID_BR" hidden="1">"c1260"</definedName>
    <definedName name="IQ_TOTAL_DEBT_SECURITIES_FDIC" hidden="1">"c6410"</definedName>
    <definedName name="IQ_TOTAL_DEPOSITS_DOM_FFIEC" hidden="1">"c15313"</definedName>
    <definedName name="IQ_TOTAL_DEPOSITS_FDIC" hidden="1">"c6342"</definedName>
    <definedName name="IQ_TOTAL_DEPOSITS_SUPPLE" hidden="1">"c15253"</definedName>
    <definedName name="IQ_TOTAL_EMPLOYEES_FDIC" hidden="1">"c6355"</definedName>
    <definedName name="IQ_TOTAL_EQUITY_INCL_MINORITY_INTEREST_FFIEC" hidden="1">"c15278"</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EREST_EXP_FOREIGN_FFIEC" hidden="1">"c15374"</definedName>
    <definedName name="IQ_TOTAL_INTEREST_INC_FOREIGN_FFIEC" hidden="1">"c15373"</definedName>
    <definedName name="IQ_TOTAL_IRA_KEOGH_PLAN_ACCOUNTS_FFIEC" hidden="1">"c15303"</definedName>
    <definedName name="IQ_TOTAL_LIAB_BR" hidden="1">"c1278"</definedName>
    <definedName name="IQ_TOTAL_LIAB_EQUITY_FDIC" hidden="1">"c6354"</definedName>
    <definedName name="IQ_TOTAL_LIABILITIES_FAIR_VALUE_TOT_FFIEC" hidden="1">"c15411"</definedName>
    <definedName name="IQ_TOTAL_LIABILITIES_FDIC" hidden="1">"c6348"</definedName>
    <definedName name="IQ_TOTAL_LIABILITIES_LEVEL_1_FFIEC" hidden="1">"c15433"</definedName>
    <definedName name="IQ_TOTAL_LIABILITIES_LEVEL_2_FFIEC" hidden="1">"c15446"</definedName>
    <definedName name="IQ_TOTAL_LIABILITIES_LEVEL_3_FFIEC" hidden="1">"c15459"</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NON_ACCRUAL_FFIEC" hidden="1">"c13757"</definedName>
    <definedName name="IQ_TOTAL_NON_TRANS_ACCTS_FFIEC" hidden="1">"c15328"</definedName>
    <definedName name="IQ_TOTAL_NONINTEREST_EXPENSE_FOREIGN_FFIEC" hidden="1">"c15386"</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EVENUE_FOREIGN_FFIEC" hidden="1">"c15383"</definedName>
    <definedName name="IQ_TOTAL_RISK_BASED_CAPITAL_RATIO_FDIC" hidden="1">"c6747"</definedName>
    <definedName name="IQ_TOTAL_RISK_WEIGHTED_ASSETS_FFIEC" hidden="1">"c13858"</definedName>
    <definedName name="IQ_TOTAL_SECURITIES_FDIC" hidden="1">"c6306"</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LIAB_FOREIGN_FFIEC" hidden="1">"c15296"</definedName>
    <definedName name="IQ_TOTAL_TRANS_ACCTS_FFIEC" hidden="1">"c15321"</definedName>
    <definedName name="IQ_TOTAL_UNUSED_COMMITMENTS_FDIC" hidden="1">"c6536"</definedName>
    <definedName name="IQ_TOTAL_UNUSUAL_BR" hidden="1">"c5517"</definedName>
    <definedName name="IQ_TOTAL_UNUSUAL_SUPPLE" hidden="1">"c13817"</definedName>
    <definedName name="IQ_TR_BUY_ADVISORS" hidden="1">"c2387"</definedName>
    <definedName name="IQ_TR_BUYBACK_TO_CLOSE" hidden="1">"c13919"</definedName>
    <definedName name="IQ_TR_BUYBACK_TO_HIGH" hidden="1">"c13917"</definedName>
    <definedName name="IQ_TR_BUYBACK_TO_LOW" hidden="1">"c13918"</definedName>
    <definedName name="IQ_TR_SELL_ADVISORS" hidden="1">"c2388"</definedName>
    <definedName name="IQ_TR_SUBDEBT" hidden="1">"c2370"</definedName>
    <definedName name="IQ_TR_TARGET_ADVISORS" hidden="1">"c2386"</definedName>
    <definedName name="IQ_TRADING_ACCOUNT_GAINS_FEES_FDIC" hidden="1">"c6573"</definedName>
    <definedName name="IQ_TRADING_ASSETS_FDIC" hidden="1">"c6328"</definedName>
    <definedName name="IQ_TRADING_LIABILITIES_FDIC" hidden="1">"c6344"</definedName>
    <definedName name="IQ_TRADING_REV_FOREIGN_FFIEC" hidden="1">"c15377"</definedName>
    <definedName name="IQ_TRANS_ACCTS_TOT_DEPOSITS_FFIEC" hidden="1">"c13904"</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_OTHER_EQUITY_BR" hidden="1">"c1314"</definedName>
    <definedName name="IQ_TREASURY_STOCK_TRANSACTIONS_FDIC" hidden="1">"c6501"</definedName>
    <definedName name="IQ_TREASURY_STOCK_TRANSACTIONS_FFIEC" hidden="1">"c15352"</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ANKS_OTHER_INST_FOREIGN_DEP_FFIEC" hidden="1">"c15343"</definedName>
    <definedName name="IQ_US_BRANCHES_FOREIGN_BANK_LOANS_FDIC" hidden="1">"c6435"</definedName>
    <definedName name="IQ_US_BRANCHES_FOREIGN_BANKS_FDIC" hidden="1">"c6390"</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TREASURY_SECURITIES_FDIC" hidden="1">"c6298"</definedName>
    <definedName name="IQ_UST_SEC_GOVT_AGENCY_CORP_QUARTERLY_AVG_FFIEC" hidden="1">"c15469"</definedName>
    <definedName name="IQ_UST_SECURITIES_GOVT_AGENCY_QUARTERLY_AVG_FFIEC" hidden="1">"c15468"</definedName>
    <definedName name="IQ_VALUATION_ALLOWANCES_FDIC" hidden="1">"c6400"</definedName>
    <definedName name="IQ_VC_REVENUE_FDIC" hidden="1">"c6667"</definedName>
    <definedName name="IQ_VEHICLE_LOANS" hidden="1">"c15249"</definedName>
    <definedName name="IQ_VOLATILE_LIABILITIES_FDIC" hidden="1">"c6364"</definedName>
    <definedName name="IQ_WEEK" hidden="1">50000</definedName>
    <definedName name="IQ_WRITTEN_OPTION_CONTRACTS_FDIC" hidden="1">"c6509"</definedName>
    <definedName name="IQ_WRITTEN_OPTION_CONTRACTS_FX_RISK_FDIC" hidden="1">"c6514"</definedName>
    <definedName name="IQ_WRITTEN_OPTION_CONTRACTS_NON_FX_IR_FDIC" hidden="1">"c6519"</definedName>
    <definedName name="IQ_YTD" hidden="1">3000</definedName>
    <definedName name="IQ_YTDMONTH" hidden="1">130000</definedName>
    <definedName name="IQRA1" hidden="1">"$A$2"</definedName>
    <definedName name="IQRA2" hidden="1">"$A$3"</definedName>
    <definedName name="IQRA5" hidden="1">"$A$6:$A$43"</definedName>
    <definedName name="IQRA6" hidden="1">"$A$7:$A$44"</definedName>
    <definedName name="IQRA8" localSheetId="0" hidden="1">"$A$9:$A$260"</definedName>
    <definedName name="IQRAF17" hidden="1">"$AF$18:$AF$265"</definedName>
    <definedName name="IQRAG14" hidden="1">"$AG$15:$AG$262"</definedName>
    <definedName name="IQRAG17" hidden="1">"$AG$18:$AG$265"</definedName>
    <definedName name="IQRAG21" hidden="1">"$AG$22:$AG$269"</definedName>
    <definedName name="IQRAG25" hidden="1">"$AG$26:$AG$273"</definedName>
    <definedName name="IQRAG26" hidden="1">"$AG$27:$AG$274"</definedName>
    <definedName name="IQRAG27" hidden="1">"$AG$28:$AG$275"</definedName>
    <definedName name="IQRAG28" hidden="1">"$AG$29:$AG$276"</definedName>
    <definedName name="IQRAG29" hidden="1">"$AG$30:$AG$277"</definedName>
    <definedName name="IQRAG33" hidden="1">"$AG$34:$AG$281"</definedName>
    <definedName name="IQRAG35" hidden="1">"$AG$36:$AG$283"</definedName>
    <definedName name="IQRAG37" hidden="1">"$AG$38:$AG$285"</definedName>
    <definedName name="IQRAH35" hidden="1">"$AH$36:$AH$283"</definedName>
    <definedName name="IQRAN34" hidden="1">"$AN$35:$AN$286"</definedName>
    <definedName name="IQRAN35" localSheetId="0" hidden="1">"$AN$36:$AN$201"</definedName>
    <definedName name="IQRAP282" hidden="1">"$AP$283:$AP$531"</definedName>
    <definedName name="IQRB1" hidden="1">"$B$2:$B$11"</definedName>
    <definedName name="IQRB10" hidden="1">"$B$11:$B$4090"</definedName>
    <definedName name="IQRB12" hidden="1">"$B$13:$B$4093"</definedName>
    <definedName name="IQRB2" hidden="1">"$B$3:$B$12"</definedName>
    <definedName name="IQRB5" localSheetId="0" hidden="1">"$B$6:$B$43"</definedName>
    <definedName name="IQRB6" hidden="1">"$B$7:$B$44"</definedName>
    <definedName name="IQRB60" hidden="1">"$B$61:$B$426"</definedName>
    <definedName name="IQRB8" hidden="1">"$B$9:$B$260"</definedName>
    <definedName name="IQRC1" hidden="1">"$C$2:$C$11"</definedName>
    <definedName name="IQRC5" hidden="1">"$C$6:$C$43"</definedName>
    <definedName name="IQRC6" hidden="1">"$C$7:$C$44"</definedName>
    <definedName name="IQRC8" hidden="1">"$C$9:$C$260"</definedName>
    <definedName name="IQRCoverAG35" hidden="1">#REF!</definedName>
    <definedName name="IQRCoverAN35" localSheetId="0" hidden="1">#REF!</definedName>
    <definedName name="IQRCoverAX35" hidden="1">#REF!</definedName>
    <definedName name="IQRD5" hidden="1">"$D$6:$D$43"</definedName>
    <definedName name="IQRD6" hidden="1">"$D$7:$D$44"</definedName>
    <definedName name="IQRE11" hidden="1">"$E$12:$E$3225"</definedName>
    <definedName name="IQRE5" hidden="1">"$E$6:$E$43"</definedName>
    <definedName name="IQRE6" hidden="1">"$E$7:$E$44"</definedName>
    <definedName name="IQREPSNumbersF15" hidden="1">#REF!</definedName>
    <definedName name="IQRF12" hidden="1">"$F$13:$F$3226"</definedName>
    <definedName name="IQRG12" hidden="1">"$G$13:$G$3226"</definedName>
    <definedName name="IQRL2" hidden="1">"$L$3:$L$21"</definedName>
    <definedName name="IQRL3" hidden="1">"$L$4:$L$22"</definedName>
    <definedName name="IQRL4" hidden="1">"$L$5:$L$23"</definedName>
    <definedName name="IQRL5" hidden="1">"$L$6:$L$24"</definedName>
    <definedName name="IQRL6" hidden="1">"$L$7:$L$25"</definedName>
    <definedName name="IQRP12" hidden="1">"$P$13:$P$4093"</definedName>
    <definedName name="IQRP16" hidden="1">"$P$17:$P$4099"</definedName>
    <definedName name="IQRU12" hidden="1">"$U$13:$U$3227"</definedName>
    <definedName name="IQRU16" hidden="1">"$U$17:$U$3233"</definedName>
    <definedName name="IS">#REF!</definedName>
    <definedName name="istrk1">#REF!</definedName>
    <definedName name="istrk2">#REF!</definedName>
    <definedName name="istrk3">#REF!</definedName>
    <definedName name="istrk4">#REF!</definedName>
    <definedName name="ItalySCurve">#REF!</definedName>
    <definedName name="J">#REF!</definedName>
    <definedName name="japan">#REF!</definedName>
    <definedName name="K">#REF!</definedName>
    <definedName name="KIKOCAR1">#REF!</definedName>
    <definedName name="KIKOCAR2">#REF!</definedName>
    <definedName name="KIKOCAR3">#REF!</definedName>
    <definedName name="KIKOCAR4">#REF!</definedName>
    <definedName name="KIKOTRK1">#REF!</definedName>
    <definedName name="KIKOTRK2">#REF!</definedName>
    <definedName name="KIKOTRK3">#REF!</definedName>
    <definedName name="KIKOTRK4">#REF!</definedName>
    <definedName name="korea">#REF!</definedName>
    <definedName name="L_MO">#REF!</definedName>
    <definedName name="lamb">#REF!</definedName>
    <definedName name="last">#REF!</definedName>
    <definedName name="LG">#REF!</definedName>
    <definedName name="LG_1">#REF!</definedName>
    <definedName name="limcount" hidden="1">1</definedName>
    <definedName name="list">#REF!</definedName>
    <definedName name="ListOfApps">#REF!</definedName>
    <definedName name="ListOfCalcs">#REF!</definedName>
    <definedName name="lla">#REF!</definedName>
    <definedName name="llla">#REF!</definedName>
    <definedName name="LNUSCAR1">#REF!</definedName>
    <definedName name="LNUSCAR2">#REF!</definedName>
    <definedName name="LNUSCAR3">#REF!</definedName>
    <definedName name="LNUSCAR4">#REF!</definedName>
    <definedName name="LNUSTRK1">#REF!</definedName>
    <definedName name="LNUSTRK2">#REF!</definedName>
    <definedName name="LNUSTRK3">#REF!</definedName>
    <definedName name="LNUSTRK4">#REF!</definedName>
    <definedName name="Log">#REF!</definedName>
    <definedName name="Long_term_creditors">#REF!</definedName>
    <definedName name="LookupGartnerXrates">#REF!</definedName>
    <definedName name="Low_Sub1">#REF!</definedName>
    <definedName name="lrglmth">#REF!</definedName>
    <definedName name="lrglytd">#REF!</definedName>
    <definedName name="lrgmth">#REF!</definedName>
    <definedName name="lrgytd">#REF!</definedName>
    <definedName name="lstyrmo">#REF!</definedName>
    <definedName name="LUTableNames">#REF!</definedName>
    <definedName name="LUXLMTH">#REF!</definedName>
    <definedName name="LUXLYTD">#REF!</definedName>
    <definedName name="LUXMTH">#REF!</definedName>
    <definedName name="LUXYTD">#REF!</definedName>
    <definedName name="LXJPCAR1">#REF!</definedName>
    <definedName name="LXJPCAR2">#REF!</definedName>
    <definedName name="LXJPCAR3">#REF!</definedName>
    <definedName name="LXJPCAR4">#REF!</definedName>
    <definedName name="LXJPTRK1">#REF!</definedName>
    <definedName name="LXJPTRK2">#REF!</definedName>
    <definedName name="LXJPTRK3">#REF!</definedName>
    <definedName name="LXJPTRK4">#REF!</definedName>
    <definedName name="lxpu1">#REF!</definedName>
    <definedName name="lxpu2">#REF!</definedName>
    <definedName name="lxpu3">#REF!</definedName>
    <definedName name="lxpu4">#REF!</definedName>
    <definedName name="lxsu1">#REF!</definedName>
    <definedName name="lxsu2">#REF!</definedName>
    <definedName name="lxsu3">#REF!</definedName>
    <definedName name="lxsu4">#REF!</definedName>
    <definedName name="Macro12">#N/A</definedName>
    <definedName name="Macro3">#N/A</definedName>
    <definedName name="Macrotwelve">#N/A</definedName>
    <definedName name="malaysia">#REF!</definedName>
    <definedName name="MarketPremium">#REF!</definedName>
    <definedName name="MarketValueOfEquity">#REF!</definedName>
    <definedName name="MarketValueOfNetDebt">#REF!</definedName>
    <definedName name="MBUSTRK1">#REF!</definedName>
    <definedName name="MBUSTRK2">#REF!</definedName>
    <definedName name="MBUSTRK3">#REF!</definedName>
    <definedName name="MBUSTRK4">#REF!</definedName>
    <definedName name="MBWGCAR1">#REF!</definedName>
    <definedName name="MBWGCAR2">#REF!</definedName>
    <definedName name="MBWGCAR3">#REF!</definedName>
    <definedName name="MBWGCAR4">#REF!</definedName>
    <definedName name="MD">#REF!</definedName>
    <definedName name="MDLLMTH">#REF!</definedName>
    <definedName name="MDLLYTD">#REF!</definedName>
    <definedName name="MDLMTH">#REF!</definedName>
    <definedName name="MDLYTD">#REF!</definedName>
    <definedName name="menu">#REF!</definedName>
    <definedName name="MIJPTRK1">#REF!</definedName>
    <definedName name="MIJPTRK2">#REF!</definedName>
    <definedName name="MIJPTRK3">#REF!</definedName>
    <definedName name="MIJPTRK4">#REF!</definedName>
    <definedName name="Minorities">#REF!</definedName>
    <definedName name="Minorities2">#REF!</definedName>
    <definedName name="Minorities3">#REF!</definedName>
    <definedName name="mkt">#REF!</definedName>
    <definedName name="MN_ADALL">#REF!</definedName>
    <definedName name="mn_admls">#REF!</definedName>
    <definedName name="MN_CORP">#REF!</definedName>
    <definedName name="MN_CORPB">#REF!</definedName>
    <definedName name="MN_DIV">#REF!</definedName>
    <definedName name="MN_INVNT">#REF!</definedName>
    <definedName name="MN_SALDS">#REF!</definedName>
    <definedName name="mn_share">#REF!</definedName>
    <definedName name="mn_t_mfg">#REF!</definedName>
    <definedName name="mn_ttype">#REF!</definedName>
    <definedName name="MNEM">#REF!</definedName>
    <definedName name="mode">#REF!</definedName>
    <definedName name="Module1.cagr">#REF!</definedName>
    <definedName name="Module2.cagr">#REF!</definedName>
    <definedName name="month">#REF!</definedName>
    <definedName name="mot_1">#REF!</definedName>
    <definedName name="mrktcos">#REF!</definedName>
    <definedName name="mrktretrv">#REF!</definedName>
    <definedName name="MRUSCAR1">#REF!</definedName>
    <definedName name="MRUSCAR2">#REF!</definedName>
    <definedName name="MRUSCAR3">#REF!</definedName>
    <definedName name="MRUSCAR4">#REF!</definedName>
    <definedName name="MRUSTRK1">#REF!</definedName>
    <definedName name="MRUSTRK2">#REF!</definedName>
    <definedName name="MRUSTRK3">#REF!</definedName>
    <definedName name="MRUSTRK4">#REF!</definedName>
    <definedName name="MS_DSINV">#REF!</definedName>
    <definedName name="MSMShare">#REF!</definedName>
    <definedName name="MZCAR1">#REF!</definedName>
    <definedName name="MZCAR2">#REF!</definedName>
    <definedName name="MZCAR3">#REF!</definedName>
    <definedName name="MZCAR4">#REF!</definedName>
    <definedName name="MZTRK1">#REF!</definedName>
    <definedName name="MZTRK2">#REF!</definedName>
    <definedName name="MZTRK3">#REF!</definedName>
    <definedName name="MZTRK4">#REF!</definedName>
    <definedName name="NA_APL">#REF!</definedName>
    <definedName name="NA_BASE_TECH_LIST">#REF!</definedName>
    <definedName name="NA_BASECELL">#REF!</definedName>
    <definedName name="NA_FILTER_TECH_LIST">#REF!</definedName>
    <definedName name="NA_JPN">#REF!</definedName>
    <definedName name="NA_LGE">#REF!</definedName>
    <definedName name="NA_MOT">#REF!</definedName>
    <definedName name="NA_NOK">#REF!</definedName>
    <definedName name="NA_NOM">#REF!</definedName>
    <definedName name="NA_OTH">#REF!</definedName>
    <definedName name="NA_PUB">#REF!</definedName>
    <definedName name="NA_RIM">#REF!</definedName>
    <definedName name="NA_SAM">#REF!</definedName>
    <definedName name="NA_SMC">#REF!</definedName>
    <definedName name="name">#REF!</definedName>
    <definedName name="NAND" localSheetId="0">#REF!</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t_cash_flow_from_operations">#REF!</definedName>
    <definedName name="Net_debt">#REF!</definedName>
    <definedName name="Net_debt_to_debt_plus_equity">#REF!</definedName>
    <definedName name="Net_debt_to_equity">#REF!</definedName>
    <definedName name="Net_fixed_assets">#REF!</definedName>
    <definedName name="Net_Income_Adj_Earnings_PreAbnormal_Goodwill_Amort">#REF!</definedName>
    <definedName name="Net_interest_charge">#REF!</definedName>
    <definedName name="NetCash">#REF!</definedName>
    <definedName name="NetDebt">#REF!</definedName>
    <definedName name="new_name" hidden="1">{#N/A,#N/A,FALSE,"Aging Summary";#N/A,#N/A,FALSE,"Ratio Analysis";#N/A,#N/A,FALSE,"Test 120 Day Accts";#N/A,#N/A,FALSE,"Tickmarks"}</definedName>
    <definedName name="newname">#REF!</definedName>
    <definedName name="NICAR1">#REF!</definedName>
    <definedName name="NICAR2">#REF!</definedName>
    <definedName name="NICAR3">#REF!</definedName>
    <definedName name="NICAR4">#REF!</definedName>
    <definedName name="nijptrk1">#REF!</definedName>
    <definedName name="nijptrk2">#REF!</definedName>
    <definedName name="nijptrk3">#REF!</definedName>
    <definedName name="nijptrk4">#REF!</definedName>
    <definedName name="NITRK1">#REF!</definedName>
    <definedName name="NITRK2">#REF!</definedName>
    <definedName name="NITRK3">#REF!</definedName>
    <definedName name="NITRK4">#REF!</definedName>
    <definedName name="nok_1">#REF!</definedName>
    <definedName name="Nokia_1">#REF!</definedName>
    <definedName name="NOKNA">#REF!</definedName>
    <definedName name="Non_operating_costs_and_corporate">#REF!</definedName>
    <definedName name="NOR" localSheetId="0">#REF!</definedName>
    <definedName name="note">#REF!</definedName>
    <definedName name="notes">#REF!</definedName>
    <definedName name="now">#REF!</definedName>
    <definedName name="Num_Rank">#REF!</definedName>
    <definedName name="NxtQtr">#REF!</definedName>
    <definedName name="nz">#REF!</definedName>
    <definedName name="oluscar">#REF!</definedName>
    <definedName name="OLUSCAR1">#REF!</definedName>
    <definedName name="OLUSCAR2">#REF!</definedName>
    <definedName name="OLUSCAR3">#REF!</definedName>
    <definedName name="OLUSCAR4">#REF!</definedName>
    <definedName name="olustrk">#REF!</definedName>
    <definedName name="OLUSTRK1">#REF!</definedName>
    <definedName name="OLUSTRK2">#REF!</definedName>
    <definedName name="OLUSTRK3">#REF!</definedName>
    <definedName name="OLUSTRK4">#REF!</definedName>
    <definedName name="ONE">#REF!</definedName>
    <definedName name="ONEFIVE">#REF!</definedName>
    <definedName name="ONEFOUR">#REF!</definedName>
    <definedName name="ONESEVEN">#REF!</definedName>
    <definedName name="ONESIX">#REF!</definedName>
    <definedName name="ooo">#REF!</definedName>
    <definedName name="Operating_profit">#REF!</definedName>
    <definedName name="OptionsExercisable">#REF!</definedName>
    <definedName name="OptionsSchedule">#REF!</definedName>
    <definedName name="Ordinary_shareholders_funds">#REF!</definedName>
    <definedName name="Other_items">#REF!</definedName>
    <definedName name="Other_items2">#REF!</definedName>
    <definedName name="Other_operating_profit">#REF!</definedName>
    <definedName name="Output">#REF!</definedName>
    <definedName name="p" localSheetId="0" hidden="1">{"subs",#N/A,FALSE,"database ";"proportional",#N/A,FALSE,"database "}</definedName>
    <definedName name="Page_0026">#N/A</definedName>
    <definedName name="Page_0027">#N/A</definedName>
    <definedName name="paste">#REF!</definedName>
    <definedName name="Payout_ratio_on_underlying">#REF!</definedName>
    <definedName name="PE">#REF!</definedName>
    <definedName name="percent">#REF!</definedName>
    <definedName name="PercentAtOrBelowCurrentStockPrice">#REF!</definedName>
    <definedName name="PercentOptionsExercised">#REF!</definedName>
    <definedName name="philippines">#REF!</definedName>
    <definedName name="pomxcar">#REF!</definedName>
    <definedName name="post">#REF!</definedName>
    <definedName name="Post_tax_stock_gains_losses">#REF!</definedName>
    <definedName name="pouscar1">#REF!</definedName>
    <definedName name="pouscar2">#REF!</definedName>
    <definedName name="pouscar3">#REF!</definedName>
    <definedName name="pouscar4">#REF!</definedName>
    <definedName name="POUSTRK1">#REF!</definedName>
    <definedName name="POUSTRK2">#REF!</definedName>
    <definedName name="POUSTRK3">#REF!</definedName>
    <definedName name="POUSTRK4">#REF!</definedName>
    <definedName name="PQ">#REF!</definedName>
    <definedName name="prarea2">#REF!</definedName>
    <definedName name="Pre_Tax_Income">#REF!</definedName>
    <definedName name="Preference_shares">#REF!</definedName>
    <definedName name="prel4">#REF!</definedName>
    <definedName name="PreTax_Income_Adj">#REF!</definedName>
    <definedName name="Pretax_profit">#REF!</definedName>
    <definedName name="PreTaxCostOfDebt">#REF!</definedName>
    <definedName name="prevmo">#REF!</definedName>
    <definedName name="Pricedebtcashflow">#REF!</definedName>
    <definedName name="print">#REF!</definedName>
    <definedName name="_xlnm.Print_Area" localSheetId="0">Cover!$A$1:$AC$59</definedName>
    <definedName name="_xlnm.Print_Area">#N/A</definedName>
    <definedName name="Print_Area_MI">#REF!</definedName>
    <definedName name="print_carmfg">#REF!</definedName>
    <definedName name="_xlnm.Print_Titles">#REF!</definedName>
    <definedName name="Print_Titles_MI">#REF!</definedName>
    <definedName name="PRNFILE">#REF!</definedName>
    <definedName name="PROD">#REF!</definedName>
    <definedName name="Prod1">#REF!</definedName>
    <definedName name="prod2">#REF!</definedName>
    <definedName name="prod3">#REF!</definedName>
    <definedName name="Prodsel">#REF!</definedName>
    <definedName name="Prodsel2">#REF!</definedName>
    <definedName name="prodsel3">#REF!</definedName>
    <definedName name="Proj_Int">#REF!</definedName>
    <definedName name="project">#REF!</definedName>
    <definedName name="project_distribution_lrgseg">#REF!</definedName>
    <definedName name="ProjectEnd">#REF!</definedName>
    <definedName name="ProjectStart">#REF!</definedName>
    <definedName name="PropGrwth">#REF!</definedName>
    <definedName name="PRWGCAR1">#REF!</definedName>
    <definedName name="PRWGCAR2">#REF!</definedName>
    <definedName name="PRWGCAR3">#REF!</definedName>
    <definedName name="PRWGCAR4">#REF!</definedName>
    <definedName name="psdata">#REF!</definedName>
    <definedName name="psdate">#REF!</definedName>
    <definedName name="psname">#REF!</definedName>
    <definedName name="PSRAM" localSheetId="0">#REF!</definedName>
    <definedName name="pstick">#REF!</definedName>
    <definedName name="q">#REF!</definedName>
    <definedName name="Q1.2008.03">#REF!</definedName>
    <definedName name="Q1.2009.03">#REF!</definedName>
    <definedName name="Q1.2010.03">#REF!</definedName>
    <definedName name="Q1.2011.03">#REF!</definedName>
    <definedName name="Q2.2008.06">#REF!</definedName>
    <definedName name="Q2.2009.06">#REF!</definedName>
    <definedName name="Q2.2010.06">#REF!</definedName>
    <definedName name="Q2.2011.06">#REF!</definedName>
    <definedName name="Q3.2008.09">#REF!</definedName>
    <definedName name="Q3.2009.09">#REF!</definedName>
    <definedName name="Q3.2010.09">#REF!</definedName>
    <definedName name="Q3.2011.09">#REF!</definedName>
    <definedName name="Q4.2008.12">#REF!</definedName>
    <definedName name="Q4.2009.12">#REF!</definedName>
    <definedName name="Q4.2010.12">#REF!</definedName>
    <definedName name="Q4.2011.12">#REF!</definedName>
    <definedName name="Quarter">#REF!</definedName>
    <definedName name="rank0">#REF!</definedName>
    <definedName name="rank1">#REF!</definedName>
    <definedName name="rank2">#REF!</definedName>
    <definedName name="rank4">#REF!</definedName>
    <definedName name="RankNum">#REF!</definedName>
    <definedName name="ranknum2">#REF!</definedName>
    <definedName name="rankrtrv">#REF!</definedName>
    <definedName name="Rate_Half">#REF!</definedName>
    <definedName name="Rate_Peak">#REF!</definedName>
    <definedName name="Real_earnings">#REF!</definedName>
    <definedName name="Real_earnings_yield">#REF!</definedName>
    <definedName name="RealEstate">#REF!</definedName>
    <definedName name="Refining_marketing_and_trading">#REF!</definedName>
    <definedName name="RefreshRevCalc">#REF!</definedName>
    <definedName name="RefreshSue">#REF!</definedName>
    <definedName name="regchk">#REF!</definedName>
    <definedName name="regco1">#REF!</definedName>
    <definedName name="regco2">#REF!</definedName>
    <definedName name="regco3">#REF!</definedName>
    <definedName name="regco4">#REF!</definedName>
    <definedName name="regco5">#REF!</definedName>
    <definedName name="region_sel">#REF!</definedName>
    <definedName name="regions">#REF!</definedName>
    <definedName name="regsel1">#REF!</definedName>
    <definedName name="regsel2">#REF!</definedName>
    <definedName name="RegSue">#REF!</definedName>
    <definedName name="Report" localSheetId="0" hidden="1">{#N/A,#N/A,FALSE,"Report Print"}</definedName>
    <definedName name="Reported_Net_Income">#REF!</definedName>
    <definedName name="reportonly">#REF!</definedName>
    <definedName name="ReportPage1" hidden="1">{"Annual_Income",#N/A,FALSE,"Report Page";"Balance_Cash_Flow",#N/A,FALSE,"Report Page";"Quarterly_Income",#N/A,FALSE,"Report Page"}</definedName>
    <definedName name="rev_ramp_aug">#REF!</definedName>
    <definedName name="rev_ramp_nov">#REF!</definedName>
    <definedName name="Revenue">#REF!</definedName>
    <definedName name="revramp_aug">#REF!</definedName>
    <definedName name="revramp_nov">#REF!</definedName>
    <definedName name="rim">#REF!</definedName>
    <definedName name="RiskFreeRate">#REF!</definedName>
    <definedName name="rng_chart_data">OFFSET(#REF!,#REF!-1,0,1)</definedName>
    <definedName name="rng_chart_labels">#REF!</definedName>
    <definedName name="rng_currency_index">#REF!</definedName>
    <definedName name="rng_currency_name">#REF!</definedName>
    <definedName name="rngPlotBy">#REF!</definedName>
    <definedName name="rnkchk">#REF!</definedName>
    <definedName name="rnkform">#REF!</definedName>
    <definedName name="rnknum">#REF!</definedName>
    <definedName name="rnkyrs">#REF!</definedName>
    <definedName name="ROACE">#REF!</definedName>
    <definedName name="ROAE">#REF!</definedName>
    <definedName name="ROW_APL">#REF!</definedName>
    <definedName name="ROW_BASE_TECH_LIST">#REF!</definedName>
    <definedName name="ROW_BASECELL">#REF!</definedName>
    <definedName name="ROW_JPN">#REF!</definedName>
    <definedName name="ROW_LGE">#REF!</definedName>
    <definedName name="ROW_MOT">#REF!</definedName>
    <definedName name="ROW_NOK">#REF!</definedName>
    <definedName name="ROW_NOM">#REF!</definedName>
    <definedName name="ROW_OTH">#REF!</definedName>
    <definedName name="ROW_PUB">#REF!</definedName>
    <definedName name="ROW_RIM">#REF!</definedName>
    <definedName name="ROW_SAM">#REF!</definedName>
    <definedName name="ROW_SMC">#REF!</definedName>
    <definedName name="RoyaltyShare">#REF!</definedName>
    <definedName name="RPT_ORDER">#REF!</definedName>
    <definedName name="RptDate">#REF!</definedName>
    <definedName name="rr">#REF!</definedName>
    <definedName name="rsfhfgh" hidden="1">{"print 1",#N/A,FALSE,"PrimeCo PCS";"print 2",#N/A,FALSE,"PrimeCo PCS";"valuation",#N/A,FALSE,"PrimeCo PCS"}</definedName>
    <definedName name="rv_20">#REF!</definedName>
    <definedName name="rv_brand">#REF!</definedName>
    <definedName name="rv_carm">#REF!</definedName>
    <definedName name="rv_cars">#REF!</definedName>
    <definedName name="rv_corp">#REF!</definedName>
    <definedName name="rv_corpb">#REF!</definedName>
    <definedName name="rv_det">#REF!</definedName>
    <definedName name="rv_ind">#REF!</definedName>
    <definedName name="rv_trk">#REF!</definedName>
    <definedName name="rv_trkm">#REF!</definedName>
    <definedName name="s" localSheetId="0" hidden="1">{#N/A,#N/A,FALSE,"Report Print"}</definedName>
    <definedName name="sadfasvvv">#REF!</definedName>
    <definedName name="sales1">#REF!</definedName>
    <definedName name="sales10">#REF!</definedName>
    <definedName name="sales11">#REF!</definedName>
    <definedName name="sales12">#REF!</definedName>
    <definedName name="sales13">#REF!</definedName>
    <definedName name="sales14">#REF!</definedName>
    <definedName name="sales2">#REF!</definedName>
    <definedName name="sales3">#REF!</definedName>
    <definedName name="sales4">#REF!</definedName>
    <definedName name="sales5">#REF!</definedName>
    <definedName name="sales6">#REF!</definedName>
    <definedName name="sales7">#REF!</definedName>
    <definedName name="sales8">#REF!</definedName>
    <definedName name="sales9">#REF!</definedName>
    <definedName name="SalesProjections2001To2006">#REF!</definedName>
    <definedName name="sam_1">#REF!</definedName>
    <definedName name="sanyo">#REF!</definedName>
    <definedName name="SASNCAR1">#REF!</definedName>
    <definedName name="SASNCAR2">#REF!</definedName>
    <definedName name="SASNCAR3">#REF!</definedName>
    <definedName name="SASNCAR4">#REF!</definedName>
    <definedName name="satrk1">#REF!</definedName>
    <definedName name="satrk2">#REF!</definedName>
    <definedName name="satrk3">#REF!</definedName>
    <definedName name="satrk4">#REF!</definedName>
    <definedName name="SaveRev">#REF!</definedName>
    <definedName name="SaveSue">#REF!</definedName>
    <definedName name="Schroder_exceptionals">#REF!</definedName>
    <definedName name="sdd" hidden="1">#REF!</definedName>
    <definedName name="sdf">#REF!</definedName>
    <definedName name="sdfdsf">#REF!</definedName>
    <definedName name="sdfs" hidden="1">{"Annual_Income",#N/A,FALSE,"Report Page";"Balance_Cash_Flow",#N/A,FALSE,"Report Page";"Quarterly_Income",#N/A,FALSE,"Report Page"}</definedName>
    <definedName name="SEG">#REF!</definedName>
    <definedName name="segtot">#REF!</definedName>
    <definedName name="SelectedApp">#REF!</definedName>
    <definedName name="SelectedProds">#REF!</definedName>
    <definedName name="semc_1">#REF!</definedName>
    <definedName name="sencount" hidden="1">5</definedName>
    <definedName name="sencount2" hidden="1">2</definedName>
    <definedName name="sfdhrt" hidden="1">{"Annual_Income",#N/A,FALSE,"Report Page";"Balance_Cash_Flow",#N/A,FALSE,"Report Page";"Quarterly_Income",#N/A,FALSE,"Report Page"}</definedName>
    <definedName name="sfhgdh" hidden="1">{"Annual_Income",#N/A,FALSE,"Master Model";"Quarterly_Income",#N/A,FALSE,"Master Model"}</definedName>
    <definedName name="SFSM">#REF!</definedName>
    <definedName name="sh">#REF!</definedName>
    <definedName name="SHAP00">#REF!</definedName>
    <definedName name="SHAP01">#REF!</definedName>
    <definedName name="SHAP96">#REF!</definedName>
    <definedName name="SHAP97">#REF!</definedName>
    <definedName name="SHAP98">#REF!</definedName>
    <definedName name="SHAP99">#REF!</definedName>
    <definedName name="SharesOutstanding">#REF!</definedName>
    <definedName name="SharesOutstandingSensitivityTable">#REF!</definedName>
    <definedName name="sharp">#REF!</definedName>
    <definedName name="SHAS01">#REF!</definedName>
    <definedName name="SHDATABLK">#REF!</definedName>
    <definedName name="shi">#REF!</definedName>
    <definedName name="SHINV">#REF!</definedName>
    <definedName name="Short_term_liabilities">#REF!</definedName>
    <definedName name="ShortTerm" localSheetId="0">#REF!</definedName>
    <definedName name="ShowPEData" localSheetId="1">#REF!</definedName>
    <definedName name="ShowPEData">#REF!</definedName>
    <definedName name="ShowRevData" localSheetId="1">#REF!</definedName>
    <definedName name="ShowRevData">#REF!</definedName>
    <definedName name="shs">#REF!</definedName>
    <definedName name="SHSAL">#REF!</definedName>
    <definedName name="singapore">#REF!</definedName>
    <definedName name="SIVP98">#REF!</definedName>
    <definedName name="sls">#REF!</definedName>
    <definedName name="slsa">#REF!</definedName>
    <definedName name="SMLLMTH">#REF!</definedName>
    <definedName name="SMLLYTD">#REF!</definedName>
    <definedName name="SMLMTH">#REF!</definedName>
    <definedName name="SMLYTD">#REF!</definedName>
    <definedName name="sntrk1">#REF!</definedName>
    <definedName name="sntrk2">#REF!</definedName>
    <definedName name="sntrk3">#REF!</definedName>
    <definedName name="sntrk4">#REF!</definedName>
    <definedName name="SNUSCAR1">#REF!</definedName>
    <definedName name="SNUSCAR2">#REF!</definedName>
    <definedName name="SNUSCAR3">#REF!</definedName>
    <definedName name="SNUSCAR4">#REF!</definedName>
    <definedName name="solver_adj" hidden="1">#REF!</definedName>
    <definedName name="solver_lin" hidden="1">0</definedName>
    <definedName name="solver_ntri" hidden="1">1000</definedName>
    <definedName name="solver_num" hidden="1">0</definedName>
    <definedName name="solver_opt" hidden="1">#REF!</definedName>
    <definedName name="solver_rsmp" hidden="1">1</definedName>
    <definedName name="solver_seed" hidden="1">0</definedName>
    <definedName name="solver_typ" hidden="1">3</definedName>
    <definedName name="solver_val" hidden="1">49</definedName>
    <definedName name="sort" localSheetId="0">#REF!</definedName>
    <definedName name="SpainSCurve">#REF!</definedName>
    <definedName name="spanners_level1">#REF!</definedName>
    <definedName name="spanners_level2">#REF!</definedName>
    <definedName name="spanners_level3">#REF!</definedName>
    <definedName name="spanners_level4">#REF!</definedName>
    <definedName name="spanners_level5">#REF!</definedName>
    <definedName name="spanners_levelV">#REF!</definedName>
    <definedName name="spanners_levelX">#REF!</definedName>
    <definedName name="spanners_levelY">#REF!</definedName>
    <definedName name="spanners_levelZ">#REF!</definedName>
    <definedName name="SRAM" localSheetId="0">#REF!</definedName>
    <definedName name="ss">#REF!</definedName>
    <definedName name="ssasd" hidden="1">#REF!</definedName>
    <definedName name="sss">#REF!</definedName>
    <definedName name="Start_Year">#REF!</definedName>
    <definedName name="start1">#REF!</definedName>
    <definedName name="start10">#REF!</definedName>
    <definedName name="start11">#REF!</definedName>
    <definedName name="start12">#REF!</definedName>
    <definedName name="start13">#REF!</definedName>
    <definedName name="start14">#REF!</definedName>
    <definedName name="start2">#REF!</definedName>
    <definedName name="start3">#REF!</definedName>
    <definedName name="start4">#REF!</definedName>
    <definedName name="start5">#REF!</definedName>
    <definedName name="start6">#REF!</definedName>
    <definedName name="start7">#REF!</definedName>
    <definedName name="start8">#REF!</definedName>
    <definedName name="start9">#REF!</definedName>
    <definedName name="StartPeriod">#REF!</definedName>
    <definedName name="StartYear">#REF!</definedName>
    <definedName name="StockName">#REF!</definedName>
    <definedName name="StockPricewOpt">#REF!</definedName>
    <definedName name="stub_lines">#REF!</definedName>
    <definedName name="SUCAR1">#REF!</definedName>
    <definedName name="SUCAR2">#REF!</definedName>
    <definedName name="SUCAR3">#REF!</definedName>
    <definedName name="SUCAR4">#REF!</definedName>
    <definedName name="sujpfor">#REF!</definedName>
    <definedName name="sumcell1">#REF!</definedName>
    <definedName name="sumcell2">#REF!</definedName>
    <definedName name="summary">#REF!</definedName>
    <definedName name="Surplus_deficit">#REF!</definedName>
    <definedName name="sutrk1">#REF!</definedName>
    <definedName name="sutrk2">#REF!</definedName>
    <definedName name="sutrk3">#REF!</definedName>
    <definedName name="sutrk4">#REF!</definedName>
    <definedName name="SUUSCAR1">#REF!</definedName>
    <definedName name="SUUSCAR2">#REF!</definedName>
    <definedName name="SUUSCAR3">#REF!</definedName>
    <definedName name="SUUSCAR4">#REF!</definedName>
    <definedName name="Systems" localSheetId="0">#REF!</definedName>
    <definedName name="SZCAR1">#REF!</definedName>
    <definedName name="SZCAR2">#REF!</definedName>
    <definedName name="SZCAR3">#REF!</definedName>
    <definedName name="SZCAR4">#REF!</definedName>
    <definedName name="SZTRK1">#REF!</definedName>
    <definedName name="SZTRK2">#REF!</definedName>
    <definedName name="SZTRK3">#REF!</definedName>
    <definedName name="SZTRK4">#REF!</definedName>
    <definedName name="TABLE">#REF!</definedName>
    <definedName name="Table_1">#REF!</definedName>
    <definedName name="Table_1_6">#REF!</definedName>
    <definedName name="Table_1_7">#REF!</definedName>
    <definedName name="TABLE_10">#REF!</definedName>
    <definedName name="TABLE_11">#REF!</definedName>
    <definedName name="TABLE_12">#REF!</definedName>
    <definedName name="TABLE_13">#REF!</definedName>
    <definedName name="TABLE_14">#REF!</definedName>
    <definedName name="TABLE_15">#REF!</definedName>
    <definedName name="TABLE_16">#REF!</definedName>
    <definedName name="TABLE_17">#REF!</definedName>
    <definedName name="TABLE_18">#REF!</definedName>
    <definedName name="TABLE_19">#REF!</definedName>
    <definedName name="Table_2">#REF!</definedName>
    <definedName name="Table_2_1" localSheetId="0">#REF!</definedName>
    <definedName name="Table_2_10" localSheetId="0">#REF!</definedName>
    <definedName name="Table_2_2" localSheetId="0">#REF!</definedName>
    <definedName name="Table_2_3" localSheetId="0">#REF!</definedName>
    <definedName name="Table_2_4" localSheetId="0">#REF!</definedName>
    <definedName name="Table_2_5" localSheetId="0">#REF!</definedName>
    <definedName name="Table_2_6" localSheetId="0">#REF!</definedName>
    <definedName name="Table_2_7" localSheetId="0">#REF!</definedName>
    <definedName name="Table_2_8" localSheetId="0">#REF!</definedName>
    <definedName name="Table_2_9" localSheetId="0">#REF!</definedName>
    <definedName name="TABLE_20">#REF!</definedName>
    <definedName name="TABLE_21">#REF!</definedName>
    <definedName name="TABLE_22">#REF!</definedName>
    <definedName name="TABLE_23">#REF!</definedName>
    <definedName name="TABLE_24">#REF!</definedName>
    <definedName name="TABLE_25">#REF!</definedName>
    <definedName name="TABLE_26">#REF!</definedName>
    <definedName name="TABLE_27">#REF!</definedName>
    <definedName name="TABLE_28">#REF!</definedName>
    <definedName name="TABLE_29">#REF!</definedName>
    <definedName name="Table_3">#REF!</definedName>
    <definedName name="Table_3_6" localSheetId="0">#REF!</definedName>
    <definedName name="Table_3_7" localSheetId="0">#REF!</definedName>
    <definedName name="TABLE_30">#REF!</definedName>
    <definedName name="TABLE_31">#REF!</definedName>
    <definedName name="TABLE_32">#REF!</definedName>
    <definedName name="TABLE_33">#REF!</definedName>
    <definedName name="TABLE_34">#REF!</definedName>
    <definedName name="TABLE_35">#REF!</definedName>
    <definedName name="TABLE_36">#REF!</definedName>
    <definedName name="TABLE_37">#REF!</definedName>
    <definedName name="TABLE_38">#REF!</definedName>
    <definedName name="TABLE_39">#REF!</definedName>
    <definedName name="Table_4">#REF!</definedName>
    <definedName name="TABLE_40">#REF!</definedName>
    <definedName name="TABLE_41">#REF!</definedName>
    <definedName name="TABLE_42">#REF!</definedName>
    <definedName name="TABLE_43">#REF!</definedName>
    <definedName name="TABLE_44">#REF!</definedName>
    <definedName name="TABLE_45">#REF!</definedName>
    <definedName name="TABLE_46">#REF!</definedName>
    <definedName name="TABLE_47">#REF!</definedName>
    <definedName name="TABLE_48">#REF!</definedName>
    <definedName name="TABLE_49">#REF!</definedName>
    <definedName name="Table_5">#REF!</definedName>
    <definedName name="TABLE_50">#REF!</definedName>
    <definedName name="TABLE_51">#REF!</definedName>
    <definedName name="TABLE_52">#REF!</definedName>
    <definedName name="TABLE_53">#REF!</definedName>
    <definedName name="TABLE_54">#REF!</definedName>
    <definedName name="TABLE_55">#REF!</definedName>
    <definedName name="TABLE_56">#REF!</definedName>
    <definedName name="TABLE_57">#REF!</definedName>
    <definedName name="TABLE_58">#REF!</definedName>
    <definedName name="TABLE_59">#REF!</definedName>
    <definedName name="TABLE_6">#REF!</definedName>
    <definedName name="TABLE_60">#REF!</definedName>
    <definedName name="TABLE_61">#REF!</definedName>
    <definedName name="TABLE_62">#REF!</definedName>
    <definedName name="TABLE_7">#REF!</definedName>
    <definedName name="TABLE_8">#REF!</definedName>
    <definedName name="TABLE_9">#REF!</definedName>
    <definedName name="TableBS">#REF!</definedName>
    <definedName name="TableBSA">#REF!</definedName>
    <definedName name="TableCF">#REF!</definedName>
    <definedName name="TableContents">#REF!</definedName>
    <definedName name="TableE">#REF!</definedName>
    <definedName name="TableFCF">#REF!</definedName>
    <definedName name="tablenum">#REF!</definedName>
    <definedName name="tablenum2">#REF!</definedName>
    <definedName name="tablet2">#REF!</definedName>
    <definedName name="taiwan">#REF!</definedName>
    <definedName name="TargetDebtToTotalCapitalization">#REF!</definedName>
    <definedName name="TargetGM">#REF!</definedName>
    <definedName name="TargetHandsetMarketShares">#REF!</definedName>
    <definedName name="TargetHandsetRevenues">#REF!</definedName>
    <definedName name="TargetInfraMarketShares">#REF!</definedName>
    <definedName name="TargetInfraRevenues">#REF!</definedName>
    <definedName name="Tax_Rate">#REF!</definedName>
    <definedName name="Taxation">#REF!</definedName>
    <definedName name="TaxRate">#REF!</definedName>
    <definedName name="tble">#REF!</definedName>
    <definedName name="tbr">#REF!</definedName>
    <definedName name="TCTRK1">#REF!</definedName>
    <definedName name="TCTRK2">#REF!</definedName>
    <definedName name="TCTRK3">#REF!</definedName>
    <definedName name="TCTRK4">#REF!</definedName>
    <definedName name="TCUSMED1">#REF!</definedName>
    <definedName name="TCUSMED2">#REF!</definedName>
    <definedName name="TCUSMED3">#REF!</definedName>
    <definedName name="TCUSMED4">#REF!</definedName>
    <definedName name="TerminalGrowth">#REF!</definedName>
    <definedName name="TerminalGrowthRate">#REF!</definedName>
    <definedName name="test">#REF!</definedName>
    <definedName name="test3">#REF!</definedName>
    <definedName name="TestAdd">"Test RefersTo1"</definedName>
    <definedName name="TestRange">#REF!</definedName>
    <definedName name="thailand">#REF!</definedName>
    <definedName name="then">#REF!</definedName>
    <definedName name="this_quarter">#REF!</definedName>
    <definedName name="thismodel">#REF!</definedName>
    <definedName name="THREE">#REF!</definedName>
    <definedName name="THREEFIVE">#REF!</definedName>
    <definedName name="THREEFOUR">#REF!</definedName>
    <definedName name="THREESEVEN">#REF!</definedName>
    <definedName name="THREESIX">#REF!</definedName>
    <definedName name="ThresholdForEarlyExercise">#REF!</definedName>
    <definedName name="tick">#REF!</definedName>
    <definedName name="tick2">#REF!</definedName>
    <definedName name="ticker">#REF!</definedName>
    <definedName name="TickerCell">#REF!</definedName>
    <definedName name="TimePeriodType">#REF!</definedName>
    <definedName name="Title1">#REF!</definedName>
    <definedName name="titles">#REF!</definedName>
    <definedName name="titnum">#REF!</definedName>
    <definedName name="tk_mfg">#REF!</definedName>
    <definedName name="tk_type">#REF!</definedName>
    <definedName name="to_dssal">#REF!</definedName>
    <definedName name="to_shsal">#REF!</definedName>
    <definedName name="TOLGDOM">#REF!</definedName>
    <definedName name="TOLGIMP">#REF!</definedName>
    <definedName name="TOLLDOM">#REF!</definedName>
    <definedName name="TOLLIMP">#REF!</definedName>
    <definedName name="TOLMDOM">#REF!</definedName>
    <definedName name="TOLMIMP">#REF!</definedName>
    <definedName name="TOLPDOM">#REF!</definedName>
    <definedName name="TOLPIMP">#REF!</definedName>
    <definedName name="TOLTDOM">#REF!</definedName>
    <definedName name="TOLTIMP">#REF!</definedName>
    <definedName name="TOLUDOM">#REF!</definedName>
    <definedName name="TOLUIMP">#REF!</definedName>
    <definedName name="TOLVDOM">#REF!</definedName>
    <definedName name="TOLVIMP">#REF!</definedName>
    <definedName name="TOLWDOM">#REF!</definedName>
    <definedName name="TOLWIMP">#REF!</definedName>
    <definedName name="TOLXDOM">#REF!</definedName>
    <definedName name="TOLXIMP">#REF!</definedName>
    <definedName name="TOMLDOM">#REF!</definedName>
    <definedName name="TOMLIMP">#REF!</definedName>
    <definedName name="TOMSDOM">#REF!</definedName>
    <definedName name="TOMSIMP">#REF!</definedName>
    <definedName name="TOMUDOM">#REF!</definedName>
    <definedName name="TOMUIMP">#REF!</definedName>
    <definedName name="toornk">#REF!</definedName>
    <definedName name="TOP10_SEG">#REF!</definedName>
    <definedName name="TOP20X">#REF!</definedName>
    <definedName name="toptwenty">#REF!</definedName>
    <definedName name="TOSLDOM">#REF!</definedName>
    <definedName name="TOSLIMP">#REF!</definedName>
    <definedName name="TOSPDOM">#REF!</definedName>
    <definedName name="TOSPIMP">#REF!</definedName>
    <definedName name="TOSSDOM">#REF!</definedName>
    <definedName name="TOSSIMP">#REF!</definedName>
    <definedName name="TOSUDOM">#REF!</definedName>
    <definedName name="TOSUIMP">#REF!</definedName>
    <definedName name="TOSVDOM">#REF!</definedName>
    <definedName name="TOSVIMP">#REF!</definedName>
    <definedName name="Total">#REF!</definedName>
    <definedName name="Total_1">#REF!</definedName>
    <definedName name="Total_maintenance_capex">#REF!</definedName>
    <definedName name="Total_provisions">#REF!</definedName>
    <definedName name="total2">#REF!</definedName>
    <definedName name="TotalCap">#REF!</definedName>
    <definedName name="totalmth">#REF!</definedName>
    <definedName name="totals">#REF!</definedName>
    <definedName name="TOULDOM">#REF!</definedName>
    <definedName name="TOULIMP">#REF!</definedName>
    <definedName name="TOUMDOM">#REF!</definedName>
    <definedName name="TOUMIMP">#REF!</definedName>
    <definedName name="TOUSDOM">#REF!</definedName>
    <definedName name="TOUSIMP">#REF!</definedName>
    <definedName name="TOXUDOM">#REF!</definedName>
    <definedName name="TOXUIMP">#REF!</definedName>
    <definedName name="Tracker">#REF!</definedName>
    <definedName name="trk">#REF!</definedName>
    <definedName name="trks_mfg">#REF!</definedName>
    <definedName name="trks_seg">#REF!</definedName>
    <definedName name="TRKSEG">#REF!</definedName>
    <definedName name="trksseg">#REF!</definedName>
    <definedName name="tt">#REF!</definedName>
    <definedName name="ttl">#REF!</definedName>
    <definedName name="ttlly">#REF!</definedName>
    <definedName name="ttllytd">#REF!</definedName>
    <definedName name="ttlytd">#REF!</definedName>
    <definedName name="TWO">#REF!</definedName>
    <definedName name="TWOFIVE">#REF!</definedName>
    <definedName name="TWOFOUR">#REF!</definedName>
    <definedName name="TWOSEVEN">#REF!</definedName>
    <definedName name="TWOSIX">#REF!</definedName>
    <definedName name="TYCAR1">#REF!</definedName>
    <definedName name="TYCAR2">#REF!</definedName>
    <definedName name="TYCAR3">#REF!</definedName>
    <definedName name="TYCAR4">#REF!</definedName>
    <definedName name="TYTRK1">#REF!</definedName>
    <definedName name="TYTRK2">#REF!</definedName>
    <definedName name="TYTRK3">#REF!</definedName>
    <definedName name="TYTRK4">#REF!</definedName>
    <definedName name="UKSCurve">#REF!</definedName>
    <definedName name="unadjust">#REF!</definedName>
    <definedName name="UnitDistributionDatabase">#REF!</definedName>
    <definedName name="UpdatePeriod">#REF!</definedName>
    <definedName name="UpdatePeriodMOYR">#REF!</definedName>
    <definedName name="UpgradesHighEst">#REF!</definedName>
    <definedName name="UpgradesLowEst">#REF!</definedName>
    <definedName name="UPSkW">#REF!</definedName>
    <definedName name="UPSR">#REF!</definedName>
    <definedName name="UPSRM">#REF!</definedName>
    <definedName name="Upstream_maintenance_capex">#REF!</definedName>
    <definedName name="Upstream_production">#REF!</definedName>
    <definedName name="Upstream_reserve_replacement_cost">#REF!</definedName>
    <definedName name="UPSU">#REF!</definedName>
    <definedName name="v">#REF!</definedName>
    <definedName name="vietnam">#REF!</definedName>
    <definedName name="vocar1">#REF!</definedName>
    <definedName name="vocar2">#REF!</definedName>
    <definedName name="vocar3">#REF!</definedName>
    <definedName name="vocar4">#REF!</definedName>
    <definedName name="VolumeCell">#REF!</definedName>
    <definedName name="voo">#REF!</definedName>
    <definedName name="VOSNCAR1">#REF!</definedName>
    <definedName name="VOSNCAR2">#REF!</definedName>
    <definedName name="VOSNCAR3">#REF!</definedName>
    <definedName name="VOSNCAR4">#REF!</definedName>
    <definedName name="votrk1">#REF!</definedName>
    <definedName name="votrk2">#REF!</definedName>
    <definedName name="votrk3">#REF!</definedName>
    <definedName name="votrk4">#REF!</definedName>
    <definedName name="VV">#REF!</definedName>
    <definedName name="VWWG1">#REF!</definedName>
    <definedName name="VWWG2">#REF!</definedName>
    <definedName name="VWWG3">#REF!</definedName>
    <definedName name="VWWG4">#REF!</definedName>
    <definedName name="VWWGTRK1">#REF!</definedName>
    <definedName name="VWWGTRK2">#REF!</definedName>
    <definedName name="VWWGTRK3">#REF!</definedName>
    <definedName name="VWWGTRK4">#REF!</definedName>
    <definedName name="WACC">#REF!</definedName>
    <definedName name="WCDMARoyalty">#REF!</definedName>
    <definedName name="WE_APL">#REF!</definedName>
    <definedName name="WE_BASE_TECH_LIST">#REF!</definedName>
    <definedName name="WE_BASECELL">#REF!</definedName>
    <definedName name="WE_JPN">#REF!</definedName>
    <definedName name="WE_LGE">#REF!</definedName>
    <definedName name="WE_MOT">#REF!</definedName>
    <definedName name="WE_NOK">#REF!</definedName>
    <definedName name="WE_NOM">#REF!</definedName>
    <definedName name="WE_OTH">#REF!</definedName>
    <definedName name="WE_PUB">#REF!</definedName>
    <definedName name="WE_RIM">#REF!</definedName>
    <definedName name="WE_SAM">#REF!</definedName>
    <definedName name="WE_SMC">#REF!</definedName>
    <definedName name="wee">#REF!</definedName>
    <definedName name="WesterneuropeanSAAR">#REF!</definedName>
    <definedName name="WesternEuropeSCurve">#REF!</definedName>
    <definedName name="WirelessHandsetBaseYear">#REF!</definedName>
    <definedName name="Working_capital">#REF!</definedName>
    <definedName name="wrn.Aging._.and._.Trend._.Analysis." hidden="1">{#N/A,#N/A,FALSE,"Aging Summary";#N/A,#N/A,FALSE,"Ratio Analysis";#N/A,#N/A,FALSE,"Test 120 Day Accts";#N/A,#N/A,FALSE,"Tickmarks"}</definedName>
    <definedName name="wrn.cf." hidden="1">{"one",#N/A,FALSE,"cf";"two",#N/A,FALSE,"cf"}</definedName>
    <definedName name="wrn.database." hidden="1">{"subs",#N/A,FALSE,"database ";"proportional",#N/A,FALSE,"database "}</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uro." hidden="1">{#N/A,#N/A,FALSE,"Austria"}</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ull." hidden="1">{"ANNUAL",#N/A,FALSE,"DDCLINK";"DDC94",#N/A,FALSE,"DDCLINK"}</definedName>
    <definedName name="wrn.Income._.Statement." hidden="1">{#N/A,#N/A,FALSE,"Report Print"}</definedName>
    <definedName name="wrn.international." hidden="1">{"sweden",#N/A,FALSE,"Sweden";"germany",#N/A,FALSE,"Germany";"portugal",#N/A,FALSE,"Portugal";"belgium",#N/A,FALSE,"Belgium";"japan",#N/A,FALSE,"Japan ";"italy",#N/A,FALSE,"Italy";"spain",#N/A,FALSE,"Spain";"korea",#N/A,FALSE,"Korea"}</definedName>
    <definedName name="wrn.IPIX." hidden="1">{#N/A,#N/A,FALSE,"Report Print"}</definedName>
    <definedName name="wrn.Master_Income." hidden="1">{"Annual_Income",#N/A,FALSE,"Master Model";"Quarterly_Income",#N/A,FALSE,"Master Model"}</definedName>
    <definedName name="wrn.PrimeCo." hidden="1">{"print 1",#N/A,FALSE,"PrimeCo PCS";"print 2",#N/A,FALSE,"PrimeCo PCS";"valuation",#N/A,FALSE,"PrimeCo PCS"}</definedName>
    <definedName name="wrn.rep_page."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rn.Transport." hidden="1">{#N/A,#N/A,FALSE,"9.1A";#N/A,#N/A,FALSE,"9.1B";#N/A,#N/A,FALSE,"9.2A";#N/A,#N/A,FALSE,"9.2B";#N/A,#N/A,FALSE,"9.2C";#N/A,#N/A,FALSE,"9.3A";#N/A,#N/A,FALSE,"9.3B";#N/A,#N/A,FALSE,"9.3C";#N/A,#N/A,FALSE,"9.4";#N/A,#N/A,FALSE,"9.5A";#N/A,#N/A,FALSE,"9.5B"}</definedName>
    <definedName name="wrn.Waste." hidden="1">{#N/A,#N/A,FALSE,"7.1A";#N/A,#N/A,FALSE,"7.1B";#N/A,#N/A,FALSE,"7.2A";#N/A,#N/A,FALSE,"7.2B";#N/A,#N/A,FALSE,"7.2C";#N/A,#N/A,FALSE,"7.3";#N/A,#N/A,FALSE,"7.4A";#N/A,#N/A,FALSE,"7.4B";#N/A,#N/A,FALSE,"7.5";#N/A,#N/A,FALSE,"7.6"}</definedName>
    <definedName name="ww">#REF!</definedName>
    <definedName name="WWWW">#REF!</definedName>
    <definedName name="x">#REF!</definedName>
    <definedName name="xCurrencies">#REF!</definedName>
    <definedName name="xfr1">#REF!</definedName>
    <definedName name="xfr2">#REF!</definedName>
    <definedName name="xfr3">#REF!</definedName>
    <definedName name="xfr4">#REF!</definedName>
    <definedName name="xx">#REF!</definedName>
    <definedName name="XX_TEJ1" localSheetId="0">#REF!</definedName>
    <definedName name="XX_TEJ2" localSheetId="0">#REF!</definedName>
    <definedName name="XX_TEJ3">#REF!</definedName>
    <definedName name="xxx">#REF!</definedName>
    <definedName name="XY">#REF!</definedName>
    <definedName name="y">#REF!</definedName>
    <definedName name="Year">#REF!</definedName>
    <definedName name="Year1">#REF!</definedName>
    <definedName name="Year10">#REF!</definedName>
    <definedName name="Year11">#REF!</definedName>
    <definedName name="year12">#REF!</definedName>
    <definedName name="year13">#REF!</definedName>
    <definedName name="year14">#REF!</definedName>
    <definedName name="year15">#REF!</definedName>
    <definedName name="year16">#REF!</definedName>
    <definedName name="year17">#REF!</definedName>
    <definedName name="year18">#REF!</definedName>
    <definedName name="year19">#REF!</definedName>
    <definedName name="Year2">#REF!</definedName>
    <definedName name="year20">#REF!</definedName>
    <definedName name="year21">#REF!</definedName>
    <definedName name="year3">#REF!</definedName>
    <definedName name="Year4">#REF!</definedName>
    <definedName name="Year5">#REF!</definedName>
    <definedName name="Year6">#REF!</definedName>
    <definedName name="Year7">#REF!</definedName>
    <definedName name="Year8">#REF!</definedName>
    <definedName name="Year9">#REF!</definedName>
    <definedName name="Years">"A1:v1"</definedName>
    <definedName name="years_select">#REF!</definedName>
    <definedName name="YEARS2">#REF!</definedName>
    <definedName name="years2rnk">#REF!</definedName>
    <definedName name="Yer3">#REF!</definedName>
    <definedName name="Yield">#REF!</definedName>
    <definedName name="YieldCurve">#REF!</definedName>
    <definedName name="ylast">#REF!</definedName>
    <definedName name="ynow">#REF!</definedName>
    <definedName name="ythen">#REF!</definedName>
    <definedName name="ZGrowthRate">#REF!</definedName>
    <definedName name="zz" hidden="1">{"'MObitel Pricing'!$B$2:$G$12","'MObitel Pricing'!$G$15"}</definedName>
    <definedName name="ZZZ">#REF!</definedName>
    <definedName name="zzzzz">#REF!</definedName>
    <definedName name="メーカー表示順3">#REF!</definedName>
    <definedName name="合計">#REF!</definedName>
  </definedNames>
  <calcPr calcId="191029" iterate="1" iterateCount="100" iterateDelta="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Wang, Hanxu</author>
    <author>Li, Mark</author>
  </authors>
  <commentList>
    <comment ref="Q13" authorId="0">
      <text>
        <r>
          <rPr>
            <b/>
            <sz val="9"/>
            <rFont val="Tahoma"/>
            <charset val="134"/>
          </rPr>
          <t>Wang, Hanxu:</t>
        </r>
        <r>
          <rPr>
            <sz val="9"/>
            <rFont val="Tahoma"/>
            <charset val="134"/>
          </rPr>
          <t xml:space="preserve">
Assign a weight for specialty (i.e. STB, TV, consumer networking) and then use relative shares for PC, server &amp; mobile</t>
        </r>
      </text>
    </comment>
    <comment ref="E15" authorId="1">
      <text>
        <r>
          <rPr>
            <b/>
            <sz val="9"/>
            <rFont val="Tahoma"/>
            <charset val="134"/>
          </rPr>
          <t>Li, Mark:</t>
        </r>
        <r>
          <rPr>
            <sz val="9"/>
            <rFont val="Tahoma"/>
            <charset val="134"/>
          </rPr>
          <t xml:space="preserve">
Changed this column to be diff from the source to make the items easier to understand</t>
        </r>
      </text>
    </comment>
    <comment ref="Q21" authorId="0">
      <text>
        <r>
          <rPr>
            <b/>
            <sz val="9"/>
            <rFont val="Tahoma"/>
            <charset val="134"/>
          </rPr>
          <t>Wang, Hanxu:</t>
        </r>
        <r>
          <rPr>
            <sz val="9"/>
            <rFont val="Tahoma"/>
            <charset val="134"/>
          </rPr>
          <t xml:space="preserve">
Assign a weight for specialty (i.e. STB, TV, consumer networking) and then use relative shares for PC, server &amp; mobile</t>
        </r>
      </text>
    </comment>
    <comment ref="Q69" authorId="0">
      <text>
        <r>
          <rPr>
            <b/>
            <sz val="9"/>
            <rFont val="Tahoma"/>
            <charset val="134"/>
          </rPr>
          <t>Wang, Hanxu:</t>
        </r>
        <r>
          <rPr>
            <sz val="9"/>
            <rFont val="Tahoma"/>
            <charset val="134"/>
          </rPr>
          <t xml:space="preserve">
35% from old memory team</t>
        </r>
      </text>
    </comment>
  </commentList>
</comments>
</file>

<file path=xl/comments2.xml><?xml version="1.0" encoding="utf-8"?>
<comments xmlns="http://schemas.openxmlformats.org/spreadsheetml/2006/main">
  <authors>
    <author>Li, Mark</author>
    <author>Chen, Samuel</author>
    <author>Wang, Hanxu</author>
    <author>jhou</author>
  </authors>
  <commentList>
    <comment ref="AT28" authorId="0">
      <text>
        <r>
          <rPr>
            <b/>
            <sz val="9"/>
            <rFont val="Tahoma"/>
            <charset val="134"/>
          </rPr>
          <t>Li, Mark:</t>
        </r>
        <r>
          <rPr>
            <sz val="9"/>
            <rFont val="Tahoma"/>
            <charset val="134"/>
          </rPr>
          <t xml:space="preserve">
select "DDR4 RDIMM 32GB 3200MHz" in DX.  RDIMM 3200 is the mainstream per "\\ac03hkg0202\deptss\HKG_SSRES\Asia Tech Shared\Industry Research\DRAMeXchange\Industry Analysis\DRAM\20220527_TrendForce--Server DRAM產業分析報告－2Q22.pdf" </t>
        </r>
      </text>
    </comment>
    <comment ref="AV28" authorId="0">
      <text>
        <r>
          <rPr>
            <b/>
            <sz val="9"/>
            <rFont val="Tahoma"/>
            <charset val="134"/>
          </rPr>
          <t>Li, Mark:</t>
        </r>
        <r>
          <rPr>
            <sz val="9"/>
            <rFont val="Tahoma"/>
            <charset val="134"/>
          </rPr>
          <t xml:space="preserve">
select "DDR4 RDIMM 64GB 3200MHz" in DX.  RDIMM 3200 is the mainstream per "\\ac03hkg0202\deptss\HKG_SSRES\Asia Tech Shared\Industry Research\DRAMeXchange\Industry Analysis\DRAM\20220527_TrendForce--Server DRAM產業分析報告－2Q22.pdf" </t>
        </r>
      </text>
    </comment>
    <comment ref="AX28" authorId="0">
      <text>
        <r>
          <rPr>
            <b/>
            <sz val="9"/>
            <rFont val="Tahoma"/>
            <charset val="134"/>
          </rPr>
          <t>Li, Mark:</t>
        </r>
        <r>
          <rPr>
            <sz val="9"/>
            <rFont val="Tahoma"/>
            <charset val="134"/>
          </rPr>
          <t xml:space="preserve">
select "DDR4 RDIMM 32GB 3200MHz" in DX.  RDIMM 3200 is the mainstream per "\\ac03hkg0202\deptss\HKG_SSRES\Asia Tech Shared\Industry Research\DRAMeXchange\Industry Analysis\DRAM\20220527_TrendForce--Server DRAM產業分析報告－2Q22.pdf" </t>
        </r>
      </text>
    </comment>
    <comment ref="AZ28" authorId="0">
      <text>
        <r>
          <rPr>
            <b/>
            <sz val="9"/>
            <rFont val="Tahoma"/>
            <charset val="134"/>
          </rPr>
          <t>Li, Mark:</t>
        </r>
        <r>
          <rPr>
            <sz val="9"/>
            <rFont val="Tahoma"/>
            <charset val="134"/>
          </rPr>
          <t xml:space="preserve">
select "DDR4 RDIMM 64GB 3200MHz" in DX.  RDIMM 3200 is the mainstream per "\\ac03hkg0202\deptss\HKG_SSRES\Asia Tech Shared\Industry Research\DRAMeXchange\Industry Analysis\DRAM\20220527_TrendForce--Server DRAM產業分析報告－2Q22.pdf" </t>
        </r>
      </text>
    </comment>
    <comment ref="M29" authorId="1">
      <text>
        <r>
          <rPr>
            <b/>
            <sz val="9"/>
            <rFont val="Tahoma"/>
            <charset val="134"/>
          </rPr>
          <t>Chen, Samuel:</t>
        </r>
        <r>
          <rPr>
            <sz val="9"/>
            <rFont val="Tahoma"/>
            <charset val="134"/>
          </rPr>
          <t xml:space="preserve">
Proxies by 4Gb module price * 2
Assume 12% premium between 8Gb vs. 4Gb module based on Jun 2016 premium</t>
        </r>
      </text>
    </comment>
    <comment ref="M30" authorId="1">
      <text>
        <r>
          <rPr>
            <b/>
            <sz val="9"/>
            <rFont val="Tahoma"/>
            <charset val="134"/>
          </rPr>
          <t>Chen, Samuel:</t>
        </r>
        <r>
          <rPr>
            <sz val="9"/>
            <rFont val="Tahoma"/>
            <charset val="134"/>
          </rPr>
          <t xml:space="preserve">
Proxies by 4Gb module price * 2</t>
        </r>
      </text>
    </comment>
    <comment ref="M31" authorId="1">
      <text>
        <r>
          <rPr>
            <b/>
            <sz val="9"/>
            <rFont val="Tahoma"/>
            <charset val="134"/>
          </rPr>
          <t>Chen, Samuel:</t>
        </r>
        <r>
          <rPr>
            <sz val="9"/>
            <rFont val="Tahoma"/>
            <charset val="134"/>
          </rPr>
          <t xml:space="preserve">
Proxies by 4Gb module price * 2</t>
        </r>
      </text>
    </comment>
    <comment ref="EH38" authorId="2">
      <text>
        <r>
          <rPr>
            <b/>
            <sz val="9"/>
            <rFont val="Tahoma"/>
            <charset val="134"/>
          </rPr>
          <t>Wang, Hanxu:</t>
        </r>
        <r>
          <rPr>
            <sz val="9"/>
            <rFont val="Tahoma"/>
            <charset val="134"/>
          </rPr>
          <t xml:space="preserve">
4Q19 files shows 46 but 1Q20 shows only 1% decline</t>
        </r>
      </text>
    </comment>
    <comment ref="L1388" authorId="3">
      <text>
        <r>
          <rPr>
            <b/>
            <sz val="9"/>
            <rFont val="Tahoma"/>
            <charset val="134"/>
          </rPr>
          <t>jhou:</t>
        </r>
        <r>
          <rPr>
            <sz val="9"/>
            <rFont val="Tahoma"/>
            <charset val="134"/>
          </rPr>
          <t xml:space="preserve">
changed to 2666Mbps as data for 2400Mbps is discontinued</t>
        </r>
      </text>
    </comment>
  </commentList>
</comments>
</file>

<file path=xl/comments3.xml><?xml version="1.0" encoding="utf-8"?>
<comments xmlns="http://schemas.openxmlformats.org/spreadsheetml/2006/main">
  <authors>
    <author>Wang, Hanxu</author>
  </authors>
  <commentList>
    <comment ref="BL26" authorId="0">
      <text>
        <r>
          <rPr>
            <b/>
            <sz val="9"/>
            <rFont val="Tahoma"/>
            <charset val="134"/>
          </rPr>
          <t>Wang, Hanxu:</t>
        </r>
        <r>
          <rPr>
            <sz val="9"/>
            <rFont val="Tahoma"/>
            <charset val="134"/>
          </rPr>
          <t xml:space="preserve">
DX says smartphone eMMC is normally sold in eMCP form so very small volume for standalone high density eMMC</t>
        </r>
      </text>
    </comment>
    <comment ref="BM26" authorId="0">
      <text>
        <r>
          <rPr>
            <b/>
            <sz val="9"/>
            <rFont val="Tahoma"/>
            <charset val="134"/>
          </rPr>
          <t>Wang, Hanxu:</t>
        </r>
        <r>
          <rPr>
            <sz val="9"/>
            <rFont val="Tahoma"/>
            <charset val="134"/>
          </rPr>
          <t xml:space="preserve">
DX says low density eMMC (4-16GB in TV, wearables) has higher tranding volume than high density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<sst xmlns="http://schemas.openxmlformats.org/spreadsheetml/2006/main" count="513" uniqueCount="246">
  <si>
    <t xml:space="preserve"> </t>
  </si>
  <si>
    <t>Memory Price Tracker</t>
  </si>
  <si>
    <t>Sanford C. Bernstein (Hong Kong) Limited</t>
  </si>
  <si>
    <t>盛博香港有限公司</t>
  </si>
  <si>
    <t>Asian Semiconductors &amp; Global Memory</t>
  </si>
  <si>
    <t>Mark Li</t>
  </si>
  <si>
    <t>Edward Hou, CFA</t>
  </si>
  <si>
    <t>Yipin Cai, CFA</t>
  </si>
  <si>
    <t>Senior Research Analyst</t>
  </si>
  <si>
    <t>Senior Research Associate</t>
  </si>
  <si>
    <t xml:space="preserve">mark.li@bernsteinsg.com </t>
  </si>
  <si>
    <t>edward.hou@bernsteinsg.com</t>
  </si>
  <si>
    <t>yipin.cai@bernsteinsg.com</t>
  </si>
  <si>
    <t>This model is directed to and intended only for our clients who are “eligible counterparties”, “professional clients”, “institutional investors” and/or “professional investors” as defined by applicable local regulations and must not be redistributed to retail clients. This model is being provided to you with the understanding that you are an investment professional familiar with its limitations and that it may not be reproduced, re-distributed, transmitted or otherwise made available to, or shared with, any third party. Clients may not create derivative works, resell, or commercially exploit any part of the information contained herein with any third party for any purpose without Bernstein’s express prior written consent. This restriction includes extracting data, using this content to develop indexes or products, or inputting any portion of the information contained herein into machine learning or artificial intelligence systems. The analysis contained herein is based on numerous assumptions. Different assumptions could result in materially different results. We believe that the data in this model obtained from public sources is reliable; however, we make no representation that such data is accurate or complete. Estimates of future performance in this model are based on assumptions that may not be realized due to unforeseen factors like market volatility/fluctuation. This model is not a research report, nor is it a substitute for our published research; on its own, this model should not be relied upon to make an investment decision. For our latest research reports, which contain information that may be used to support investment decisions and important disclosures, please see our website at https://www.bernsteinresearch.com.</t>
  </si>
  <si>
    <t>Current Year</t>
  </si>
  <si>
    <t>For Spot</t>
  </si>
  <si>
    <t>For Contract</t>
  </si>
  <si>
    <t>2-Qtr Ahead</t>
  </si>
  <si>
    <t>Prior Qtr</t>
  </si>
  <si>
    <t>Month in the Current Qtr</t>
  </si>
  <si>
    <t>Current Month</t>
  </si>
  <si>
    <t>N-3</t>
  </si>
  <si>
    <t>N-2</t>
  </si>
  <si>
    <t>N-1</t>
  </si>
  <si>
    <t>N</t>
  </si>
  <si>
    <t>N+1</t>
  </si>
  <si>
    <t>N+2</t>
  </si>
  <si>
    <t>FOR EXHIBIT USE ONLY</t>
  </si>
  <si>
    <t>Quarterly Avg</t>
  </si>
  <si>
    <t>Price at End of Month</t>
  </si>
  <si>
    <t>MoM</t>
  </si>
  <si>
    <t>QoQ</t>
  </si>
  <si>
    <t>2023 Weight</t>
  </si>
  <si>
    <t>DRAM</t>
  </si>
  <si>
    <t>Spot Price (US$/GB)</t>
  </si>
  <si>
    <t>DDR4 8Gb Chip</t>
  </si>
  <si>
    <t>PC DRAM</t>
  </si>
  <si>
    <t>8Gb DDR4</t>
  </si>
  <si>
    <t>DDR5 16Gb Chip</t>
  </si>
  <si>
    <t>16Gb DDR5</t>
  </si>
  <si>
    <t>Server DRAM</t>
  </si>
  <si>
    <t>DDR4 64GB RDIMM*</t>
  </si>
  <si>
    <t>DDR5 64GB RDIMM*</t>
  </si>
  <si>
    <t>Prior Price</t>
  </si>
  <si>
    <t>2025 Weight</t>
  </si>
  <si>
    <t>Contract Price (US$/GB, except the price of uMCP &amp; eMCP is module price)</t>
  </si>
  <si>
    <t>DDR5 16GB UDIMM*</t>
  </si>
  <si>
    <t>DDR4 16GB UDIMM*</t>
  </si>
  <si>
    <t>DDR4 8GB UDIMM*</t>
  </si>
  <si>
    <t>DDR5 96GB RDIMM*</t>
  </si>
  <si>
    <t>DDR5 48GB RDIMM*</t>
  </si>
  <si>
    <t>DDR5 32GB RDIMM*</t>
  </si>
  <si>
    <t>DDR4 32GB RDIMM*</t>
  </si>
  <si>
    <t>Mobile DRAM</t>
  </si>
  <si>
    <t>LPDDR5 16GB Discrete</t>
  </si>
  <si>
    <t>LPDDR5 12GB Discrete</t>
  </si>
  <si>
    <t>LPDDR4X 8GB Discrete</t>
  </si>
  <si>
    <t>LPDDR4X 4GB Discrete</t>
  </si>
  <si>
    <r>
      <rPr>
        <sz val="10"/>
        <rFont val="Arial"/>
        <charset val="134"/>
      </rPr>
      <t>uMCP (LPDDR4X 64Gb+NAND 128GB)</t>
    </r>
    <r>
      <rPr>
        <sz val="9.3"/>
        <rFont val="Arial"/>
        <charset val="134"/>
      </rPr>
      <t>*</t>
    </r>
    <r>
      <rPr>
        <sz val="10"/>
        <rFont val="Arial"/>
        <charset val="134"/>
      </rPr>
      <t>*</t>
    </r>
  </si>
  <si>
    <t>LPDDR4X 128GB/64Gb uMCP</t>
  </si>
  <si>
    <r>
      <rPr>
        <sz val="10"/>
        <rFont val="Arial"/>
        <charset val="134"/>
      </rPr>
      <t>eMCP (LPDDR4X 32Gb+NAND 64GB)</t>
    </r>
    <r>
      <rPr>
        <sz val="9.3"/>
        <rFont val="Arial"/>
        <charset val="134"/>
      </rPr>
      <t>*</t>
    </r>
    <r>
      <rPr>
        <sz val="10"/>
        <rFont val="Arial"/>
        <charset val="134"/>
      </rPr>
      <t>*</t>
    </r>
  </si>
  <si>
    <t>LPDDR4X 64GB/32Gb eMCP</t>
  </si>
  <si>
    <t>Specialty DRAM</t>
  </si>
  <si>
    <t>DDR4 4Gb</t>
  </si>
  <si>
    <t>DDR3 4Gb</t>
  </si>
  <si>
    <t>Weighted Average</t>
  </si>
  <si>
    <t>Bernstein Estimate (Blended ASP, inc HBM)****</t>
  </si>
  <si>
    <t>2025 Relative M/S</t>
  </si>
  <si>
    <t>Bernstein Estimate (Blended ASP, inc HBM)</t>
  </si>
  <si>
    <t>Samsung</t>
  </si>
  <si>
    <t>SK hynix</t>
  </si>
  <si>
    <t>Micron***</t>
  </si>
  <si>
    <t>*: DIMM = Dual In-line Memory Module; UDIMM (Unbuffered DIMM) is the DIMM mostly for desktop PC; RDIMM (Registered DIMM) is mostly for server</t>
  </si>
  <si>
    <t>server DDR5 mix</t>
  </si>
  <si>
    <t>**: eMCP (Embedded Multi-Chip Package) is mostly used in mobile applications &amp; is a package standard that extends the eMMC standard (which consists of NAND &amp; controller) to include DRAM too in the package.  uMCP (UFS + MCP) is similar to eMCP but replace eMMC with UFS. Their prices include the DRAM, NAND &amp; controller in the package but are classified as part of DRAM statistics as DRAM contributes more value.</t>
  </si>
  <si>
    <t>weight of chip</t>
  </si>
  <si>
    <t>***: Micron's quarter ends a month earlier.</t>
  </si>
  <si>
    <t>xxx</t>
  </si>
  <si>
    <t>****: Our models were last updated in Mar 2026.</t>
  </si>
  <si>
    <t>NAND</t>
  </si>
  <si>
    <t>NAND Wafer</t>
  </si>
  <si>
    <t>1Tb 3D TLC/QLC</t>
  </si>
  <si>
    <t>512Gb 3D TLC</t>
  </si>
  <si>
    <t>3D TLC 256Gb</t>
  </si>
  <si>
    <t>256Gb 3D TLC</t>
  </si>
  <si>
    <t>Contract Price (US$/GB)</t>
  </si>
  <si>
    <t>1Tb 3D QLC</t>
  </si>
  <si>
    <t>1Tb 3D TLC</t>
  </si>
  <si>
    <t>eMMC/UFS*</t>
  </si>
  <si>
    <t>512GB UFS</t>
  </si>
  <si>
    <t>256GB UFS</t>
  </si>
  <si>
    <t>128GB UFS</t>
  </si>
  <si>
    <t>128GB TLC eMMC</t>
  </si>
  <si>
    <t>Bernstein Estimate (Blended ASP, inc eSSD)****</t>
  </si>
  <si>
    <t>Micron**</t>
  </si>
  <si>
    <t>KIOXIA</t>
  </si>
  <si>
    <t>SanDisk</t>
  </si>
  <si>
    <t>*: eMMC (Embedded Multi Media Card) is a standard that packages NAND dies &amp; controller together. UFS (Universal Flash Storage) is an enhancement over eMMC.</t>
  </si>
  <si>
    <t>**: Micron's quarter ends a month earlier.</t>
  </si>
  <si>
    <t>Source: DRAMeXchange, Bernstein estimates and analysis</t>
  </si>
  <si>
    <t>HBM</t>
  </si>
  <si>
    <r>
      <t>微信：</t>
    </r>
    <r>
      <rPr>
        <sz val="10"/>
        <color theme="1"/>
        <rFont val="Arial"/>
        <charset val="134"/>
      </rPr>
      <t>WUXL3408</t>
    </r>
  </si>
  <si>
    <t>Source: DRAMeXchange and Bernstein analysis</t>
  </si>
  <si>
    <t>Spot Price</t>
  </si>
  <si>
    <t>Contract Price</t>
  </si>
  <si>
    <t>For Exhibit</t>
  </si>
  <si>
    <t>Daily</t>
  </si>
  <si>
    <t>Weekly</t>
  </si>
  <si>
    <t xml:space="preserve">Monthly </t>
  </si>
  <si>
    <t>Quarterly</t>
  </si>
  <si>
    <t>Spot-PC DRAM DDR4_8Gb_1Gx8_2666/3200MHz</t>
  </si>
  <si>
    <t>Spot-PC DRAM DDR5_16Gb_2Gx8_4800/5600MHz</t>
  </si>
  <si>
    <t>Spot-Server DRAM</t>
  </si>
  <si>
    <t>Price</t>
  </si>
  <si>
    <t>DDR5</t>
  </si>
  <si>
    <t>DDR4</t>
  </si>
  <si>
    <t>eMCP LPDDR3 32GB + 24Gb</t>
  </si>
  <si>
    <t>DDR2 1Gb, 128Mx8 800MHz</t>
  </si>
  <si>
    <t>DDR3 2Gb</t>
  </si>
  <si>
    <t>DDR3_4Gb_512Mx8_1600MHz</t>
  </si>
  <si>
    <t>DDR4 8Gb</t>
  </si>
  <si>
    <t>1D/5D/15D Delta</t>
  </si>
  <si>
    <t>DDR5 16Gb</t>
  </si>
  <si>
    <t>DRAM Server DRAM  Average Spot Price (US$)</t>
  </si>
  <si>
    <t>WoW</t>
  </si>
  <si>
    <t>PC Die Contract Price (US$)</t>
  </si>
  <si>
    <t>Average Contract Price (US$)</t>
  </si>
  <si>
    <t>DDR5 vs. DDR4</t>
  </si>
  <si>
    <t>Server Contract Price (US$/GB)</t>
  </si>
  <si>
    <t>Mobile DRAM Contract</t>
  </si>
  <si>
    <t>DDR2 1Gb Spot</t>
  </si>
  <si>
    <t>DDR2 1Gb Contract</t>
  </si>
  <si>
    <t>DDR3 2Gb Spot</t>
  </si>
  <si>
    <t>DDR3 2Gb Contract</t>
  </si>
  <si>
    <t>DDR3 4Gb Spot</t>
  </si>
  <si>
    <t>DDR3 4Gb Contract</t>
  </si>
  <si>
    <t>Spot</t>
  </si>
  <si>
    <t>Contract</t>
  </si>
  <si>
    <t>DDR4_8Gb_1Gx8</t>
  </si>
  <si>
    <t>DDR4_16Gb_2Gx8</t>
  </si>
  <si>
    <t>DDR5_16Gb_2Gx8</t>
  </si>
  <si>
    <t>PC</t>
  </si>
  <si>
    <t>Server</t>
  </si>
  <si>
    <t>Specialty</t>
  </si>
  <si>
    <t>32GB</t>
  </si>
  <si>
    <t>64GB</t>
  </si>
  <si>
    <t>48GB</t>
  </si>
  <si>
    <t>96GB</t>
  </si>
  <si>
    <t>128GB</t>
  </si>
  <si>
    <t>Mobile</t>
  </si>
  <si>
    <t xml:space="preserve">Mobile eMCP </t>
  </si>
  <si>
    <t xml:space="preserve">Mobile uMCP </t>
  </si>
  <si>
    <t>Qtr</t>
  </si>
  <si>
    <t>Month</t>
  </si>
  <si>
    <t>Date</t>
  </si>
  <si>
    <t>Spot (US$/Gb)</t>
  </si>
  <si>
    <t>Contract (US$/Gb)</t>
  </si>
  <si>
    <t>High</t>
  </si>
  <si>
    <t>Low</t>
  </si>
  <si>
    <t>Avg</t>
  </si>
  <si>
    <t>1D Delta</t>
  </si>
  <si>
    <t>1W Delta</t>
  </si>
  <si>
    <t>2W Delta</t>
  </si>
  <si>
    <t>Delta V.S. Contract</t>
  </si>
  <si>
    <t>DDR4 32GB RDIMM</t>
  </si>
  <si>
    <t xml:space="preserve">DDR4 64GB RDIMM </t>
  </si>
  <si>
    <t>DDR5 32GB RDIMM</t>
  </si>
  <si>
    <t xml:space="preserve">DDR5 64GB RDIMM </t>
  </si>
  <si>
    <t>3W Delta</t>
  </si>
  <si>
    <t xml:space="preserve">DDR5 16GB UDIMM </t>
  </si>
  <si>
    <t xml:space="preserve">DDR4 16GB UDIMM </t>
  </si>
  <si>
    <t xml:space="preserve">DDR4 8GB UDIMM </t>
  </si>
  <si>
    <t>DDR4 64GB RDIMM</t>
  </si>
  <si>
    <t>DDR5 32GB RDIMM
5600Mbps</t>
  </si>
  <si>
    <t>DDR5 64GB RDIMM
5600Mbps</t>
  </si>
  <si>
    <t>DDR5 32GB RDIMM
4800Mbps</t>
  </si>
  <si>
    <t>DDR5 64GB RDIMM
4800Mbps</t>
  </si>
  <si>
    <t>DDR5 48GB RDIMM</t>
  </si>
  <si>
    <t>DDR5 96GB RDIMM</t>
  </si>
  <si>
    <t>DDR5 128GB RDIMM (3DS)</t>
  </si>
  <si>
    <t>DDR5 128GB RDIMM (non-3DS)</t>
  </si>
  <si>
    <t>DDR5 64GB RDIMM</t>
  </si>
  <si>
    <t>DDR5 16GB UDIMM vs. DDR4 16GB UDIMM</t>
  </si>
  <si>
    <t>DDR5 32GB RDIMM vs. DDR4 32GB RDIMM</t>
  </si>
  <si>
    <t>DDR5 64GB RDIMM vs. DDR4 64GB RDIMM</t>
  </si>
  <si>
    <t>DDR5 16GB UDIMM</t>
  </si>
  <si>
    <t>DDR4 16GB UDIMM</t>
  </si>
  <si>
    <t xml:space="preserve">DDR4 UDIMM 8GB </t>
  </si>
  <si>
    <t>LPDDR5 16GB discrete</t>
  </si>
  <si>
    <t>LPDDR5 8GB discrete</t>
  </si>
  <si>
    <t>LPDDR5 12GB discrete</t>
  </si>
  <si>
    <t>LPDDR4X 8GB discrete</t>
  </si>
  <si>
    <t>LPDDR4X 4GB discrete</t>
  </si>
  <si>
    <t>8Gb Eq</t>
  </si>
  <si>
    <t>3Q17</t>
  </si>
  <si>
    <t>4Q17</t>
  </si>
  <si>
    <t>1Q18</t>
  </si>
  <si>
    <t>2Q18</t>
  </si>
  <si>
    <t>3Q18</t>
  </si>
  <si>
    <t>4Q18</t>
  </si>
  <si>
    <t>1Q19</t>
  </si>
  <si>
    <t>2Q19</t>
  </si>
  <si>
    <t>3Q19</t>
  </si>
  <si>
    <t>4Q19</t>
  </si>
  <si>
    <t>1Q20</t>
  </si>
  <si>
    <t>2Q20</t>
  </si>
  <si>
    <t>3Q20</t>
  </si>
  <si>
    <t>4Q20</t>
  </si>
  <si>
    <t>1Q21</t>
  </si>
  <si>
    <t>2Q21</t>
  </si>
  <si>
    <t>3Q21</t>
  </si>
  <si>
    <t xml:space="preserve">Spot Price </t>
  </si>
  <si>
    <t>Contract price</t>
  </si>
  <si>
    <t>NAND Wafer Average Spot Price (US$)</t>
  </si>
  <si>
    <t>US$/GB</t>
  </si>
  <si>
    <t>1W/2W/3W Delta</t>
  </si>
  <si>
    <t>eMMC Avg Spot Price (US$)</t>
  </si>
  <si>
    <t>NAND Wafer Average Contract Price (US$)</t>
  </si>
  <si>
    <t>Average Spot &amp; Contract Price (US$)</t>
  </si>
  <si>
    <t>eMMC/UFS Average Contract Price (US$)</t>
  </si>
  <si>
    <t>NAND Spot</t>
  </si>
  <si>
    <t>3D TLC 512Gb</t>
  </si>
  <si>
    <t>3D TLC/QLC 1Tb</t>
  </si>
  <si>
    <t>eMMC TLC 128GB</t>
  </si>
  <si>
    <t>3D QLC 1Tb</t>
  </si>
  <si>
    <t>3D TLC 1Tb</t>
  </si>
  <si>
    <t>3D TLC 32GB</t>
  </si>
  <si>
    <t>3D TLC 64GB</t>
  </si>
  <si>
    <t>eMMC MLC 16GB</t>
  </si>
  <si>
    <t>UFS 128GB</t>
  </si>
  <si>
    <t>UFS 256GB</t>
  </si>
  <si>
    <t>UFS 512GB</t>
  </si>
  <si>
    <t>QoQ eMMC TLC 128GB</t>
  </si>
  <si>
    <t>QoQ eMMC MLC 16GB</t>
  </si>
  <si>
    <t>QoQ UFS 128GB</t>
  </si>
  <si>
    <t>QoQ UFS 256GB</t>
  </si>
  <si>
    <t>QoQ UFS 512GB</t>
  </si>
  <si>
    <t>NAND wafer</t>
  </si>
  <si>
    <t>256Gb TLC 3D NAND Spot Px</t>
  </si>
  <si>
    <t>512Gb TLC 3D NAND Spot Px</t>
  </si>
  <si>
    <t>1Tb TLC 3D NAND Spot Px</t>
  </si>
  <si>
    <t>16GB MLC eMMC</t>
  </si>
  <si>
    <t>3Q16</t>
  </si>
  <si>
    <t>4Q16</t>
  </si>
  <si>
    <t>1Q17</t>
  </si>
  <si>
    <t>2Q17</t>
  </si>
</sst>
</file>

<file path=xl/styles.xml><?xml version="1.0" encoding="utf-8"?>
<styleSheet xmlns="http://schemas.openxmlformats.org/spreadsheetml/2006/main" xmlns:mc="http://schemas.openxmlformats.org/markup-compatibility/2006" xmlns:xr9="http://schemas.microsoft.com/office/spreadsheetml/2016/revision9" mc:Ignorable="xr9">
  <numFmts count="2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_(* \(#,##0.00\);_(* &quot;-&quot;??_);_(@_)"/>
    <numFmt numFmtId="177" formatCode="[$-409]mmm\-yy;@"/>
    <numFmt numFmtId="178" formatCode="#,##0.000"/>
    <numFmt numFmtId="179" formatCode="#,##0.0"/>
    <numFmt numFmtId="180" formatCode="0.0%"/>
    <numFmt numFmtId="181" formatCode="m/d/yyyy;@"/>
    <numFmt numFmtId="182" formatCode="0.0"/>
    <numFmt numFmtId="183" formatCode="_(* #,##0.0_);_(* \(#,##0.0\);_(* &quot;-&quot;??_);_(@_)"/>
    <numFmt numFmtId="184" formatCode="_(* #,##0_);_(* \(#,##0\);_(* &quot;-&quot;??_);_(@_)"/>
    <numFmt numFmtId="185" formatCode="0.0000"/>
    <numFmt numFmtId="186" formatCode="0.0%_);\(0.0%\);0.0%_);@_)"/>
    <numFmt numFmtId="187" formatCode="0.000"/>
    <numFmt numFmtId="188" formatCode="[$-409]dd\-mmm\-yy;@"/>
    <numFmt numFmtId="189" formatCode="_(* #,##0.00_);_(* \(#,##0.00\);_(* &quot;-&quot;_);_(@_)"/>
    <numFmt numFmtId="190" formatCode="_(* #,##0.0_);_(* \(#,##0.0\);_(* &quot;-&quot;_);_(@_)"/>
    <numFmt numFmtId="191" formatCode="_(* #,##0.000_);_(* \(#,##0.000\);_(* &quot;-&quot;_);_(@_)"/>
    <numFmt numFmtId="192" formatCode="_(* #,##0.000_);_(* \(#,##0.000\);_(* &quot;-&quot;??_);_(@_)"/>
    <numFmt numFmtId="193" formatCode="[$-409]mmmm\ d\,\ yyyy;@"/>
  </numFmts>
  <fonts count="59">
    <font>
      <sz val="11"/>
      <color theme="1"/>
      <name val="等线"/>
      <charset val="134"/>
      <scheme val="minor"/>
    </font>
    <font>
      <sz val="10"/>
      <color theme="1"/>
      <name val="Arial"/>
      <charset val="134"/>
    </font>
    <font>
      <b/>
      <sz val="10"/>
      <color theme="1"/>
      <name val="Arial"/>
      <charset val="134"/>
    </font>
    <font>
      <b/>
      <sz val="10"/>
      <color theme="0"/>
      <name val="Arial"/>
      <charset val="134"/>
    </font>
    <font>
      <sz val="10"/>
      <name val="Arial"/>
      <charset val="134"/>
    </font>
    <font>
      <b/>
      <sz val="10"/>
      <color rgb="FF333333"/>
      <name val="Arial"/>
      <charset val="134"/>
    </font>
    <font>
      <sz val="10"/>
      <color rgb="FF0000FF"/>
      <name val="Arial"/>
      <charset val="134"/>
    </font>
    <font>
      <sz val="10"/>
      <color theme="1"/>
      <name val="Tahoma"/>
      <charset val="134"/>
    </font>
    <font>
      <u/>
      <sz val="10"/>
      <color theme="10"/>
      <name val="Arial"/>
      <charset val="134"/>
    </font>
    <font>
      <sz val="10"/>
      <color indexed="12"/>
      <name val="Arial"/>
      <charset val="134"/>
    </font>
    <font>
      <sz val="10"/>
      <color rgb="FF333333"/>
      <name val="Arial"/>
      <charset val="134"/>
    </font>
    <font>
      <sz val="10"/>
      <color rgb="FF007D00"/>
      <name val="Arial"/>
      <charset val="134"/>
    </font>
    <font>
      <b/>
      <sz val="10"/>
      <name val="Arial"/>
      <charset val="134"/>
    </font>
    <font>
      <i/>
      <sz val="10"/>
      <color theme="0"/>
      <name val="Arial"/>
      <charset val="134"/>
    </font>
    <font>
      <sz val="10"/>
      <color theme="0"/>
      <name val="Arial"/>
      <charset val="134"/>
    </font>
    <font>
      <b/>
      <sz val="10"/>
      <color indexed="8"/>
      <name val="Arial"/>
      <charset val="134"/>
    </font>
    <font>
      <sz val="10"/>
      <color rgb="FF7030A0"/>
      <name val="Arial"/>
      <charset val="134"/>
    </font>
    <font>
      <sz val="10"/>
      <color rgb="FF007E00"/>
      <name val="Arial"/>
      <charset val="134"/>
    </font>
    <font>
      <i/>
      <sz val="10"/>
      <name val="Arial"/>
      <charset val="134"/>
    </font>
    <font>
      <b/>
      <sz val="10"/>
      <color theme="0" tint="-0.249977111117893"/>
      <name val="Arial"/>
      <charset val="134"/>
    </font>
    <font>
      <sz val="10"/>
      <color theme="3"/>
      <name val="Arial"/>
      <charset val="134"/>
    </font>
    <font>
      <b/>
      <sz val="10"/>
      <color indexed="12"/>
      <name val="Arial"/>
      <charset val="134"/>
    </font>
    <font>
      <b/>
      <sz val="10"/>
      <color theme="3"/>
      <name val="Arial"/>
      <charset val="134"/>
    </font>
    <font>
      <sz val="10"/>
      <color rgb="FFFF0000"/>
      <name val="Arial"/>
      <charset val="134"/>
    </font>
    <font>
      <b/>
      <sz val="10"/>
      <color rgb="FF0000FF"/>
      <name val="Arial"/>
      <charset val="134"/>
    </font>
    <font>
      <sz val="10"/>
      <color theme="1"/>
      <name val="宋体-简"/>
      <charset val="134"/>
    </font>
    <font>
      <sz val="28"/>
      <color theme="0" tint="-0.0499893185216834"/>
      <name val="Arial"/>
      <charset val="134"/>
    </font>
    <font>
      <b/>
      <sz val="36"/>
      <color theme="0" tint="-0.0499893185216834"/>
      <name val="Arial"/>
      <charset val="134"/>
    </font>
    <font>
      <sz val="18"/>
      <color theme="0" tint="-0.0499893185216834"/>
      <name val="Arial"/>
      <charset val="134"/>
    </font>
    <font>
      <b/>
      <sz val="16"/>
      <color rgb="FFFFFFFF"/>
      <name val="Calibri"/>
      <charset val="134"/>
    </font>
    <font>
      <b/>
      <sz val="18"/>
      <color rgb="FFFFFFFF"/>
      <name val="MS Gothic"/>
      <charset val="134"/>
    </font>
    <font>
      <sz val="20"/>
      <color theme="0" tint="-0.0499893185216834"/>
      <name val="Arial"/>
      <charset val="134"/>
    </font>
    <font>
      <sz val="20"/>
      <color theme="0"/>
      <name val="Arial"/>
      <charset val="134"/>
    </font>
    <font>
      <sz val="16"/>
      <color theme="0"/>
      <name val="Arial"/>
      <charset val="134"/>
    </font>
    <font>
      <sz val="14"/>
      <color theme="0"/>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theme="1"/>
      <name val="等线"/>
      <charset val="136"/>
      <scheme val="minor"/>
    </font>
    <font>
      <sz val="9.3"/>
      <name val="Arial"/>
      <charset val="134"/>
    </font>
    <font>
      <sz val="9"/>
      <name val="Tahoma"/>
      <charset val="134"/>
    </font>
    <font>
      <b/>
      <sz val="9"/>
      <name val="Tahoma"/>
      <charset val="134"/>
    </font>
  </fonts>
  <fills count="44">
    <fill>
      <patternFill patternType="none"/>
    </fill>
    <fill>
      <patternFill patternType="gray125"/>
    </fill>
    <fill>
      <patternFill patternType="solid">
        <fgColor theme="0" tint="-0.249977111117893"/>
        <bgColor indexed="64"/>
      </patternFill>
    </fill>
    <fill>
      <patternFill patternType="solid">
        <fgColor theme="0" tint="-0.149998474074526"/>
        <bgColor indexed="64"/>
      </patternFill>
    </fill>
    <fill>
      <patternFill patternType="solid">
        <fgColor theme="1"/>
        <bgColor indexed="64"/>
      </patternFill>
    </fill>
    <fill>
      <patternFill patternType="solid">
        <fgColor rgb="FFFFFFFF"/>
        <bgColor indexed="64"/>
      </patternFill>
    </fill>
    <fill>
      <patternFill patternType="solid">
        <fgColor theme="0"/>
        <bgColor theme="0"/>
      </patternFill>
    </fill>
    <fill>
      <patternFill patternType="solid">
        <fgColor theme="0"/>
        <bgColor indexed="64"/>
      </patternFill>
    </fill>
    <fill>
      <patternFill patternType="solid">
        <fgColor rgb="FFFFFF00"/>
        <bgColor indexed="64"/>
      </patternFill>
    </fill>
    <fill>
      <patternFill patternType="solid">
        <fgColor indexed="43"/>
        <bgColor indexed="64"/>
      </patternFill>
    </fill>
    <fill>
      <patternFill patternType="solid">
        <fgColor theme="4" tint="0.799981688894314"/>
        <bgColor indexed="64"/>
      </patternFill>
    </fill>
    <fill>
      <patternFill patternType="solid">
        <fgColor theme="3"/>
        <bgColor indexed="64"/>
      </patternFill>
    </fill>
    <fill>
      <patternFill patternType="solid">
        <fgColor rgb="FFFFFF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0">
    <border>
      <left/>
      <right/>
      <top/>
      <bottom/>
      <diagonal/>
    </border>
    <border>
      <left style="thin">
        <color auto="1"/>
      </left>
      <right/>
      <top/>
      <bottom/>
      <diagonal/>
    </border>
    <border>
      <left/>
      <right style="thin">
        <color auto="1"/>
      </right>
      <top/>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auto="1"/>
      </left>
      <right style="thin">
        <color rgb="FF000000"/>
      </right>
      <top style="thin">
        <color auto="1"/>
      </top>
      <bottom style="thin">
        <color auto="1"/>
      </bottom>
      <diagonal/>
    </border>
    <border>
      <left style="thin">
        <color rgb="FF000000"/>
      </left>
      <right style="thin">
        <color rgb="FF000000"/>
      </right>
      <top style="thin">
        <color rgb="FF000000"/>
      </top>
      <bottom style="thin">
        <color auto="1"/>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style="thin">
        <color auto="1"/>
      </left>
      <right/>
      <top style="thin">
        <color auto="1"/>
      </top>
      <bottom/>
      <diagonal/>
    </border>
    <border>
      <left/>
      <right/>
      <top style="thin">
        <color auto="1"/>
      </top>
      <bottom/>
      <diagonal/>
    </border>
    <border>
      <left style="thin">
        <color theme="0"/>
      </left>
      <right style="thin">
        <color theme="0"/>
      </right>
      <top style="thin">
        <color auto="1"/>
      </top>
      <bottom style="thin">
        <color theme="0"/>
      </bottom>
      <diagonal/>
    </border>
    <border>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thin">
        <color theme="0"/>
      </left>
      <right style="thin">
        <color theme="0"/>
      </right>
      <top/>
      <bottom style="thin">
        <color theme="0"/>
      </bottom>
      <diagonal/>
    </border>
    <border>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style="thin">
        <color theme="0"/>
      </left>
      <right style="thin">
        <color auto="1"/>
      </right>
      <top style="thin">
        <color theme="0"/>
      </top>
      <bottom/>
      <diagonal/>
    </border>
    <border>
      <left style="thin">
        <color theme="0"/>
      </left>
      <right/>
      <top style="thin">
        <color theme="0"/>
      </top>
      <bottom/>
      <diagonal/>
    </border>
    <border>
      <left style="thin">
        <color auto="1"/>
      </left>
      <right/>
      <top/>
      <bottom style="thin">
        <color auto="1"/>
      </bottom>
      <diagonal/>
    </border>
    <border>
      <left/>
      <right style="thin">
        <color auto="1"/>
      </right>
      <top/>
      <bottom style="thin">
        <color auto="1"/>
      </bottom>
      <diagonal/>
    </border>
    <border>
      <left style="thin">
        <color theme="0"/>
      </left>
      <right/>
      <top style="thin">
        <color auto="1"/>
      </top>
      <bottom style="thin">
        <color theme="0"/>
      </bottom>
      <diagonal/>
    </border>
    <border>
      <left/>
      <right/>
      <top style="thin">
        <color auto="1"/>
      </top>
      <bottom style="thin">
        <color theme="0"/>
      </bottom>
      <diagonal/>
    </border>
    <border>
      <left/>
      <right/>
      <top/>
      <bottom style="thin">
        <color theme="0"/>
      </bottom>
      <diagonal/>
    </border>
    <border>
      <left style="thin">
        <color theme="1"/>
      </left>
      <right style="thick">
        <color rgb="FFC00000"/>
      </right>
      <top style="thin">
        <color theme="1"/>
      </top>
      <bottom style="thin">
        <color theme="1"/>
      </bottom>
      <diagonal/>
    </border>
    <border>
      <left style="thick">
        <color rgb="FFC00000"/>
      </left>
      <right style="thick">
        <color rgb="FFC00000"/>
      </right>
      <top style="thick">
        <color rgb="FFC00000"/>
      </top>
      <bottom style="thick">
        <color rgb="FFC00000"/>
      </bottom>
      <diagonal/>
    </border>
    <border>
      <left/>
      <right style="thin">
        <color auto="1"/>
      </right>
      <top style="thin">
        <color auto="1"/>
      </top>
      <bottom/>
      <diagonal/>
    </border>
    <border>
      <left style="thin">
        <color auto="1"/>
      </left>
      <right/>
      <top/>
      <bottom style="thick">
        <color rgb="FFC00000"/>
      </bottom>
      <diagonal/>
    </border>
    <border>
      <left/>
      <right/>
      <top/>
      <bottom style="thick">
        <color rgb="FFC00000"/>
      </bottom>
      <diagonal/>
    </border>
    <border>
      <left/>
      <right style="thin">
        <color auto="1"/>
      </right>
      <top/>
      <bottom style="thick">
        <color rgb="FFC00000"/>
      </bottom>
      <diagonal/>
    </border>
    <border>
      <left style="thick">
        <color rgb="FFC00000"/>
      </left>
      <right/>
      <top style="thick">
        <color rgb="FFC00000"/>
      </top>
      <bottom style="thick">
        <color rgb="FFC00000"/>
      </bottom>
      <diagonal/>
    </border>
    <border>
      <left/>
      <right/>
      <top style="thick">
        <color rgb="FFC00000"/>
      </top>
      <bottom style="thick">
        <color rgb="FFC00000"/>
      </bottom>
      <diagonal/>
    </border>
    <border>
      <left/>
      <right style="thick">
        <color rgb="FFC00000"/>
      </right>
      <top style="thick">
        <color rgb="FFC00000"/>
      </top>
      <bottom style="thick">
        <color rgb="FFC00000"/>
      </bottom>
      <diagonal/>
    </border>
    <border>
      <left style="thin">
        <color theme="0"/>
      </left>
      <right/>
      <top/>
      <bottom/>
      <diagonal/>
    </border>
    <border>
      <left/>
      <right style="thin">
        <color theme="0"/>
      </right>
      <top/>
      <bottom/>
      <diagonal/>
    </border>
    <border>
      <left style="thin">
        <color auto="1"/>
      </left>
      <right style="thick">
        <color rgb="FFC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xf numFmtId="43" fontId="35" fillId="0" borderId="0" applyFont="0" applyFill="0" applyBorder="0" applyAlignment="0" applyProtection="0">
      <alignment vertical="center"/>
    </xf>
    <xf numFmtId="44" fontId="35" fillId="0" borderId="0" applyFont="0" applyFill="0" applyBorder="0" applyAlignment="0" applyProtection="0">
      <alignment vertical="center"/>
    </xf>
    <xf numFmtId="9" fontId="35" fillId="0" borderId="0" applyFont="0" applyFill="0" applyBorder="0" applyAlignment="0" applyProtection="0">
      <alignment vertical="center"/>
    </xf>
    <xf numFmtId="41" fontId="35" fillId="0" borderId="0" applyFont="0" applyFill="0" applyBorder="0" applyAlignment="0" applyProtection="0">
      <alignment vertical="center"/>
    </xf>
    <xf numFmtId="42" fontId="35" fillId="0" borderId="0" applyFon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5" fillId="13" borderId="52"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53" applyNumberFormat="0" applyFill="0" applyAlignment="0" applyProtection="0">
      <alignment vertical="center"/>
    </xf>
    <xf numFmtId="0" fontId="42" fillId="0" borderId="53" applyNumberFormat="0" applyFill="0" applyAlignment="0" applyProtection="0">
      <alignment vertical="center"/>
    </xf>
    <xf numFmtId="0" fontId="43" fillId="0" borderId="54" applyNumberFormat="0" applyFill="0" applyAlignment="0" applyProtection="0">
      <alignment vertical="center"/>
    </xf>
    <xf numFmtId="0" fontId="43" fillId="0" borderId="0" applyNumberFormat="0" applyFill="0" applyBorder="0" applyAlignment="0" applyProtection="0">
      <alignment vertical="center"/>
    </xf>
    <xf numFmtId="0" fontId="44" fillId="14" borderId="55" applyNumberFormat="0" applyAlignment="0" applyProtection="0">
      <alignment vertical="center"/>
    </xf>
    <xf numFmtId="0" fontId="45" fillId="15" borderId="56" applyNumberFormat="0" applyAlignment="0" applyProtection="0">
      <alignment vertical="center"/>
    </xf>
    <xf numFmtId="0" fontId="46" fillId="15" borderId="55" applyNumberFormat="0" applyAlignment="0" applyProtection="0">
      <alignment vertical="center"/>
    </xf>
    <xf numFmtId="0" fontId="47" fillId="16" borderId="57" applyNumberFormat="0" applyAlignment="0" applyProtection="0">
      <alignment vertical="center"/>
    </xf>
    <xf numFmtId="0" fontId="48" fillId="0" borderId="58" applyNumberFormat="0" applyFill="0" applyAlignment="0" applyProtection="0">
      <alignment vertical="center"/>
    </xf>
    <xf numFmtId="0" fontId="49" fillId="0" borderId="59" applyNumberFormat="0" applyFill="0" applyAlignment="0" applyProtection="0">
      <alignment vertical="center"/>
    </xf>
    <xf numFmtId="0" fontId="50" fillId="17" borderId="0" applyNumberFormat="0" applyBorder="0" applyAlignment="0" applyProtection="0">
      <alignment vertical="center"/>
    </xf>
    <xf numFmtId="0" fontId="51" fillId="18" borderId="0" applyNumberFormat="0" applyBorder="0" applyAlignment="0" applyProtection="0">
      <alignment vertical="center"/>
    </xf>
    <xf numFmtId="0" fontId="52" fillId="19" borderId="0" applyNumberFormat="0" applyBorder="0" applyAlignment="0" applyProtection="0">
      <alignment vertical="center"/>
    </xf>
    <xf numFmtId="0" fontId="53" fillId="20" borderId="0" applyNumberFormat="0" applyBorder="0" applyAlignment="0" applyProtection="0">
      <alignment vertical="center"/>
    </xf>
    <xf numFmtId="0" fontId="54" fillId="21" borderId="0" applyNumberFormat="0" applyBorder="0" applyAlignment="0" applyProtection="0">
      <alignment vertical="center"/>
    </xf>
    <xf numFmtId="0" fontId="54" fillId="22"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54" fillId="26"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4" fillId="29" borderId="0" applyNumberFormat="0" applyBorder="0" applyAlignment="0" applyProtection="0">
      <alignment vertical="center"/>
    </xf>
    <xf numFmtId="0" fontId="54" fillId="30" borderId="0" applyNumberFormat="0" applyBorder="0" applyAlignment="0" applyProtection="0">
      <alignment vertical="center"/>
    </xf>
    <xf numFmtId="0" fontId="53" fillId="31" borderId="0" applyNumberFormat="0" applyBorder="0" applyAlignment="0" applyProtection="0">
      <alignment vertical="center"/>
    </xf>
    <xf numFmtId="0" fontId="53" fillId="32" borderId="0" applyNumberFormat="0" applyBorder="0" applyAlignment="0" applyProtection="0">
      <alignment vertical="center"/>
    </xf>
    <xf numFmtId="0" fontId="54" fillId="33" borderId="0" applyNumberFormat="0" applyBorder="0" applyAlignment="0" applyProtection="0">
      <alignment vertical="center"/>
    </xf>
    <xf numFmtId="0" fontId="54" fillId="34" borderId="0" applyNumberFormat="0" applyBorder="0" applyAlignment="0" applyProtection="0">
      <alignment vertical="center"/>
    </xf>
    <xf numFmtId="0" fontId="53" fillId="35" borderId="0" applyNumberFormat="0" applyBorder="0" applyAlignment="0" applyProtection="0">
      <alignment vertical="center"/>
    </xf>
    <xf numFmtId="0" fontId="53" fillId="36" borderId="0" applyNumberFormat="0" applyBorder="0" applyAlignment="0" applyProtection="0">
      <alignment vertical="center"/>
    </xf>
    <xf numFmtId="0" fontId="54" fillId="37" borderId="0" applyNumberFormat="0" applyBorder="0" applyAlignment="0" applyProtection="0">
      <alignment vertical="center"/>
    </xf>
    <xf numFmtId="0" fontId="54" fillId="38" borderId="0" applyNumberFormat="0" applyBorder="0" applyAlignment="0" applyProtection="0">
      <alignment vertical="center"/>
    </xf>
    <xf numFmtId="0" fontId="53" fillId="39" borderId="0" applyNumberFormat="0" applyBorder="0" applyAlignment="0" applyProtection="0">
      <alignment vertical="center"/>
    </xf>
    <xf numFmtId="0" fontId="53" fillId="40" borderId="0" applyNumberFormat="0" applyBorder="0" applyAlignment="0" applyProtection="0">
      <alignment vertical="center"/>
    </xf>
    <xf numFmtId="0" fontId="54" fillId="41" borderId="0" applyNumberFormat="0" applyBorder="0" applyAlignment="0" applyProtection="0">
      <alignment vertical="center"/>
    </xf>
    <xf numFmtId="0" fontId="54" fillId="42" borderId="0" applyNumberFormat="0" applyBorder="0" applyAlignment="0" applyProtection="0">
      <alignment vertical="center"/>
    </xf>
    <xf numFmtId="0" fontId="53" fillId="43" borderId="0" applyNumberFormat="0" applyBorder="0" applyAlignment="0" applyProtection="0">
      <alignment vertical="center"/>
    </xf>
    <xf numFmtId="176" fontId="1" fillId="0" borderId="0" applyFont="0" applyFill="0" applyBorder="0" applyAlignment="0" applyProtection="0"/>
    <xf numFmtId="177" fontId="8" fillId="0" borderId="0" applyNumberFormat="0" applyFill="0" applyBorder="0" applyAlignment="0" applyProtection="0"/>
    <xf numFmtId="177" fontId="1" fillId="0" borderId="0"/>
    <xf numFmtId="177" fontId="0" fillId="0" borderId="0"/>
    <xf numFmtId="0" fontId="55" fillId="0" borderId="0">
      <alignment vertical="center"/>
    </xf>
    <xf numFmtId="0" fontId="0" fillId="0" borderId="0"/>
    <xf numFmtId="0" fontId="1" fillId="0" borderId="0"/>
    <xf numFmtId="9" fontId="1" fillId="0" borderId="0" applyFont="0" applyFill="0" applyBorder="0" applyAlignment="0" applyProtection="0"/>
  </cellStyleXfs>
  <cellXfs count="410">
    <xf numFmtId="0" fontId="0" fillId="0" borderId="0" xfId="0"/>
    <xf numFmtId="177" fontId="1" fillId="2" borderId="0" xfId="51" applyFill="1"/>
    <xf numFmtId="177" fontId="1" fillId="0" borderId="0" xfId="51"/>
    <xf numFmtId="4" fontId="1" fillId="0" borderId="0" xfId="51" applyNumberFormat="1"/>
    <xf numFmtId="177" fontId="2" fillId="2" borderId="0" xfId="51" applyFont="1" applyFill="1"/>
    <xf numFmtId="0" fontId="1" fillId="0" borderId="0" xfId="51" applyNumberFormat="1"/>
    <xf numFmtId="177" fontId="1" fillId="3" borderId="0" xfId="51" applyFill="1"/>
    <xf numFmtId="177" fontId="3" fillId="4" borderId="0" xfId="51" applyFont="1" applyFill="1"/>
    <xf numFmtId="177" fontId="4" fillId="0" borderId="0" xfId="51" applyFont="1"/>
    <xf numFmtId="177" fontId="2" fillId="0" borderId="0" xfId="51" applyFont="1" applyAlignment="1">
      <alignment horizontal="centerContinuous"/>
    </xf>
    <xf numFmtId="177" fontId="2" fillId="0" borderId="0" xfId="51" applyFont="1"/>
    <xf numFmtId="177" fontId="0" fillId="0" borderId="0" xfId="52" applyFont="1"/>
    <xf numFmtId="177" fontId="2" fillId="0" borderId="1" xfId="51" applyFont="1" applyBorder="1" applyAlignment="1">
      <alignment horizontal="centerContinuous"/>
    </xf>
    <xf numFmtId="177" fontId="1" fillId="0" borderId="2" xfId="51" applyBorder="1" applyAlignment="1">
      <alignment horizontal="centerContinuous"/>
    </xf>
    <xf numFmtId="177" fontId="2" fillId="0" borderId="2" xfId="51" applyFont="1" applyBorder="1" applyAlignment="1">
      <alignment horizontal="centerContinuous"/>
    </xf>
    <xf numFmtId="177" fontId="2" fillId="0" borderId="0" xfId="51" applyFont="1" applyAlignment="1">
      <alignment horizontal="center"/>
    </xf>
    <xf numFmtId="177" fontId="2" fillId="0" borderId="3" xfId="51" applyFont="1" applyBorder="1" applyAlignment="1">
      <alignment horizontal="left"/>
    </xf>
    <xf numFmtId="177" fontId="2" fillId="0" borderId="3" xfId="51" applyFont="1" applyBorder="1" applyAlignment="1">
      <alignment horizontal="right"/>
    </xf>
    <xf numFmtId="177" fontId="2" fillId="0" borderId="4" xfId="51" applyFont="1" applyBorder="1" applyAlignment="1">
      <alignment horizontal="center" vertical="center" wrapText="1"/>
    </xf>
    <xf numFmtId="177" fontId="2" fillId="0" borderId="5" xfId="51" applyFont="1" applyBorder="1" applyAlignment="1">
      <alignment horizontal="center" vertical="center" wrapText="1"/>
    </xf>
    <xf numFmtId="177" fontId="2" fillId="0" borderId="0" xfId="51" applyFont="1" applyAlignment="1">
      <alignment horizontal="center" vertical="center" wrapText="1"/>
    </xf>
    <xf numFmtId="177" fontId="2" fillId="0" borderId="6" xfId="51" applyFont="1" applyBorder="1"/>
    <xf numFmtId="177" fontId="2" fillId="0" borderId="7" xfId="51" applyFont="1" applyBorder="1" applyAlignment="1">
      <alignment horizontal="center"/>
    </xf>
    <xf numFmtId="177" fontId="2" fillId="0" borderId="8" xfId="51" applyFont="1" applyBorder="1" applyAlignment="1">
      <alignment horizontal="center"/>
    </xf>
    <xf numFmtId="177" fontId="5" fillId="5" borderId="4" xfId="51" applyFont="1" applyFill="1" applyBorder="1" applyAlignment="1">
      <alignment horizontal="center" vertical="center" wrapText="1"/>
    </xf>
    <xf numFmtId="14" fontId="4" fillId="5" borderId="4" xfId="51" applyNumberFormat="1" applyFont="1" applyFill="1" applyBorder="1" applyAlignment="1">
      <alignment vertical="center" wrapText="1"/>
    </xf>
    <xf numFmtId="4" fontId="6" fillId="5" borderId="4" xfId="51" applyNumberFormat="1" applyFont="1" applyFill="1" applyBorder="1" applyAlignment="1">
      <alignment vertical="center" wrapText="1"/>
    </xf>
    <xf numFmtId="4" fontId="6" fillId="5" borderId="0" xfId="51" applyNumberFormat="1" applyFont="1" applyFill="1" applyAlignment="1">
      <alignment vertical="center" wrapText="1"/>
    </xf>
    <xf numFmtId="176" fontId="0" fillId="0" borderId="0" xfId="49" applyFont="1"/>
    <xf numFmtId="2" fontId="7" fillId="6" borderId="4" xfId="53" applyNumberFormat="1" applyFont="1" applyFill="1" applyBorder="1">
      <alignment vertical="center"/>
    </xf>
    <xf numFmtId="178" fontId="4" fillId="5" borderId="4" xfId="51" applyNumberFormat="1" applyFont="1" applyFill="1" applyBorder="1" applyAlignment="1">
      <alignment vertical="center" wrapText="1"/>
    </xf>
    <xf numFmtId="4" fontId="4" fillId="5" borderId="4" xfId="51" applyNumberFormat="1" applyFont="1" applyFill="1" applyBorder="1" applyAlignment="1">
      <alignment vertical="center" wrapText="1"/>
    </xf>
    <xf numFmtId="179" fontId="6" fillId="5" borderId="4" xfId="51" applyNumberFormat="1" applyFont="1" applyFill="1" applyBorder="1" applyAlignment="1">
      <alignment vertical="center" wrapText="1"/>
    </xf>
    <xf numFmtId="179" fontId="6" fillId="2" borderId="4" xfId="51" applyNumberFormat="1" applyFont="1" applyFill="1" applyBorder="1" applyAlignment="1">
      <alignment vertical="center" wrapText="1"/>
    </xf>
    <xf numFmtId="4" fontId="1" fillId="5" borderId="4" xfId="51" applyNumberFormat="1" applyFill="1" applyBorder="1" applyAlignment="1">
      <alignment vertical="center" wrapText="1"/>
    </xf>
    <xf numFmtId="14" fontId="1" fillId="5" borderId="4" xfId="51" applyNumberFormat="1" applyFill="1" applyBorder="1" applyAlignment="1">
      <alignment vertical="center" wrapText="1"/>
    </xf>
    <xf numFmtId="9" fontId="1" fillId="0" borderId="0" xfId="51" applyNumberFormat="1"/>
    <xf numFmtId="9" fontId="1" fillId="5" borderId="4" xfId="51" applyNumberFormat="1" applyFill="1" applyBorder="1" applyAlignment="1">
      <alignment vertical="center" wrapText="1"/>
    </xf>
    <xf numFmtId="178" fontId="1" fillId="5" borderId="4" xfId="51" applyNumberFormat="1" applyFill="1" applyBorder="1" applyAlignment="1">
      <alignment vertical="center" wrapText="1"/>
    </xf>
    <xf numFmtId="178" fontId="6" fillId="2" borderId="4" xfId="51" applyNumberFormat="1" applyFont="1" applyFill="1" applyBorder="1" applyAlignment="1">
      <alignment vertical="center" wrapText="1"/>
    </xf>
    <xf numFmtId="177" fontId="8" fillId="0" borderId="0" xfId="50"/>
    <xf numFmtId="179" fontId="6" fillId="5" borderId="9" xfId="51" applyNumberFormat="1" applyFont="1" applyFill="1" applyBorder="1" applyAlignment="1">
      <alignment vertical="center" wrapText="1"/>
    </xf>
    <xf numFmtId="179" fontId="6" fillId="5" borderId="0" xfId="51" applyNumberFormat="1" applyFont="1" applyFill="1" applyAlignment="1">
      <alignment vertical="center" wrapText="1"/>
    </xf>
    <xf numFmtId="179" fontId="6" fillId="5" borderId="5" xfId="51" applyNumberFormat="1" applyFont="1" applyFill="1" applyBorder="1" applyAlignment="1">
      <alignment vertical="center" wrapText="1"/>
    </xf>
    <xf numFmtId="14" fontId="4" fillId="5" borderId="9" xfId="51" applyNumberFormat="1" applyFont="1" applyFill="1" applyBorder="1" applyAlignment="1">
      <alignment vertical="center" wrapText="1"/>
    </xf>
    <xf numFmtId="4" fontId="6" fillId="5" borderId="9" xfId="51" applyNumberFormat="1" applyFont="1" applyFill="1" applyBorder="1" applyAlignment="1">
      <alignment vertical="center" wrapText="1"/>
    </xf>
    <xf numFmtId="180" fontId="1" fillId="5" borderId="4" xfId="51" applyNumberFormat="1" applyFill="1" applyBorder="1" applyAlignment="1">
      <alignment vertical="center" wrapText="1"/>
    </xf>
    <xf numFmtId="9" fontId="1" fillId="0" borderId="0" xfId="51" applyNumberFormat="1" applyAlignment="1">
      <alignment vertical="center" wrapText="1"/>
    </xf>
    <xf numFmtId="14" fontId="4" fillId="5" borderId="10" xfId="51" applyNumberFormat="1" applyFont="1" applyFill="1" applyBorder="1" applyAlignment="1">
      <alignment vertical="center" wrapText="1"/>
    </xf>
    <xf numFmtId="178" fontId="1" fillId="0" borderId="0" xfId="51" applyNumberFormat="1"/>
    <xf numFmtId="14" fontId="4" fillId="7" borderId="10" xfId="51" applyNumberFormat="1" applyFont="1" applyFill="1" applyBorder="1" applyAlignment="1">
      <alignment vertical="center" wrapText="1"/>
    </xf>
    <xf numFmtId="4" fontId="6" fillId="7" borderId="9" xfId="51" applyNumberFormat="1" applyFont="1" applyFill="1" applyBorder="1" applyAlignment="1">
      <alignment vertical="center" wrapText="1"/>
    </xf>
    <xf numFmtId="4" fontId="6" fillId="7" borderId="0" xfId="51" applyNumberFormat="1" applyFont="1" applyFill="1" applyAlignment="1">
      <alignment vertical="center" wrapText="1"/>
    </xf>
    <xf numFmtId="178" fontId="4" fillId="7" borderId="4" xfId="51" applyNumberFormat="1" applyFont="1" applyFill="1" applyBorder="1" applyAlignment="1">
      <alignment vertical="center" wrapText="1"/>
    </xf>
    <xf numFmtId="4" fontId="6" fillId="0" borderId="0" xfId="51" applyNumberFormat="1" applyFont="1" applyAlignment="1">
      <alignment vertical="center" wrapText="1"/>
    </xf>
    <xf numFmtId="4" fontId="6" fillId="7" borderId="11" xfId="51" applyNumberFormat="1" applyFont="1" applyFill="1" applyBorder="1" applyAlignment="1">
      <alignment vertical="center" wrapText="1"/>
    </xf>
    <xf numFmtId="4" fontId="6" fillId="0" borderId="11" xfId="51" applyNumberFormat="1" applyFont="1" applyBorder="1" applyAlignment="1">
      <alignment vertical="center" wrapText="1"/>
    </xf>
    <xf numFmtId="180" fontId="1" fillId="0" borderId="0" xfId="51" applyNumberFormat="1"/>
    <xf numFmtId="14" fontId="4" fillId="8" borderId="4" xfId="51" applyNumberFormat="1" applyFont="1" applyFill="1" applyBorder="1" applyAlignment="1">
      <alignment vertical="center" wrapText="1"/>
    </xf>
    <xf numFmtId="2" fontId="1" fillId="0" borderId="0" xfId="51" applyNumberFormat="1"/>
    <xf numFmtId="181" fontId="1" fillId="0" borderId="0" xfId="51" applyNumberFormat="1"/>
    <xf numFmtId="2" fontId="2" fillId="2" borderId="0" xfId="51" applyNumberFormat="1" applyFont="1" applyFill="1"/>
    <xf numFmtId="181" fontId="2" fillId="2" borderId="0" xfId="51" applyNumberFormat="1" applyFont="1" applyFill="1"/>
    <xf numFmtId="2" fontId="1" fillId="2" borderId="0" xfId="51" applyNumberFormat="1" applyFill="1"/>
    <xf numFmtId="177" fontId="1" fillId="9" borderId="0" xfId="51" applyFill="1"/>
    <xf numFmtId="177" fontId="2" fillId="3" borderId="0" xfId="51" applyFont="1" applyFill="1"/>
    <xf numFmtId="181" fontId="3" fillId="4" borderId="0" xfId="51" applyNumberFormat="1" applyFont="1" applyFill="1"/>
    <xf numFmtId="2" fontId="3" fillId="4" borderId="0" xfId="51" applyNumberFormat="1" applyFont="1" applyFill="1"/>
    <xf numFmtId="177" fontId="2" fillId="3" borderId="0" xfId="51" applyFont="1" applyFill="1" applyAlignment="1">
      <alignment horizontal="left" vertical="center" wrapText="1"/>
    </xf>
    <xf numFmtId="2" fontId="2" fillId="0" borderId="3" xfId="51" applyNumberFormat="1" applyFont="1" applyBorder="1" applyAlignment="1">
      <alignment horizontal="right"/>
    </xf>
    <xf numFmtId="2" fontId="2" fillId="0" borderId="5" xfId="51" applyNumberFormat="1" applyFont="1" applyBorder="1" applyAlignment="1">
      <alignment horizontal="center" vertical="center" wrapText="1"/>
    </xf>
    <xf numFmtId="177" fontId="2" fillId="0" borderId="12" xfId="51" applyFont="1" applyBorder="1" applyAlignment="1">
      <alignment horizontal="center" vertical="center" wrapText="1"/>
    </xf>
    <xf numFmtId="2" fontId="2" fillId="0" borderId="13" xfId="51" applyNumberFormat="1" applyFont="1" applyBorder="1" applyAlignment="1">
      <alignment horizontal="center" vertical="center" wrapText="1"/>
    </xf>
    <xf numFmtId="2" fontId="2" fillId="0" borderId="0" xfId="51" applyNumberFormat="1" applyFont="1" applyAlignment="1">
      <alignment horizontal="center" vertical="center" wrapText="1"/>
    </xf>
    <xf numFmtId="177" fontId="2" fillId="7" borderId="4" xfId="51" applyFont="1" applyFill="1" applyBorder="1" applyAlignment="1">
      <alignment horizontal="center" vertical="center" wrapText="1"/>
    </xf>
    <xf numFmtId="181" fontId="2" fillId="0" borderId="4" xfId="51" applyNumberFormat="1" applyFont="1" applyBorder="1" applyAlignment="1">
      <alignment horizontal="center" vertical="center" wrapText="1"/>
    </xf>
    <xf numFmtId="2" fontId="2" fillId="0" borderId="4" xfId="51" applyNumberFormat="1" applyFont="1" applyBorder="1" applyAlignment="1">
      <alignment horizontal="center" vertical="center" wrapText="1"/>
    </xf>
    <xf numFmtId="0" fontId="2" fillId="0" borderId="4" xfId="54" applyFont="1" applyBorder="1" applyAlignment="1">
      <alignment horizontal="center" vertical="center" wrapText="1"/>
    </xf>
    <xf numFmtId="177" fontId="2" fillId="0" borderId="14" xfId="51" applyFont="1" applyBorder="1" applyAlignment="1">
      <alignment horizontal="center" vertical="center" wrapText="1"/>
    </xf>
    <xf numFmtId="177" fontId="2" fillId="0" borderId="15" xfId="51" applyFont="1" applyBorder="1" applyAlignment="1">
      <alignment horizontal="center" vertical="center" wrapText="1"/>
    </xf>
    <xf numFmtId="0" fontId="1" fillId="0" borderId="5" xfId="51" applyNumberFormat="1" applyBorder="1"/>
    <xf numFmtId="177" fontId="1" fillId="0" borderId="5" xfId="51" applyBorder="1"/>
    <xf numFmtId="14" fontId="1" fillId="0" borderId="5" xfId="51" applyNumberFormat="1" applyBorder="1"/>
    <xf numFmtId="2" fontId="1" fillId="0" borderId="5" xfId="51" applyNumberFormat="1" applyBorder="1"/>
    <xf numFmtId="14" fontId="6" fillId="5" borderId="12" xfId="51" applyNumberFormat="1" applyFont="1" applyFill="1" applyBorder="1" applyAlignment="1">
      <alignment wrapText="1"/>
    </xf>
    <xf numFmtId="2" fontId="6" fillId="5" borderId="4" xfId="51" applyNumberFormat="1" applyFont="1" applyFill="1" applyBorder="1" applyAlignment="1">
      <alignment wrapText="1"/>
    </xf>
    <xf numFmtId="2" fontId="6" fillId="5" borderId="13" xfId="51" applyNumberFormat="1" applyFont="1" applyFill="1" applyBorder="1" applyAlignment="1">
      <alignment wrapText="1"/>
    </xf>
    <xf numFmtId="182" fontId="6" fillId="5" borderId="13" xfId="51" applyNumberFormat="1" applyFont="1" applyFill="1" applyBorder="1" applyAlignment="1">
      <alignment wrapText="1"/>
    </xf>
    <xf numFmtId="177" fontId="1" fillId="0" borderId="5" xfId="51" applyBorder="1" applyAlignment="1">
      <alignment wrapText="1"/>
    </xf>
    <xf numFmtId="10" fontId="1" fillId="10" borderId="5" xfId="51" applyNumberFormat="1" applyFill="1" applyBorder="1" applyAlignment="1">
      <alignment vertical="center" wrapText="1"/>
    </xf>
    <xf numFmtId="14" fontId="6" fillId="5" borderId="4" xfId="51" applyNumberFormat="1" applyFont="1" applyFill="1" applyBorder="1" applyAlignment="1">
      <alignment wrapText="1"/>
    </xf>
    <xf numFmtId="2" fontId="1" fillId="5" borderId="4" xfId="51" applyNumberFormat="1" applyFill="1" applyBorder="1" applyAlignment="1">
      <alignment wrapText="1"/>
    </xf>
    <xf numFmtId="14" fontId="1" fillId="7" borderId="4" xfId="51" applyNumberFormat="1" applyFill="1" applyBorder="1" applyAlignment="1">
      <alignment vertical="center" wrapText="1"/>
    </xf>
    <xf numFmtId="181" fontId="4" fillId="5" borderId="4" xfId="51" applyNumberFormat="1" applyFont="1" applyFill="1" applyBorder="1" applyAlignment="1">
      <alignment vertical="center" wrapText="1"/>
    </xf>
    <xf numFmtId="182" fontId="1" fillId="0" borderId="0" xfId="51" applyNumberFormat="1"/>
    <xf numFmtId="0" fontId="1" fillId="0" borderId="5" xfId="51" applyNumberFormat="1" applyBorder="1" applyAlignment="1">
      <alignment horizontal="right"/>
    </xf>
    <xf numFmtId="14" fontId="1" fillId="5" borderId="12" xfId="51" applyNumberFormat="1" applyFill="1" applyBorder="1" applyAlignment="1">
      <alignment vertical="center" wrapText="1"/>
    </xf>
    <xf numFmtId="177" fontId="2" fillId="2" borderId="4" xfId="51" applyFont="1" applyFill="1" applyBorder="1" applyAlignment="1">
      <alignment horizontal="center" vertical="center" wrapText="1"/>
    </xf>
    <xf numFmtId="177" fontId="2" fillId="2" borderId="0" xfId="51" applyFont="1" applyFill="1" applyAlignment="1">
      <alignment horizontal="center" vertical="center" wrapText="1"/>
    </xf>
    <xf numFmtId="177" fontId="1" fillId="11" borderId="0" xfId="51" applyFill="1"/>
    <xf numFmtId="177" fontId="1" fillId="2" borderId="4" xfId="51" applyFill="1" applyBorder="1"/>
    <xf numFmtId="14" fontId="6" fillId="5" borderId="4" xfId="51" applyNumberFormat="1" applyFont="1" applyFill="1" applyBorder="1" applyAlignment="1">
      <alignment vertical="center" wrapText="1"/>
    </xf>
    <xf numFmtId="182" fontId="6" fillId="5" borderId="4" xfId="51" applyNumberFormat="1" applyFont="1" applyFill="1" applyBorder="1" applyAlignment="1">
      <alignment vertical="center" wrapText="1"/>
    </xf>
    <xf numFmtId="177" fontId="1" fillId="5" borderId="4" xfId="51" applyFill="1" applyBorder="1" applyAlignment="1">
      <alignment vertical="center" wrapText="1"/>
    </xf>
    <xf numFmtId="1" fontId="1" fillId="0" borderId="0" xfId="51" applyNumberFormat="1"/>
    <xf numFmtId="14" fontId="1" fillId="5" borderId="4" xfId="51" applyNumberFormat="1" applyFill="1" applyBorder="1" applyAlignment="1">
      <alignment wrapText="1"/>
    </xf>
    <xf numFmtId="14" fontId="4" fillId="5" borderId="12" xfId="51" applyNumberFormat="1" applyFont="1" applyFill="1" applyBorder="1" applyAlignment="1">
      <alignment vertical="center" wrapText="1"/>
    </xf>
    <xf numFmtId="9" fontId="1" fillId="2" borderId="4" xfId="51" applyNumberFormat="1" applyFill="1" applyBorder="1"/>
    <xf numFmtId="9" fontId="1" fillId="0" borderId="4" xfId="51" applyNumberFormat="1" applyBorder="1"/>
    <xf numFmtId="181" fontId="6" fillId="5" borderId="4" xfId="51" applyNumberFormat="1" applyFont="1" applyFill="1" applyBorder="1" applyAlignment="1">
      <alignment vertical="center" wrapText="1"/>
    </xf>
    <xf numFmtId="0" fontId="6" fillId="0" borderId="0" xfId="51" applyNumberFormat="1" applyFont="1"/>
    <xf numFmtId="182" fontId="6" fillId="5" borderId="0" xfId="51" applyNumberFormat="1" applyFont="1" applyFill="1" applyAlignment="1">
      <alignment vertical="center" wrapText="1"/>
    </xf>
    <xf numFmtId="180" fontId="4" fillId="0" borderId="4" xfId="51" applyNumberFormat="1" applyFont="1" applyBorder="1"/>
    <xf numFmtId="4" fontId="6" fillId="2" borderId="0" xfId="51" applyNumberFormat="1" applyFont="1" applyFill="1" applyAlignment="1">
      <alignment vertical="center" wrapText="1"/>
    </xf>
    <xf numFmtId="183" fontId="0" fillId="0" borderId="0" xfId="49" applyNumberFormat="1" applyFont="1"/>
    <xf numFmtId="182" fontId="4" fillId="5" borderId="4" xfId="51" applyNumberFormat="1" applyFont="1" applyFill="1" applyBorder="1" applyAlignment="1">
      <alignment vertical="center" wrapText="1"/>
    </xf>
    <xf numFmtId="180" fontId="9" fillId="0" borderId="4" xfId="51" applyNumberFormat="1" applyFont="1" applyBorder="1"/>
    <xf numFmtId="4" fontId="6" fillId="11" borderId="0" xfId="51" applyNumberFormat="1" applyFont="1" applyFill="1" applyAlignment="1">
      <alignment vertical="center" wrapText="1"/>
    </xf>
    <xf numFmtId="14" fontId="10" fillId="5" borderId="12" xfId="51" applyNumberFormat="1" applyFont="1" applyFill="1" applyBorder="1" applyAlignment="1">
      <alignment vertical="center" wrapText="1"/>
    </xf>
    <xf numFmtId="4" fontId="6" fillId="0" borderId="4" xfId="51" applyNumberFormat="1" applyFont="1" applyBorder="1" applyAlignment="1">
      <alignment vertical="center" wrapText="1"/>
    </xf>
    <xf numFmtId="4" fontId="6" fillId="5" borderId="16" xfId="51" applyNumberFormat="1" applyFont="1" applyFill="1" applyBorder="1" applyAlignment="1">
      <alignment vertical="center" wrapText="1"/>
    </xf>
    <xf numFmtId="9" fontId="1" fillId="11" borderId="4" xfId="51" applyNumberFormat="1" applyFill="1" applyBorder="1"/>
    <xf numFmtId="2" fontId="6" fillId="0" borderId="4" xfId="51" applyNumberFormat="1" applyFont="1" applyBorder="1" applyAlignment="1">
      <alignment wrapText="1"/>
    </xf>
    <xf numFmtId="9" fontId="1" fillId="0" borderId="0" xfId="56" applyFont="1" applyFill="1" applyBorder="1" applyAlignment="1">
      <alignment vertical="center" wrapText="1"/>
    </xf>
    <xf numFmtId="183" fontId="0" fillId="0" borderId="0" xfId="49" applyNumberFormat="1" applyFont="1" applyFill="1"/>
    <xf numFmtId="180" fontId="1" fillId="0" borderId="4" xfId="51" applyNumberFormat="1" applyBorder="1"/>
    <xf numFmtId="4" fontId="4" fillId="0" borderId="4" xfId="51" applyNumberFormat="1" applyFont="1" applyBorder="1" applyAlignment="1">
      <alignment vertical="center" wrapText="1"/>
    </xf>
    <xf numFmtId="14" fontId="1" fillId="5" borderId="16" xfId="51" applyNumberFormat="1" applyFill="1" applyBorder="1" applyAlignment="1">
      <alignment vertical="center" wrapText="1"/>
    </xf>
    <xf numFmtId="14" fontId="1" fillId="7" borderId="0" xfId="51" applyNumberFormat="1" applyFill="1"/>
    <xf numFmtId="181" fontId="6" fillId="0" borderId="0" xfId="51" applyNumberFormat="1" applyFont="1"/>
    <xf numFmtId="184" fontId="6" fillId="0" borderId="0" xfId="49" applyNumberFormat="1" applyFont="1"/>
    <xf numFmtId="0" fontId="1" fillId="2" borderId="0" xfId="51" applyNumberFormat="1" applyFill="1"/>
    <xf numFmtId="9" fontId="1" fillId="2" borderId="0" xfId="51" applyNumberFormat="1" applyFill="1"/>
    <xf numFmtId="180" fontId="1" fillId="2" borderId="0" xfId="51" applyNumberFormat="1" applyFill="1"/>
    <xf numFmtId="183" fontId="1" fillId="0" borderId="0" xfId="51" applyNumberFormat="1"/>
    <xf numFmtId="183" fontId="6" fillId="0" borderId="0" xfId="49" applyNumberFormat="1" applyFont="1"/>
    <xf numFmtId="14" fontId="6" fillId="12" borderId="12" xfId="51" applyNumberFormat="1" applyFont="1" applyFill="1" applyBorder="1" applyAlignment="1">
      <alignment wrapText="1"/>
    </xf>
    <xf numFmtId="2" fontId="6" fillId="12" borderId="4" xfId="51" applyNumberFormat="1" applyFont="1" applyFill="1" applyBorder="1" applyAlignment="1">
      <alignment wrapText="1"/>
    </xf>
    <xf numFmtId="2" fontId="6" fillId="12" borderId="13" xfId="51" applyNumberFormat="1" applyFont="1" applyFill="1" applyBorder="1" applyAlignment="1">
      <alignment wrapText="1"/>
    </xf>
    <xf numFmtId="182" fontId="6" fillId="12" borderId="13" xfId="51" applyNumberFormat="1" applyFont="1" applyFill="1" applyBorder="1" applyAlignment="1">
      <alignment wrapText="1"/>
    </xf>
    <xf numFmtId="14" fontId="6" fillId="12" borderId="17" xfId="51" applyNumberFormat="1" applyFont="1" applyFill="1" applyBorder="1" applyAlignment="1">
      <alignment wrapText="1"/>
    </xf>
    <xf numFmtId="2" fontId="6" fillId="12" borderId="9" xfId="51" applyNumberFormat="1" applyFont="1" applyFill="1" applyBorder="1" applyAlignment="1">
      <alignment wrapText="1"/>
    </xf>
    <xf numFmtId="2" fontId="6" fillId="12" borderId="18" xfId="51" applyNumberFormat="1" applyFont="1" applyFill="1" applyBorder="1" applyAlignment="1">
      <alignment wrapText="1"/>
    </xf>
    <xf numFmtId="14" fontId="6" fillId="0" borderId="8" xfId="51" applyNumberFormat="1" applyFont="1" applyBorder="1"/>
    <xf numFmtId="2" fontId="6" fillId="0" borderId="5" xfId="51" applyNumberFormat="1" applyFont="1" applyBorder="1"/>
    <xf numFmtId="2" fontId="6" fillId="0" borderId="7" xfId="51" applyNumberFormat="1" applyFont="1" applyBorder="1"/>
    <xf numFmtId="14" fontId="6" fillId="5" borderId="12" xfId="51" applyNumberFormat="1" applyFont="1" applyFill="1" applyBorder="1" applyAlignment="1">
      <alignment vertical="center" wrapText="1"/>
    </xf>
    <xf numFmtId="2" fontId="6" fillId="5" borderId="4" xfId="51" applyNumberFormat="1" applyFont="1" applyFill="1" applyBorder="1" applyAlignment="1">
      <alignment vertical="center" wrapText="1"/>
    </xf>
    <xf numFmtId="2" fontId="6" fillId="5" borderId="13" xfId="51" applyNumberFormat="1" applyFont="1" applyFill="1" applyBorder="1" applyAlignment="1">
      <alignment vertical="center" wrapText="1"/>
    </xf>
    <xf numFmtId="181" fontId="6" fillId="8" borderId="0" xfId="51" applyNumberFormat="1" applyFont="1" applyFill="1"/>
    <xf numFmtId="10" fontId="1" fillId="0" borderId="5" xfId="51" applyNumberFormat="1" applyBorder="1" applyAlignment="1">
      <alignment vertical="center" wrapText="1"/>
    </xf>
    <xf numFmtId="185" fontId="1" fillId="5" borderId="4" xfId="51" applyNumberFormat="1" applyFill="1" applyBorder="1" applyAlignment="1">
      <alignment wrapText="1"/>
    </xf>
    <xf numFmtId="14" fontId="6" fillId="0" borderId="12" xfId="51" applyNumberFormat="1" applyFont="1" applyBorder="1" applyAlignment="1">
      <alignment vertical="center" wrapText="1"/>
    </xf>
    <xf numFmtId="2" fontId="6" fillId="0" borderId="4" xfId="51" applyNumberFormat="1" applyFont="1" applyBorder="1" applyAlignment="1">
      <alignment vertical="center" wrapText="1"/>
    </xf>
    <xf numFmtId="186" fontId="1" fillId="0" borderId="0" xfId="51" applyNumberFormat="1"/>
    <xf numFmtId="9" fontId="0" fillId="0" borderId="0" xfId="56" applyFont="1"/>
    <xf numFmtId="14" fontId="1" fillId="0" borderId="0" xfId="51" applyNumberFormat="1"/>
    <xf numFmtId="187" fontId="6" fillId="5" borderId="16" xfId="51" applyNumberFormat="1" applyFont="1" applyFill="1" applyBorder="1" applyAlignment="1">
      <alignment vertical="center" wrapText="1"/>
    </xf>
    <xf numFmtId="185" fontId="6" fillId="5" borderId="4" xfId="51" applyNumberFormat="1" applyFont="1" applyFill="1" applyBorder="1" applyAlignment="1">
      <alignment vertical="center" wrapText="1"/>
    </xf>
    <xf numFmtId="0" fontId="6" fillId="9" borderId="0" xfId="51" applyNumberFormat="1" applyFont="1" applyFill="1"/>
    <xf numFmtId="0" fontId="4" fillId="0" borderId="0" xfId="51" applyNumberFormat="1" applyFont="1"/>
    <xf numFmtId="188" fontId="4" fillId="0" borderId="0" xfId="51" applyNumberFormat="1" applyFont="1"/>
    <xf numFmtId="177" fontId="4" fillId="0" borderId="0" xfId="51" applyFont="1" applyAlignment="1">
      <alignment horizontal="right"/>
    </xf>
    <xf numFmtId="177" fontId="1" fillId="0" borderId="0" xfId="51" applyAlignment="1">
      <alignment horizontal="right"/>
    </xf>
    <xf numFmtId="189" fontId="11" fillId="0" borderId="0" xfId="51" applyNumberFormat="1" applyFont="1"/>
    <xf numFmtId="188" fontId="11" fillId="0" borderId="0" xfId="51" applyNumberFormat="1" applyFont="1"/>
    <xf numFmtId="9" fontId="4" fillId="0" borderId="0" xfId="51" applyNumberFormat="1" applyFont="1"/>
    <xf numFmtId="177" fontId="12" fillId="0" borderId="0" xfId="51" applyFont="1"/>
    <xf numFmtId="177" fontId="13" fillId="4" borderId="19" xfId="51" applyFont="1" applyFill="1" applyBorder="1"/>
    <xf numFmtId="177" fontId="14" fillId="4" borderId="20" xfId="51" applyFont="1" applyFill="1" applyBorder="1"/>
    <xf numFmtId="177" fontId="3" fillId="4" borderId="20" xfId="51" applyFont="1" applyFill="1" applyBorder="1"/>
    <xf numFmtId="177" fontId="3" fillId="4" borderId="21" xfId="51" applyFont="1" applyFill="1" applyBorder="1" applyAlignment="1">
      <alignment horizontal="center"/>
    </xf>
    <xf numFmtId="177" fontId="3" fillId="4" borderId="22" xfId="51" applyFont="1" applyFill="1" applyBorder="1" applyAlignment="1">
      <alignment horizontal="center"/>
    </xf>
    <xf numFmtId="177" fontId="3" fillId="4" borderId="23" xfId="51" applyFont="1" applyFill="1" applyBorder="1" applyAlignment="1">
      <alignment horizontal="center"/>
    </xf>
    <xf numFmtId="177" fontId="13" fillId="4" borderId="0" xfId="51" applyFont="1" applyFill="1"/>
    <xf numFmtId="177" fontId="14" fillId="4" borderId="0" xfId="51" applyFont="1" applyFill="1"/>
    <xf numFmtId="177" fontId="3" fillId="4" borderId="24" xfId="51" applyFont="1" applyFill="1" applyBorder="1" applyAlignment="1">
      <alignment horizontal="center"/>
    </xf>
    <xf numFmtId="177" fontId="3" fillId="4" borderId="25" xfId="51" applyFont="1" applyFill="1" applyBorder="1" applyAlignment="1">
      <alignment horizontal="center"/>
    </xf>
    <xf numFmtId="177" fontId="3" fillId="4" borderId="26" xfId="51" applyFont="1" applyFill="1" applyBorder="1" applyAlignment="1">
      <alignment horizontal="center"/>
    </xf>
    <xf numFmtId="177" fontId="13" fillId="4" borderId="1" xfId="51" applyFont="1" applyFill="1" applyBorder="1"/>
    <xf numFmtId="177" fontId="3" fillId="4" borderId="27" xfId="51" applyFont="1" applyFill="1" applyBorder="1" applyAlignment="1">
      <alignment horizontal="center"/>
    </xf>
    <xf numFmtId="177" fontId="3" fillId="4" borderId="28" xfId="51" applyFont="1" applyFill="1" applyBorder="1" applyAlignment="1">
      <alignment horizontal="center" wrapText="1"/>
    </xf>
    <xf numFmtId="177" fontId="3" fillId="4" borderId="29" xfId="51" applyFont="1" applyFill="1" applyBorder="1" applyAlignment="1">
      <alignment horizontal="center"/>
    </xf>
    <xf numFmtId="177" fontId="3" fillId="4" borderId="30" xfId="51" applyFont="1" applyFill="1" applyBorder="1" applyAlignment="1">
      <alignment horizontal="center"/>
    </xf>
    <xf numFmtId="177" fontId="3" fillId="4" borderId="1" xfId="51" applyFont="1" applyFill="1" applyBorder="1"/>
    <xf numFmtId="177" fontId="3" fillId="4" borderId="31" xfId="51" applyFont="1" applyFill="1" applyBorder="1" applyAlignment="1">
      <alignment horizontal="center"/>
    </xf>
    <xf numFmtId="177" fontId="3" fillId="4" borderId="32" xfId="51" applyFont="1" applyFill="1" applyBorder="1" applyAlignment="1">
      <alignment horizontal="center" wrapText="1"/>
    </xf>
    <xf numFmtId="177" fontId="3" fillId="4" borderId="33" xfId="51" applyFont="1" applyFill="1" applyBorder="1" applyAlignment="1">
      <alignment horizontal="center"/>
    </xf>
    <xf numFmtId="177" fontId="4" fillId="0" borderId="0" xfId="51" applyFont="1" applyAlignment="1">
      <alignment horizontal="center"/>
    </xf>
    <xf numFmtId="177" fontId="3" fillId="4" borderId="34" xfId="51" applyFont="1" applyFill="1" applyBorder="1" applyAlignment="1">
      <alignment horizontal="center"/>
    </xf>
    <xf numFmtId="177" fontId="15" fillId="2" borderId="1" xfId="51" applyFont="1" applyFill="1" applyBorder="1"/>
    <xf numFmtId="177" fontId="14" fillId="2" borderId="0" xfId="51" applyFont="1" applyFill="1"/>
    <xf numFmtId="177" fontId="3" fillId="2" borderId="0" xfId="51" applyFont="1" applyFill="1"/>
    <xf numFmtId="177" fontId="3" fillId="2" borderId="0" xfId="51" applyFont="1" applyFill="1" applyAlignment="1">
      <alignment horizontal="right"/>
    </xf>
    <xf numFmtId="177" fontId="3" fillId="2" borderId="0" xfId="51" applyFont="1" applyFill="1" applyAlignment="1">
      <alignment horizontal="center"/>
    </xf>
    <xf numFmtId="177" fontId="3" fillId="2" borderId="2" xfId="51" applyFont="1" applyFill="1" applyBorder="1" applyAlignment="1">
      <alignment horizontal="right"/>
    </xf>
    <xf numFmtId="177" fontId="15" fillId="2" borderId="0" xfId="51" applyFont="1" applyFill="1"/>
    <xf numFmtId="177" fontId="12" fillId="0" borderId="1" xfId="51" applyFont="1" applyBorder="1" applyAlignment="1">
      <alignment horizontal="left" indent="1"/>
    </xf>
    <xf numFmtId="190" fontId="1" fillId="0" borderId="1" xfId="51" applyNumberFormat="1" applyBorder="1"/>
    <xf numFmtId="190" fontId="1" fillId="0" borderId="0" xfId="51" applyNumberFormat="1"/>
    <xf numFmtId="180" fontId="1" fillId="0" borderId="1" xfId="51" applyNumberFormat="1" applyBorder="1"/>
    <xf numFmtId="180" fontId="0" fillId="0" borderId="2" xfId="56" applyNumberFormat="1" applyFont="1" applyBorder="1"/>
    <xf numFmtId="177" fontId="1" fillId="0" borderId="0" xfId="51" applyAlignment="1">
      <alignment horizontal="left" indent="1"/>
    </xf>
    <xf numFmtId="180" fontId="0" fillId="0" borderId="0" xfId="56" applyNumberFormat="1" applyFont="1"/>
    <xf numFmtId="9" fontId="16" fillId="0" borderId="0" xfId="51" applyNumberFormat="1" applyFont="1" applyAlignment="1">
      <alignment horizontal="center"/>
    </xf>
    <xf numFmtId="177" fontId="12" fillId="0" borderId="35" xfId="51" applyFont="1" applyBorder="1" applyAlignment="1">
      <alignment horizontal="left" indent="1"/>
    </xf>
    <xf numFmtId="177" fontId="4" fillId="0" borderId="3" xfId="51" applyFont="1" applyBorder="1"/>
    <xf numFmtId="190" fontId="4" fillId="0" borderId="35" xfId="51" applyNumberFormat="1" applyFont="1" applyBorder="1"/>
    <xf numFmtId="190" fontId="4" fillId="0" borderId="3" xfId="51" applyNumberFormat="1" applyFont="1" applyBorder="1"/>
    <xf numFmtId="190" fontId="1" fillId="0" borderId="3" xfId="51" applyNumberFormat="1" applyBorder="1"/>
    <xf numFmtId="180" fontId="4" fillId="0" borderId="35" xfId="51" applyNumberFormat="1" applyFont="1" applyBorder="1"/>
    <xf numFmtId="180" fontId="4" fillId="0" borderId="3" xfId="51" applyNumberFormat="1" applyFont="1" applyBorder="1"/>
    <xf numFmtId="180" fontId="4" fillId="0" borderId="36" xfId="56" applyNumberFormat="1" applyFont="1" applyFill="1" applyBorder="1"/>
    <xf numFmtId="190" fontId="4" fillId="0" borderId="0" xfId="51" applyNumberFormat="1" applyFont="1" applyAlignment="1">
      <alignment horizontal="right"/>
    </xf>
    <xf numFmtId="180" fontId="4" fillId="0" borderId="0" xfId="51" applyNumberFormat="1" applyFont="1" applyAlignment="1">
      <alignment horizontal="right"/>
    </xf>
    <xf numFmtId="190" fontId="17" fillId="0" borderId="0" xfId="51" applyNumberFormat="1" applyFont="1"/>
    <xf numFmtId="189" fontId="4" fillId="0" borderId="0" xfId="51" applyNumberFormat="1" applyFont="1"/>
    <xf numFmtId="180" fontId="4" fillId="0" borderId="0" xfId="51" applyNumberFormat="1" applyFont="1"/>
    <xf numFmtId="177" fontId="18" fillId="4" borderId="19" xfId="51" applyFont="1" applyFill="1" applyBorder="1"/>
    <xf numFmtId="177" fontId="4" fillId="4" borderId="20" xfId="51" applyFont="1" applyFill="1" applyBorder="1"/>
    <xf numFmtId="177" fontId="12" fillId="4" borderId="20" xfId="51" applyFont="1" applyFill="1" applyBorder="1"/>
    <xf numFmtId="177" fontId="3" fillId="4" borderId="37" xfId="51" applyFont="1" applyFill="1" applyBorder="1" applyAlignment="1">
      <alignment horizontal="center" wrapText="1"/>
    </xf>
    <xf numFmtId="177" fontId="3" fillId="4" borderId="38" xfId="51" applyFont="1" applyFill="1" applyBorder="1" applyAlignment="1">
      <alignment horizontal="center" wrapText="1"/>
    </xf>
    <xf numFmtId="177" fontId="3" fillId="4" borderId="22" xfId="51" applyFont="1" applyFill="1" applyBorder="1" applyAlignment="1">
      <alignment horizontal="center" wrapText="1"/>
    </xf>
    <xf numFmtId="177" fontId="3" fillId="4" borderId="26" xfId="51" applyFont="1" applyFill="1" applyBorder="1" applyAlignment="1">
      <alignment horizontal="center" wrapText="1"/>
    </xf>
    <xf numFmtId="177" fontId="3" fillId="4" borderId="39" xfId="51" applyFont="1" applyFill="1" applyBorder="1" applyAlignment="1">
      <alignment horizontal="center" wrapText="1"/>
    </xf>
    <xf numFmtId="177" fontId="3" fillId="4" borderId="25" xfId="51" applyFont="1" applyFill="1" applyBorder="1" applyAlignment="1">
      <alignment horizontal="center" wrapText="1"/>
    </xf>
    <xf numFmtId="177" fontId="4" fillId="4" borderId="0" xfId="51" applyFont="1" applyFill="1"/>
    <xf numFmtId="177" fontId="12" fillId="4" borderId="0" xfId="51" applyFont="1" applyFill="1"/>
    <xf numFmtId="177" fontId="3" fillId="4" borderId="31" xfId="51" applyFont="1" applyFill="1" applyBorder="1" applyAlignment="1">
      <alignment horizontal="center" wrapText="1"/>
    </xf>
    <xf numFmtId="177" fontId="12" fillId="2" borderId="1" xfId="51" applyFont="1" applyFill="1" applyBorder="1"/>
    <xf numFmtId="177" fontId="4" fillId="2" borderId="0" xfId="51" applyFont="1" applyFill="1"/>
    <xf numFmtId="177" fontId="12" fillId="2" borderId="0" xfId="51" applyFont="1" applyFill="1"/>
    <xf numFmtId="177" fontId="12" fillId="2" borderId="0" xfId="51" applyFont="1" applyFill="1" applyAlignment="1">
      <alignment horizontal="center"/>
    </xf>
    <xf numFmtId="177" fontId="12" fillId="2" borderId="0" xfId="51" applyFont="1" applyFill="1" applyAlignment="1">
      <alignment horizontal="right"/>
    </xf>
    <xf numFmtId="190" fontId="12" fillId="2" borderId="0" xfId="51" applyNumberFormat="1" applyFont="1" applyFill="1" applyAlignment="1">
      <alignment horizontal="center"/>
    </xf>
    <xf numFmtId="177" fontId="19" fillId="2" borderId="0" xfId="51" applyFont="1" applyFill="1" applyAlignment="1">
      <alignment horizontal="right"/>
    </xf>
    <xf numFmtId="177" fontId="19" fillId="2" borderId="2" xfId="51" applyFont="1" applyFill="1" applyBorder="1" applyAlignment="1">
      <alignment horizontal="right"/>
    </xf>
    <xf numFmtId="190" fontId="3" fillId="2" borderId="0" xfId="51" applyNumberFormat="1" applyFont="1" applyFill="1" applyAlignment="1">
      <alignment horizontal="center"/>
    </xf>
    <xf numFmtId="190" fontId="4" fillId="0" borderId="1" xfId="51" applyNumberFormat="1" applyFont="1" applyBorder="1"/>
    <xf numFmtId="190" fontId="4" fillId="0" borderId="0" xfId="51" applyNumberFormat="1" applyFont="1"/>
    <xf numFmtId="180" fontId="4" fillId="0" borderId="0" xfId="56" applyNumberFormat="1" applyFont="1" applyFill="1" applyBorder="1"/>
    <xf numFmtId="190" fontId="20" fillId="11" borderId="0" xfId="51" applyNumberFormat="1" applyFont="1" applyFill="1"/>
    <xf numFmtId="180" fontId="4" fillId="0" borderId="1" xfId="51" applyNumberFormat="1" applyFont="1" applyBorder="1"/>
    <xf numFmtId="180" fontId="20" fillId="11" borderId="2" xfId="51" applyNumberFormat="1" applyFont="1" applyFill="1" applyBorder="1"/>
    <xf numFmtId="9" fontId="4" fillId="0" borderId="0" xfId="56" applyFont="1"/>
    <xf numFmtId="189" fontId="17" fillId="0" borderId="0" xfId="51" applyNumberFormat="1" applyFont="1"/>
    <xf numFmtId="189" fontId="1" fillId="0" borderId="0" xfId="51" applyNumberFormat="1"/>
    <xf numFmtId="9" fontId="6" fillId="0" borderId="0" xfId="51" applyNumberFormat="1" applyFont="1" applyAlignment="1">
      <alignment horizontal="center"/>
    </xf>
    <xf numFmtId="189" fontId="17" fillId="0" borderId="0" xfId="51" applyNumberFormat="1" applyFont="1" applyAlignment="1">
      <alignment horizontal="right"/>
    </xf>
    <xf numFmtId="9" fontId="6" fillId="0" borderId="0" xfId="56" applyFont="1"/>
    <xf numFmtId="180" fontId="4" fillId="0" borderId="2" xfId="51" applyNumberFormat="1" applyFont="1" applyBorder="1"/>
    <xf numFmtId="177" fontId="4" fillId="0" borderId="1" xfId="51" applyFont="1" applyBorder="1"/>
    <xf numFmtId="182" fontId="4" fillId="0" borderId="1" xfId="51" applyNumberFormat="1" applyFont="1" applyBorder="1" applyAlignment="1">
      <alignment horizontal="center"/>
    </xf>
    <xf numFmtId="182" fontId="4" fillId="0" borderId="0" xfId="51" applyNumberFormat="1" applyFont="1" applyAlignment="1">
      <alignment horizontal="center"/>
    </xf>
    <xf numFmtId="180" fontId="4" fillId="0" borderId="1" xfId="56" applyNumberFormat="1" applyFont="1" applyFill="1" applyBorder="1" applyAlignment="1">
      <alignment horizontal="center"/>
    </xf>
    <xf numFmtId="180" fontId="4" fillId="0" borderId="0" xfId="56" applyNumberFormat="1" applyFont="1" applyFill="1" applyBorder="1" applyAlignment="1">
      <alignment horizontal="center"/>
    </xf>
    <xf numFmtId="180" fontId="4" fillId="0" borderId="2" xfId="56" applyNumberFormat="1" applyFont="1" applyFill="1" applyBorder="1" applyAlignment="1">
      <alignment horizontal="center"/>
    </xf>
    <xf numFmtId="2" fontId="11" fillId="0" borderId="0" xfId="51" applyNumberFormat="1" applyFont="1" applyAlignment="1">
      <alignment horizontal="center"/>
    </xf>
    <xf numFmtId="180" fontId="4" fillId="0" borderId="0" xfId="56" applyNumberFormat="1" applyFont="1" applyFill="1" applyAlignment="1">
      <alignment horizontal="center"/>
    </xf>
    <xf numFmtId="180" fontId="4" fillId="0" borderId="0" xfId="51" applyNumberFormat="1" applyFont="1" applyAlignment="1">
      <alignment horizontal="center"/>
    </xf>
    <xf numFmtId="177" fontId="1" fillId="0" borderId="3" xfId="51" applyBorder="1" applyAlignment="1">
      <alignment horizontal="left" indent="1"/>
    </xf>
    <xf numFmtId="177" fontId="1" fillId="0" borderId="3" xfId="51" applyBorder="1"/>
    <xf numFmtId="180" fontId="0" fillId="0" borderId="3" xfId="56" applyNumberFormat="1" applyFont="1" applyBorder="1"/>
    <xf numFmtId="180" fontId="1" fillId="0" borderId="3" xfId="51" applyNumberFormat="1" applyBorder="1"/>
    <xf numFmtId="9" fontId="21" fillId="0" borderId="0" xfId="51" applyNumberFormat="1" applyFont="1" applyAlignment="1">
      <alignment horizontal="center"/>
    </xf>
    <xf numFmtId="177" fontId="12" fillId="0" borderId="6" xfId="51" applyFont="1" applyBorder="1" applyAlignment="1">
      <alignment horizontal="left"/>
    </xf>
    <xf numFmtId="190" fontId="12" fillId="0" borderId="7" xfId="51" applyNumberFormat="1" applyFont="1" applyBorder="1" applyAlignment="1">
      <alignment horizontal="right"/>
    </xf>
    <xf numFmtId="190" fontId="12" fillId="0" borderId="6" xfId="51" applyNumberFormat="1" applyFont="1" applyBorder="1" applyAlignment="1">
      <alignment horizontal="right"/>
    </xf>
    <xf numFmtId="180" fontId="12" fillId="0" borderId="6" xfId="56" applyNumberFormat="1" applyFont="1" applyFill="1" applyBorder="1" applyAlignment="1">
      <alignment horizontal="right"/>
    </xf>
    <xf numFmtId="190" fontId="22" fillId="11" borderId="6" xfId="51" applyNumberFormat="1" applyFont="1" applyFill="1" applyBorder="1" applyAlignment="1">
      <alignment horizontal="right"/>
    </xf>
    <xf numFmtId="180" fontId="12" fillId="0" borderId="40" xfId="56" applyNumberFormat="1" applyFont="1" applyFill="1" applyBorder="1" applyAlignment="1">
      <alignment horizontal="right"/>
    </xf>
    <xf numFmtId="180" fontId="12" fillId="0" borderId="41" xfId="56" applyNumberFormat="1" applyFont="1" applyFill="1" applyBorder="1" applyAlignment="1">
      <alignment horizontal="right"/>
    </xf>
    <xf numFmtId="180" fontId="22" fillId="11" borderId="8" xfId="56" applyNumberFormat="1" applyFont="1" applyFill="1" applyBorder="1" applyAlignment="1">
      <alignment horizontal="right"/>
    </xf>
    <xf numFmtId="177" fontId="2" fillId="0" borderId="0" xfId="51" applyFont="1" applyAlignment="1">
      <alignment horizontal="left" indent="1"/>
    </xf>
    <xf numFmtId="177" fontId="2" fillId="0" borderId="20" xfId="51" applyFont="1" applyBorder="1" applyAlignment="1">
      <alignment horizontal="left"/>
    </xf>
    <xf numFmtId="176" fontId="2" fillId="0" borderId="20" xfId="51" applyNumberFormat="1" applyFont="1" applyBorder="1" applyAlignment="1">
      <alignment horizontal="right"/>
    </xf>
    <xf numFmtId="180" fontId="2" fillId="0" borderId="0" xfId="56" applyNumberFormat="1" applyFont="1"/>
    <xf numFmtId="4" fontId="2" fillId="0" borderId="20" xfId="51" applyNumberFormat="1" applyFont="1" applyBorder="1" applyAlignment="1">
      <alignment vertical="center"/>
    </xf>
    <xf numFmtId="180" fontId="2" fillId="0" borderId="0" xfId="51" applyNumberFormat="1" applyFont="1"/>
    <xf numFmtId="177" fontId="2" fillId="0" borderId="1" xfId="51" applyFont="1" applyBorder="1"/>
    <xf numFmtId="177" fontId="4" fillId="0" borderId="19" xfId="51" applyFont="1" applyBorder="1"/>
    <xf numFmtId="190" fontId="4" fillId="0" borderId="20" xfId="51" applyNumberFormat="1" applyFont="1" applyBorder="1"/>
    <xf numFmtId="190" fontId="4" fillId="0" borderId="42" xfId="51" applyNumberFormat="1" applyFont="1" applyBorder="1"/>
    <xf numFmtId="180" fontId="0" fillId="0" borderId="0" xfId="56" applyNumberFormat="1" applyFont="1" applyFill="1"/>
    <xf numFmtId="177" fontId="4" fillId="11" borderId="0" xfId="51" applyFont="1" applyFill="1"/>
    <xf numFmtId="180" fontId="4" fillId="11" borderId="0" xfId="56" applyNumberFormat="1" applyFont="1" applyFill="1" applyBorder="1"/>
    <xf numFmtId="177" fontId="12" fillId="11" borderId="0" xfId="51" applyFont="1" applyFill="1" applyAlignment="1">
      <alignment horizontal="right"/>
    </xf>
    <xf numFmtId="177" fontId="12" fillId="11" borderId="0" xfId="51" applyFont="1" applyFill="1" applyAlignment="1">
      <alignment horizontal="center"/>
    </xf>
    <xf numFmtId="177" fontId="12" fillId="11" borderId="2" xfId="51" applyFont="1" applyFill="1" applyBorder="1" applyAlignment="1">
      <alignment horizontal="right"/>
    </xf>
    <xf numFmtId="177" fontId="1" fillId="0" borderId="1" xfId="51" applyBorder="1" applyAlignment="1">
      <alignment horizontal="left" indent="1"/>
    </xf>
    <xf numFmtId="182" fontId="4" fillId="0" borderId="1" xfId="51" applyNumberFormat="1" applyFont="1" applyBorder="1"/>
    <xf numFmtId="182" fontId="4" fillId="0" borderId="0" xfId="51" applyNumberFormat="1" applyFont="1"/>
    <xf numFmtId="182" fontId="4" fillId="0" borderId="2" xfId="51" applyNumberFormat="1" applyFont="1" applyBorder="1" applyAlignment="1">
      <alignment horizontal="center"/>
    </xf>
    <xf numFmtId="180" fontId="4" fillId="0" borderId="2" xfId="51" applyNumberFormat="1" applyFont="1" applyBorder="1" applyAlignment="1">
      <alignment horizontal="center"/>
    </xf>
    <xf numFmtId="176" fontId="16" fillId="0" borderId="0" xfId="51" applyNumberFormat="1" applyFont="1" applyAlignment="1">
      <alignment horizontal="right"/>
    </xf>
    <xf numFmtId="2" fontId="16" fillId="0" borderId="0" xfId="51" applyNumberFormat="1" applyFont="1" applyAlignment="1">
      <alignment horizontal="center"/>
    </xf>
    <xf numFmtId="180" fontId="4" fillId="0" borderId="1" xfId="51" applyNumberFormat="1" applyFont="1" applyBorder="1" applyAlignment="1">
      <alignment horizontal="center"/>
    </xf>
    <xf numFmtId="177" fontId="1" fillId="0" borderId="35" xfId="51" applyBorder="1" applyAlignment="1">
      <alignment horizontal="left" indent="1"/>
    </xf>
    <xf numFmtId="182" fontId="4" fillId="0" borderId="35" xfId="51" applyNumberFormat="1" applyFont="1" applyBorder="1" applyAlignment="1">
      <alignment horizontal="center"/>
    </xf>
    <xf numFmtId="182" fontId="4" fillId="0" borderId="3" xfId="51" applyNumberFormat="1" applyFont="1" applyBorder="1" applyAlignment="1">
      <alignment horizontal="center"/>
    </xf>
    <xf numFmtId="180" fontId="4" fillId="0" borderId="43" xfId="51" applyNumberFormat="1" applyFont="1" applyBorder="1" applyAlignment="1">
      <alignment horizontal="center"/>
    </xf>
    <xf numFmtId="180" fontId="4" fillId="0" borderId="44" xfId="51" applyNumberFormat="1" applyFont="1" applyBorder="1" applyAlignment="1">
      <alignment horizontal="center"/>
    </xf>
    <xf numFmtId="180" fontId="4" fillId="0" borderId="45" xfId="51" applyNumberFormat="1" applyFont="1" applyBorder="1" applyAlignment="1">
      <alignment horizontal="center"/>
    </xf>
    <xf numFmtId="2" fontId="16" fillId="0" borderId="3" xfId="51" applyNumberFormat="1" applyFont="1" applyBorder="1" applyAlignment="1">
      <alignment horizontal="center"/>
    </xf>
    <xf numFmtId="180" fontId="4" fillId="0" borderId="3" xfId="51" applyNumberFormat="1" applyFont="1" applyBorder="1" applyAlignment="1">
      <alignment horizontal="center"/>
    </xf>
    <xf numFmtId="182" fontId="12" fillId="0" borderId="7" xfId="51" applyNumberFormat="1" applyFont="1" applyBorder="1"/>
    <xf numFmtId="182" fontId="12" fillId="0" borderId="6" xfId="51" applyNumberFormat="1" applyFont="1" applyBorder="1"/>
    <xf numFmtId="180" fontId="12" fillId="0" borderId="6" xfId="56" applyNumberFormat="1" applyFont="1" applyFill="1" applyBorder="1"/>
    <xf numFmtId="182" fontId="12" fillId="0" borderId="35" xfId="51" applyNumberFormat="1" applyFont="1" applyBorder="1" applyAlignment="1">
      <alignment horizontal="center"/>
    </xf>
    <xf numFmtId="182" fontId="12" fillId="0" borderId="3" xfId="51" applyNumberFormat="1" applyFont="1" applyBorder="1" applyAlignment="1">
      <alignment horizontal="center"/>
    </xf>
    <xf numFmtId="180" fontId="12" fillId="0" borderId="46" xfId="51" applyNumberFormat="1" applyFont="1" applyBorder="1" applyAlignment="1">
      <alignment horizontal="center"/>
    </xf>
    <xf numFmtId="180" fontId="12" fillId="0" borderId="47" xfId="51" applyNumberFormat="1" applyFont="1" applyBorder="1" applyAlignment="1">
      <alignment horizontal="center"/>
    </xf>
    <xf numFmtId="180" fontId="12" fillId="0" borderId="48" xfId="51" applyNumberFormat="1" applyFont="1" applyBorder="1" applyAlignment="1">
      <alignment horizontal="center"/>
    </xf>
    <xf numFmtId="9" fontId="4" fillId="0" borderId="0" xfId="51" applyNumberFormat="1" applyFont="1" applyAlignment="1">
      <alignment horizontal="center"/>
    </xf>
    <xf numFmtId="177" fontId="2" fillId="0" borderId="20" xfId="51" applyFont="1" applyBorder="1" applyAlignment="1">
      <alignment horizontal="left" indent="1"/>
    </xf>
    <xf numFmtId="2" fontId="12" fillId="0" borderId="0" xfId="51" applyNumberFormat="1" applyFont="1" applyAlignment="1">
      <alignment horizontal="center"/>
    </xf>
    <xf numFmtId="180" fontId="2" fillId="0" borderId="20" xfId="51" applyNumberFormat="1" applyFont="1" applyBorder="1" applyAlignment="1">
      <alignment horizontal="center"/>
    </xf>
    <xf numFmtId="177" fontId="12" fillId="0" borderId="0" xfId="51" applyFont="1" applyAlignment="1">
      <alignment horizontal="left" indent="1"/>
    </xf>
    <xf numFmtId="177" fontId="12" fillId="0" borderId="0" xfId="51" applyFont="1" applyAlignment="1">
      <alignment horizontal="left"/>
    </xf>
    <xf numFmtId="180" fontId="12" fillId="0" borderId="0" xfId="51" applyNumberFormat="1" applyFont="1" applyAlignment="1">
      <alignment horizontal="right"/>
    </xf>
    <xf numFmtId="177" fontId="2" fillId="0" borderId="0" xfId="51" applyFont="1" applyAlignment="1">
      <alignment horizontal="left"/>
    </xf>
    <xf numFmtId="176" fontId="2" fillId="0" borderId="0" xfId="51" applyNumberFormat="1" applyFont="1" applyAlignment="1">
      <alignment horizontal="right"/>
    </xf>
    <xf numFmtId="180" fontId="2" fillId="0" borderId="0" xfId="51" applyNumberFormat="1" applyFont="1" applyAlignment="1">
      <alignment horizontal="center"/>
    </xf>
    <xf numFmtId="180" fontId="1" fillId="0" borderId="0" xfId="51" applyNumberFormat="1" applyAlignment="1">
      <alignment horizontal="right"/>
    </xf>
    <xf numFmtId="177" fontId="1" fillId="0" borderId="0" xfId="51" applyAlignment="1">
      <alignment horizontal="left" wrapText="1" indent="1"/>
    </xf>
    <xf numFmtId="9" fontId="2" fillId="0" borderId="0" xfId="51" applyNumberFormat="1" applyFont="1" applyAlignment="1">
      <alignment horizontal="right"/>
    </xf>
    <xf numFmtId="180" fontId="2" fillId="0" borderId="0" xfId="51" applyNumberFormat="1" applyFont="1" applyAlignment="1">
      <alignment horizontal="right"/>
    </xf>
    <xf numFmtId="177" fontId="23" fillId="0" borderId="0" xfId="51" applyFont="1"/>
    <xf numFmtId="180" fontId="24" fillId="0" borderId="0" xfId="51" applyNumberFormat="1" applyFont="1" applyAlignment="1">
      <alignment horizontal="right"/>
    </xf>
    <xf numFmtId="177" fontId="14" fillId="2" borderId="1" xfId="51" applyFont="1" applyFill="1" applyBorder="1"/>
    <xf numFmtId="177" fontId="3" fillId="2" borderId="2" xfId="51" applyFont="1" applyFill="1" applyBorder="1" applyAlignment="1">
      <alignment horizontal="center"/>
    </xf>
    <xf numFmtId="177" fontId="3" fillId="2" borderId="1" xfId="51" applyFont="1" applyFill="1" applyBorder="1" applyAlignment="1">
      <alignment horizontal="right"/>
    </xf>
    <xf numFmtId="191" fontId="1" fillId="0" borderId="1" xfId="51" applyNumberFormat="1" applyBorder="1"/>
    <xf numFmtId="191" fontId="1" fillId="0" borderId="0" xfId="51" applyNumberFormat="1"/>
    <xf numFmtId="191" fontId="1" fillId="0" borderId="2" xfId="51" applyNumberFormat="1" applyBorder="1"/>
    <xf numFmtId="191" fontId="11" fillId="0" borderId="0" xfId="51" applyNumberFormat="1" applyFont="1"/>
    <xf numFmtId="191" fontId="1" fillId="0" borderId="35" xfId="51" applyNumberFormat="1" applyBorder="1"/>
    <xf numFmtId="191" fontId="1" fillId="0" borderId="3" xfId="51" applyNumberFormat="1" applyBorder="1"/>
    <xf numFmtId="191" fontId="1" fillId="0" borderId="36" xfId="51" applyNumberFormat="1" applyBorder="1"/>
    <xf numFmtId="180" fontId="0" fillId="0" borderId="36" xfId="56" applyNumberFormat="1" applyFont="1" applyBorder="1"/>
    <xf numFmtId="177" fontId="3" fillId="4" borderId="49" xfId="51" applyFont="1" applyFill="1" applyBorder="1" applyAlignment="1">
      <alignment horizontal="center"/>
    </xf>
    <xf numFmtId="177" fontId="3" fillId="4" borderId="50" xfId="51" applyFont="1" applyFill="1" applyBorder="1" applyAlignment="1">
      <alignment horizontal="center"/>
    </xf>
    <xf numFmtId="177" fontId="12" fillId="2" borderId="1" xfId="51" applyFont="1" applyFill="1" applyBorder="1" applyAlignment="1">
      <alignment horizontal="right"/>
    </xf>
    <xf numFmtId="177" fontId="12" fillId="2" borderId="2" xfId="51" applyFont="1" applyFill="1" applyBorder="1" applyAlignment="1">
      <alignment horizontal="right"/>
    </xf>
    <xf numFmtId="191" fontId="4" fillId="0" borderId="1" xfId="51" applyNumberFormat="1" applyFont="1" applyBorder="1"/>
    <xf numFmtId="191" fontId="4" fillId="0" borderId="0" xfId="51" applyNumberFormat="1" applyFont="1"/>
    <xf numFmtId="180" fontId="4" fillId="0" borderId="2" xfId="56" applyNumberFormat="1" applyFont="1" applyFill="1" applyBorder="1"/>
    <xf numFmtId="187" fontId="4" fillId="0" borderId="1" xfId="51" applyNumberFormat="1" applyFont="1" applyBorder="1"/>
    <xf numFmtId="187" fontId="4" fillId="0" borderId="0" xfId="51" applyNumberFormat="1" applyFont="1"/>
    <xf numFmtId="187" fontId="20" fillId="11" borderId="0" xfId="51" applyNumberFormat="1" applyFont="1" applyFill="1"/>
    <xf numFmtId="191" fontId="17" fillId="0" borderId="0" xfId="51" applyNumberFormat="1" applyFont="1"/>
    <xf numFmtId="187" fontId="4" fillId="0" borderId="0" xfId="51" applyNumberFormat="1" applyFont="1" applyAlignment="1">
      <alignment horizontal="right"/>
    </xf>
    <xf numFmtId="180" fontId="4" fillId="0" borderId="2" xfId="51" applyNumberFormat="1" applyFont="1" applyBorder="1" applyAlignment="1">
      <alignment horizontal="right"/>
    </xf>
    <xf numFmtId="187" fontId="4" fillId="0" borderId="1" xfId="51" applyNumberFormat="1" applyFont="1" applyBorder="1" applyAlignment="1">
      <alignment horizontal="center"/>
    </xf>
    <xf numFmtId="187" fontId="4" fillId="0" borderId="0" xfId="51" applyNumberFormat="1" applyFont="1" applyAlignment="1">
      <alignment horizontal="center"/>
    </xf>
    <xf numFmtId="187" fontId="11" fillId="0" borderId="0" xfId="51" applyNumberFormat="1" applyFont="1" applyAlignment="1">
      <alignment horizontal="center"/>
    </xf>
    <xf numFmtId="191" fontId="4" fillId="0" borderId="35" xfId="51" applyNumberFormat="1" applyFont="1" applyBorder="1"/>
    <xf numFmtId="191" fontId="4" fillId="0" borderId="3" xfId="51" applyNumberFormat="1" applyFont="1" applyBorder="1"/>
    <xf numFmtId="187" fontId="4" fillId="0" borderId="35" xfId="51" applyNumberFormat="1" applyFont="1" applyBorder="1" applyAlignment="1">
      <alignment horizontal="center"/>
    </xf>
    <xf numFmtId="187" fontId="4" fillId="0" borderId="3" xfId="51" applyNumberFormat="1" applyFont="1" applyBorder="1" applyAlignment="1">
      <alignment horizontal="center"/>
    </xf>
    <xf numFmtId="187" fontId="11" fillId="0" borderId="3" xfId="51" applyNumberFormat="1" applyFont="1" applyBorder="1" applyAlignment="1">
      <alignment horizontal="center"/>
    </xf>
    <xf numFmtId="177" fontId="12" fillId="0" borderId="3" xfId="51" applyFont="1" applyBorder="1" applyAlignment="1">
      <alignment horizontal="left"/>
    </xf>
    <xf numFmtId="191" fontId="12" fillId="0" borderId="35" xfId="51" applyNumberFormat="1" applyFont="1" applyBorder="1" applyAlignment="1">
      <alignment horizontal="right"/>
    </xf>
    <xf numFmtId="191" fontId="12" fillId="0" borderId="3" xfId="51" applyNumberFormat="1" applyFont="1" applyBorder="1" applyAlignment="1">
      <alignment horizontal="right"/>
    </xf>
    <xf numFmtId="180" fontId="12" fillId="0" borderId="36" xfId="56" applyNumberFormat="1" applyFont="1" applyFill="1" applyBorder="1" applyAlignment="1">
      <alignment horizontal="right"/>
    </xf>
    <xf numFmtId="187" fontId="12" fillId="0" borderId="35" xfId="51" applyNumberFormat="1" applyFont="1" applyBorder="1" applyAlignment="1">
      <alignment horizontal="right"/>
    </xf>
    <xf numFmtId="187" fontId="12" fillId="0" borderId="6" xfId="51" applyNumberFormat="1" applyFont="1" applyBorder="1" applyAlignment="1">
      <alignment horizontal="right"/>
    </xf>
    <xf numFmtId="187" fontId="22" fillId="11" borderId="6" xfId="51" applyNumberFormat="1" applyFont="1" applyFill="1" applyBorder="1" applyAlignment="1">
      <alignment horizontal="right"/>
    </xf>
    <xf numFmtId="180" fontId="12" fillId="0" borderId="51" xfId="56" applyNumberFormat="1" applyFont="1" applyFill="1" applyBorder="1" applyAlignment="1">
      <alignment horizontal="right"/>
    </xf>
    <xf numFmtId="192" fontId="2" fillId="0" borderId="20" xfId="51" applyNumberFormat="1" applyFont="1" applyBorder="1" applyAlignment="1">
      <alignment horizontal="right"/>
    </xf>
    <xf numFmtId="192" fontId="2" fillId="0" borderId="20" xfId="51" applyNumberFormat="1" applyFont="1" applyBorder="1" applyAlignment="1">
      <alignment vertical="center"/>
    </xf>
    <xf numFmtId="177" fontId="1" fillId="0" borderId="19" xfId="51" applyBorder="1"/>
    <xf numFmtId="180" fontId="0" fillId="0" borderId="0" xfId="56" applyNumberFormat="1" applyFont="1" applyBorder="1"/>
    <xf numFmtId="177" fontId="14" fillId="11" borderId="0" xfId="51" applyFont="1" applyFill="1"/>
    <xf numFmtId="180" fontId="14" fillId="11" borderId="0" xfId="56" applyNumberFormat="1" applyFont="1" applyFill="1" applyBorder="1"/>
    <xf numFmtId="180" fontId="4" fillId="0" borderId="0" xfId="56" applyNumberFormat="1" applyFont="1" applyBorder="1"/>
    <xf numFmtId="187" fontId="4" fillId="0" borderId="2" xfId="51" applyNumberFormat="1" applyFont="1" applyBorder="1" applyAlignment="1">
      <alignment horizontal="center"/>
    </xf>
    <xf numFmtId="192" fontId="16" fillId="0" borderId="0" xfId="51" applyNumberFormat="1" applyFont="1" applyAlignment="1">
      <alignment horizontal="right"/>
    </xf>
    <xf numFmtId="187" fontId="16" fillId="0" borderId="0" xfId="51" applyNumberFormat="1" applyFont="1" applyAlignment="1">
      <alignment horizontal="center"/>
    </xf>
    <xf numFmtId="180" fontId="4" fillId="0" borderId="2" xfId="56" applyNumberFormat="1" applyFont="1" applyBorder="1"/>
    <xf numFmtId="180" fontId="4" fillId="0" borderId="36" xfId="56" applyNumberFormat="1" applyFont="1" applyBorder="1"/>
    <xf numFmtId="187" fontId="4" fillId="0" borderId="36" xfId="51" applyNumberFormat="1" applyFont="1" applyBorder="1" applyAlignment="1">
      <alignment horizontal="center"/>
    </xf>
    <xf numFmtId="192" fontId="16" fillId="0" borderId="3" xfId="51" applyNumberFormat="1" applyFont="1" applyBorder="1" applyAlignment="1">
      <alignment horizontal="right"/>
    </xf>
    <xf numFmtId="187" fontId="16" fillId="0" borderId="3" xfId="51" applyNumberFormat="1" applyFont="1" applyBorder="1" applyAlignment="1">
      <alignment horizontal="center"/>
    </xf>
    <xf numFmtId="191" fontId="12" fillId="0" borderId="35" xfId="51" applyNumberFormat="1" applyFont="1" applyBorder="1"/>
    <xf numFmtId="191" fontId="12" fillId="0" borderId="3" xfId="51" applyNumberFormat="1" applyFont="1" applyBorder="1"/>
    <xf numFmtId="180" fontId="12" fillId="0" borderId="36" xfId="56" applyNumberFormat="1" applyFont="1" applyBorder="1"/>
    <xf numFmtId="187" fontId="12" fillId="0" borderId="35" xfId="51" applyNumberFormat="1" applyFont="1" applyBorder="1" applyAlignment="1">
      <alignment horizontal="center"/>
    </xf>
    <xf numFmtId="187" fontId="12" fillId="0" borderId="3" xfId="51" applyNumberFormat="1" applyFont="1" applyBorder="1" applyAlignment="1">
      <alignment horizontal="center"/>
    </xf>
    <xf numFmtId="192" fontId="2" fillId="0" borderId="0" xfId="51" applyNumberFormat="1" applyFont="1" applyAlignment="1">
      <alignment horizontal="right"/>
    </xf>
    <xf numFmtId="187" fontId="12" fillId="0" borderId="0" xfId="51" applyNumberFormat="1" applyFont="1" applyAlignment="1">
      <alignment horizontal="center"/>
    </xf>
    <xf numFmtId="10" fontId="2" fillId="0" borderId="0" xfId="51" applyNumberFormat="1" applyFont="1" applyAlignment="1">
      <alignment horizontal="center"/>
    </xf>
    <xf numFmtId="10" fontId="0" fillId="0" borderId="0" xfId="56" applyNumberFormat="1" applyFont="1"/>
    <xf numFmtId="10" fontId="1" fillId="0" borderId="0" xfId="51" applyNumberFormat="1"/>
    <xf numFmtId="177" fontId="1" fillId="0" borderId="0" xfId="51" applyAlignment="1">
      <alignment horizontal="left"/>
    </xf>
    <xf numFmtId="177" fontId="25" fillId="0" borderId="0" xfId="51" applyFont="1"/>
    <xf numFmtId="3" fontId="1" fillId="0" borderId="0" xfId="51" applyNumberFormat="1"/>
    <xf numFmtId="0" fontId="14" fillId="4" borderId="0" xfId="55" applyFont="1" applyFill="1"/>
    <xf numFmtId="0" fontId="26" fillId="4" borderId="0" xfId="55" applyFont="1" applyFill="1" applyAlignment="1">
      <alignment horizontal="left"/>
    </xf>
    <xf numFmtId="0" fontId="14" fillId="7" borderId="0" xfId="55" applyFont="1" applyFill="1"/>
    <xf numFmtId="0" fontId="27" fillId="4" borderId="0" xfId="55" applyFont="1" applyFill="1" applyAlignment="1">
      <alignment horizontal="left"/>
    </xf>
    <xf numFmtId="177" fontId="28" fillId="4" borderId="0" xfId="55" applyNumberFormat="1" applyFont="1" applyFill="1" applyAlignment="1">
      <alignment horizontal="left" indent="1"/>
    </xf>
    <xf numFmtId="0" fontId="29" fillId="4" borderId="0" xfId="55" applyFont="1" applyFill="1" applyAlignment="1">
      <alignment horizontal="left" vertical="center" readingOrder="1"/>
    </xf>
    <xf numFmtId="0" fontId="30" fillId="4" borderId="0" xfId="55" applyFont="1" applyFill="1" applyAlignment="1">
      <alignment horizontal="left" vertical="center" readingOrder="1"/>
    </xf>
    <xf numFmtId="0" fontId="31" fillId="4" borderId="0" xfId="55" applyFont="1" applyFill="1" applyAlignment="1">
      <alignment horizontal="left" vertical="center"/>
    </xf>
    <xf numFmtId="0" fontId="32" fillId="4" borderId="0" xfId="55" applyFont="1" applyFill="1"/>
    <xf numFmtId="0" fontId="31" fillId="4" borderId="0" xfId="55" applyFont="1" applyFill="1" applyAlignment="1">
      <alignment horizontal="left"/>
    </xf>
    <xf numFmtId="193" fontId="33" fillId="4" borderId="0" xfId="55" applyNumberFormat="1" applyFont="1" applyFill="1" applyAlignment="1">
      <alignment horizontal="center"/>
    </xf>
    <xf numFmtId="0" fontId="34" fillId="4" borderId="0" xfId="55" applyFont="1" applyFill="1" applyAlignment="1">
      <alignment horizontal="left" vertical="top" wrapText="1"/>
    </xf>
    <xf numFmtId="0" fontId="31" fillId="4" borderId="0" xfId="55" applyFont="1" applyFill="1" applyAlignment="1" quotePrefix="1">
      <alignment horizontal="left"/>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2" xfId="49"/>
    <cellStyle name="Hyperlink 2" xfId="50"/>
    <cellStyle name="Normal 2" xfId="51"/>
    <cellStyle name="Normal 2 2" xfId="52"/>
    <cellStyle name="Normal 3" xfId="53"/>
    <cellStyle name="Normal 4" xfId="54"/>
    <cellStyle name="Normal 6" xfId="55"/>
    <cellStyle name="Percent 2" xfId="56"/>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DRAM ASP Weight by Products</a:t>
            </a:r>
            <a:endParaRPr lang="en-US"/>
          </a:p>
        </c:rich>
      </c:tx>
      <c:layout/>
      <c:overlay val="0"/>
    </c:title>
    <c:autoTitleDeleted val="0"/>
    <c:plotArea>
      <c:layout/>
      <c:pieChart>
        <c:varyColors val="1"/>
        <c:ser>
          <c:idx val="0"/>
          <c:order val="0"/>
          <c:explosion val="0"/>
          <c:dLbls>
            <c:spPr>
              <a:noFill/>
              <a:ln>
                <a:noFill/>
              </a:ln>
              <a:effectLst/>
            </c:spPr>
            <c:txPr>
              <a:bodyPr rot="0" spcFirstLastPara="0" vertOverflow="ellipsis" vert="horz" wrap="square" lIns="38100" tIns="19050" rIns="38100" bIns="19050"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dLblPos val="bestFit"/>
            <c:showLegendKey val="0"/>
            <c:showVal val="1"/>
            <c:showCatName val="1"/>
            <c:showSerName val="0"/>
            <c:showPercent val="0"/>
            <c:showBubbleSize val="0"/>
            <c:showLeaderLines val="1"/>
            <c:extLst>
              <c:ext xmlns:c15="http://schemas.microsoft.com/office/drawing/2012/chart" uri="{CE6537A1-D6FC-4f65-9D91-7224C49458BB}">
                <c15:layout/>
                <c15:showLeaderLines val="1"/>
                <c15:leaderLines/>
              </c:ext>
            </c:extLst>
          </c:dLbls>
          <c:val>
            <c:numRef>
              <c:f>N_Summary!$P$97:$P$101</c:f>
            </c:numRef>
          </c:val>
          <c:extLst>
            <c:ext xmlns:c15="http://schemas.microsoft.com/office/drawing/2012/chart" uri="{02D57815-91ED-43cb-92C2-25804820EDAC}">
              <c15:filteredCategoryTitle>
                <c15:cat>
                  <c:numRef>
                    <c:extLst>
                      <c:ext uri="{02D57815-91ED-43cb-92C2-25804820EDAC}">
                        <c15:formulaRef>
                          <c15:sqref>N_Summary!$O$97:$O$101</c15:sqref>
                        </c15:formulaRef>
                      </c:ext>
                    </c:extLst>
                    <c:numCache>
                      <c:ptCount val="0"/>
                    </c:numCache>
                  </c:numRef>
                </c15:cat>
              </c15:filteredCategoryTitle>
            </c:ext>
          </c:extLst>
        </c:ser>
        <c:dLbls>
          <c:showLegendKey val="0"/>
          <c:showVal val="1"/>
          <c:showCatName val="0"/>
          <c:showSerName val="0"/>
          <c:showPercent val="0"/>
          <c:showBubbleSize val="0"/>
          <c:showLeaderLines val="1"/>
        </c:dLbls>
        <c:firstSliceAng val="0"/>
      </c:pieChart>
      <c:spPr>
        <a:noFill/>
        <a:ln w="25400">
          <a:noFill/>
        </a:ln>
      </c:spPr>
    </c:plotArea>
    <c:plotVisOnly val="1"/>
    <c:dispBlanksAs val="gap"/>
    <c:showDLblsOverMax val="0"/>
    <c:extLst>
      <c:ext uri="{0b15fc19-7d7d-44ad-8c2d-2c3a37ce22c3}">
        <chartProps xmlns="https://web.wps.cn/et/2018/main" chartId="{922d6e97-4c1e-4f51-a59f-e416ccdb232b}"/>
      </c:ext>
    </c:extLst>
  </c:chart>
  <c:spPr>
    <a:solidFill>
      <a:srgbClr val="FFFFFF"/>
    </a:solidFill>
    <a:ln w="25400" cap="flat" cmpd="sng" algn="ctr">
      <a:solidFill>
        <a:srgbClr xmlns:mc="http://schemas.openxmlformats.org/markup-compatibility/2006" xmlns:a14="http://schemas.microsoft.com/office/drawing/2010/main" val="FFFFFF" mc:Ignorable="a14" a14:legacySpreadsheetColorIndex="9"/>
      </a:solidFill>
      <a:prstDash val="solid"/>
      <a:round/>
    </a:ln>
    <a:effectLst/>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NAND ASP Weight by Products</a:t>
            </a:r>
            <a:endParaRPr lang="en-US"/>
          </a:p>
        </c:rich>
      </c:tx>
      <c:layout/>
      <c:overlay val="0"/>
    </c:title>
    <c:autoTitleDeleted val="0"/>
    <c:plotArea>
      <c:layout/>
      <c:pieChart>
        <c:varyColors val="1"/>
        <c:ser>
          <c:idx val="0"/>
          <c:order val="0"/>
          <c:explosion val="0"/>
          <c:dLbls>
            <c:spPr>
              <a:noFill/>
              <a:ln>
                <a:noFill/>
              </a:ln>
              <a:effectLst/>
            </c:spPr>
            <c:txPr>
              <a:bodyPr rot="0" spcFirstLastPara="0" vertOverflow="ellipsis" vert="horz" wrap="square" lIns="38100" tIns="19050" rIns="38100" bIns="19050" anchor="ctr" anchorCtr="1">
                <a:spAutoFit/>
              </a:bodyPr>
              <a:lstStyle/>
              <a:p>
                <a:pPr>
                  <a:defRPr lang="zh-CN" sz="800" b="0" i="0" u="none" strike="noStrike" kern="1200" baseline="0">
                    <a:solidFill>
                      <a:schemeClr val="bg1"/>
                    </a:solidFill>
                    <a:latin typeface="Arial" panose="020B0604020202090204"/>
                    <a:ea typeface="Arial" panose="020B0604020202090204"/>
                    <a:cs typeface="Arial" panose="020B0604020202090204"/>
                  </a:defRPr>
                </a:pPr>
              </a:p>
            </c:txPr>
            <c:dLblPos val="bestFit"/>
            <c:showLegendKey val="0"/>
            <c:showVal val="1"/>
            <c:showCatName val="1"/>
            <c:showSerName val="0"/>
            <c:showPercent val="0"/>
            <c:showBubbleSize val="0"/>
            <c:showLeaderLines val="1"/>
            <c:extLst>
              <c:ext xmlns:c15="http://schemas.microsoft.com/office/drawing/2012/chart" uri="{CE6537A1-D6FC-4f65-9D91-7224C49458BB}">
                <c15:layout/>
                <c15:showLeaderLines val="1"/>
                <c15:leaderLines/>
              </c:ext>
            </c:extLst>
          </c:dLbls>
          <c:cat>
            <c:numRef>
              <c:f>(N_Summary!$R$69,N_Summary!$R$74)</c:f>
              <c:numCache>
                <c:ptCount val="0"/>
              </c:numCache>
            </c:numRef>
          </c:cat>
          <c:val>
            <c:numRef>
              <c:f>(N_Summary!$Q$69,N_Summary!$Q$74)</c:f>
            </c:numRef>
          </c:val>
        </c:ser>
        <c:dLbls>
          <c:showLegendKey val="0"/>
          <c:showVal val="0"/>
          <c:showCatName val="0"/>
          <c:showSerName val="0"/>
          <c:showPercent val="0"/>
          <c:showBubbleSize val="0"/>
          <c:showLeaderLines val="1"/>
        </c:dLbls>
        <c:firstSliceAng val="0"/>
      </c:pieChart>
      <c:spPr>
        <a:noFill/>
        <a:ln w="25400">
          <a:noFill/>
        </a:ln>
      </c:spPr>
    </c:plotArea>
    <c:plotVisOnly val="1"/>
    <c:dispBlanksAs val="gap"/>
    <c:showDLblsOverMax val="0"/>
    <c:extLst>
      <c:ext uri="{0b15fc19-7d7d-44ad-8c2d-2c3a37ce22c3}">
        <chartProps xmlns="https://web.wps.cn/et/2018/main" chartId="{8f69f79f-8751-4403-bc99-f59f8d96652b}"/>
      </c:ext>
    </c:extLst>
  </c:chart>
  <c:spPr>
    <a:solidFill>
      <a:srgbClr val="FFFFFF"/>
    </a:solidFill>
    <a:ln w="25400" cap="flat" cmpd="sng" algn="ctr">
      <a:solidFill>
        <a:srgbClr xmlns:mc="http://schemas.openxmlformats.org/markup-compatibility/2006" xmlns:a14="http://schemas.microsoft.com/office/drawing/2010/main" val="FFFFFF" mc:Ignorable="a14" a14:legacySpreadsheetColorIndex="9"/>
      </a:solidFill>
      <a:prstDash val="solid"/>
      <a:round/>
    </a:ln>
    <a:effectLst/>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DRAM!#REF!</c:f>
              <c:strCache>
                <c:ptCount val="1"/>
                <c:pt idx="0">
                  <c:v>#REF!</c:v>
                </c:pt>
              </c:strCache>
            </c:strRef>
          </c:tx>
          <c:spPr>
            <a:ln w="19050" cap="rnd" cmpd="sng" algn="ctr">
              <a:solidFill>
                <a:srgbClr val="8CA001"/>
              </a:solidFill>
              <a:prstDash val="solid"/>
              <a:round/>
            </a:ln>
          </c:spPr>
          <c:marker>
            <c:symbol val="none"/>
          </c:marker>
          <c:dLbls>
            <c:delete val="1"/>
          </c:dLbls>
          <c:val>
            <c:numRef>
              <c:f>DRAM!#REF!</c:f>
              <c:numCache>
                <c:formatCode>General</c:formatCode>
                <c:ptCount val="1"/>
                <c:pt idx="0">
                  <c:v>1</c:v>
                </c:pt>
              </c:numCache>
            </c:numRef>
          </c:val>
          <c:smooth val="0"/>
          <c:extLst>
            <c:ext xmlns:c15="http://schemas.microsoft.com/office/drawing/2012/chart" uri="{02D57815-91ED-43cb-92C2-25804820EDAC}">
              <c15:filteredCategoryTitle>
                <c15:cat>
                  <c:numRef>
                    <c:extLst>
                      <c:ext uri="{02D57815-91ED-43cb-92C2-25804820EDAC}">
                        <c15:formulaRef>
                          <c15:sqref>DRAM!#REF!</c15:sqref>
                        </c15:formulaRef>
                      </c:ext>
                    </c:extLst>
                    <c:numCache>
                      <c:ptCount val="0"/>
                    </c:numCache>
                  </c:numRef>
                </c15:cat>
              </c15:filteredCategoryTitle>
            </c:ext>
          </c:extLst>
        </c:ser>
        <c:ser>
          <c:idx val="1"/>
          <c:order val="1"/>
          <c:tx>
            <c:strRef>
              <c:f>DRAM!#REF!</c:f>
              <c:strCache>
                <c:ptCount val="1"/>
                <c:pt idx="0">
                  <c:v>#REF!</c:v>
                </c:pt>
              </c:strCache>
            </c:strRef>
          </c:tx>
          <c:spPr>
            <a:ln w="19050" cap="rnd" cmpd="sng" algn="ctr">
              <a:solidFill>
                <a:srgbClr val="000000"/>
              </a:solidFill>
              <a:prstDash val="solid"/>
              <a:round/>
            </a:ln>
          </c:spPr>
          <c:marker>
            <c:symbol val="none"/>
          </c:marker>
          <c:dLbls>
            <c:delete val="1"/>
          </c:dLbls>
          <c:val>
            <c:numRef>
              <c:f>DRAM!#REF!</c:f>
              <c:numCache>
                <c:formatCode>General</c:formatCode>
                <c:ptCount val="1"/>
                <c:pt idx="0">
                  <c:v>1</c:v>
                </c:pt>
              </c:numCache>
            </c:numRef>
          </c:val>
          <c:smooth val="0"/>
          <c:extLst>
            <c:ext xmlns:c15="http://schemas.microsoft.com/office/drawing/2012/chart" uri="{02D57815-91ED-43cb-92C2-25804820EDAC}">
              <c15:filteredCategoryTitle>
                <c15:cat>
                  <c:numRef>
                    <c:extLst>
                      <c:ext uri="{02D57815-91ED-43cb-92C2-25804820EDAC}">
                        <c15:formulaRef>
                          <c15:sqref>DRAM!#REF!</c15:sqref>
                        </c15:formulaRef>
                      </c:ext>
                    </c:extLst>
                    <c:numCache>
                      <c:ptCount val="0"/>
                    </c:numCache>
                  </c:numRef>
                </c15:cat>
              </c15:filteredCategoryTitle>
            </c:ext>
          </c:extLst>
        </c:ser>
        <c:dLbls>
          <c:showLegendKey val="0"/>
          <c:showVal val="0"/>
          <c:showCatName val="0"/>
          <c:showSerName val="0"/>
          <c:showPercent val="0"/>
          <c:showBubbleSize val="0"/>
        </c:dLbls>
        <c:marker val="0"/>
        <c:smooth val="0"/>
        <c:axId val="500501120"/>
        <c:axId val="500511104"/>
      </c:lineChart>
      <c:catAx>
        <c:axId val="500501120"/>
        <c:scaling>
          <c:orientation val="minMax"/>
        </c:scaling>
        <c:delete val="0"/>
        <c:axPos val="b"/>
        <c:numFmt formatCode="mmm\-yyyy" sourceLinked="0"/>
        <c:majorTickMark val="out"/>
        <c:minorTickMark val="none"/>
        <c:tickLblPos val="low"/>
        <c:spPr>
          <a:ln w="12700" cap="flat" cmpd="sng" algn="ctr">
            <a:solidFill>
              <a:srgbClr val="000000"/>
            </a:solidFill>
            <a:prstDash val="solid"/>
            <a:round/>
          </a:ln>
        </c:spPr>
        <c:txPr>
          <a:bodyPr rot="-60000000" spcFirstLastPara="0" vertOverflow="ellipsis" vert="horz" wrap="square" anchor="ctr" anchorCtr="1"/>
          <a:lstStyle/>
          <a:p>
            <a:pPr>
              <a:defRPr lang="zh-CN" sz="700" b="0" i="0" u="none" strike="noStrike" kern="1200" baseline="0">
                <a:solidFill>
                  <a:schemeClr val="tx1"/>
                </a:solidFill>
                <a:latin typeface="Arial" panose="020B0604020202090204"/>
                <a:ea typeface="Arial" panose="020B0604020202090204"/>
                <a:cs typeface="Arial" panose="020B0604020202090204"/>
              </a:defRPr>
            </a:pPr>
          </a:p>
        </c:txPr>
        <c:crossAx val="500511104"/>
        <c:crosses val="autoZero"/>
        <c:auto val="1"/>
        <c:lblAlgn val="ctr"/>
        <c:lblOffset val="100"/>
        <c:tickLblSkip val="2"/>
        <c:noMultiLvlLbl val="1"/>
      </c:catAx>
      <c:valAx>
        <c:axId val="500511104"/>
        <c:scaling>
          <c:orientation val="minMax"/>
        </c:scaling>
        <c:delete val="0"/>
        <c:axPos val="l"/>
        <c:title>
          <c:tx>
            <c:rich>
              <a:bodyPr rot="-5400000" spcFirstLastPara="0" vertOverflow="ellipsis" vert="horz" wrap="square" anchor="ctr" anchorCtr="1"/>
              <a:lstStyle/>
              <a:p>
                <a:pPr>
                  <a:defRPr lang="zh-CN" sz="700" b="1" i="0" u="none" strike="noStrike" kern="1200" baseline="0">
                    <a:solidFill>
                      <a:schemeClr val="tx1"/>
                    </a:solidFill>
                    <a:latin typeface="Arial" panose="020B0604020202090204"/>
                    <a:ea typeface="Arial" panose="020B0604020202090204"/>
                    <a:cs typeface="Arial" panose="020B0604020202090204"/>
                  </a:defRPr>
                </a:pPr>
                <a:r>
                  <a:rPr lang="en-US"/>
                  <a:t>$/Gb</a:t>
                </a:r>
                <a:endParaRPr lang="en-US"/>
              </a:p>
            </c:rich>
          </c:tx>
          <c:layout>
            <c:manualLayout>
              <c:xMode val="edge"/>
              <c:yMode val="edge"/>
              <c:x val="0.0151187904967603"/>
              <c:y val="0.301699503227333"/>
            </c:manualLayout>
          </c:layout>
          <c:overlay val="0"/>
        </c:title>
        <c:numFmt formatCode="#,##0.0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700" b="0" i="0" u="none" strike="noStrike" kern="1200" baseline="0">
                <a:solidFill>
                  <a:schemeClr val="tx1"/>
                </a:solidFill>
                <a:latin typeface="Arial" panose="020B0604020202090204"/>
                <a:ea typeface="Arial" panose="020B0604020202090204"/>
                <a:cs typeface="Arial" panose="020B0604020202090204"/>
              </a:defRPr>
            </a:pPr>
          </a:p>
        </c:txPr>
        <c:crossAx val="500501120"/>
        <c:crosses val="autoZero"/>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7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dc0e9088-2032-40a5-a17c-37af9cb66ef7}"/>
      </c:ext>
    </c:extLst>
  </c:chart>
  <c:spPr>
    <a:solidFill>
      <a:srgbClr val="FFFFFF"/>
    </a:solidFill>
    <a:ln w="3175" cap="flat" cmpd="sng" algn="ctr">
      <a:solidFill>
        <a:srgbClr xmlns:mc="http://schemas.openxmlformats.org/markup-compatibility/2006" xmlns:a14="http://schemas.microsoft.com/office/drawing/2010/main" val="FFFFFF" mc:Ignorable="a14" a14:legacySpreadsheetColorIndex="9"/>
      </a:solidFill>
      <a:prstDash val="solid"/>
      <a:round/>
      <a:headEnd type="none" w="med" len="med"/>
      <a:tailEnd type="none" w="med" len="med"/>
    </a:ln>
    <a:effectLst/>
  </c:spPr>
  <c:txPr>
    <a:bodyPr/>
    <a:lstStyle/>
    <a:p>
      <a:pPr>
        <a:defRPr lang="zh-CN" sz="700">
          <a:latin typeface="Arial" panose="020B0604020202090204"/>
          <a:ea typeface="Arial" panose="020B0604020202090204"/>
          <a:cs typeface="Arial" panose="020B0604020202090204"/>
        </a:defRPr>
      </a:pPr>
    </a:p>
  </c:tx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"Spot"</c:f>
              <c:strCache>
                <c:ptCount val="1"/>
                <c:pt idx="0">
                  <c:v>Spot</c:v>
                </c:pt>
              </c:strCache>
            </c:strRef>
          </c:tx>
          <c:spPr>
            <a:ln w="12700" cap="rnd" cmpd="sng" algn="ctr">
              <a:solidFill>
                <a:srgbClr val="8CA001"/>
              </a:solidFill>
              <a:prstDash val="solid"/>
              <a:round/>
            </a:ln>
          </c:spPr>
          <c:marker>
            <c:symbol val="none"/>
          </c:marker>
          <c:dLbls>
            <c:delete val="1"/>
          </c:dLbls>
          <c:val>
            <c:numRef>
              <c:f>DRAM!#REF!</c:f>
              <c:numCache>
                <c:formatCode>General</c:formatCode>
                <c:ptCount val="1"/>
                <c:pt idx="0">
                  <c:v>1</c:v>
                </c:pt>
              </c:numCache>
            </c:numRef>
          </c:val>
          <c:smooth val="0"/>
          <c:extLst>
            <c:ext xmlns:c15="http://schemas.microsoft.com/office/drawing/2012/chart" uri="{02D57815-91ED-43cb-92C2-25804820EDAC}">
              <c15:filteredCategoryTitle>
                <c15:cat>
                  <c:numRef>
                    <c:extLst>
                      <c:ext uri="{02D57815-91ED-43cb-92C2-25804820EDAC}">
                        <c15:formulaRef>
                          <c15:sqref>DRAM!#REF!</c15:sqref>
                        </c15:formulaRef>
                      </c:ext>
                    </c:extLst>
                    <c:numCache>
                      <c:ptCount val="0"/>
                    </c:numCache>
                  </c:numRef>
                </c15:cat>
              </c15:filteredCategoryTitle>
            </c:ext>
          </c:extLst>
        </c:ser>
        <c:ser>
          <c:idx val="1"/>
          <c:order val="1"/>
          <c:tx>
            <c:strRef>
              <c:f>"Contract"</c:f>
              <c:strCache>
                <c:ptCount val="1"/>
                <c:pt idx="0">
                  <c:v>Contract</c:v>
                </c:pt>
              </c:strCache>
            </c:strRef>
          </c:tx>
          <c:spPr>
            <a:ln w="12700" cap="rnd" cmpd="sng" algn="ctr">
              <a:solidFill>
                <a:srgbClr val="000000"/>
              </a:solidFill>
              <a:prstDash val="solid"/>
              <a:round/>
            </a:ln>
          </c:spPr>
          <c:marker>
            <c:symbol val="none"/>
          </c:marker>
          <c:dLbls>
            <c:delete val="1"/>
          </c:dLbls>
          <c:val>
            <c:numRef>
              <c:f>DRAM!#REF!</c:f>
              <c:numCache>
                <c:formatCode>General</c:formatCode>
                <c:ptCount val="1"/>
                <c:pt idx="0">
                  <c:v>1</c:v>
                </c:pt>
              </c:numCache>
            </c:numRef>
          </c:val>
          <c:smooth val="0"/>
          <c:extLst>
            <c:ext xmlns:c15="http://schemas.microsoft.com/office/drawing/2012/chart" uri="{02D57815-91ED-43cb-92C2-25804820EDAC}">
              <c15:filteredCategoryTitle>
                <c15:cat>
                  <c:numRef>
                    <c:extLst>
                      <c:ext uri="{02D57815-91ED-43cb-92C2-25804820EDAC}">
                        <c15:formulaRef>
                          <c15:sqref>DRAM!#REF!</c15:sqref>
                        </c15:formulaRef>
                      </c:ext>
                    </c:extLst>
                    <c:numCache>
                      <c:ptCount val="0"/>
                    </c:numCache>
                  </c:numRef>
                </c15:cat>
              </c15:filteredCategoryTitle>
            </c:ext>
          </c:extLst>
        </c:ser>
        <c:dLbls>
          <c:showLegendKey val="0"/>
          <c:showVal val="0"/>
          <c:showCatName val="0"/>
          <c:showSerName val="0"/>
          <c:showPercent val="0"/>
          <c:showBubbleSize val="0"/>
        </c:dLbls>
        <c:marker val="0"/>
        <c:smooth val="0"/>
        <c:axId val="500685056"/>
        <c:axId val="500695040"/>
      </c:lineChart>
      <c:dateAx>
        <c:axId val="500685056"/>
        <c:scaling>
          <c:orientation val="minMax"/>
          <c:max val="1294"/>
          <c:min val="1"/>
        </c:scaling>
        <c:delete val="0"/>
        <c:axPos val="b"/>
        <c:numFmt formatCode="mmm\-yyyy" sourceLinked="0"/>
        <c:majorTickMark val="out"/>
        <c:minorTickMark val="none"/>
        <c:tickLblPos val="low"/>
        <c:spPr>
          <a:ln w="12700" cap="flat" cmpd="sng" algn="ctr">
            <a:solidFill>
              <a:srgbClr val="000000"/>
            </a:solidFill>
            <a:prstDash val="solid"/>
            <a:round/>
          </a:ln>
        </c:spPr>
        <c:txPr>
          <a:bodyPr rot="-2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500695040"/>
        <c:crosses val="autoZero"/>
        <c:auto val="1"/>
        <c:lblAlgn val="ctr"/>
        <c:lblOffset val="100"/>
        <c:baseTimeUnit val="days"/>
        <c:majorUnit val="3"/>
      </c:dateAx>
      <c:valAx>
        <c:axId val="500695040"/>
        <c:scaling>
          <c:orientation val="minMax"/>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$/Gb</a:t>
                </a:r>
                <a:endParaRPr lang="en-US"/>
              </a:p>
            </c:rich>
          </c:tx>
          <c:layout/>
          <c:overlay val="0"/>
        </c:title>
        <c:numFmt formatCode="#,##0.0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500685056"/>
        <c:crosses val="autoZero"/>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100c2cce-d65e-4e22-95b5-2070fbb85a57}"/>
      </c:ext>
    </c:extLst>
  </c:chart>
  <c:spPr>
    <a:ln w="3175" cap="flat" cmpd="sng" algn="ctr">
      <a:solidFill>
        <a:srgbClr val="FFFFFF"/>
      </a:solidFill>
      <a:prstDash val="solid"/>
      <a:round/>
      <a:headEnd type="none" w="med" len="med"/>
      <a:tailEnd type="none" w="med" len="med"/>
    </a:ln>
  </c:spPr>
  <c:txPr>
    <a:bodyPr/>
    <a:lstStyle/>
    <a:p>
      <a:pPr>
        <a:defRPr lang="zh-CN" sz="800">
          <a:latin typeface="Arial" panose="020B0604020202090204"/>
          <a:ea typeface="Arial" panose="020B0604020202090204"/>
          <a:cs typeface="Arial" panose="020B0604020202090204"/>
        </a:defRPr>
      </a:pPr>
    </a:p>
  </c:tx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960" b="1" i="0" u="none" strike="noStrike" kern="1200" baseline="0">
                <a:solidFill>
                  <a:schemeClr val="tx1"/>
                </a:solidFill>
                <a:latin typeface="Arial" panose="020B0604020202090204"/>
                <a:ea typeface="Arial" panose="020B0604020202090204"/>
                <a:cs typeface="Arial" panose="020B0604020202090204"/>
              </a:defRPr>
            </a:pPr>
            <a:r>
              <a:rPr lang="en-US"/>
              <a:t>PC DRAM Chip (DDR4 8Gb) Spot &amp; Contract Price</a:t>
            </a:r>
            <a:endParaRPr lang="en-US"/>
          </a:p>
        </c:rich>
      </c:tx>
      <c:layout/>
      <c:overlay val="1"/>
    </c:title>
    <c:autoTitleDeleted val="0"/>
    <c:plotArea>
      <c:layout>
        <c:manualLayout>
          <c:layoutTarget val="inner"/>
          <c:xMode val="edge"/>
          <c:yMode val="edge"/>
          <c:x val="0.069828926647327"/>
          <c:y val="0.134160166598893"/>
          <c:w val="0.897281558226274"/>
          <c:h val="0.56200422827656"/>
        </c:manualLayout>
      </c:layout>
      <c:areaChart>
        <c:grouping val="stacked"/>
        <c:varyColors val="0"/>
        <c:ser>
          <c:idx val="2"/>
          <c:order val="0"/>
          <c:tx>
            <c:strRef>
              <c:f>"Spot vs. Contract"</c:f>
              <c:strCache>
                <c:ptCount val="1"/>
                <c:pt idx="0">
                  <c:v>Spot vs. Contract</c:v>
                </c:pt>
              </c:strCache>
            </c:strRef>
          </c:tx>
          <c:spPr>
            <a:solidFill>
              <a:schemeClr val="accent1"/>
            </a:solidFill>
          </c:spPr>
          <c:dLbls>
            <c:delete val="1"/>
          </c:dLbls>
          <c:val>
            <c:numRef>
              <c:f>{0.00667838312829505,0.0149384885764499,0.0413005272407732,0.0588752196836555,0.0632688927943761,0.0764499121265376,0.0852372583479788,0.0984182776801406,0.107205623901582,0.115992970123023,0.124780316344464,0.142355008787346,0.151142355008787,0.168717047451669,0.169595782073814,0.178383128295255,0.17908611599297,0.187170474516696,0.170740103270224,0.178657487091222,0.190361445783133,0.190877796901893,0.191910499139415,0.192254733218589,0.192254733218589,0.192254733218589,0.192254733218589,0.192254733218589,0.192254733218589,0.192254733218589,0.192254733218589,0.192254733218589,0.186230636833047,0.186230636833047,0.186230636833047,0.178829604130809,0.178829604130809,0.178829604130809,0.178829604130809,0.178829604130809,0.178829604130809,0.181927710843374,0.18382099827883,0.185197934595525,0.185197934595525,0.185197934595525,0.185197934595525,0.185197934595525,0.167641996557659,0.169363166953528,0.174010327022375,0.174354561101549,0.174354561101549,0.174698795180723,0.176247848537005,0.176247848537005,0.166953528399312,0.167469879518072,0.168674698795181,0.0446153846153847,0.0446153846153847,0.0446153846153847,0.0481538461538462,0.0492307692307692,0.05,0.05,0.05,0.05,0.05,0.05,0.0493846153846154,0.0332307692307692,0.0256923076923077,0.0183076923076924,0.0107692307692309,-0.00461538461538469,-0.00769230769230766,-0.00769230769230766,-0.00769230769230766,-0.00769230769230766,-0.00769230769230766,-0.0115384615384616,-0.0192307692307693,-0.0187692307692308,-0.0187692307692308,-0.0187692307692308,-0.0187692307692308,-0.0181538461538462,-0.0175384615384615,-0.0175384615384615,-0.0175384615384615,-0.0175384615384615,-0.0175384615384615,-0.0175384615384615,-0.0167692307692308,-0.0167692307692308,-0.0167692307692308,-0.0167692307692308,-0.0167692307692308,-0.0167692307692308,-0.0167692307692308,-0.0167692307692308,-0.0175384615384615,-0.0175384615384615,-0.0175384615384615,-0.0175384615384615,-0.0146153846153846,-0.0135384615384615,-0.0135384615384615,-0.0107692307692309,-0.00861538461538458,-0.00784615384615384,-0.00646153846153841,0.00184615384615383,0.00461538461538469,0.00492307692307703,0.00661538461538469,0.00676923076923064,0.0070769230769232,-0.0387665198237884,-0.0368575624082231,-0.00646108663729805,-0.00587371512481649,-0.00323054331864892,-0.00220264317180607,-0.00220264317180607,-0.00220264317180607,0.0198237885462555,0.0290748898678415,0.0348017621145376,0.0402349486049927,0.0441997063142439,0.0572687224669604,0.0602055800293686,0.0602055800293686,0.0602055800293686,0.064610866372981,0.064610866372981,0.0772393538913363,0.0772393538913363,0.0772393538913363,0.0759177679882526,0.0759177679882526,0.0691629955947137,0.0691629955947137,0.0691629955947137,0.0691629955947137,0.0691629955947137,0.0687224669603523,0.0687224669603523,0.0687224669603523,0.0650513950073421,0.064610866372981,0.0644640234948606,0.0641703377386198,0.0641703377386198,0.0647577092511014,0.0650513950073421,0.0650513950073421,0.0669603524229077,0.0684287812041116,0.07136563876652,0.07136563876652,0.0784140969162996,0.0784140969162996,0.0798825256975038,0.0812041116005875,0.0856093979441996,0.0925110132158591,0.103083700440529,0.1071953010279,0.118208516886931,0.123348017621145,0.127459618208517,0.130690161527166,0.137591776798825,0.13935389133627,0.160205580029369,0.167400881057269,0.181938325991189,0.209985315712188,0.222466960352423,0.22511013215859,0.233627019089574,0.162106703146375,0.188372093023256,0.202462380300958,0.208891928864569,0.211901504787962,0.217510259917921,0.231190150478796,0.243912448700411,0.245280437756498,0.260601915184679,0.282489740082079,0.298221614227086,0.299589603283174,0.326949384404925,0.326949384404925,0.314090287277702,0.305061559507524,0.299863201094391,0.304240766073872,0.306976744186047,0.309575923392613,0.309986320109439,0.318057455540356,0.321203830369357,0.321614227086183,0.32202462380301,0.313269493844049,0.310533515731874,0.304924760601915,0.301367989056088,0.300957592339261,0.300136798905609,0.299863201094391,0.299452804377565,0.300547195622435,0.297127222982216,0.30984952120383,0.309986320109439,0.312585499316006,0.312585499316006,0.30984952120383,0.278133333333333,0.2832,0.2872,0.288,0.289066666666667,0.290266666666667,0.290266666666667,0.291066666666667,0.291333333333333,0.291466666666667,0.2888,0.284266666666667,0.282666666666667,0.282666666666667,0.282666666666667,0.282666666666667,0.282666666666667,0.282666666666667,0.282666666666667,0.282666666666667,0.282666666666667,0.278133333333333,0.278933333333333,0.278933333333333,0.278933333333333,0.281066666666667,0.286533333333333,0.286533333333333,0.286666666666667,0.286666666666667,0.286666666666667,0.286666666666667,0.286666666666667,0.286666666666667,0.286666666666667,0.277733333333333,0.274266666666667,0.273333333333333,0.273333333333333,0.277733333333333,0.277733333333333,0.277733333333333,0.2644,0.187153652392947,0.182619647355164,0.179345088161209,0.175314861460957,0.173803526448363,0.168765743073048,0.168765743073048,0.16712846347607,0.166876574307305,0.166750629722922,0.166750629722922,0.166750629722922,0.162846347607053,0.161335012594458,0.156549118387909,0.155793450881612,0.154911838790932,0.154785894206549,0.154282115869018,0.152015113350126,0.151259445843829,0.148488664987406,0.148488664987406,0.140680100755668,0.13816120906801,0.135642317380352,0.134130982367758,0.133627204030227,0.131360201511335,0.133501259445844,0.13551637279597,0.137027707808564,0.137027707808564,0.137531486146096,0.138539042821159,0.141813602015113,0.142065491183879,0.140680100755668,0.140680100755668,0.137783375314861,0.103052503052503,0.103052503052503,0.103052503052503,0.103663003663004,0.103052503052503,0.103052503052503,0.0992673992673994,0.0990231990231991,0.0974358974358975,0.0941391941391942,0.0941391941391942,0.0941391941391942,0.0926739926739928,0.0926739926739928,0.0909645909645911,0.0897435897435899,0.084859584859585,0.0844932844932844,0.0840048840048842,0.0840048840048842,0.0840048840048842,0.0840048840048842,0.0842490842490844,0.0842490842490844,0.0842490842490844,0.0842490842490844,0.0842490842490844,0.0842490842490844,0.0813186813186815,0.0769230769230771,0.0744810744810747,0.0744810744810747,0.0744810744810747,0.0661782661782662,0.0648351648351648,0.0612942612942613,0.0584859584859585,0.0584859584859585,0.0538461538461539,0.0538461538461539,0.0533577533577536,0.0532356532356533,0.0532356532356533,0.052991452991453,0.0528693528693529,0.0526251526251527,0.0522588522588523,0.0518925518925519,0.051770451770452,0.0515262515262516,0.0514041514041514,0.0511599511599512,0.0511599511599512,0.0503052503052503,0.0456654456654457,0.0448107448107449,0.0440781440781441,0.0417582417582418,0.0113553113553113,-0.00525030525030512,-0.0152625152625152,-0.0175824175824176,-0.0181929181929181,-0.0211233211233212,-0.0218559218559219,-0.0218559218559219,-0.0188034188034188,-0.0188034188034188,-0.0188034188034188,-0.0102564102564102,-0.0133089133089133,-0.0145299145299145,-0.0217338217338217,-0.0257631257631257,-0.0278388278388279,-0.0293040293040292,-0.0313797313797314,-0.0317460317460317,-0.0326007326007325,-0.0326007326007325,-0.0354090354090353,-0.0354090354090353,-0.0354090354090353,-0.0357753357753356,-0.0362637362637362,-0.036996336996337,-0.039072039072039,-0.0411477411477411,-0.0418803418803417,-0.0427350427350427,-0.0467643467643467,-0.05006105006105,-0.0525030525030524,-0.0533577533577533,-0.0561660561660561,-0.0601953601953601,-0.0692307692307691,-0.0699633699633699,-0.0721611721611721,-0.0747252747252747,-0.0777777777777777,-0.0777777777777777,-0.0792429792429792,-0.0813186813186813,-0.0818070818070818,-0.0855921855921855,-0.0864468864468864,-0.0875457875457875,-0.0881562881562881,-0.0888888888888889,-0.0979242979242979,-0.0984126984126983,-0.0998778998778999,-0.1003663003663,-0.100854700854701,-0.0993894993894993,-0.0993894993894993,-0.0993894993894993,-0.0993894993894993,-0.1003663003663,-0.102686202686203,-0.102686202686203,-0.103663003663004,-0.112332112332112,-0.119536019536019,-0.0142270861833105,-0.014500683994528,-0.015047879616963,-0.015047879616963,-0.015047879616963,-0.015047879616963,-0.0166894664842681,-0.0175102599179205,-0.0218878248974007,-0.0251709986320109,-0.0272229822161423,-0.0283173734610123,-0.0326949384404924,-0.0343365253077975,-0.0343365253077975,-0.0348837209302325,-0.0348837209302325,-0.0461012311901504,-0.0466484268125854,-0.0471956224350205,-0.0471956224350205,-0.0497948016415869,-0.0522571819425445,-0.0375521557719055,-0.0385257301808067,-0.0385257301808067,-0.0390820584144647,-0.0458970792767733,-0.0527121001390821,-0.0534075104311544,-0.0543810848400557,-0.0559109874826148,-0.0559109874826148,-0.0575799721835883,-0.0575799721835883,-0.0585535465924896,-0.0585535465924896,-0.0585535465924896,-0.0611961057023644,-0.0611961057023644,-0.0663421418636996,-0.0663421418636996,-0.0680111265646732,-0.0694019471488179,-0.0720445062586927,-0.0819310344827586,-0.0897931034482758,-0.0951724137931035,-0.0977931034482759,-0.0993103448275862,-0.1,-0.1,-0.103034482758621,-0.103034482758621,-0.104689655172414,-0.107310344827586,-0.107310344827586,-0.115172413793103,-0.116689655172414,-0.119862068965517,-0.121379310344828,-0.123034482758621,-0.123448275862069,-0.123862068965517,-0.123862068965517,0.0586666666666666,0.0489999999999999,0.0330000000000001,0.0296666666666667,0.0265,0.02,0.0188333333333335,0.0183333333333333,0.0178333333333334,0.0165,0.000333333333333297,-0.00283333333333335,-0.00649999999999995,-0.00716666666666665,-0.00783333333333325,-0.00783333333333325,-0.00800000000000001,-0.00800000000000001,-0.0086666666666666,-0.00900000000000001,-0.00900000000000001,-0.0096666666666666,0.158284600389864,0.157894736842105,0.157504873294347,0.15458089668616,0.14327485380117,0.139571150097466,0.135672514619883,0.131968810916179,0.125146198830409,0.12280701754386,0.12046783625731,0.117543859649123,0.0984405458089668,0.0863547758284602,0.0729044834307992,0.20109649122807,0.195833333333334,0.195175438596491,0.173245614035088,0.173245614035088,0.17171052631579,0.151315789473684,0.137938596491228,0.132894736842105,0.116008771929825,0.113377192982456,0.113377192982456,0.104824561403509,0.0734649122807018,0.0651315789473685,0.0407894736842107,0.0392543859649124,0.0166666666666668,0.00964912280701768,0.00526315789473686,0.00307017543859645,0.1335,0.1285,0.121,0.1135,0.1125,0.0985,0.0867500000000001,0.08125,0.0762499999999999,0.073,0.0629999999999999,0.0585,0.0549999999999999,0.0475000000000001,0.04,0.0269999999999999,0.022,0.00800000000000001,-0.004,-0.0115,-0.013,0.0405333333333333,0.0325333333333333,0.0271999999999999,0.0202666666666667,0.0138666666666667,0.0114666666666667,0.00826666666666664,0.00746666666666673,0.0066666666666666,0.00426666666666664,-0.000533333333333275,-0.0026666666666666,-0.00639999999999996,-0.0079999999999999,-0.0165333333333333,-0.0207999999999999,-0.0224,-0.0245333333333334,-0.0325333333333333,-0.0357333333333333,-0.0376,-0.0397333333333333,0.0854984894259818,0.0854984894259818,0.0809667673716012,0.066465256797583,0.0561933534743202,0.0410876132930513,0.0350453172205438,0.0332326283987916,0.0290030211480363,0.0277945619335347,0.0235649546827794,0.0126888217522658,0.00543806646525669,-0.0102719033232629,-0.0135951661631419,-0.0247734138972809,-0.0283987915407855,-0.0456193353474321,-0.0507552870090635,0.0639455782312925,0.0564625850340137,0.0517006802721089,0.0428571428571429,0.0306122448979591,0.0238095238095237,0.0224489795918368,0.0346938775510204,0.0544217687074831,0.109183673469388,0.143197278911565,0.201360544217687,0.212244897959184,0.22312925170068,0.270748299319728,0.270748299319728,0.256122448979592,0.246258503401361,0.239115646258503,0.236734693877551,0.235714285714286,0.235714285714286,0.235714285714286,0.23469387755102,0.235714285714286,0.235714285714286,0.237074829931973,0.237074829931973,0.230272108843537,0.218707482993197,0.216666666666667,0.209863945578231,0.206462585034014,0.205102040816327,0.199659863945578,0.198299319727891,0.196258503401361,0.19047619047619,0.189455782312925,0.18265306122449,0.180272108843538,0.177891156462585,0.162244897959184,0.156462585034014,0.154081632653061,0.150680272108844,0.146258503401361,0.142857142857143,0.131632653061224,0.12687074829932,0.123469387755102,0.112244897959184,0.108843537414966,0.106462585034014,0.104421768707483,0.103061224489796,0.102040816326531,0.101020408163265,0.0986394557823129,0.0976190476190475,0.0894557823129252,0.08843537414966,0.0874149659863945,0.0850340136054422,0.0826530612244898,0.128113879003559,0.112811387900356,0.109252669039146,0.100711743772242,0.095017793594306,0.0864768683274022,0.0914590747330961,0.0914590747330961,0.090035587188612,0.090035587188612,0.0864768683274022,0.0736654804270462,0.0665480427046263,0.0640569395017794,0.0558718861209964,0.0523131672597863,0.0462633451957295,0.0402135231316727,0.0345195729537366,0.0327402135231316,0.0295373665480425,0.0284697508896798,0.0259786476868327,0.0249110320284698,0.0238434163701067,0.0213523131672597,0.0202846975088968,0.0188612099644128,0.0153024911032029,0.0131672597864769,0.00818505338078301,0.00711743772241991,0.00711743772241991,0.00249110320284696,-0.00249110320284707,-0.00604982206405691,-0.00604982206405691,-0.0131672597864768,-0.0188612099644128,-0.0202846975088967,-0.0220640569395018,-0.0224199288256228,-0.0224199288256228,-0.0224199288256228,-0.0224199288256228,-0.0231316725978647,-0.0277580071174377,-0.0277580071174377,-0.0249110320284697,-0.0256227758007118,-0.0188612099644128,-0.00960854092526697,0.0188612099644128,0.0569395017793595,0.0736654804270462,0.0736654804270462,0.0758007117437722,0.0772241992882563,0.0772241992882563,0.0772241992882563,0.0772241992882563,0.0775800711743773,0.0782918149466192,0.0782918149466192,0.0782918149466192,0.0782918149466192,0.0669014084507042,0.073943661971831,0.0820422535211267,0.101056338028169,0.108098591549296,0.112676056338028,0.120774647887324,0.126760563380282,0.13274647887324,0.150352112676056,0.172535211267606,0.177112676056338,0.179577464788732,0.18556338028169,0.189084507042254,0.189084507042254,0.208802816901408,0.194444444444444,0.210763888888889,0.196875,0.189930555555556,0.185069444444445,0.185069444444445,0.185069444444445,0.185069444444445,0.185069444444445,0.185069444444445,0.178125,0.173611111111111,0.151736111111111,0.151736111111111,0.151736111111111,0.151736111111111,0.160763888888889,0.164236111111111,0.186458333333333,0.189930555555556,0.172448979591837,0.196258503401361,0.200680272108843,0.211904761904762,0.211904761904762,0.218707482993197,0.227891156462585,0.22891156462585,0.224489795918367,0.223469387755102,0.216666666666667,0.21530612244898,0.204081632653061,0.199659863945578,0.197278911564626,0.194897959183673,0.19047619047619,0.19047619047619,0.19047619047619,0.19047619047619,0.19047619047619,0.19047619047619,0.094224924012158,0.104255319148936,0.105471124620061,0.105471124620061,0.105471124620061,0.0993920972644378,0.0902735562310031,0.0881458966565349,0.0829787234042554,0.0738601823708207,0.064741641337386,0.0577507598784195,0.0556231003039513,0.0537993920972644,0.0486322188449848,0.0465045592705167,0.0416413373860183,0.0386018237082066,0.0364741641337387,0.0234042553191489,0.0161094224924012,0.00911854103343468,-0.000906344410876114,-0.00694864048338373,-0.00906344410876136,-0.011178247734139,-0.015105740181269,-0.0190332326283988,-0.027190332326284,-0.0293051359516616,-0.0347432024169185,-0.0441087613293051,-0.051963746223565,-0.0561933534743202,-0.0583081570996979,-0.0592145015105741,-0.0601208459214501,-0.0607250755287009,-0.065558912386707,-0.0676737160120846,-0.0697885196374622,-0.0761329305135953,-0.0761329305135953,-0.0776435045317221,-0.0776435045317221,-0.0791540785498489,-0.0854984894259818,-0.0867069486404833,-0.0954682779456193,-0.0978851963746223,-0.0987915407854985,-0.103021148036254,-0.120543806646526,-0.124773413897281,-0.131117824773414,-0.137462235649547,-0.138972809667674,-0.145619335347432,-0.148036253776435,-0.152870090634441,-0.155287009063444,-0.159516616314199,-0.114376996805112,-0.117571884984025,-0.120127795527156,-0.133546325878594,-0.13482428115016,-0.137380191693291,-0.139936102236422,-0.142492012779553,-0.145047923322684,-0.145047923322684,-0.147603833865815,-0.147923322683706,-0.147923322683706,-0.147923322683706,-0.150798722044728,-0.155591054313099,-0.155591054313099,-0.156549520766773,-0.156869009584665,-0.159744408945687,-0.160063897763578,-0.162939297124601,-0.163258785942492,-0.163258785942492,-0.166134185303514,-0.166453674121406,-0.166453674121406,-0.167092651757188,-0.167092651757188,-0.167092651757188,-0.167092651757188,-0.175399361022364,-0.177955271565495,-0.178594249201278,-0.181150159744409,-0.184025559105431,-0.189456869009585,-0.189456869009585,-0.192012779552716,-0.190095846645367,-0.180191693290735,-0.173801916932907,-0.173801916932907,-0.173801916932907,-0.162939297124601,-0.143130990415336,-0.118849840255591,-0.103194888178914,-0.100319488817891,-0.0878594249201278,-0.0773162939297125,-0.0654952076677316,-0.0591054313099042,-0.0591054313099042,-0.0591054313099042,-0.0517571884984025,-0.0517571884984025,-0.0517571884984025,-0.0517571884984025,-0.0543130990415335,-0.0543130990415335,-0.0543130990415335,-0.0543130990415335,-0.0565495207667732,-0.0565495207667732,-0.0565495207667732,0.0361403508771929,0.0361403508771929,0.0361403508771929,0.0361403508771929,0.0361403508771929,0.0385964912280701,0.0385964912280701,0.0361403508771929,0.0308771929824561,0.0256140350877192,0.0192982456140349,0.0175438596491226,0.016842105263158,0.0157894736842106,0.0157894736842106,0.0133333333333332,0.0122807017543858,0.00701754385964914,0.00666666666666682,0.00070175438596487,0.000350877192982324,-0.000350877192982435,-0.000350877192982435,-0.000350877192982435,-0.00140350877192985,-0.00140350877192985,-0.00210526315789483,-0.0028070175438597,-0.00947368421052641,-0.011578947368421,-0.011578947368421,-0.0150877192982457,-0.015438596491228,-0.015438596491228,-0.0171929824561403,-0.0185964912280702,-0.0252631578947369,-0.0252631578947369,-0.0263157894736843,-0.0277192982456141,-0.0280701754385965,-0.0280701754385965,-0.0266666666666667,-0.011578947368421,0.00491228070175431,0.0140350877192983,0.0368421052631578,0.0428070175438595,0.0428070175438595,0.0438596491228069,0.0498245614035087,0.0596491228070175,0.128070175438596,0.164210526315789,0.188070175438596,0.190877192982456,0.192982456140351,0.198245614035088,0.205263157894737,0.210526315789474,0.210526315789474,0.210526315789474,0.214035087719298,0.214035087719298,0.153333333333333,0.153333333333333,0.153333333333333,0.153333333333333,0.153333333333333,0.153333333333333,0.141666666666667,0.141666666666667,0.141666666666667,0.15,0.15,0.155,0.155,0.155,0.156666666666667,0.156666666666667,0.175,0.178333333333333,0.203333333333333,0.228333333333333,0.233333333333333,0.236666666666667,0.236666666666667,0.24,0.24,0.24,0.245,0.245,0.25,0.305,0.33,0.358333333333333,0.383333333333334,0.4,0.425,0.45,0.458333333333333,0.475,0.475,0.475,0.475,0.475,0.475,0.491666666666666,0.491666666666666,0.5,0.5,0.483333333333333,0.466666666666667,0.458333333333333,0.45,0.433333333333333,0.433333333333333,0.433333333333333,0.425,0.416666666666667,0.411666666666667,0.403333333333333,0.4,0.0986842105263157,0.0986842105263157,0.138157894736842,0.151315789473684,0.151315789473684,0.144736842105263,0.144736842105263,0.151315789473684,0.151315789473684,0.151315789473684,0.153947368421053,0.157894736842105,0.157894736842105,0.157894736842105,0.15921052631579,0.171052631578948,0.217105263157895,0.223684210526316,0.225789473684211,0.218947368421053,0.218947368421053,0.218947368421053,0.218947368421053,0.218947368421053,0.212105263157895,0.212105263157895,0.212105263157895,0.198947368421053,0.186315789473684,0.173157894736842,0.166842105263158,0.162894736842105,0.162894736842105,0.153684210526316,0.146842105263158,0.14,0.14,0.146315789473684,0.152894736842105,0.164473684210526,0.171052631578948,0.177631578947368,0.180263157894737,0.182894736842105,0.177631578947368,0.171052631578948,0.171052631578948,0.177631578947368,0.180263157894737,0.182894736842105,0.182894736842105,0.181578947368421,0.188157894736842,0.190789473684211,0.197368421052632,0.195526315789474,0.194736842105263,0.201842105263158,0.210526315789474,0.207894736842105,0.206578947368421,0.206578947368421,0.118292682926829,0.118292682926829,0.118292682926829,0.118292682926829,0.121951219512195,0.121951219512195,0.121951219512195,0.121951219512195,0.119512195121951,0.119512195121951,0.125609756097561,0.125609756097561,0.115853658536585,0.109756097560976,0.103658536585366,0.1,0.1,0.0975609756097562,0.0975609756097562,0.0914634146341464,0.0853658536585367,0.0792682926829269,0.0963414634146342,0.0939024390243903,0.0926829268292686,0.0858536585365854,0.0831707317073171,0.0548780487804879,0.0378048780487805,0.0339024390243903,0.0304878048780488,0.03,0.0278048780487807,0.0275609756097561,0.0212195121951222,0.00121951219512217,-0.0051219512195122,-0.00853658536585344,-0.011951219512195,-0.0265853658536584,-0.0382926829268292,-0.0478048780487804,-0.0514634146341463,-0.057560975609756,-0.0709756097560974,-0.073170731707317,-0.0734146341463414,-0.0756097560975609,-0.0775609756097561,-0.0817073170731706,-0.0839024390243902,-0.0863414634146341,-0.0890243902439024,-0.0912195121951219,-0.0917073170731706,-0.0917073170731706,-0.0919512195121951,-0.0921951219512195,-0.0929268292682927,-0.097560975609756,-0.0997560975609756,-0.100243902439024,-0.100731707317073,-0.108048780487805,-0.0169811320754717,-0.0169811320754717,-0.0169811320754717,-0.0172506738544475,-0.0199460916442048,-0.022911051212938,-0.0258760107816712,-0.0261455525606469,-0.0288409703504042,-0.033423180592992,-0.0442048517520216,-0.0474393530997305,-0.0539083557951483,-0.0582210242587601,-0.059299191374663,-0.0638814016172508,-0.0660377358490566,-0.0671159029649596,-0.077088948787062,-0.0824797843665769}</c:f>
              <c:numCache>
                <c:formatCode>General</c:formatCode>
                <c:ptCount val="1205"/>
                <c:pt idx="0">
                  <c:v>0.00667838312829505</c:v>
                </c:pt>
                <c:pt idx="1">
                  <c:v>0.0149384885764499</c:v>
                </c:pt>
                <c:pt idx="2">
                  <c:v>0.0413005272407732</c:v>
                </c:pt>
                <c:pt idx="3">
                  <c:v>0.0588752196836555</c:v>
                </c:pt>
                <c:pt idx="4">
                  <c:v>0.0632688927943761</c:v>
                </c:pt>
                <c:pt idx="5">
                  <c:v>0.0764499121265376</c:v>
                </c:pt>
                <c:pt idx="6">
                  <c:v>0.0852372583479788</c:v>
                </c:pt>
                <c:pt idx="7">
                  <c:v>0.0984182776801406</c:v>
                </c:pt>
                <c:pt idx="8">
                  <c:v>0.107205623901582</c:v>
                </c:pt>
                <c:pt idx="9">
                  <c:v>0.115992970123023</c:v>
                </c:pt>
                <c:pt idx="10">
                  <c:v>0.124780316344464</c:v>
                </c:pt>
                <c:pt idx="11">
                  <c:v>0.142355008787346</c:v>
                </c:pt>
                <c:pt idx="12">
                  <c:v>0.151142355008787</c:v>
                </c:pt>
                <c:pt idx="13">
                  <c:v>0.168717047451669</c:v>
                </c:pt>
                <c:pt idx="14">
                  <c:v>0.169595782073814</c:v>
                </c:pt>
                <c:pt idx="15">
                  <c:v>0.178383128295255</c:v>
                </c:pt>
                <c:pt idx="16">
                  <c:v>0.17908611599297</c:v>
                </c:pt>
                <c:pt idx="17">
                  <c:v>0.187170474516696</c:v>
                </c:pt>
                <c:pt idx="18">
                  <c:v>0.170740103270224</c:v>
                </c:pt>
                <c:pt idx="19">
                  <c:v>0.178657487091222</c:v>
                </c:pt>
                <c:pt idx="20">
                  <c:v>0.190361445783133</c:v>
                </c:pt>
                <c:pt idx="21">
                  <c:v>0.190877796901893</c:v>
                </c:pt>
                <c:pt idx="22">
                  <c:v>0.191910499139415</c:v>
                </c:pt>
                <c:pt idx="23">
                  <c:v>0.192254733218589</c:v>
                </c:pt>
                <c:pt idx="24">
                  <c:v>0.192254733218589</c:v>
                </c:pt>
                <c:pt idx="25">
                  <c:v>0.192254733218589</c:v>
                </c:pt>
                <c:pt idx="26">
                  <c:v>0.192254733218589</c:v>
                </c:pt>
                <c:pt idx="27">
                  <c:v>0.192254733218589</c:v>
                </c:pt>
                <c:pt idx="28">
                  <c:v>0.192254733218589</c:v>
                </c:pt>
                <c:pt idx="29">
                  <c:v>0.192254733218589</c:v>
                </c:pt>
                <c:pt idx="30">
                  <c:v>0.192254733218589</c:v>
                </c:pt>
                <c:pt idx="31">
                  <c:v>0.192254733218589</c:v>
                </c:pt>
                <c:pt idx="32">
                  <c:v>0.186230636833047</c:v>
                </c:pt>
                <c:pt idx="33">
                  <c:v>0.186230636833047</c:v>
                </c:pt>
                <c:pt idx="34">
                  <c:v>0.186230636833047</c:v>
                </c:pt>
                <c:pt idx="35">
                  <c:v>0.178829604130809</c:v>
                </c:pt>
                <c:pt idx="36">
                  <c:v>0.178829604130809</c:v>
                </c:pt>
                <c:pt idx="37">
                  <c:v>0.178829604130809</c:v>
                </c:pt>
                <c:pt idx="38">
                  <c:v>0.178829604130809</c:v>
                </c:pt>
                <c:pt idx="39">
                  <c:v>0.178829604130809</c:v>
                </c:pt>
                <c:pt idx="40">
                  <c:v>0.178829604130809</c:v>
                </c:pt>
                <c:pt idx="41">
                  <c:v>0.181927710843374</c:v>
                </c:pt>
                <c:pt idx="42">
                  <c:v>0.18382099827883</c:v>
                </c:pt>
                <c:pt idx="43">
                  <c:v>0.185197934595525</c:v>
                </c:pt>
                <c:pt idx="44">
                  <c:v>0.185197934595525</c:v>
                </c:pt>
                <c:pt idx="45">
                  <c:v>0.185197934595525</c:v>
                </c:pt>
                <c:pt idx="46">
                  <c:v>0.185197934595525</c:v>
                </c:pt>
                <c:pt idx="47">
                  <c:v>0.185197934595525</c:v>
                </c:pt>
                <c:pt idx="48">
                  <c:v>0.167641996557659</c:v>
                </c:pt>
                <c:pt idx="49">
                  <c:v>0.169363166953528</c:v>
                </c:pt>
                <c:pt idx="50">
                  <c:v>0.174010327022375</c:v>
                </c:pt>
                <c:pt idx="51">
                  <c:v>0.174354561101549</c:v>
                </c:pt>
                <c:pt idx="52">
                  <c:v>0.174354561101549</c:v>
                </c:pt>
                <c:pt idx="53">
                  <c:v>0.174698795180723</c:v>
                </c:pt>
                <c:pt idx="54">
                  <c:v>0.176247848537005</c:v>
                </c:pt>
                <c:pt idx="55">
                  <c:v>0.176247848537005</c:v>
                </c:pt>
                <c:pt idx="56">
                  <c:v>0.166953528399312</c:v>
                </c:pt>
                <c:pt idx="57">
                  <c:v>0.167469879518072</c:v>
                </c:pt>
                <c:pt idx="58">
                  <c:v>0.168674698795181</c:v>
                </c:pt>
                <c:pt idx="59">
                  <c:v>0.0446153846153847</c:v>
                </c:pt>
                <c:pt idx="60">
                  <c:v>0.0446153846153847</c:v>
                </c:pt>
                <c:pt idx="61">
                  <c:v>0.0446153846153847</c:v>
                </c:pt>
                <c:pt idx="62">
                  <c:v>0.0481538461538462</c:v>
                </c:pt>
                <c:pt idx="63">
                  <c:v>0.0492307692307692</c:v>
                </c:pt>
                <c:pt idx="64">
                  <c:v>0.05</c:v>
                </c:pt>
                <c:pt idx="65">
                  <c:v>0.05</c:v>
                </c:pt>
                <c:pt idx="66">
                  <c:v>0.05</c:v>
                </c:pt>
                <c:pt idx="67">
                  <c:v>0.05</c:v>
                </c:pt>
                <c:pt idx="68">
                  <c:v>0.05</c:v>
                </c:pt>
                <c:pt idx="69">
                  <c:v>0.05</c:v>
                </c:pt>
                <c:pt idx="70">
                  <c:v>0.0493846153846154</c:v>
                </c:pt>
                <c:pt idx="71">
                  <c:v>0.0332307692307692</c:v>
                </c:pt>
                <c:pt idx="72">
                  <c:v>0.0256923076923077</c:v>
                </c:pt>
                <c:pt idx="73">
                  <c:v>0.0183076923076924</c:v>
                </c:pt>
                <c:pt idx="74">
                  <c:v>0.0107692307692309</c:v>
                </c:pt>
                <c:pt idx="75">
                  <c:v>-0.00461538461538469</c:v>
                </c:pt>
                <c:pt idx="76">
                  <c:v>-0.00769230769230766</c:v>
                </c:pt>
                <c:pt idx="77">
                  <c:v>-0.00769230769230766</c:v>
                </c:pt>
                <c:pt idx="78">
                  <c:v>-0.00769230769230766</c:v>
                </c:pt>
                <c:pt idx="79">
                  <c:v>-0.00769230769230766</c:v>
                </c:pt>
                <c:pt idx="80">
                  <c:v>-0.00769230769230766</c:v>
                </c:pt>
                <c:pt idx="81">
                  <c:v>-0.0115384615384616</c:v>
                </c:pt>
                <c:pt idx="82">
                  <c:v>-0.0192307692307693</c:v>
                </c:pt>
                <c:pt idx="83">
                  <c:v>-0.0187692307692308</c:v>
                </c:pt>
                <c:pt idx="84">
                  <c:v>-0.0187692307692308</c:v>
                </c:pt>
                <c:pt idx="85">
                  <c:v>-0.0187692307692308</c:v>
                </c:pt>
                <c:pt idx="86">
                  <c:v>-0.0187692307692308</c:v>
                </c:pt>
                <c:pt idx="87">
                  <c:v>-0.0181538461538462</c:v>
                </c:pt>
                <c:pt idx="88">
                  <c:v>-0.0175384615384615</c:v>
                </c:pt>
                <c:pt idx="89">
                  <c:v>-0.0175384615384615</c:v>
                </c:pt>
                <c:pt idx="90">
                  <c:v>-0.0175384615384615</c:v>
                </c:pt>
                <c:pt idx="91">
                  <c:v>-0.0175384615384615</c:v>
                </c:pt>
                <c:pt idx="92">
                  <c:v>-0.0175384615384615</c:v>
                </c:pt>
                <c:pt idx="93">
                  <c:v>-0.0175384615384615</c:v>
                </c:pt>
                <c:pt idx="94">
                  <c:v>-0.0167692307692308</c:v>
                </c:pt>
                <c:pt idx="95">
                  <c:v>-0.0167692307692308</c:v>
                </c:pt>
                <c:pt idx="96">
                  <c:v>-0.0167692307692308</c:v>
                </c:pt>
                <c:pt idx="97">
                  <c:v>-0.0167692307692308</c:v>
                </c:pt>
                <c:pt idx="98">
                  <c:v>-0.0167692307692308</c:v>
                </c:pt>
                <c:pt idx="99">
                  <c:v>-0.0167692307692308</c:v>
                </c:pt>
                <c:pt idx="100">
                  <c:v>-0.0167692307692308</c:v>
                </c:pt>
                <c:pt idx="101">
                  <c:v>-0.0167692307692308</c:v>
                </c:pt>
                <c:pt idx="102">
                  <c:v>-0.0175384615384615</c:v>
                </c:pt>
                <c:pt idx="103">
                  <c:v>-0.0175384615384615</c:v>
                </c:pt>
                <c:pt idx="104">
                  <c:v>-0.0175384615384615</c:v>
                </c:pt>
                <c:pt idx="105">
                  <c:v>-0.0175384615384615</c:v>
                </c:pt>
                <c:pt idx="106">
                  <c:v>-0.0146153846153846</c:v>
                </c:pt>
                <c:pt idx="107">
                  <c:v>-0.0135384615384615</c:v>
                </c:pt>
                <c:pt idx="108">
                  <c:v>-0.0135384615384615</c:v>
                </c:pt>
                <c:pt idx="109">
                  <c:v>-0.0107692307692309</c:v>
                </c:pt>
                <c:pt idx="110">
                  <c:v>-0.00861538461538458</c:v>
                </c:pt>
                <c:pt idx="111">
                  <c:v>-0.00784615384615384</c:v>
                </c:pt>
                <c:pt idx="112">
                  <c:v>-0.00646153846153841</c:v>
                </c:pt>
                <c:pt idx="113">
                  <c:v>0.00184615384615383</c:v>
                </c:pt>
                <c:pt idx="114">
                  <c:v>0.00461538461538469</c:v>
                </c:pt>
                <c:pt idx="115">
                  <c:v>0.00492307692307703</c:v>
                </c:pt>
                <c:pt idx="116">
                  <c:v>0.00661538461538469</c:v>
                </c:pt>
                <c:pt idx="117">
                  <c:v>0.00676923076923064</c:v>
                </c:pt>
                <c:pt idx="118">
                  <c:v>0.0070769230769232</c:v>
                </c:pt>
                <c:pt idx="119">
                  <c:v>-0.0387665198237884</c:v>
                </c:pt>
                <c:pt idx="120">
                  <c:v>-0.0368575624082231</c:v>
                </c:pt>
                <c:pt idx="121">
                  <c:v>-0.00646108663729805</c:v>
                </c:pt>
                <c:pt idx="122">
                  <c:v>-0.00587371512481649</c:v>
                </c:pt>
                <c:pt idx="123">
                  <c:v>-0.00323054331864892</c:v>
                </c:pt>
                <c:pt idx="124">
                  <c:v>-0.00220264317180607</c:v>
                </c:pt>
                <c:pt idx="125">
                  <c:v>-0.00220264317180607</c:v>
                </c:pt>
                <c:pt idx="126">
                  <c:v>-0.00220264317180607</c:v>
                </c:pt>
                <c:pt idx="127">
                  <c:v>0.0198237885462555</c:v>
                </c:pt>
                <c:pt idx="128">
                  <c:v>0.0290748898678415</c:v>
                </c:pt>
                <c:pt idx="129">
                  <c:v>0.0348017621145376</c:v>
                </c:pt>
                <c:pt idx="130">
                  <c:v>0.0402349486049927</c:v>
                </c:pt>
                <c:pt idx="131">
                  <c:v>0.0441997063142439</c:v>
                </c:pt>
                <c:pt idx="132">
                  <c:v>0.0572687224669604</c:v>
                </c:pt>
                <c:pt idx="133">
                  <c:v>0.0602055800293686</c:v>
                </c:pt>
                <c:pt idx="134">
                  <c:v>0.0602055800293686</c:v>
                </c:pt>
                <c:pt idx="135">
                  <c:v>0.0602055800293686</c:v>
                </c:pt>
                <c:pt idx="136">
                  <c:v>0.064610866372981</c:v>
                </c:pt>
                <c:pt idx="137">
                  <c:v>0.064610866372981</c:v>
                </c:pt>
                <c:pt idx="138">
                  <c:v>0.0772393538913363</c:v>
                </c:pt>
                <c:pt idx="139">
                  <c:v>0.0772393538913363</c:v>
                </c:pt>
                <c:pt idx="140">
                  <c:v>0.0772393538913363</c:v>
                </c:pt>
                <c:pt idx="141">
                  <c:v>0.0759177679882526</c:v>
                </c:pt>
                <c:pt idx="142">
                  <c:v>0.0759177679882526</c:v>
                </c:pt>
                <c:pt idx="143">
                  <c:v>0.0691629955947137</c:v>
                </c:pt>
                <c:pt idx="144">
                  <c:v>0.0691629955947137</c:v>
                </c:pt>
                <c:pt idx="145">
                  <c:v>0.0691629955947137</c:v>
                </c:pt>
                <c:pt idx="146">
                  <c:v>0.0691629955947137</c:v>
                </c:pt>
                <c:pt idx="147">
                  <c:v>0.0691629955947137</c:v>
                </c:pt>
                <c:pt idx="148">
                  <c:v>0.0687224669603523</c:v>
                </c:pt>
                <c:pt idx="149">
                  <c:v>0.0687224669603523</c:v>
                </c:pt>
                <c:pt idx="150">
                  <c:v>0.0687224669603523</c:v>
                </c:pt>
                <c:pt idx="151">
                  <c:v>0.0650513950073421</c:v>
                </c:pt>
                <c:pt idx="152">
                  <c:v>0.064610866372981</c:v>
                </c:pt>
                <c:pt idx="153">
                  <c:v>0.0644640234948606</c:v>
                </c:pt>
                <c:pt idx="154">
                  <c:v>0.0641703377386198</c:v>
                </c:pt>
                <c:pt idx="155">
                  <c:v>0.0641703377386198</c:v>
                </c:pt>
                <c:pt idx="156">
                  <c:v>0.0647577092511014</c:v>
                </c:pt>
                <c:pt idx="157">
                  <c:v>0.0650513950073421</c:v>
                </c:pt>
                <c:pt idx="158">
                  <c:v>0.0650513950073421</c:v>
                </c:pt>
                <c:pt idx="159">
                  <c:v>0.0669603524229077</c:v>
                </c:pt>
                <c:pt idx="160">
                  <c:v>0.0684287812041116</c:v>
                </c:pt>
                <c:pt idx="161">
                  <c:v>0.07136563876652</c:v>
                </c:pt>
                <c:pt idx="162">
                  <c:v>0.07136563876652</c:v>
                </c:pt>
                <c:pt idx="163">
                  <c:v>0.0784140969162996</c:v>
                </c:pt>
                <c:pt idx="164">
                  <c:v>0.0784140969162996</c:v>
                </c:pt>
                <c:pt idx="165">
                  <c:v>0.0798825256975038</c:v>
                </c:pt>
                <c:pt idx="166">
                  <c:v>0.0812041116005875</c:v>
                </c:pt>
                <c:pt idx="167">
                  <c:v>0.0856093979441996</c:v>
                </c:pt>
                <c:pt idx="168">
                  <c:v>0.0925110132158591</c:v>
                </c:pt>
                <c:pt idx="169">
                  <c:v>0.103083700440529</c:v>
                </c:pt>
                <c:pt idx="170">
                  <c:v>0.1071953010279</c:v>
                </c:pt>
                <c:pt idx="171">
                  <c:v>0.118208516886931</c:v>
                </c:pt>
                <c:pt idx="172">
                  <c:v>0.123348017621145</c:v>
                </c:pt>
                <c:pt idx="173">
                  <c:v>0.127459618208517</c:v>
                </c:pt>
                <c:pt idx="174">
                  <c:v>0.130690161527166</c:v>
                </c:pt>
                <c:pt idx="175">
                  <c:v>0.137591776798825</c:v>
                </c:pt>
                <c:pt idx="176">
                  <c:v>0.13935389133627</c:v>
                </c:pt>
                <c:pt idx="177">
                  <c:v>0.160205580029369</c:v>
                </c:pt>
                <c:pt idx="178">
                  <c:v>0.167400881057269</c:v>
                </c:pt>
                <c:pt idx="179">
                  <c:v>0.181938325991189</c:v>
                </c:pt>
                <c:pt idx="180">
                  <c:v>0.209985315712188</c:v>
                </c:pt>
                <c:pt idx="181">
                  <c:v>0.222466960352423</c:v>
                </c:pt>
                <c:pt idx="182">
                  <c:v>0.22511013215859</c:v>
                </c:pt>
                <c:pt idx="183">
                  <c:v>0.233627019089574</c:v>
                </c:pt>
                <c:pt idx="184">
                  <c:v>0.162106703146375</c:v>
                </c:pt>
                <c:pt idx="185">
                  <c:v>0.188372093023256</c:v>
                </c:pt>
                <c:pt idx="186">
                  <c:v>0.202462380300958</c:v>
                </c:pt>
                <c:pt idx="187">
                  <c:v>0.208891928864569</c:v>
                </c:pt>
                <c:pt idx="188">
                  <c:v>0.211901504787962</c:v>
                </c:pt>
                <c:pt idx="189">
                  <c:v>0.217510259917921</c:v>
                </c:pt>
                <c:pt idx="190">
                  <c:v>0.231190150478796</c:v>
                </c:pt>
                <c:pt idx="191">
                  <c:v>0.243912448700411</c:v>
                </c:pt>
                <c:pt idx="192">
                  <c:v>0.245280437756498</c:v>
                </c:pt>
                <c:pt idx="193">
                  <c:v>0.260601915184679</c:v>
                </c:pt>
                <c:pt idx="194">
                  <c:v>0.282489740082079</c:v>
                </c:pt>
                <c:pt idx="195">
                  <c:v>0.298221614227086</c:v>
                </c:pt>
                <c:pt idx="196">
                  <c:v>0.299589603283174</c:v>
                </c:pt>
                <c:pt idx="197">
                  <c:v>0.326949384404925</c:v>
                </c:pt>
                <c:pt idx="198">
                  <c:v>0.326949384404925</c:v>
                </c:pt>
                <c:pt idx="199">
                  <c:v>0.314090287277702</c:v>
                </c:pt>
                <c:pt idx="200">
                  <c:v>0.305061559507524</c:v>
                </c:pt>
                <c:pt idx="201">
                  <c:v>0.299863201094391</c:v>
                </c:pt>
                <c:pt idx="202">
                  <c:v>0.304240766073872</c:v>
                </c:pt>
                <c:pt idx="203">
                  <c:v>0.306976744186047</c:v>
                </c:pt>
                <c:pt idx="204">
                  <c:v>0.309575923392613</c:v>
                </c:pt>
                <c:pt idx="205">
                  <c:v>0.309986320109439</c:v>
                </c:pt>
                <c:pt idx="206">
                  <c:v>0.318057455540356</c:v>
                </c:pt>
                <c:pt idx="207">
                  <c:v>0.321203830369357</c:v>
                </c:pt>
                <c:pt idx="208">
                  <c:v>0.321614227086183</c:v>
                </c:pt>
                <c:pt idx="209">
                  <c:v>0.32202462380301</c:v>
                </c:pt>
                <c:pt idx="210">
                  <c:v>0.313269493844049</c:v>
                </c:pt>
                <c:pt idx="211">
                  <c:v>0.310533515731874</c:v>
                </c:pt>
                <c:pt idx="212">
                  <c:v>0.304924760601915</c:v>
                </c:pt>
                <c:pt idx="213">
                  <c:v>0.301367989056088</c:v>
                </c:pt>
                <c:pt idx="214">
                  <c:v>0.300957592339261</c:v>
                </c:pt>
                <c:pt idx="215">
                  <c:v>0.300136798905609</c:v>
                </c:pt>
                <c:pt idx="216">
                  <c:v>0.299863201094391</c:v>
                </c:pt>
                <c:pt idx="217">
                  <c:v>0.299452804377565</c:v>
                </c:pt>
                <c:pt idx="218">
                  <c:v>0.300547195622435</c:v>
                </c:pt>
                <c:pt idx="219">
                  <c:v>0.297127222982216</c:v>
                </c:pt>
                <c:pt idx="220">
                  <c:v>0.30984952120383</c:v>
                </c:pt>
                <c:pt idx="221">
                  <c:v>0.309986320109439</c:v>
                </c:pt>
                <c:pt idx="222">
                  <c:v>0.312585499316006</c:v>
                </c:pt>
                <c:pt idx="223">
                  <c:v>0.312585499316006</c:v>
                </c:pt>
                <c:pt idx="224">
                  <c:v>0.30984952120383</c:v>
                </c:pt>
                <c:pt idx="225">
                  <c:v>0.278133333333333</c:v>
                </c:pt>
                <c:pt idx="226">
                  <c:v>0.2832</c:v>
                </c:pt>
                <c:pt idx="227">
                  <c:v>0.2872</c:v>
                </c:pt>
                <c:pt idx="228">
                  <c:v>0.288</c:v>
                </c:pt>
                <c:pt idx="229">
                  <c:v>0.289066666666667</c:v>
                </c:pt>
                <c:pt idx="230">
                  <c:v>0.290266666666667</c:v>
                </c:pt>
                <c:pt idx="231">
                  <c:v>0.290266666666667</c:v>
                </c:pt>
                <c:pt idx="232">
                  <c:v>0.291066666666667</c:v>
                </c:pt>
                <c:pt idx="233">
                  <c:v>0.291333333333333</c:v>
                </c:pt>
                <c:pt idx="234">
                  <c:v>0.291466666666667</c:v>
                </c:pt>
                <c:pt idx="235">
                  <c:v>0.2888</c:v>
                </c:pt>
                <c:pt idx="236">
                  <c:v>0.284266666666667</c:v>
                </c:pt>
                <c:pt idx="237">
                  <c:v>0.282666666666667</c:v>
                </c:pt>
                <c:pt idx="238">
                  <c:v>0.282666666666667</c:v>
                </c:pt>
                <c:pt idx="239">
                  <c:v>0.282666666666667</c:v>
                </c:pt>
                <c:pt idx="240">
                  <c:v>0.282666666666667</c:v>
                </c:pt>
                <c:pt idx="241">
                  <c:v>0.282666666666667</c:v>
                </c:pt>
                <c:pt idx="242">
                  <c:v>0.282666666666667</c:v>
                </c:pt>
                <c:pt idx="243">
                  <c:v>0.282666666666667</c:v>
                </c:pt>
                <c:pt idx="244">
                  <c:v>0.282666666666667</c:v>
                </c:pt>
                <c:pt idx="245">
                  <c:v>0.282666666666667</c:v>
                </c:pt>
                <c:pt idx="246">
                  <c:v>0.278133333333333</c:v>
                </c:pt>
                <c:pt idx="247">
                  <c:v>0.278933333333333</c:v>
                </c:pt>
                <c:pt idx="248">
                  <c:v>0.278933333333333</c:v>
                </c:pt>
                <c:pt idx="249">
                  <c:v>0.278933333333333</c:v>
                </c:pt>
                <c:pt idx="250">
                  <c:v>0.281066666666667</c:v>
                </c:pt>
                <c:pt idx="251">
                  <c:v>0.286533333333333</c:v>
                </c:pt>
                <c:pt idx="252">
                  <c:v>0.286533333333333</c:v>
                </c:pt>
                <c:pt idx="253">
                  <c:v>0.286666666666667</c:v>
                </c:pt>
                <c:pt idx="254">
                  <c:v>0.286666666666667</c:v>
                </c:pt>
                <c:pt idx="255">
                  <c:v>0.286666666666667</c:v>
                </c:pt>
                <c:pt idx="256">
                  <c:v>0.286666666666667</c:v>
                </c:pt>
                <c:pt idx="257">
                  <c:v>0.286666666666667</c:v>
                </c:pt>
                <c:pt idx="258">
                  <c:v>0.286666666666667</c:v>
                </c:pt>
                <c:pt idx="259">
                  <c:v>0.286666666666667</c:v>
                </c:pt>
                <c:pt idx="260">
                  <c:v>0.277733333333333</c:v>
                </c:pt>
                <c:pt idx="261">
                  <c:v>0.274266666666667</c:v>
                </c:pt>
                <c:pt idx="262">
                  <c:v>0.273333333333333</c:v>
                </c:pt>
                <c:pt idx="263">
                  <c:v>0.273333333333333</c:v>
                </c:pt>
                <c:pt idx="264">
                  <c:v>0.277733333333333</c:v>
                </c:pt>
                <c:pt idx="265">
                  <c:v>0.277733333333333</c:v>
                </c:pt>
                <c:pt idx="266">
                  <c:v>0.277733333333333</c:v>
                </c:pt>
                <c:pt idx="267">
                  <c:v>0.2644</c:v>
                </c:pt>
                <c:pt idx="268">
                  <c:v>0.187153652392947</c:v>
                </c:pt>
                <c:pt idx="269">
                  <c:v>0.182619647355164</c:v>
                </c:pt>
                <c:pt idx="270">
                  <c:v>0.179345088161209</c:v>
                </c:pt>
                <c:pt idx="271">
                  <c:v>0.175314861460957</c:v>
                </c:pt>
                <c:pt idx="272">
                  <c:v>0.173803526448363</c:v>
                </c:pt>
                <c:pt idx="273">
                  <c:v>0.168765743073048</c:v>
                </c:pt>
                <c:pt idx="274">
                  <c:v>0.168765743073048</c:v>
                </c:pt>
                <c:pt idx="275">
                  <c:v>0.16712846347607</c:v>
                </c:pt>
                <c:pt idx="276">
                  <c:v>0.166876574307305</c:v>
                </c:pt>
                <c:pt idx="277">
                  <c:v>0.166750629722922</c:v>
                </c:pt>
                <c:pt idx="278">
                  <c:v>0.166750629722922</c:v>
                </c:pt>
                <c:pt idx="279">
                  <c:v>0.166750629722922</c:v>
                </c:pt>
                <c:pt idx="280">
                  <c:v>0.162846347607053</c:v>
                </c:pt>
                <c:pt idx="281">
                  <c:v>0.161335012594458</c:v>
                </c:pt>
                <c:pt idx="282">
                  <c:v>0.156549118387909</c:v>
                </c:pt>
                <c:pt idx="283">
                  <c:v>0.155793450881612</c:v>
                </c:pt>
                <c:pt idx="284">
                  <c:v>0.154911838790932</c:v>
                </c:pt>
                <c:pt idx="285">
                  <c:v>0.154785894206549</c:v>
                </c:pt>
                <c:pt idx="286">
                  <c:v>0.154282115869018</c:v>
                </c:pt>
                <c:pt idx="287">
                  <c:v>0.152015113350126</c:v>
                </c:pt>
                <c:pt idx="288">
                  <c:v>0.151259445843829</c:v>
                </c:pt>
                <c:pt idx="289">
                  <c:v>0.148488664987406</c:v>
                </c:pt>
                <c:pt idx="290">
                  <c:v>0.148488664987406</c:v>
                </c:pt>
                <c:pt idx="291">
                  <c:v>0.140680100755668</c:v>
                </c:pt>
                <c:pt idx="292">
                  <c:v>0.13816120906801</c:v>
                </c:pt>
                <c:pt idx="293">
                  <c:v>0.135642317380352</c:v>
                </c:pt>
                <c:pt idx="294">
                  <c:v>0.134130982367758</c:v>
                </c:pt>
                <c:pt idx="295">
                  <c:v>0.133627204030227</c:v>
                </c:pt>
                <c:pt idx="296">
                  <c:v>0.131360201511335</c:v>
                </c:pt>
                <c:pt idx="297">
                  <c:v>0.133501259445844</c:v>
                </c:pt>
                <c:pt idx="298">
                  <c:v>0.13551637279597</c:v>
                </c:pt>
                <c:pt idx="299">
                  <c:v>0.137027707808564</c:v>
                </c:pt>
                <c:pt idx="300">
                  <c:v>0.137027707808564</c:v>
                </c:pt>
                <c:pt idx="301">
                  <c:v>0.137531486146096</c:v>
                </c:pt>
                <c:pt idx="302">
                  <c:v>0.138539042821159</c:v>
                </c:pt>
                <c:pt idx="303">
                  <c:v>0.141813602015113</c:v>
                </c:pt>
                <c:pt idx="304">
                  <c:v>0.142065491183879</c:v>
                </c:pt>
                <c:pt idx="305">
                  <c:v>0.140680100755668</c:v>
                </c:pt>
                <c:pt idx="306">
                  <c:v>0.140680100755668</c:v>
                </c:pt>
                <c:pt idx="307">
                  <c:v>0.137783375314861</c:v>
                </c:pt>
                <c:pt idx="308">
                  <c:v>0.103052503052503</c:v>
                </c:pt>
                <c:pt idx="309">
                  <c:v>0.103052503052503</c:v>
                </c:pt>
                <c:pt idx="310">
                  <c:v>0.103052503052503</c:v>
                </c:pt>
                <c:pt idx="311">
                  <c:v>0.103663003663004</c:v>
                </c:pt>
                <c:pt idx="312">
                  <c:v>0.103052503052503</c:v>
                </c:pt>
                <c:pt idx="313">
                  <c:v>0.103052503052503</c:v>
                </c:pt>
                <c:pt idx="314">
                  <c:v>0.0992673992673994</c:v>
                </c:pt>
                <c:pt idx="315">
                  <c:v>0.0990231990231991</c:v>
                </c:pt>
                <c:pt idx="316">
                  <c:v>0.0974358974358975</c:v>
                </c:pt>
                <c:pt idx="317">
                  <c:v>0.0941391941391942</c:v>
                </c:pt>
                <c:pt idx="318">
                  <c:v>0.0941391941391942</c:v>
                </c:pt>
                <c:pt idx="319">
                  <c:v>0.0941391941391942</c:v>
                </c:pt>
                <c:pt idx="320">
                  <c:v>0.0926739926739928</c:v>
                </c:pt>
                <c:pt idx="321">
                  <c:v>0.0926739926739928</c:v>
                </c:pt>
                <c:pt idx="322">
                  <c:v>0.0909645909645911</c:v>
                </c:pt>
                <c:pt idx="323">
                  <c:v>0.0897435897435899</c:v>
                </c:pt>
                <c:pt idx="324">
                  <c:v>0.084859584859585</c:v>
                </c:pt>
                <c:pt idx="325">
                  <c:v>0.0844932844932844</c:v>
                </c:pt>
                <c:pt idx="326">
                  <c:v>0.0840048840048842</c:v>
                </c:pt>
                <c:pt idx="327">
                  <c:v>0.0840048840048842</c:v>
                </c:pt>
                <c:pt idx="328">
                  <c:v>0.0840048840048842</c:v>
                </c:pt>
                <c:pt idx="329">
                  <c:v>0.0840048840048842</c:v>
                </c:pt>
                <c:pt idx="330">
                  <c:v>0.0842490842490844</c:v>
                </c:pt>
                <c:pt idx="331">
                  <c:v>0.0842490842490844</c:v>
                </c:pt>
                <c:pt idx="332">
                  <c:v>0.0842490842490844</c:v>
                </c:pt>
                <c:pt idx="333">
                  <c:v>0.0842490842490844</c:v>
                </c:pt>
                <c:pt idx="334">
                  <c:v>0.0842490842490844</c:v>
                </c:pt>
                <c:pt idx="335">
                  <c:v>0.0842490842490844</c:v>
                </c:pt>
                <c:pt idx="336">
                  <c:v>0.0813186813186815</c:v>
                </c:pt>
                <c:pt idx="337">
                  <c:v>0.0769230769230771</c:v>
                </c:pt>
                <c:pt idx="338">
                  <c:v>0.0744810744810747</c:v>
                </c:pt>
                <c:pt idx="339">
                  <c:v>0.0744810744810747</c:v>
                </c:pt>
                <c:pt idx="340">
                  <c:v>0.0744810744810747</c:v>
                </c:pt>
                <c:pt idx="341">
                  <c:v>0.0661782661782662</c:v>
                </c:pt>
                <c:pt idx="342">
                  <c:v>0.0648351648351648</c:v>
                </c:pt>
                <c:pt idx="343">
                  <c:v>0.0612942612942613</c:v>
                </c:pt>
                <c:pt idx="344">
                  <c:v>0.0584859584859585</c:v>
                </c:pt>
                <c:pt idx="345">
                  <c:v>0.0584859584859585</c:v>
                </c:pt>
                <c:pt idx="346">
                  <c:v>0.0538461538461539</c:v>
                </c:pt>
                <c:pt idx="347">
                  <c:v>0.0538461538461539</c:v>
                </c:pt>
                <c:pt idx="348">
                  <c:v>0.0533577533577536</c:v>
                </c:pt>
                <c:pt idx="349">
                  <c:v>0.0532356532356533</c:v>
                </c:pt>
                <c:pt idx="350">
                  <c:v>0.0532356532356533</c:v>
                </c:pt>
                <c:pt idx="351">
                  <c:v>0.052991452991453</c:v>
                </c:pt>
                <c:pt idx="352">
                  <c:v>0.0528693528693529</c:v>
                </c:pt>
                <c:pt idx="353">
                  <c:v>0.0526251526251527</c:v>
                </c:pt>
                <c:pt idx="354">
                  <c:v>0.0522588522588523</c:v>
                </c:pt>
                <c:pt idx="355">
                  <c:v>0.0518925518925519</c:v>
                </c:pt>
                <c:pt idx="356">
                  <c:v>0.051770451770452</c:v>
                </c:pt>
                <c:pt idx="357">
                  <c:v>0.0515262515262516</c:v>
                </c:pt>
                <c:pt idx="358">
                  <c:v>0.0514041514041514</c:v>
                </c:pt>
                <c:pt idx="359">
                  <c:v>0.0511599511599512</c:v>
                </c:pt>
                <c:pt idx="360">
                  <c:v>0.0511599511599512</c:v>
                </c:pt>
                <c:pt idx="361">
                  <c:v>0.0503052503052503</c:v>
                </c:pt>
                <c:pt idx="362">
                  <c:v>0.0456654456654457</c:v>
                </c:pt>
                <c:pt idx="363">
                  <c:v>0.0448107448107449</c:v>
                </c:pt>
                <c:pt idx="364">
                  <c:v>0.0440781440781441</c:v>
                </c:pt>
                <c:pt idx="365">
                  <c:v>0.0417582417582418</c:v>
                </c:pt>
                <c:pt idx="366">
                  <c:v>0.0113553113553113</c:v>
                </c:pt>
                <c:pt idx="367">
                  <c:v>-0.00525030525030512</c:v>
                </c:pt>
                <c:pt idx="368">
                  <c:v>-0.0152625152625152</c:v>
                </c:pt>
                <c:pt idx="369">
                  <c:v>-0.0175824175824176</c:v>
                </c:pt>
                <c:pt idx="370">
                  <c:v>-0.0181929181929181</c:v>
                </c:pt>
                <c:pt idx="371">
                  <c:v>-0.0211233211233212</c:v>
                </c:pt>
                <c:pt idx="372">
                  <c:v>-0.0218559218559219</c:v>
                </c:pt>
                <c:pt idx="373">
                  <c:v>-0.0218559218559219</c:v>
                </c:pt>
                <c:pt idx="374">
                  <c:v>-0.0188034188034188</c:v>
                </c:pt>
                <c:pt idx="375">
                  <c:v>-0.0188034188034188</c:v>
                </c:pt>
                <c:pt idx="376">
                  <c:v>-0.0188034188034188</c:v>
                </c:pt>
                <c:pt idx="377">
                  <c:v>-0.0102564102564102</c:v>
                </c:pt>
                <c:pt idx="378">
                  <c:v>-0.0133089133089133</c:v>
                </c:pt>
                <c:pt idx="379">
                  <c:v>-0.0145299145299145</c:v>
                </c:pt>
                <c:pt idx="380">
                  <c:v>-0.0217338217338217</c:v>
                </c:pt>
                <c:pt idx="381">
                  <c:v>-0.0257631257631257</c:v>
                </c:pt>
                <c:pt idx="382">
                  <c:v>-0.0278388278388279</c:v>
                </c:pt>
                <c:pt idx="383">
                  <c:v>-0.0293040293040292</c:v>
                </c:pt>
                <c:pt idx="384">
                  <c:v>-0.0313797313797314</c:v>
                </c:pt>
                <c:pt idx="385">
                  <c:v>-0.0317460317460317</c:v>
                </c:pt>
                <c:pt idx="386">
                  <c:v>-0.0326007326007325</c:v>
                </c:pt>
                <c:pt idx="387">
                  <c:v>-0.0326007326007325</c:v>
                </c:pt>
                <c:pt idx="388">
                  <c:v>-0.0354090354090353</c:v>
                </c:pt>
                <c:pt idx="389">
                  <c:v>-0.0354090354090353</c:v>
                </c:pt>
                <c:pt idx="390">
                  <c:v>-0.0354090354090353</c:v>
                </c:pt>
                <c:pt idx="391">
                  <c:v>-0.0357753357753356</c:v>
                </c:pt>
                <c:pt idx="392">
                  <c:v>-0.0362637362637362</c:v>
                </c:pt>
                <c:pt idx="393">
                  <c:v>-0.036996336996337</c:v>
                </c:pt>
                <c:pt idx="394">
                  <c:v>-0.039072039072039</c:v>
                </c:pt>
                <c:pt idx="395">
                  <c:v>-0.0411477411477411</c:v>
                </c:pt>
                <c:pt idx="396">
                  <c:v>-0.0418803418803417</c:v>
                </c:pt>
                <c:pt idx="397">
                  <c:v>-0.0427350427350427</c:v>
                </c:pt>
                <c:pt idx="398">
                  <c:v>-0.0467643467643467</c:v>
                </c:pt>
                <c:pt idx="399">
                  <c:v>-0.05006105006105</c:v>
                </c:pt>
                <c:pt idx="400">
                  <c:v>-0.0525030525030524</c:v>
                </c:pt>
                <c:pt idx="401">
                  <c:v>-0.0533577533577533</c:v>
                </c:pt>
                <c:pt idx="402">
                  <c:v>-0.0561660561660561</c:v>
                </c:pt>
                <c:pt idx="403">
                  <c:v>-0.0601953601953601</c:v>
                </c:pt>
                <c:pt idx="404">
                  <c:v>-0.0692307692307691</c:v>
                </c:pt>
                <c:pt idx="405">
                  <c:v>-0.0699633699633699</c:v>
                </c:pt>
                <c:pt idx="406">
                  <c:v>-0.0721611721611721</c:v>
                </c:pt>
                <c:pt idx="407">
                  <c:v>-0.0747252747252747</c:v>
                </c:pt>
                <c:pt idx="408">
                  <c:v>-0.0777777777777777</c:v>
                </c:pt>
                <c:pt idx="409">
                  <c:v>-0.0777777777777777</c:v>
                </c:pt>
                <c:pt idx="410">
                  <c:v>-0.0792429792429792</c:v>
                </c:pt>
                <c:pt idx="411">
                  <c:v>-0.0813186813186813</c:v>
                </c:pt>
                <c:pt idx="412">
                  <c:v>-0.0818070818070818</c:v>
                </c:pt>
                <c:pt idx="413">
                  <c:v>-0.0855921855921855</c:v>
                </c:pt>
                <c:pt idx="414">
                  <c:v>-0.0864468864468864</c:v>
                </c:pt>
                <c:pt idx="415">
                  <c:v>-0.0875457875457875</c:v>
                </c:pt>
                <c:pt idx="416">
                  <c:v>-0.0881562881562881</c:v>
                </c:pt>
                <c:pt idx="417">
                  <c:v>-0.0888888888888889</c:v>
                </c:pt>
                <c:pt idx="418">
                  <c:v>-0.0979242979242979</c:v>
                </c:pt>
                <c:pt idx="419">
                  <c:v>-0.0984126984126983</c:v>
                </c:pt>
                <c:pt idx="420">
                  <c:v>-0.0998778998778999</c:v>
                </c:pt>
                <c:pt idx="421">
                  <c:v>-0.1003663003663</c:v>
                </c:pt>
                <c:pt idx="422">
                  <c:v>-0.100854700854701</c:v>
                </c:pt>
                <c:pt idx="423">
                  <c:v>-0.0993894993894993</c:v>
                </c:pt>
                <c:pt idx="424">
                  <c:v>-0.0993894993894993</c:v>
                </c:pt>
                <c:pt idx="425">
                  <c:v>-0.0993894993894993</c:v>
                </c:pt>
                <c:pt idx="426">
                  <c:v>-0.0993894993894993</c:v>
                </c:pt>
                <c:pt idx="427">
                  <c:v>-0.1003663003663</c:v>
                </c:pt>
                <c:pt idx="428">
                  <c:v>-0.102686202686203</c:v>
                </c:pt>
                <c:pt idx="429">
                  <c:v>-0.102686202686203</c:v>
                </c:pt>
                <c:pt idx="430">
                  <c:v>-0.103663003663004</c:v>
                </c:pt>
                <c:pt idx="431">
                  <c:v>-0.112332112332112</c:v>
                </c:pt>
                <c:pt idx="432">
                  <c:v>-0.119536019536019</c:v>
                </c:pt>
                <c:pt idx="433">
                  <c:v>-0.0142270861833105</c:v>
                </c:pt>
                <c:pt idx="434">
                  <c:v>-0.014500683994528</c:v>
                </c:pt>
                <c:pt idx="435">
                  <c:v>-0.015047879616963</c:v>
                </c:pt>
                <c:pt idx="436">
                  <c:v>-0.015047879616963</c:v>
                </c:pt>
                <c:pt idx="437">
                  <c:v>-0.015047879616963</c:v>
                </c:pt>
                <c:pt idx="438">
                  <c:v>-0.015047879616963</c:v>
                </c:pt>
                <c:pt idx="439">
                  <c:v>-0.0166894664842681</c:v>
                </c:pt>
                <c:pt idx="440">
                  <c:v>-0.0175102599179205</c:v>
                </c:pt>
                <c:pt idx="441">
                  <c:v>-0.0218878248974007</c:v>
                </c:pt>
                <c:pt idx="442">
                  <c:v>-0.0251709986320109</c:v>
                </c:pt>
                <c:pt idx="443">
                  <c:v>-0.0272229822161423</c:v>
                </c:pt>
                <c:pt idx="444">
                  <c:v>-0.0283173734610123</c:v>
                </c:pt>
                <c:pt idx="445">
                  <c:v>-0.0326949384404924</c:v>
                </c:pt>
                <c:pt idx="446">
                  <c:v>-0.0343365253077975</c:v>
                </c:pt>
                <c:pt idx="447">
                  <c:v>-0.0343365253077975</c:v>
                </c:pt>
                <c:pt idx="448">
                  <c:v>-0.0348837209302325</c:v>
                </c:pt>
                <c:pt idx="449">
                  <c:v>-0.0348837209302325</c:v>
                </c:pt>
                <c:pt idx="450">
                  <c:v>-0.0461012311901504</c:v>
                </c:pt>
                <c:pt idx="451">
                  <c:v>-0.0466484268125854</c:v>
                </c:pt>
                <c:pt idx="452">
                  <c:v>-0.0471956224350205</c:v>
                </c:pt>
                <c:pt idx="453">
                  <c:v>-0.0471956224350205</c:v>
                </c:pt>
                <c:pt idx="454">
                  <c:v>-0.0497948016415869</c:v>
                </c:pt>
                <c:pt idx="455">
                  <c:v>-0.0522571819425445</c:v>
                </c:pt>
                <c:pt idx="456">
                  <c:v>-0.0375521557719055</c:v>
                </c:pt>
                <c:pt idx="457">
                  <c:v>-0.0385257301808067</c:v>
                </c:pt>
                <c:pt idx="458">
                  <c:v>-0.0385257301808067</c:v>
                </c:pt>
                <c:pt idx="459">
                  <c:v>-0.0390820584144647</c:v>
                </c:pt>
                <c:pt idx="460">
                  <c:v>-0.0458970792767733</c:v>
                </c:pt>
                <c:pt idx="461">
                  <c:v>-0.0527121001390821</c:v>
                </c:pt>
                <c:pt idx="462">
                  <c:v>-0.0534075104311544</c:v>
                </c:pt>
                <c:pt idx="463">
                  <c:v>-0.0543810848400557</c:v>
                </c:pt>
                <c:pt idx="464">
                  <c:v>-0.0559109874826148</c:v>
                </c:pt>
                <c:pt idx="465">
                  <c:v>-0.0559109874826148</c:v>
                </c:pt>
                <c:pt idx="466">
                  <c:v>-0.0575799721835883</c:v>
                </c:pt>
                <c:pt idx="467">
                  <c:v>-0.0575799721835883</c:v>
                </c:pt>
                <c:pt idx="468">
                  <c:v>-0.0585535465924896</c:v>
                </c:pt>
                <c:pt idx="469">
                  <c:v>-0.0585535465924896</c:v>
                </c:pt>
                <c:pt idx="470">
                  <c:v>-0.0585535465924896</c:v>
                </c:pt>
                <c:pt idx="471">
                  <c:v>-0.0611961057023644</c:v>
                </c:pt>
                <c:pt idx="472">
                  <c:v>-0.0611961057023644</c:v>
                </c:pt>
                <c:pt idx="473">
                  <c:v>-0.0663421418636996</c:v>
                </c:pt>
                <c:pt idx="474">
                  <c:v>-0.0663421418636996</c:v>
                </c:pt>
                <c:pt idx="475">
                  <c:v>-0.0680111265646732</c:v>
                </c:pt>
                <c:pt idx="476">
                  <c:v>-0.0694019471488179</c:v>
                </c:pt>
                <c:pt idx="477">
                  <c:v>-0.0720445062586927</c:v>
                </c:pt>
                <c:pt idx="478">
                  <c:v>-0.0819310344827586</c:v>
                </c:pt>
                <c:pt idx="479">
                  <c:v>-0.0897931034482758</c:v>
                </c:pt>
                <c:pt idx="480">
                  <c:v>-0.0951724137931035</c:v>
                </c:pt>
                <c:pt idx="481">
                  <c:v>-0.0977931034482759</c:v>
                </c:pt>
                <c:pt idx="482">
                  <c:v>-0.0993103448275862</c:v>
                </c:pt>
                <c:pt idx="483">
                  <c:v>-0.1</c:v>
                </c:pt>
                <c:pt idx="484">
                  <c:v>-0.1</c:v>
                </c:pt>
                <c:pt idx="485">
                  <c:v>-0.103034482758621</c:v>
                </c:pt>
                <c:pt idx="486">
                  <c:v>-0.103034482758621</c:v>
                </c:pt>
                <c:pt idx="487">
                  <c:v>-0.104689655172414</c:v>
                </c:pt>
                <c:pt idx="488">
                  <c:v>-0.107310344827586</c:v>
                </c:pt>
                <c:pt idx="489">
                  <c:v>-0.107310344827586</c:v>
                </c:pt>
                <c:pt idx="490">
                  <c:v>-0.115172413793103</c:v>
                </c:pt>
                <c:pt idx="491">
                  <c:v>-0.116689655172414</c:v>
                </c:pt>
                <c:pt idx="492">
                  <c:v>-0.119862068965517</c:v>
                </c:pt>
                <c:pt idx="493">
                  <c:v>-0.121379310344828</c:v>
                </c:pt>
                <c:pt idx="494">
                  <c:v>-0.123034482758621</c:v>
                </c:pt>
                <c:pt idx="495">
                  <c:v>-0.123448275862069</c:v>
                </c:pt>
                <c:pt idx="496">
                  <c:v>-0.123862068965517</c:v>
                </c:pt>
                <c:pt idx="497">
                  <c:v>-0.123862068965517</c:v>
                </c:pt>
                <c:pt idx="498">
                  <c:v>0.0586666666666666</c:v>
                </c:pt>
                <c:pt idx="499">
                  <c:v>0.0489999999999999</c:v>
                </c:pt>
                <c:pt idx="500">
                  <c:v>0.0330000000000001</c:v>
                </c:pt>
                <c:pt idx="501">
                  <c:v>0.0296666666666667</c:v>
                </c:pt>
                <c:pt idx="502">
                  <c:v>0.0265</c:v>
                </c:pt>
                <c:pt idx="503">
                  <c:v>0.02</c:v>
                </c:pt>
                <c:pt idx="504">
                  <c:v>0.0188333333333335</c:v>
                </c:pt>
                <c:pt idx="505">
                  <c:v>0.0183333333333333</c:v>
                </c:pt>
                <c:pt idx="506">
                  <c:v>0.0178333333333334</c:v>
                </c:pt>
                <c:pt idx="507">
                  <c:v>0.0165</c:v>
                </c:pt>
                <c:pt idx="508">
                  <c:v>0.000333333333333297</c:v>
                </c:pt>
                <c:pt idx="509">
                  <c:v>-0.00283333333333335</c:v>
                </c:pt>
                <c:pt idx="510">
                  <c:v>-0.00649999999999995</c:v>
                </c:pt>
                <c:pt idx="511">
                  <c:v>-0.00716666666666665</c:v>
                </c:pt>
                <c:pt idx="512">
                  <c:v>-0.00783333333333325</c:v>
                </c:pt>
                <c:pt idx="513">
                  <c:v>-0.00783333333333325</c:v>
                </c:pt>
                <c:pt idx="514">
                  <c:v>-0.00800000000000001</c:v>
                </c:pt>
                <c:pt idx="515">
                  <c:v>-0.00800000000000001</c:v>
                </c:pt>
                <c:pt idx="516">
                  <c:v>-0.0086666666666666</c:v>
                </c:pt>
                <c:pt idx="517">
                  <c:v>-0.00900000000000001</c:v>
                </c:pt>
                <c:pt idx="518">
                  <c:v>-0.00900000000000001</c:v>
                </c:pt>
                <c:pt idx="519">
                  <c:v>-0.0096666666666666</c:v>
                </c:pt>
                <c:pt idx="520">
                  <c:v>0.158284600389864</c:v>
                </c:pt>
                <c:pt idx="521">
                  <c:v>0.157894736842105</c:v>
                </c:pt>
                <c:pt idx="522">
                  <c:v>0.157504873294347</c:v>
                </c:pt>
                <c:pt idx="523">
                  <c:v>0.15458089668616</c:v>
                </c:pt>
                <c:pt idx="524">
                  <c:v>0.14327485380117</c:v>
                </c:pt>
                <c:pt idx="525">
                  <c:v>0.139571150097466</c:v>
                </c:pt>
                <c:pt idx="526">
                  <c:v>0.135672514619883</c:v>
                </c:pt>
                <c:pt idx="527">
                  <c:v>0.131968810916179</c:v>
                </c:pt>
                <c:pt idx="528">
                  <c:v>0.125146198830409</c:v>
                </c:pt>
                <c:pt idx="529">
                  <c:v>0.12280701754386</c:v>
                </c:pt>
                <c:pt idx="530">
                  <c:v>0.12046783625731</c:v>
                </c:pt>
                <c:pt idx="531">
                  <c:v>0.117543859649123</c:v>
                </c:pt>
                <c:pt idx="532">
                  <c:v>0.0984405458089668</c:v>
                </c:pt>
                <c:pt idx="533">
                  <c:v>0.0863547758284602</c:v>
                </c:pt>
                <c:pt idx="534">
                  <c:v>0.0729044834307992</c:v>
                </c:pt>
                <c:pt idx="535">
                  <c:v>0.20109649122807</c:v>
                </c:pt>
                <c:pt idx="536">
                  <c:v>0.195833333333334</c:v>
                </c:pt>
                <c:pt idx="537">
                  <c:v>0.195175438596491</c:v>
                </c:pt>
                <c:pt idx="538">
                  <c:v>0.173245614035088</c:v>
                </c:pt>
                <c:pt idx="539">
                  <c:v>0.173245614035088</c:v>
                </c:pt>
                <c:pt idx="540">
                  <c:v>0.17171052631579</c:v>
                </c:pt>
                <c:pt idx="541">
                  <c:v>0.151315789473684</c:v>
                </c:pt>
                <c:pt idx="542">
                  <c:v>0.137938596491228</c:v>
                </c:pt>
                <c:pt idx="543">
                  <c:v>0.132894736842105</c:v>
                </c:pt>
                <c:pt idx="544">
                  <c:v>0.116008771929825</c:v>
                </c:pt>
                <c:pt idx="545">
                  <c:v>0.113377192982456</c:v>
                </c:pt>
                <c:pt idx="546">
                  <c:v>0.113377192982456</c:v>
                </c:pt>
                <c:pt idx="547">
                  <c:v>0.104824561403509</c:v>
                </c:pt>
                <c:pt idx="548">
                  <c:v>0.0734649122807018</c:v>
                </c:pt>
                <c:pt idx="549">
                  <c:v>0.0651315789473685</c:v>
                </c:pt>
                <c:pt idx="550">
                  <c:v>0.0407894736842107</c:v>
                </c:pt>
                <c:pt idx="551">
                  <c:v>0.0392543859649124</c:v>
                </c:pt>
                <c:pt idx="552">
                  <c:v>0.0166666666666668</c:v>
                </c:pt>
                <c:pt idx="553">
                  <c:v>0.00964912280701768</c:v>
                </c:pt>
                <c:pt idx="554">
                  <c:v>0.00526315789473686</c:v>
                </c:pt>
                <c:pt idx="555">
                  <c:v>0.00307017543859645</c:v>
                </c:pt>
                <c:pt idx="556">
                  <c:v>0.1335</c:v>
                </c:pt>
                <c:pt idx="557">
                  <c:v>0.1285</c:v>
                </c:pt>
                <c:pt idx="558">
                  <c:v>0.121</c:v>
                </c:pt>
                <c:pt idx="559">
                  <c:v>0.1135</c:v>
                </c:pt>
                <c:pt idx="560">
                  <c:v>0.1125</c:v>
                </c:pt>
                <c:pt idx="561">
                  <c:v>0.0985</c:v>
                </c:pt>
                <c:pt idx="562">
                  <c:v>0.0867500000000001</c:v>
                </c:pt>
                <c:pt idx="563">
                  <c:v>0.08125</c:v>
                </c:pt>
                <c:pt idx="564">
                  <c:v>0.0762499999999999</c:v>
                </c:pt>
                <c:pt idx="565">
                  <c:v>0.073</c:v>
                </c:pt>
                <c:pt idx="566">
                  <c:v>0.0629999999999999</c:v>
                </c:pt>
                <c:pt idx="567">
                  <c:v>0.0585</c:v>
                </c:pt>
                <c:pt idx="568">
                  <c:v>0.0549999999999999</c:v>
                </c:pt>
                <c:pt idx="569">
                  <c:v>0.0475000000000001</c:v>
                </c:pt>
                <c:pt idx="570">
                  <c:v>0.04</c:v>
                </c:pt>
                <c:pt idx="571">
                  <c:v>0.0269999999999999</c:v>
                </c:pt>
                <c:pt idx="572">
                  <c:v>0.022</c:v>
                </c:pt>
                <c:pt idx="573">
                  <c:v>0.00800000000000001</c:v>
                </c:pt>
                <c:pt idx="574">
                  <c:v>-0.004</c:v>
                </c:pt>
                <c:pt idx="575">
                  <c:v>-0.0115</c:v>
                </c:pt>
                <c:pt idx="576">
                  <c:v>-0.013</c:v>
                </c:pt>
                <c:pt idx="577">
                  <c:v>0.0405333333333333</c:v>
                </c:pt>
                <c:pt idx="578">
                  <c:v>0.0325333333333333</c:v>
                </c:pt>
                <c:pt idx="579">
                  <c:v>0.0271999999999999</c:v>
                </c:pt>
                <c:pt idx="580">
                  <c:v>0.0202666666666667</c:v>
                </c:pt>
                <c:pt idx="581">
                  <c:v>0.0138666666666667</c:v>
                </c:pt>
                <c:pt idx="582">
                  <c:v>0.0114666666666667</c:v>
                </c:pt>
                <c:pt idx="583">
                  <c:v>0.00826666666666664</c:v>
                </c:pt>
                <c:pt idx="584">
                  <c:v>0.00746666666666673</c:v>
                </c:pt>
                <c:pt idx="585">
                  <c:v>0.0066666666666666</c:v>
                </c:pt>
                <c:pt idx="586">
                  <c:v>0.00426666666666664</c:v>
                </c:pt>
                <c:pt idx="587">
                  <c:v>-0.000533333333333275</c:v>
                </c:pt>
                <c:pt idx="588">
                  <c:v>-0.0026666666666666</c:v>
                </c:pt>
                <c:pt idx="589">
                  <c:v>-0.00639999999999996</c:v>
                </c:pt>
                <c:pt idx="590">
                  <c:v>-0.0079999999999999</c:v>
                </c:pt>
                <c:pt idx="591">
                  <c:v>-0.0165333333333333</c:v>
                </c:pt>
                <c:pt idx="592">
                  <c:v>-0.0207999999999999</c:v>
                </c:pt>
                <c:pt idx="593">
                  <c:v>-0.0224</c:v>
                </c:pt>
                <c:pt idx="594">
                  <c:v>-0.0245333333333334</c:v>
                </c:pt>
                <c:pt idx="595">
                  <c:v>-0.0325333333333333</c:v>
                </c:pt>
                <c:pt idx="596">
                  <c:v>-0.0357333333333333</c:v>
                </c:pt>
                <c:pt idx="597">
                  <c:v>-0.0376</c:v>
                </c:pt>
                <c:pt idx="598">
                  <c:v>-0.0397333333333333</c:v>
                </c:pt>
                <c:pt idx="599">
                  <c:v>0.0854984894259818</c:v>
                </c:pt>
                <c:pt idx="600">
                  <c:v>0.0854984894259818</c:v>
                </c:pt>
                <c:pt idx="601">
                  <c:v>0.0809667673716012</c:v>
                </c:pt>
                <c:pt idx="602">
                  <c:v>0.066465256797583</c:v>
                </c:pt>
                <c:pt idx="603">
                  <c:v>0.0561933534743202</c:v>
                </c:pt>
                <c:pt idx="604">
                  <c:v>0.0410876132930513</c:v>
                </c:pt>
                <c:pt idx="605">
                  <c:v>0.0350453172205438</c:v>
                </c:pt>
                <c:pt idx="606">
                  <c:v>0.0332326283987916</c:v>
                </c:pt>
                <c:pt idx="607">
                  <c:v>0.0290030211480363</c:v>
                </c:pt>
                <c:pt idx="608">
                  <c:v>0.0277945619335347</c:v>
                </c:pt>
                <c:pt idx="609">
                  <c:v>0.0235649546827794</c:v>
                </c:pt>
                <c:pt idx="610">
                  <c:v>0.0126888217522658</c:v>
                </c:pt>
                <c:pt idx="611">
                  <c:v>0.00543806646525669</c:v>
                </c:pt>
                <c:pt idx="612">
                  <c:v>-0.0102719033232629</c:v>
                </c:pt>
                <c:pt idx="613">
                  <c:v>-0.0135951661631419</c:v>
                </c:pt>
                <c:pt idx="614">
                  <c:v>-0.0247734138972809</c:v>
                </c:pt>
                <c:pt idx="615">
                  <c:v>-0.0283987915407855</c:v>
                </c:pt>
                <c:pt idx="616">
                  <c:v>-0.0456193353474321</c:v>
                </c:pt>
                <c:pt idx="617">
                  <c:v>-0.0507552870090635</c:v>
                </c:pt>
                <c:pt idx="618">
                  <c:v>0.0639455782312925</c:v>
                </c:pt>
                <c:pt idx="619">
                  <c:v>0.0564625850340137</c:v>
                </c:pt>
                <c:pt idx="620">
                  <c:v>0.0517006802721089</c:v>
                </c:pt>
                <c:pt idx="621">
                  <c:v>0.0428571428571429</c:v>
                </c:pt>
                <c:pt idx="622">
                  <c:v>0.0306122448979591</c:v>
                </c:pt>
                <c:pt idx="623">
                  <c:v>0.0238095238095237</c:v>
                </c:pt>
                <c:pt idx="624">
                  <c:v>0.0224489795918368</c:v>
                </c:pt>
                <c:pt idx="625">
                  <c:v>0.0346938775510204</c:v>
                </c:pt>
                <c:pt idx="626">
                  <c:v>0.0544217687074831</c:v>
                </c:pt>
                <c:pt idx="627">
                  <c:v>0.109183673469388</c:v>
                </c:pt>
                <c:pt idx="628">
                  <c:v>0.143197278911565</c:v>
                </c:pt>
                <c:pt idx="629">
                  <c:v>0.201360544217687</c:v>
                </c:pt>
                <c:pt idx="630">
                  <c:v>0.212244897959184</c:v>
                </c:pt>
                <c:pt idx="631">
                  <c:v>0.22312925170068</c:v>
                </c:pt>
                <c:pt idx="632">
                  <c:v>0.270748299319728</c:v>
                </c:pt>
                <c:pt idx="633">
                  <c:v>0.270748299319728</c:v>
                </c:pt>
                <c:pt idx="634">
                  <c:v>0.256122448979592</c:v>
                </c:pt>
                <c:pt idx="635">
                  <c:v>0.246258503401361</c:v>
                </c:pt>
                <c:pt idx="636">
                  <c:v>0.239115646258503</c:v>
                </c:pt>
                <c:pt idx="637">
                  <c:v>0.236734693877551</c:v>
                </c:pt>
                <c:pt idx="638">
                  <c:v>0.235714285714286</c:v>
                </c:pt>
                <c:pt idx="639">
                  <c:v>0.235714285714286</c:v>
                </c:pt>
                <c:pt idx="640">
                  <c:v>0.235714285714286</c:v>
                </c:pt>
                <c:pt idx="641">
                  <c:v>0.23469387755102</c:v>
                </c:pt>
                <c:pt idx="642">
                  <c:v>0.235714285714286</c:v>
                </c:pt>
                <c:pt idx="643">
                  <c:v>0.235714285714286</c:v>
                </c:pt>
                <c:pt idx="644">
                  <c:v>0.237074829931973</c:v>
                </c:pt>
                <c:pt idx="645">
                  <c:v>0.237074829931973</c:v>
                </c:pt>
                <c:pt idx="646">
                  <c:v>0.230272108843537</c:v>
                </c:pt>
                <c:pt idx="647">
                  <c:v>0.218707482993197</c:v>
                </c:pt>
                <c:pt idx="648">
                  <c:v>0.216666666666667</c:v>
                </c:pt>
                <c:pt idx="649">
                  <c:v>0.209863945578231</c:v>
                </c:pt>
                <c:pt idx="650">
                  <c:v>0.206462585034014</c:v>
                </c:pt>
                <c:pt idx="651">
                  <c:v>0.205102040816327</c:v>
                </c:pt>
                <c:pt idx="652">
                  <c:v>0.199659863945578</c:v>
                </c:pt>
                <c:pt idx="653">
                  <c:v>0.198299319727891</c:v>
                </c:pt>
                <c:pt idx="654">
                  <c:v>0.196258503401361</c:v>
                </c:pt>
                <c:pt idx="655">
                  <c:v>0.19047619047619</c:v>
                </c:pt>
                <c:pt idx="656">
                  <c:v>0.189455782312925</c:v>
                </c:pt>
                <c:pt idx="657">
                  <c:v>0.18265306122449</c:v>
                </c:pt>
                <c:pt idx="658">
                  <c:v>0.180272108843538</c:v>
                </c:pt>
                <c:pt idx="659">
                  <c:v>0.177891156462585</c:v>
                </c:pt>
                <c:pt idx="660">
                  <c:v>0.162244897959184</c:v>
                </c:pt>
                <c:pt idx="661">
                  <c:v>0.156462585034014</c:v>
                </c:pt>
                <c:pt idx="662">
                  <c:v>0.154081632653061</c:v>
                </c:pt>
                <c:pt idx="663">
                  <c:v>0.150680272108844</c:v>
                </c:pt>
                <c:pt idx="664">
                  <c:v>0.146258503401361</c:v>
                </c:pt>
                <c:pt idx="665">
                  <c:v>0.142857142857143</c:v>
                </c:pt>
                <c:pt idx="666">
                  <c:v>0.131632653061224</c:v>
                </c:pt>
                <c:pt idx="667">
                  <c:v>0.12687074829932</c:v>
                </c:pt>
                <c:pt idx="668">
                  <c:v>0.123469387755102</c:v>
                </c:pt>
                <c:pt idx="669">
                  <c:v>0.112244897959184</c:v>
                </c:pt>
                <c:pt idx="670">
                  <c:v>0.108843537414966</c:v>
                </c:pt>
                <c:pt idx="671">
                  <c:v>0.106462585034014</c:v>
                </c:pt>
                <c:pt idx="672">
                  <c:v>0.104421768707483</c:v>
                </c:pt>
                <c:pt idx="673">
                  <c:v>0.103061224489796</c:v>
                </c:pt>
                <c:pt idx="674">
                  <c:v>0.102040816326531</c:v>
                </c:pt>
                <c:pt idx="675">
                  <c:v>0.101020408163265</c:v>
                </c:pt>
                <c:pt idx="676">
                  <c:v>0.0986394557823129</c:v>
                </c:pt>
                <c:pt idx="677">
                  <c:v>0.0976190476190475</c:v>
                </c:pt>
                <c:pt idx="678">
                  <c:v>0.0894557823129252</c:v>
                </c:pt>
                <c:pt idx="679">
                  <c:v>0.08843537414966</c:v>
                </c:pt>
                <c:pt idx="680">
                  <c:v>0.0874149659863945</c:v>
                </c:pt>
                <c:pt idx="681">
                  <c:v>0.0850340136054422</c:v>
                </c:pt>
                <c:pt idx="682">
                  <c:v>0.0826530612244898</c:v>
                </c:pt>
                <c:pt idx="683">
                  <c:v>0.128113879003559</c:v>
                </c:pt>
                <c:pt idx="684">
                  <c:v>0.112811387900356</c:v>
                </c:pt>
                <c:pt idx="685">
                  <c:v>0.109252669039146</c:v>
                </c:pt>
                <c:pt idx="686">
                  <c:v>0.100711743772242</c:v>
                </c:pt>
                <c:pt idx="687">
                  <c:v>0.095017793594306</c:v>
                </c:pt>
                <c:pt idx="688">
                  <c:v>0.0864768683274022</c:v>
                </c:pt>
                <c:pt idx="689">
                  <c:v>0.0914590747330961</c:v>
                </c:pt>
                <c:pt idx="690">
                  <c:v>0.0914590747330961</c:v>
                </c:pt>
                <c:pt idx="691">
                  <c:v>0.090035587188612</c:v>
                </c:pt>
                <c:pt idx="692">
                  <c:v>0.090035587188612</c:v>
                </c:pt>
                <c:pt idx="693">
                  <c:v>0.0864768683274022</c:v>
                </c:pt>
                <c:pt idx="694">
                  <c:v>0.0736654804270462</c:v>
                </c:pt>
                <c:pt idx="695">
                  <c:v>0.0665480427046263</c:v>
                </c:pt>
                <c:pt idx="696">
                  <c:v>0.0640569395017794</c:v>
                </c:pt>
                <c:pt idx="697">
                  <c:v>0.0558718861209964</c:v>
                </c:pt>
                <c:pt idx="698">
                  <c:v>0.0523131672597863</c:v>
                </c:pt>
                <c:pt idx="699">
                  <c:v>0.0462633451957295</c:v>
                </c:pt>
                <c:pt idx="700">
                  <c:v>0.0402135231316727</c:v>
                </c:pt>
                <c:pt idx="701">
                  <c:v>0.0345195729537366</c:v>
                </c:pt>
                <c:pt idx="702">
                  <c:v>0.0327402135231316</c:v>
                </c:pt>
                <c:pt idx="703">
                  <c:v>0.0295373665480425</c:v>
                </c:pt>
                <c:pt idx="704">
                  <c:v>0.0284697508896798</c:v>
                </c:pt>
                <c:pt idx="705">
                  <c:v>0.0259786476868327</c:v>
                </c:pt>
                <c:pt idx="706">
                  <c:v>0.0249110320284698</c:v>
                </c:pt>
                <c:pt idx="707">
                  <c:v>0.0238434163701067</c:v>
                </c:pt>
                <c:pt idx="708">
                  <c:v>0.0213523131672597</c:v>
                </c:pt>
                <c:pt idx="709">
                  <c:v>0.0202846975088968</c:v>
                </c:pt>
                <c:pt idx="710">
                  <c:v>0.0188612099644128</c:v>
                </c:pt>
                <c:pt idx="711">
                  <c:v>0.0153024911032029</c:v>
                </c:pt>
                <c:pt idx="712">
                  <c:v>0.0131672597864769</c:v>
                </c:pt>
                <c:pt idx="713">
                  <c:v>0.00818505338078301</c:v>
                </c:pt>
                <c:pt idx="714">
                  <c:v>0.00711743772241991</c:v>
                </c:pt>
                <c:pt idx="715">
                  <c:v>0.00711743772241991</c:v>
                </c:pt>
                <c:pt idx="716">
                  <c:v>0.00249110320284696</c:v>
                </c:pt>
                <c:pt idx="717">
                  <c:v>-0.00249110320284707</c:v>
                </c:pt>
                <c:pt idx="718">
                  <c:v>-0.00604982206405691</c:v>
                </c:pt>
                <c:pt idx="719">
                  <c:v>-0.00604982206405691</c:v>
                </c:pt>
                <c:pt idx="720">
                  <c:v>-0.0131672597864768</c:v>
                </c:pt>
                <c:pt idx="721">
                  <c:v>-0.0188612099644128</c:v>
                </c:pt>
                <c:pt idx="722">
                  <c:v>-0.0202846975088967</c:v>
                </c:pt>
                <c:pt idx="723">
                  <c:v>-0.0220640569395018</c:v>
                </c:pt>
                <c:pt idx="724">
                  <c:v>-0.0224199288256228</c:v>
                </c:pt>
                <c:pt idx="725">
                  <c:v>-0.0224199288256228</c:v>
                </c:pt>
                <c:pt idx="726">
                  <c:v>-0.0224199288256228</c:v>
                </c:pt>
                <c:pt idx="727">
                  <c:v>-0.0224199288256228</c:v>
                </c:pt>
                <c:pt idx="728">
                  <c:v>-0.0231316725978647</c:v>
                </c:pt>
                <c:pt idx="729">
                  <c:v>-0.0277580071174377</c:v>
                </c:pt>
                <c:pt idx="730">
                  <c:v>-0.0277580071174377</c:v>
                </c:pt>
                <c:pt idx="731">
                  <c:v>-0.0249110320284697</c:v>
                </c:pt>
                <c:pt idx="732">
                  <c:v>-0.0256227758007118</c:v>
                </c:pt>
                <c:pt idx="733">
                  <c:v>-0.0188612099644128</c:v>
                </c:pt>
                <c:pt idx="734">
                  <c:v>-0.00960854092526697</c:v>
                </c:pt>
                <c:pt idx="735">
                  <c:v>0.0188612099644128</c:v>
                </c:pt>
                <c:pt idx="736">
                  <c:v>0.0569395017793595</c:v>
                </c:pt>
                <c:pt idx="737">
                  <c:v>0.0736654804270462</c:v>
                </c:pt>
                <c:pt idx="738">
                  <c:v>0.0736654804270462</c:v>
                </c:pt>
                <c:pt idx="739">
                  <c:v>0.0758007117437722</c:v>
                </c:pt>
                <c:pt idx="740">
                  <c:v>0.0772241992882563</c:v>
                </c:pt>
                <c:pt idx="741">
                  <c:v>0.0772241992882563</c:v>
                </c:pt>
                <c:pt idx="742">
                  <c:v>0.0772241992882563</c:v>
                </c:pt>
                <c:pt idx="743">
                  <c:v>0.0772241992882563</c:v>
                </c:pt>
                <c:pt idx="744">
                  <c:v>0.0775800711743773</c:v>
                </c:pt>
                <c:pt idx="745">
                  <c:v>0.0782918149466192</c:v>
                </c:pt>
                <c:pt idx="746">
                  <c:v>0.0782918149466192</c:v>
                </c:pt>
                <c:pt idx="747">
                  <c:v>0.0782918149466192</c:v>
                </c:pt>
                <c:pt idx="748">
                  <c:v>0.0782918149466192</c:v>
                </c:pt>
                <c:pt idx="749">
                  <c:v>0.0669014084507042</c:v>
                </c:pt>
                <c:pt idx="750">
                  <c:v>0.073943661971831</c:v>
                </c:pt>
                <c:pt idx="751">
                  <c:v>0.0820422535211267</c:v>
                </c:pt>
                <c:pt idx="752">
                  <c:v>0.101056338028169</c:v>
                </c:pt>
                <c:pt idx="753">
                  <c:v>0.108098591549296</c:v>
                </c:pt>
                <c:pt idx="754">
                  <c:v>0.112676056338028</c:v>
                </c:pt>
                <c:pt idx="755">
                  <c:v>0.120774647887324</c:v>
                </c:pt>
                <c:pt idx="756">
                  <c:v>0.126760563380282</c:v>
                </c:pt>
                <c:pt idx="757">
                  <c:v>0.13274647887324</c:v>
                </c:pt>
                <c:pt idx="758">
                  <c:v>0.150352112676056</c:v>
                </c:pt>
                <c:pt idx="759">
                  <c:v>0.172535211267606</c:v>
                </c:pt>
                <c:pt idx="760">
                  <c:v>0.177112676056338</c:v>
                </c:pt>
                <c:pt idx="761">
                  <c:v>0.179577464788732</c:v>
                </c:pt>
                <c:pt idx="762">
                  <c:v>0.18556338028169</c:v>
                </c:pt>
                <c:pt idx="763">
                  <c:v>0.189084507042254</c:v>
                </c:pt>
                <c:pt idx="764">
                  <c:v>0.189084507042254</c:v>
                </c:pt>
                <c:pt idx="765">
                  <c:v>0.208802816901408</c:v>
                </c:pt>
                <c:pt idx="766">
                  <c:v>0.194444444444444</c:v>
                </c:pt>
                <c:pt idx="767">
                  <c:v>0.210763888888889</c:v>
                </c:pt>
                <c:pt idx="768">
                  <c:v>0.196875</c:v>
                </c:pt>
                <c:pt idx="769">
                  <c:v>0.189930555555556</c:v>
                </c:pt>
                <c:pt idx="770">
                  <c:v>0.185069444444445</c:v>
                </c:pt>
                <c:pt idx="771">
                  <c:v>0.185069444444445</c:v>
                </c:pt>
                <c:pt idx="772">
                  <c:v>0.185069444444445</c:v>
                </c:pt>
                <c:pt idx="773">
                  <c:v>0.185069444444445</c:v>
                </c:pt>
                <c:pt idx="774">
                  <c:v>0.185069444444445</c:v>
                </c:pt>
                <c:pt idx="775">
                  <c:v>0.185069444444445</c:v>
                </c:pt>
                <c:pt idx="776">
                  <c:v>0.178125</c:v>
                </c:pt>
                <c:pt idx="777">
                  <c:v>0.173611111111111</c:v>
                </c:pt>
                <c:pt idx="778">
                  <c:v>0.151736111111111</c:v>
                </c:pt>
                <c:pt idx="779">
                  <c:v>0.151736111111111</c:v>
                </c:pt>
                <c:pt idx="780">
                  <c:v>0.151736111111111</c:v>
                </c:pt>
                <c:pt idx="781">
                  <c:v>0.151736111111111</c:v>
                </c:pt>
                <c:pt idx="782">
                  <c:v>0.160763888888889</c:v>
                </c:pt>
                <c:pt idx="783">
                  <c:v>0.164236111111111</c:v>
                </c:pt>
                <c:pt idx="784">
                  <c:v>0.186458333333333</c:v>
                </c:pt>
                <c:pt idx="785">
                  <c:v>0.189930555555556</c:v>
                </c:pt>
                <c:pt idx="786">
                  <c:v>0.172448979591837</c:v>
                </c:pt>
                <c:pt idx="787">
                  <c:v>0.196258503401361</c:v>
                </c:pt>
                <c:pt idx="788">
                  <c:v>0.200680272108843</c:v>
                </c:pt>
                <c:pt idx="789">
                  <c:v>0.211904761904762</c:v>
                </c:pt>
                <c:pt idx="790">
                  <c:v>0.211904761904762</c:v>
                </c:pt>
                <c:pt idx="791">
                  <c:v>0.218707482993197</c:v>
                </c:pt>
                <c:pt idx="792">
                  <c:v>0.227891156462585</c:v>
                </c:pt>
                <c:pt idx="793">
                  <c:v>0.22891156462585</c:v>
                </c:pt>
                <c:pt idx="794">
                  <c:v>0.224489795918367</c:v>
                </c:pt>
                <c:pt idx="795">
                  <c:v>0.223469387755102</c:v>
                </c:pt>
                <c:pt idx="796">
                  <c:v>0.216666666666667</c:v>
                </c:pt>
                <c:pt idx="797">
                  <c:v>0.21530612244898</c:v>
                </c:pt>
                <c:pt idx="798">
                  <c:v>0.204081632653061</c:v>
                </c:pt>
                <c:pt idx="799">
                  <c:v>0.199659863945578</c:v>
                </c:pt>
                <c:pt idx="800">
                  <c:v>0.197278911564626</c:v>
                </c:pt>
                <c:pt idx="801">
                  <c:v>0.194897959183673</c:v>
                </c:pt>
                <c:pt idx="802">
                  <c:v>0.19047619047619</c:v>
                </c:pt>
                <c:pt idx="803">
                  <c:v>0.19047619047619</c:v>
                </c:pt>
                <c:pt idx="804">
                  <c:v>0.19047619047619</c:v>
                </c:pt>
                <c:pt idx="805">
                  <c:v>0.19047619047619</c:v>
                </c:pt>
                <c:pt idx="806">
                  <c:v>0.19047619047619</c:v>
                </c:pt>
                <c:pt idx="807">
                  <c:v>0.19047619047619</c:v>
                </c:pt>
                <c:pt idx="808">
                  <c:v>0.094224924012158</c:v>
                </c:pt>
                <c:pt idx="809">
                  <c:v>0.104255319148936</c:v>
                </c:pt>
                <c:pt idx="810">
                  <c:v>0.105471124620061</c:v>
                </c:pt>
                <c:pt idx="811">
                  <c:v>0.105471124620061</c:v>
                </c:pt>
                <c:pt idx="812">
                  <c:v>0.105471124620061</c:v>
                </c:pt>
                <c:pt idx="813">
                  <c:v>0.0993920972644378</c:v>
                </c:pt>
                <c:pt idx="814">
                  <c:v>0.0902735562310031</c:v>
                </c:pt>
                <c:pt idx="815">
                  <c:v>0.0881458966565349</c:v>
                </c:pt>
                <c:pt idx="816">
                  <c:v>0.0829787234042554</c:v>
                </c:pt>
                <c:pt idx="817">
                  <c:v>0.0738601823708207</c:v>
                </c:pt>
                <c:pt idx="818">
                  <c:v>0.064741641337386</c:v>
                </c:pt>
                <c:pt idx="819">
                  <c:v>0.0577507598784195</c:v>
                </c:pt>
                <c:pt idx="820">
                  <c:v>0.0556231003039513</c:v>
                </c:pt>
                <c:pt idx="821">
                  <c:v>0.0537993920972644</c:v>
                </c:pt>
                <c:pt idx="822">
                  <c:v>0.0486322188449848</c:v>
                </c:pt>
                <c:pt idx="823">
                  <c:v>0.0465045592705167</c:v>
                </c:pt>
                <c:pt idx="824">
                  <c:v>0.0416413373860183</c:v>
                </c:pt>
                <c:pt idx="825">
                  <c:v>0.0386018237082066</c:v>
                </c:pt>
                <c:pt idx="826">
                  <c:v>0.0364741641337387</c:v>
                </c:pt>
                <c:pt idx="827">
                  <c:v>0.0234042553191489</c:v>
                </c:pt>
                <c:pt idx="828">
                  <c:v>0.0161094224924012</c:v>
                </c:pt>
                <c:pt idx="829">
                  <c:v>0.00911854103343468</c:v>
                </c:pt>
                <c:pt idx="830">
                  <c:v>-0.000906344410876114</c:v>
                </c:pt>
                <c:pt idx="831">
                  <c:v>-0.00694864048338373</c:v>
                </c:pt>
                <c:pt idx="832">
                  <c:v>-0.00906344410876136</c:v>
                </c:pt>
                <c:pt idx="833">
                  <c:v>-0.011178247734139</c:v>
                </c:pt>
                <c:pt idx="834">
                  <c:v>-0.015105740181269</c:v>
                </c:pt>
                <c:pt idx="835">
                  <c:v>-0.0190332326283988</c:v>
                </c:pt>
                <c:pt idx="836">
                  <c:v>-0.027190332326284</c:v>
                </c:pt>
                <c:pt idx="837">
                  <c:v>-0.0293051359516616</c:v>
                </c:pt>
                <c:pt idx="838">
                  <c:v>-0.0347432024169185</c:v>
                </c:pt>
                <c:pt idx="839">
                  <c:v>-0.0441087613293051</c:v>
                </c:pt>
                <c:pt idx="840">
                  <c:v>-0.051963746223565</c:v>
                </c:pt>
                <c:pt idx="841">
                  <c:v>-0.0561933534743202</c:v>
                </c:pt>
                <c:pt idx="842">
                  <c:v>-0.0583081570996979</c:v>
                </c:pt>
                <c:pt idx="843">
                  <c:v>-0.0592145015105741</c:v>
                </c:pt>
                <c:pt idx="844">
                  <c:v>-0.0601208459214501</c:v>
                </c:pt>
                <c:pt idx="845">
                  <c:v>-0.0607250755287009</c:v>
                </c:pt>
                <c:pt idx="846">
                  <c:v>-0.065558912386707</c:v>
                </c:pt>
                <c:pt idx="847">
                  <c:v>-0.0676737160120846</c:v>
                </c:pt>
                <c:pt idx="848">
                  <c:v>-0.0697885196374622</c:v>
                </c:pt>
                <c:pt idx="849">
                  <c:v>-0.0761329305135953</c:v>
                </c:pt>
                <c:pt idx="850">
                  <c:v>-0.0761329305135953</c:v>
                </c:pt>
                <c:pt idx="851">
                  <c:v>-0.0776435045317221</c:v>
                </c:pt>
                <c:pt idx="852">
                  <c:v>-0.0776435045317221</c:v>
                </c:pt>
                <c:pt idx="853">
                  <c:v>-0.0791540785498489</c:v>
                </c:pt>
                <c:pt idx="854">
                  <c:v>-0.0854984894259818</c:v>
                </c:pt>
                <c:pt idx="855">
                  <c:v>-0.0867069486404833</c:v>
                </c:pt>
                <c:pt idx="856">
                  <c:v>-0.0954682779456193</c:v>
                </c:pt>
                <c:pt idx="857">
                  <c:v>-0.0978851963746223</c:v>
                </c:pt>
                <c:pt idx="858">
                  <c:v>-0.0987915407854985</c:v>
                </c:pt>
                <c:pt idx="859">
                  <c:v>-0.103021148036254</c:v>
                </c:pt>
                <c:pt idx="860">
                  <c:v>-0.120543806646526</c:v>
                </c:pt>
                <c:pt idx="861">
                  <c:v>-0.124773413897281</c:v>
                </c:pt>
                <c:pt idx="862">
                  <c:v>-0.131117824773414</c:v>
                </c:pt>
                <c:pt idx="863">
                  <c:v>-0.137462235649547</c:v>
                </c:pt>
                <c:pt idx="864">
                  <c:v>-0.138972809667674</c:v>
                </c:pt>
                <c:pt idx="865">
                  <c:v>-0.145619335347432</c:v>
                </c:pt>
                <c:pt idx="866">
                  <c:v>-0.148036253776435</c:v>
                </c:pt>
                <c:pt idx="867">
                  <c:v>-0.152870090634441</c:v>
                </c:pt>
                <c:pt idx="868">
                  <c:v>-0.155287009063444</c:v>
                </c:pt>
                <c:pt idx="869">
                  <c:v>-0.159516616314199</c:v>
                </c:pt>
                <c:pt idx="870">
                  <c:v>-0.114376996805112</c:v>
                </c:pt>
                <c:pt idx="871">
                  <c:v>-0.117571884984025</c:v>
                </c:pt>
                <c:pt idx="872">
                  <c:v>-0.120127795527156</c:v>
                </c:pt>
                <c:pt idx="873">
                  <c:v>-0.133546325878594</c:v>
                </c:pt>
                <c:pt idx="874">
                  <c:v>-0.13482428115016</c:v>
                </c:pt>
                <c:pt idx="875">
                  <c:v>-0.137380191693291</c:v>
                </c:pt>
                <c:pt idx="876">
                  <c:v>-0.139936102236422</c:v>
                </c:pt>
                <c:pt idx="877">
                  <c:v>-0.142492012779553</c:v>
                </c:pt>
                <c:pt idx="878">
                  <c:v>-0.145047923322684</c:v>
                </c:pt>
                <c:pt idx="879">
                  <c:v>-0.145047923322684</c:v>
                </c:pt>
                <c:pt idx="880">
                  <c:v>-0.147603833865815</c:v>
                </c:pt>
                <c:pt idx="881">
                  <c:v>-0.147923322683706</c:v>
                </c:pt>
                <c:pt idx="882">
                  <c:v>-0.147923322683706</c:v>
                </c:pt>
                <c:pt idx="883">
                  <c:v>-0.147923322683706</c:v>
                </c:pt>
                <c:pt idx="884">
                  <c:v>-0.150798722044728</c:v>
                </c:pt>
                <c:pt idx="885">
                  <c:v>-0.155591054313099</c:v>
                </c:pt>
                <c:pt idx="886">
                  <c:v>-0.155591054313099</c:v>
                </c:pt>
                <c:pt idx="887">
                  <c:v>-0.156549520766773</c:v>
                </c:pt>
                <c:pt idx="888">
                  <c:v>-0.156869009584665</c:v>
                </c:pt>
                <c:pt idx="889">
                  <c:v>-0.159744408945687</c:v>
                </c:pt>
                <c:pt idx="890">
                  <c:v>-0.160063897763578</c:v>
                </c:pt>
                <c:pt idx="891">
                  <c:v>-0.162939297124601</c:v>
                </c:pt>
                <c:pt idx="892">
                  <c:v>-0.163258785942492</c:v>
                </c:pt>
                <c:pt idx="893">
                  <c:v>-0.163258785942492</c:v>
                </c:pt>
                <c:pt idx="894">
                  <c:v>-0.166134185303514</c:v>
                </c:pt>
                <c:pt idx="895">
                  <c:v>-0.166453674121406</c:v>
                </c:pt>
                <c:pt idx="896">
                  <c:v>-0.166453674121406</c:v>
                </c:pt>
                <c:pt idx="897">
                  <c:v>-0.167092651757188</c:v>
                </c:pt>
                <c:pt idx="898">
                  <c:v>-0.167092651757188</c:v>
                </c:pt>
                <c:pt idx="899">
                  <c:v>-0.167092651757188</c:v>
                </c:pt>
                <c:pt idx="900">
                  <c:v>-0.167092651757188</c:v>
                </c:pt>
                <c:pt idx="901">
                  <c:v>-0.175399361022364</c:v>
                </c:pt>
                <c:pt idx="902">
                  <c:v>-0.177955271565495</c:v>
                </c:pt>
                <c:pt idx="903">
                  <c:v>-0.178594249201278</c:v>
                </c:pt>
                <c:pt idx="904">
                  <c:v>-0.181150159744409</c:v>
                </c:pt>
                <c:pt idx="905">
                  <c:v>-0.184025559105431</c:v>
                </c:pt>
                <c:pt idx="906">
                  <c:v>-0.189456869009585</c:v>
                </c:pt>
                <c:pt idx="907">
                  <c:v>-0.189456869009585</c:v>
                </c:pt>
                <c:pt idx="908">
                  <c:v>-0.192012779552716</c:v>
                </c:pt>
                <c:pt idx="909">
                  <c:v>-0.190095846645367</c:v>
                </c:pt>
                <c:pt idx="910">
                  <c:v>-0.180191693290735</c:v>
                </c:pt>
                <c:pt idx="911">
                  <c:v>-0.173801916932907</c:v>
                </c:pt>
                <c:pt idx="912">
                  <c:v>-0.173801916932907</c:v>
                </c:pt>
                <c:pt idx="913">
                  <c:v>-0.173801916932907</c:v>
                </c:pt>
                <c:pt idx="914">
                  <c:v>-0.162939297124601</c:v>
                </c:pt>
                <c:pt idx="915">
                  <c:v>-0.143130990415336</c:v>
                </c:pt>
                <c:pt idx="916">
                  <c:v>-0.118849840255591</c:v>
                </c:pt>
                <c:pt idx="917">
                  <c:v>-0.103194888178914</c:v>
                </c:pt>
                <c:pt idx="918">
                  <c:v>-0.100319488817891</c:v>
                </c:pt>
                <c:pt idx="919">
                  <c:v>-0.0878594249201278</c:v>
                </c:pt>
                <c:pt idx="920">
                  <c:v>-0.0773162939297125</c:v>
                </c:pt>
                <c:pt idx="921">
                  <c:v>-0.0654952076677316</c:v>
                </c:pt>
                <c:pt idx="922">
                  <c:v>-0.0591054313099042</c:v>
                </c:pt>
                <c:pt idx="923">
                  <c:v>-0.0591054313099042</c:v>
                </c:pt>
                <c:pt idx="924">
                  <c:v>-0.0591054313099042</c:v>
                </c:pt>
                <c:pt idx="925">
                  <c:v>-0.0517571884984025</c:v>
                </c:pt>
                <c:pt idx="926">
                  <c:v>-0.0517571884984025</c:v>
                </c:pt>
                <c:pt idx="927">
                  <c:v>-0.0517571884984025</c:v>
                </c:pt>
                <c:pt idx="928">
                  <c:v>-0.0517571884984025</c:v>
                </c:pt>
                <c:pt idx="929">
                  <c:v>-0.0543130990415335</c:v>
                </c:pt>
                <c:pt idx="930">
                  <c:v>-0.0543130990415335</c:v>
                </c:pt>
                <c:pt idx="931">
                  <c:v>-0.0543130990415335</c:v>
                </c:pt>
                <c:pt idx="932">
                  <c:v>-0.0543130990415335</c:v>
                </c:pt>
                <c:pt idx="933">
                  <c:v>-0.0565495207667732</c:v>
                </c:pt>
                <c:pt idx="934">
                  <c:v>-0.0565495207667732</c:v>
                </c:pt>
                <c:pt idx="935">
                  <c:v>-0.0565495207667732</c:v>
                </c:pt>
                <c:pt idx="936">
                  <c:v>0.0361403508771929</c:v>
                </c:pt>
                <c:pt idx="937">
                  <c:v>0.0361403508771929</c:v>
                </c:pt>
                <c:pt idx="938">
                  <c:v>0.0361403508771929</c:v>
                </c:pt>
                <c:pt idx="939">
                  <c:v>0.0361403508771929</c:v>
                </c:pt>
                <c:pt idx="940">
                  <c:v>0.0361403508771929</c:v>
                </c:pt>
                <c:pt idx="941">
                  <c:v>0.0385964912280701</c:v>
                </c:pt>
                <c:pt idx="942">
                  <c:v>0.0385964912280701</c:v>
                </c:pt>
                <c:pt idx="943">
                  <c:v>0.0361403508771929</c:v>
                </c:pt>
                <c:pt idx="944">
                  <c:v>0.0308771929824561</c:v>
                </c:pt>
                <c:pt idx="945">
                  <c:v>0.0256140350877192</c:v>
                </c:pt>
                <c:pt idx="946">
                  <c:v>0.0192982456140349</c:v>
                </c:pt>
                <c:pt idx="947">
                  <c:v>0.0175438596491226</c:v>
                </c:pt>
                <c:pt idx="948">
                  <c:v>0.016842105263158</c:v>
                </c:pt>
                <c:pt idx="949">
                  <c:v>0.0157894736842106</c:v>
                </c:pt>
                <c:pt idx="950">
                  <c:v>0.0157894736842106</c:v>
                </c:pt>
                <c:pt idx="951">
                  <c:v>0.0133333333333332</c:v>
                </c:pt>
                <c:pt idx="952">
                  <c:v>0.0122807017543858</c:v>
                </c:pt>
                <c:pt idx="953">
                  <c:v>0.00701754385964914</c:v>
                </c:pt>
                <c:pt idx="954">
                  <c:v>0.00666666666666682</c:v>
                </c:pt>
                <c:pt idx="955">
                  <c:v>0.00070175438596487</c:v>
                </c:pt>
                <c:pt idx="956">
                  <c:v>0.000350877192982324</c:v>
                </c:pt>
                <c:pt idx="957">
                  <c:v>-0.000350877192982435</c:v>
                </c:pt>
                <c:pt idx="958">
                  <c:v>-0.000350877192982435</c:v>
                </c:pt>
                <c:pt idx="959">
                  <c:v>-0.000350877192982435</c:v>
                </c:pt>
                <c:pt idx="960">
                  <c:v>-0.00140350877192985</c:v>
                </c:pt>
                <c:pt idx="961">
                  <c:v>-0.00140350877192985</c:v>
                </c:pt>
                <c:pt idx="962">
                  <c:v>-0.00210526315789483</c:v>
                </c:pt>
                <c:pt idx="963">
                  <c:v>-0.0028070175438597</c:v>
                </c:pt>
                <c:pt idx="964">
                  <c:v>-0.00947368421052641</c:v>
                </c:pt>
                <c:pt idx="965">
                  <c:v>-0.011578947368421</c:v>
                </c:pt>
                <c:pt idx="966">
                  <c:v>-0.011578947368421</c:v>
                </c:pt>
                <c:pt idx="967">
                  <c:v>-0.0150877192982457</c:v>
                </c:pt>
                <c:pt idx="968">
                  <c:v>-0.015438596491228</c:v>
                </c:pt>
                <c:pt idx="969">
                  <c:v>-0.015438596491228</c:v>
                </c:pt>
                <c:pt idx="970">
                  <c:v>-0.0171929824561403</c:v>
                </c:pt>
                <c:pt idx="971">
                  <c:v>-0.0185964912280702</c:v>
                </c:pt>
                <c:pt idx="972">
                  <c:v>-0.0252631578947369</c:v>
                </c:pt>
                <c:pt idx="973">
                  <c:v>-0.0252631578947369</c:v>
                </c:pt>
                <c:pt idx="974">
                  <c:v>-0.0263157894736843</c:v>
                </c:pt>
                <c:pt idx="975">
                  <c:v>-0.0277192982456141</c:v>
                </c:pt>
                <c:pt idx="976">
                  <c:v>-0.0280701754385965</c:v>
                </c:pt>
                <c:pt idx="977">
                  <c:v>-0.0280701754385965</c:v>
                </c:pt>
                <c:pt idx="978">
                  <c:v>-0.0266666666666667</c:v>
                </c:pt>
                <c:pt idx="979">
                  <c:v>-0.011578947368421</c:v>
                </c:pt>
                <c:pt idx="980">
                  <c:v>0.00491228070175431</c:v>
                </c:pt>
                <c:pt idx="981">
                  <c:v>0.0140350877192983</c:v>
                </c:pt>
                <c:pt idx="982">
                  <c:v>0.0368421052631578</c:v>
                </c:pt>
                <c:pt idx="983">
                  <c:v>0.0428070175438595</c:v>
                </c:pt>
                <c:pt idx="984">
                  <c:v>0.0428070175438595</c:v>
                </c:pt>
                <c:pt idx="985">
                  <c:v>0.0438596491228069</c:v>
                </c:pt>
                <c:pt idx="986">
                  <c:v>0.0498245614035087</c:v>
                </c:pt>
                <c:pt idx="987">
                  <c:v>0.0596491228070175</c:v>
                </c:pt>
                <c:pt idx="988">
                  <c:v>0.128070175438596</c:v>
                </c:pt>
                <c:pt idx="989">
                  <c:v>0.164210526315789</c:v>
                </c:pt>
                <c:pt idx="990">
                  <c:v>0.188070175438596</c:v>
                </c:pt>
                <c:pt idx="991">
                  <c:v>0.190877192982456</c:v>
                </c:pt>
                <c:pt idx="992">
                  <c:v>0.192982456140351</c:v>
                </c:pt>
                <c:pt idx="993">
                  <c:v>0.198245614035088</c:v>
                </c:pt>
                <c:pt idx="994">
                  <c:v>0.205263157894737</c:v>
                </c:pt>
                <c:pt idx="995">
                  <c:v>0.210526315789474</c:v>
                </c:pt>
                <c:pt idx="996">
                  <c:v>0.210526315789474</c:v>
                </c:pt>
                <c:pt idx="997">
                  <c:v>0.210526315789474</c:v>
                </c:pt>
                <c:pt idx="998">
                  <c:v>0.214035087719298</c:v>
                </c:pt>
                <c:pt idx="999">
                  <c:v>0.214035087719298</c:v>
                </c:pt>
                <c:pt idx="1000">
                  <c:v>0.153333333333333</c:v>
                </c:pt>
                <c:pt idx="1001">
                  <c:v>0.153333333333333</c:v>
                </c:pt>
                <c:pt idx="1002">
                  <c:v>0.153333333333333</c:v>
                </c:pt>
                <c:pt idx="1003">
                  <c:v>0.153333333333333</c:v>
                </c:pt>
                <c:pt idx="1004">
                  <c:v>0.153333333333333</c:v>
                </c:pt>
                <c:pt idx="1005">
                  <c:v>0.153333333333333</c:v>
                </c:pt>
                <c:pt idx="1006">
                  <c:v>0.141666666666667</c:v>
                </c:pt>
                <c:pt idx="1007">
                  <c:v>0.141666666666667</c:v>
                </c:pt>
                <c:pt idx="1008">
                  <c:v>0.141666666666667</c:v>
                </c:pt>
                <c:pt idx="1009">
                  <c:v>0.15</c:v>
                </c:pt>
                <c:pt idx="1010">
                  <c:v>0.15</c:v>
                </c:pt>
                <c:pt idx="1011">
                  <c:v>0.155</c:v>
                </c:pt>
                <c:pt idx="1012">
                  <c:v>0.155</c:v>
                </c:pt>
                <c:pt idx="1013">
                  <c:v>0.155</c:v>
                </c:pt>
                <c:pt idx="1014">
                  <c:v>0.156666666666667</c:v>
                </c:pt>
                <c:pt idx="1015">
                  <c:v>0.156666666666667</c:v>
                </c:pt>
                <c:pt idx="1016">
                  <c:v>0.175</c:v>
                </c:pt>
                <c:pt idx="1017">
                  <c:v>0.178333333333333</c:v>
                </c:pt>
                <c:pt idx="1018">
                  <c:v>0.203333333333333</c:v>
                </c:pt>
                <c:pt idx="1019">
                  <c:v>0.228333333333333</c:v>
                </c:pt>
                <c:pt idx="1020">
                  <c:v>0.233333333333333</c:v>
                </c:pt>
                <c:pt idx="1021">
                  <c:v>0.236666666666667</c:v>
                </c:pt>
                <c:pt idx="1022">
                  <c:v>0.236666666666667</c:v>
                </c:pt>
                <c:pt idx="1023">
                  <c:v>0.24</c:v>
                </c:pt>
                <c:pt idx="1024">
                  <c:v>0.24</c:v>
                </c:pt>
                <c:pt idx="1025">
                  <c:v>0.24</c:v>
                </c:pt>
                <c:pt idx="1026">
                  <c:v>0.245</c:v>
                </c:pt>
                <c:pt idx="1027">
                  <c:v>0.245</c:v>
                </c:pt>
                <c:pt idx="1028">
                  <c:v>0.25</c:v>
                </c:pt>
                <c:pt idx="1029">
                  <c:v>0.305</c:v>
                </c:pt>
                <c:pt idx="1030">
                  <c:v>0.33</c:v>
                </c:pt>
                <c:pt idx="1031">
                  <c:v>0.358333333333333</c:v>
                </c:pt>
                <c:pt idx="1032">
                  <c:v>0.383333333333334</c:v>
                </c:pt>
                <c:pt idx="1033">
                  <c:v>0.4</c:v>
                </c:pt>
                <c:pt idx="1034">
                  <c:v>0.425</c:v>
                </c:pt>
                <c:pt idx="1035">
                  <c:v>0.45</c:v>
                </c:pt>
                <c:pt idx="1036">
                  <c:v>0.458333333333333</c:v>
                </c:pt>
                <c:pt idx="1037">
                  <c:v>0.475</c:v>
                </c:pt>
                <c:pt idx="1038">
                  <c:v>0.475</c:v>
                </c:pt>
                <c:pt idx="1039">
                  <c:v>0.475</c:v>
                </c:pt>
                <c:pt idx="1040">
                  <c:v>0.475</c:v>
                </c:pt>
                <c:pt idx="1041">
                  <c:v>0.475</c:v>
                </c:pt>
                <c:pt idx="1042">
                  <c:v>0.475</c:v>
                </c:pt>
                <c:pt idx="1043">
                  <c:v>0.491666666666666</c:v>
                </c:pt>
                <c:pt idx="1044">
                  <c:v>0.491666666666666</c:v>
                </c:pt>
                <c:pt idx="1045">
                  <c:v>0.5</c:v>
                </c:pt>
                <c:pt idx="1046">
                  <c:v>0.5</c:v>
                </c:pt>
                <c:pt idx="1047">
                  <c:v>0.483333333333333</c:v>
                </c:pt>
                <c:pt idx="1048">
                  <c:v>0.466666666666667</c:v>
                </c:pt>
                <c:pt idx="1049">
                  <c:v>0.458333333333333</c:v>
                </c:pt>
                <c:pt idx="1050">
                  <c:v>0.45</c:v>
                </c:pt>
                <c:pt idx="1051">
                  <c:v>0.433333333333333</c:v>
                </c:pt>
                <c:pt idx="1052">
                  <c:v>0.433333333333333</c:v>
                </c:pt>
                <c:pt idx="1053">
                  <c:v>0.433333333333333</c:v>
                </c:pt>
                <c:pt idx="1054">
                  <c:v>0.425</c:v>
                </c:pt>
                <c:pt idx="1055">
                  <c:v>0.416666666666667</c:v>
                </c:pt>
                <c:pt idx="1056">
                  <c:v>0.411666666666667</c:v>
                </c:pt>
                <c:pt idx="1057">
                  <c:v>0.403333333333333</c:v>
                </c:pt>
                <c:pt idx="1058">
                  <c:v>0.4</c:v>
                </c:pt>
                <c:pt idx="1059">
                  <c:v>0.0986842105263157</c:v>
                </c:pt>
                <c:pt idx="1060">
                  <c:v>0.0986842105263157</c:v>
                </c:pt>
                <c:pt idx="1061">
                  <c:v>0.138157894736842</c:v>
                </c:pt>
                <c:pt idx="1062">
                  <c:v>0.151315789473684</c:v>
                </c:pt>
                <c:pt idx="1063">
                  <c:v>0.151315789473684</c:v>
                </c:pt>
                <c:pt idx="1064">
                  <c:v>0.144736842105263</c:v>
                </c:pt>
                <c:pt idx="1065">
                  <c:v>0.144736842105263</c:v>
                </c:pt>
                <c:pt idx="1066">
                  <c:v>0.151315789473684</c:v>
                </c:pt>
                <c:pt idx="1067">
                  <c:v>0.151315789473684</c:v>
                </c:pt>
                <c:pt idx="1068">
                  <c:v>0.151315789473684</c:v>
                </c:pt>
                <c:pt idx="1069">
                  <c:v>0.153947368421053</c:v>
                </c:pt>
                <c:pt idx="1070">
                  <c:v>0.157894736842105</c:v>
                </c:pt>
                <c:pt idx="1071">
                  <c:v>0.157894736842105</c:v>
                </c:pt>
                <c:pt idx="1072">
                  <c:v>0.157894736842105</c:v>
                </c:pt>
                <c:pt idx="1073">
                  <c:v>0.15921052631579</c:v>
                </c:pt>
                <c:pt idx="1074">
                  <c:v>0.171052631578948</c:v>
                </c:pt>
                <c:pt idx="1075">
                  <c:v>0.217105263157895</c:v>
                </c:pt>
                <c:pt idx="1076">
                  <c:v>0.223684210526316</c:v>
                </c:pt>
                <c:pt idx="1077">
                  <c:v>0.225789473684211</c:v>
                </c:pt>
                <c:pt idx="1078">
                  <c:v>0.218947368421053</c:v>
                </c:pt>
                <c:pt idx="1079">
                  <c:v>0.218947368421053</c:v>
                </c:pt>
                <c:pt idx="1080">
                  <c:v>0.218947368421053</c:v>
                </c:pt>
                <c:pt idx="1081">
                  <c:v>0.218947368421053</c:v>
                </c:pt>
                <c:pt idx="1082">
                  <c:v>0.218947368421053</c:v>
                </c:pt>
                <c:pt idx="1083">
                  <c:v>0.212105263157895</c:v>
                </c:pt>
                <c:pt idx="1084">
                  <c:v>0.212105263157895</c:v>
                </c:pt>
                <c:pt idx="1085">
                  <c:v>0.212105263157895</c:v>
                </c:pt>
                <c:pt idx="1086">
                  <c:v>0.198947368421053</c:v>
                </c:pt>
                <c:pt idx="1087">
                  <c:v>0.186315789473684</c:v>
                </c:pt>
                <c:pt idx="1088">
                  <c:v>0.173157894736842</c:v>
                </c:pt>
                <c:pt idx="1089">
                  <c:v>0.166842105263158</c:v>
                </c:pt>
                <c:pt idx="1090">
                  <c:v>0.162894736842105</c:v>
                </c:pt>
                <c:pt idx="1091">
                  <c:v>0.162894736842105</c:v>
                </c:pt>
                <c:pt idx="1092">
                  <c:v>0.153684210526316</c:v>
                </c:pt>
                <c:pt idx="1093">
                  <c:v>0.146842105263158</c:v>
                </c:pt>
                <c:pt idx="1094">
                  <c:v>0.14</c:v>
                </c:pt>
                <c:pt idx="1095">
                  <c:v>0.14</c:v>
                </c:pt>
                <c:pt idx="1096">
                  <c:v>0.146315789473684</c:v>
                </c:pt>
                <c:pt idx="1097">
                  <c:v>0.152894736842105</c:v>
                </c:pt>
                <c:pt idx="1098">
                  <c:v>0.164473684210526</c:v>
                </c:pt>
                <c:pt idx="1099">
                  <c:v>0.171052631578948</c:v>
                </c:pt>
                <c:pt idx="1100">
                  <c:v>0.177631578947368</c:v>
                </c:pt>
                <c:pt idx="1101">
                  <c:v>0.180263157894737</c:v>
                </c:pt>
                <c:pt idx="1102">
                  <c:v>0.182894736842105</c:v>
                </c:pt>
                <c:pt idx="1103">
                  <c:v>0.177631578947368</c:v>
                </c:pt>
                <c:pt idx="1104">
                  <c:v>0.171052631578948</c:v>
                </c:pt>
                <c:pt idx="1105">
                  <c:v>0.171052631578948</c:v>
                </c:pt>
                <c:pt idx="1106">
                  <c:v>0.177631578947368</c:v>
                </c:pt>
                <c:pt idx="1107">
                  <c:v>0.180263157894737</c:v>
                </c:pt>
                <c:pt idx="1108">
                  <c:v>0.182894736842105</c:v>
                </c:pt>
                <c:pt idx="1109">
                  <c:v>0.182894736842105</c:v>
                </c:pt>
                <c:pt idx="1110">
                  <c:v>0.181578947368421</c:v>
                </c:pt>
                <c:pt idx="1111">
                  <c:v>0.188157894736842</c:v>
                </c:pt>
                <c:pt idx="1112">
                  <c:v>0.190789473684211</c:v>
                </c:pt>
                <c:pt idx="1113">
                  <c:v>0.197368421052632</c:v>
                </c:pt>
                <c:pt idx="1114">
                  <c:v>0.195526315789474</c:v>
                </c:pt>
                <c:pt idx="1115">
                  <c:v>0.194736842105263</c:v>
                </c:pt>
                <c:pt idx="1116">
                  <c:v>0.201842105263158</c:v>
                </c:pt>
                <c:pt idx="1117">
                  <c:v>0.210526315789474</c:v>
                </c:pt>
                <c:pt idx="1118">
                  <c:v>0.207894736842105</c:v>
                </c:pt>
                <c:pt idx="1119">
                  <c:v>0.206578947368421</c:v>
                </c:pt>
                <c:pt idx="1120">
                  <c:v>0.206578947368421</c:v>
                </c:pt>
                <c:pt idx="1121">
                  <c:v>0.118292682926829</c:v>
                </c:pt>
                <c:pt idx="1122">
                  <c:v>0.118292682926829</c:v>
                </c:pt>
                <c:pt idx="1123">
                  <c:v>0.118292682926829</c:v>
                </c:pt>
                <c:pt idx="1124">
                  <c:v>0.118292682926829</c:v>
                </c:pt>
                <c:pt idx="1125">
                  <c:v>0.121951219512195</c:v>
                </c:pt>
                <c:pt idx="1126">
                  <c:v>0.121951219512195</c:v>
                </c:pt>
                <c:pt idx="1127">
                  <c:v>0.121951219512195</c:v>
                </c:pt>
                <c:pt idx="1128">
                  <c:v>0.121951219512195</c:v>
                </c:pt>
                <c:pt idx="1129">
                  <c:v>0.119512195121951</c:v>
                </c:pt>
                <c:pt idx="1130">
                  <c:v>0.119512195121951</c:v>
                </c:pt>
                <c:pt idx="1131">
                  <c:v>0.125609756097561</c:v>
                </c:pt>
                <c:pt idx="1132">
                  <c:v>0.125609756097561</c:v>
                </c:pt>
                <c:pt idx="1133">
                  <c:v>0.115853658536585</c:v>
                </c:pt>
                <c:pt idx="1134">
                  <c:v>0.109756097560976</c:v>
                </c:pt>
                <c:pt idx="1135">
                  <c:v>0.103658536585366</c:v>
                </c:pt>
                <c:pt idx="1136">
                  <c:v>0.1</c:v>
                </c:pt>
                <c:pt idx="1137">
                  <c:v>0.1</c:v>
                </c:pt>
                <c:pt idx="1138">
                  <c:v>0.0975609756097562</c:v>
                </c:pt>
                <c:pt idx="1139">
                  <c:v>0.0975609756097562</c:v>
                </c:pt>
                <c:pt idx="1140">
                  <c:v>0.0914634146341464</c:v>
                </c:pt>
                <c:pt idx="1141">
                  <c:v>0.0853658536585367</c:v>
                </c:pt>
                <c:pt idx="1142">
                  <c:v>0.0792682926829269</c:v>
                </c:pt>
                <c:pt idx="1143">
                  <c:v>0.0963414634146342</c:v>
                </c:pt>
                <c:pt idx="1144">
                  <c:v>0.0939024390243903</c:v>
                </c:pt>
                <c:pt idx="1145">
                  <c:v>0.0926829268292686</c:v>
                </c:pt>
                <c:pt idx="1146">
                  <c:v>0.0858536585365854</c:v>
                </c:pt>
                <c:pt idx="1147">
                  <c:v>0.0831707317073171</c:v>
                </c:pt>
                <c:pt idx="1148">
                  <c:v>0.0548780487804879</c:v>
                </c:pt>
                <c:pt idx="1149">
                  <c:v>0.0378048780487805</c:v>
                </c:pt>
                <c:pt idx="1150">
                  <c:v>0.0339024390243903</c:v>
                </c:pt>
                <c:pt idx="1151">
                  <c:v>0.0304878048780488</c:v>
                </c:pt>
                <c:pt idx="1152">
                  <c:v>0.03</c:v>
                </c:pt>
                <c:pt idx="1153">
                  <c:v>0.0278048780487807</c:v>
                </c:pt>
                <c:pt idx="1154">
                  <c:v>0.0275609756097561</c:v>
                </c:pt>
                <c:pt idx="1155">
                  <c:v>0.0212195121951222</c:v>
                </c:pt>
                <c:pt idx="1156">
                  <c:v>0.00121951219512217</c:v>
                </c:pt>
                <c:pt idx="1157">
                  <c:v>-0.0051219512195122</c:v>
                </c:pt>
                <c:pt idx="1158">
                  <c:v>-0.00853658536585344</c:v>
                </c:pt>
                <c:pt idx="1159">
                  <c:v>-0.011951219512195</c:v>
                </c:pt>
                <c:pt idx="1160">
                  <c:v>-0.0265853658536584</c:v>
                </c:pt>
                <c:pt idx="1161">
                  <c:v>-0.0382926829268292</c:v>
                </c:pt>
                <c:pt idx="1162">
                  <c:v>-0.0478048780487804</c:v>
                </c:pt>
                <c:pt idx="1163">
                  <c:v>-0.0514634146341463</c:v>
                </c:pt>
                <c:pt idx="1164">
                  <c:v>-0.057560975609756</c:v>
                </c:pt>
                <c:pt idx="1165">
                  <c:v>-0.0709756097560974</c:v>
                </c:pt>
                <c:pt idx="1166">
                  <c:v>-0.073170731707317</c:v>
                </c:pt>
                <c:pt idx="1167">
                  <c:v>-0.0734146341463414</c:v>
                </c:pt>
                <c:pt idx="1168">
                  <c:v>-0.0756097560975609</c:v>
                </c:pt>
                <c:pt idx="1169">
                  <c:v>-0.0775609756097561</c:v>
                </c:pt>
                <c:pt idx="1170">
                  <c:v>-0.0817073170731706</c:v>
                </c:pt>
                <c:pt idx="1171">
                  <c:v>-0.0839024390243902</c:v>
                </c:pt>
                <c:pt idx="1172">
                  <c:v>-0.0863414634146341</c:v>
                </c:pt>
                <c:pt idx="1173">
                  <c:v>-0.0890243902439024</c:v>
                </c:pt>
                <c:pt idx="1174">
                  <c:v>-0.0912195121951219</c:v>
                </c:pt>
                <c:pt idx="1175">
                  <c:v>-0.0917073170731706</c:v>
                </c:pt>
                <c:pt idx="1176">
                  <c:v>-0.0917073170731706</c:v>
                </c:pt>
                <c:pt idx="1177">
                  <c:v>-0.0919512195121951</c:v>
                </c:pt>
                <c:pt idx="1178">
                  <c:v>-0.0921951219512195</c:v>
                </c:pt>
                <c:pt idx="1179">
                  <c:v>-0.0929268292682927</c:v>
                </c:pt>
                <c:pt idx="1180">
                  <c:v>-0.097560975609756</c:v>
                </c:pt>
                <c:pt idx="1181">
                  <c:v>-0.0997560975609756</c:v>
                </c:pt>
                <c:pt idx="1182">
                  <c:v>-0.100243902439024</c:v>
                </c:pt>
                <c:pt idx="1183">
                  <c:v>-0.100731707317073</c:v>
                </c:pt>
                <c:pt idx="1184">
                  <c:v>-0.108048780487805</c:v>
                </c:pt>
                <c:pt idx="1185">
                  <c:v>-0.0169811320754717</c:v>
                </c:pt>
                <c:pt idx="1186">
                  <c:v>-0.0169811320754717</c:v>
                </c:pt>
                <c:pt idx="1187">
                  <c:v>-0.0169811320754717</c:v>
                </c:pt>
                <c:pt idx="1188">
                  <c:v>-0.0172506738544475</c:v>
                </c:pt>
                <c:pt idx="1189">
                  <c:v>-0.0199460916442048</c:v>
                </c:pt>
                <c:pt idx="1190">
                  <c:v>-0.022911051212938</c:v>
                </c:pt>
                <c:pt idx="1191">
                  <c:v>-0.0258760107816712</c:v>
                </c:pt>
                <c:pt idx="1192">
                  <c:v>-0.0261455525606469</c:v>
                </c:pt>
                <c:pt idx="1193">
                  <c:v>-0.0288409703504042</c:v>
                </c:pt>
                <c:pt idx="1194">
                  <c:v>-0.033423180592992</c:v>
                </c:pt>
                <c:pt idx="1195">
                  <c:v>-0.0442048517520216</c:v>
                </c:pt>
                <c:pt idx="1196">
                  <c:v>-0.0474393530997305</c:v>
                </c:pt>
                <c:pt idx="1197">
                  <c:v>-0.0539083557951483</c:v>
                </c:pt>
                <c:pt idx="1198">
                  <c:v>-0.0582210242587601</c:v>
                </c:pt>
                <c:pt idx="1199">
                  <c:v>-0.059299191374663</c:v>
                </c:pt>
                <c:pt idx="1200">
                  <c:v>-0.0638814016172508</c:v>
                </c:pt>
                <c:pt idx="1201">
                  <c:v>-0.0660377358490566</c:v>
                </c:pt>
                <c:pt idx="1202">
                  <c:v>-0.0671159029649596</c:v>
                </c:pt>
                <c:pt idx="1203">
                  <c:v>-0.077088948787062</c:v>
                </c:pt>
                <c:pt idx="1204">
                  <c:v>-0.0824797843665769</c:v>
                </c:pt>
              </c:numCache>
            </c:numRef>
          </c:val>
        </c:ser>
        <c:dLbls>
          <c:showLegendKey val="0"/>
          <c:showVal val="0"/>
          <c:showCatName val="0"/>
          <c:showSerName val="0"/>
          <c:showPercent val="0"/>
          <c:showBubbleSize val="0"/>
        </c:dLbls>
        <c:axId val="1502781071"/>
        <c:axId val="1307237183"/>
      </c:areaChart>
      <c:lineChart>
        <c:grouping val="standard"/>
        <c:varyColors val="0"/>
        <c:ser>
          <c:idx val="0"/>
          <c:order val="1"/>
          <c:tx>
            <c:strRef>
              <c:f>DRAM!$L$27</c:f>
              <c:strCache>
                <c:ptCount val="1"/>
                <c:pt idx="0">
                  <c:v>Spot</c:v>
                </c:pt>
              </c:strCache>
            </c:strRef>
          </c:tx>
          <c:spPr>
            <a:ln w="19050" cap="rnd" cmpd="sng" algn="ctr">
              <a:solidFill>
                <a:schemeClr val="accent1"/>
              </a:solidFill>
              <a:prstDash val="solid"/>
              <a:round/>
            </a:ln>
          </c:spPr>
          <c:marker>
            <c:symbol val="none"/>
          </c:marker>
          <c:dLbls>
            <c:delete val="1"/>
          </c:dLbls>
          <c:cat>
            <c:numRef>
              <c:f>DRAM!$E$1245:$E$3000</c:f>
              <c:numCache>
                <c:formatCode>yyyy/m/d</c:formatCode>
                <c:ptCount val="1756"/>
                <c:pt idx="0" c:formatCode="yyyy/m/d">
                  <c:v>44200</c:v>
                </c:pt>
                <c:pt idx="1" c:formatCode="yyyy/m/d">
                  <c:v>44201</c:v>
                </c:pt>
                <c:pt idx="2" c:formatCode="yyyy/m/d">
                  <c:v>44202</c:v>
                </c:pt>
                <c:pt idx="3" c:formatCode="yyyy/m/d">
                  <c:v>44203</c:v>
                </c:pt>
                <c:pt idx="4" c:formatCode="yyyy/m/d">
                  <c:v>44204</c:v>
                </c:pt>
                <c:pt idx="5" c:formatCode="yyyy/m/d">
                  <c:v>44207</c:v>
                </c:pt>
                <c:pt idx="6" c:formatCode="yyyy/m/d">
                  <c:v>44208</c:v>
                </c:pt>
                <c:pt idx="7" c:formatCode="yyyy/m/d">
                  <c:v>44209</c:v>
                </c:pt>
                <c:pt idx="8" c:formatCode="yyyy/m/d">
                  <c:v>44210</c:v>
                </c:pt>
                <c:pt idx="9" c:formatCode="yyyy/m/d">
                  <c:v>44211</c:v>
                </c:pt>
                <c:pt idx="10" c:formatCode="yyyy/m/d">
                  <c:v>44214</c:v>
                </c:pt>
                <c:pt idx="11" c:formatCode="yyyy/m/d">
                  <c:v>44215</c:v>
                </c:pt>
                <c:pt idx="12" c:formatCode="yyyy/m/d">
                  <c:v>44216</c:v>
                </c:pt>
                <c:pt idx="13" c:formatCode="yyyy/m/d">
                  <c:v>44217</c:v>
                </c:pt>
                <c:pt idx="14" c:formatCode="yyyy/m/d">
                  <c:v>44218</c:v>
                </c:pt>
                <c:pt idx="15" c:formatCode="yyyy/m/d">
                  <c:v>44221</c:v>
                </c:pt>
                <c:pt idx="16" c:formatCode="yyyy/m/d">
                  <c:v>44222</c:v>
                </c:pt>
                <c:pt idx="17" c:formatCode="yyyy/m/d">
                  <c:v>44223</c:v>
                </c:pt>
                <c:pt idx="18" c:formatCode="yyyy/m/d">
                  <c:v>44224</c:v>
                </c:pt>
                <c:pt idx="19" c:formatCode="yyyy/m/d">
                  <c:v>44225</c:v>
                </c:pt>
                <c:pt idx="20" c:formatCode="yyyy/m/d">
                  <c:v>44228</c:v>
                </c:pt>
                <c:pt idx="21" c:formatCode="yyyy/m/d">
                  <c:v>44229</c:v>
                </c:pt>
                <c:pt idx="22" c:formatCode="yyyy/m/d">
                  <c:v>44230</c:v>
                </c:pt>
                <c:pt idx="23" c:formatCode="yyyy/m/d">
                  <c:v>44231</c:v>
                </c:pt>
                <c:pt idx="24" c:formatCode="yyyy/m/d">
                  <c:v>44232</c:v>
                </c:pt>
                <c:pt idx="25" c:formatCode="yyyy/m/d">
                  <c:v>44235</c:v>
                </c:pt>
                <c:pt idx="26" c:formatCode="yyyy/m/d">
                  <c:v>44236</c:v>
                </c:pt>
                <c:pt idx="27" c:formatCode="yyyy/m/d">
                  <c:v>44237</c:v>
                </c:pt>
                <c:pt idx="28" c:formatCode="yyyy/m/d">
                  <c:v>44244</c:v>
                </c:pt>
                <c:pt idx="29" c:formatCode="yyyy/m/d">
                  <c:v>44245</c:v>
                </c:pt>
                <c:pt idx="30" c:formatCode="yyyy/m/d">
                  <c:v>44246</c:v>
                </c:pt>
                <c:pt idx="31" c:formatCode="yyyy/m/d">
                  <c:v>44249</c:v>
                </c:pt>
                <c:pt idx="32" c:formatCode="yyyy/m/d">
                  <c:v>44250</c:v>
                </c:pt>
                <c:pt idx="33" c:formatCode="yyyy/m/d">
                  <c:v>44251</c:v>
                </c:pt>
                <c:pt idx="34" c:formatCode="yyyy/m/d">
                  <c:v>44252</c:v>
                </c:pt>
                <c:pt idx="35" c:formatCode="yyyy/m/d">
                  <c:v>44253</c:v>
                </c:pt>
                <c:pt idx="36" c:formatCode="yyyy/m/d">
                  <c:v>44256</c:v>
                </c:pt>
                <c:pt idx="37" c:formatCode="yyyy/m/d">
                  <c:v>44257</c:v>
                </c:pt>
                <c:pt idx="38" c:formatCode="yyyy/m/d">
                  <c:v>44258</c:v>
                </c:pt>
                <c:pt idx="39" c:formatCode="yyyy/m/d">
                  <c:v>44259</c:v>
                </c:pt>
                <c:pt idx="40" c:formatCode="yyyy/m/d">
                  <c:v>44260</c:v>
                </c:pt>
                <c:pt idx="41" c:formatCode="yyyy/m/d">
                  <c:v>44263</c:v>
                </c:pt>
                <c:pt idx="42" c:formatCode="yyyy/m/d">
                  <c:v>44264</c:v>
                </c:pt>
                <c:pt idx="43" c:formatCode="yyyy/m/d">
                  <c:v>44265</c:v>
                </c:pt>
                <c:pt idx="44" c:formatCode="yyyy/m/d">
                  <c:v>44266</c:v>
                </c:pt>
                <c:pt idx="45" c:formatCode="yyyy/m/d">
                  <c:v>44267</c:v>
                </c:pt>
                <c:pt idx="46" c:formatCode="yyyy/m/d">
                  <c:v>44270</c:v>
                </c:pt>
                <c:pt idx="47" c:formatCode="yyyy/m/d">
                  <c:v>44271</c:v>
                </c:pt>
                <c:pt idx="48" c:formatCode="yyyy/m/d">
                  <c:v>44272</c:v>
                </c:pt>
                <c:pt idx="49" c:formatCode="yyyy/m/d">
                  <c:v>44273</c:v>
                </c:pt>
                <c:pt idx="50" c:formatCode="yyyy/m/d">
                  <c:v>44274</c:v>
                </c:pt>
                <c:pt idx="51" c:formatCode="yyyy/m/d">
                  <c:v>44277</c:v>
                </c:pt>
                <c:pt idx="52" c:formatCode="yyyy/m/d">
                  <c:v>44278</c:v>
                </c:pt>
                <c:pt idx="53" c:formatCode="yyyy/m/d">
                  <c:v>44279</c:v>
                </c:pt>
                <c:pt idx="54" c:formatCode="yyyy/m/d">
                  <c:v>44280</c:v>
                </c:pt>
                <c:pt idx="55" c:formatCode="yyyy/m/d">
                  <c:v>44281</c:v>
                </c:pt>
                <c:pt idx="56" c:formatCode="yyyy/m/d">
                  <c:v>44284</c:v>
                </c:pt>
                <c:pt idx="57" c:formatCode="yyyy/m/d">
                  <c:v>44285</c:v>
                </c:pt>
                <c:pt idx="58" c:formatCode="yyyy/m/d">
                  <c:v>44286</c:v>
                </c:pt>
                <c:pt idx="59" c:formatCode="yyyy/m/d">
                  <c:v>44287</c:v>
                </c:pt>
                <c:pt idx="60" c:formatCode="yyyy/m/d">
                  <c:v>44292</c:v>
                </c:pt>
                <c:pt idx="61" c:formatCode="yyyy/m/d">
                  <c:v>44293</c:v>
                </c:pt>
                <c:pt idx="62" c:formatCode="yyyy/m/d">
                  <c:v>44294</c:v>
                </c:pt>
                <c:pt idx="63" c:formatCode="yyyy/m/d">
                  <c:v>44295</c:v>
                </c:pt>
                <c:pt idx="64" c:formatCode="yyyy/m/d">
                  <c:v>44298</c:v>
                </c:pt>
                <c:pt idx="65" c:formatCode="yyyy/m/d">
                  <c:v>44299</c:v>
                </c:pt>
                <c:pt idx="66" c:formatCode="yyyy/m/d">
                  <c:v>44300</c:v>
                </c:pt>
                <c:pt idx="67" c:formatCode="yyyy/m/d">
                  <c:v>44301</c:v>
                </c:pt>
                <c:pt idx="68" c:formatCode="yyyy/m/d">
                  <c:v>44302</c:v>
                </c:pt>
                <c:pt idx="69" c:formatCode="yyyy/m/d">
                  <c:v>44305</c:v>
                </c:pt>
                <c:pt idx="70" c:formatCode="yyyy/m/d">
                  <c:v>44306</c:v>
                </c:pt>
                <c:pt idx="71" c:formatCode="yyyy/m/d">
                  <c:v>44307</c:v>
                </c:pt>
                <c:pt idx="72" c:formatCode="yyyy/m/d">
                  <c:v>44308</c:v>
                </c:pt>
                <c:pt idx="73" c:formatCode="yyyy/m/d">
                  <c:v>44309</c:v>
                </c:pt>
                <c:pt idx="74" c:formatCode="yyyy/m/d">
                  <c:v>44312</c:v>
                </c:pt>
                <c:pt idx="75" c:formatCode="yyyy/m/d">
                  <c:v>44313</c:v>
                </c:pt>
                <c:pt idx="76" c:formatCode="yyyy/m/d">
                  <c:v>44314</c:v>
                </c:pt>
                <c:pt idx="77" c:formatCode="yyyy/m/d">
                  <c:v>44315</c:v>
                </c:pt>
                <c:pt idx="78" c:formatCode="yyyy/m/d">
                  <c:v>44316</c:v>
                </c:pt>
                <c:pt idx="79" c:formatCode="yyyy/m/d">
                  <c:v>44319</c:v>
                </c:pt>
                <c:pt idx="80" c:formatCode="yyyy/m/d">
                  <c:v>44320</c:v>
                </c:pt>
                <c:pt idx="81" c:formatCode="yyyy/m/d">
                  <c:v>44321</c:v>
                </c:pt>
                <c:pt idx="82" c:formatCode="yyyy/m/d">
                  <c:v>44322</c:v>
                </c:pt>
                <c:pt idx="83" c:formatCode="yyyy/m/d">
                  <c:v>44323</c:v>
                </c:pt>
                <c:pt idx="84" c:formatCode="yyyy/m/d">
                  <c:v>44326</c:v>
                </c:pt>
                <c:pt idx="85" c:formatCode="yyyy/m/d">
                  <c:v>44327</c:v>
                </c:pt>
                <c:pt idx="86" c:formatCode="yyyy/m/d">
                  <c:v>44328</c:v>
                </c:pt>
                <c:pt idx="87" c:formatCode="yyyy/m/d">
                  <c:v>44329</c:v>
                </c:pt>
                <c:pt idx="88" c:formatCode="yyyy/m/d">
                  <c:v>44330</c:v>
                </c:pt>
                <c:pt idx="89" c:formatCode="yyyy/m/d">
                  <c:v>44333</c:v>
                </c:pt>
                <c:pt idx="90" c:formatCode="yyyy/m/d">
                  <c:v>44334</c:v>
                </c:pt>
                <c:pt idx="91" c:formatCode="yyyy/m/d">
                  <c:v>44335</c:v>
                </c:pt>
                <c:pt idx="92" c:formatCode="yyyy/m/d">
                  <c:v>44336</c:v>
                </c:pt>
                <c:pt idx="93" c:formatCode="yyyy/m/d">
                  <c:v>44337</c:v>
                </c:pt>
                <c:pt idx="94" c:formatCode="yyyy/m/d">
                  <c:v>44340</c:v>
                </c:pt>
                <c:pt idx="95" c:formatCode="yyyy/m/d">
                  <c:v>44341</c:v>
                </c:pt>
                <c:pt idx="96" c:formatCode="yyyy/m/d">
                  <c:v>44342</c:v>
                </c:pt>
                <c:pt idx="97" c:formatCode="yyyy/m/d">
                  <c:v>44343</c:v>
                </c:pt>
                <c:pt idx="98" c:formatCode="yyyy/m/d">
                  <c:v>44344</c:v>
                </c:pt>
                <c:pt idx="99" c:formatCode="yyyy/m/d">
                  <c:v>44347</c:v>
                </c:pt>
                <c:pt idx="100" c:formatCode="yyyy/m/d">
                  <c:v>44348</c:v>
                </c:pt>
                <c:pt idx="101" c:formatCode="yyyy/m/d">
                  <c:v>44349</c:v>
                </c:pt>
                <c:pt idx="102" c:formatCode="yyyy/m/d">
                  <c:v>44350</c:v>
                </c:pt>
                <c:pt idx="103" c:formatCode="yyyy/m/d">
                  <c:v>44351</c:v>
                </c:pt>
                <c:pt idx="104" c:formatCode="yyyy/m/d">
                  <c:v>44354</c:v>
                </c:pt>
                <c:pt idx="105" c:formatCode="yyyy/m/d">
                  <c:v>44355</c:v>
                </c:pt>
                <c:pt idx="106" c:formatCode="yyyy/m/d">
                  <c:v>44356</c:v>
                </c:pt>
                <c:pt idx="107" c:formatCode="yyyy/m/d">
                  <c:v>44357</c:v>
                </c:pt>
                <c:pt idx="108" c:formatCode="yyyy/m/d">
                  <c:v>44358</c:v>
                </c:pt>
                <c:pt idx="109" c:formatCode="yyyy/m/d">
                  <c:v>44362</c:v>
                </c:pt>
                <c:pt idx="110" c:formatCode="yyyy/m/d">
                  <c:v>44363</c:v>
                </c:pt>
                <c:pt idx="111" c:formatCode="yyyy/m/d">
                  <c:v>44364</c:v>
                </c:pt>
                <c:pt idx="112" c:formatCode="yyyy/m/d">
                  <c:v>44365</c:v>
                </c:pt>
                <c:pt idx="113" c:formatCode="yyyy/m/d">
                  <c:v>44368</c:v>
                </c:pt>
                <c:pt idx="114" c:formatCode="yyyy/m/d">
                  <c:v>44369</c:v>
                </c:pt>
                <c:pt idx="115" c:formatCode="yyyy/m/d">
                  <c:v>44370</c:v>
                </c:pt>
                <c:pt idx="116" c:formatCode="yyyy/m/d">
                  <c:v>44371</c:v>
                </c:pt>
                <c:pt idx="117" c:formatCode="yyyy/m/d">
                  <c:v>44372</c:v>
                </c:pt>
                <c:pt idx="118" c:formatCode="yyyy/m/d">
                  <c:v>44375</c:v>
                </c:pt>
                <c:pt idx="119" c:formatCode="yyyy/m/d">
                  <c:v>44376</c:v>
                </c:pt>
                <c:pt idx="120" c:formatCode="yyyy/m/d">
                  <c:v>44377</c:v>
                </c:pt>
                <c:pt idx="121" c:formatCode="yyyy/m/d">
                  <c:v>44378</c:v>
                </c:pt>
                <c:pt idx="122" c:formatCode="yyyy/m/d">
                  <c:v>44379</c:v>
                </c:pt>
                <c:pt idx="123" c:formatCode="yyyy/m/d">
                  <c:v>44382</c:v>
                </c:pt>
                <c:pt idx="124" c:formatCode="yyyy/m/d">
                  <c:v>44383</c:v>
                </c:pt>
                <c:pt idx="125" c:formatCode="yyyy/m/d">
                  <c:v>44384</c:v>
                </c:pt>
                <c:pt idx="126" c:formatCode="yyyy/m/d">
                  <c:v>44385</c:v>
                </c:pt>
                <c:pt idx="127" c:formatCode="yyyy/m/d">
                  <c:v>44386</c:v>
                </c:pt>
                <c:pt idx="128" c:formatCode="yyyy/m/d">
                  <c:v>44389</c:v>
                </c:pt>
                <c:pt idx="129" c:formatCode="yyyy/m/d">
                  <c:v>44390</c:v>
                </c:pt>
                <c:pt idx="130" c:formatCode="yyyy/m/d">
                  <c:v>44391</c:v>
                </c:pt>
                <c:pt idx="131" c:formatCode="yyyy/m/d">
                  <c:v>44392</c:v>
                </c:pt>
                <c:pt idx="132" c:formatCode="yyyy/m/d">
                  <c:v>44393</c:v>
                </c:pt>
                <c:pt idx="133" c:formatCode="yyyy/m/d">
                  <c:v>44396</c:v>
                </c:pt>
                <c:pt idx="134" c:formatCode="yyyy/m/d">
                  <c:v>44397</c:v>
                </c:pt>
                <c:pt idx="135" c:formatCode="yyyy/m/d">
                  <c:v>44398</c:v>
                </c:pt>
                <c:pt idx="136" c:formatCode="yyyy/m/d">
                  <c:v>44399</c:v>
                </c:pt>
                <c:pt idx="137" c:formatCode="yyyy/m/d">
                  <c:v>44400</c:v>
                </c:pt>
                <c:pt idx="138" c:formatCode="yyyy/m/d">
                  <c:v>44403</c:v>
                </c:pt>
                <c:pt idx="139" c:formatCode="yyyy/m/d">
                  <c:v>44404</c:v>
                </c:pt>
                <c:pt idx="140" c:formatCode="yyyy/m/d">
                  <c:v>44405</c:v>
                </c:pt>
                <c:pt idx="141" c:formatCode="yyyy/m/d">
                  <c:v>44406</c:v>
                </c:pt>
                <c:pt idx="142" c:formatCode="yyyy/m/d">
                  <c:v>44407</c:v>
                </c:pt>
                <c:pt idx="143" c:formatCode="yyyy/m/d">
                  <c:v>44410</c:v>
                </c:pt>
                <c:pt idx="144" c:formatCode="yyyy/m/d">
                  <c:v>44411</c:v>
                </c:pt>
                <c:pt idx="145" c:formatCode="yyyy/m/d">
                  <c:v>44412</c:v>
                </c:pt>
                <c:pt idx="146" c:formatCode="yyyy/m/d">
                  <c:v>44413</c:v>
                </c:pt>
                <c:pt idx="147" c:formatCode="yyyy/m/d">
                  <c:v>44414</c:v>
                </c:pt>
                <c:pt idx="148" c:formatCode="yyyy/m/d">
                  <c:v>44417</c:v>
                </c:pt>
                <c:pt idx="149" c:formatCode="yyyy/m/d">
                  <c:v>44418</c:v>
                </c:pt>
                <c:pt idx="150" c:formatCode="yyyy/m/d">
                  <c:v>44419</c:v>
                </c:pt>
                <c:pt idx="151" c:formatCode="yyyy/m/d">
                  <c:v>44420</c:v>
                </c:pt>
                <c:pt idx="152" c:formatCode="yyyy/m/d">
                  <c:v>44421</c:v>
                </c:pt>
                <c:pt idx="153" c:formatCode="yyyy/m/d">
                  <c:v>44424</c:v>
                </c:pt>
                <c:pt idx="154" c:formatCode="yyyy/m/d">
                  <c:v>44425</c:v>
                </c:pt>
                <c:pt idx="155" c:formatCode="yyyy/m/d">
                  <c:v>44426</c:v>
                </c:pt>
                <c:pt idx="156" c:formatCode="yyyy/m/d">
                  <c:v>44427</c:v>
                </c:pt>
                <c:pt idx="157" c:formatCode="yyyy/m/d">
                  <c:v>44428</c:v>
                </c:pt>
                <c:pt idx="158" c:formatCode="yyyy/m/d">
                  <c:v>44431</c:v>
                </c:pt>
                <c:pt idx="159" c:formatCode="yyyy/m/d">
                  <c:v>44432</c:v>
                </c:pt>
                <c:pt idx="160" c:formatCode="yyyy/m/d">
                  <c:v>44433</c:v>
                </c:pt>
                <c:pt idx="161" c:formatCode="yyyy/m/d">
                  <c:v>44434</c:v>
                </c:pt>
                <c:pt idx="162" c:formatCode="yyyy/m/d">
                  <c:v>44435</c:v>
                </c:pt>
                <c:pt idx="163" c:formatCode="yyyy/m/d">
                  <c:v>44438</c:v>
                </c:pt>
                <c:pt idx="164" c:formatCode="yyyy/m/d">
                  <c:v>44439</c:v>
                </c:pt>
                <c:pt idx="165" c:formatCode="yyyy/m/d">
                  <c:v>44440</c:v>
                </c:pt>
                <c:pt idx="166" c:formatCode="yyyy/m/d">
                  <c:v>44441</c:v>
                </c:pt>
                <c:pt idx="167" c:formatCode="yyyy/m/d">
                  <c:v>44442</c:v>
                </c:pt>
                <c:pt idx="168" c:formatCode="yyyy/m/d">
                  <c:v>44445</c:v>
                </c:pt>
                <c:pt idx="169" c:formatCode="yyyy/m/d">
                  <c:v>44446</c:v>
                </c:pt>
                <c:pt idx="170" c:formatCode="yyyy/m/d">
                  <c:v>44447</c:v>
                </c:pt>
                <c:pt idx="171" c:formatCode="yyyy/m/d">
                  <c:v>44448</c:v>
                </c:pt>
                <c:pt idx="172" c:formatCode="yyyy/m/d">
                  <c:v>44449</c:v>
                </c:pt>
                <c:pt idx="173" c:formatCode="yyyy/m/d">
                  <c:v>44452</c:v>
                </c:pt>
                <c:pt idx="174" c:formatCode="yyyy/m/d">
                  <c:v>44453</c:v>
                </c:pt>
                <c:pt idx="175" c:formatCode="yyyy/m/d">
                  <c:v>44454</c:v>
                </c:pt>
                <c:pt idx="176" c:formatCode="yyyy/m/d">
                  <c:v>44455</c:v>
                </c:pt>
                <c:pt idx="177" c:formatCode="yyyy/m/d">
                  <c:v>44456</c:v>
                </c:pt>
                <c:pt idx="178" c:formatCode="yyyy/m/d">
                  <c:v>44461</c:v>
                </c:pt>
                <c:pt idx="179" c:formatCode="yyyy/m/d">
                  <c:v>44462</c:v>
                </c:pt>
                <c:pt idx="180" c:formatCode="yyyy/m/d">
                  <c:v>44463</c:v>
                </c:pt>
                <c:pt idx="181" c:formatCode="yyyy/m/d">
                  <c:v>44466</c:v>
                </c:pt>
                <c:pt idx="182" c:formatCode="yyyy/m/d">
                  <c:v>44467</c:v>
                </c:pt>
                <c:pt idx="183" c:formatCode="yyyy/m/d">
                  <c:v>44468</c:v>
                </c:pt>
                <c:pt idx="184" c:formatCode="yyyy/m/d">
                  <c:v>44469</c:v>
                </c:pt>
                <c:pt idx="185" c:formatCode="yyyy/m/d">
                  <c:v>44470</c:v>
                </c:pt>
                <c:pt idx="186" c:formatCode="yyyy/m/d">
                  <c:v>44473</c:v>
                </c:pt>
                <c:pt idx="187" c:formatCode="yyyy/m/d">
                  <c:v>44474</c:v>
                </c:pt>
                <c:pt idx="188" c:formatCode="yyyy/m/d">
                  <c:v>44475</c:v>
                </c:pt>
                <c:pt idx="189" c:formatCode="yyyy/m/d">
                  <c:v>44476</c:v>
                </c:pt>
                <c:pt idx="190" c:formatCode="yyyy/m/d">
                  <c:v>44477</c:v>
                </c:pt>
                <c:pt idx="191" c:formatCode="yyyy/m/d">
                  <c:v>44480</c:v>
                </c:pt>
                <c:pt idx="192" c:formatCode="yyyy/m/d">
                  <c:v>44481</c:v>
                </c:pt>
                <c:pt idx="193" c:formatCode="yyyy/m/d">
                  <c:v>44482</c:v>
                </c:pt>
                <c:pt idx="194" c:formatCode="yyyy/m/d">
                  <c:v>44483</c:v>
                </c:pt>
                <c:pt idx="195" c:formatCode="yyyy/m/d">
                  <c:v>44484</c:v>
                </c:pt>
                <c:pt idx="196" c:formatCode="yyyy/m/d">
                  <c:v>44487</c:v>
                </c:pt>
                <c:pt idx="197" c:formatCode="yyyy/m/d">
                  <c:v>44488</c:v>
                </c:pt>
                <c:pt idx="198" c:formatCode="yyyy/m/d">
                  <c:v>44489</c:v>
                </c:pt>
                <c:pt idx="199" c:formatCode="yyyy/m/d">
                  <c:v>44490</c:v>
                </c:pt>
                <c:pt idx="200" c:formatCode="yyyy/m/d">
                  <c:v>44491</c:v>
                </c:pt>
                <c:pt idx="201" c:formatCode="yyyy/m/d">
                  <c:v>44494</c:v>
                </c:pt>
                <c:pt idx="202" c:formatCode="yyyy/m/d">
                  <c:v>44495</c:v>
                </c:pt>
                <c:pt idx="203" c:formatCode="yyyy/m/d">
                  <c:v>44496</c:v>
                </c:pt>
                <c:pt idx="204" c:formatCode="yyyy/m/d">
                  <c:v>44497</c:v>
                </c:pt>
                <c:pt idx="205" c:formatCode="yyyy/m/d">
                  <c:v>44498</c:v>
                </c:pt>
                <c:pt idx="206" c:formatCode="yyyy/m/d">
                  <c:v>44501</c:v>
                </c:pt>
                <c:pt idx="207" c:formatCode="yyyy/m/d">
                  <c:v>44502</c:v>
                </c:pt>
                <c:pt idx="208" c:formatCode="yyyy/m/d">
                  <c:v>44503</c:v>
                </c:pt>
                <c:pt idx="209" c:formatCode="yyyy/m/d">
                  <c:v>44504</c:v>
                </c:pt>
                <c:pt idx="210" c:formatCode="yyyy/m/d">
                  <c:v>44505</c:v>
                </c:pt>
                <c:pt idx="211" c:formatCode="yyyy/m/d">
                  <c:v>44508</c:v>
                </c:pt>
                <c:pt idx="212" c:formatCode="yyyy/m/d">
                  <c:v>44509</c:v>
                </c:pt>
                <c:pt idx="213" c:formatCode="yyyy/m/d">
                  <c:v>44510</c:v>
                </c:pt>
                <c:pt idx="214" c:formatCode="yyyy/m/d">
                  <c:v>44511</c:v>
                </c:pt>
                <c:pt idx="215" c:formatCode="yyyy/m/d">
                  <c:v>44512</c:v>
                </c:pt>
                <c:pt idx="216" c:formatCode="yyyy/m/d">
                  <c:v>44515</c:v>
                </c:pt>
                <c:pt idx="217" c:formatCode="yyyy/m/d">
                  <c:v>44516</c:v>
                </c:pt>
                <c:pt idx="218" c:formatCode="yyyy/m/d">
                  <c:v>44517</c:v>
                </c:pt>
                <c:pt idx="219" c:formatCode="yyyy/m/d">
                  <c:v>44518</c:v>
                </c:pt>
                <c:pt idx="220" c:formatCode="yyyy/m/d">
                  <c:v>44519</c:v>
                </c:pt>
                <c:pt idx="221" c:formatCode="yyyy/m/d">
                  <c:v>44522</c:v>
                </c:pt>
                <c:pt idx="222" c:formatCode="yyyy/m/d">
                  <c:v>44523</c:v>
                </c:pt>
                <c:pt idx="223" c:formatCode="yyyy/m/d">
                  <c:v>44524</c:v>
                </c:pt>
                <c:pt idx="224" c:formatCode="yyyy/m/d">
                  <c:v>44525</c:v>
                </c:pt>
                <c:pt idx="225" c:formatCode="yyyy/m/d">
                  <c:v>44526</c:v>
                </c:pt>
                <c:pt idx="226" c:formatCode="yyyy/m/d">
                  <c:v>44529</c:v>
                </c:pt>
                <c:pt idx="227" c:formatCode="yyyy/m/d">
                  <c:v>44530</c:v>
                </c:pt>
                <c:pt idx="228" c:formatCode="yyyy/m/d">
                  <c:v>44531</c:v>
                </c:pt>
                <c:pt idx="229" c:formatCode="yyyy/m/d">
                  <c:v>44532</c:v>
                </c:pt>
                <c:pt idx="230" c:formatCode="yyyy/m/d">
                  <c:v>44533</c:v>
                </c:pt>
                <c:pt idx="231" c:formatCode="yyyy/m/d">
                  <c:v>44536</c:v>
                </c:pt>
                <c:pt idx="232" c:formatCode="yyyy/m/d">
                  <c:v>44537</c:v>
                </c:pt>
                <c:pt idx="233" c:formatCode="yyyy/m/d">
                  <c:v>44538</c:v>
                </c:pt>
                <c:pt idx="234" c:formatCode="yyyy/m/d">
                  <c:v>44539</c:v>
                </c:pt>
                <c:pt idx="235" c:formatCode="yyyy/m/d">
                  <c:v>44540</c:v>
                </c:pt>
                <c:pt idx="236" c:formatCode="yyyy/m/d">
                  <c:v>44543</c:v>
                </c:pt>
                <c:pt idx="237" c:formatCode="yyyy/m/d">
                  <c:v>44544</c:v>
                </c:pt>
                <c:pt idx="238" c:formatCode="yyyy/m/d">
                  <c:v>44545</c:v>
                </c:pt>
                <c:pt idx="239" c:formatCode="yyyy/m/d">
                  <c:v>44546</c:v>
                </c:pt>
                <c:pt idx="240" c:formatCode="yyyy/m/d">
                  <c:v>44547</c:v>
                </c:pt>
                <c:pt idx="241" c:formatCode="yyyy/m/d">
                  <c:v>44550</c:v>
                </c:pt>
                <c:pt idx="242" c:formatCode="yyyy/m/d">
                  <c:v>44551</c:v>
                </c:pt>
                <c:pt idx="243" c:formatCode="yyyy/m/d">
                  <c:v>44552</c:v>
                </c:pt>
                <c:pt idx="244" c:formatCode="yyyy/m/d">
                  <c:v>44553</c:v>
                </c:pt>
                <c:pt idx="245" c:formatCode="yyyy/m/d">
                  <c:v>44554</c:v>
                </c:pt>
                <c:pt idx="246" c:formatCode="yyyy/m/d">
                  <c:v>44557</c:v>
                </c:pt>
                <c:pt idx="247" c:formatCode="yyyy/m/d">
                  <c:v>44558</c:v>
                </c:pt>
                <c:pt idx="248" c:formatCode="yyyy/m/d">
                  <c:v>44559</c:v>
                </c:pt>
                <c:pt idx="249" c:formatCode="yyyy/m/d">
                  <c:v>44560</c:v>
                </c:pt>
                <c:pt idx="250" c:formatCode="yyyy/m/d">
                  <c:v>44561</c:v>
                </c:pt>
                <c:pt idx="251" c:formatCode="yyyy/m/d">
                  <c:v>44564</c:v>
                </c:pt>
                <c:pt idx="252" c:formatCode="yyyy/m/d">
                  <c:v>44565</c:v>
                </c:pt>
                <c:pt idx="253" c:formatCode="yyyy/m/d">
                  <c:v>44566</c:v>
                </c:pt>
                <c:pt idx="254" c:formatCode="yyyy/m/d">
                  <c:v>44567</c:v>
                </c:pt>
                <c:pt idx="255" c:formatCode="yyyy/m/d">
                  <c:v>44568</c:v>
                </c:pt>
                <c:pt idx="256" c:formatCode="yyyy/m/d">
                  <c:v>44571</c:v>
                </c:pt>
                <c:pt idx="257" c:formatCode="yyyy/m/d">
                  <c:v>44572</c:v>
                </c:pt>
                <c:pt idx="258" c:formatCode="yyyy/m/d">
                  <c:v>44573</c:v>
                </c:pt>
                <c:pt idx="259" c:formatCode="yyyy/m/d">
                  <c:v>44574</c:v>
                </c:pt>
                <c:pt idx="260" c:formatCode="yyyy/m/d">
                  <c:v>44575</c:v>
                </c:pt>
                <c:pt idx="261" c:formatCode="yyyy/m/d">
                  <c:v>44578</c:v>
                </c:pt>
                <c:pt idx="262" c:formatCode="yyyy/m/d">
                  <c:v>44579</c:v>
                </c:pt>
                <c:pt idx="263" c:formatCode="yyyy/m/d">
                  <c:v>44580</c:v>
                </c:pt>
                <c:pt idx="264" c:formatCode="yyyy/m/d">
                  <c:v>44581</c:v>
                </c:pt>
                <c:pt idx="265" c:formatCode="yyyy/m/d">
                  <c:v>44582</c:v>
                </c:pt>
                <c:pt idx="266" c:formatCode="yyyy/m/d">
                  <c:v>44585</c:v>
                </c:pt>
                <c:pt idx="267" c:formatCode="yyyy/m/d">
                  <c:v>44586</c:v>
                </c:pt>
                <c:pt idx="268" c:formatCode="yyyy/m/d">
                  <c:v>44587</c:v>
                </c:pt>
                <c:pt idx="269" c:formatCode="yyyy/m/d">
                  <c:v>44588</c:v>
                </c:pt>
                <c:pt idx="270" c:formatCode="yyyy/m/d">
                  <c:v>44589</c:v>
                </c:pt>
                <c:pt idx="271" c:formatCode="yyyy/m/d">
                  <c:v>44599</c:v>
                </c:pt>
                <c:pt idx="272" c:formatCode="yyyy/m/d">
                  <c:v>44600</c:v>
                </c:pt>
                <c:pt idx="273" c:formatCode="yyyy/m/d">
                  <c:v>44601</c:v>
                </c:pt>
                <c:pt idx="274" c:formatCode="yyyy/m/d">
                  <c:v>44602</c:v>
                </c:pt>
                <c:pt idx="275" c:formatCode="yyyy/m/d">
                  <c:v>44603</c:v>
                </c:pt>
                <c:pt idx="276" c:formatCode="yyyy/m/d">
                  <c:v>44606</c:v>
                </c:pt>
                <c:pt idx="277" c:formatCode="yyyy/m/d">
                  <c:v>44607</c:v>
                </c:pt>
                <c:pt idx="278" c:formatCode="yyyy/m/d">
                  <c:v>44608</c:v>
                </c:pt>
                <c:pt idx="279" c:formatCode="yyyy/m/d">
                  <c:v>44609</c:v>
                </c:pt>
                <c:pt idx="280" c:formatCode="yyyy/m/d">
                  <c:v>44610</c:v>
                </c:pt>
                <c:pt idx="281" c:formatCode="yyyy/m/d">
                  <c:v>44613</c:v>
                </c:pt>
                <c:pt idx="282" c:formatCode="yyyy/m/d">
                  <c:v>44614</c:v>
                </c:pt>
                <c:pt idx="283" c:formatCode="yyyy/m/d">
                  <c:v>44615</c:v>
                </c:pt>
                <c:pt idx="284" c:formatCode="yyyy/m/d">
                  <c:v>44616</c:v>
                </c:pt>
                <c:pt idx="285" c:formatCode="yyyy/m/d">
                  <c:v>44617</c:v>
                </c:pt>
                <c:pt idx="286" c:formatCode="yyyy/m/d">
                  <c:v>44620</c:v>
                </c:pt>
                <c:pt idx="287" c:formatCode="yyyy/m/d">
                  <c:v>44621</c:v>
                </c:pt>
                <c:pt idx="288" c:formatCode="yyyy/m/d">
                  <c:v>44622</c:v>
                </c:pt>
                <c:pt idx="289" c:formatCode="yyyy/m/d">
                  <c:v>44623</c:v>
                </c:pt>
                <c:pt idx="290" c:formatCode="yyyy/m/d">
                  <c:v>44624</c:v>
                </c:pt>
                <c:pt idx="291" c:formatCode="yyyy/m/d">
                  <c:v>44627</c:v>
                </c:pt>
                <c:pt idx="292" c:formatCode="yyyy/m/d">
                  <c:v>44628</c:v>
                </c:pt>
                <c:pt idx="293" c:formatCode="yyyy/m/d">
                  <c:v>44629</c:v>
                </c:pt>
                <c:pt idx="294" c:formatCode="yyyy/m/d">
                  <c:v>44630</c:v>
                </c:pt>
                <c:pt idx="295" c:formatCode="yyyy/m/d">
                  <c:v>44631</c:v>
                </c:pt>
                <c:pt idx="296" c:formatCode="yyyy/m/d">
                  <c:v>44634</c:v>
                </c:pt>
                <c:pt idx="297" c:formatCode="yyyy/m/d">
                  <c:v>44635</c:v>
                </c:pt>
                <c:pt idx="298" c:formatCode="yyyy/m/d">
                  <c:v>44636</c:v>
                </c:pt>
                <c:pt idx="299" c:formatCode="yyyy/m/d">
                  <c:v>44637</c:v>
                </c:pt>
                <c:pt idx="300" c:formatCode="yyyy/m/d">
                  <c:v>44638</c:v>
                </c:pt>
                <c:pt idx="301" c:formatCode="yyyy/m/d">
                  <c:v>44641</c:v>
                </c:pt>
                <c:pt idx="302" c:formatCode="yyyy/m/d">
                  <c:v>44642</c:v>
                </c:pt>
                <c:pt idx="303" c:formatCode="yyyy/m/d">
                  <c:v>44643</c:v>
                </c:pt>
                <c:pt idx="304" c:formatCode="yyyy/m/d">
                  <c:v>44644</c:v>
                </c:pt>
                <c:pt idx="305" c:formatCode="yyyy/m/d">
                  <c:v>44645</c:v>
                </c:pt>
                <c:pt idx="306" c:formatCode="yyyy/m/d">
                  <c:v>44648</c:v>
                </c:pt>
                <c:pt idx="307" c:formatCode="yyyy/m/d">
                  <c:v>44649</c:v>
                </c:pt>
                <c:pt idx="308" c:formatCode="yyyy/m/d">
                  <c:v>44650</c:v>
                </c:pt>
                <c:pt idx="309" c:formatCode="yyyy/m/d">
                  <c:v>44651</c:v>
                </c:pt>
                <c:pt idx="310" c:formatCode="yyyy/m/d">
                  <c:v>44652</c:v>
                </c:pt>
                <c:pt idx="311" c:formatCode="yyyy/m/d">
                  <c:v>44657</c:v>
                </c:pt>
                <c:pt idx="312" c:formatCode="yyyy/m/d">
                  <c:v>44658</c:v>
                </c:pt>
                <c:pt idx="313" c:formatCode="yyyy/m/d">
                  <c:v>44659</c:v>
                </c:pt>
                <c:pt idx="314" c:formatCode="yyyy/m/d">
                  <c:v>44662</c:v>
                </c:pt>
                <c:pt idx="315" c:formatCode="yyyy/m/d">
                  <c:v>44663</c:v>
                </c:pt>
                <c:pt idx="316" c:formatCode="yyyy/m/d">
                  <c:v>44664</c:v>
                </c:pt>
                <c:pt idx="317" c:formatCode="yyyy/m/d">
                  <c:v>44665</c:v>
                </c:pt>
                <c:pt idx="318" c:formatCode="yyyy/m/d">
                  <c:v>44666</c:v>
                </c:pt>
                <c:pt idx="319" c:formatCode="yyyy/m/d">
                  <c:v>44669</c:v>
                </c:pt>
                <c:pt idx="320" c:formatCode="yyyy/m/d">
                  <c:v>44670</c:v>
                </c:pt>
                <c:pt idx="321" c:formatCode="yyyy/m/d">
                  <c:v>44671</c:v>
                </c:pt>
                <c:pt idx="322" c:formatCode="yyyy/m/d">
                  <c:v>44672</c:v>
                </c:pt>
                <c:pt idx="323" c:formatCode="yyyy/m/d">
                  <c:v>44673</c:v>
                </c:pt>
                <c:pt idx="324" c:formatCode="yyyy/m/d">
                  <c:v>44676</c:v>
                </c:pt>
                <c:pt idx="325" c:formatCode="yyyy/m/d">
                  <c:v>44677</c:v>
                </c:pt>
                <c:pt idx="326" c:formatCode="yyyy/m/d">
                  <c:v>44678</c:v>
                </c:pt>
                <c:pt idx="327" c:formatCode="yyyy/m/d">
                  <c:v>44679</c:v>
                </c:pt>
                <c:pt idx="328" c:formatCode="yyyy/m/d">
                  <c:v>44680</c:v>
                </c:pt>
                <c:pt idx="329" c:formatCode="yyyy/m/d">
                  <c:v>44684</c:v>
                </c:pt>
                <c:pt idx="330" c:formatCode="yyyy/m/d">
                  <c:v>44685</c:v>
                </c:pt>
                <c:pt idx="331" c:formatCode="yyyy/m/d">
                  <c:v>44686</c:v>
                </c:pt>
                <c:pt idx="332" c:formatCode="yyyy/m/d">
                  <c:v>44687</c:v>
                </c:pt>
                <c:pt idx="333" c:formatCode="yyyy/m/d">
                  <c:v>44690</c:v>
                </c:pt>
                <c:pt idx="334" c:formatCode="yyyy/m/d">
                  <c:v>44691</c:v>
                </c:pt>
                <c:pt idx="335" c:formatCode="yyyy/m/d">
                  <c:v>44692</c:v>
                </c:pt>
                <c:pt idx="336" c:formatCode="yyyy/m/d">
                  <c:v>44693</c:v>
                </c:pt>
                <c:pt idx="337" c:formatCode="yyyy/m/d">
                  <c:v>44694</c:v>
                </c:pt>
                <c:pt idx="338" c:formatCode="yyyy/m/d">
                  <c:v>44697</c:v>
                </c:pt>
                <c:pt idx="339" c:formatCode="yyyy/m/d">
                  <c:v>44698</c:v>
                </c:pt>
                <c:pt idx="340" c:formatCode="yyyy/m/d">
                  <c:v>44699</c:v>
                </c:pt>
                <c:pt idx="341" c:formatCode="yyyy/m/d">
                  <c:v>44700</c:v>
                </c:pt>
                <c:pt idx="342" c:formatCode="yyyy/m/d">
                  <c:v>44701</c:v>
                </c:pt>
                <c:pt idx="343" c:formatCode="yyyy/m/d">
                  <c:v>44704</c:v>
                </c:pt>
                <c:pt idx="344" c:formatCode="yyyy/m/d">
                  <c:v>44705</c:v>
                </c:pt>
                <c:pt idx="345" c:formatCode="yyyy/m/d">
                  <c:v>44706</c:v>
                </c:pt>
                <c:pt idx="346" c:formatCode="yyyy/m/d">
                  <c:v>44707</c:v>
                </c:pt>
                <c:pt idx="347" c:formatCode="yyyy/m/d">
                  <c:v>44708</c:v>
                </c:pt>
                <c:pt idx="348" c:formatCode="yyyy/m/d">
                  <c:v>44711</c:v>
                </c:pt>
                <c:pt idx="349" c:formatCode="yyyy/m/d">
                  <c:v>44712</c:v>
                </c:pt>
                <c:pt idx="350" c:formatCode="yyyy/m/d">
                  <c:v>44713</c:v>
                </c:pt>
                <c:pt idx="351" c:formatCode="yyyy/m/d">
                  <c:v>44714</c:v>
                </c:pt>
                <c:pt idx="352" c:formatCode="yyyy/m/d">
                  <c:v>44718</c:v>
                </c:pt>
                <c:pt idx="353" c:formatCode="yyyy/m/d">
                  <c:v>44719</c:v>
                </c:pt>
                <c:pt idx="354" c:formatCode="yyyy/m/d">
                  <c:v>44720</c:v>
                </c:pt>
                <c:pt idx="355" c:formatCode="yyyy/m/d">
                  <c:v>44721</c:v>
                </c:pt>
                <c:pt idx="356" c:formatCode="yyyy/m/d">
                  <c:v>44722</c:v>
                </c:pt>
                <c:pt idx="357" c:formatCode="yyyy/m/d">
                  <c:v>44725</c:v>
                </c:pt>
                <c:pt idx="358" c:formatCode="yyyy/m/d">
                  <c:v>44726</c:v>
                </c:pt>
                <c:pt idx="359" c:formatCode="yyyy/m/d">
                  <c:v>44727</c:v>
                </c:pt>
                <c:pt idx="360" c:formatCode="yyyy/m/d">
                  <c:v>44728</c:v>
                </c:pt>
                <c:pt idx="361" c:formatCode="yyyy/m/d">
                  <c:v>44729</c:v>
                </c:pt>
                <c:pt idx="362" c:formatCode="yyyy/m/d">
                  <c:v>44732</c:v>
                </c:pt>
                <c:pt idx="363" c:formatCode="yyyy/m/d">
                  <c:v>44733</c:v>
                </c:pt>
                <c:pt idx="364" c:formatCode="yyyy/m/d">
                  <c:v>44734</c:v>
                </c:pt>
                <c:pt idx="365" c:formatCode="yyyy/m/d">
                  <c:v>44735</c:v>
                </c:pt>
                <c:pt idx="366" c:formatCode="yyyy/m/d">
                  <c:v>44736</c:v>
                </c:pt>
                <c:pt idx="367" c:formatCode="yyyy/m/d">
                  <c:v>44739</c:v>
                </c:pt>
                <c:pt idx="368" c:formatCode="yyyy/m/d">
                  <c:v>44740</c:v>
                </c:pt>
                <c:pt idx="369" c:formatCode="yyyy/m/d">
                  <c:v>44741</c:v>
                </c:pt>
                <c:pt idx="370" c:formatCode="yyyy/m/d">
                  <c:v>44742</c:v>
                </c:pt>
                <c:pt idx="371" c:formatCode="yyyy/m/d">
                  <c:v>44743</c:v>
                </c:pt>
                <c:pt idx="372" c:formatCode="yyyy/m/d">
                  <c:v>44746</c:v>
                </c:pt>
                <c:pt idx="373" c:formatCode="yyyy/m/d">
                  <c:v>44747</c:v>
                </c:pt>
                <c:pt idx="374" c:formatCode="yyyy/m/d">
                  <c:v>44748</c:v>
                </c:pt>
                <c:pt idx="375" c:formatCode="yyyy/m/d">
                  <c:v>44749</c:v>
                </c:pt>
                <c:pt idx="376" c:formatCode="yyyy/m/d">
                  <c:v>44750</c:v>
                </c:pt>
                <c:pt idx="377" c:formatCode="yyyy/m/d">
                  <c:v>44753</c:v>
                </c:pt>
                <c:pt idx="378" c:formatCode="yyyy/m/d">
                  <c:v>44754</c:v>
                </c:pt>
                <c:pt idx="379" c:formatCode="yyyy/m/d">
                  <c:v>44755</c:v>
                </c:pt>
                <c:pt idx="380" c:formatCode="yyyy/m/d">
                  <c:v>44756</c:v>
                </c:pt>
                <c:pt idx="381" c:formatCode="yyyy/m/d">
                  <c:v>44757</c:v>
                </c:pt>
                <c:pt idx="382" c:formatCode="yyyy/m/d">
                  <c:v>44760</c:v>
                </c:pt>
                <c:pt idx="383" c:formatCode="yyyy/m/d">
                  <c:v>44761</c:v>
                </c:pt>
                <c:pt idx="384" c:formatCode="yyyy/m/d">
                  <c:v>44762</c:v>
                </c:pt>
                <c:pt idx="385" c:formatCode="yyyy/m/d">
                  <c:v>44763</c:v>
                </c:pt>
                <c:pt idx="386" c:formatCode="yyyy/m/d">
                  <c:v>44764</c:v>
                </c:pt>
                <c:pt idx="387" c:formatCode="yyyy/m/d">
                  <c:v>44767</c:v>
                </c:pt>
                <c:pt idx="388" c:formatCode="yyyy/m/d">
                  <c:v>44768</c:v>
                </c:pt>
                <c:pt idx="389" c:formatCode="yyyy/m/d">
                  <c:v>44769</c:v>
                </c:pt>
                <c:pt idx="390" c:formatCode="yyyy/m/d">
                  <c:v>44770</c:v>
                </c:pt>
                <c:pt idx="391" c:formatCode="yyyy/m/d">
                  <c:v>44771</c:v>
                </c:pt>
                <c:pt idx="392" c:formatCode="yyyy/m/d">
                  <c:v>44774</c:v>
                </c:pt>
                <c:pt idx="393" c:formatCode="yyyy/m/d">
                  <c:v>44775</c:v>
                </c:pt>
                <c:pt idx="394" c:formatCode="yyyy/m/d">
                  <c:v>44776</c:v>
                </c:pt>
                <c:pt idx="395" c:formatCode="yyyy/m/d">
                  <c:v>44777</c:v>
                </c:pt>
                <c:pt idx="396" c:formatCode="yyyy/m/d">
                  <c:v>44778</c:v>
                </c:pt>
                <c:pt idx="397" c:formatCode="yyyy/m/d">
                  <c:v>44781</c:v>
                </c:pt>
                <c:pt idx="398" c:formatCode="yyyy/m/d">
                  <c:v>44782</c:v>
                </c:pt>
                <c:pt idx="399" c:formatCode="yyyy/m/d">
                  <c:v>44783</c:v>
                </c:pt>
                <c:pt idx="400" c:formatCode="yyyy/m/d">
                  <c:v>44784</c:v>
                </c:pt>
                <c:pt idx="401" c:formatCode="yyyy/m/d">
                  <c:v>44785</c:v>
                </c:pt>
                <c:pt idx="402" c:formatCode="yyyy/m/d">
                  <c:v>44788</c:v>
                </c:pt>
                <c:pt idx="403" c:formatCode="yyyy/m/d">
                  <c:v>44789</c:v>
                </c:pt>
                <c:pt idx="404" c:formatCode="yyyy/m/d">
                  <c:v>44790</c:v>
                </c:pt>
                <c:pt idx="405" c:formatCode="yyyy/m/d">
                  <c:v>44791</c:v>
                </c:pt>
                <c:pt idx="406" c:formatCode="yyyy/m/d">
                  <c:v>44792</c:v>
                </c:pt>
                <c:pt idx="407" c:formatCode="yyyy/m/d">
                  <c:v>44795</c:v>
                </c:pt>
                <c:pt idx="408" c:formatCode="yyyy/m/d">
                  <c:v>44796</c:v>
                </c:pt>
                <c:pt idx="409" c:formatCode="yyyy/m/d">
                  <c:v>44797</c:v>
                </c:pt>
                <c:pt idx="410" c:formatCode="yyyy/m/d">
                  <c:v>44798</c:v>
                </c:pt>
                <c:pt idx="411" c:formatCode="yyyy/m/d">
                  <c:v>44799</c:v>
                </c:pt>
                <c:pt idx="412" c:formatCode="yyyy/m/d">
                  <c:v>44802</c:v>
                </c:pt>
                <c:pt idx="413" c:formatCode="yyyy/m/d">
                  <c:v>44803</c:v>
                </c:pt>
                <c:pt idx="414" c:formatCode="yyyy/m/d">
                  <c:v>44804</c:v>
                </c:pt>
                <c:pt idx="415" c:formatCode="yyyy/m/d">
                  <c:v>44805</c:v>
                </c:pt>
                <c:pt idx="416" c:formatCode="yyyy/m/d">
                  <c:v>44806</c:v>
                </c:pt>
                <c:pt idx="417" c:formatCode="yyyy/m/d">
                  <c:v>44809</c:v>
                </c:pt>
                <c:pt idx="418" c:formatCode="yyyy/m/d">
                  <c:v>44810</c:v>
                </c:pt>
                <c:pt idx="419" c:formatCode="yyyy/m/d">
                  <c:v>44811</c:v>
                </c:pt>
                <c:pt idx="420" c:formatCode="yyyy/m/d">
                  <c:v>44812</c:v>
                </c:pt>
                <c:pt idx="421" c:formatCode="yyyy/m/d">
                  <c:v>44813</c:v>
                </c:pt>
                <c:pt idx="422" c:formatCode="yyyy/m/d">
                  <c:v>44816</c:v>
                </c:pt>
                <c:pt idx="423" c:formatCode="yyyy/m/d">
                  <c:v>44817</c:v>
                </c:pt>
                <c:pt idx="424" c:formatCode="yyyy/m/d">
                  <c:v>44818</c:v>
                </c:pt>
                <c:pt idx="425" c:formatCode="yyyy/m/d">
                  <c:v>44819</c:v>
                </c:pt>
                <c:pt idx="426" c:formatCode="yyyy/m/d">
                  <c:v>44820</c:v>
                </c:pt>
                <c:pt idx="427" c:formatCode="yyyy/m/d">
                  <c:v>44823</c:v>
                </c:pt>
                <c:pt idx="428" c:formatCode="yyyy/m/d">
                  <c:v>44824</c:v>
                </c:pt>
                <c:pt idx="429" c:formatCode="yyyy/m/d">
                  <c:v>44825</c:v>
                </c:pt>
                <c:pt idx="430" c:formatCode="yyyy/m/d">
                  <c:v>44826</c:v>
                </c:pt>
                <c:pt idx="431" c:formatCode="yyyy/m/d">
                  <c:v>44827</c:v>
                </c:pt>
                <c:pt idx="432" c:formatCode="yyyy/m/d">
                  <c:v>44830</c:v>
                </c:pt>
                <c:pt idx="433" c:formatCode="yyyy/m/d">
                  <c:v>44831</c:v>
                </c:pt>
                <c:pt idx="434" c:formatCode="yyyy/m/d">
                  <c:v>44832</c:v>
                </c:pt>
                <c:pt idx="435" c:formatCode="yyyy/m/d">
                  <c:v>44833</c:v>
                </c:pt>
                <c:pt idx="436" c:formatCode="yyyy/m/d">
                  <c:v>44834</c:v>
                </c:pt>
                <c:pt idx="437" c:formatCode="yyyy/m/d">
                  <c:v>44837</c:v>
                </c:pt>
                <c:pt idx="438" c:formatCode="yyyy/m/d">
                  <c:v>44838</c:v>
                </c:pt>
                <c:pt idx="439" c:formatCode="yyyy/m/d">
                  <c:v>44839</c:v>
                </c:pt>
                <c:pt idx="440" c:formatCode="yyyy/m/d">
                  <c:v>44840</c:v>
                </c:pt>
                <c:pt idx="441" c:formatCode="yyyy/m/d">
                  <c:v>44841</c:v>
                </c:pt>
                <c:pt idx="442" c:formatCode="yyyy/m/d">
                  <c:v>44844</c:v>
                </c:pt>
                <c:pt idx="443" c:formatCode="yyyy/m/d">
                  <c:v>44845</c:v>
                </c:pt>
                <c:pt idx="444" c:formatCode="yyyy/m/d">
                  <c:v>44846</c:v>
                </c:pt>
                <c:pt idx="445" c:formatCode="yyyy/m/d">
                  <c:v>44847</c:v>
                </c:pt>
                <c:pt idx="446" c:formatCode="yyyy/m/d">
                  <c:v>44848</c:v>
                </c:pt>
                <c:pt idx="447" c:formatCode="yyyy/m/d">
                  <c:v>44851</c:v>
                </c:pt>
                <c:pt idx="448" c:formatCode="yyyy/m/d">
                  <c:v>44852</c:v>
                </c:pt>
                <c:pt idx="449" c:formatCode="yyyy/m/d">
                  <c:v>44853</c:v>
                </c:pt>
                <c:pt idx="450" c:formatCode="yyyy/m/d">
                  <c:v>44854</c:v>
                </c:pt>
                <c:pt idx="451" c:formatCode="yyyy/m/d">
                  <c:v>44855</c:v>
                </c:pt>
                <c:pt idx="452" c:formatCode="yyyy/m/d">
                  <c:v>44858</c:v>
                </c:pt>
                <c:pt idx="453" c:formatCode="yyyy/m/d">
                  <c:v>44859</c:v>
                </c:pt>
                <c:pt idx="454" c:formatCode="yyyy/m/d">
                  <c:v>44860</c:v>
                </c:pt>
                <c:pt idx="455" c:formatCode="yyyy/m/d">
                  <c:v>44861</c:v>
                </c:pt>
                <c:pt idx="456" c:formatCode="yyyy/m/d">
                  <c:v>44862</c:v>
                </c:pt>
                <c:pt idx="457" c:formatCode="yyyy/m/d">
                  <c:v>44865</c:v>
                </c:pt>
                <c:pt idx="458" c:formatCode="yyyy/m/d">
                  <c:v>44866</c:v>
                </c:pt>
                <c:pt idx="459" c:formatCode="yyyy/m/d">
                  <c:v>44867</c:v>
                </c:pt>
                <c:pt idx="460" c:formatCode="yyyy/m/d">
                  <c:v>44868</c:v>
                </c:pt>
                <c:pt idx="461" c:formatCode="yyyy/m/d">
                  <c:v>44869</c:v>
                </c:pt>
                <c:pt idx="462" c:formatCode="yyyy/m/d">
                  <c:v>44872</c:v>
                </c:pt>
                <c:pt idx="463" c:formatCode="yyyy/m/d">
                  <c:v>44873</c:v>
                </c:pt>
                <c:pt idx="464" c:formatCode="yyyy/m/d">
                  <c:v>44874</c:v>
                </c:pt>
                <c:pt idx="465" c:formatCode="yyyy/m/d">
                  <c:v>44875</c:v>
                </c:pt>
                <c:pt idx="466" c:formatCode="yyyy/m/d">
                  <c:v>44876</c:v>
                </c:pt>
                <c:pt idx="467" c:formatCode="yyyy/m/d">
                  <c:v>44879</c:v>
                </c:pt>
                <c:pt idx="468" c:formatCode="yyyy/m/d">
                  <c:v>44880</c:v>
                </c:pt>
                <c:pt idx="469" c:formatCode="yyyy/m/d">
                  <c:v>44881</c:v>
                </c:pt>
                <c:pt idx="470" c:formatCode="yyyy/m/d">
                  <c:v>44882</c:v>
                </c:pt>
                <c:pt idx="471" c:formatCode="yyyy/m/d">
                  <c:v>44883</c:v>
                </c:pt>
                <c:pt idx="472" c:formatCode="yyyy/m/d">
                  <c:v>44886</c:v>
                </c:pt>
                <c:pt idx="473" c:formatCode="yyyy/m/d">
                  <c:v>44887</c:v>
                </c:pt>
                <c:pt idx="474" c:formatCode="yyyy/m/d">
                  <c:v>44888</c:v>
                </c:pt>
                <c:pt idx="475" c:formatCode="yyyy/m/d">
                  <c:v>44889</c:v>
                </c:pt>
                <c:pt idx="476" c:formatCode="yyyy/m/d">
                  <c:v>44890</c:v>
                </c:pt>
                <c:pt idx="477" c:formatCode="yyyy/m/d">
                  <c:v>44893</c:v>
                </c:pt>
                <c:pt idx="478" c:formatCode="yyyy/m/d">
                  <c:v>44894</c:v>
                </c:pt>
                <c:pt idx="479" c:formatCode="yyyy/m/d">
                  <c:v>44895</c:v>
                </c:pt>
                <c:pt idx="480" c:formatCode="yyyy/m/d">
                  <c:v>44896</c:v>
                </c:pt>
                <c:pt idx="481" c:formatCode="yyyy/m/d">
                  <c:v>44897</c:v>
                </c:pt>
                <c:pt idx="482" c:formatCode="yyyy/m/d">
                  <c:v>44900</c:v>
                </c:pt>
                <c:pt idx="483" c:formatCode="yyyy/m/d">
                  <c:v>44901</c:v>
                </c:pt>
                <c:pt idx="484" c:formatCode="yyyy/m/d">
                  <c:v>44902</c:v>
                </c:pt>
                <c:pt idx="485" c:formatCode="yyyy/m/d">
                  <c:v>44903</c:v>
                </c:pt>
                <c:pt idx="486" c:formatCode="yyyy/m/d">
                  <c:v>44904</c:v>
                </c:pt>
                <c:pt idx="487" c:formatCode="yyyy/m/d">
                  <c:v>44907</c:v>
                </c:pt>
                <c:pt idx="488" c:formatCode="yyyy/m/d">
                  <c:v>44908</c:v>
                </c:pt>
                <c:pt idx="489" c:formatCode="yyyy/m/d">
                  <c:v>44909</c:v>
                </c:pt>
                <c:pt idx="490" c:formatCode="yyyy/m/d">
                  <c:v>44910</c:v>
                </c:pt>
                <c:pt idx="491" c:formatCode="yyyy/m/d">
                  <c:v>44911</c:v>
                </c:pt>
                <c:pt idx="492" c:formatCode="yyyy/m/d">
                  <c:v>44914</c:v>
                </c:pt>
                <c:pt idx="493" c:formatCode="yyyy/m/d">
                  <c:v>44915</c:v>
                </c:pt>
                <c:pt idx="494" c:formatCode="yyyy/m/d">
                  <c:v>44916</c:v>
                </c:pt>
                <c:pt idx="495" c:formatCode="yyyy/m/d">
                  <c:v>44917</c:v>
                </c:pt>
                <c:pt idx="496" c:formatCode="yyyy/m/d">
                  <c:v>44918</c:v>
                </c:pt>
                <c:pt idx="497" c:formatCode="yyyy/m/d">
                  <c:v>44921</c:v>
                </c:pt>
                <c:pt idx="498" c:formatCode="yyyy/m/d">
                  <c:v>44922</c:v>
                </c:pt>
                <c:pt idx="499" c:formatCode="yyyy/m/d">
                  <c:v>44923</c:v>
                </c:pt>
                <c:pt idx="500" c:formatCode="yyyy/m/d">
                  <c:v>44924</c:v>
                </c:pt>
                <c:pt idx="501" c:formatCode="yyyy/m/d">
                  <c:v>44925</c:v>
                </c:pt>
                <c:pt idx="502" c:formatCode="yyyy/m/d">
                  <c:v>44928</c:v>
                </c:pt>
                <c:pt idx="503" c:formatCode="yyyy/m/d">
                  <c:v>44929</c:v>
                </c:pt>
                <c:pt idx="504" c:formatCode="yyyy/m/d">
                  <c:v>44930</c:v>
                </c:pt>
                <c:pt idx="505" c:formatCode="yyyy/m/d">
                  <c:v>44931</c:v>
                </c:pt>
                <c:pt idx="506" c:formatCode="yyyy/m/d">
                  <c:v>44932</c:v>
                </c:pt>
                <c:pt idx="507" c:formatCode="yyyy/m/d">
                  <c:v>44935</c:v>
                </c:pt>
                <c:pt idx="508" c:formatCode="yyyy/m/d">
                  <c:v>44936</c:v>
                </c:pt>
                <c:pt idx="509" c:formatCode="yyyy/m/d">
                  <c:v>44937</c:v>
                </c:pt>
                <c:pt idx="510" c:formatCode="yyyy/m/d">
                  <c:v>44938</c:v>
                </c:pt>
                <c:pt idx="511" c:formatCode="yyyy/m/d">
                  <c:v>44939</c:v>
                </c:pt>
                <c:pt idx="512" c:formatCode="yyyy/m/d">
                  <c:v>44942</c:v>
                </c:pt>
                <c:pt idx="513" c:formatCode="yyyy/m/d">
                  <c:v>44943</c:v>
                </c:pt>
                <c:pt idx="514" c:formatCode="yyyy/m/d">
                  <c:v>44944</c:v>
                </c:pt>
                <c:pt idx="515" c:formatCode="yyyy/m/d">
                  <c:v>44945</c:v>
                </c:pt>
                <c:pt idx="516" c:formatCode="yyyy/m/d">
                  <c:v>44946</c:v>
                </c:pt>
                <c:pt idx="517" c:formatCode="yyyy/m/d">
                  <c:v>44956</c:v>
                </c:pt>
                <c:pt idx="518" c:formatCode="yyyy/m/d">
                  <c:v>44957</c:v>
                </c:pt>
                <c:pt idx="519" c:formatCode="yyyy/m/d">
                  <c:v>44958</c:v>
                </c:pt>
                <c:pt idx="520" c:formatCode="yyyy/m/d">
                  <c:v>44959</c:v>
                </c:pt>
                <c:pt idx="521" c:formatCode="yyyy/m/d">
                  <c:v>44960</c:v>
                </c:pt>
                <c:pt idx="522" c:formatCode="yyyy/m/d">
                  <c:v>44963</c:v>
                </c:pt>
                <c:pt idx="523" c:formatCode="yyyy/m/d">
                  <c:v>44964</c:v>
                </c:pt>
                <c:pt idx="524" c:formatCode="yyyy/m/d">
                  <c:v>44965</c:v>
                </c:pt>
                <c:pt idx="525" c:formatCode="yyyy/m/d">
                  <c:v>44966</c:v>
                </c:pt>
                <c:pt idx="526" c:formatCode="yyyy/m/d">
                  <c:v>44967</c:v>
                </c:pt>
                <c:pt idx="527" c:formatCode="yyyy/m/d">
                  <c:v>44970</c:v>
                </c:pt>
                <c:pt idx="528" c:formatCode="yyyy/m/d">
                  <c:v>44971</c:v>
                </c:pt>
                <c:pt idx="529" c:formatCode="yyyy/m/d">
                  <c:v>44972</c:v>
                </c:pt>
                <c:pt idx="530" c:formatCode="yyyy/m/d">
                  <c:v>44973</c:v>
                </c:pt>
                <c:pt idx="531" c:formatCode="yyyy/m/d">
                  <c:v>44974</c:v>
                </c:pt>
                <c:pt idx="532" c:formatCode="yyyy/m/d">
                  <c:v>44977</c:v>
                </c:pt>
                <c:pt idx="533" c:formatCode="yyyy/m/d">
                  <c:v>44978</c:v>
                </c:pt>
                <c:pt idx="534" c:formatCode="yyyy/m/d">
                  <c:v>44979</c:v>
                </c:pt>
                <c:pt idx="535" c:formatCode="yyyy/m/d">
                  <c:v>44980</c:v>
                </c:pt>
                <c:pt idx="536" c:formatCode="yyyy/m/d">
                  <c:v>44981</c:v>
                </c:pt>
                <c:pt idx="537" c:formatCode="yyyy/m/d">
                  <c:v>44984</c:v>
                </c:pt>
                <c:pt idx="538" c:formatCode="yyyy/m/d">
                  <c:v>44985</c:v>
                </c:pt>
                <c:pt idx="539" c:formatCode="yyyy/m/d">
                  <c:v>44986</c:v>
                </c:pt>
                <c:pt idx="540" c:formatCode="yyyy/m/d">
                  <c:v>44987</c:v>
                </c:pt>
                <c:pt idx="541" c:formatCode="yyyy/m/d">
                  <c:v>44988</c:v>
                </c:pt>
                <c:pt idx="542" c:formatCode="yyyy/m/d">
                  <c:v>44991</c:v>
                </c:pt>
                <c:pt idx="543" c:formatCode="yyyy/m/d">
                  <c:v>44992</c:v>
                </c:pt>
                <c:pt idx="544" c:formatCode="yyyy/m/d">
                  <c:v>44993</c:v>
                </c:pt>
                <c:pt idx="545" c:formatCode="yyyy/m/d">
                  <c:v>44994</c:v>
                </c:pt>
                <c:pt idx="546" c:formatCode="yyyy/m/d">
                  <c:v>44995</c:v>
                </c:pt>
                <c:pt idx="547" c:formatCode="yyyy/m/d">
                  <c:v>44998</c:v>
                </c:pt>
                <c:pt idx="548" c:formatCode="yyyy/m/d">
                  <c:v>44999</c:v>
                </c:pt>
                <c:pt idx="549" c:formatCode="yyyy/m/d">
                  <c:v>45000</c:v>
                </c:pt>
                <c:pt idx="550" c:formatCode="yyyy/m/d">
                  <c:v>45001</c:v>
                </c:pt>
                <c:pt idx="551" c:formatCode="yyyy/m/d">
                  <c:v>45002</c:v>
                </c:pt>
                <c:pt idx="552" c:formatCode="yyyy/m/d">
                  <c:v>45005</c:v>
                </c:pt>
                <c:pt idx="553" c:formatCode="yyyy/m/d">
                  <c:v>45006</c:v>
                </c:pt>
                <c:pt idx="554" c:formatCode="yyyy/m/d">
                  <c:v>45007</c:v>
                </c:pt>
                <c:pt idx="555" c:formatCode="yyyy/m/d">
                  <c:v>45008</c:v>
                </c:pt>
                <c:pt idx="556" c:formatCode="yyyy/m/d">
                  <c:v>45009</c:v>
                </c:pt>
                <c:pt idx="557" c:formatCode="yyyy/m/d">
                  <c:v>45012</c:v>
                </c:pt>
                <c:pt idx="558" c:formatCode="yyyy/m/d">
                  <c:v>45013</c:v>
                </c:pt>
                <c:pt idx="559" c:formatCode="yyyy/m/d">
                  <c:v>45014</c:v>
                </c:pt>
                <c:pt idx="560" c:formatCode="yyyy/m/d">
                  <c:v>45015</c:v>
                </c:pt>
                <c:pt idx="561" c:formatCode="yyyy/m/d">
                  <c:v>45016</c:v>
                </c:pt>
                <c:pt idx="562" c:formatCode="yyyy/m/d">
                  <c:v>45019</c:v>
                </c:pt>
                <c:pt idx="563" c:formatCode="yyyy/m/d">
                  <c:v>45020</c:v>
                </c:pt>
                <c:pt idx="564" c:formatCode="yyyy/m/d">
                  <c:v>45022</c:v>
                </c:pt>
                <c:pt idx="565" c:formatCode="yyyy/m/d">
                  <c:v>45023</c:v>
                </c:pt>
                <c:pt idx="566" c:formatCode="yyyy/m/d">
                  <c:v>45026</c:v>
                </c:pt>
                <c:pt idx="567" c:formatCode="yyyy/m/d">
                  <c:v>45027</c:v>
                </c:pt>
                <c:pt idx="568" c:formatCode="yyyy/m/d">
                  <c:v>45028</c:v>
                </c:pt>
                <c:pt idx="569" c:formatCode="yyyy/m/d">
                  <c:v>45029</c:v>
                </c:pt>
                <c:pt idx="570" c:formatCode="yyyy/m/d">
                  <c:v>45030</c:v>
                </c:pt>
                <c:pt idx="571" c:formatCode="yyyy/m/d">
                  <c:v>45033</c:v>
                </c:pt>
                <c:pt idx="572" c:formatCode="yyyy/m/d">
                  <c:v>45034</c:v>
                </c:pt>
                <c:pt idx="573" c:formatCode="yyyy/m/d">
                  <c:v>45035</c:v>
                </c:pt>
                <c:pt idx="574" c:formatCode="yyyy/m/d">
                  <c:v>45036</c:v>
                </c:pt>
                <c:pt idx="575" c:formatCode="yyyy/m/d">
                  <c:v>45037</c:v>
                </c:pt>
                <c:pt idx="576" c:formatCode="yyyy/m/d">
                  <c:v>45040</c:v>
                </c:pt>
                <c:pt idx="577" c:formatCode="yyyy/m/d">
                  <c:v>45041</c:v>
                </c:pt>
                <c:pt idx="578" c:formatCode="yyyy/m/d">
                  <c:v>45042</c:v>
                </c:pt>
                <c:pt idx="579" c:formatCode="yyyy/m/d">
                  <c:v>45043</c:v>
                </c:pt>
                <c:pt idx="580" c:formatCode="yyyy/m/d">
                  <c:v>45044</c:v>
                </c:pt>
                <c:pt idx="581" c:formatCode="yyyy/m/d">
                  <c:v>45047</c:v>
                </c:pt>
                <c:pt idx="582" c:formatCode="yyyy/m/d">
                  <c:v>45049</c:v>
                </c:pt>
                <c:pt idx="583" c:formatCode="yyyy/m/d">
                  <c:v>45050</c:v>
                </c:pt>
                <c:pt idx="584" c:formatCode="yyyy/m/d">
                  <c:v>45051</c:v>
                </c:pt>
                <c:pt idx="585" c:formatCode="yyyy/m/d">
                  <c:v>45054</c:v>
                </c:pt>
                <c:pt idx="586" c:formatCode="yyyy/m/d">
                  <c:v>45055</c:v>
                </c:pt>
                <c:pt idx="587" c:formatCode="yyyy/m/d">
                  <c:v>45056</c:v>
                </c:pt>
                <c:pt idx="588" c:formatCode="yyyy/m/d">
                  <c:v>45057</c:v>
                </c:pt>
                <c:pt idx="589" c:formatCode="yyyy/m/d">
                  <c:v>45058</c:v>
                </c:pt>
                <c:pt idx="590" c:formatCode="yyyy/m/d">
                  <c:v>45061</c:v>
                </c:pt>
                <c:pt idx="591" c:formatCode="yyyy/m/d">
                  <c:v>45062</c:v>
                </c:pt>
                <c:pt idx="592" c:formatCode="yyyy/m/d">
                  <c:v>45063</c:v>
                </c:pt>
                <c:pt idx="593" c:formatCode="yyyy/m/d">
                  <c:v>45064</c:v>
                </c:pt>
                <c:pt idx="594" c:formatCode="yyyy/m/d">
                  <c:v>45065</c:v>
                </c:pt>
                <c:pt idx="595" c:formatCode="yyyy/m/d">
                  <c:v>45068</c:v>
                </c:pt>
                <c:pt idx="596" c:formatCode="yyyy/m/d">
                  <c:v>45069</c:v>
                </c:pt>
                <c:pt idx="597" c:formatCode="yyyy/m/d">
                  <c:v>45070</c:v>
                </c:pt>
                <c:pt idx="598" c:formatCode="yyyy/m/d">
                  <c:v>45071</c:v>
                </c:pt>
                <c:pt idx="599" c:formatCode="yyyy/m/d">
                  <c:v>45072</c:v>
                </c:pt>
                <c:pt idx="600" c:formatCode="yyyy/m/d">
                  <c:v>45075</c:v>
                </c:pt>
                <c:pt idx="601" c:formatCode="yyyy/m/d">
                  <c:v>45076</c:v>
                </c:pt>
                <c:pt idx="602" c:formatCode="yyyy/m/d">
                  <c:v>45077</c:v>
                </c:pt>
                <c:pt idx="603" c:formatCode="yyyy/m/d">
                  <c:v>45078</c:v>
                </c:pt>
                <c:pt idx="604" c:formatCode="yyyy/m/d">
                  <c:v>45079</c:v>
                </c:pt>
                <c:pt idx="605" c:formatCode="yyyy/m/d">
                  <c:v>45082</c:v>
                </c:pt>
                <c:pt idx="606" c:formatCode="yyyy/m/d">
                  <c:v>45083</c:v>
                </c:pt>
                <c:pt idx="607" c:formatCode="yyyy/m/d">
                  <c:v>45084</c:v>
                </c:pt>
                <c:pt idx="608" c:formatCode="yyyy/m/d">
                  <c:v>45085</c:v>
                </c:pt>
                <c:pt idx="609" c:formatCode="yyyy/m/d">
                  <c:v>45086</c:v>
                </c:pt>
                <c:pt idx="610" c:formatCode="yyyy/m/d">
                  <c:v>45089</c:v>
                </c:pt>
                <c:pt idx="611" c:formatCode="yyyy/m/d">
                  <c:v>45090</c:v>
                </c:pt>
                <c:pt idx="612" c:formatCode="yyyy/m/d">
                  <c:v>45091</c:v>
                </c:pt>
                <c:pt idx="613" c:formatCode="yyyy/m/d">
                  <c:v>45092</c:v>
                </c:pt>
                <c:pt idx="614" c:formatCode="yyyy/m/d">
                  <c:v>45093</c:v>
                </c:pt>
                <c:pt idx="615" c:formatCode="yyyy/m/d">
                  <c:v>45096</c:v>
                </c:pt>
                <c:pt idx="616" c:formatCode="yyyy/m/d">
                  <c:v>45097</c:v>
                </c:pt>
                <c:pt idx="617" c:formatCode="yyyy/m/d">
                  <c:v>45098</c:v>
                </c:pt>
                <c:pt idx="618" c:formatCode="yyyy/m/d">
                  <c:v>45103</c:v>
                </c:pt>
                <c:pt idx="619" c:formatCode="yyyy/m/d">
                  <c:v>45104</c:v>
                </c:pt>
                <c:pt idx="620" c:formatCode="yyyy/m/d">
                  <c:v>45105</c:v>
                </c:pt>
                <c:pt idx="621" c:formatCode="yyyy/m/d">
                  <c:v>45106</c:v>
                </c:pt>
                <c:pt idx="622" c:formatCode="yyyy/m/d">
                  <c:v>45107</c:v>
                </c:pt>
                <c:pt idx="623" c:formatCode="yyyy/m/d">
                  <c:v>45110</c:v>
                </c:pt>
                <c:pt idx="624" c:formatCode="yyyy/m/d">
                  <c:v>45111</c:v>
                </c:pt>
                <c:pt idx="625" c:formatCode="yyyy/m/d">
                  <c:v>45112</c:v>
                </c:pt>
                <c:pt idx="626" c:formatCode="yyyy/m/d">
                  <c:v>45113</c:v>
                </c:pt>
                <c:pt idx="627" c:formatCode="yyyy/m/d">
                  <c:v>45114</c:v>
                </c:pt>
                <c:pt idx="628" c:formatCode="yyyy/m/d">
                  <c:v>45117</c:v>
                </c:pt>
                <c:pt idx="629" c:formatCode="yyyy/m/d">
                  <c:v>45118</c:v>
                </c:pt>
                <c:pt idx="630" c:formatCode="yyyy/m/d">
                  <c:v>45119</c:v>
                </c:pt>
                <c:pt idx="631" c:formatCode="yyyy/m/d">
                  <c:v>45120</c:v>
                </c:pt>
                <c:pt idx="632" c:formatCode="yyyy/m/d">
                  <c:v>45121</c:v>
                </c:pt>
                <c:pt idx="633" c:formatCode="yyyy/m/d">
                  <c:v>45124</c:v>
                </c:pt>
                <c:pt idx="634" c:formatCode="yyyy/m/d">
                  <c:v>45125</c:v>
                </c:pt>
                <c:pt idx="635" c:formatCode="yyyy/m/d">
                  <c:v>45126</c:v>
                </c:pt>
                <c:pt idx="636" c:formatCode="yyyy/m/d">
                  <c:v>45127</c:v>
                </c:pt>
                <c:pt idx="637" c:formatCode="yyyy/m/d">
                  <c:v>45128</c:v>
                </c:pt>
                <c:pt idx="638" c:formatCode="yyyy/m/d">
                  <c:v>45131</c:v>
                </c:pt>
                <c:pt idx="639" c:formatCode="yyyy/m/d">
                  <c:v>45132</c:v>
                </c:pt>
                <c:pt idx="640" c:formatCode="yyyy/m/d">
                  <c:v>45133</c:v>
                </c:pt>
                <c:pt idx="641" c:formatCode="yyyy/m/d">
                  <c:v>45134</c:v>
                </c:pt>
                <c:pt idx="642" c:formatCode="yyyy/m/d">
                  <c:v>45135</c:v>
                </c:pt>
                <c:pt idx="643" c:formatCode="yyyy/m/d">
                  <c:v>45138</c:v>
                </c:pt>
                <c:pt idx="644" c:formatCode="yyyy/m/d">
                  <c:v>45139</c:v>
                </c:pt>
                <c:pt idx="645" c:formatCode="yyyy/m/d">
                  <c:v>45140</c:v>
                </c:pt>
                <c:pt idx="646" c:formatCode="yyyy/m/d">
                  <c:v>45141</c:v>
                </c:pt>
                <c:pt idx="647" c:formatCode="yyyy/m/d">
                  <c:v>45142</c:v>
                </c:pt>
                <c:pt idx="648" c:formatCode="yyyy/m/d">
                  <c:v>45145</c:v>
                </c:pt>
                <c:pt idx="649" c:formatCode="yyyy/m/d">
                  <c:v>45146</c:v>
                </c:pt>
                <c:pt idx="650" c:formatCode="yyyy/m/d">
                  <c:v>45147</c:v>
                </c:pt>
                <c:pt idx="651" c:formatCode="yyyy/m/d">
                  <c:v>45148</c:v>
                </c:pt>
                <c:pt idx="652" c:formatCode="yyyy/m/d">
                  <c:v>45149</c:v>
                </c:pt>
                <c:pt idx="653" c:formatCode="yyyy/m/d">
                  <c:v>45152</c:v>
                </c:pt>
                <c:pt idx="654" c:formatCode="yyyy/m/d">
                  <c:v>45153</c:v>
                </c:pt>
                <c:pt idx="655" c:formatCode="yyyy/m/d">
                  <c:v>45154</c:v>
                </c:pt>
                <c:pt idx="656" c:formatCode="yyyy/m/d">
                  <c:v>45155</c:v>
                </c:pt>
                <c:pt idx="657" c:formatCode="yyyy/m/d">
                  <c:v>45156</c:v>
                </c:pt>
                <c:pt idx="658" c:formatCode="yyyy/m/d">
                  <c:v>45159</c:v>
                </c:pt>
                <c:pt idx="659" c:formatCode="yyyy/m/d">
                  <c:v>45160</c:v>
                </c:pt>
                <c:pt idx="660" c:formatCode="yyyy/m/d">
                  <c:v>45161</c:v>
                </c:pt>
                <c:pt idx="661" c:formatCode="yyyy/m/d">
                  <c:v>45162</c:v>
                </c:pt>
                <c:pt idx="662" c:formatCode="yyyy/m/d">
                  <c:v>45163</c:v>
                </c:pt>
                <c:pt idx="663" c:formatCode="yyyy/m/d">
                  <c:v>45166</c:v>
                </c:pt>
                <c:pt idx="664" c:formatCode="yyyy/m/d">
                  <c:v>45167</c:v>
                </c:pt>
                <c:pt idx="665" c:formatCode="yyyy/m/d">
                  <c:v>45168</c:v>
                </c:pt>
                <c:pt idx="666" c:formatCode="yyyy/m/d">
                  <c:v>45169</c:v>
                </c:pt>
                <c:pt idx="667" c:formatCode="yyyy/m/d">
                  <c:v>45170</c:v>
                </c:pt>
                <c:pt idx="668" c:formatCode="yyyy/m/d">
                  <c:v>45173</c:v>
                </c:pt>
                <c:pt idx="669" c:formatCode="yyyy/m/d">
                  <c:v>45174</c:v>
                </c:pt>
                <c:pt idx="670" c:formatCode="yyyy/m/d">
                  <c:v>45175</c:v>
                </c:pt>
                <c:pt idx="671" c:formatCode="yyyy/m/d">
                  <c:v>45176</c:v>
                </c:pt>
                <c:pt idx="672" c:formatCode="yyyy/m/d">
                  <c:v>45177</c:v>
                </c:pt>
                <c:pt idx="673" c:formatCode="yyyy/m/d">
                  <c:v>45180</c:v>
                </c:pt>
                <c:pt idx="674" c:formatCode="yyyy/m/d">
                  <c:v>45181</c:v>
                </c:pt>
                <c:pt idx="675" c:formatCode="yyyy/m/d">
                  <c:v>45182</c:v>
                </c:pt>
                <c:pt idx="676" c:formatCode="yyyy/m/d">
                  <c:v>45183</c:v>
                </c:pt>
                <c:pt idx="677" c:formatCode="yyyy/m/d">
                  <c:v>45184</c:v>
                </c:pt>
                <c:pt idx="678" c:formatCode="yyyy/m/d">
                  <c:v>45187</c:v>
                </c:pt>
                <c:pt idx="679" c:formatCode="yyyy/m/d">
                  <c:v>45188</c:v>
                </c:pt>
                <c:pt idx="680" c:formatCode="yyyy/m/d">
                  <c:v>45189</c:v>
                </c:pt>
                <c:pt idx="681" c:formatCode="yyyy/m/d">
                  <c:v>45190</c:v>
                </c:pt>
                <c:pt idx="682" c:formatCode="yyyy/m/d">
                  <c:v>45191</c:v>
                </c:pt>
                <c:pt idx="683" c:formatCode="yyyy/m/d">
                  <c:v>45194</c:v>
                </c:pt>
                <c:pt idx="684" c:formatCode="yyyy/m/d">
                  <c:v>45195</c:v>
                </c:pt>
                <c:pt idx="685" c:formatCode="yyyy/m/d">
                  <c:v>45196</c:v>
                </c:pt>
                <c:pt idx="686" c:formatCode="yyyy/m/d">
                  <c:v>45197</c:v>
                </c:pt>
                <c:pt idx="687" c:formatCode="yyyy/m/d">
                  <c:v>45201</c:v>
                </c:pt>
                <c:pt idx="688" c:formatCode="yyyy/m/d">
                  <c:v>45202</c:v>
                </c:pt>
                <c:pt idx="689" c:formatCode="yyyy/m/d">
                  <c:v>45203</c:v>
                </c:pt>
                <c:pt idx="690" c:formatCode="yyyy/m/d">
                  <c:v>45204</c:v>
                </c:pt>
                <c:pt idx="691" c:formatCode="yyyy/m/d">
                  <c:v>45205</c:v>
                </c:pt>
                <c:pt idx="692" c:formatCode="yyyy/m/d">
                  <c:v>45208</c:v>
                </c:pt>
                <c:pt idx="693" c:formatCode="yyyy/m/d">
                  <c:v>45209</c:v>
                </c:pt>
                <c:pt idx="694" c:formatCode="yyyy/m/d">
                  <c:v>45210</c:v>
                </c:pt>
                <c:pt idx="695" c:formatCode="yyyy/m/d">
                  <c:v>45211</c:v>
                </c:pt>
                <c:pt idx="696" c:formatCode="yyyy/m/d">
                  <c:v>45212</c:v>
                </c:pt>
                <c:pt idx="697" c:formatCode="yyyy/m/d">
                  <c:v>45215</c:v>
                </c:pt>
                <c:pt idx="698" c:formatCode="yyyy/m/d">
                  <c:v>45216</c:v>
                </c:pt>
                <c:pt idx="699" c:formatCode="yyyy/m/d">
                  <c:v>45217</c:v>
                </c:pt>
                <c:pt idx="700" c:formatCode="yyyy/m/d">
                  <c:v>45218</c:v>
                </c:pt>
                <c:pt idx="701" c:formatCode="yyyy/m/d">
                  <c:v>45219</c:v>
                </c:pt>
                <c:pt idx="702" c:formatCode="yyyy/m/d">
                  <c:v>45222</c:v>
                </c:pt>
                <c:pt idx="703" c:formatCode="yyyy/m/d">
                  <c:v>45223</c:v>
                </c:pt>
                <c:pt idx="704" c:formatCode="yyyy/m/d">
                  <c:v>45224</c:v>
                </c:pt>
                <c:pt idx="705" c:formatCode="yyyy/m/d">
                  <c:v>45225</c:v>
                </c:pt>
                <c:pt idx="706" c:formatCode="yyyy/m/d">
                  <c:v>45226</c:v>
                </c:pt>
                <c:pt idx="707" c:formatCode="yyyy/m/d">
                  <c:v>45229</c:v>
                </c:pt>
                <c:pt idx="708" c:formatCode="yyyy/m/d">
                  <c:v>45230</c:v>
                </c:pt>
                <c:pt idx="709" c:formatCode="yyyy/m/d">
                  <c:v>45231</c:v>
                </c:pt>
                <c:pt idx="710" c:formatCode="yyyy/m/d">
                  <c:v>45232</c:v>
                </c:pt>
                <c:pt idx="711" c:formatCode="yyyy/m/d">
                  <c:v>45233</c:v>
                </c:pt>
                <c:pt idx="712" c:formatCode="yyyy/m/d">
                  <c:v>45236</c:v>
                </c:pt>
                <c:pt idx="713" c:formatCode="yyyy/m/d">
                  <c:v>45237</c:v>
                </c:pt>
                <c:pt idx="714" c:formatCode="yyyy/m/d">
                  <c:v>45238</c:v>
                </c:pt>
                <c:pt idx="715" c:formatCode="yyyy/m/d">
                  <c:v>45239</c:v>
                </c:pt>
                <c:pt idx="716" c:formatCode="yyyy/m/d">
                  <c:v>45240</c:v>
                </c:pt>
                <c:pt idx="717" c:formatCode="yyyy/m/d">
                  <c:v>45243</c:v>
                </c:pt>
                <c:pt idx="718" c:formatCode="yyyy/m/d">
                  <c:v>45244</c:v>
                </c:pt>
                <c:pt idx="719" c:formatCode="yyyy/m/d">
                  <c:v>45245</c:v>
                </c:pt>
                <c:pt idx="720" c:formatCode="yyyy/m/d">
                  <c:v>45246</c:v>
                </c:pt>
                <c:pt idx="721" c:formatCode="yyyy/m/d">
                  <c:v>45247</c:v>
                </c:pt>
                <c:pt idx="722" c:formatCode="yyyy/m/d">
                  <c:v>45250</c:v>
                </c:pt>
                <c:pt idx="723" c:formatCode="yyyy/m/d">
                  <c:v>45251</c:v>
                </c:pt>
                <c:pt idx="724" c:formatCode="yyyy/m/d">
                  <c:v>45252</c:v>
                </c:pt>
                <c:pt idx="725" c:formatCode="yyyy/m/d">
                  <c:v>45253</c:v>
                </c:pt>
                <c:pt idx="726" c:formatCode="yyyy/m/d">
                  <c:v>45254</c:v>
                </c:pt>
                <c:pt idx="727" c:formatCode="yyyy/m/d">
                  <c:v>45257</c:v>
                </c:pt>
                <c:pt idx="728" c:formatCode="yyyy/m/d">
                  <c:v>45258</c:v>
                </c:pt>
                <c:pt idx="729" c:formatCode="yyyy/m/d">
                  <c:v>45259</c:v>
                </c:pt>
                <c:pt idx="730" c:formatCode="yyyy/m/d">
                  <c:v>45260</c:v>
                </c:pt>
                <c:pt idx="731" c:formatCode="yyyy/m/d">
                  <c:v>45261</c:v>
                </c:pt>
                <c:pt idx="732" c:formatCode="yyyy/m/d">
                  <c:v>45264</c:v>
                </c:pt>
                <c:pt idx="733" c:formatCode="yyyy/m/d">
                  <c:v>45265</c:v>
                </c:pt>
                <c:pt idx="734" c:formatCode="yyyy/m/d">
                  <c:v>45266</c:v>
                </c:pt>
                <c:pt idx="735" c:formatCode="yyyy/m/d">
                  <c:v>45267</c:v>
                </c:pt>
                <c:pt idx="736" c:formatCode="yyyy/m/d">
                  <c:v>45268</c:v>
                </c:pt>
                <c:pt idx="737" c:formatCode="yyyy/m/d">
                  <c:v>45271</c:v>
                </c:pt>
                <c:pt idx="738" c:formatCode="yyyy/m/d">
                  <c:v>45272</c:v>
                </c:pt>
                <c:pt idx="739" c:formatCode="yyyy/m/d">
                  <c:v>45273</c:v>
                </c:pt>
                <c:pt idx="740" c:formatCode="yyyy/m/d">
                  <c:v>45274</c:v>
                </c:pt>
                <c:pt idx="741" c:formatCode="yyyy/m/d">
                  <c:v>45275</c:v>
                </c:pt>
                <c:pt idx="742" c:formatCode="yyyy/m/d">
                  <c:v>45278</c:v>
                </c:pt>
                <c:pt idx="743" c:formatCode="yyyy/m/d">
                  <c:v>45279</c:v>
                </c:pt>
                <c:pt idx="744" c:formatCode="yyyy/m/d">
                  <c:v>45280</c:v>
                </c:pt>
                <c:pt idx="745" c:formatCode="yyyy/m/d">
                  <c:v>45281</c:v>
                </c:pt>
                <c:pt idx="746" c:formatCode="yyyy/m/d">
                  <c:v>45282</c:v>
                </c:pt>
                <c:pt idx="747" c:formatCode="yyyy/m/d">
                  <c:v>45285</c:v>
                </c:pt>
                <c:pt idx="748" c:formatCode="yyyy/m/d">
                  <c:v>45286</c:v>
                </c:pt>
                <c:pt idx="749" c:formatCode="yyyy/m/d">
                  <c:v>45287</c:v>
                </c:pt>
                <c:pt idx="750" c:formatCode="yyyy/m/d">
                  <c:v>45288</c:v>
                </c:pt>
                <c:pt idx="751" c:formatCode="yyyy/m/d">
                  <c:v>45289</c:v>
                </c:pt>
                <c:pt idx="752" c:formatCode="yyyy/m/d">
                  <c:v>45293</c:v>
                </c:pt>
                <c:pt idx="753" c:formatCode="yyyy/m/d">
                  <c:v>45294</c:v>
                </c:pt>
                <c:pt idx="754" c:formatCode="yyyy/m/d">
                  <c:v>45295</c:v>
                </c:pt>
                <c:pt idx="755" c:formatCode="yyyy/m/d">
                  <c:v>45296</c:v>
                </c:pt>
                <c:pt idx="756" c:formatCode="yyyy/m/d">
                  <c:v>45299</c:v>
                </c:pt>
                <c:pt idx="757" c:formatCode="yyyy/m/d">
                  <c:v>45300</c:v>
                </c:pt>
                <c:pt idx="758" c:formatCode="yyyy/m/d">
                  <c:v>45301</c:v>
                </c:pt>
                <c:pt idx="759" c:formatCode="yyyy/m/d">
                  <c:v>45302</c:v>
                </c:pt>
                <c:pt idx="760" c:formatCode="yyyy/m/d">
                  <c:v>45303</c:v>
                </c:pt>
                <c:pt idx="761" c:formatCode="yyyy/m/d">
                  <c:v>45306</c:v>
                </c:pt>
                <c:pt idx="762" c:formatCode="yyyy/m/d">
                  <c:v>45307</c:v>
                </c:pt>
                <c:pt idx="763" c:formatCode="yyyy/m/d">
                  <c:v>45308</c:v>
                </c:pt>
                <c:pt idx="764" c:formatCode="yyyy/m/d">
                  <c:v>45309</c:v>
                </c:pt>
                <c:pt idx="765" c:formatCode="yyyy/m/d">
                  <c:v>45310</c:v>
                </c:pt>
                <c:pt idx="766" c:formatCode="yyyy/m/d">
                  <c:v>45313</c:v>
                </c:pt>
                <c:pt idx="767" c:formatCode="yyyy/m/d">
                  <c:v>45314</c:v>
                </c:pt>
                <c:pt idx="768" c:formatCode="yyyy/m/d">
                  <c:v>45315</c:v>
                </c:pt>
                <c:pt idx="769" c:formatCode="yyyy/m/d">
                  <c:v>45316</c:v>
                </c:pt>
                <c:pt idx="770" c:formatCode="yyyy/m/d">
                  <c:v>45317</c:v>
                </c:pt>
                <c:pt idx="771" c:formatCode="yyyy/m/d">
                  <c:v>45320</c:v>
                </c:pt>
                <c:pt idx="772" c:formatCode="yyyy/m/d">
                  <c:v>45321</c:v>
                </c:pt>
                <c:pt idx="773" c:formatCode="yyyy/m/d">
                  <c:v>45322</c:v>
                </c:pt>
                <c:pt idx="774" c:formatCode="yyyy/m/d">
                  <c:v>45323</c:v>
                </c:pt>
                <c:pt idx="775" c:formatCode="yyyy/m/d">
                  <c:v>45324</c:v>
                </c:pt>
                <c:pt idx="776" c:formatCode="yyyy/m/d">
                  <c:v>45327</c:v>
                </c:pt>
                <c:pt idx="777" c:formatCode="yyyy/m/d">
                  <c:v>45328</c:v>
                </c:pt>
                <c:pt idx="778" c:formatCode="yyyy/m/d">
                  <c:v>45329</c:v>
                </c:pt>
                <c:pt idx="779" c:formatCode="yyyy/m/d">
                  <c:v>45330</c:v>
                </c:pt>
                <c:pt idx="780" c:formatCode="yyyy/m/d">
                  <c:v>45337</c:v>
                </c:pt>
                <c:pt idx="781" c:formatCode="yyyy/m/d">
                  <c:v>45338</c:v>
                </c:pt>
                <c:pt idx="782" c:formatCode="yyyy/m/d">
                  <c:v>45341</c:v>
                </c:pt>
                <c:pt idx="783" c:formatCode="yyyy/m/d">
                  <c:v>45342</c:v>
                </c:pt>
                <c:pt idx="784" c:formatCode="yyyy/m/d">
                  <c:v>45343</c:v>
                </c:pt>
                <c:pt idx="785" c:formatCode="yyyy/m/d">
                  <c:v>45344</c:v>
                </c:pt>
                <c:pt idx="786" c:formatCode="yyyy/m/d">
                  <c:v>45345</c:v>
                </c:pt>
                <c:pt idx="787" c:formatCode="yyyy/m/d">
                  <c:v>45348</c:v>
                </c:pt>
                <c:pt idx="788" c:formatCode="yyyy/m/d">
                  <c:v>45349</c:v>
                </c:pt>
                <c:pt idx="789" c:formatCode="yyyy/m/d">
                  <c:v>45350</c:v>
                </c:pt>
                <c:pt idx="790" c:formatCode="yyyy/m/d">
                  <c:v>45351</c:v>
                </c:pt>
                <c:pt idx="791" c:formatCode="yyyy/m/d">
                  <c:v>45352</c:v>
                </c:pt>
                <c:pt idx="792" c:formatCode="yyyy/m/d">
                  <c:v>45355</c:v>
                </c:pt>
                <c:pt idx="793" c:formatCode="yyyy/m/d">
                  <c:v>45356</c:v>
                </c:pt>
                <c:pt idx="794" c:formatCode="yyyy/m/d">
                  <c:v>45357</c:v>
                </c:pt>
                <c:pt idx="795" c:formatCode="yyyy/m/d">
                  <c:v>45358</c:v>
                </c:pt>
                <c:pt idx="796" c:formatCode="yyyy/m/d">
                  <c:v>45359</c:v>
                </c:pt>
                <c:pt idx="797" c:formatCode="yyyy/m/d">
                  <c:v>45362</c:v>
                </c:pt>
                <c:pt idx="798" c:formatCode="yyyy/m/d">
                  <c:v>45363</c:v>
                </c:pt>
                <c:pt idx="799" c:formatCode="yyyy/m/d">
                  <c:v>45364</c:v>
                </c:pt>
                <c:pt idx="800" c:formatCode="yyyy/m/d">
                  <c:v>45365</c:v>
                </c:pt>
                <c:pt idx="801" c:formatCode="yyyy/m/d">
                  <c:v>45366</c:v>
                </c:pt>
                <c:pt idx="802" c:formatCode="yyyy/m/d">
                  <c:v>45369</c:v>
                </c:pt>
                <c:pt idx="803" c:formatCode="yyyy/m/d">
                  <c:v>45370</c:v>
                </c:pt>
                <c:pt idx="804" c:formatCode="yyyy/m/d">
                  <c:v>45371</c:v>
                </c:pt>
                <c:pt idx="805" c:formatCode="yyyy/m/d">
                  <c:v>45372</c:v>
                </c:pt>
                <c:pt idx="806" c:formatCode="yyyy/m/d">
                  <c:v>45373</c:v>
                </c:pt>
                <c:pt idx="807" c:formatCode="yyyy/m/d">
                  <c:v>45376</c:v>
                </c:pt>
                <c:pt idx="808" c:formatCode="yyyy/m/d">
                  <c:v>45377</c:v>
                </c:pt>
                <c:pt idx="809" c:formatCode="yyyy/m/d">
                  <c:v>45378</c:v>
                </c:pt>
                <c:pt idx="810" c:formatCode="yyyy/m/d">
                  <c:v>45379</c:v>
                </c:pt>
                <c:pt idx="811" c:formatCode="yyyy/m/d">
                  <c:v>45380</c:v>
                </c:pt>
                <c:pt idx="812" c:formatCode="yyyy/m/d">
                  <c:v>45383</c:v>
                </c:pt>
                <c:pt idx="813" c:formatCode="yyyy/m/d">
                  <c:v>45384</c:v>
                </c:pt>
                <c:pt idx="814" c:formatCode="yyyy/m/d">
                  <c:v>45385</c:v>
                </c:pt>
                <c:pt idx="815" c:formatCode="yyyy/m/d">
                  <c:v>45390</c:v>
                </c:pt>
                <c:pt idx="816" c:formatCode="yyyy/m/d">
                  <c:v>45391</c:v>
                </c:pt>
                <c:pt idx="817" c:formatCode="yyyy/m/d">
                  <c:v>45392</c:v>
                </c:pt>
                <c:pt idx="818" c:formatCode="yyyy/m/d">
                  <c:v>45393</c:v>
                </c:pt>
                <c:pt idx="819" c:formatCode="yyyy/m/d">
                  <c:v>45394</c:v>
                </c:pt>
                <c:pt idx="820" c:formatCode="yyyy/m/d">
                  <c:v>45397</c:v>
                </c:pt>
                <c:pt idx="821" c:formatCode="yyyy/m/d">
                  <c:v>45398</c:v>
                </c:pt>
                <c:pt idx="822" c:formatCode="yyyy/m/d">
                  <c:v>45399</c:v>
                </c:pt>
                <c:pt idx="823" c:formatCode="yyyy/m/d">
                  <c:v>45400</c:v>
                </c:pt>
                <c:pt idx="824" c:formatCode="yyyy/m/d">
                  <c:v>45401</c:v>
                </c:pt>
                <c:pt idx="825" c:formatCode="yyyy/m/d">
                  <c:v>45404</c:v>
                </c:pt>
                <c:pt idx="826" c:formatCode="yyyy/m/d">
                  <c:v>45405</c:v>
                </c:pt>
                <c:pt idx="827" c:formatCode="yyyy/m/d">
                  <c:v>45406</c:v>
                </c:pt>
                <c:pt idx="828" c:formatCode="yyyy/m/d">
                  <c:v>45407</c:v>
                </c:pt>
                <c:pt idx="829" c:formatCode="yyyy/m/d">
                  <c:v>45408</c:v>
                </c:pt>
                <c:pt idx="830" c:formatCode="yyyy/m/d">
                  <c:v>45411</c:v>
                </c:pt>
                <c:pt idx="831" c:formatCode="yyyy/m/d">
                  <c:v>45412</c:v>
                </c:pt>
                <c:pt idx="832" c:formatCode="yyyy/m/d">
                  <c:v>45414</c:v>
                </c:pt>
                <c:pt idx="833" c:formatCode="yyyy/m/d">
                  <c:v>45415</c:v>
                </c:pt>
                <c:pt idx="834" c:formatCode="yyyy/m/d">
                  <c:v>45418</c:v>
                </c:pt>
                <c:pt idx="835" c:formatCode="yyyy/m/d">
                  <c:v>45419</c:v>
                </c:pt>
                <c:pt idx="836" c:formatCode="yyyy/m/d">
                  <c:v>45420</c:v>
                </c:pt>
                <c:pt idx="837" c:formatCode="yyyy/m/d">
                  <c:v>45421</c:v>
                </c:pt>
                <c:pt idx="838" c:formatCode="yyyy/m/d">
                  <c:v>45422</c:v>
                </c:pt>
                <c:pt idx="839" c:formatCode="yyyy/m/d">
                  <c:v>45425</c:v>
                </c:pt>
                <c:pt idx="840" c:formatCode="yyyy/m/d">
                  <c:v>45426</c:v>
                </c:pt>
                <c:pt idx="841" c:formatCode="yyyy/m/d">
                  <c:v>45427</c:v>
                </c:pt>
                <c:pt idx="842" c:formatCode="yyyy/m/d">
                  <c:v>45428</c:v>
                </c:pt>
                <c:pt idx="843" c:formatCode="yyyy/m/d">
                  <c:v>45429</c:v>
                </c:pt>
                <c:pt idx="844" c:formatCode="yyyy/m/d">
                  <c:v>45432</c:v>
                </c:pt>
                <c:pt idx="845" c:formatCode="yyyy/m/d">
                  <c:v>45433</c:v>
                </c:pt>
                <c:pt idx="846" c:formatCode="yyyy/m/d">
                  <c:v>45434</c:v>
                </c:pt>
                <c:pt idx="847" c:formatCode="yyyy/m/d">
                  <c:v>45435</c:v>
                </c:pt>
                <c:pt idx="848" c:formatCode="yyyy/m/d">
                  <c:v>45436</c:v>
                </c:pt>
                <c:pt idx="849" c:formatCode="yyyy/m/d">
                  <c:v>45439</c:v>
                </c:pt>
                <c:pt idx="850" c:formatCode="yyyy/m/d">
                  <c:v>45440</c:v>
                </c:pt>
                <c:pt idx="851" c:formatCode="yyyy/m/d">
                  <c:v>45441</c:v>
                </c:pt>
                <c:pt idx="852" c:formatCode="yyyy/m/d">
                  <c:v>45442</c:v>
                </c:pt>
                <c:pt idx="853" c:formatCode="yyyy/m/d">
                  <c:v>45443</c:v>
                </c:pt>
                <c:pt idx="854" c:formatCode="yyyy/m/d">
                  <c:v>45446</c:v>
                </c:pt>
                <c:pt idx="855" c:formatCode="yyyy/m/d">
                  <c:v>45447</c:v>
                </c:pt>
                <c:pt idx="856" c:formatCode="yyyy/m/d">
                  <c:v>45448</c:v>
                </c:pt>
                <c:pt idx="857" c:formatCode="yyyy/m/d">
                  <c:v>45449</c:v>
                </c:pt>
                <c:pt idx="858" c:formatCode="yyyy/m/d">
                  <c:v>45450</c:v>
                </c:pt>
                <c:pt idx="859" c:formatCode="yyyy/m/d">
                  <c:v>45454</c:v>
                </c:pt>
                <c:pt idx="860" c:formatCode="yyyy/m/d">
                  <c:v>45455</c:v>
                </c:pt>
                <c:pt idx="861" c:formatCode="yyyy/m/d">
                  <c:v>45456</c:v>
                </c:pt>
                <c:pt idx="862" c:formatCode="yyyy/m/d">
                  <c:v>45457</c:v>
                </c:pt>
                <c:pt idx="863" c:formatCode="yyyy/m/d">
                  <c:v>45460</c:v>
                </c:pt>
                <c:pt idx="864" c:formatCode="yyyy/m/d">
                  <c:v>45461</c:v>
                </c:pt>
                <c:pt idx="865" c:formatCode="yyyy/m/d">
                  <c:v>45462</c:v>
                </c:pt>
                <c:pt idx="866" c:formatCode="yyyy/m/d">
                  <c:v>45463</c:v>
                </c:pt>
                <c:pt idx="867" c:formatCode="yyyy/m/d">
                  <c:v>45464</c:v>
                </c:pt>
                <c:pt idx="868" c:formatCode="yyyy/m/d">
                  <c:v>45467</c:v>
                </c:pt>
                <c:pt idx="869" c:formatCode="yyyy/m/d">
                  <c:v>45468</c:v>
                </c:pt>
                <c:pt idx="870" c:formatCode="yyyy/m/d">
                  <c:v>45469</c:v>
                </c:pt>
                <c:pt idx="871" c:formatCode="yyyy/m/d">
                  <c:v>45470</c:v>
                </c:pt>
                <c:pt idx="872" c:formatCode="yyyy/m/d">
                  <c:v>45471</c:v>
                </c:pt>
                <c:pt idx="873" c:formatCode="yyyy/m/d">
                  <c:v>45474</c:v>
                </c:pt>
                <c:pt idx="874" c:formatCode="yyyy/m/d">
                  <c:v>45475</c:v>
                </c:pt>
                <c:pt idx="875" c:formatCode="yyyy/m/d">
                  <c:v>45476</c:v>
                </c:pt>
                <c:pt idx="876" c:formatCode="yyyy/m/d">
                  <c:v>45477</c:v>
                </c:pt>
                <c:pt idx="877" c:formatCode="yyyy/m/d">
                  <c:v>45478</c:v>
                </c:pt>
                <c:pt idx="878" c:formatCode="yyyy/m/d">
                  <c:v>45481</c:v>
                </c:pt>
                <c:pt idx="879" c:formatCode="yyyy/m/d">
                  <c:v>45482</c:v>
                </c:pt>
                <c:pt idx="880" c:formatCode="yyyy/m/d">
                  <c:v>45483</c:v>
                </c:pt>
                <c:pt idx="881" c:formatCode="yyyy/m/d">
                  <c:v>45484</c:v>
                </c:pt>
                <c:pt idx="882" c:formatCode="yyyy/m/d">
                  <c:v>45485</c:v>
                </c:pt>
                <c:pt idx="883" c:formatCode="yyyy/m/d">
                  <c:v>45488</c:v>
                </c:pt>
                <c:pt idx="884" c:formatCode="yyyy/m/d">
                  <c:v>45489</c:v>
                </c:pt>
                <c:pt idx="885" c:formatCode="yyyy/m/d">
                  <c:v>45490</c:v>
                </c:pt>
                <c:pt idx="886" c:formatCode="yyyy/m/d">
                  <c:v>45491</c:v>
                </c:pt>
                <c:pt idx="887" c:formatCode="yyyy/m/d">
                  <c:v>45492</c:v>
                </c:pt>
                <c:pt idx="888" c:formatCode="yyyy/m/d">
                  <c:v>45495</c:v>
                </c:pt>
                <c:pt idx="889" c:formatCode="yyyy/m/d">
                  <c:v>45496</c:v>
                </c:pt>
                <c:pt idx="890" c:formatCode="yyyy/m/d">
                  <c:v>45497</c:v>
                </c:pt>
                <c:pt idx="891" c:formatCode="yyyy/m/d">
                  <c:v>45498</c:v>
                </c:pt>
                <c:pt idx="892" c:formatCode="yyyy/m/d">
                  <c:v>45499</c:v>
                </c:pt>
                <c:pt idx="893" c:formatCode="yyyy/m/d">
                  <c:v>45502</c:v>
                </c:pt>
                <c:pt idx="894" c:formatCode="yyyy/m/d">
                  <c:v>45503</c:v>
                </c:pt>
                <c:pt idx="895" c:formatCode="yyyy/m/d">
                  <c:v>45504</c:v>
                </c:pt>
                <c:pt idx="896" c:formatCode="yyyy/m/d">
                  <c:v>45505</c:v>
                </c:pt>
                <c:pt idx="897" c:formatCode="yyyy/m/d">
                  <c:v>45506</c:v>
                </c:pt>
                <c:pt idx="898" c:formatCode="yyyy/m/d">
                  <c:v>45509</c:v>
                </c:pt>
                <c:pt idx="899" c:formatCode="yyyy/m/d">
                  <c:v>45510</c:v>
                </c:pt>
                <c:pt idx="900" c:formatCode="yyyy/m/d">
                  <c:v>45511</c:v>
                </c:pt>
                <c:pt idx="901" c:formatCode="yyyy/m/d">
                  <c:v>45512</c:v>
                </c:pt>
                <c:pt idx="902" c:formatCode="yyyy/m/d">
                  <c:v>45513</c:v>
                </c:pt>
                <c:pt idx="903" c:formatCode="yyyy/m/d">
                  <c:v>45516</c:v>
                </c:pt>
                <c:pt idx="904" c:formatCode="yyyy/m/d">
                  <c:v>45517</c:v>
                </c:pt>
                <c:pt idx="905" c:formatCode="yyyy/m/d">
                  <c:v>45518</c:v>
                </c:pt>
                <c:pt idx="906" c:formatCode="yyyy/m/d">
                  <c:v>45519</c:v>
                </c:pt>
                <c:pt idx="907" c:formatCode="yyyy/m/d">
                  <c:v>45520</c:v>
                </c:pt>
                <c:pt idx="908" c:formatCode="yyyy/m/d">
                  <c:v>45523</c:v>
                </c:pt>
                <c:pt idx="909" c:formatCode="yyyy/m/d">
                  <c:v>45524</c:v>
                </c:pt>
                <c:pt idx="910" c:formatCode="yyyy/m/d">
                  <c:v>45525</c:v>
                </c:pt>
                <c:pt idx="911" c:formatCode="yyyy/m/d">
                  <c:v>45526</c:v>
                </c:pt>
                <c:pt idx="912" c:formatCode="yyyy/m/d">
                  <c:v>45527</c:v>
                </c:pt>
                <c:pt idx="913" c:formatCode="yyyy/m/d">
                  <c:v>45530</c:v>
                </c:pt>
                <c:pt idx="914" c:formatCode="yyyy/m/d">
                  <c:v>45531</c:v>
                </c:pt>
                <c:pt idx="915" c:formatCode="yyyy/m/d">
                  <c:v>45532</c:v>
                </c:pt>
                <c:pt idx="916" c:formatCode="yyyy/m/d">
                  <c:v>45533</c:v>
                </c:pt>
                <c:pt idx="917" c:formatCode="yyyy/m/d">
                  <c:v>45534</c:v>
                </c:pt>
                <c:pt idx="918" c:formatCode="yyyy/m/d">
                  <c:v>45537</c:v>
                </c:pt>
                <c:pt idx="919" c:formatCode="yyyy/m/d">
                  <c:v>45538</c:v>
                </c:pt>
                <c:pt idx="920" c:formatCode="yyyy/m/d">
                  <c:v>45539</c:v>
                </c:pt>
                <c:pt idx="921" c:formatCode="yyyy/m/d">
                  <c:v>45540</c:v>
                </c:pt>
                <c:pt idx="922" c:formatCode="yyyy/m/d">
                  <c:v>45541</c:v>
                </c:pt>
                <c:pt idx="923" c:formatCode="yyyy/m/d">
                  <c:v>45544</c:v>
                </c:pt>
                <c:pt idx="924" c:formatCode="yyyy/m/d">
                  <c:v>45545</c:v>
                </c:pt>
                <c:pt idx="925" c:formatCode="yyyy/m/d">
                  <c:v>45546</c:v>
                </c:pt>
                <c:pt idx="926" c:formatCode="yyyy/m/d">
                  <c:v>45547</c:v>
                </c:pt>
                <c:pt idx="927" c:formatCode="yyyy/m/d">
                  <c:v>45548</c:v>
                </c:pt>
                <c:pt idx="928" c:formatCode="yyyy/m/d">
                  <c:v>45551</c:v>
                </c:pt>
                <c:pt idx="929" c:formatCode="yyyy/m/d">
                  <c:v>45553</c:v>
                </c:pt>
                <c:pt idx="930" c:formatCode="yyyy/m/d">
                  <c:v>45554</c:v>
                </c:pt>
                <c:pt idx="931" c:formatCode="yyyy/m/d">
                  <c:v>45555</c:v>
                </c:pt>
                <c:pt idx="932" c:formatCode="yyyy/m/d">
                  <c:v>45558</c:v>
                </c:pt>
                <c:pt idx="933" c:formatCode="yyyy/m/d">
                  <c:v>45559</c:v>
                </c:pt>
                <c:pt idx="934" c:formatCode="yyyy/m/d">
                  <c:v>45560</c:v>
                </c:pt>
                <c:pt idx="935" c:formatCode="yyyy/m/d">
                  <c:v>45561</c:v>
                </c:pt>
                <c:pt idx="936" c:formatCode="yyyy/m/d">
                  <c:v>45562</c:v>
                </c:pt>
                <c:pt idx="937" c:formatCode="yyyy/m/d">
                  <c:v>45565</c:v>
                </c:pt>
                <c:pt idx="938" c:formatCode="yyyy/m/d">
                  <c:v>45566</c:v>
                </c:pt>
                <c:pt idx="939" c:formatCode="yyyy/m/d">
                  <c:v>45567</c:v>
                </c:pt>
                <c:pt idx="940" c:formatCode="yyyy/m/d">
                  <c:v>45568</c:v>
                </c:pt>
                <c:pt idx="941" c:formatCode="yyyy/m/d">
                  <c:v>45569</c:v>
                </c:pt>
                <c:pt idx="942" c:formatCode="yyyy/m/d">
                  <c:v>45572</c:v>
                </c:pt>
                <c:pt idx="943" c:formatCode="yyyy/m/d">
                  <c:v>45573</c:v>
                </c:pt>
                <c:pt idx="944" c:formatCode="yyyy/m/d">
                  <c:v>45574</c:v>
                </c:pt>
                <c:pt idx="945" c:formatCode="yyyy/m/d">
                  <c:v>45575</c:v>
                </c:pt>
                <c:pt idx="946" c:formatCode="yyyy/m/d">
                  <c:v>45576</c:v>
                </c:pt>
                <c:pt idx="947" c:formatCode="yyyy/m/d">
                  <c:v>45579</c:v>
                </c:pt>
                <c:pt idx="948" c:formatCode="yyyy/m/d">
                  <c:v>45580</c:v>
                </c:pt>
                <c:pt idx="949" c:formatCode="yyyy/m/d">
                  <c:v>45581</c:v>
                </c:pt>
                <c:pt idx="950" c:formatCode="yyyy/m/d">
                  <c:v>45582</c:v>
                </c:pt>
                <c:pt idx="951" c:formatCode="yyyy/m/d">
                  <c:v>45583</c:v>
                </c:pt>
                <c:pt idx="952" c:formatCode="yyyy/m/d">
                  <c:v>45586</c:v>
                </c:pt>
                <c:pt idx="953" c:formatCode="yyyy/m/d">
                  <c:v>45587</c:v>
                </c:pt>
                <c:pt idx="954" c:formatCode="yyyy/m/d">
                  <c:v>45588</c:v>
                </c:pt>
                <c:pt idx="955" c:formatCode="yyyy/m/d">
                  <c:v>45589</c:v>
                </c:pt>
                <c:pt idx="956" c:formatCode="yyyy/m/d">
                  <c:v>45590</c:v>
                </c:pt>
                <c:pt idx="957" c:formatCode="yyyy/m/d">
                  <c:v>45593</c:v>
                </c:pt>
                <c:pt idx="958" c:formatCode="yyyy/m/d">
                  <c:v>45594</c:v>
                </c:pt>
                <c:pt idx="959" c:formatCode="yyyy/m/d">
                  <c:v>45595</c:v>
                </c:pt>
                <c:pt idx="960" c:formatCode="yyyy/m/d">
                  <c:v>45596</c:v>
                </c:pt>
                <c:pt idx="961" c:formatCode="yyyy/m/d">
                  <c:v>45597</c:v>
                </c:pt>
                <c:pt idx="962" c:formatCode="yyyy/m/d">
                  <c:v>45600</c:v>
                </c:pt>
                <c:pt idx="963" c:formatCode="yyyy/m/d">
                  <c:v>45601</c:v>
                </c:pt>
                <c:pt idx="964" c:formatCode="yyyy/m/d">
                  <c:v>45602</c:v>
                </c:pt>
                <c:pt idx="965" c:formatCode="yyyy/m/d">
                  <c:v>45603</c:v>
                </c:pt>
                <c:pt idx="966" c:formatCode="yyyy/m/d">
                  <c:v>45604</c:v>
                </c:pt>
                <c:pt idx="967" c:formatCode="yyyy/m/d">
                  <c:v>45607</c:v>
                </c:pt>
                <c:pt idx="968" c:formatCode="yyyy/m/d">
                  <c:v>45608</c:v>
                </c:pt>
                <c:pt idx="969" c:formatCode="yyyy/m/d">
                  <c:v>45609</c:v>
                </c:pt>
                <c:pt idx="970" c:formatCode="yyyy/m/d">
                  <c:v>45610</c:v>
                </c:pt>
                <c:pt idx="971" c:formatCode="yyyy/m/d">
                  <c:v>45611</c:v>
                </c:pt>
                <c:pt idx="972" c:formatCode="yyyy/m/d">
                  <c:v>45614</c:v>
                </c:pt>
                <c:pt idx="973" c:formatCode="yyyy/m/d">
                  <c:v>45615</c:v>
                </c:pt>
                <c:pt idx="974" c:formatCode="yyyy/m/d">
                  <c:v>45616</c:v>
                </c:pt>
                <c:pt idx="975" c:formatCode="yyyy/m/d">
                  <c:v>45617</c:v>
                </c:pt>
                <c:pt idx="976" c:formatCode="yyyy/m/d">
                  <c:v>45618</c:v>
                </c:pt>
                <c:pt idx="977" c:formatCode="yyyy/m/d">
                  <c:v>45621</c:v>
                </c:pt>
                <c:pt idx="978" c:formatCode="yyyy/m/d">
                  <c:v>45622</c:v>
                </c:pt>
                <c:pt idx="979" c:formatCode="yyyy/m/d">
                  <c:v>45623</c:v>
                </c:pt>
                <c:pt idx="980" c:formatCode="yyyy/m/d">
                  <c:v>45624</c:v>
                </c:pt>
                <c:pt idx="981" c:formatCode="yyyy/m/d">
                  <c:v>45625</c:v>
                </c:pt>
                <c:pt idx="982" c:formatCode="yyyy/m/d">
                  <c:v>45628</c:v>
                </c:pt>
                <c:pt idx="983" c:formatCode="yyyy/m/d">
                  <c:v>45629</c:v>
                </c:pt>
                <c:pt idx="984" c:formatCode="yyyy/m/d">
                  <c:v>45630</c:v>
                </c:pt>
                <c:pt idx="985" c:formatCode="yyyy/m/d">
                  <c:v>45631</c:v>
                </c:pt>
                <c:pt idx="986" c:formatCode="yyyy/m/d">
                  <c:v>45632</c:v>
                </c:pt>
                <c:pt idx="987" c:formatCode="yyyy/m/d">
                  <c:v>45635</c:v>
                </c:pt>
                <c:pt idx="988" c:formatCode="yyyy/m/d">
                  <c:v>45636</c:v>
                </c:pt>
                <c:pt idx="989" c:formatCode="yyyy/m/d">
                  <c:v>45637</c:v>
                </c:pt>
                <c:pt idx="990" c:formatCode="yyyy/m/d">
                  <c:v>45638</c:v>
                </c:pt>
                <c:pt idx="991" c:formatCode="yyyy/m/d">
                  <c:v>45639</c:v>
                </c:pt>
                <c:pt idx="992" c:formatCode="yyyy/m/d">
                  <c:v>45642</c:v>
                </c:pt>
                <c:pt idx="993" c:formatCode="yyyy/m/d">
                  <c:v>45643</c:v>
                </c:pt>
                <c:pt idx="994" c:formatCode="yyyy/m/d">
                  <c:v>45644</c:v>
                </c:pt>
                <c:pt idx="995" c:formatCode="yyyy/m/d">
                  <c:v>45645</c:v>
                </c:pt>
                <c:pt idx="996" c:formatCode="yyyy/m/d">
                  <c:v>45646</c:v>
                </c:pt>
                <c:pt idx="997" c:formatCode="yyyy/m/d">
                  <c:v>45649</c:v>
                </c:pt>
                <c:pt idx="998" c:formatCode="yyyy/m/d">
                  <c:v>45650</c:v>
                </c:pt>
                <c:pt idx="999" c:formatCode="yyyy/m/d">
                  <c:v>45651</c:v>
                </c:pt>
                <c:pt idx="1000" c:formatCode="yyyy/m/d">
                  <c:v>45652</c:v>
                </c:pt>
                <c:pt idx="1001" c:formatCode="yyyy/m/d">
                  <c:v>45653</c:v>
                </c:pt>
                <c:pt idx="1002" c:formatCode="yyyy/m/d">
                  <c:v>45656</c:v>
                </c:pt>
                <c:pt idx="1003" c:formatCode="yyyy/m/d">
                  <c:v>45657</c:v>
                </c:pt>
                <c:pt idx="1004" c:formatCode="yyyy/m/d">
                  <c:v>45659</c:v>
                </c:pt>
                <c:pt idx="1005" c:formatCode="yyyy/m/d">
                  <c:v>45660</c:v>
                </c:pt>
                <c:pt idx="1006" c:formatCode="yyyy/m/d">
                  <c:v>45663</c:v>
                </c:pt>
                <c:pt idx="1007" c:formatCode="yyyy/m/d">
                  <c:v>45664</c:v>
                </c:pt>
                <c:pt idx="1008" c:formatCode="yyyy/m/d">
                  <c:v>45665</c:v>
                </c:pt>
                <c:pt idx="1009" c:formatCode="yyyy/m/d">
                  <c:v>45666</c:v>
                </c:pt>
                <c:pt idx="1010" c:formatCode="yyyy/m/d">
                  <c:v>45667</c:v>
                </c:pt>
                <c:pt idx="1011" c:formatCode="yyyy/m/d">
                  <c:v>45670</c:v>
                </c:pt>
                <c:pt idx="1012" c:formatCode="yyyy/m/d">
                  <c:v>45671</c:v>
                </c:pt>
                <c:pt idx="1013" c:formatCode="yyyy/m/d">
                  <c:v>45672</c:v>
                </c:pt>
                <c:pt idx="1014" c:formatCode="yyyy/m/d">
                  <c:v>45673</c:v>
                </c:pt>
                <c:pt idx="1015" c:formatCode="yyyy/m/d">
                  <c:v>45674</c:v>
                </c:pt>
                <c:pt idx="1016" c:formatCode="yyyy/m/d">
                  <c:v>45677</c:v>
                </c:pt>
                <c:pt idx="1017" c:formatCode="yyyy/m/d">
                  <c:v>45678</c:v>
                </c:pt>
                <c:pt idx="1018" c:formatCode="yyyy/m/d">
                  <c:v>45679</c:v>
                </c:pt>
                <c:pt idx="1019" c:formatCode="yyyy/m/d">
                  <c:v>45680</c:v>
                </c:pt>
                <c:pt idx="1020" c:formatCode="yyyy/m/d">
                  <c:v>45681</c:v>
                </c:pt>
                <c:pt idx="1021" c:formatCode="yyyy/m/d">
                  <c:v>45684</c:v>
                </c:pt>
                <c:pt idx="1022" c:formatCode="yyyy/m/d">
                  <c:v>45691</c:v>
                </c:pt>
                <c:pt idx="1023" c:formatCode="yyyy/m/d">
                  <c:v>45692</c:v>
                </c:pt>
                <c:pt idx="1024" c:formatCode="yyyy/m/d">
                  <c:v>45693</c:v>
                </c:pt>
                <c:pt idx="1025" c:formatCode="yyyy/m/d">
                  <c:v>45694</c:v>
                </c:pt>
                <c:pt idx="1026" c:formatCode="yyyy/m/d">
                  <c:v>45695</c:v>
                </c:pt>
                <c:pt idx="1027" c:formatCode="yyyy/m/d">
                  <c:v>45698</c:v>
                </c:pt>
                <c:pt idx="1028" c:formatCode="yyyy/m/d">
                  <c:v>45699</c:v>
                </c:pt>
                <c:pt idx="1029" c:formatCode="yyyy/m/d">
                  <c:v>45700</c:v>
                </c:pt>
                <c:pt idx="1030" c:formatCode="yyyy/m/d">
                  <c:v>45701</c:v>
                </c:pt>
                <c:pt idx="1031" c:formatCode="yyyy/m/d">
                  <c:v>45702</c:v>
                </c:pt>
                <c:pt idx="1032" c:formatCode="yyyy/m/d">
                  <c:v>45705</c:v>
                </c:pt>
                <c:pt idx="1033" c:formatCode="yyyy/m/d">
                  <c:v>45706</c:v>
                </c:pt>
                <c:pt idx="1034" c:formatCode="yyyy/m/d">
                  <c:v>45707</c:v>
                </c:pt>
                <c:pt idx="1035" c:formatCode="yyyy/m/d">
                  <c:v>45708</c:v>
                </c:pt>
                <c:pt idx="1036" c:formatCode="yyyy/m/d">
                  <c:v>45709</c:v>
                </c:pt>
                <c:pt idx="1037" c:formatCode="yyyy/m/d">
                  <c:v>45712</c:v>
                </c:pt>
                <c:pt idx="1038" c:formatCode="yyyy/m/d">
                  <c:v>45713</c:v>
                </c:pt>
                <c:pt idx="1039" c:formatCode="yyyy/m/d">
                  <c:v>45714</c:v>
                </c:pt>
                <c:pt idx="1040" c:formatCode="yyyy/m/d">
                  <c:v>45715</c:v>
                </c:pt>
                <c:pt idx="1041" c:formatCode="yyyy/m/d">
                  <c:v>45716</c:v>
                </c:pt>
                <c:pt idx="1042" c:formatCode="yyyy/m/d">
                  <c:v>45719</c:v>
                </c:pt>
                <c:pt idx="1043" c:formatCode="yyyy/m/d">
                  <c:v>45720</c:v>
                </c:pt>
                <c:pt idx="1044" c:formatCode="yyyy/m/d">
                  <c:v>45721</c:v>
                </c:pt>
                <c:pt idx="1045" c:formatCode="yyyy/m/d">
                  <c:v>45722</c:v>
                </c:pt>
                <c:pt idx="1046" c:formatCode="yyyy/m/d">
                  <c:v>45723</c:v>
                </c:pt>
                <c:pt idx="1047" c:formatCode="yyyy/m/d">
                  <c:v>45726</c:v>
                </c:pt>
                <c:pt idx="1048" c:formatCode="yyyy/m/d">
                  <c:v>45727</c:v>
                </c:pt>
                <c:pt idx="1049" c:formatCode="yyyy/m/d">
                  <c:v>45728</c:v>
                </c:pt>
                <c:pt idx="1050" c:formatCode="yyyy/m/d">
                  <c:v>45729</c:v>
                </c:pt>
                <c:pt idx="1051" c:formatCode="yyyy/m/d">
                  <c:v>45730</c:v>
                </c:pt>
                <c:pt idx="1052" c:formatCode="yyyy/m/d">
                  <c:v>45733</c:v>
                </c:pt>
                <c:pt idx="1053" c:formatCode="yyyy/m/d">
                  <c:v>45734</c:v>
                </c:pt>
                <c:pt idx="1054" c:formatCode="yyyy/m/d">
                  <c:v>45735</c:v>
                </c:pt>
                <c:pt idx="1055" c:formatCode="yyyy/m/d">
                  <c:v>45736</c:v>
                </c:pt>
                <c:pt idx="1056" c:formatCode="yyyy/m/d">
                  <c:v>45737</c:v>
                </c:pt>
                <c:pt idx="1057" c:formatCode="yyyy/m/d">
                  <c:v>45740</c:v>
                </c:pt>
                <c:pt idx="1058" c:formatCode="yyyy/m/d">
                  <c:v>45741</c:v>
                </c:pt>
                <c:pt idx="1059" c:formatCode="yyyy/m/d">
                  <c:v>45742</c:v>
                </c:pt>
                <c:pt idx="1060" c:formatCode="yyyy/m/d">
                  <c:v>45743</c:v>
                </c:pt>
                <c:pt idx="1061" c:formatCode="yyyy/m/d">
                  <c:v>45744</c:v>
                </c:pt>
                <c:pt idx="1062" c:formatCode="yyyy/m/d">
                  <c:v>45747</c:v>
                </c:pt>
                <c:pt idx="1063" c:formatCode="yyyy/m/d">
                  <c:v>45748</c:v>
                </c:pt>
                <c:pt idx="1064" c:formatCode="yyyy/m/d">
                  <c:v>45749</c:v>
                </c:pt>
                <c:pt idx="1065" c:formatCode="yyyy/m/d">
                  <c:v>45750</c:v>
                </c:pt>
                <c:pt idx="1066" c:formatCode="yyyy/m/d">
                  <c:v>45754</c:v>
                </c:pt>
                <c:pt idx="1067" c:formatCode="yyyy/m/d">
                  <c:v>45755</c:v>
                </c:pt>
                <c:pt idx="1068" c:formatCode="yyyy/m/d">
                  <c:v>45756</c:v>
                </c:pt>
                <c:pt idx="1069" c:formatCode="yyyy/m/d">
                  <c:v>45757</c:v>
                </c:pt>
                <c:pt idx="1070" c:formatCode="yyyy/m/d">
                  <c:v>45758</c:v>
                </c:pt>
                <c:pt idx="1071" c:formatCode="yyyy/m/d">
                  <c:v>45761</c:v>
                </c:pt>
                <c:pt idx="1072" c:formatCode="yyyy/m/d">
                  <c:v>45762</c:v>
                </c:pt>
                <c:pt idx="1073" c:formatCode="yyyy/m/d">
                  <c:v>45763</c:v>
                </c:pt>
                <c:pt idx="1074" c:formatCode="yyyy/m/d">
                  <c:v>45764</c:v>
                </c:pt>
                <c:pt idx="1075" c:formatCode="yyyy/m/d">
                  <c:v>45765</c:v>
                </c:pt>
                <c:pt idx="1076" c:formatCode="yyyy/m/d">
                  <c:v>45768</c:v>
                </c:pt>
                <c:pt idx="1077" c:formatCode="yyyy/m/d">
                  <c:v>45769</c:v>
                </c:pt>
                <c:pt idx="1078" c:formatCode="yyyy/m/d">
                  <c:v>45770</c:v>
                </c:pt>
                <c:pt idx="1079" c:formatCode="yyyy/m/d">
                  <c:v>45771</c:v>
                </c:pt>
                <c:pt idx="1080" c:formatCode="yyyy/m/d">
                  <c:v>45772</c:v>
                </c:pt>
                <c:pt idx="1081" c:formatCode="yyyy/m/d">
                  <c:v>45775</c:v>
                </c:pt>
                <c:pt idx="1082" c:formatCode="yyyy/m/d">
                  <c:v>45776</c:v>
                </c:pt>
                <c:pt idx="1083" c:formatCode="yyyy/m/d">
                  <c:v>45777</c:v>
                </c:pt>
                <c:pt idx="1084" c:formatCode="yyyy/m/d">
                  <c:v>45779</c:v>
                </c:pt>
                <c:pt idx="1085" c:formatCode="yyyy/m/d">
                  <c:v>45782</c:v>
                </c:pt>
                <c:pt idx="1086" c:formatCode="yyyy/m/d">
                  <c:v>45783</c:v>
                </c:pt>
                <c:pt idx="1087" c:formatCode="yyyy/m/d">
                  <c:v>45784</c:v>
                </c:pt>
                <c:pt idx="1088" c:formatCode="yyyy/m/d">
                  <c:v>45785</c:v>
                </c:pt>
                <c:pt idx="1089" c:formatCode="yyyy/m/d">
                  <c:v>45786</c:v>
                </c:pt>
                <c:pt idx="1090" c:formatCode="yyyy/m/d">
                  <c:v>45789</c:v>
                </c:pt>
                <c:pt idx="1091" c:formatCode="yyyy/m/d">
                  <c:v>45790</c:v>
                </c:pt>
                <c:pt idx="1092" c:formatCode="yyyy/m/d">
                  <c:v>45791</c:v>
                </c:pt>
                <c:pt idx="1093" c:formatCode="yyyy/m/d">
                  <c:v>45792</c:v>
                </c:pt>
                <c:pt idx="1094" c:formatCode="yyyy/m/d">
                  <c:v>45793</c:v>
                </c:pt>
                <c:pt idx="1095" c:formatCode="yyyy/m/d">
                  <c:v>45796</c:v>
                </c:pt>
                <c:pt idx="1096" c:formatCode="yyyy/m/d">
                  <c:v>45797</c:v>
                </c:pt>
                <c:pt idx="1097" c:formatCode="yyyy/m/d">
                  <c:v>45798</c:v>
                </c:pt>
                <c:pt idx="1098" c:formatCode="yyyy/m/d">
                  <c:v>45799</c:v>
                </c:pt>
                <c:pt idx="1099" c:formatCode="yyyy/m/d">
                  <c:v>45800</c:v>
                </c:pt>
                <c:pt idx="1100" c:formatCode="yyyy/m/d">
                  <c:v>45803</c:v>
                </c:pt>
                <c:pt idx="1101" c:formatCode="yyyy/m/d">
                  <c:v>45804</c:v>
                </c:pt>
                <c:pt idx="1102" c:formatCode="yyyy/m/d">
                  <c:v>45805</c:v>
                </c:pt>
                <c:pt idx="1103" c:formatCode="yyyy/m/d">
                  <c:v>45806</c:v>
                </c:pt>
                <c:pt idx="1104" c:formatCode="yyyy/m/d">
                  <c:v>45807</c:v>
                </c:pt>
                <c:pt idx="1105" c:formatCode="yyyy/m/d">
                  <c:v>45810</c:v>
                </c:pt>
                <c:pt idx="1106" c:formatCode="yyyy/m/d">
                  <c:v>45811</c:v>
                </c:pt>
                <c:pt idx="1107" c:formatCode="yyyy/m/d">
                  <c:v>45812</c:v>
                </c:pt>
                <c:pt idx="1108" c:formatCode="yyyy/m/d">
                  <c:v>45813</c:v>
                </c:pt>
                <c:pt idx="1109" c:formatCode="yyyy/m/d">
                  <c:v>45814</c:v>
                </c:pt>
                <c:pt idx="1110" c:formatCode="yyyy/m/d">
                  <c:v>45817</c:v>
                </c:pt>
                <c:pt idx="1111" c:formatCode="yyyy/m/d">
                  <c:v>45818</c:v>
                </c:pt>
                <c:pt idx="1112" c:formatCode="yyyy/m/d">
                  <c:v>45819</c:v>
                </c:pt>
                <c:pt idx="1113" c:formatCode="yyyy/m/d">
                  <c:v>45820</c:v>
                </c:pt>
                <c:pt idx="1114" c:formatCode="yyyy/m/d">
                  <c:v>45821</c:v>
                </c:pt>
                <c:pt idx="1115" c:formatCode="yyyy/m/d">
                  <c:v>45824</c:v>
                </c:pt>
                <c:pt idx="1116" c:formatCode="yyyy/m/d">
                  <c:v>45825</c:v>
                </c:pt>
                <c:pt idx="1117" c:formatCode="yyyy/m/d">
                  <c:v>45826</c:v>
                </c:pt>
                <c:pt idx="1118" c:formatCode="yyyy/m/d">
                  <c:v>45827</c:v>
                </c:pt>
                <c:pt idx="1119" c:formatCode="yyyy/m/d">
                  <c:v>45828</c:v>
                </c:pt>
                <c:pt idx="1120" c:formatCode="yyyy/m/d">
                  <c:v>45831</c:v>
                </c:pt>
                <c:pt idx="1121" c:formatCode="yyyy/m/d">
                  <c:v>45832</c:v>
                </c:pt>
                <c:pt idx="1122" c:formatCode="yyyy/m/d">
                  <c:v>45833</c:v>
                </c:pt>
                <c:pt idx="1123" c:formatCode="yyyy/m/d">
                  <c:v>45834</c:v>
                </c:pt>
                <c:pt idx="1124" c:formatCode="yyyy/m/d">
                  <c:v>45835</c:v>
                </c:pt>
                <c:pt idx="1125" c:formatCode="yyyy/m/d">
                  <c:v>45838</c:v>
                </c:pt>
                <c:pt idx="1126" c:formatCode="yyyy/m/d">
                  <c:v>45839</c:v>
                </c:pt>
                <c:pt idx="1127" c:formatCode="yyyy/m/d">
                  <c:v>45840</c:v>
                </c:pt>
                <c:pt idx="1128" c:formatCode="yyyy/m/d">
                  <c:v>45841</c:v>
                </c:pt>
                <c:pt idx="1129" c:formatCode="yyyy/m/d">
                  <c:v>45842</c:v>
                </c:pt>
                <c:pt idx="1130" c:formatCode="yyyy/m/d">
                  <c:v>45845</c:v>
                </c:pt>
                <c:pt idx="1131" c:formatCode="yyyy/m/d">
                  <c:v>45846</c:v>
                </c:pt>
                <c:pt idx="1132" c:formatCode="yyyy/m/d">
                  <c:v>45847</c:v>
                </c:pt>
                <c:pt idx="1133" c:formatCode="yyyy/m/d">
                  <c:v>45848</c:v>
                </c:pt>
                <c:pt idx="1134" c:formatCode="yyyy/m/d">
                  <c:v>45849</c:v>
                </c:pt>
                <c:pt idx="1135" c:formatCode="yyyy/m/d">
                  <c:v>45852</c:v>
                </c:pt>
                <c:pt idx="1136" c:formatCode="yyyy/m/d">
                  <c:v>45853</c:v>
                </c:pt>
                <c:pt idx="1137" c:formatCode="yyyy/m/d">
                  <c:v>45854</c:v>
                </c:pt>
                <c:pt idx="1138" c:formatCode="yyyy/m/d">
                  <c:v>45855</c:v>
                </c:pt>
                <c:pt idx="1139" c:formatCode="yyyy/m/d">
                  <c:v>45856</c:v>
                </c:pt>
                <c:pt idx="1140" c:formatCode="yyyy/m/d">
                  <c:v>45859</c:v>
                </c:pt>
                <c:pt idx="1141" c:formatCode="yyyy/m/d">
                  <c:v>45860</c:v>
                </c:pt>
                <c:pt idx="1142" c:formatCode="yyyy/m/d">
                  <c:v>45861</c:v>
                </c:pt>
                <c:pt idx="1143" c:formatCode="yyyy/m/d">
                  <c:v>45862</c:v>
                </c:pt>
                <c:pt idx="1144" c:formatCode="yyyy/m/d">
                  <c:v>45863</c:v>
                </c:pt>
                <c:pt idx="1145" c:formatCode="yyyy/m/d">
                  <c:v>45866</c:v>
                </c:pt>
                <c:pt idx="1146" c:formatCode="yyyy/m/d">
                  <c:v>45867</c:v>
                </c:pt>
                <c:pt idx="1147" c:formatCode="yyyy/m/d">
                  <c:v>45868</c:v>
                </c:pt>
                <c:pt idx="1148" c:formatCode="yyyy/m/d">
                  <c:v>45869</c:v>
                </c:pt>
                <c:pt idx="1149" c:formatCode="yyyy/m/d">
                  <c:v>45870</c:v>
                </c:pt>
                <c:pt idx="1150" c:formatCode="yyyy/m/d">
                  <c:v>45873</c:v>
                </c:pt>
                <c:pt idx="1151" c:formatCode="yyyy/m/d">
                  <c:v>45874</c:v>
                </c:pt>
                <c:pt idx="1152" c:formatCode="yyyy/m/d">
                  <c:v>45875</c:v>
                </c:pt>
                <c:pt idx="1153" c:formatCode="yyyy/m/d">
                  <c:v>45876</c:v>
                </c:pt>
                <c:pt idx="1154" c:formatCode="yyyy/m/d">
                  <c:v>45877</c:v>
                </c:pt>
                <c:pt idx="1155" c:formatCode="yyyy/m/d">
                  <c:v>45880</c:v>
                </c:pt>
                <c:pt idx="1156" c:formatCode="yyyy/m/d">
                  <c:v>45881</c:v>
                </c:pt>
                <c:pt idx="1157" c:formatCode="yyyy/m/d">
                  <c:v>45882</c:v>
                </c:pt>
                <c:pt idx="1158" c:formatCode="yyyy/m/d">
                  <c:v>45883</c:v>
                </c:pt>
                <c:pt idx="1159" c:formatCode="yyyy/m/d">
                  <c:v>45884</c:v>
                </c:pt>
                <c:pt idx="1160" c:formatCode="yyyy/m/d">
                  <c:v>45887</c:v>
                </c:pt>
                <c:pt idx="1161" c:formatCode="yyyy/m/d">
                  <c:v>45888</c:v>
                </c:pt>
                <c:pt idx="1162" c:formatCode="yyyy/m/d">
                  <c:v>45889</c:v>
                </c:pt>
                <c:pt idx="1163" c:formatCode="yyyy/m/d">
                  <c:v>45890</c:v>
                </c:pt>
                <c:pt idx="1164" c:formatCode="yyyy/m/d">
                  <c:v>45891</c:v>
                </c:pt>
                <c:pt idx="1165" c:formatCode="yyyy/m/d">
                  <c:v>45894</c:v>
                </c:pt>
                <c:pt idx="1166" c:formatCode="yyyy/m/d">
                  <c:v>45895</c:v>
                </c:pt>
                <c:pt idx="1167" c:formatCode="yyyy/m/d">
                  <c:v>45896</c:v>
                </c:pt>
                <c:pt idx="1168" c:formatCode="yyyy/m/d">
                  <c:v>45897</c:v>
                </c:pt>
                <c:pt idx="1169" c:formatCode="yyyy/m/d">
                  <c:v>45898</c:v>
                </c:pt>
                <c:pt idx="1170" c:formatCode="yyyy/m/d">
                  <c:v>45901</c:v>
                </c:pt>
                <c:pt idx="1171" c:formatCode="yyyy/m/d">
                  <c:v>45902</c:v>
                </c:pt>
                <c:pt idx="1172" c:formatCode="yyyy/m/d">
                  <c:v>45903</c:v>
                </c:pt>
                <c:pt idx="1173" c:formatCode="yyyy/m/d">
                  <c:v>45904</c:v>
                </c:pt>
                <c:pt idx="1174" c:formatCode="yyyy/m/d">
                  <c:v>45905</c:v>
                </c:pt>
                <c:pt idx="1175" c:formatCode="yyyy/m/d">
                  <c:v>45908</c:v>
                </c:pt>
                <c:pt idx="1176" c:formatCode="yyyy/m/d">
                  <c:v>45909</c:v>
                </c:pt>
                <c:pt idx="1177" c:formatCode="yyyy/m/d">
                  <c:v>45910</c:v>
                </c:pt>
                <c:pt idx="1178" c:formatCode="yyyy/m/d">
                  <c:v>45911</c:v>
                </c:pt>
                <c:pt idx="1179" c:formatCode="yyyy/m/d">
                  <c:v>45912</c:v>
                </c:pt>
                <c:pt idx="1180" c:formatCode="yyyy/m/d">
                  <c:v>45915</c:v>
                </c:pt>
                <c:pt idx="1181" c:formatCode="yyyy/m/d">
                  <c:v>45916</c:v>
                </c:pt>
                <c:pt idx="1182" c:formatCode="yyyy/m/d">
                  <c:v>45917</c:v>
                </c:pt>
                <c:pt idx="1183" c:formatCode="yyyy/m/d">
                  <c:v>45918</c:v>
                </c:pt>
                <c:pt idx="1184" c:formatCode="yyyy/m/d">
                  <c:v>45919</c:v>
                </c:pt>
                <c:pt idx="1185" c:formatCode="yyyy/m/d">
                  <c:v>45922</c:v>
                </c:pt>
                <c:pt idx="1186" c:formatCode="yyyy/m/d">
                  <c:v>45923</c:v>
                </c:pt>
                <c:pt idx="1187" c:formatCode="yyyy/m/d">
                  <c:v>45924</c:v>
                </c:pt>
                <c:pt idx="1188" c:formatCode="yyyy/m/d">
                  <c:v>45925</c:v>
                </c:pt>
                <c:pt idx="1189" c:formatCode="yyyy/m/d">
                  <c:v>45926</c:v>
                </c:pt>
                <c:pt idx="1190" c:formatCode="yyyy/m/d">
                  <c:v>45929</c:v>
                </c:pt>
                <c:pt idx="1191" c:formatCode="yyyy/m/d">
                  <c:v>45930</c:v>
                </c:pt>
                <c:pt idx="1192" c:formatCode="yyyy/m/d">
                  <c:v>45931</c:v>
                </c:pt>
                <c:pt idx="1193" c:formatCode="yyyy/m/d">
                  <c:v>45932</c:v>
                </c:pt>
                <c:pt idx="1194" c:formatCode="yyyy/m/d">
                  <c:v>45933</c:v>
                </c:pt>
                <c:pt idx="1195" c:formatCode="yyyy/m/d">
                  <c:v>45936</c:v>
                </c:pt>
                <c:pt idx="1196" c:formatCode="yyyy/m/d">
                  <c:v>45937</c:v>
                </c:pt>
                <c:pt idx="1197" c:formatCode="yyyy/m/d">
                  <c:v>45938</c:v>
                </c:pt>
                <c:pt idx="1198" c:formatCode="yyyy/m/d">
                  <c:v>45939</c:v>
                </c:pt>
                <c:pt idx="1199" c:formatCode="yyyy/m/d">
                  <c:v>45940</c:v>
                </c:pt>
                <c:pt idx="1200" c:formatCode="yyyy/m/d">
                  <c:v>45943</c:v>
                </c:pt>
                <c:pt idx="1201" c:formatCode="yyyy/m/d">
                  <c:v>45944</c:v>
                </c:pt>
                <c:pt idx="1202" c:formatCode="yyyy/m/d">
                  <c:v>45945</c:v>
                </c:pt>
                <c:pt idx="1203" c:formatCode="yyyy/m/d">
                  <c:v>45946</c:v>
                </c:pt>
                <c:pt idx="1204" c:formatCode="yyyy/m/d">
                  <c:v>45947</c:v>
                </c:pt>
                <c:pt idx="1205" c:formatCode="yyyy/m/d">
                  <c:v>45950</c:v>
                </c:pt>
                <c:pt idx="1206" c:formatCode="yyyy/m/d">
                  <c:v>45951</c:v>
                </c:pt>
                <c:pt idx="1207" c:formatCode="yyyy/m/d">
                  <c:v>45952</c:v>
                </c:pt>
                <c:pt idx="1208" c:formatCode="yyyy/m/d">
                  <c:v>45953</c:v>
                </c:pt>
                <c:pt idx="1209" c:formatCode="yyyy/m/d">
                  <c:v>45954</c:v>
                </c:pt>
                <c:pt idx="1210" c:formatCode="yyyy/m/d">
                  <c:v>45957</c:v>
                </c:pt>
                <c:pt idx="1211" c:formatCode="yyyy/m/d">
                  <c:v>45958</c:v>
                </c:pt>
                <c:pt idx="1212" c:formatCode="yyyy/m/d">
                  <c:v>45959</c:v>
                </c:pt>
                <c:pt idx="1213" c:formatCode="yyyy/m/d">
                  <c:v>45960</c:v>
                </c:pt>
                <c:pt idx="1214" c:formatCode="yyyy/m/d">
                  <c:v>45961</c:v>
                </c:pt>
                <c:pt idx="1215" c:formatCode="yyyy/m/d">
                  <c:v>45964</c:v>
                </c:pt>
                <c:pt idx="1216" c:formatCode="yyyy/m/d">
                  <c:v>45965</c:v>
                </c:pt>
                <c:pt idx="1217" c:formatCode="yyyy/m/d">
                  <c:v>45966</c:v>
                </c:pt>
                <c:pt idx="1218" c:formatCode="yyyy/m/d">
                  <c:v>45967</c:v>
                </c:pt>
                <c:pt idx="1219" c:formatCode="yyyy/m/d">
                  <c:v>45968</c:v>
                </c:pt>
                <c:pt idx="1220" c:formatCode="yyyy/m/d">
                  <c:v>45971</c:v>
                </c:pt>
                <c:pt idx="1221" c:formatCode="yyyy/m/d">
                  <c:v>45972</c:v>
                </c:pt>
                <c:pt idx="1222" c:formatCode="yyyy/m/d">
                  <c:v>45973</c:v>
                </c:pt>
                <c:pt idx="1223" c:formatCode="yyyy/m/d">
                  <c:v>45974</c:v>
                </c:pt>
                <c:pt idx="1224" c:formatCode="yyyy/m/d">
                  <c:v>45975</c:v>
                </c:pt>
                <c:pt idx="1225" c:formatCode="yyyy/m/d">
                  <c:v>45978</c:v>
                </c:pt>
                <c:pt idx="1226" c:formatCode="yyyy/m/d">
                  <c:v>45979</c:v>
                </c:pt>
                <c:pt idx="1227" c:formatCode="yyyy/m/d">
                  <c:v>45980</c:v>
                </c:pt>
                <c:pt idx="1228" c:formatCode="yyyy/m/d">
                  <c:v>45981</c:v>
                </c:pt>
                <c:pt idx="1229" c:formatCode="yyyy/m/d">
                  <c:v>45982</c:v>
                </c:pt>
                <c:pt idx="1230" c:formatCode="yyyy/m/d">
                  <c:v>45985</c:v>
                </c:pt>
                <c:pt idx="1231" c:formatCode="yyyy/m/d">
                  <c:v>45986</c:v>
                </c:pt>
                <c:pt idx="1232" c:formatCode="yyyy/m/d">
                  <c:v>45987</c:v>
                </c:pt>
                <c:pt idx="1233" c:formatCode="yyyy/m/d">
                  <c:v>45988</c:v>
                </c:pt>
                <c:pt idx="1234" c:formatCode="yyyy/m/d">
                  <c:v>45989</c:v>
                </c:pt>
                <c:pt idx="1235" c:formatCode="yyyy/m/d">
                  <c:v>45992</c:v>
                </c:pt>
                <c:pt idx="1236" c:formatCode="yyyy/m/d">
                  <c:v>45993</c:v>
                </c:pt>
                <c:pt idx="1237" c:formatCode="yyyy/m/d">
                  <c:v>45994</c:v>
                </c:pt>
                <c:pt idx="1238" c:formatCode="yyyy/m/d">
                  <c:v>45995</c:v>
                </c:pt>
                <c:pt idx="1239" c:formatCode="yyyy/m/d">
                  <c:v>45996</c:v>
                </c:pt>
                <c:pt idx="1240" c:formatCode="yyyy/m/d">
                  <c:v>45999</c:v>
                </c:pt>
                <c:pt idx="1241" c:formatCode="yyyy/m/d">
                  <c:v>46000</c:v>
                </c:pt>
                <c:pt idx="1242" c:formatCode="yyyy/m/d">
                  <c:v>46001</c:v>
                </c:pt>
                <c:pt idx="1243" c:formatCode="yyyy/m/d">
                  <c:v>46002</c:v>
                </c:pt>
                <c:pt idx="1244" c:formatCode="yyyy/m/d">
                  <c:v>46003</c:v>
                </c:pt>
                <c:pt idx="1245" c:formatCode="yyyy/m/d">
                  <c:v>46006</c:v>
                </c:pt>
                <c:pt idx="1246" c:formatCode="yyyy/m/d">
                  <c:v>46007</c:v>
                </c:pt>
                <c:pt idx="1247" c:formatCode="yyyy/m/d">
                  <c:v>46008</c:v>
                </c:pt>
                <c:pt idx="1248" c:formatCode="yyyy/m/d">
                  <c:v>46009</c:v>
                </c:pt>
                <c:pt idx="1249" c:formatCode="yyyy/m/d">
                  <c:v>46010</c:v>
                </c:pt>
                <c:pt idx="1250" c:formatCode="yyyy/m/d">
                  <c:v>46013</c:v>
                </c:pt>
                <c:pt idx="1251" c:formatCode="yyyy/m/d">
                  <c:v>46014</c:v>
                </c:pt>
                <c:pt idx="1252" c:formatCode="yyyy/m/d">
                  <c:v>46015</c:v>
                </c:pt>
                <c:pt idx="1253" c:formatCode="yyyy/m/d">
                  <c:v>46016</c:v>
                </c:pt>
                <c:pt idx="1254" c:formatCode="yyyy/m/d">
                  <c:v>46017</c:v>
                </c:pt>
                <c:pt idx="1255" c:formatCode="yyyy/m/d">
                  <c:v>46020</c:v>
                </c:pt>
                <c:pt idx="1256" c:formatCode="yyyy/m/d">
                  <c:v>46021</c:v>
                </c:pt>
                <c:pt idx="1257" c:formatCode="yyyy/m/d">
                  <c:v>46022</c:v>
                </c:pt>
                <c:pt idx="1258" c:formatCode="yyyy/m/d">
                  <c:v>46024</c:v>
                </c:pt>
                <c:pt idx="1259" c:formatCode="yyyy/m/d">
                  <c:v>46027</c:v>
                </c:pt>
                <c:pt idx="1260" c:formatCode="yyyy/m/d">
                  <c:v>46028</c:v>
                </c:pt>
                <c:pt idx="1261" c:formatCode="yyyy/m/d">
                  <c:v>46029</c:v>
                </c:pt>
                <c:pt idx="1262" c:formatCode="yyyy/m/d">
                  <c:v>46030</c:v>
                </c:pt>
                <c:pt idx="1263" c:formatCode="yyyy/m/d">
                  <c:v>46031</c:v>
                </c:pt>
                <c:pt idx="1264" c:formatCode="yyyy/m/d">
                  <c:v>46034</c:v>
                </c:pt>
                <c:pt idx="1265" c:formatCode="yyyy/m/d">
                  <c:v>46035</c:v>
                </c:pt>
                <c:pt idx="1266" c:formatCode="yyyy/m/d">
                  <c:v>46036</c:v>
                </c:pt>
                <c:pt idx="1267" c:formatCode="yyyy/m/d">
                  <c:v>46037</c:v>
                </c:pt>
                <c:pt idx="1268" c:formatCode="yyyy/m/d">
                  <c:v>46038</c:v>
                </c:pt>
                <c:pt idx="1269" c:formatCode="yyyy/m/d">
                  <c:v>46041</c:v>
                </c:pt>
                <c:pt idx="1270" c:formatCode="yyyy/m/d">
                  <c:v>46042</c:v>
                </c:pt>
                <c:pt idx="1271" c:formatCode="yyyy/m/d">
                  <c:v>46043</c:v>
                </c:pt>
                <c:pt idx="1272" c:formatCode="yyyy/m/d">
                  <c:v>46044</c:v>
                </c:pt>
                <c:pt idx="1273" c:formatCode="yyyy/m/d">
                  <c:v>46045</c:v>
                </c:pt>
                <c:pt idx="1274" c:formatCode="yyyy/m/d">
                  <c:v>46048</c:v>
                </c:pt>
                <c:pt idx="1275" c:formatCode="yyyy/m/d">
                  <c:v>46049</c:v>
                </c:pt>
                <c:pt idx="1276" c:formatCode="yyyy/m/d">
                  <c:v>46050</c:v>
                </c:pt>
                <c:pt idx="1277" c:formatCode="yyyy/m/d">
                  <c:v>46051</c:v>
                </c:pt>
                <c:pt idx="1278" c:formatCode="yyyy/m/d">
                  <c:v>46052</c:v>
                </c:pt>
                <c:pt idx="1279" c:formatCode="yyyy/m/d">
                  <c:v>46055</c:v>
                </c:pt>
                <c:pt idx="1280" c:formatCode="yyyy/m/d">
                  <c:v>46056</c:v>
                </c:pt>
                <c:pt idx="1281" c:formatCode="yyyy/m/d">
                  <c:v>46057</c:v>
                </c:pt>
                <c:pt idx="1282" c:formatCode="yyyy/m/d">
                  <c:v>46058</c:v>
                </c:pt>
                <c:pt idx="1283" c:formatCode="yyyy/m/d">
                  <c:v>46059</c:v>
                </c:pt>
                <c:pt idx="1284" c:formatCode="yyyy/m/d">
                  <c:v>46062</c:v>
                </c:pt>
                <c:pt idx="1285" c:formatCode="yyyy/m/d">
                  <c:v>46063</c:v>
                </c:pt>
                <c:pt idx="1286" c:formatCode="yyyy/m/d">
                  <c:v>46064</c:v>
                </c:pt>
                <c:pt idx="1287" c:formatCode="yyyy/m/d">
                  <c:v>46065</c:v>
                </c:pt>
                <c:pt idx="1288" c:formatCode="yyyy/m/d">
                  <c:v>46066</c:v>
                </c:pt>
                <c:pt idx="1289" c:formatCode="yyyy/m/d">
                  <c:v>46076</c:v>
                </c:pt>
                <c:pt idx="1290" c:formatCode="yyyy/m/d">
                  <c:v>46077</c:v>
                </c:pt>
                <c:pt idx="1291" c:formatCode="yyyy/m/d">
                  <c:v>46078</c:v>
                </c:pt>
                <c:pt idx="1292" c:formatCode="yyyy/m/d">
                  <c:v>46079</c:v>
                </c:pt>
                <c:pt idx="1293" c:formatCode="yyyy/m/d">
                  <c:v>46080</c:v>
                </c:pt>
                <c:pt idx="1294" c:formatCode="yyyy/m/d">
                  <c:v>46083</c:v>
                </c:pt>
                <c:pt idx="1295" c:formatCode="yyyy/m/d">
                  <c:v>46084</c:v>
                </c:pt>
                <c:pt idx="1296" c:formatCode="yyyy/m/d">
                  <c:v>46085</c:v>
                </c:pt>
                <c:pt idx="1297" c:formatCode="yyyy/m/d">
                  <c:v>46086</c:v>
                </c:pt>
                <c:pt idx="1298" c:formatCode="yyyy/m/d">
                  <c:v>46087</c:v>
                </c:pt>
                <c:pt idx="1299" c:formatCode="yyyy/m/d">
                  <c:v>46090</c:v>
                </c:pt>
                <c:pt idx="1300" c:formatCode="yyyy/m/d">
                  <c:v>46091</c:v>
                </c:pt>
                <c:pt idx="1301" c:formatCode="yyyy/m/d">
                  <c:v>46092</c:v>
                </c:pt>
                <c:pt idx="1302" c:formatCode="yyyy/m/d">
                  <c:v>46093</c:v>
                </c:pt>
                <c:pt idx="1303" c:formatCode="yyyy/m/d">
                  <c:v>46094</c:v>
                </c:pt>
                <c:pt idx="1304" c:formatCode="yyyy/m/d">
                  <c:v>46097</c:v>
                </c:pt>
                <c:pt idx="1305" c:formatCode="yyyy/m/d">
                  <c:v>46098</c:v>
                </c:pt>
                <c:pt idx="1306" c:formatCode="yyyy/m/d">
                  <c:v>46099</c:v>
                </c:pt>
                <c:pt idx="1307" c:formatCode="yyyy/m/d">
                  <c:v>46100</c:v>
                </c:pt>
                <c:pt idx="1308" c:formatCode="yyyy/m/d">
                  <c:v>46101</c:v>
                </c:pt>
                <c:pt idx="1309" c:formatCode="yyyy/m/d">
                  <c:v>46104</c:v>
                </c:pt>
                <c:pt idx="1310" c:formatCode="yyyy/m/d">
                  <c:v>46105</c:v>
                </c:pt>
                <c:pt idx="1311" c:formatCode="yyyy/m/d">
                  <c:v>46106</c:v>
                </c:pt>
                <c:pt idx="1312" c:formatCode="yyyy/m/d">
                  <c:v>46107</c:v>
                </c:pt>
                <c:pt idx="1313" c:formatCode="yyyy/m/d">
                  <c:v>46108</c:v>
                </c:pt>
                <c:pt idx="1314" c:formatCode="yyyy/m/d">
                  <c:v>46111</c:v>
                </c:pt>
                <c:pt idx="1315" c:formatCode="yyyy/m/d">
                  <c:v>46112</c:v>
                </c:pt>
                <c:pt idx="1316" c:formatCode="yyyy/m/d">
                  <c:v>46113</c:v>
                </c:pt>
                <c:pt idx="1317" c:formatCode="yyyy/m/d">
                  <c:v>46114</c:v>
                </c:pt>
                <c:pt idx="1318" c:formatCode="yyyy/m/d">
                  <c:v>46115</c:v>
                </c:pt>
                <c:pt idx="1319" c:formatCode="yyyy/m/d">
                  <c:v>46119</c:v>
                </c:pt>
                <c:pt idx="1320" c:formatCode="yyyy/m/d">
                  <c:v>46120</c:v>
                </c:pt>
                <c:pt idx="1321" c:formatCode="yyyy/m/d">
                  <c:v>46121</c:v>
                </c:pt>
                <c:pt idx="1322" c:formatCode="yyyy/m/d">
                  <c:v>46122</c:v>
                </c:pt>
                <c:pt idx="1323" c:formatCode="yyyy/m/d">
                  <c:v>46125</c:v>
                </c:pt>
                <c:pt idx="1324" c:formatCode="yyyy/m/d">
                  <c:v>46126</c:v>
                </c:pt>
                <c:pt idx="1325" c:formatCode="yyyy/m/d">
                  <c:v>46127</c:v>
                </c:pt>
                <c:pt idx="1326" c:formatCode="yyyy/m/d">
                  <c:v>46128</c:v>
                </c:pt>
                <c:pt idx="1327" c:formatCode="yyyy/m/d">
                  <c:v>46129</c:v>
                </c:pt>
                <c:pt idx="1328" c:formatCode="yyyy/m/d">
                  <c:v>46132</c:v>
                </c:pt>
                <c:pt idx="1329" c:formatCode="yyyy/m/d">
                  <c:v>46133</c:v>
                </c:pt>
                <c:pt idx="1330" c:formatCode="yyyy/m/d">
                  <c:v>46134</c:v>
                </c:pt>
                <c:pt idx="1331" c:formatCode="yyyy/m/d">
                  <c:v>46135</c:v>
                </c:pt>
                <c:pt idx="1332" c:formatCode="yyyy/m/d">
                  <c:v>46136</c:v>
                </c:pt>
                <c:pt idx="1333" c:formatCode="yyyy/m/d">
                  <c:v>46139</c:v>
                </c:pt>
                <c:pt idx="1334" c:formatCode="yyyy/m/d">
                  <c:v>46140</c:v>
                </c:pt>
                <c:pt idx="1335" c:formatCode="yyyy/m/d">
                  <c:v>46141</c:v>
                </c:pt>
                <c:pt idx="1336" c:formatCode="yyyy/m/d">
                  <c:v>46142</c:v>
                </c:pt>
                <c:pt idx="1337" c:formatCode="yyyy/m/d">
                  <c:v>46146</c:v>
                </c:pt>
                <c:pt idx="1338" c:formatCode="yyyy/m/d">
                  <c:v>46147</c:v>
                </c:pt>
                <c:pt idx="1339" c:formatCode="yyyy/m/d">
                  <c:v>46148</c:v>
                </c:pt>
                <c:pt idx="1340" c:formatCode="yyyy/m/d">
                  <c:v>46149</c:v>
                </c:pt>
                <c:pt idx="1341" c:formatCode="yyyy/m/d">
                  <c:v>46150</c:v>
                </c:pt>
                <c:pt idx="1342" c:formatCode="yyyy/m/d">
                  <c:v>46153</c:v>
                </c:pt>
                <c:pt idx="1343" c:formatCode="yyyy/m/d">
                  <c:v>46154</c:v>
                </c:pt>
                <c:pt idx="1344" c:formatCode="yyyy/m/d">
                  <c:v>46155</c:v>
                </c:pt>
                <c:pt idx="1345" c:formatCode="yyyy/m/d">
                  <c:v>46156</c:v>
                </c:pt>
                <c:pt idx="1346" c:formatCode="yyyy/m/d">
                  <c:v>46157</c:v>
                </c:pt>
                <c:pt idx="1347" c:formatCode="yyyy/m/d">
                  <c:v>46160</c:v>
                </c:pt>
                <c:pt idx="1348" c:formatCode="yyyy/m/d">
                  <c:v>46161</c:v>
                </c:pt>
                <c:pt idx="1349" c:formatCode="yyyy/m/d">
                  <c:v>46162</c:v>
                </c:pt>
                <c:pt idx="1350" c:formatCode="yyyy/m/d">
                  <c:v>46163</c:v>
                </c:pt>
                <c:pt idx="1351" c:formatCode="yyyy/m/d">
                  <c:v>46164</c:v>
                </c:pt>
                <c:pt idx="1352" c:formatCode="yyyy/m/d">
                  <c:v>46167</c:v>
                </c:pt>
                <c:pt idx="1353" c:formatCode="yyyy/m/d">
                  <c:v>46168</c:v>
                </c:pt>
                <c:pt idx="1354" c:formatCode="yyyy/m/d">
                  <c:v>46169</c:v>
                </c:pt>
                <c:pt idx="1355" c:formatCode="yyyy/m/d">
                  <c:v>46170</c:v>
                </c:pt>
                <c:pt idx="1356" c:formatCode="yyyy/m/d">
                  <c:v>46171</c:v>
                </c:pt>
                <c:pt idx="1357" c:formatCode="yyyy/m/d">
                  <c:v>46174</c:v>
                </c:pt>
              </c:numCache>
            </c:numRef>
          </c:cat>
          <c:val>
            <c:numRef>
              <c:f>DRAM!$L$1245:$L$3000</c:f>
              <c:numCache>
                <c:formatCode>0.00</c:formatCode>
                <c:ptCount val="1756"/>
                <c:pt idx="0">
                  <c:v>3.46</c:v>
                </c:pt>
                <c:pt idx="1">
                  <c:v>3.46</c:v>
                </c:pt>
                <c:pt idx="2">
                  <c:v>3.46</c:v>
                </c:pt>
                <c:pt idx="3">
                  <c:v>3.46</c:v>
                </c:pt>
                <c:pt idx="4">
                  <c:v>3.46</c:v>
                </c:pt>
                <c:pt idx="5">
                  <c:v>3.46</c:v>
                </c:pt>
                <c:pt idx="6">
                  <c:v>3.425</c:v>
                </c:pt>
                <c:pt idx="7">
                  <c:v>3.425</c:v>
                </c:pt>
                <c:pt idx="8">
                  <c:v>3.425</c:v>
                </c:pt>
                <c:pt idx="9">
                  <c:v>3.45</c:v>
                </c:pt>
                <c:pt idx="10">
                  <c:v>3.45</c:v>
                </c:pt>
                <c:pt idx="11">
                  <c:v>3.465</c:v>
                </c:pt>
                <c:pt idx="12">
                  <c:v>3.465</c:v>
                </c:pt>
                <c:pt idx="13">
                  <c:v>3.465</c:v>
                </c:pt>
                <c:pt idx="14">
                  <c:v>3.47</c:v>
                </c:pt>
                <c:pt idx="15">
                  <c:v>3.47</c:v>
                </c:pt>
                <c:pt idx="16">
                  <c:v>3.525</c:v>
                </c:pt>
                <c:pt idx="17">
                  <c:v>3.535</c:v>
                </c:pt>
                <c:pt idx="18">
                  <c:v>3.61</c:v>
                </c:pt>
                <c:pt idx="19">
                  <c:v>3.685</c:v>
                </c:pt>
                <c:pt idx="20">
                  <c:v>3.7</c:v>
                </c:pt>
                <c:pt idx="21">
                  <c:v>3.71</c:v>
                </c:pt>
                <c:pt idx="22">
                  <c:v>3.71</c:v>
                </c:pt>
                <c:pt idx="23">
                  <c:v>3.72</c:v>
                </c:pt>
                <c:pt idx="24">
                  <c:v>3.72</c:v>
                </c:pt>
                <c:pt idx="25">
                  <c:v>3.72</c:v>
                </c:pt>
                <c:pt idx="26">
                  <c:v>3.735</c:v>
                </c:pt>
                <c:pt idx="27">
                  <c:v>3.735</c:v>
                </c:pt>
                <c:pt idx="28">
                  <c:v>3.75</c:v>
                </c:pt>
                <c:pt idx="29">
                  <c:v>3.915</c:v>
                </c:pt>
                <c:pt idx="30">
                  <c:v>3.99</c:v>
                </c:pt>
                <c:pt idx="31">
                  <c:v>4.075</c:v>
                </c:pt>
                <c:pt idx="32">
                  <c:v>4.15</c:v>
                </c:pt>
                <c:pt idx="33">
                  <c:v>4.2</c:v>
                </c:pt>
                <c:pt idx="34">
                  <c:v>4.275</c:v>
                </c:pt>
                <c:pt idx="35">
                  <c:v>4.35</c:v>
                </c:pt>
                <c:pt idx="36">
                  <c:v>4.375</c:v>
                </c:pt>
                <c:pt idx="37">
                  <c:v>4.425</c:v>
                </c:pt>
                <c:pt idx="38">
                  <c:v>4.425</c:v>
                </c:pt>
                <c:pt idx="39">
                  <c:v>4.425</c:v>
                </c:pt>
                <c:pt idx="40">
                  <c:v>4.425</c:v>
                </c:pt>
                <c:pt idx="41">
                  <c:v>4.425</c:v>
                </c:pt>
                <c:pt idx="42">
                  <c:v>4.425</c:v>
                </c:pt>
                <c:pt idx="43">
                  <c:v>4.475</c:v>
                </c:pt>
                <c:pt idx="44">
                  <c:v>4.475</c:v>
                </c:pt>
                <c:pt idx="45">
                  <c:v>4.5</c:v>
                </c:pt>
                <c:pt idx="46">
                  <c:v>4.5</c:v>
                </c:pt>
                <c:pt idx="47">
                  <c:v>4.45</c:v>
                </c:pt>
                <c:pt idx="48">
                  <c:v>4.4</c:v>
                </c:pt>
                <c:pt idx="49">
                  <c:v>4.375</c:v>
                </c:pt>
                <c:pt idx="50">
                  <c:v>4.35</c:v>
                </c:pt>
                <c:pt idx="51">
                  <c:v>4.3</c:v>
                </c:pt>
                <c:pt idx="52">
                  <c:v>4.3</c:v>
                </c:pt>
                <c:pt idx="53">
                  <c:v>4.3</c:v>
                </c:pt>
                <c:pt idx="54">
                  <c:v>4.275</c:v>
                </c:pt>
                <c:pt idx="55">
                  <c:v>4.25</c:v>
                </c:pt>
                <c:pt idx="56">
                  <c:v>4.235</c:v>
                </c:pt>
                <c:pt idx="57">
                  <c:v>4.21</c:v>
                </c:pt>
                <c:pt idx="58">
                  <c:v>4.2</c:v>
                </c:pt>
                <c:pt idx="59">
                  <c:v>4.175</c:v>
                </c:pt>
                <c:pt idx="60">
                  <c:v>4.175</c:v>
                </c:pt>
                <c:pt idx="61">
                  <c:v>4.325</c:v>
                </c:pt>
                <c:pt idx="62">
                  <c:v>4.375</c:v>
                </c:pt>
                <c:pt idx="63">
                  <c:v>4.375</c:v>
                </c:pt>
                <c:pt idx="64">
                  <c:v>4.35</c:v>
                </c:pt>
                <c:pt idx="65">
                  <c:v>4.35</c:v>
                </c:pt>
                <c:pt idx="66">
                  <c:v>4.375</c:v>
                </c:pt>
                <c:pt idx="67">
                  <c:v>4.375</c:v>
                </c:pt>
                <c:pt idx="68">
                  <c:v>4.375</c:v>
                </c:pt>
                <c:pt idx="69">
                  <c:v>4.385</c:v>
                </c:pt>
                <c:pt idx="70">
                  <c:v>4.4</c:v>
                </c:pt>
                <c:pt idx="71">
                  <c:v>4.4</c:v>
                </c:pt>
                <c:pt idx="72">
                  <c:v>4.4</c:v>
                </c:pt>
                <c:pt idx="73">
                  <c:v>4.405</c:v>
                </c:pt>
                <c:pt idx="74">
                  <c:v>4.45</c:v>
                </c:pt>
                <c:pt idx="75">
                  <c:v>4.625</c:v>
                </c:pt>
                <c:pt idx="76">
                  <c:v>4.65</c:v>
                </c:pt>
                <c:pt idx="77">
                  <c:v>4.658</c:v>
                </c:pt>
                <c:pt idx="78">
                  <c:v>4.632</c:v>
                </c:pt>
                <c:pt idx="79">
                  <c:v>4.632</c:v>
                </c:pt>
                <c:pt idx="80">
                  <c:v>4.632</c:v>
                </c:pt>
                <c:pt idx="81">
                  <c:v>4.632</c:v>
                </c:pt>
                <c:pt idx="82">
                  <c:v>4.632</c:v>
                </c:pt>
                <c:pt idx="83">
                  <c:v>4.606</c:v>
                </c:pt>
                <c:pt idx="84">
                  <c:v>4.606</c:v>
                </c:pt>
                <c:pt idx="85">
                  <c:v>4.606</c:v>
                </c:pt>
                <c:pt idx="86">
                  <c:v>4.556</c:v>
                </c:pt>
                <c:pt idx="87">
                  <c:v>4.508</c:v>
                </c:pt>
                <c:pt idx="88">
                  <c:v>4.458</c:v>
                </c:pt>
                <c:pt idx="89">
                  <c:v>4.434</c:v>
                </c:pt>
                <c:pt idx="90">
                  <c:v>4.419</c:v>
                </c:pt>
                <c:pt idx="91">
                  <c:v>4.419</c:v>
                </c:pt>
                <c:pt idx="92">
                  <c:v>4.384</c:v>
                </c:pt>
                <c:pt idx="93">
                  <c:v>4.358</c:v>
                </c:pt>
                <c:pt idx="94">
                  <c:v>4.332</c:v>
                </c:pt>
                <c:pt idx="95">
                  <c:v>4.332</c:v>
                </c:pt>
                <c:pt idx="96">
                  <c:v>4.356</c:v>
                </c:pt>
                <c:pt idx="97">
                  <c:v>4.381</c:v>
                </c:pt>
                <c:pt idx="98">
                  <c:v>4.425</c:v>
                </c:pt>
                <c:pt idx="99">
                  <c:v>4.45</c:v>
                </c:pt>
                <c:pt idx="100">
                  <c:v>4.475</c:v>
                </c:pt>
                <c:pt idx="101">
                  <c:v>4.485</c:v>
                </c:pt>
                <c:pt idx="102">
                  <c:v>4.495</c:v>
                </c:pt>
                <c:pt idx="103">
                  <c:v>4.475</c:v>
                </c:pt>
                <c:pt idx="104">
                  <c:v>4.45</c:v>
                </c:pt>
                <c:pt idx="105">
                  <c:v>4.45</c:v>
                </c:pt>
                <c:pt idx="106">
                  <c:v>4.475</c:v>
                </c:pt>
                <c:pt idx="107">
                  <c:v>4.485</c:v>
                </c:pt>
                <c:pt idx="108">
                  <c:v>4.495</c:v>
                </c:pt>
                <c:pt idx="109">
                  <c:v>4.495</c:v>
                </c:pt>
                <c:pt idx="110">
                  <c:v>4.49</c:v>
                </c:pt>
                <c:pt idx="111">
                  <c:v>4.515</c:v>
                </c:pt>
                <c:pt idx="112">
                  <c:v>4.525</c:v>
                </c:pt>
                <c:pt idx="113">
                  <c:v>4.55</c:v>
                </c:pt>
                <c:pt idx="114">
                  <c:v>4.543</c:v>
                </c:pt>
                <c:pt idx="115">
                  <c:v>4.54</c:v>
                </c:pt>
                <c:pt idx="116">
                  <c:v>4.567</c:v>
                </c:pt>
                <c:pt idx="117">
                  <c:v>4.6</c:v>
                </c:pt>
                <c:pt idx="118">
                  <c:v>4.59</c:v>
                </c:pt>
                <c:pt idx="119">
                  <c:v>4.585</c:v>
                </c:pt>
                <c:pt idx="120">
                  <c:v>4.585</c:v>
                </c:pt>
                <c:pt idx="121">
                  <c:v>4.585</c:v>
                </c:pt>
                <c:pt idx="122">
                  <c:v>4.585</c:v>
                </c:pt>
                <c:pt idx="123">
                  <c:v>4.585</c:v>
                </c:pt>
                <c:pt idx="124">
                  <c:v>4.585</c:v>
                </c:pt>
                <c:pt idx="125">
                  <c:v>4.6</c:v>
                </c:pt>
                <c:pt idx="126">
                  <c:v>4.6</c:v>
                </c:pt>
                <c:pt idx="127">
                  <c:v>4.6</c:v>
                </c:pt>
                <c:pt idx="128">
                  <c:v>4.6</c:v>
                </c:pt>
                <c:pt idx="129">
                  <c:v>4.59</c:v>
                </c:pt>
                <c:pt idx="130">
                  <c:v>4.59</c:v>
                </c:pt>
                <c:pt idx="131">
                  <c:v>4.615</c:v>
                </c:pt>
                <c:pt idx="132">
                  <c:v>4.615</c:v>
                </c:pt>
                <c:pt idx="133">
                  <c:v>4.575</c:v>
                </c:pt>
                <c:pt idx="134">
                  <c:v>4.55</c:v>
                </c:pt>
                <c:pt idx="135">
                  <c:v>4.525</c:v>
                </c:pt>
                <c:pt idx="136">
                  <c:v>4.51</c:v>
                </c:pt>
                <c:pt idx="137">
                  <c:v>4.51</c:v>
                </c:pt>
                <c:pt idx="138">
                  <c:v>4.5</c:v>
                </c:pt>
                <c:pt idx="139">
                  <c:v>4.5</c:v>
                </c:pt>
                <c:pt idx="140">
                  <c:v>4.475</c:v>
                </c:pt>
                <c:pt idx="141">
                  <c:v>4.45</c:v>
                </c:pt>
                <c:pt idx="142">
                  <c:v>4.425</c:v>
                </c:pt>
                <c:pt idx="143">
                  <c:v>4.495</c:v>
                </c:pt>
                <c:pt idx="144">
                  <c:v>4.485</c:v>
                </c:pt>
                <c:pt idx="145">
                  <c:v>4.48</c:v>
                </c:pt>
                <c:pt idx="146">
                  <c:v>4.452</c:v>
                </c:pt>
                <c:pt idx="147">
                  <c:v>4.441</c:v>
                </c:pt>
                <c:pt idx="148">
                  <c:v>4.325</c:v>
                </c:pt>
                <c:pt idx="149">
                  <c:v>4.255</c:v>
                </c:pt>
                <c:pt idx="150">
                  <c:v>4.239</c:v>
                </c:pt>
                <c:pt idx="151">
                  <c:v>4.225</c:v>
                </c:pt>
                <c:pt idx="152">
                  <c:v>4.223</c:v>
                </c:pt>
                <c:pt idx="153">
                  <c:v>4.214</c:v>
                </c:pt>
                <c:pt idx="154">
                  <c:v>4.213</c:v>
                </c:pt>
                <c:pt idx="155">
                  <c:v>4.187</c:v>
                </c:pt>
                <c:pt idx="156">
                  <c:v>4.105</c:v>
                </c:pt>
                <c:pt idx="157">
                  <c:v>4.079</c:v>
                </c:pt>
                <c:pt idx="158">
                  <c:v>4.065</c:v>
                </c:pt>
                <c:pt idx="159">
                  <c:v>4.051</c:v>
                </c:pt>
                <c:pt idx="160">
                  <c:v>3.991</c:v>
                </c:pt>
                <c:pt idx="161">
                  <c:v>3.943</c:v>
                </c:pt>
                <c:pt idx="162">
                  <c:v>3.904</c:v>
                </c:pt>
                <c:pt idx="163">
                  <c:v>3.889</c:v>
                </c:pt>
                <c:pt idx="164">
                  <c:v>3.864</c:v>
                </c:pt>
                <c:pt idx="165">
                  <c:v>3.809</c:v>
                </c:pt>
                <c:pt idx="166">
                  <c:v>3.8</c:v>
                </c:pt>
                <c:pt idx="167">
                  <c:v>3.799</c:v>
                </c:pt>
                <c:pt idx="168">
                  <c:v>3.79</c:v>
                </c:pt>
                <c:pt idx="169">
                  <c:v>3.782</c:v>
                </c:pt>
                <c:pt idx="170">
                  <c:v>3.765</c:v>
                </c:pt>
                <c:pt idx="171">
                  <c:v>3.756</c:v>
                </c:pt>
                <c:pt idx="172">
                  <c:v>3.746</c:v>
                </c:pt>
                <c:pt idx="173">
                  <c:v>3.735</c:v>
                </c:pt>
                <c:pt idx="174">
                  <c:v>3.726</c:v>
                </c:pt>
                <c:pt idx="175">
                  <c:v>3.724</c:v>
                </c:pt>
                <c:pt idx="176">
                  <c:v>3.724</c:v>
                </c:pt>
                <c:pt idx="177">
                  <c:v>3.723</c:v>
                </c:pt>
                <c:pt idx="178">
                  <c:v>3.722</c:v>
                </c:pt>
                <c:pt idx="179">
                  <c:v>3.719</c:v>
                </c:pt>
                <c:pt idx="180">
                  <c:v>3.7</c:v>
                </c:pt>
                <c:pt idx="181">
                  <c:v>3.691</c:v>
                </c:pt>
                <c:pt idx="182">
                  <c:v>3.689</c:v>
                </c:pt>
                <c:pt idx="183">
                  <c:v>3.687</c:v>
                </c:pt>
                <c:pt idx="184">
                  <c:v>3.657</c:v>
                </c:pt>
                <c:pt idx="185">
                  <c:v>3.647</c:v>
                </c:pt>
                <c:pt idx="186">
                  <c:v>3.647</c:v>
                </c:pt>
                <c:pt idx="187">
                  <c:v>3.647</c:v>
                </c:pt>
                <c:pt idx="188">
                  <c:v>3.646</c:v>
                </c:pt>
                <c:pt idx="189">
                  <c:v>3.636</c:v>
                </c:pt>
                <c:pt idx="190">
                  <c:v>3.625</c:v>
                </c:pt>
                <c:pt idx="191">
                  <c:v>3.614</c:v>
                </c:pt>
                <c:pt idx="192">
                  <c:v>3.613</c:v>
                </c:pt>
                <c:pt idx="193">
                  <c:v>3.603</c:v>
                </c:pt>
                <c:pt idx="194">
                  <c:v>3.586</c:v>
                </c:pt>
                <c:pt idx="195">
                  <c:v>3.546</c:v>
                </c:pt>
                <c:pt idx="196">
                  <c:v>3.534</c:v>
                </c:pt>
                <c:pt idx="197">
                  <c:v>3.51</c:v>
                </c:pt>
                <c:pt idx="198">
                  <c:v>3.494</c:v>
                </c:pt>
                <c:pt idx="199">
                  <c:v>3.49</c:v>
                </c:pt>
                <c:pt idx="200">
                  <c:v>3.473</c:v>
                </c:pt>
                <c:pt idx="201">
                  <c:v>3.465</c:v>
                </c:pt>
                <c:pt idx="202">
                  <c:v>3.461</c:v>
                </c:pt>
                <c:pt idx="203">
                  <c:v>3.424</c:v>
                </c:pt>
                <c:pt idx="204">
                  <c:v>3.404</c:v>
                </c:pt>
                <c:pt idx="205">
                  <c:v>3.365</c:v>
                </c:pt>
                <c:pt idx="206">
                  <c:v>3.337</c:v>
                </c:pt>
                <c:pt idx="207">
                  <c:v>3.302</c:v>
                </c:pt>
                <c:pt idx="208">
                  <c:v>3.28</c:v>
                </c:pt>
                <c:pt idx="209">
                  <c:v>3.275</c:v>
                </c:pt>
                <c:pt idx="210">
                  <c:v>3.271</c:v>
                </c:pt>
                <c:pt idx="211">
                  <c:v>3.271</c:v>
                </c:pt>
                <c:pt idx="212">
                  <c:v>3.267</c:v>
                </c:pt>
                <c:pt idx="213">
                  <c:v>3.222</c:v>
                </c:pt>
                <c:pt idx="214">
                  <c:v>3.2</c:v>
                </c:pt>
                <c:pt idx="215">
                  <c:v>3.192</c:v>
                </c:pt>
                <c:pt idx="216">
                  <c:v>3.186</c:v>
                </c:pt>
                <c:pt idx="217">
                  <c:v>3.181</c:v>
                </c:pt>
                <c:pt idx="218">
                  <c:v>3.174</c:v>
                </c:pt>
                <c:pt idx="219">
                  <c:v>3.173</c:v>
                </c:pt>
                <c:pt idx="220">
                  <c:v>3.17</c:v>
                </c:pt>
                <c:pt idx="221">
                  <c:v>3.168</c:v>
                </c:pt>
                <c:pt idx="222">
                  <c:v>3.188</c:v>
                </c:pt>
                <c:pt idx="223">
                  <c:v>3.214</c:v>
                </c:pt>
                <c:pt idx="224">
                  <c:v>3.217</c:v>
                </c:pt>
                <c:pt idx="225">
                  <c:v>3.217</c:v>
                </c:pt>
                <c:pt idx="226">
                  <c:v>3.226</c:v>
                </c:pt>
                <c:pt idx="227">
                  <c:v>3.255</c:v>
                </c:pt>
                <c:pt idx="228">
                  <c:v>3.287</c:v>
                </c:pt>
                <c:pt idx="229">
                  <c:v>3.301</c:v>
                </c:pt>
                <c:pt idx="230">
                  <c:v>3.326</c:v>
                </c:pt>
                <c:pt idx="231">
                  <c:v>3.326</c:v>
                </c:pt>
                <c:pt idx="232">
                  <c:v>3.305</c:v>
                </c:pt>
                <c:pt idx="233">
                  <c:v>3.292</c:v>
                </c:pt>
                <c:pt idx="234">
                  <c:v>3.282</c:v>
                </c:pt>
                <c:pt idx="235">
                  <c:v>3.28</c:v>
                </c:pt>
                <c:pt idx="236">
                  <c:v>3.28</c:v>
                </c:pt>
                <c:pt idx="237">
                  <c:v>3.28</c:v>
                </c:pt>
                <c:pt idx="238">
                  <c:v>3.333</c:v>
                </c:pt>
                <c:pt idx="239">
                  <c:v>3.348</c:v>
                </c:pt>
                <c:pt idx="240">
                  <c:v>3.397</c:v>
                </c:pt>
                <c:pt idx="241">
                  <c:v>3.471</c:v>
                </c:pt>
                <c:pt idx="242">
                  <c:v>3.509</c:v>
                </c:pt>
                <c:pt idx="243">
                  <c:v>3.54</c:v>
                </c:pt>
                <c:pt idx="244">
                  <c:v>3.554</c:v>
                </c:pt>
                <c:pt idx="245">
                  <c:v>3.584</c:v>
                </c:pt>
                <c:pt idx="246">
                  <c:v>3.594</c:v>
                </c:pt>
                <c:pt idx="247">
                  <c:v>3.614</c:v>
                </c:pt>
                <c:pt idx="248">
                  <c:v>3.659</c:v>
                </c:pt>
                <c:pt idx="249">
                  <c:v>3.648</c:v>
                </c:pt>
                <c:pt idx="250">
                  <c:v>3.636</c:v>
                </c:pt>
                <c:pt idx="251">
                  <c:v>3.631</c:v>
                </c:pt>
                <c:pt idx="252">
                  <c:v>3.662</c:v>
                </c:pt>
                <c:pt idx="253">
                  <c:v>3.7</c:v>
                </c:pt>
                <c:pt idx="254">
                  <c:v>3.713</c:v>
                </c:pt>
                <c:pt idx="255">
                  <c:v>3.713</c:v>
                </c:pt>
                <c:pt idx="256">
                  <c:v>3.718</c:v>
                </c:pt>
                <c:pt idx="257">
                  <c:v>3.72</c:v>
                </c:pt>
                <c:pt idx="258">
                  <c:v>3.729</c:v>
                </c:pt>
                <c:pt idx="259">
                  <c:v>3.729</c:v>
                </c:pt>
                <c:pt idx="260">
                  <c:v>3.731</c:v>
                </c:pt>
                <c:pt idx="261">
                  <c:v>3.742</c:v>
                </c:pt>
                <c:pt idx="262">
                  <c:v>3.749</c:v>
                </c:pt>
                <c:pt idx="263">
                  <c:v>3.753</c:v>
                </c:pt>
                <c:pt idx="264">
                  <c:v>3.747</c:v>
                </c:pt>
                <c:pt idx="265">
                  <c:v>3.744</c:v>
                </c:pt>
                <c:pt idx="266">
                  <c:v>3.747</c:v>
                </c:pt>
                <c:pt idx="267">
                  <c:v>3.749</c:v>
                </c:pt>
                <c:pt idx="268">
                  <c:v>3.749</c:v>
                </c:pt>
                <c:pt idx="269">
                  <c:v>3.76</c:v>
                </c:pt>
                <c:pt idx="270">
                  <c:v>3.762</c:v>
                </c:pt>
                <c:pt idx="271">
                  <c:v>3.778</c:v>
                </c:pt>
                <c:pt idx="272">
                  <c:v>3.796</c:v>
                </c:pt>
                <c:pt idx="273">
                  <c:v>3.8</c:v>
                </c:pt>
                <c:pt idx="274">
                  <c:v>3.822</c:v>
                </c:pt>
                <c:pt idx="275">
                  <c:v>3.849</c:v>
                </c:pt>
                <c:pt idx="276">
                  <c:v>3.86</c:v>
                </c:pt>
                <c:pt idx="277">
                  <c:v>3.864</c:v>
                </c:pt>
                <c:pt idx="278">
                  <c:v>3.867</c:v>
                </c:pt>
                <c:pt idx="279">
                  <c:v>3.898</c:v>
                </c:pt>
                <c:pt idx="280">
                  <c:v>3.907</c:v>
                </c:pt>
                <c:pt idx="281">
                  <c:v>3.929</c:v>
                </c:pt>
                <c:pt idx="282">
                  <c:v>3.929</c:v>
                </c:pt>
                <c:pt idx="283">
                  <c:v>3.947</c:v>
                </c:pt>
                <c:pt idx="284">
                  <c:v>3.949</c:v>
                </c:pt>
                <c:pt idx="285">
                  <c:v>3.949</c:v>
                </c:pt>
                <c:pt idx="286">
                  <c:v>3.931</c:v>
                </c:pt>
                <c:pt idx="287">
                  <c:v>3.931</c:v>
                </c:pt>
                <c:pt idx="288">
                  <c:v>3.931</c:v>
                </c:pt>
                <c:pt idx="289">
                  <c:v>3.922</c:v>
                </c:pt>
                <c:pt idx="290">
                  <c:v>3.913</c:v>
                </c:pt>
                <c:pt idx="291">
                  <c:v>3.904</c:v>
                </c:pt>
                <c:pt idx="292">
                  <c:v>3.891</c:v>
                </c:pt>
                <c:pt idx="293">
                  <c:v>3.896</c:v>
                </c:pt>
                <c:pt idx="294">
                  <c:v>3.893</c:v>
                </c:pt>
                <c:pt idx="295">
                  <c:v>3.893</c:v>
                </c:pt>
                <c:pt idx="296">
                  <c:v>3.891</c:v>
                </c:pt>
                <c:pt idx="297">
                  <c:v>3.889</c:v>
                </c:pt>
                <c:pt idx="298">
                  <c:v>3.842</c:v>
                </c:pt>
                <c:pt idx="299">
                  <c:v>3.834</c:v>
                </c:pt>
                <c:pt idx="300">
                  <c:v>3.83</c:v>
                </c:pt>
                <c:pt idx="301">
                  <c:v>3.823</c:v>
                </c:pt>
                <c:pt idx="302">
                  <c:v>3.817</c:v>
                </c:pt>
                <c:pt idx="303">
                  <c:v>3.811</c:v>
                </c:pt>
                <c:pt idx="304">
                  <c:v>3.783</c:v>
                </c:pt>
                <c:pt idx="305">
                  <c:v>3.775</c:v>
                </c:pt>
                <c:pt idx="306">
                  <c:v>3.774</c:v>
                </c:pt>
                <c:pt idx="307">
                  <c:v>3.768</c:v>
                </c:pt>
                <c:pt idx="308">
                  <c:v>3.768</c:v>
                </c:pt>
                <c:pt idx="309">
                  <c:v>3.748</c:v>
                </c:pt>
                <c:pt idx="310">
                  <c:v>3.746</c:v>
                </c:pt>
                <c:pt idx="311">
                  <c:v>3.736</c:v>
                </c:pt>
                <c:pt idx="312">
                  <c:v>3.717</c:v>
                </c:pt>
                <c:pt idx="313">
                  <c:v>3.681</c:v>
                </c:pt>
                <c:pt idx="314">
                  <c:v>3.678</c:v>
                </c:pt>
                <c:pt idx="315">
                  <c:v>3.671</c:v>
                </c:pt>
                <c:pt idx="316">
                  <c:v>3.65</c:v>
                </c:pt>
                <c:pt idx="317">
                  <c:v>3.633</c:v>
                </c:pt>
                <c:pt idx="318">
                  <c:v>3.628</c:v>
                </c:pt>
                <c:pt idx="319">
                  <c:v>3.611</c:v>
                </c:pt>
                <c:pt idx="320">
                  <c:v>3.607</c:v>
                </c:pt>
                <c:pt idx="321">
                  <c:v>3.6</c:v>
                </c:pt>
                <c:pt idx="322">
                  <c:v>3.585</c:v>
                </c:pt>
                <c:pt idx="323">
                  <c:v>3.556</c:v>
                </c:pt>
                <c:pt idx="324">
                  <c:v>3.548</c:v>
                </c:pt>
                <c:pt idx="325">
                  <c:v>3.536</c:v>
                </c:pt>
                <c:pt idx="326">
                  <c:v>3.534</c:v>
                </c:pt>
                <c:pt idx="327">
                  <c:v>3.513</c:v>
                </c:pt>
                <c:pt idx="328">
                  <c:v>3.47</c:v>
                </c:pt>
                <c:pt idx="329">
                  <c:v>3.464</c:v>
                </c:pt>
                <c:pt idx="330">
                  <c:v>3.46</c:v>
                </c:pt>
                <c:pt idx="331">
                  <c:v>3.459</c:v>
                </c:pt>
                <c:pt idx="332">
                  <c:v>3.458</c:v>
                </c:pt>
                <c:pt idx="333">
                  <c:v>3.449</c:v>
                </c:pt>
                <c:pt idx="334">
                  <c:v>3.449</c:v>
                </c:pt>
                <c:pt idx="335">
                  <c:v>3.437</c:v>
                </c:pt>
                <c:pt idx="336">
                  <c:v>3.433</c:v>
                </c:pt>
                <c:pt idx="337">
                  <c:v>3.433</c:v>
                </c:pt>
                <c:pt idx="338">
                  <c:v>3.427</c:v>
                </c:pt>
                <c:pt idx="339">
                  <c:v>3.427</c:v>
                </c:pt>
                <c:pt idx="340">
                  <c:v>3.423</c:v>
                </c:pt>
                <c:pt idx="341">
                  <c:v>3.411</c:v>
                </c:pt>
                <c:pt idx="342">
                  <c:v>3.411</c:v>
                </c:pt>
                <c:pt idx="343">
                  <c:v>3.405</c:v>
                </c:pt>
                <c:pt idx="344">
                  <c:v>3.401</c:v>
                </c:pt>
                <c:pt idx="345">
                  <c:v>3.401</c:v>
                </c:pt>
                <c:pt idx="346">
                  <c:v>3.395</c:v>
                </c:pt>
                <c:pt idx="347">
                  <c:v>3.394</c:v>
                </c:pt>
                <c:pt idx="348">
                  <c:v>3.394</c:v>
                </c:pt>
                <c:pt idx="349">
                  <c:v>3.387</c:v>
                </c:pt>
                <c:pt idx="350">
                  <c:v>3.385</c:v>
                </c:pt>
                <c:pt idx="351">
                  <c:v>3.375</c:v>
                </c:pt>
                <c:pt idx="352">
                  <c:v>3.374</c:v>
                </c:pt>
                <c:pt idx="353">
                  <c:v>3.392</c:v>
                </c:pt>
                <c:pt idx="354">
                  <c:v>3.417</c:v>
                </c:pt>
                <c:pt idx="355">
                  <c:v>3.435</c:v>
                </c:pt>
                <c:pt idx="356">
                  <c:v>3.432</c:v>
                </c:pt>
                <c:pt idx="357">
                  <c:v>3.431</c:v>
                </c:pt>
                <c:pt idx="358">
                  <c:v>3.429</c:v>
                </c:pt>
                <c:pt idx="359">
                  <c:v>3.427</c:v>
                </c:pt>
                <c:pt idx="360">
                  <c:v>3.422</c:v>
                </c:pt>
                <c:pt idx="361">
                  <c:v>3.422</c:v>
                </c:pt>
                <c:pt idx="362">
                  <c:v>3.422</c:v>
                </c:pt>
                <c:pt idx="363">
                  <c:v>3.393</c:v>
                </c:pt>
                <c:pt idx="364">
                  <c:v>3.384</c:v>
                </c:pt>
                <c:pt idx="365">
                  <c:v>3.339</c:v>
                </c:pt>
                <c:pt idx="366">
                  <c:v>3.308</c:v>
                </c:pt>
                <c:pt idx="367">
                  <c:v>3.301</c:v>
                </c:pt>
                <c:pt idx="368">
                  <c:v>3.293</c:v>
                </c:pt>
                <c:pt idx="369">
                  <c:v>3.283</c:v>
                </c:pt>
                <c:pt idx="370">
                  <c:v>3.275</c:v>
                </c:pt>
                <c:pt idx="371">
                  <c:v>3.27</c:v>
                </c:pt>
                <c:pt idx="372">
                  <c:v>3.267</c:v>
                </c:pt>
                <c:pt idx="373">
                  <c:v>3.267</c:v>
                </c:pt>
                <c:pt idx="374">
                  <c:v>3.264</c:v>
                </c:pt>
                <c:pt idx="375">
                  <c:v>3.251</c:v>
                </c:pt>
                <c:pt idx="376">
                  <c:v>3.23</c:v>
                </c:pt>
                <c:pt idx="377">
                  <c:v>3.207</c:v>
                </c:pt>
                <c:pt idx="378">
                  <c:v>3.184</c:v>
                </c:pt>
                <c:pt idx="379">
                  <c:v>3.161</c:v>
                </c:pt>
                <c:pt idx="380">
                  <c:v>3.139</c:v>
                </c:pt>
                <c:pt idx="381">
                  <c:v>3.115</c:v>
                </c:pt>
                <c:pt idx="382">
                  <c:v>3.089</c:v>
                </c:pt>
                <c:pt idx="383">
                  <c:v>3.083</c:v>
                </c:pt>
                <c:pt idx="384">
                  <c:v>3.072</c:v>
                </c:pt>
                <c:pt idx="385">
                  <c:v>3.02</c:v>
                </c:pt>
                <c:pt idx="386">
                  <c:v>2.981</c:v>
                </c:pt>
                <c:pt idx="387">
                  <c:v>2.971</c:v>
                </c:pt>
                <c:pt idx="388">
                  <c:v>2.956</c:v>
                </c:pt>
                <c:pt idx="389">
                  <c:v>2.953</c:v>
                </c:pt>
                <c:pt idx="390">
                  <c:v>2.95</c:v>
                </c:pt>
                <c:pt idx="391">
                  <c:v>2.941</c:v>
                </c:pt>
                <c:pt idx="392">
                  <c:v>2.933</c:v>
                </c:pt>
                <c:pt idx="393">
                  <c:v>2.928</c:v>
                </c:pt>
                <c:pt idx="394">
                  <c:v>2.916</c:v>
                </c:pt>
                <c:pt idx="395">
                  <c:v>2.91</c:v>
                </c:pt>
                <c:pt idx="396">
                  <c:v>2.909</c:v>
                </c:pt>
                <c:pt idx="397">
                  <c:v>2.888</c:v>
                </c:pt>
                <c:pt idx="398">
                  <c:v>2.872</c:v>
                </c:pt>
                <c:pt idx="399">
                  <c:v>2.839</c:v>
                </c:pt>
                <c:pt idx="400">
                  <c:v>2.816</c:v>
                </c:pt>
                <c:pt idx="401">
                  <c:v>2.812</c:v>
                </c:pt>
                <c:pt idx="402">
                  <c:v>2.786</c:v>
                </c:pt>
                <c:pt idx="403">
                  <c:v>2.75</c:v>
                </c:pt>
                <c:pt idx="404">
                  <c:v>2.734</c:v>
                </c:pt>
                <c:pt idx="405">
                  <c:v>2.721</c:v>
                </c:pt>
                <c:pt idx="406">
                  <c:v>2.691</c:v>
                </c:pt>
                <c:pt idx="407">
                  <c:v>2.685</c:v>
                </c:pt>
                <c:pt idx="408">
                  <c:v>2.669</c:v>
                </c:pt>
                <c:pt idx="409">
                  <c:v>2.666</c:v>
                </c:pt>
                <c:pt idx="410">
                  <c:v>2.643</c:v>
                </c:pt>
                <c:pt idx="411">
                  <c:v>2.623</c:v>
                </c:pt>
                <c:pt idx="412">
                  <c:v>2.609</c:v>
                </c:pt>
                <c:pt idx="413">
                  <c:v>2.594</c:v>
                </c:pt>
                <c:pt idx="414">
                  <c:v>2.591</c:v>
                </c:pt>
                <c:pt idx="415">
                  <c:v>2.575</c:v>
                </c:pt>
                <c:pt idx="416">
                  <c:v>2.563</c:v>
                </c:pt>
                <c:pt idx="417">
                  <c:v>2.567</c:v>
                </c:pt>
                <c:pt idx="418">
                  <c:v>2.557</c:v>
                </c:pt>
                <c:pt idx="419">
                  <c:v>2.547</c:v>
                </c:pt>
                <c:pt idx="420">
                  <c:v>2.533</c:v>
                </c:pt>
                <c:pt idx="421">
                  <c:v>2.526</c:v>
                </c:pt>
                <c:pt idx="422">
                  <c:v>2.515</c:v>
                </c:pt>
                <c:pt idx="423">
                  <c:v>2.51</c:v>
                </c:pt>
                <c:pt idx="424">
                  <c:v>2.51</c:v>
                </c:pt>
                <c:pt idx="425">
                  <c:v>2.493</c:v>
                </c:pt>
                <c:pt idx="426">
                  <c:v>2.478</c:v>
                </c:pt>
                <c:pt idx="427">
                  <c:v>2.478</c:v>
                </c:pt>
                <c:pt idx="428">
                  <c:v>2.499</c:v>
                </c:pt>
                <c:pt idx="429">
                  <c:v>2.499</c:v>
                </c:pt>
                <c:pt idx="430">
                  <c:v>2.499</c:v>
                </c:pt>
                <c:pt idx="431">
                  <c:v>2.499</c:v>
                </c:pt>
                <c:pt idx="432">
                  <c:v>2.497</c:v>
                </c:pt>
                <c:pt idx="433">
                  <c:v>2.496</c:v>
                </c:pt>
                <c:pt idx="434">
                  <c:v>2.49</c:v>
                </c:pt>
                <c:pt idx="435">
                  <c:v>2.486</c:v>
                </c:pt>
                <c:pt idx="436">
                  <c:v>2.481</c:v>
                </c:pt>
                <c:pt idx="437">
                  <c:v>2.469</c:v>
                </c:pt>
                <c:pt idx="438">
                  <c:v>2.468</c:v>
                </c:pt>
                <c:pt idx="439">
                  <c:v>2.468</c:v>
                </c:pt>
                <c:pt idx="440">
                  <c:v>2.467</c:v>
                </c:pt>
                <c:pt idx="441">
                  <c:v>2.466</c:v>
                </c:pt>
                <c:pt idx="442">
                  <c:v>2.466</c:v>
                </c:pt>
                <c:pt idx="443">
                  <c:v>2.455</c:v>
                </c:pt>
                <c:pt idx="444">
                  <c:v>2.452</c:v>
                </c:pt>
                <c:pt idx="445">
                  <c:v>2.447</c:v>
                </c:pt>
                <c:pt idx="446">
                  <c:v>2.44</c:v>
                </c:pt>
                <c:pt idx="447">
                  <c:v>2.435</c:v>
                </c:pt>
                <c:pt idx="448">
                  <c:v>2.42</c:v>
                </c:pt>
                <c:pt idx="449">
                  <c:v>2.411</c:v>
                </c:pt>
                <c:pt idx="450">
                  <c:v>2.406</c:v>
                </c:pt>
                <c:pt idx="451">
                  <c:v>2.399</c:v>
                </c:pt>
                <c:pt idx="452">
                  <c:v>2.369</c:v>
                </c:pt>
                <c:pt idx="453">
                  <c:v>2.346</c:v>
                </c:pt>
                <c:pt idx="454">
                  <c:v>2.328</c:v>
                </c:pt>
                <c:pt idx="455">
                  <c:v>2.304</c:v>
                </c:pt>
                <c:pt idx="456">
                  <c:v>2.267</c:v>
                </c:pt>
                <c:pt idx="457">
                  <c:v>2.231</c:v>
                </c:pt>
                <c:pt idx="458">
                  <c:v>2.227</c:v>
                </c:pt>
                <c:pt idx="459">
                  <c:v>2.222</c:v>
                </c:pt>
                <c:pt idx="460">
                  <c:v>2.202</c:v>
                </c:pt>
                <c:pt idx="461">
                  <c:v>2.186</c:v>
                </c:pt>
                <c:pt idx="462">
                  <c:v>2.171</c:v>
                </c:pt>
                <c:pt idx="463">
                  <c:v>2.171</c:v>
                </c:pt>
                <c:pt idx="464">
                  <c:v>2.167</c:v>
                </c:pt>
                <c:pt idx="465">
                  <c:v>2.166</c:v>
                </c:pt>
                <c:pt idx="466">
                  <c:v>2.164</c:v>
                </c:pt>
                <c:pt idx="467">
                  <c:v>2.164</c:v>
                </c:pt>
                <c:pt idx="468">
                  <c:v>2.164</c:v>
                </c:pt>
                <c:pt idx="469">
                  <c:v>2.164</c:v>
                </c:pt>
                <c:pt idx="470">
                  <c:v>2.164</c:v>
                </c:pt>
                <c:pt idx="471">
                  <c:v>2.159</c:v>
                </c:pt>
                <c:pt idx="472">
                  <c:v>2.158</c:v>
                </c:pt>
                <c:pt idx="473">
                  <c:v>2.15</c:v>
                </c:pt>
                <c:pt idx="474">
                  <c:v>2.125</c:v>
                </c:pt>
                <c:pt idx="475">
                  <c:v>2.119</c:v>
                </c:pt>
                <c:pt idx="476">
                  <c:v>2.111</c:v>
                </c:pt>
                <c:pt idx="477">
                  <c:v>2.105</c:v>
                </c:pt>
                <c:pt idx="478">
                  <c:v>2.101</c:v>
                </c:pt>
                <c:pt idx="479">
                  <c:v>2.099</c:v>
                </c:pt>
                <c:pt idx="480">
                  <c:v>2.095</c:v>
                </c:pt>
                <c:pt idx="481">
                  <c:v>2.093</c:v>
                </c:pt>
                <c:pt idx="482">
                  <c:v>2.089</c:v>
                </c:pt>
                <c:pt idx="483">
                  <c:v>2.081</c:v>
                </c:pt>
                <c:pt idx="484">
                  <c:v>2.075</c:v>
                </c:pt>
                <c:pt idx="485">
                  <c:v>2.069</c:v>
                </c:pt>
                <c:pt idx="486">
                  <c:v>2.058</c:v>
                </c:pt>
                <c:pt idx="487">
                  <c:v>2.054</c:v>
                </c:pt>
                <c:pt idx="488">
                  <c:v>2.05</c:v>
                </c:pt>
                <c:pt idx="489">
                  <c:v>2.05</c:v>
                </c:pt>
                <c:pt idx="490">
                  <c:v>2.043</c:v>
                </c:pt>
                <c:pt idx="491">
                  <c:v>2.04</c:v>
                </c:pt>
                <c:pt idx="492">
                  <c:v>2.04</c:v>
                </c:pt>
                <c:pt idx="493">
                  <c:v>2.04</c:v>
                </c:pt>
                <c:pt idx="494">
                  <c:v>2.033</c:v>
                </c:pt>
                <c:pt idx="495">
                  <c:v>2.029</c:v>
                </c:pt>
                <c:pt idx="496">
                  <c:v>2.026</c:v>
                </c:pt>
                <c:pt idx="497">
                  <c:v>2.026</c:v>
                </c:pt>
                <c:pt idx="498">
                  <c:v>2.026</c:v>
                </c:pt>
                <c:pt idx="499">
                  <c:v>2.008</c:v>
                </c:pt>
                <c:pt idx="500">
                  <c:v>2.008</c:v>
                </c:pt>
                <c:pt idx="501">
                  <c:v>2.004</c:v>
                </c:pt>
                <c:pt idx="502">
                  <c:v>2.004</c:v>
                </c:pt>
                <c:pt idx="503">
                  <c:v>2.003</c:v>
                </c:pt>
                <c:pt idx="504">
                  <c:v>2.003</c:v>
                </c:pt>
                <c:pt idx="505">
                  <c:v>2.003</c:v>
                </c:pt>
                <c:pt idx="506">
                  <c:v>2</c:v>
                </c:pt>
                <c:pt idx="507">
                  <c:v>1.987</c:v>
                </c:pt>
                <c:pt idx="508">
                  <c:v>1.967</c:v>
                </c:pt>
                <c:pt idx="509">
                  <c:v>1.953</c:v>
                </c:pt>
                <c:pt idx="510">
                  <c:v>1.941</c:v>
                </c:pt>
                <c:pt idx="511">
                  <c:v>1.937</c:v>
                </c:pt>
                <c:pt idx="512">
                  <c:v>1.924</c:v>
                </c:pt>
                <c:pt idx="513">
                  <c:v>1.919</c:v>
                </c:pt>
                <c:pt idx="514">
                  <c:v>1.904</c:v>
                </c:pt>
                <c:pt idx="515">
                  <c:v>1.89</c:v>
                </c:pt>
                <c:pt idx="516">
                  <c:v>1.881</c:v>
                </c:pt>
                <c:pt idx="517">
                  <c:v>1.866</c:v>
                </c:pt>
                <c:pt idx="518">
                  <c:v>1.86</c:v>
                </c:pt>
                <c:pt idx="519">
                  <c:v>1.854</c:v>
                </c:pt>
                <c:pt idx="520">
                  <c:v>1.851</c:v>
                </c:pt>
                <c:pt idx="521">
                  <c:v>1.851</c:v>
                </c:pt>
                <c:pt idx="522">
                  <c:v>1.849</c:v>
                </c:pt>
                <c:pt idx="523">
                  <c:v>1.833</c:v>
                </c:pt>
                <c:pt idx="524">
                  <c:v>1.83</c:v>
                </c:pt>
                <c:pt idx="525">
                  <c:v>1.827</c:v>
                </c:pt>
                <c:pt idx="526">
                  <c:v>1.824</c:v>
                </c:pt>
                <c:pt idx="527">
                  <c:v>1.819</c:v>
                </c:pt>
                <c:pt idx="528">
                  <c:v>1.819</c:v>
                </c:pt>
                <c:pt idx="529">
                  <c:v>1.819</c:v>
                </c:pt>
                <c:pt idx="530">
                  <c:v>1.819</c:v>
                </c:pt>
                <c:pt idx="531">
                  <c:v>1.819</c:v>
                </c:pt>
                <c:pt idx="532">
                  <c:v>1.819</c:v>
                </c:pt>
                <c:pt idx="533">
                  <c:v>1.819</c:v>
                </c:pt>
                <c:pt idx="534">
                  <c:v>1.818</c:v>
                </c:pt>
                <c:pt idx="535">
                  <c:v>1.818</c:v>
                </c:pt>
                <c:pt idx="536">
                  <c:v>1.816</c:v>
                </c:pt>
                <c:pt idx="537">
                  <c:v>1.806</c:v>
                </c:pt>
                <c:pt idx="538">
                  <c:v>1.806</c:v>
                </c:pt>
                <c:pt idx="539">
                  <c:v>1.786</c:v>
                </c:pt>
                <c:pt idx="540">
                  <c:v>1.772</c:v>
                </c:pt>
                <c:pt idx="541">
                  <c:v>1.763</c:v>
                </c:pt>
                <c:pt idx="542">
                  <c:v>1.751</c:v>
                </c:pt>
                <c:pt idx="543">
                  <c:v>1.741</c:v>
                </c:pt>
                <c:pt idx="544">
                  <c:v>1.734</c:v>
                </c:pt>
                <c:pt idx="545">
                  <c:v>1.726</c:v>
                </c:pt>
                <c:pt idx="546">
                  <c:v>1.723</c:v>
                </c:pt>
                <c:pt idx="547">
                  <c:v>1.717</c:v>
                </c:pt>
                <c:pt idx="548">
                  <c:v>1.717</c:v>
                </c:pt>
                <c:pt idx="549">
                  <c:v>1.714</c:v>
                </c:pt>
                <c:pt idx="550">
                  <c:v>1.709</c:v>
                </c:pt>
                <c:pt idx="551">
                  <c:v>1.703</c:v>
                </c:pt>
                <c:pt idx="552">
                  <c:v>1.699</c:v>
                </c:pt>
                <c:pt idx="553">
                  <c:v>1.693</c:v>
                </c:pt>
                <c:pt idx="554">
                  <c:v>1.691</c:v>
                </c:pt>
                <c:pt idx="555">
                  <c:v>1.691</c:v>
                </c:pt>
                <c:pt idx="556">
                  <c:v>1.686</c:v>
                </c:pt>
                <c:pt idx="557">
                  <c:v>1.677</c:v>
                </c:pt>
                <c:pt idx="558">
                  <c:v>1.674</c:v>
                </c:pt>
                <c:pt idx="559">
                  <c:v>1.674</c:v>
                </c:pt>
                <c:pt idx="560">
                  <c:v>1.663</c:v>
                </c:pt>
                <c:pt idx="561">
                  <c:v>1.656</c:v>
                </c:pt>
                <c:pt idx="562">
                  <c:v>1.656</c:v>
                </c:pt>
                <c:pt idx="563">
                  <c:v>1.653</c:v>
                </c:pt>
                <c:pt idx="564">
                  <c:v>1.65</c:v>
                </c:pt>
                <c:pt idx="565">
                  <c:v>1.646</c:v>
                </c:pt>
                <c:pt idx="566">
                  <c:v>1.64</c:v>
                </c:pt>
                <c:pt idx="567">
                  <c:v>1.637</c:v>
                </c:pt>
                <c:pt idx="568">
                  <c:v>1.634</c:v>
                </c:pt>
                <c:pt idx="569">
                  <c:v>1.633</c:v>
                </c:pt>
                <c:pt idx="570">
                  <c:v>1.633</c:v>
                </c:pt>
                <c:pt idx="571">
                  <c:v>1.63</c:v>
                </c:pt>
                <c:pt idx="572">
                  <c:v>1.63</c:v>
                </c:pt>
                <c:pt idx="573">
                  <c:v>1.63</c:v>
                </c:pt>
                <c:pt idx="574">
                  <c:v>1.63</c:v>
                </c:pt>
                <c:pt idx="575">
                  <c:v>1.629</c:v>
                </c:pt>
                <c:pt idx="576">
                  <c:v>1.622</c:v>
                </c:pt>
                <c:pt idx="577">
                  <c:v>1.618</c:v>
                </c:pt>
                <c:pt idx="578">
                  <c:v>1.618</c:v>
                </c:pt>
                <c:pt idx="579">
                  <c:v>1.618</c:v>
                </c:pt>
                <c:pt idx="580">
                  <c:v>1.618</c:v>
                </c:pt>
                <c:pt idx="581">
                  <c:v>1.618</c:v>
                </c:pt>
                <c:pt idx="582">
                  <c:v>1.618</c:v>
                </c:pt>
                <c:pt idx="583">
                  <c:v>1.617</c:v>
                </c:pt>
                <c:pt idx="584">
                  <c:v>1.617</c:v>
                </c:pt>
                <c:pt idx="585">
                  <c:v>1.609</c:v>
                </c:pt>
                <c:pt idx="586">
                  <c:v>1.606</c:v>
                </c:pt>
                <c:pt idx="587">
                  <c:v>1.603</c:v>
                </c:pt>
                <c:pt idx="588">
                  <c:v>1.597</c:v>
                </c:pt>
                <c:pt idx="589">
                  <c:v>1.583</c:v>
                </c:pt>
                <c:pt idx="590">
                  <c:v>1.58</c:v>
                </c:pt>
                <c:pt idx="591">
                  <c:v>1.577</c:v>
                </c:pt>
                <c:pt idx="592">
                  <c:v>1.575</c:v>
                </c:pt>
                <c:pt idx="593">
                  <c:v>1.571</c:v>
                </c:pt>
                <c:pt idx="594">
                  <c:v>1.569</c:v>
                </c:pt>
                <c:pt idx="595">
                  <c:v>1.567</c:v>
                </c:pt>
                <c:pt idx="596">
                  <c:v>1.554</c:v>
                </c:pt>
                <c:pt idx="597">
                  <c:v>1.543</c:v>
                </c:pt>
                <c:pt idx="598">
                  <c:v>1.536</c:v>
                </c:pt>
                <c:pt idx="599">
                  <c:v>1.533</c:v>
                </c:pt>
                <c:pt idx="600">
                  <c:v>1.53</c:v>
                </c:pt>
                <c:pt idx="601">
                  <c:v>1.528</c:v>
                </c:pt>
                <c:pt idx="602">
                  <c:v>1.524</c:v>
                </c:pt>
                <c:pt idx="603">
                  <c:v>1.524</c:v>
                </c:pt>
                <c:pt idx="604">
                  <c:v>1.524</c:v>
                </c:pt>
                <c:pt idx="605">
                  <c:v>1.52</c:v>
                </c:pt>
                <c:pt idx="606">
                  <c:v>1.518</c:v>
                </c:pt>
                <c:pt idx="607">
                  <c:v>1.521</c:v>
                </c:pt>
                <c:pt idx="608">
                  <c:v>1.52</c:v>
                </c:pt>
                <c:pt idx="609">
                  <c:v>1.52</c:v>
                </c:pt>
                <c:pt idx="610">
                  <c:v>1.52</c:v>
                </c:pt>
                <c:pt idx="611">
                  <c:v>1.52</c:v>
                </c:pt>
                <c:pt idx="612">
                  <c:v>1.518</c:v>
                </c:pt>
                <c:pt idx="613">
                  <c:v>1.518</c:v>
                </c:pt>
                <c:pt idx="614">
                  <c:v>1.517</c:v>
                </c:pt>
                <c:pt idx="615">
                  <c:v>1.516</c:v>
                </c:pt>
                <c:pt idx="616">
                  <c:v>1.513</c:v>
                </c:pt>
                <c:pt idx="617">
                  <c:v>1.513</c:v>
                </c:pt>
                <c:pt idx="618">
                  <c:v>1.511</c:v>
                </c:pt>
                <c:pt idx="619">
                  <c:v>1.509</c:v>
                </c:pt>
                <c:pt idx="620">
                  <c:v>1.508</c:v>
                </c:pt>
                <c:pt idx="621">
                  <c:v>1.507</c:v>
                </c:pt>
                <c:pt idx="622">
                  <c:v>1.503</c:v>
                </c:pt>
                <c:pt idx="623">
                  <c:v>1.5</c:v>
                </c:pt>
                <c:pt idx="624">
                  <c:v>1.498</c:v>
                </c:pt>
                <c:pt idx="625">
                  <c:v>1.496</c:v>
                </c:pt>
                <c:pt idx="626">
                  <c:v>1.493</c:v>
                </c:pt>
                <c:pt idx="627">
                  <c:v>1.493</c:v>
                </c:pt>
                <c:pt idx="628">
                  <c:v>1.491</c:v>
                </c:pt>
                <c:pt idx="629">
                  <c:v>1.489</c:v>
                </c:pt>
                <c:pt idx="630">
                  <c:v>1.486</c:v>
                </c:pt>
                <c:pt idx="631">
                  <c:v>1.486</c:v>
                </c:pt>
                <c:pt idx="632">
                  <c:v>1.485</c:v>
                </c:pt>
                <c:pt idx="633">
                  <c:v>1.483</c:v>
                </c:pt>
                <c:pt idx="634">
                  <c:v>1.483</c:v>
                </c:pt>
                <c:pt idx="635">
                  <c:v>1.483</c:v>
                </c:pt>
                <c:pt idx="636">
                  <c:v>1.48</c:v>
                </c:pt>
                <c:pt idx="637">
                  <c:v>1.476</c:v>
                </c:pt>
                <c:pt idx="638">
                  <c:v>1.475</c:v>
                </c:pt>
                <c:pt idx="639">
                  <c:v>1.47</c:v>
                </c:pt>
                <c:pt idx="640">
                  <c:v>1.466</c:v>
                </c:pt>
                <c:pt idx="641">
                  <c:v>1.465</c:v>
                </c:pt>
                <c:pt idx="642">
                  <c:v>1.46</c:v>
                </c:pt>
                <c:pt idx="643">
                  <c:v>1.46</c:v>
                </c:pt>
                <c:pt idx="644">
                  <c:v>1.456</c:v>
                </c:pt>
                <c:pt idx="645">
                  <c:v>1.452</c:v>
                </c:pt>
                <c:pt idx="646">
                  <c:v>1.449</c:v>
                </c:pt>
                <c:pt idx="647">
                  <c:v>1.447</c:v>
                </c:pt>
                <c:pt idx="648">
                  <c:v>1.445</c:v>
                </c:pt>
                <c:pt idx="649">
                  <c:v>1.444</c:v>
                </c:pt>
                <c:pt idx="650">
                  <c:v>1.443</c:v>
                </c:pt>
                <c:pt idx="651">
                  <c:v>1.443</c:v>
                </c:pt>
                <c:pt idx="652">
                  <c:v>1.443</c:v>
                </c:pt>
                <c:pt idx="653">
                  <c:v>1.443</c:v>
                </c:pt>
                <c:pt idx="654">
                  <c:v>1.438</c:v>
                </c:pt>
                <c:pt idx="655">
                  <c:v>1.435</c:v>
                </c:pt>
                <c:pt idx="656">
                  <c:v>1.43</c:v>
                </c:pt>
                <c:pt idx="657">
                  <c:v>1.428</c:v>
                </c:pt>
                <c:pt idx="658">
                  <c:v>1.423</c:v>
                </c:pt>
                <c:pt idx="659">
                  <c:v>1.42</c:v>
                </c:pt>
                <c:pt idx="660">
                  <c:v>1.415</c:v>
                </c:pt>
                <c:pt idx="661">
                  <c:v>1.413</c:v>
                </c:pt>
                <c:pt idx="662">
                  <c:v>1.409</c:v>
                </c:pt>
                <c:pt idx="663">
                  <c:v>1.408</c:v>
                </c:pt>
                <c:pt idx="664">
                  <c:v>1.406</c:v>
                </c:pt>
                <c:pt idx="665">
                  <c:v>1.406</c:v>
                </c:pt>
                <c:pt idx="666">
                  <c:v>1.405</c:v>
                </c:pt>
                <c:pt idx="667">
                  <c:v>1.403</c:v>
                </c:pt>
                <c:pt idx="668">
                  <c:v>1.402</c:v>
                </c:pt>
                <c:pt idx="669">
                  <c:v>1.4</c:v>
                </c:pt>
                <c:pt idx="670">
                  <c:v>1.398</c:v>
                </c:pt>
                <c:pt idx="671">
                  <c:v>1.395</c:v>
                </c:pt>
                <c:pt idx="672">
                  <c:v>1.395</c:v>
                </c:pt>
                <c:pt idx="673">
                  <c:v>1.396</c:v>
                </c:pt>
                <c:pt idx="674">
                  <c:v>1.4</c:v>
                </c:pt>
                <c:pt idx="675">
                  <c:v>1.405</c:v>
                </c:pt>
                <c:pt idx="676">
                  <c:v>1.42</c:v>
                </c:pt>
                <c:pt idx="677">
                  <c:v>1.43</c:v>
                </c:pt>
                <c:pt idx="678">
                  <c:v>1.438</c:v>
                </c:pt>
                <c:pt idx="679">
                  <c:v>1.435</c:v>
                </c:pt>
                <c:pt idx="680">
                  <c:v>1.435</c:v>
                </c:pt>
                <c:pt idx="681">
                  <c:v>1.438</c:v>
                </c:pt>
                <c:pt idx="682">
                  <c:v>1.438</c:v>
                </c:pt>
                <c:pt idx="683">
                  <c:v>1.44</c:v>
                </c:pt>
                <c:pt idx="684">
                  <c:v>1.443</c:v>
                </c:pt>
                <c:pt idx="685">
                  <c:v>1.45</c:v>
                </c:pt>
                <c:pt idx="686">
                  <c:v>1.45</c:v>
                </c:pt>
                <c:pt idx="687">
                  <c:v>1.455</c:v>
                </c:pt>
                <c:pt idx="688">
                  <c:v>1.454</c:v>
                </c:pt>
                <c:pt idx="689">
                  <c:v>1.458</c:v>
                </c:pt>
                <c:pt idx="690">
                  <c:v>1.458</c:v>
                </c:pt>
                <c:pt idx="691">
                  <c:v>1.468</c:v>
                </c:pt>
                <c:pt idx="692">
                  <c:v>1.47</c:v>
                </c:pt>
                <c:pt idx="693">
                  <c:v>1.47</c:v>
                </c:pt>
                <c:pt idx="694">
                  <c:v>1.478</c:v>
                </c:pt>
                <c:pt idx="695">
                  <c:v>1.485</c:v>
                </c:pt>
                <c:pt idx="696">
                  <c:v>1.495</c:v>
                </c:pt>
                <c:pt idx="697">
                  <c:v>1.505</c:v>
                </c:pt>
                <c:pt idx="698">
                  <c:v>1.51</c:v>
                </c:pt>
                <c:pt idx="699">
                  <c:v>1.508</c:v>
                </c:pt>
                <c:pt idx="700">
                  <c:v>1.508</c:v>
                </c:pt>
                <c:pt idx="701">
                  <c:v>1.508</c:v>
                </c:pt>
                <c:pt idx="702">
                  <c:v>1.51</c:v>
                </c:pt>
                <c:pt idx="703">
                  <c:v>1.511</c:v>
                </c:pt>
                <c:pt idx="704">
                  <c:v>1.52</c:v>
                </c:pt>
                <c:pt idx="705">
                  <c:v>1.52</c:v>
                </c:pt>
                <c:pt idx="706">
                  <c:v>1.532</c:v>
                </c:pt>
                <c:pt idx="707">
                  <c:v>1.542</c:v>
                </c:pt>
                <c:pt idx="708">
                  <c:v>1.542</c:v>
                </c:pt>
                <c:pt idx="709">
                  <c:v>1.547</c:v>
                </c:pt>
                <c:pt idx="710">
                  <c:v>1.547</c:v>
                </c:pt>
                <c:pt idx="711">
                  <c:v>1.545</c:v>
                </c:pt>
                <c:pt idx="712">
                  <c:v>1.547</c:v>
                </c:pt>
                <c:pt idx="713">
                  <c:v>1.555</c:v>
                </c:pt>
                <c:pt idx="714">
                  <c:v>1.555</c:v>
                </c:pt>
                <c:pt idx="715">
                  <c:v>1.557</c:v>
                </c:pt>
                <c:pt idx="716">
                  <c:v>1.557</c:v>
                </c:pt>
                <c:pt idx="717">
                  <c:v>1.557</c:v>
                </c:pt>
                <c:pt idx="718">
                  <c:v>1.557</c:v>
                </c:pt>
                <c:pt idx="719">
                  <c:v>1.557</c:v>
                </c:pt>
                <c:pt idx="720">
                  <c:v>1.554</c:v>
                </c:pt>
                <c:pt idx="721">
                  <c:v>1.552</c:v>
                </c:pt>
                <c:pt idx="722">
                  <c:v>1.553</c:v>
                </c:pt>
                <c:pt idx="723">
                  <c:v>1.551</c:v>
                </c:pt>
                <c:pt idx="724">
                  <c:v>1.552</c:v>
                </c:pt>
                <c:pt idx="725">
                  <c:v>1.554</c:v>
                </c:pt>
                <c:pt idx="726">
                  <c:v>1.556</c:v>
                </c:pt>
                <c:pt idx="727">
                  <c:v>1.559</c:v>
                </c:pt>
                <c:pt idx="728">
                  <c:v>1.559</c:v>
                </c:pt>
                <c:pt idx="729">
                  <c:v>1.559</c:v>
                </c:pt>
                <c:pt idx="730">
                  <c:v>1.574</c:v>
                </c:pt>
                <c:pt idx="731">
                  <c:v>1.582</c:v>
                </c:pt>
                <c:pt idx="732">
                  <c:v>1.585</c:v>
                </c:pt>
                <c:pt idx="733">
                  <c:v>1.59</c:v>
                </c:pt>
                <c:pt idx="734">
                  <c:v>1.596</c:v>
                </c:pt>
                <c:pt idx="735">
                  <c:v>1.604</c:v>
                </c:pt>
                <c:pt idx="736">
                  <c:v>1.604</c:v>
                </c:pt>
                <c:pt idx="737">
                  <c:v>1.609</c:v>
                </c:pt>
                <c:pt idx="738">
                  <c:v>1.612</c:v>
                </c:pt>
                <c:pt idx="739">
                  <c:v>1.61</c:v>
                </c:pt>
                <c:pt idx="740">
                  <c:v>1.604</c:v>
                </c:pt>
                <c:pt idx="741">
                  <c:v>1.603</c:v>
                </c:pt>
                <c:pt idx="742">
                  <c:v>1.603</c:v>
                </c:pt>
                <c:pt idx="743">
                  <c:v>1.601</c:v>
                </c:pt>
                <c:pt idx="744">
                  <c:v>1.601</c:v>
                </c:pt>
                <c:pt idx="745">
                  <c:v>1.603</c:v>
                </c:pt>
                <c:pt idx="746">
                  <c:v>1.609</c:v>
                </c:pt>
                <c:pt idx="747">
                  <c:v>1.61</c:v>
                </c:pt>
                <c:pt idx="748">
                  <c:v>1.61</c:v>
                </c:pt>
                <c:pt idx="749">
                  <c:v>1.613</c:v>
                </c:pt>
                <c:pt idx="750">
                  <c:v>1.613</c:v>
                </c:pt>
                <c:pt idx="751">
                  <c:v>1.613</c:v>
                </c:pt>
                <c:pt idx="752">
                  <c:v>1.621</c:v>
                </c:pt>
                <c:pt idx="753">
                  <c:v>1.626</c:v>
                </c:pt>
                <c:pt idx="754">
                  <c:v>1.631</c:v>
                </c:pt>
                <c:pt idx="755">
                  <c:v>1.646</c:v>
                </c:pt>
                <c:pt idx="756">
                  <c:v>1.657</c:v>
                </c:pt>
                <c:pt idx="757">
                  <c:v>1.664</c:v>
                </c:pt>
                <c:pt idx="758">
                  <c:v>1.678</c:v>
                </c:pt>
                <c:pt idx="759">
                  <c:v>1.683</c:v>
                </c:pt>
                <c:pt idx="760">
                  <c:v>1.685</c:v>
                </c:pt>
                <c:pt idx="761">
                  <c:v>1.685</c:v>
                </c:pt>
                <c:pt idx="762">
                  <c:v>1.708</c:v>
                </c:pt>
                <c:pt idx="763">
                  <c:v>1.739</c:v>
                </c:pt>
                <c:pt idx="764">
                  <c:v>1.756</c:v>
                </c:pt>
                <c:pt idx="765">
                  <c:v>1.781</c:v>
                </c:pt>
                <c:pt idx="766">
                  <c:v>1.786</c:v>
                </c:pt>
                <c:pt idx="767">
                  <c:v>1.786</c:v>
                </c:pt>
                <c:pt idx="768">
                  <c:v>1.786</c:v>
                </c:pt>
                <c:pt idx="769">
                  <c:v>1.789</c:v>
                </c:pt>
                <c:pt idx="770">
                  <c:v>1.795</c:v>
                </c:pt>
                <c:pt idx="771">
                  <c:v>1.795</c:v>
                </c:pt>
                <c:pt idx="772">
                  <c:v>1.795</c:v>
                </c:pt>
                <c:pt idx="773">
                  <c:v>1.795</c:v>
                </c:pt>
                <c:pt idx="774">
                  <c:v>1.798</c:v>
                </c:pt>
                <c:pt idx="775">
                  <c:v>1.806</c:v>
                </c:pt>
                <c:pt idx="776">
                  <c:v>1.814</c:v>
                </c:pt>
                <c:pt idx="777">
                  <c:v>1.821</c:v>
                </c:pt>
                <c:pt idx="778">
                  <c:v>1.824</c:v>
                </c:pt>
                <c:pt idx="779">
                  <c:v>1.824</c:v>
                </c:pt>
                <c:pt idx="780">
                  <c:v>1.824</c:v>
                </c:pt>
                <c:pt idx="781">
                  <c:v>1.829</c:v>
                </c:pt>
                <c:pt idx="782">
                  <c:v>1.829</c:v>
                </c:pt>
                <c:pt idx="783">
                  <c:v>1.831</c:v>
                </c:pt>
                <c:pt idx="784">
                  <c:v>1.828</c:v>
                </c:pt>
                <c:pt idx="785">
                  <c:v>1.828</c:v>
                </c:pt>
                <c:pt idx="786">
                  <c:v>1.828</c:v>
                </c:pt>
                <c:pt idx="787">
                  <c:v>1.831</c:v>
                </c:pt>
                <c:pt idx="788">
                  <c:v>1.828</c:v>
                </c:pt>
                <c:pt idx="789">
                  <c:v>1.827</c:v>
                </c:pt>
                <c:pt idx="790">
                  <c:v>1.827</c:v>
                </c:pt>
                <c:pt idx="791">
                  <c:v>1.818</c:v>
                </c:pt>
                <c:pt idx="792">
                  <c:v>1.815</c:v>
                </c:pt>
                <c:pt idx="793">
                  <c:v>1.811</c:v>
                </c:pt>
                <c:pt idx="794">
                  <c:v>1.809</c:v>
                </c:pt>
                <c:pt idx="795">
                  <c:v>1.807</c:v>
                </c:pt>
                <c:pt idx="796">
                  <c:v>1.807</c:v>
                </c:pt>
                <c:pt idx="797">
                  <c:v>1.806</c:v>
                </c:pt>
                <c:pt idx="798">
                  <c:v>1.804</c:v>
                </c:pt>
                <c:pt idx="799">
                  <c:v>1.796</c:v>
                </c:pt>
                <c:pt idx="800">
                  <c:v>1.794</c:v>
                </c:pt>
                <c:pt idx="801">
                  <c:v>1.789</c:v>
                </c:pt>
                <c:pt idx="802">
                  <c:v>1.784</c:v>
                </c:pt>
                <c:pt idx="803">
                  <c:v>1.782</c:v>
                </c:pt>
                <c:pt idx="804">
                  <c:v>1.777</c:v>
                </c:pt>
                <c:pt idx="805">
                  <c:v>1.773</c:v>
                </c:pt>
                <c:pt idx="806">
                  <c:v>1.77</c:v>
                </c:pt>
                <c:pt idx="807">
                  <c:v>1.769</c:v>
                </c:pt>
                <c:pt idx="808">
                  <c:v>1.769</c:v>
                </c:pt>
                <c:pt idx="809">
                  <c:v>1.769</c:v>
                </c:pt>
                <c:pt idx="810">
                  <c:v>1.769</c:v>
                </c:pt>
                <c:pt idx="811">
                  <c:v>1.767</c:v>
                </c:pt>
                <c:pt idx="812">
                  <c:v>1.767</c:v>
                </c:pt>
                <c:pt idx="813">
                  <c:v>1.767</c:v>
                </c:pt>
                <c:pt idx="814">
                  <c:v>1.771</c:v>
                </c:pt>
                <c:pt idx="815">
                  <c:v>1.771</c:v>
                </c:pt>
                <c:pt idx="816">
                  <c:v>1.781</c:v>
                </c:pt>
                <c:pt idx="817">
                  <c:v>1.786</c:v>
                </c:pt>
                <c:pt idx="818">
                  <c:v>1.8</c:v>
                </c:pt>
                <c:pt idx="819">
                  <c:v>1.805</c:v>
                </c:pt>
                <c:pt idx="820">
                  <c:v>1.805</c:v>
                </c:pt>
                <c:pt idx="821">
                  <c:v>1.804</c:v>
                </c:pt>
                <c:pt idx="822">
                  <c:v>1.805</c:v>
                </c:pt>
                <c:pt idx="823">
                  <c:v>1.805</c:v>
                </c:pt>
                <c:pt idx="824">
                  <c:v>1.802</c:v>
                </c:pt>
                <c:pt idx="825">
                  <c:v>1.8</c:v>
                </c:pt>
                <c:pt idx="826">
                  <c:v>1.794</c:v>
                </c:pt>
                <c:pt idx="827">
                  <c:v>1.792</c:v>
                </c:pt>
                <c:pt idx="828">
                  <c:v>1.791</c:v>
                </c:pt>
                <c:pt idx="829">
                  <c:v>1.788</c:v>
                </c:pt>
                <c:pt idx="830">
                  <c:v>1.785</c:v>
                </c:pt>
                <c:pt idx="831">
                  <c:v>1.783</c:v>
                </c:pt>
                <c:pt idx="832">
                  <c:v>1.781</c:v>
                </c:pt>
                <c:pt idx="833">
                  <c:v>1.78</c:v>
                </c:pt>
                <c:pt idx="834">
                  <c:v>1.78</c:v>
                </c:pt>
                <c:pt idx="835">
                  <c:v>1.777</c:v>
                </c:pt>
                <c:pt idx="836">
                  <c:v>1.776</c:v>
                </c:pt>
                <c:pt idx="837">
                  <c:v>1.773</c:v>
                </c:pt>
                <c:pt idx="838">
                  <c:v>1.769</c:v>
                </c:pt>
                <c:pt idx="839">
                  <c:v>1.766</c:v>
                </c:pt>
                <c:pt idx="840">
                  <c:v>1.763</c:v>
                </c:pt>
                <c:pt idx="841">
                  <c:v>1.761</c:v>
                </c:pt>
                <c:pt idx="842">
                  <c:v>1.758</c:v>
                </c:pt>
                <c:pt idx="843">
                  <c:v>1.75</c:v>
                </c:pt>
                <c:pt idx="844">
                  <c:v>1.748</c:v>
                </c:pt>
                <c:pt idx="845">
                  <c:v>1.744</c:v>
                </c:pt>
                <c:pt idx="846">
                  <c:v>1.738</c:v>
                </c:pt>
                <c:pt idx="847">
                  <c:v>1.73</c:v>
                </c:pt>
                <c:pt idx="848">
                  <c:v>1.729</c:v>
                </c:pt>
                <c:pt idx="849">
                  <c:v>1.726</c:v>
                </c:pt>
                <c:pt idx="850" c:formatCode="0.0000">
                  <c:v>1.726</c:v>
                </c:pt>
                <c:pt idx="851" c:formatCode="0.0000">
                  <c:v>1.724</c:v>
                </c:pt>
                <c:pt idx="852" c:formatCode="0.0000">
                  <c:v>1.72</c:v>
                </c:pt>
                <c:pt idx="853" c:formatCode="0.0000">
                  <c:v>1.72</c:v>
                </c:pt>
                <c:pt idx="854" c:formatCode="0.0000">
                  <c:v>1.715</c:v>
                </c:pt>
                <c:pt idx="855" c:formatCode="0.0000">
                  <c:v>1.714</c:v>
                </c:pt>
                <c:pt idx="856" c:formatCode="0.0000">
                  <c:v>1.714</c:v>
                </c:pt>
                <c:pt idx="857" c:formatCode="0.0000">
                  <c:v>1.714</c:v>
                </c:pt>
                <c:pt idx="858" c:formatCode="0.0000">
                  <c:v>1.713</c:v>
                </c:pt>
                <c:pt idx="859" c:formatCode="0.0000">
                  <c:v>1.711</c:v>
                </c:pt>
                <c:pt idx="860" c:formatCode="0.0000">
                  <c:v>1.707</c:v>
                </c:pt>
                <c:pt idx="861" c:formatCode="0.0000">
                  <c:v>1.703</c:v>
                </c:pt>
                <c:pt idx="862" c:formatCode="0.0000">
                  <c:v>1.703</c:v>
                </c:pt>
                <c:pt idx="863" c:formatCode="0.0000">
                  <c:v>1.703</c:v>
                </c:pt>
                <c:pt idx="864" c:formatCode="0.0000">
                  <c:v>1.709</c:v>
                </c:pt>
                <c:pt idx="865" c:formatCode="0.0000">
                  <c:v>1.709</c:v>
                </c:pt>
                <c:pt idx="866" c:formatCode="0.0000">
                  <c:v>1.706</c:v>
                </c:pt>
                <c:pt idx="867" c:formatCode="0.0000">
                  <c:v>1.721</c:v>
                </c:pt>
                <c:pt idx="868" c:formatCode="0.0000">
                  <c:v>1.732</c:v>
                </c:pt>
                <c:pt idx="869" c:formatCode="0.0000">
                  <c:v>1.736</c:v>
                </c:pt>
                <c:pt idx="870" c:formatCode="0.0000">
                  <c:v>1.744</c:v>
                </c:pt>
                <c:pt idx="871" c:formatCode="0.0000">
                  <c:v>1.746</c:v>
                </c:pt>
                <c:pt idx="872" c:formatCode="0.0000">
                  <c:v>1.748</c:v>
                </c:pt>
                <c:pt idx="873" c:formatCode="0.0000">
                  <c:v>1.754</c:v>
                </c:pt>
                <c:pt idx="874" c:formatCode="0.0000">
                  <c:v>1.757</c:v>
                </c:pt>
                <c:pt idx="875" c:formatCode="0.0000">
                  <c:v>1.777</c:v>
                </c:pt>
                <c:pt idx="876" c:formatCode="0.0000">
                  <c:v>1.799</c:v>
                </c:pt>
                <c:pt idx="877" c:formatCode="0.0000">
                  <c:v>1.81</c:v>
                </c:pt>
                <c:pt idx="878" c:formatCode="0.0000">
                  <c:v>1.818</c:v>
                </c:pt>
                <c:pt idx="879" c:formatCode="0.0000">
                  <c:v>1.818</c:v>
                </c:pt>
                <c:pt idx="880" c:formatCode="0.0000">
                  <c:v>1.823</c:v>
                </c:pt>
                <c:pt idx="881" c:formatCode="0.0000">
                  <c:v>1.83</c:v>
                </c:pt>
                <c:pt idx="882" c:formatCode="0.0000">
                  <c:v>1.83</c:v>
                </c:pt>
                <c:pt idx="883" c:formatCode="0.0000">
                  <c:v>1.83</c:v>
                </c:pt>
                <c:pt idx="884" c:formatCode="0.0000">
                  <c:v>1.83</c:v>
                </c:pt>
                <c:pt idx="885" c:formatCode="0.0000">
                  <c:v>1.831</c:v>
                </c:pt>
                <c:pt idx="886" c:formatCode="0.0000">
                  <c:v>1.831</c:v>
                </c:pt>
                <c:pt idx="887" c:formatCode="0.0000">
                  <c:v>1.833</c:v>
                </c:pt>
                <c:pt idx="888" c:formatCode="0.0000">
                  <c:v>1.833</c:v>
                </c:pt>
                <c:pt idx="889" c:formatCode="0.0000">
                  <c:v>1.835</c:v>
                </c:pt>
                <c:pt idx="890" c:formatCode="0.0000">
                  <c:v>1.835</c:v>
                </c:pt>
                <c:pt idx="891" c:formatCode="0.0000">
                  <c:v>1.836</c:v>
                </c:pt>
                <c:pt idx="892" c:formatCode="0.0000">
                  <c:v>1.833</c:v>
                </c:pt>
                <c:pt idx="893" c:formatCode="0.0000">
                  <c:v>1.83</c:v>
                </c:pt>
                <c:pt idx="894" c:formatCode="0.0000">
                  <c:v>1.83</c:v>
                </c:pt>
                <c:pt idx="895" c:formatCode="0.0000">
                  <c:v>1.83</c:v>
                </c:pt>
                <c:pt idx="896" c:formatCode="0.0000">
                  <c:v>1.83</c:v>
                </c:pt>
                <c:pt idx="897" c:formatCode="0.0000">
                  <c:v>1.83</c:v>
                </c:pt>
                <c:pt idx="898" c:formatCode="0.0000">
                  <c:v>1.83</c:v>
                </c:pt>
                <c:pt idx="899" c:formatCode="0.0000">
                  <c:v>1.829</c:v>
                </c:pt>
                <c:pt idx="900" c:formatCode="0.0000">
                  <c:v>1.829</c:v>
                </c:pt>
                <c:pt idx="901" c:formatCode="0.0000">
                  <c:v>1.829</c:v>
                </c:pt>
                <c:pt idx="902" c:formatCode="0.0000">
                  <c:v>1.829</c:v>
                </c:pt>
                <c:pt idx="903" c:formatCode="0.0000">
                  <c:v>1.826</c:v>
                </c:pt>
                <c:pt idx="904" c:formatCode="0.0000">
                  <c:v>1.825</c:v>
                </c:pt>
                <c:pt idx="905" c:formatCode="0.0000">
                  <c:v>1.825</c:v>
                </c:pt>
                <c:pt idx="906" c:formatCode="0.0000">
                  <c:v>1.824</c:v>
                </c:pt>
                <c:pt idx="907" c:formatCode="0.0000">
                  <c:v>1.823</c:v>
                </c:pt>
                <c:pt idx="908" c:formatCode="0.0000">
                  <c:v>1.82</c:v>
                </c:pt>
                <c:pt idx="909" c:formatCode="0.0000">
                  <c:v>1.808</c:v>
                </c:pt>
                <c:pt idx="910" c:formatCode="0.0000">
                  <c:v>1.798</c:v>
                </c:pt>
                <c:pt idx="911" c:formatCode="0.0000">
                  <c:v>1.795</c:v>
                </c:pt>
                <c:pt idx="912" c:formatCode="0.0000">
                  <c:v>1.788</c:v>
                </c:pt>
                <c:pt idx="913" c:formatCode="0.0000">
                  <c:v>1.78</c:v>
                </c:pt>
                <c:pt idx="914" c:formatCode="0.0000">
                  <c:v>1.773</c:v>
                </c:pt>
                <c:pt idx="915" c:formatCode="0.0000">
                  <c:v>1.77</c:v>
                </c:pt>
                <c:pt idx="916" c:formatCode="0.0000">
                  <c:v>1.768</c:v>
                </c:pt>
                <c:pt idx="917" c:formatCode="0.0000">
                  <c:v>1.765</c:v>
                </c:pt>
                <c:pt idx="918" c:formatCode="0.0000">
                  <c:v>1.765</c:v>
                </c:pt>
                <c:pt idx="919" c:formatCode="0.0000">
                  <c:v>1.765</c:v>
                </c:pt>
                <c:pt idx="920" c:formatCode="0.0000">
                  <c:v>1.76</c:v>
                </c:pt>
                <c:pt idx="921" c:formatCode="0.0000">
                  <c:v>1.755</c:v>
                </c:pt>
                <c:pt idx="922" c:formatCode="0.0000">
                  <c:v>1.753</c:v>
                </c:pt>
                <c:pt idx="923" c:formatCode="0.0000">
                  <c:v>1.748</c:v>
                </c:pt>
                <c:pt idx="924" c:formatCode="0.0000">
                  <c:v>1.745</c:v>
                </c:pt>
                <c:pt idx="925" c:formatCode="0.0000">
                  <c:v>1.74</c:v>
                </c:pt>
                <c:pt idx="926" c:formatCode="0.0000">
                  <c:v>1.738</c:v>
                </c:pt>
                <c:pt idx="927" c:formatCode="0.0000">
                  <c:v>1.73</c:v>
                </c:pt>
                <c:pt idx="928" c:formatCode="0.0000">
                  <c:v>1.725</c:v>
                </c:pt>
                <c:pt idx="929" c:formatCode="0.0000">
                  <c:v>1.72</c:v>
                </c:pt>
                <c:pt idx="930" c:formatCode="0.0000">
                  <c:v>1.72</c:v>
                </c:pt>
                <c:pt idx="931" c:formatCode="0.0000">
                  <c:v>1.718</c:v>
                </c:pt>
                <c:pt idx="932" c:formatCode="0.0000">
                  <c:v>1.715</c:v>
                </c:pt>
                <c:pt idx="933" c:formatCode="0.0000">
                  <c:v>1.715</c:v>
                </c:pt>
                <c:pt idx="934" c:formatCode="0.0000">
                  <c:v>1.715</c:v>
                </c:pt>
                <c:pt idx="935" c:formatCode="0.0000">
                  <c:v>1.713</c:v>
                </c:pt>
                <c:pt idx="936" c:formatCode="0.0000">
                  <c:v>1.7</c:v>
                </c:pt>
                <c:pt idx="937" c:formatCode="0.0000">
                  <c:v>1.695</c:v>
                </c:pt>
                <c:pt idx="938" c:formatCode="0.0000">
                  <c:v>1.695</c:v>
                </c:pt>
                <c:pt idx="939" c:formatCode="0.0000">
                  <c:v>1.688</c:v>
                </c:pt>
                <c:pt idx="940" c:formatCode="0.0000">
                  <c:v>1.685</c:v>
                </c:pt>
                <c:pt idx="941" c:formatCode="0.0000">
                  <c:v>1.683</c:v>
                </c:pt>
                <c:pt idx="942" c:formatCode="0.0000">
                  <c:v>1.68</c:v>
                </c:pt>
                <c:pt idx="943" c:formatCode="0.0000">
                  <c:v>1.68</c:v>
                </c:pt>
                <c:pt idx="944" c:formatCode="0.0000">
                  <c:v>1.67</c:v>
                </c:pt>
                <c:pt idx="945" c:formatCode="0.0000">
                  <c:v>1.665</c:v>
                </c:pt>
                <c:pt idx="946" c:formatCode="0.0000">
                  <c:v>1.655</c:v>
                </c:pt>
                <c:pt idx="947" c:formatCode="0.0000">
                  <c:v>1.65</c:v>
                </c:pt>
                <c:pt idx="948" c:formatCode="0.0000">
                  <c:v>1.638</c:v>
                </c:pt>
                <c:pt idx="949" c:formatCode="0.0000">
                  <c:v>1.635</c:v>
                </c:pt>
                <c:pt idx="950" c:formatCode="0.0000">
                  <c:v>1.633</c:v>
                </c:pt>
                <c:pt idx="951" c:formatCode="0.0000">
                  <c:v>1.633</c:v>
                </c:pt>
                <c:pt idx="952" c:formatCode="0.0000">
                  <c:v>1.633</c:v>
                </c:pt>
                <c:pt idx="953" c:formatCode="0.0000">
                  <c:v>1.625</c:v>
                </c:pt>
                <c:pt idx="954" c:formatCode="0.0000">
                  <c:v>1.623</c:v>
                </c:pt>
                <c:pt idx="955" c:formatCode="0.0000">
                  <c:v>1.62</c:v>
                </c:pt>
                <c:pt idx="956" c:formatCode="0.0000">
                  <c:v>1.615</c:v>
                </c:pt>
                <c:pt idx="957" c:formatCode="0.0000">
                  <c:v>1.613</c:v>
                </c:pt>
                <c:pt idx="958" c:formatCode="0.0000">
                  <c:v>1.61</c:v>
                </c:pt>
                <c:pt idx="959" c:formatCode="0.0000">
                  <c:v>1.61</c:v>
                </c:pt>
                <c:pt idx="960" c:formatCode="0.0000">
                  <c:v>1.61</c:v>
                </c:pt>
                <c:pt idx="961" c:formatCode="0.0000">
                  <c:v>1.61</c:v>
                </c:pt>
                <c:pt idx="962" c:formatCode="0.0000">
                  <c:v>1.608</c:v>
                </c:pt>
                <c:pt idx="963" c:formatCode="0.0000">
                  <c:v>1.6</c:v>
                </c:pt>
                <c:pt idx="964" c:formatCode="0.0000">
                  <c:v>1.588</c:v>
                </c:pt>
                <c:pt idx="965" c:formatCode="0.0000">
                  <c:v>1.588</c:v>
                </c:pt>
                <c:pt idx="966" c:formatCode="0.0000">
                  <c:v>1.583</c:v>
                </c:pt>
                <c:pt idx="967" c:formatCode="0.0000">
                  <c:v>1.58</c:v>
                </c:pt>
                <c:pt idx="968" c:formatCode="0.0000">
                  <c:v>1.57</c:v>
                </c:pt>
                <c:pt idx="969" c:formatCode="0.0000">
                  <c:v>1.568</c:v>
                </c:pt>
                <c:pt idx="970" c:formatCode="0.0000">
                  <c:v>1.565</c:v>
                </c:pt>
                <c:pt idx="971" c:formatCode="0.0000">
                  <c:v>1.563</c:v>
                </c:pt>
                <c:pt idx="972" c:formatCode="0.0000">
                  <c:v>1.56</c:v>
                </c:pt>
                <c:pt idx="973" c:formatCode="0.0000">
                  <c:v>1.56</c:v>
                </c:pt>
                <c:pt idx="974" c:formatCode="0.0000">
                  <c:v>1.558</c:v>
                </c:pt>
                <c:pt idx="975" c:formatCode="0.0000">
                  <c:v>1.55</c:v>
                </c:pt>
                <c:pt idx="976" c:formatCode="0.0000">
                  <c:v>1.545</c:v>
                </c:pt>
                <c:pt idx="977" c:formatCode="0.0000">
                  <c:v>1.538</c:v>
                </c:pt>
                <c:pt idx="978" c:formatCode="0.0000">
                  <c:v>1.533</c:v>
                </c:pt>
                <c:pt idx="979" c:formatCode="0.0000">
                  <c:v>1.53</c:v>
                </c:pt>
                <c:pt idx="980" c:formatCode="0.0000">
                  <c:v>1.528</c:v>
                </c:pt>
                <c:pt idx="981" c:formatCode="0.0000">
                  <c:v>1.518</c:v>
                </c:pt>
                <c:pt idx="982" c:formatCode="0.0000">
                  <c:v>1.508</c:v>
                </c:pt>
                <c:pt idx="983" c:formatCode="0.0000">
                  <c:v>1.505</c:v>
                </c:pt>
                <c:pt idx="984" c:formatCode="0.0000">
                  <c:v>1.498</c:v>
                </c:pt>
                <c:pt idx="985" c:formatCode="0.0000">
                  <c:v>1.488</c:v>
                </c:pt>
                <c:pt idx="986" c:formatCode="0.0000">
                  <c:v>1.475</c:v>
                </c:pt>
                <c:pt idx="987" c:formatCode="0.0000">
                  <c:v>1.47</c:v>
                </c:pt>
                <c:pt idx="988" c:formatCode="0.0000">
                  <c:v>1.465</c:v>
                </c:pt>
                <c:pt idx="989" c:formatCode="0.0000">
                  <c:v>1.463</c:v>
                </c:pt>
                <c:pt idx="990" c:formatCode="0.0000">
                  <c:v>1.463</c:v>
                </c:pt>
                <c:pt idx="991" c:formatCode="0.0000">
                  <c:v>1.463</c:v>
                </c:pt>
                <c:pt idx="992" c:formatCode="0.0000">
                  <c:v>1.46</c:v>
                </c:pt>
                <c:pt idx="993" c:formatCode="0.0000">
                  <c:v>1.458</c:v>
                </c:pt>
                <c:pt idx="994" c:formatCode="0.0000">
                  <c:v>1.458</c:v>
                </c:pt>
                <c:pt idx="995" c:formatCode="0.0000">
                  <c:v>1.457</c:v>
                </c:pt>
                <c:pt idx="996" c:formatCode="0.0000">
                  <c:v>1.456</c:v>
                </c:pt>
                <c:pt idx="997" c:formatCode="0.0000">
                  <c:v>1.464</c:v>
                </c:pt>
                <c:pt idx="998" c:formatCode="0.0000">
                  <c:v>1.466</c:v>
                </c:pt>
                <c:pt idx="999" c:formatCode="0.0000">
                  <c:v>1.466</c:v>
                </c:pt>
                <c:pt idx="1000" c:formatCode="0.0000">
                  <c:v>1.465</c:v>
                </c:pt>
                <c:pt idx="1001" c:formatCode="0.0000">
                  <c:v>1.464</c:v>
                </c:pt>
                <c:pt idx="1002" c:formatCode="0.0000">
                  <c:v>1.464</c:v>
                </c:pt>
                <c:pt idx="1003" c:formatCode="0.0000">
                  <c:v>1.464</c:v>
                </c:pt>
                <c:pt idx="1004" c:formatCode="0.0000">
                  <c:v>1.464</c:v>
                </c:pt>
                <c:pt idx="1005" c:formatCode="0.0000">
                  <c:v>1.464</c:v>
                </c:pt>
                <c:pt idx="1006" c:formatCode="0.0000">
                  <c:v>1.462</c:v>
                </c:pt>
                <c:pt idx="1007" c:formatCode="0.0000">
                  <c:v>1.462</c:v>
                </c:pt>
                <c:pt idx="1008" c:formatCode="0.0000">
                  <c:v>1.469</c:v>
                </c:pt>
                <c:pt idx="1009" c:formatCode="0.0000">
                  <c:v>1.469</c:v>
                </c:pt>
                <c:pt idx="1010" c:formatCode="0.0000">
                  <c:v>1.469</c:v>
                </c:pt>
                <c:pt idx="1011" c:formatCode="0.0000">
                  <c:v>1.469</c:v>
                </c:pt>
                <c:pt idx="1012" c:formatCode="0.0000">
                  <c:v>1.464</c:v>
                </c:pt>
                <c:pt idx="1013" c:formatCode="0.0000">
                  <c:v>1.464</c:v>
                </c:pt>
                <c:pt idx="1014" c:formatCode="0.0000">
                  <c:v>1.464</c:v>
                </c:pt>
                <c:pt idx="1015" c:formatCode="0.0000">
                  <c:v>1.464</c:v>
                </c:pt>
                <c:pt idx="1016" c:formatCode="0.0000">
                  <c:v>1.461</c:v>
                </c:pt>
                <c:pt idx="1017" c:formatCode="0.0000">
                  <c:v>1.461</c:v>
                </c:pt>
                <c:pt idx="1018" c:formatCode="0.0000">
                  <c:v>1.459</c:v>
                </c:pt>
                <c:pt idx="1019" c:formatCode="0.0000">
                  <c:v>1.457</c:v>
                </c:pt>
                <c:pt idx="1020" c:formatCode="0.0000">
                  <c:v>1.456</c:v>
                </c:pt>
                <c:pt idx="1021" c:formatCode="0.0000">
                  <c:v>1.458</c:v>
                </c:pt>
                <c:pt idx="1022" c:formatCode="0.0000">
                  <c:v>1.458</c:v>
                </c:pt>
                <c:pt idx="1023" c:formatCode="0.0000">
                  <c:v>1.458</c:v>
                </c:pt>
                <c:pt idx="1024" c:formatCode="0.0000">
                  <c:v>1.453</c:v>
                </c:pt>
                <c:pt idx="1025" c:formatCode="0.0000">
                  <c:v>1.451</c:v>
                </c:pt>
                <c:pt idx="1026" c:formatCode="0.0000">
                  <c:v>1.451</c:v>
                </c:pt>
                <c:pt idx="1027" c:formatCode="0.0000">
                  <c:v>1.451</c:v>
                </c:pt>
                <c:pt idx="1028" c:formatCode="0.0000">
                  <c:v>1.451</c:v>
                </c:pt>
                <c:pt idx="1029" c:formatCode="0.0000">
                  <c:v>1.449</c:v>
                </c:pt>
                <c:pt idx="1030" c:formatCode="0.0000">
                  <c:v>1.449</c:v>
                </c:pt>
                <c:pt idx="1031" c:formatCode="0.0000">
                  <c:v>1.449</c:v>
                </c:pt>
                <c:pt idx="1032" c:formatCode="0.0000">
                  <c:v>1.449</c:v>
                </c:pt>
                <c:pt idx="1033" c:formatCode="0.0000">
                  <c:v>1.449</c:v>
                </c:pt>
                <c:pt idx="1034" c:formatCode="0.0000">
                  <c:v>1.451</c:v>
                </c:pt>
                <c:pt idx="1035" c:formatCode="0.0000">
                  <c:v>1.451</c:v>
                </c:pt>
                <c:pt idx="1036" c:formatCode="0.0000">
                  <c:v>1.451</c:v>
                </c:pt>
                <c:pt idx="1037" c:formatCode="0.0000">
                  <c:v>1.449</c:v>
                </c:pt>
                <c:pt idx="1038" c:formatCode="0.0000">
                  <c:v>1.447</c:v>
                </c:pt>
                <c:pt idx="1039" c:formatCode="0.0000">
                  <c:v>1.446</c:v>
                </c:pt>
                <c:pt idx="1040" c:formatCode="0.0000">
                  <c:v>1.446</c:v>
                </c:pt>
                <c:pt idx="1041" c:formatCode="0.0000">
                  <c:v>1.446</c:v>
                </c:pt>
                <c:pt idx="1042" c:formatCode="0.0000">
                  <c:v>1.445</c:v>
                </c:pt>
                <c:pt idx="1043" c:formatCode="0.0000">
                  <c:v>1.445</c:v>
                </c:pt>
                <c:pt idx="1044" c:formatCode="0.0000">
                  <c:v>1.445</c:v>
                </c:pt>
                <c:pt idx="1045" c:formatCode="0.0000">
                  <c:v>1.444</c:v>
                </c:pt>
                <c:pt idx="1046" c:formatCode="0.0000">
                  <c:v>1.442</c:v>
                </c:pt>
                <c:pt idx="1047" c:formatCode="0.0000">
                  <c:v>1.449</c:v>
                </c:pt>
                <c:pt idx="1048" c:formatCode="0.0000">
                  <c:v>1.454</c:v>
                </c:pt>
                <c:pt idx="1049" c:formatCode="0.0000">
                  <c:v>1.461</c:v>
                </c:pt>
                <c:pt idx="1050" c:formatCode="0.0000">
                  <c:v>1.466</c:v>
                </c:pt>
                <c:pt idx="1051" c:formatCode="0.0000">
                  <c:v>1.475</c:v>
                </c:pt>
                <c:pt idx="1052" c:formatCode="0.0000">
                  <c:v>1.48</c:v>
                </c:pt>
                <c:pt idx="1053" c:formatCode="0.0000">
                  <c:v>1.486</c:v>
                </c:pt>
                <c:pt idx="1054" c:formatCode="0.0000">
                  <c:v>1.495</c:v>
                </c:pt>
                <c:pt idx="1055" c:formatCode="0.0000">
                  <c:v>1.5</c:v>
                </c:pt>
                <c:pt idx="1056" c:formatCode="0.0000">
                  <c:v>1.525</c:v>
                </c:pt>
                <c:pt idx="1057" c:formatCode="0.0000">
                  <c:v>1.546</c:v>
                </c:pt>
                <c:pt idx="1058" c:formatCode="0.0000">
                  <c:v>1.561</c:v>
                </c:pt>
                <c:pt idx="1059" c:formatCode="0.0000">
                  <c:v>1.58</c:v>
                </c:pt>
                <c:pt idx="1060" c:formatCode="0.0000">
                  <c:v>1.61</c:v>
                </c:pt>
                <c:pt idx="1061" c:formatCode="0.0000">
                  <c:v>1.625</c:v>
                </c:pt>
                <c:pt idx="1062" c:formatCode="0.0000">
                  <c:v>1.633</c:v>
                </c:pt>
                <c:pt idx="1063" c:formatCode="0.0000">
                  <c:v>1.646</c:v>
                </c:pt>
                <c:pt idx="1064" c:formatCode="0.0000">
                  <c:v>1.65</c:v>
                </c:pt>
                <c:pt idx="1065" c:formatCode="0.0000">
                  <c:v>1.653</c:v>
                </c:pt>
                <c:pt idx="1066" c:formatCode="0.0000">
                  <c:v>1.652</c:v>
                </c:pt>
                <c:pt idx="1067" c:formatCode="0.0000">
                  <c:v>1.65</c:v>
                </c:pt>
                <c:pt idx="1068" c:formatCode="0.0000">
                  <c:v>1.647</c:v>
                </c:pt>
                <c:pt idx="1069" c:formatCode="0.0000">
                  <c:v>1.652</c:v>
                </c:pt>
                <c:pt idx="1070" c:formatCode="0.0000">
                  <c:v>1.664</c:v>
                </c:pt>
                <c:pt idx="1071" c:formatCode="0.0000">
                  <c:v>1.666</c:v>
                </c:pt>
                <c:pt idx="1072" c:formatCode="0.0000">
                  <c:v>1.673</c:v>
                </c:pt>
                <c:pt idx="1073" c:formatCode="0.0000">
                  <c:v>1.673</c:v>
                </c:pt>
                <c:pt idx="1074" c:formatCode="0.0000">
                  <c:v>1.69</c:v>
                </c:pt>
                <c:pt idx="1075" c:formatCode="0.0000">
                  <c:v>1.7</c:v>
                </c:pt>
                <c:pt idx="1076" c:formatCode="0.0000">
                  <c:v>1.705</c:v>
                </c:pt>
                <c:pt idx="1077" c:formatCode="0.0000">
                  <c:v>1.72</c:v>
                </c:pt>
                <c:pt idx="1078" c:formatCode="0.0000">
                  <c:v>1.72</c:v>
                </c:pt>
                <c:pt idx="1079" c:formatCode="0.0000">
                  <c:v>1.741</c:v>
                </c:pt>
                <c:pt idx="1080" c:formatCode="0.0000">
                  <c:v>1.748</c:v>
                </c:pt>
                <c:pt idx="1081" c:formatCode="0.0000">
                  <c:v>1.753</c:v>
                </c:pt>
                <c:pt idx="1082" c:formatCode="0.0000">
                  <c:v>1.804</c:v>
                </c:pt>
                <c:pt idx="1083" c:formatCode="0.0000">
                  <c:v>1.821</c:v>
                </c:pt>
                <c:pt idx="1084" c:formatCode="0.0000">
                  <c:v>1.843</c:v>
                </c:pt>
                <c:pt idx="1085" c:formatCode="0.0000">
                  <c:v>1.854</c:v>
                </c:pt>
                <c:pt idx="1086" c:formatCode="0.0000">
                  <c:v>1.891</c:v>
                </c:pt>
                <c:pt idx="1087" c:formatCode="0.0000">
                  <c:v>1.922</c:v>
                </c:pt>
                <c:pt idx="1088" c:formatCode="0.0000">
                  <c:v>1.965</c:v>
                </c:pt>
                <c:pt idx="1089" c:formatCode="0.0000">
                  <c:v>2.014</c:v>
                </c:pt>
                <c:pt idx="1090" c:formatCode="0.0000">
                  <c:v>2.064</c:v>
                </c:pt>
                <c:pt idx="1091" c:formatCode="0.0000">
                  <c:v>2.105</c:v>
                </c:pt>
                <c:pt idx="1092" c:formatCode="0.0000">
                  <c:v>2.129</c:v>
                </c:pt>
                <c:pt idx="1093" c:formatCode="0.0000">
                  <c:v>2.138</c:v>
                </c:pt>
                <c:pt idx="1094" c:formatCode="0.0000">
                  <c:v>2.138</c:v>
                </c:pt>
                <c:pt idx="1095" c:formatCode="0.0000">
                  <c:v>2.138</c:v>
                </c:pt>
                <c:pt idx="1096" c:formatCode="0.0000">
                  <c:v>2.162</c:v>
                </c:pt>
                <c:pt idx="1097" c:formatCode="0.0000">
                  <c:v>2.18</c:v>
                </c:pt>
                <c:pt idx="1098" c:formatCode="0.0000">
                  <c:v>2.235</c:v>
                </c:pt>
                <c:pt idx="1099" c:formatCode="0.0000">
                  <c:v>2.309</c:v>
                </c:pt>
                <c:pt idx="1100" c:formatCode="0.0000">
                  <c:v>2.386</c:v>
                </c:pt>
                <c:pt idx="1101" c:formatCode="0.0000">
                  <c:v>2.46</c:v>
                </c:pt>
                <c:pt idx="1102" c:formatCode="0.0000">
                  <c:v>2.548</c:v>
                </c:pt>
                <c:pt idx="1103" c:formatCode="0.0000">
                  <c:v>2.65</c:v>
                </c:pt>
                <c:pt idx="1104" c:formatCode="0.0000">
                  <c:v>2.731</c:v>
                </c:pt>
                <c:pt idx="1105" c:formatCode="0.0000">
                  <c:v>2.783</c:v>
                </c:pt>
                <c:pt idx="1106" c:formatCode="0.0000">
                  <c:v>2.854</c:v>
                </c:pt>
                <c:pt idx="1107" c:formatCode="0.0000">
                  <c:v>2.963</c:v>
                </c:pt>
                <c:pt idx="1108" c:formatCode="0.0000">
                  <c:v>3.057</c:v>
                </c:pt>
                <c:pt idx="1109" c:formatCode="0.0000">
                  <c:v>3.1</c:v>
                </c:pt>
                <c:pt idx="1110" c:formatCode="0.0000">
                  <c:v>3.243</c:v>
                </c:pt>
                <c:pt idx="1111" c:formatCode="0.0000">
                  <c:v>3.314</c:v>
                </c:pt>
                <c:pt idx="1112" c:formatCode="0.0000">
                  <c:v>3.421</c:v>
                </c:pt>
                <c:pt idx="1113" c:formatCode="0.0000">
                  <c:v>3.502</c:v>
                </c:pt>
                <c:pt idx="1114" c:formatCode="0.0000">
                  <c:v>3.775</c:v>
                </c:pt>
                <c:pt idx="1115" c:formatCode="0.0000">
                  <c:v>4.017</c:v>
                </c:pt>
                <c:pt idx="1116" c:formatCode="0.0000">
                  <c:v>4.182</c:v>
                </c:pt>
                <c:pt idx="1117" c:formatCode="0.0000">
                  <c:v>4.575</c:v>
                </c:pt>
                <c:pt idx="1118" c:formatCode="0.0000">
                  <c:v>4.884</c:v>
                </c:pt>
                <c:pt idx="1119" c:formatCode="0.0000">
                  <c:v>5.15</c:v>
                </c:pt>
                <c:pt idx="1120" c:formatCode="0.0000">
                  <c:v>5.2</c:v>
                </c:pt>
                <c:pt idx="1121" c:formatCode="0.0000">
                  <c:v>5.155</c:v>
                </c:pt>
                <c:pt idx="1122" c:formatCode="0.0000">
                  <c:v>5.153</c:v>
                </c:pt>
                <c:pt idx="1123" c:formatCode="0.0000">
                  <c:v>5.1</c:v>
                </c:pt>
                <c:pt idx="1124" c:formatCode="0.0000">
                  <c:v>5.075</c:v>
                </c:pt>
                <c:pt idx="1125" c:formatCode="0.0000">
                  <c:v>5.075</c:v>
                </c:pt>
                <c:pt idx="1126" c:formatCode="0.0000">
                  <c:v>5.073</c:v>
                </c:pt>
                <c:pt idx="1127" c:formatCode="0.0000">
                  <c:v>5.058</c:v>
                </c:pt>
                <c:pt idx="1128" c:formatCode="0.0000">
                  <c:v>5.038</c:v>
                </c:pt>
                <c:pt idx="1129" c:formatCode="0.0000">
                  <c:v>5.025</c:v>
                </c:pt>
                <c:pt idx="1130" c:formatCode="0.0000">
                  <c:v>5.02</c:v>
                </c:pt>
                <c:pt idx="1131" c:formatCode="0.0000">
                  <c:v>5.003</c:v>
                </c:pt>
                <c:pt idx="1132" c:formatCode="0.0000">
                  <c:v>4.97</c:v>
                </c:pt>
                <c:pt idx="1133" c:formatCode="0.0000">
                  <c:v>4.975</c:v>
                </c:pt>
                <c:pt idx="1134" c:formatCode="0.0000">
                  <c:v>4.968</c:v>
                </c:pt>
                <c:pt idx="1135" c:formatCode="0.0000">
                  <c:v>4.96</c:v>
                </c:pt>
                <c:pt idx="1136" c:formatCode="0.0000">
                  <c:v>5.023</c:v>
                </c:pt>
                <c:pt idx="1137" c:formatCode="0.0000">
                  <c:v>5.085</c:v>
                </c:pt>
                <c:pt idx="1138" c:formatCode="0.0000">
                  <c:v>5.133</c:v>
                </c:pt>
                <c:pt idx="1139" c:formatCode="0.0000">
                  <c:v>5.194</c:v>
                </c:pt>
                <c:pt idx="1140" c:formatCode="0.0000">
                  <c:v>5.203</c:v>
                </c:pt>
                <c:pt idx="1141" c:formatCode="0.0000">
                  <c:v>5.216</c:v>
                </c:pt>
                <c:pt idx="1142" c:formatCode="0.0000">
                  <c:v>5.222</c:v>
                </c:pt>
                <c:pt idx="1143" c:formatCode="0.0000">
                  <c:v>5.195</c:v>
                </c:pt>
                <c:pt idx="1144" c:formatCode="0.0000">
                  <c:v>5.123</c:v>
                </c:pt>
                <c:pt idx="1145" c:formatCode="0.0000">
                  <c:v>5.113</c:v>
                </c:pt>
                <c:pt idx="1146" c:formatCode="0.0000">
                  <c:v>5.118</c:v>
                </c:pt>
                <c:pt idx="1147" c:formatCode="0.0000">
                  <c:v>5.123</c:v>
                </c:pt>
                <c:pt idx="1148" c:formatCode="0.0000">
                  <c:v>5.091</c:v>
                </c:pt>
                <c:pt idx="1149" c:formatCode="0.0000">
                  <c:v>5.032</c:v>
                </c:pt>
                <c:pt idx="1150" c:formatCode="0.0000">
                  <c:v>5.019</c:v>
                </c:pt>
                <c:pt idx="1151" c:formatCode="0.0000">
                  <c:v>5</c:v>
                </c:pt>
                <c:pt idx="1152" c:formatCode="0.0000">
                  <c:v>4.99</c:v>
                </c:pt>
                <c:pt idx="1153" c:formatCode="0.0000">
                  <c:v>4.964</c:v>
                </c:pt>
                <c:pt idx="1154" c:formatCode="0.0000">
                  <c:v>4.961</c:v>
                </c:pt>
                <c:pt idx="1155" c:formatCode="0.0000">
                  <c:v>4.956</c:v>
                </c:pt>
                <c:pt idx="1156" c:formatCode="0.0000">
                  <c:v>4.929</c:v>
                </c:pt>
                <c:pt idx="1157" c:formatCode="0.0000">
                  <c:v>4.907</c:v>
                </c:pt>
                <c:pt idx="1158" c:formatCode="0.0000">
                  <c:v>4.904</c:v>
                </c:pt>
                <c:pt idx="1159" c:formatCode="0.0000">
                  <c:v>4.902</c:v>
                </c:pt>
                <c:pt idx="1160" c:formatCode="0.0000">
                  <c:v>4.899</c:v>
                </c:pt>
                <c:pt idx="1161" c:formatCode="0.0000">
                  <c:v>4.894</c:v>
                </c:pt>
                <c:pt idx="1162" c:formatCode="0.0000">
                  <c:v>4.891</c:v>
                </c:pt>
                <c:pt idx="1163" c:formatCode="0.0000">
                  <c:v>4.855</c:v>
                </c:pt>
                <c:pt idx="1164" c:formatCode="0.0000">
                  <c:v>4.855</c:v>
                </c:pt>
                <c:pt idx="1165" c:formatCode="0.0000">
                  <c:v>4.855</c:v>
                </c:pt>
                <c:pt idx="1166" c:formatCode="0.0000">
                  <c:v>4.871</c:v>
                </c:pt>
                <c:pt idx="1167" c:formatCode="0.0000">
                  <c:v>4.875</c:v>
                </c:pt>
                <c:pt idx="1168" c:formatCode="0.0000">
                  <c:v>4.875</c:v>
                </c:pt>
                <c:pt idx="1169" c:formatCode="0.0000">
                  <c:v>4.859</c:v>
                </c:pt>
                <c:pt idx="1170" c:formatCode="0.0000">
                  <c:v>4.857</c:v>
                </c:pt>
                <c:pt idx="1171" c:formatCode="0.0000">
                  <c:v>4.878</c:v>
                </c:pt>
                <c:pt idx="1172" c:formatCode="0.0000">
                  <c:v>4.896</c:v>
                </c:pt>
                <c:pt idx="1173" c:formatCode="0.0000">
                  <c:v>4.945</c:v>
                </c:pt>
                <c:pt idx="1174" c:formatCode="0.0000">
                  <c:v>4.966</c:v>
                </c:pt>
                <c:pt idx="1175" c:formatCode="0.0000">
                  <c:v>5.002</c:v>
                </c:pt>
                <c:pt idx="1176" c:formatCode="0.0000">
                  <c:v>5.058</c:v>
                </c:pt>
                <c:pt idx="1177" c:formatCode="0.0000">
                  <c:v>5.111</c:v>
                </c:pt>
                <c:pt idx="1178" c:formatCode="0.0000">
                  <c:v>5.173</c:v>
                </c:pt>
                <c:pt idx="1179" c:formatCode="0.0000">
                  <c:v>5.243</c:v>
                </c:pt>
                <c:pt idx="1180" c:formatCode="0.0000">
                  <c:v>5.334</c:v>
                </c:pt>
                <c:pt idx="1181" c:formatCode="0.0000">
                  <c:v>5.431</c:v>
                </c:pt>
                <c:pt idx="1182" c:formatCode="0.0000">
                  <c:v>5.564</c:v>
                </c:pt>
                <c:pt idx="1183" c:formatCode="0.0000">
                  <c:v>5.642</c:v>
                </c:pt>
                <c:pt idx="1184" c:formatCode="0.0000">
                  <c:v>5.756</c:v>
                </c:pt>
                <c:pt idx="1185" c:formatCode="0.0000">
                  <c:v>5.868</c:v>
                </c:pt>
                <c:pt idx="1186" c:formatCode="0.0000">
                  <c:v>5.947</c:v>
                </c:pt>
                <c:pt idx="1187" c:formatCode="0.0000">
                  <c:v>6.033</c:v>
                </c:pt>
                <c:pt idx="1188" c:formatCode="0.0000">
                  <c:v>6.171</c:v>
                </c:pt>
                <c:pt idx="1189" c:formatCode="0.0000">
                  <c:v>6.283</c:v>
                </c:pt>
                <c:pt idx="1190" c:formatCode="0.0000">
                  <c:v>6.35</c:v>
                </c:pt>
                <c:pt idx="1191" c:formatCode="0.0000">
                  <c:v>6.359</c:v>
                </c:pt>
                <c:pt idx="1192" c:formatCode="0.0000">
                  <c:v>6.368</c:v>
                </c:pt>
                <c:pt idx="1193" c:formatCode="0.0000">
                  <c:v>6.444</c:v>
                </c:pt>
                <c:pt idx="1194" c:formatCode="0.0000">
                  <c:v>6.5</c:v>
                </c:pt>
                <c:pt idx="1195" c:formatCode="0.0000">
                  <c:v>6.5</c:v>
                </c:pt>
                <c:pt idx="1196" c:formatCode="0.0000">
                  <c:v>6.544</c:v>
                </c:pt>
                <c:pt idx="1197" c:formatCode="0.0000">
                  <c:v>6.584</c:v>
                </c:pt>
                <c:pt idx="1198" c:formatCode="0.0000">
                  <c:v>6.75</c:v>
                </c:pt>
                <c:pt idx="1199" c:formatCode="0.0000">
                  <c:v>6.856</c:v>
                </c:pt>
                <c:pt idx="1200" c:formatCode="0.0000">
                  <c:v>7.004</c:v>
                </c:pt>
                <c:pt idx="1201" c:formatCode="0.0000">
                  <c:v>7.059</c:v>
                </c:pt>
                <c:pt idx="1202" c:formatCode="0.0000">
                  <c:v>7.219</c:v>
                </c:pt>
                <c:pt idx="1203" c:formatCode="0.0000">
                  <c:v>7.569</c:v>
                </c:pt>
                <c:pt idx="1204" c:formatCode="0.0000">
                  <c:v>7.923</c:v>
                </c:pt>
                <c:pt idx="1205" c:formatCode="0.0000">
                  <c:v>7.924</c:v>
                </c:pt>
                <c:pt idx="1206" c:formatCode="0.0000">
                  <c:v>7.931</c:v>
                </c:pt>
                <c:pt idx="1207" c:formatCode="0.0000">
                  <c:v>8.069</c:v>
                </c:pt>
                <c:pt idx="1208" c:formatCode="0.0000">
                  <c:v>8.316</c:v>
                </c:pt>
                <c:pt idx="1209" c:formatCode="0.0000">
                  <c:v>8.48</c:v>
                </c:pt>
                <c:pt idx="1210" c:formatCode="0.0000">
                  <c:v>8.616</c:v>
                </c:pt>
                <c:pt idx="1211" c:formatCode="0.0000">
                  <c:v>9.114</c:v>
                </c:pt>
                <c:pt idx="1212" c:formatCode="0.0000">
                  <c:v>9.523</c:v>
                </c:pt>
                <c:pt idx="1213" c:formatCode="0.0000">
                  <c:v>9.883</c:v>
                </c:pt>
                <c:pt idx="1214" c:formatCode="0.0000">
                  <c:v>10.078</c:v>
                </c:pt>
                <c:pt idx="1215" c:formatCode="0.0000">
                  <c:v>10.236</c:v>
                </c:pt>
                <c:pt idx="1216" c:formatCode="0.0000">
                  <c:v>10.629</c:v>
                </c:pt>
                <c:pt idx="1217" c:formatCode="0.0000">
                  <c:v>11.071</c:v>
                </c:pt>
                <c:pt idx="1218" c:formatCode="0.0000">
                  <c:v>11.393</c:v>
                </c:pt>
                <c:pt idx="1219" c:formatCode="0.0000">
                  <c:v>11.571</c:v>
                </c:pt>
                <c:pt idx="1220" c:formatCode="0.0000">
                  <c:v>11.707</c:v>
                </c:pt>
                <c:pt idx="1221" c:formatCode="0.0000">
                  <c:v>11.857</c:v>
                </c:pt>
                <c:pt idx="1222" c:formatCode="0.0000">
                  <c:v>12.179</c:v>
                </c:pt>
                <c:pt idx="1223" c:formatCode="0.0000">
                  <c:v>12.286</c:v>
                </c:pt>
                <c:pt idx="1224" c:formatCode="0.0000">
                  <c:v>12.543</c:v>
                </c:pt>
                <c:pt idx="1225" c:formatCode="0.0000">
                  <c:v>12.757</c:v>
                </c:pt>
                <c:pt idx="1226" c:formatCode="0.0000">
                  <c:v>12.757</c:v>
                </c:pt>
                <c:pt idx="1227" c:formatCode="0.0000">
                  <c:v>12.821</c:v>
                </c:pt>
                <c:pt idx="1228" c:formatCode="0.0000">
                  <c:v>13.293</c:v>
                </c:pt>
                <c:pt idx="1229" c:formatCode="0.0000">
                  <c:v>13.614</c:v>
                </c:pt>
                <c:pt idx="1230" c:formatCode="0.0000">
                  <c:v>14.15</c:v>
                </c:pt>
                <c:pt idx="1231" c:formatCode="0.0000">
                  <c:v>14.529</c:v>
                </c:pt>
                <c:pt idx="1232" c:formatCode="0.0000">
                  <c:v>14.914</c:v>
                </c:pt>
                <c:pt idx="1233" c:formatCode="0.0000">
                  <c:v>15.429</c:v>
                </c:pt>
                <c:pt idx="1234" c:formatCode="0.0000">
                  <c:v>15.9</c:v>
                </c:pt>
                <c:pt idx="1235" c:formatCode="0.0000">
                  <c:v>16.314</c:v>
                </c:pt>
                <c:pt idx="1236" c:formatCode="0.0000">
                  <c:v>16.514</c:v>
                </c:pt>
                <c:pt idx="1237" c:formatCode="0.0000">
                  <c:v>16.729</c:v>
                </c:pt>
                <c:pt idx="1238" c:formatCode="0.0000">
                  <c:v>16.943</c:v>
                </c:pt>
                <c:pt idx="1239" c:formatCode="0.0000">
                  <c:v>17.05</c:v>
                </c:pt>
                <c:pt idx="1240" c:formatCode="0.0000">
                  <c:v>17.064</c:v>
                </c:pt>
                <c:pt idx="1241" c:formatCode="0.0000">
                  <c:v>17.064</c:v>
                </c:pt>
                <c:pt idx="1242" c:formatCode="0.0000">
                  <c:v>17.246</c:v>
                </c:pt>
                <c:pt idx="1243" c:formatCode="0.0000">
                  <c:v>17.8</c:v>
                </c:pt>
                <c:pt idx="1244" c:formatCode="0.0000">
                  <c:v>18.6</c:v>
                </c:pt>
                <c:pt idx="1245" c:formatCode="0.0000">
                  <c:v>19</c:v>
                </c:pt>
                <c:pt idx="1246" c:formatCode="0.0000">
                  <c:v>19.4</c:v>
                </c:pt>
                <c:pt idx="1247" c:formatCode="0.0000">
                  <c:v>19.86</c:v>
                </c:pt>
                <c:pt idx="1248" c:formatCode="0.0000">
                  <c:v>20.3</c:v>
                </c:pt>
                <c:pt idx="1249" c:formatCode="0.0000">
                  <c:v>20.72</c:v>
                </c:pt>
                <c:pt idx="1250" c:formatCode="0.0000">
                  <c:v>21.264</c:v>
                </c:pt>
                <c:pt idx="1251" c:formatCode="0.0000">
                  <c:v>21.75</c:v>
                </c:pt>
                <c:pt idx="1252" c:formatCode="0.0000">
                  <c:v>22.235</c:v>
                </c:pt>
                <c:pt idx="1253" c:formatCode="0.0000">
                  <c:v>22.726</c:v>
                </c:pt>
                <c:pt idx="1254" c:formatCode="0.0000">
                  <c:v>23.137</c:v>
                </c:pt>
                <c:pt idx="1255" c:formatCode="0.0000">
                  <c:v>23.258</c:v>
                </c:pt>
                <c:pt idx="1256" c:formatCode="0.0000">
                  <c:v>23.746</c:v>
                </c:pt>
                <c:pt idx="1257" c:formatCode="0.0000">
                  <c:v>24.183</c:v>
                </c:pt>
                <c:pt idx="1258" c:formatCode="0.0000">
                  <c:v>24.496</c:v>
                </c:pt>
                <c:pt idx="1259" c:formatCode="0.0000">
                  <c:v>24.983</c:v>
                </c:pt>
                <c:pt idx="1260" c:formatCode="0.0000">
                  <c:v>25.086</c:v>
                </c:pt>
                <c:pt idx="1261" c:formatCode="0.0000">
                  <c:v>25.407</c:v>
                </c:pt>
                <c:pt idx="1262" c:formatCode="0.0000">
                  <c:v>26.214</c:v>
                </c:pt>
                <c:pt idx="1263" c:formatCode="0.0000">
                  <c:v>26.821</c:v>
                </c:pt>
                <c:pt idx="1264" c:formatCode="0.0000">
                  <c:v>27.214</c:v>
                </c:pt>
                <c:pt idx="1265" c:formatCode="0.0000">
                  <c:v>27.857</c:v>
                </c:pt>
                <c:pt idx="1266" c:formatCode="0.0000">
                  <c:v>28.357</c:v>
                </c:pt>
                <c:pt idx="1267" c:formatCode="0.0000">
                  <c:v>28.5</c:v>
                </c:pt>
                <c:pt idx="1268" c:formatCode="0.0000">
                  <c:v>28.885</c:v>
                </c:pt>
                <c:pt idx="1269" c:formatCode="0.0000">
                  <c:v>29.5</c:v>
                </c:pt>
                <c:pt idx="1270" c:formatCode="0.0000">
                  <c:v>30.077</c:v>
                </c:pt>
                <c:pt idx="1271" c:formatCode="0.0000">
                  <c:v>30.3</c:v>
                </c:pt>
                <c:pt idx="1272" c:formatCode="0.0000">
                  <c:v>30.3</c:v>
                </c:pt>
                <c:pt idx="1273" c:formatCode="0.0000">
                  <c:v>30.7</c:v>
                </c:pt>
                <c:pt idx="1274" c:formatCode="0.0000">
                  <c:v>30.9</c:v>
                </c:pt>
                <c:pt idx="1275" c:formatCode="0.0000">
                  <c:v>30.9</c:v>
                </c:pt>
                <c:pt idx="1276" c:formatCode="0.0000">
                  <c:v>30.86</c:v>
                </c:pt>
                <c:pt idx="1277" c:formatCode="0.0000">
                  <c:v>30.86</c:v>
                </c:pt>
                <c:pt idx="1278" c:formatCode="0.0000">
                  <c:v>30.76</c:v>
                </c:pt>
                <c:pt idx="1279" c:formatCode="0.0000">
                  <c:v>30.9</c:v>
                </c:pt>
                <c:pt idx="1280" c:formatCode="0.0000">
                  <c:v>30.88</c:v>
                </c:pt>
                <c:pt idx="1281" c:formatCode="0.0000">
                  <c:v>30.86</c:v>
                </c:pt>
                <c:pt idx="1282" c:formatCode="0.0000">
                  <c:v>30.84</c:v>
                </c:pt>
                <c:pt idx="1283" c:formatCode="0.0000">
                  <c:v>31</c:v>
                </c:pt>
                <c:pt idx="1284" c:formatCode="0.0000">
                  <c:v>30.9</c:v>
                </c:pt>
                <c:pt idx="1285" c:formatCode="0.0000">
                  <c:v>31.1</c:v>
                </c:pt>
                <c:pt idx="1286" c:formatCode="0.0000">
                  <c:v>31.34</c:v>
                </c:pt>
                <c:pt idx="1287" c:formatCode="0.0000">
                  <c:v>31.34</c:v>
                </c:pt>
                <c:pt idx="1288" c:formatCode="0.0000">
                  <c:v>31.4</c:v>
                </c:pt>
                <c:pt idx="1289" c:formatCode="0.0000">
                  <c:v>31.5</c:v>
                </c:pt>
                <c:pt idx="1290" c:formatCode="0.0000">
                  <c:v>31.9</c:v>
                </c:pt>
                <c:pt idx="1291" c:formatCode="0.0000">
                  <c:v>32.34</c:v>
                </c:pt>
                <c:pt idx="1292" c:formatCode="0.0000">
                  <c:v>32.8</c:v>
                </c:pt>
                <c:pt idx="1293" c:formatCode="0.0000">
                  <c:v>32.9</c:v>
                </c:pt>
                <c:pt idx="1294" c:formatCode="0.0000">
                  <c:v>33.02</c:v>
                </c:pt>
                <c:pt idx="1295" c:formatCode="0.0000">
                  <c:v>33.02</c:v>
                </c:pt>
                <c:pt idx="1296" c:formatCode="0.0000">
                  <c:v>32.98</c:v>
                </c:pt>
                <c:pt idx="1297" c:formatCode="0.0000">
                  <c:v>33.12</c:v>
                </c:pt>
                <c:pt idx="1298" c:formatCode="0.0000">
                  <c:v>33.32</c:v>
                </c:pt>
                <c:pt idx="1299" c:formatCode="0.0000">
                  <c:v>33.3</c:v>
                </c:pt>
                <c:pt idx="1300" c:formatCode="0.0000">
                  <c:v>33.28</c:v>
                </c:pt>
                <c:pt idx="1301" c:formatCode="0.0000">
                  <c:v>33.4</c:v>
                </c:pt>
                <c:pt idx="1302" c:formatCode="0.0000">
                  <c:v>33.6</c:v>
                </c:pt>
                <c:pt idx="1303" c:formatCode="0.0000">
                  <c:v>33.6</c:v>
                </c:pt>
                <c:pt idx="1304" c:formatCode="0.0000">
                  <c:v>33.58</c:v>
                </c:pt>
                <c:pt idx="1305" c:formatCode="0.0000">
                  <c:v>33.88</c:v>
                </c:pt>
                <c:pt idx="1306" c:formatCode="0.0000">
                  <c:v>34.1</c:v>
                </c:pt>
                <c:pt idx="1307" c:formatCode="0.0000">
                  <c:v>34.1</c:v>
                </c:pt>
                <c:pt idx="1308" c:formatCode="0.0000">
                  <c:v>34.1</c:v>
                </c:pt>
                <c:pt idx="1309" c:formatCode="0.0000">
                  <c:v>34</c:v>
                </c:pt>
                <c:pt idx="1310" c:formatCode="0.0000">
                  <c:v>34</c:v>
                </c:pt>
                <c:pt idx="1311" c:formatCode="0.0000">
                  <c:v>34</c:v>
                </c:pt>
                <c:pt idx="1312" c:formatCode="0.0000">
                  <c:v>34</c:v>
                </c:pt>
                <c:pt idx="1313" c:formatCode="0.0000">
                  <c:v>34</c:v>
                </c:pt>
                <c:pt idx="1314" c:formatCode="0.0000">
                  <c:v>34</c:v>
                </c:pt>
                <c:pt idx="1315" c:formatCode="0.0000">
                  <c:v>33.96</c:v>
                </c:pt>
                <c:pt idx="1316" c:formatCode="0.0000">
                  <c:v>33.96</c:v>
                </c:pt>
                <c:pt idx="1317" c:formatCode="0.0000">
                  <c:v>33.66</c:v>
                </c:pt>
                <c:pt idx="1318" c:formatCode="0.0000">
                  <c:v>33.6</c:v>
                </c:pt>
                <c:pt idx="1319" c:formatCode="0.0000">
                  <c:v>33.56</c:v>
                </c:pt>
                <c:pt idx="1320" c:formatCode="0.0000">
                  <c:v>33.56</c:v>
                </c:pt>
                <c:pt idx="1321" c:formatCode="0.0000">
                  <c:v>33.5</c:v>
                </c:pt>
                <c:pt idx="1322" c:formatCode="0.0000">
                  <c:v>33.4</c:v>
                </c:pt>
                <c:pt idx="1323" c:formatCode="0.0000">
                  <c:v>33.4</c:v>
                </c:pt>
                <c:pt idx="1324" c:formatCode="0.0000">
                  <c:v>33.4</c:v>
                </c:pt>
                <c:pt idx="1325" c:formatCode="0.0000">
                  <c:v>33.2</c:v>
                </c:pt>
                <c:pt idx="1326" c:formatCode="0.0000">
                  <c:v>33.1</c:v>
                </c:pt>
                <c:pt idx="1327" c:formatCode="0.0000">
                  <c:v>33</c:v>
                </c:pt>
                <c:pt idx="1328" c:formatCode="0.0000">
                  <c:v>33</c:v>
                </c:pt>
                <c:pt idx="1329" c:formatCode="0.0000">
                  <c:v>33</c:v>
                </c:pt>
                <c:pt idx="1330" c:formatCode="0.0000">
                  <c:v>32.8</c:v>
                </c:pt>
                <c:pt idx="1331" c:formatCode="0.0000">
                  <c:v>32.6</c:v>
                </c:pt>
                <c:pt idx="1332" c:formatCode="0.0000">
                  <c:v>32.5</c:v>
                </c:pt>
                <c:pt idx="1333" c:formatCode="0.0000">
                  <c:v>32.5</c:v>
                </c:pt>
                <c:pt idx="1334" c:formatCode="0.0000">
                  <c:v>32.5</c:v>
                </c:pt>
                <c:pt idx="1335" c:formatCode="0.0000">
                  <c:v>32.48</c:v>
                </c:pt>
                <c:pt idx="1336" c:formatCode="0.0000">
                  <c:v>32.48</c:v>
                </c:pt>
                <c:pt idx="1337" c:formatCode="0.0000">
                  <c:v>32.4</c:v>
                </c:pt>
                <c:pt idx="1338" c:formatCode="0.0000">
                  <c:v>32.4</c:v>
                </c:pt>
                <c:pt idx="1339" c:formatCode="0.0000">
                  <c:v>32</c:v>
                </c:pt>
                <c:pt idx="1340" c:formatCode="0.0000">
                  <c:v>32</c:v>
                </c:pt>
                <c:pt idx="1341" c:formatCode="0.0000">
                  <c:v>32.1</c:v>
                </c:pt>
                <c:pt idx="1342" c:formatCode="0.0000">
                  <c:v>32.3</c:v>
                </c:pt>
                <c:pt idx="1343" c:formatCode="0.0000">
                  <c:v>32.3</c:v>
                </c:pt>
                <c:pt idx="1344" c:formatCode="0.0000">
                  <c:v>32.2</c:v>
                </c:pt>
                <c:pt idx="1345" c:formatCode="0.0000">
                  <c:v>32</c:v>
                </c:pt>
                <c:pt idx="1346" c:formatCode="0.0000">
                  <c:v>32</c:v>
                </c:pt>
                <c:pt idx="1347" c:formatCode="0.0000">
                  <c:v>32</c:v>
                </c:pt>
                <c:pt idx="1348" c:formatCode="0.0000">
                  <c:v>32</c:v>
                </c:pt>
                <c:pt idx="1349" c:formatCode="0.0000">
                  <c:v>32.4</c:v>
                </c:pt>
                <c:pt idx="1350" c:formatCode="0.0000">
                  <c:v>32.9</c:v>
                </c:pt>
                <c:pt idx="1351" c:formatCode="0.0000">
                  <c:v>33.3</c:v>
                </c:pt>
                <c:pt idx="1352" c:formatCode="0.0000">
                  <c:v>33.5</c:v>
                </c:pt>
                <c:pt idx="1353" c:formatCode="0.0000">
                  <c:v>33.6</c:v>
                </c:pt>
                <c:pt idx="1354" c:formatCode="0.0000">
                  <c:v>33.6</c:v>
                </c:pt>
                <c:pt idx="1355" c:formatCode="0.0000">
                  <c:v>33.8</c:v>
                </c:pt>
                <c:pt idx="1356" c:formatCode="0.0000">
                  <c:v>34.1</c:v>
                </c:pt>
                <c:pt idx="1357" c:formatCode="0.0000">
                  <c:v>34.5</c:v>
                </c:pt>
              </c:numCache>
            </c:numRef>
          </c:val>
          <c:smooth val="0"/>
        </c:ser>
        <c:ser>
          <c:idx val="1"/>
          <c:order val="2"/>
          <c:tx>
            <c:strRef>
              <c:f>DRAM!$M$28</c:f>
              <c:strCache>
                <c:ptCount val="1"/>
                <c:pt idx="0">
                  <c:v>Contract</c:v>
                </c:pt>
              </c:strCache>
            </c:strRef>
          </c:tx>
          <c:spPr>
            <a:ln w="19050" cap="rnd" cmpd="sng" algn="ctr">
              <a:solidFill>
                <a:srgbClr val="000000"/>
              </a:solidFill>
              <a:prstDash val="solid"/>
              <a:round/>
            </a:ln>
          </c:spPr>
          <c:marker>
            <c:symbol val="none"/>
          </c:marker>
          <c:dLbls>
            <c:delete val="1"/>
          </c:dLbls>
          <c:cat>
            <c:numRef>
              <c:f>DRAM!$E$1245:$E$3000</c:f>
              <c:numCache>
                <c:formatCode>yyyy/m/d</c:formatCode>
                <c:ptCount val="1756"/>
                <c:pt idx="0" c:formatCode="yyyy/m/d">
                  <c:v>44200</c:v>
                </c:pt>
                <c:pt idx="1" c:formatCode="yyyy/m/d">
                  <c:v>44201</c:v>
                </c:pt>
                <c:pt idx="2" c:formatCode="yyyy/m/d">
                  <c:v>44202</c:v>
                </c:pt>
                <c:pt idx="3" c:formatCode="yyyy/m/d">
                  <c:v>44203</c:v>
                </c:pt>
                <c:pt idx="4" c:formatCode="yyyy/m/d">
                  <c:v>44204</c:v>
                </c:pt>
                <c:pt idx="5" c:formatCode="yyyy/m/d">
                  <c:v>44207</c:v>
                </c:pt>
                <c:pt idx="6" c:formatCode="yyyy/m/d">
                  <c:v>44208</c:v>
                </c:pt>
                <c:pt idx="7" c:formatCode="yyyy/m/d">
                  <c:v>44209</c:v>
                </c:pt>
                <c:pt idx="8" c:formatCode="yyyy/m/d">
                  <c:v>44210</c:v>
                </c:pt>
                <c:pt idx="9" c:formatCode="yyyy/m/d">
                  <c:v>44211</c:v>
                </c:pt>
                <c:pt idx="10" c:formatCode="yyyy/m/d">
                  <c:v>44214</c:v>
                </c:pt>
                <c:pt idx="11" c:formatCode="yyyy/m/d">
                  <c:v>44215</c:v>
                </c:pt>
                <c:pt idx="12" c:formatCode="yyyy/m/d">
                  <c:v>44216</c:v>
                </c:pt>
                <c:pt idx="13" c:formatCode="yyyy/m/d">
                  <c:v>44217</c:v>
                </c:pt>
                <c:pt idx="14" c:formatCode="yyyy/m/d">
                  <c:v>44218</c:v>
                </c:pt>
                <c:pt idx="15" c:formatCode="yyyy/m/d">
                  <c:v>44221</c:v>
                </c:pt>
                <c:pt idx="16" c:formatCode="yyyy/m/d">
                  <c:v>44222</c:v>
                </c:pt>
                <c:pt idx="17" c:formatCode="yyyy/m/d">
                  <c:v>44223</c:v>
                </c:pt>
                <c:pt idx="18" c:formatCode="yyyy/m/d">
                  <c:v>44224</c:v>
                </c:pt>
                <c:pt idx="19" c:formatCode="yyyy/m/d">
                  <c:v>44225</c:v>
                </c:pt>
                <c:pt idx="20" c:formatCode="yyyy/m/d">
                  <c:v>44228</c:v>
                </c:pt>
                <c:pt idx="21" c:formatCode="yyyy/m/d">
                  <c:v>44229</c:v>
                </c:pt>
                <c:pt idx="22" c:formatCode="yyyy/m/d">
                  <c:v>44230</c:v>
                </c:pt>
                <c:pt idx="23" c:formatCode="yyyy/m/d">
                  <c:v>44231</c:v>
                </c:pt>
                <c:pt idx="24" c:formatCode="yyyy/m/d">
                  <c:v>44232</c:v>
                </c:pt>
                <c:pt idx="25" c:formatCode="yyyy/m/d">
                  <c:v>44235</c:v>
                </c:pt>
                <c:pt idx="26" c:formatCode="yyyy/m/d">
                  <c:v>44236</c:v>
                </c:pt>
                <c:pt idx="27" c:formatCode="yyyy/m/d">
                  <c:v>44237</c:v>
                </c:pt>
                <c:pt idx="28" c:formatCode="yyyy/m/d">
                  <c:v>44244</c:v>
                </c:pt>
                <c:pt idx="29" c:formatCode="yyyy/m/d">
                  <c:v>44245</c:v>
                </c:pt>
                <c:pt idx="30" c:formatCode="yyyy/m/d">
                  <c:v>44246</c:v>
                </c:pt>
                <c:pt idx="31" c:formatCode="yyyy/m/d">
                  <c:v>44249</c:v>
                </c:pt>
                <c:pt idx="32" c:formatCode="yyyy/m/d">
                  <c:v>44250</c:v>
                </c:pt>
                <c:pt idx="33" c:formatCode="yyyy/m/d">
                  <c:v>44251</c:v>
                </c:pt>
                <c:pt idx="34" c:formatCode="yyyy/m/d">
                  <c:v>44252</c:v>
                </c:pt>
                <c:pt idx="35" c:formatCode="yyyy/m/d">
                  <c:v>44253</c:v>
                </c:pt>
                <c:pt idx="36" c:formatCode="yyyy/m/d">
                  <c:v>44256</c:v>
                </c:pt>
                <c:pt idx="37" c:formatCode="yyyy/m/d">
                  <c:v>44257</c:v>
                </c:pt>
                <c:pt idx="38" c:formatCode="yyyy/m/d">
                  <c:v>44258</c:v>
                </c:pt>
                <c:pt idx="39" c:formatCode="yyyy/m/d">
                  <c:v>44259</c:v>
                </c:pt>
                <c:pt idx="40" c:formatCode="yyyy/m/d">
                  <c:v>44260</c:v>
                </c:pt>
                <c:pt idx="41" c:formatCode="yyyy/m/d">
                  <c:v>44263</c:v>
                </c:pt>
                <c:pt idx="42" c:formatCode="yyyy/m/d">
                  <c:v>44264</c:v>
                </c:pt>
                <c:pt idx="43" c:formatCode="yyyy/m/d">
                  <c:v>44265</c:v>
                </c:pt>
                <c:pt idx="44" c:formatCode="yyyy/m/d">
                  <c:v>44266</c:v>
                </c:pt>
                <c:pt idx="45" c:formatCode="yyyy/m/d">
                  <c:v>44267</c:v>
                </c:pt>
                <c:pt idx="46" c:formatCode="yyyy/m/d">
                  <c:v>44270</c:v>
                </c:pt>
                <c:pt idx="47" c:formatCode="yyyy/m/d">
                  <c:v>44271</c:v>
                </c:pt>
                <c:pt idx="48" c:formatCode="yyyy/m/d">
                  <c:v>44272</c:v>
                </c:pt>
                <c:pt idx="49" c:formatCode="yyyy/m/d">
                  <c:v>44273</c:v>
                </c:pt>
                <c:pt idx="50" c:formatCode="yyyy/m/d">
                  <c:v>44274</c:v>
                </c:pt>
                <c:pt idx="51" c:formatCode="yyyy/m/d">
                  <c:v>44277</c:v>
                </c:pt>
                <c:pt idx="52" c:formatCode="yyyy/m/d">
                  <c:v>44278</c:v>
                </c:pt>
                <c:pt idx="53" c:formatCode="yyyy/m/d">
                  <c:v>44279</c:v>
                </c:pt>
                <c:pt idx="54" c:formatCode="yyyy/m/d">
                  <c:v>44280</c:v>
                </c:pt>
                <c:pt idx="55" c:formatCode="yyyy/m/d">
                  <c:v>44281</c:v>
                </c:pt>
                <c:pt idx="56" c:formatCode="yyyy/m/d">
                  <c:v>44284</c:v>
                </c:pt>
                <c:pt idx="57" c:formatCode="yyyy/m/d">
                  <c:v>44285</c:v>
                </c:pt>
                <c:pt idx="58" c:formatCode="yyyy/m/d">
                  <c:v>44286</c:v>
                </c:pt>
                <c:pt idx="59" c:formatCode="yyyy/m/d">
                  <c:v>44287</c:v>
                </c:pt>
                <c:pt idx="60" c:formatCode="yyyy/m/d">
                  <c:v>44292</c:v>
                </c:pt>
                <c:pt idx="61" c:formatCode="yyyy/m/d">
                  <c:v>44293</c:v>
                </c:pt>
                <c:pt idx="62" c:formatCode="yyyy/m/d">
                  <c:v>44294</c:v>
                </c:pt>
                <c:pt idx="63" c:formatCode="yyyy/m/d">
                  <c:v>44295</c:v>
                </c:pt>
                <c:pt idx="64" c:formatCode="yyyy/m/d">
                  <c:v>44298</c:v>
                </c:pt>
                <c:pt idx="65" c:formatCode="yyyy/m/d">
                  <c:v>44299</c:v>
                </c:pt>
                <c:pt idx="66" c:formatCode="yyyy/m/d">
                  <c:v>44300</c:v>
                </c:pt>
                <c:pt idx="67" c:formatCode="yyyy/m/d">
                  <c:v>44301</c:v>
                </c:pt>
                <c:pt idx="68" c:formatCode="yyyy/m/d">
                  <c:v>44302</c:v>
                </c:pt>
                <c:pt idx="69" c:formatCode="yyyy/m/d">
                  <c:v>44305</c:v>
                </c:pt>
                <c:pt idx="70" c:formatCode="yyyy/m/d">
                  <c:v>44306</c:v>
                </c:pt>
                <c:pt idx="71" c:formatCode="yyyy/m/d">
                  <c:v>44307</c:v>
                </c:pt>
                <c:pt idx="72" c:formatCode="yyyy/m/d">
                  <c:v>44308</c:v>
                </c:pt>
                <c:pt idx="73" c:formatCode="yyyy/m/d">
                  <c:v>44309</c:v>
                </c:pt>
                <c:pt idx="74" c:formatCode="yyyy/m/d">
                  <c:v>44312</c:v>
                </c:pt>
                <c:pt idx="75" c:formatCode="yyyy/m/d">
                  <c:v>44313</c:v>
                </c:pt>
                <c:pt idx="76" c:formatCode="yyyy/m/d">
                  <c:v>44314</c:v>
                </c:pt>
                <c:pt idx="77" c:formatCode="yyyy/m/d">
                  <c:v>44315</c:v>
                </c:pt>
                <c:pt idx="78" c:formatCode="yyyy/m/d">
                  <c:v>44316</c:v>
                </c:pt>
                <c:pt idx="79" c:formatCode="yyyy/m/d">
                  <c:v>44319</c:v>
                </c:pt>
                <c:pt idx="80" c:formatCode="yyyy/m/d">
                  <c:v>44320</c:v>
                </c:pt>
                <c:pt idx="81" c:formatCode="yyyy/m/d">
                  <c:v>44321</c:v>
                </c:pt>
                <c:pt idx="82" c:formatCode="yyyy/m/d">
                  <c:v>44322</c:v>
                </c:pt>
                <c:pt idx="83" c:formatCode="yyyy/m/d">
                  <c:v>44323</c:v>
                </c:pt>
                <c:pt idx="84" c:formatCode="yyyy/m/d">
                  <c:v>44326</c:v>
                </c:pt>
                <c:pt idx="85" c:formatCode="yyyy/m/d">
                  <c:v>44327</c:v>
                </c:pt>
                <c:pt idx="86" c:formatCode="yyyy/m/d">
                  <c:v>44328</c:v>
                </c:pt>
                <c:pt idx="87" c:formatCode="yyyy/m/d">
                  <c:v>44329</c:v>
                </c:pt>
                <c:pt idx="88" c:formatCode="yyyy/m/d">
                  <c:v>44330</c:v>
                </c:pt>
                <c:pt idx="89" c:formatCode="yyyy/m/d">
                  <c:v>44333</c:v>
                </c:pt>
                <c:pt idx="90" c:formatCode="yyyy/m/d">
                  <c:v>44334</c:v>
                </c:pt>
                <c:pt idx="91" c:formatCode="yyyy/m/d">
                  <c:v>44335</c:v>
                </c:pt>
                <c:pt idx="92" c:formatCode="yyyy/m/d">
                  <c:v>44336</c:v>
                </c:pt>
                <c:pt idx="93" c:formatCode="yyyy/m/d">
                  <c:v>44337</c:v>
                </c:pt>
                <c:pt idx="94" c:formatCode="yyyy/m/d">
                  <c:v>44340</c:v>
                </c:pt>
                <c:pt idx="95" c:formatCode="yyyy/m/d">
                  <c:v>44341</c:v>
                </c:pt>
                <c:pt idx="96" c:formatCode="yyyy/m/d">
                  <c:v>44342</c:v>
                </c:pt>
                <c:pt idx="97" c:formatCode="yyyy/m/d">
                  <c:v>44343</c:v>
                </c:pt>
                <c:pt idx="98" c:formatCode="yyyy/m/d">
                  <c:v>44344</c:v>
                </c:pt>
                <c:pt idx="99" c:formatCode="yyyy/m/d">
                  <c:v>44347</c:v>
                </c:pt>
                <c:pt idx="100" c:formatCode="yyyy/m/d">
                  <c:v>44348</c:v>
                </c:pt>
                <c:pt idx="101" c:formatCode="yyyy/m/d">
                  <c:v>44349</c:v>
                </c:pt>
                <c:pt idx="102" c:formatCode="yyyy/m/d">
                  <c:v>44350</c:v>
                </c:pt>
                <c:pt idx="103" c:formatCode="yyyy/m/d">
                  <c:v>44351</c:v>
                </c:pt>
                <c:pt idx="104" c:formatCode="yyyy/m/d">
                  <c:v>44354</c:v>
                </c:pt>
                <c:pt idx="105" c:formatCode="yyyy/m/d">
                  <c:v>44355</c:v>
                </c:pt>
                <c:pt idx="106" c:formatCode="yyyy/m/d">
                  <c:v>44356</c:v>
                </c:pt>
                <c:pt idx="107" c:formatCode="yyyy/m/d">
                  <c:v>44357</c:v>
                </c:pt>
                <c:pt idx="108" c:formatCode="yyyy/m/d">
                  <c:v>44358</c:v>
                </c:pt>
                <c:pt idx="109" c:formatCode="yyyy/m/d">
                  <c:v>44362</c:v>
                </c:pt>
                <c:pt idx="110" c:formatCode="yyyy/m/d">
                  <c:v>44363</c:v>
                </c:pt>
                <c:pt idx="111" c:formatCode="yyyy/m/d">
                  <c:v>44364</c:v>
                </c:pt>
                <c:pt idx="112" c:formatCode="yyyy/m/d">
                  <c:v>44365</c:v>
                </c:pt>
                <c:pt idx="113" c:formatCode="yyyy/m/d">
                  <c:v>44368</c:v>
                </c:pt>
                <c:pt idx="114" c:formatCode="yyyy/m/d">
                  <c:v>44369</c:v>
                </c:pt>
                <c:pt idx="115" c:formatCode="yyyy/m/d">
                  <c:v>44370</c:v>
                </c:pt>
                <c:pt idx="116" c:formatCode="yyyy/m/d">
                  <c:v>44371</c:v>
                </c:pt>
                <c:pt idx="117" c:formatCode="yyyy/m/d">
                  <c:v>44372</c:v>
                </c:pt>
                <c:pt idx="118" c:formatCode="yyyy/m/d">
                  <c:v>44375</c:v>
                </c:pt>
                <c:pt idx="119" c:formatCode="yyyy/m/d">
                  <c:v>44376</c:v>
                </c:pt>
                <c:pt idx="120" c:formatCode="yyyy/m/d">
                  <c:v>44377</c:v>
                </c:pt>
                <c:pt idx="121" c:formatCode="yyyy/m/d">
                  <c:v>44378</c:v>
                </c:pt>
                <c:pt idx="122" c:formatCode="yyyy/m/d">
                  <c:v>44379</c:v>
                </c:pt>
                <c:pt idx="123" c:formatCode="yyyy/m/d">
                  <c:v>44382</c:v>
                </c:pt>
                <c:pt idx="124" c:formatCode="yyyy/m/d">
                  <c:v>44383</c:v>
                </c:pt>
                <c:pt idx="125" c:formatCode="yyyy/m/d">
                  <c:v>44384</c:v>
                </c:pt>
                <c:pt idx="126" c:formatCode="yyyy/m/d">
                  <c:v>44385</c:v>
                </c:pt>
                <c:pt idx="127" c:formatCode="yyyy/m/d">
                  <c:v>44386</c:v>
                </c:pt>
                <c:pt idx="128" c:formatCode="yyyy/m/d">
                  <c:v>44389</c:v>
                </c:pt>
                <c:pt idx="129" c:formatCode="yyyy/m/d">
                  <c:v>44390</c:v>
                </c:pt>
                <c:pt idx="130" c:formatCode="yyyy/m/d">
                  <c:v>44391</c:v>
                </c:pt>
                <c:pt idx="131" c:formatCode="yyyy/m/d">
                  <c:v>44392</c:v>
                </c:pt>
                <c:pt idx="132" c:formatCode="yyyy/m/d">
                  <c:v>44393</c:v>
                </c:pt>
                <c:pt idx="133" c:formatCode="yyyy/m/d">
                  <c:v>44396</c:v>
                </c:pt>
                <c:pt idx="134" c:formatCode="yyyy/m/d">
                  <c:v>44397</c:v>
                </c:pt>
                <c:pt idx="135" c:formatCode="yyyy/m/d">
                  <c:v>44398</c:v>
                </c:pt>
                <c:pt idx="136" c:formatCode="yyyy/m/d">
                  <c:v>44399</c:v>
                </c:pt>
                <c:pt idx="137" c:formatCode="yyyy/m/d">
                  <c:v>44400</c:v>
                </c:pt>
                <c:pt idx="138" c:formatCode="yyyy/m/d">
                  <c:v>44403</c:v>
                </c:pt>
                <c:pt idx="139" c:formatCode="yyyy/m/d">
                  <c:v>44404</c:v>
                </c:pt>
                <c:pt idx="140" c:formatCode="yyyy/m/d">
                  <c:v>44405</c:v>
                </c:pt>
                <c:pt idx="141" c:formatCode="yyyy/m/d">
                  <c:v>44406</c:v>
                </c:pt>
                <c:pt idx="142" c:formatCode="yyyy/m/d">
                  <c:v>44407</c:v>
                </c:pt>
                <c:pt idx="143" c:formatCode="yyyy/m/d">
                  <c:v>44410</c:v>
                </c:pt>
                <c:pt idx="144" c:formatCode="yyyy/m/d">
                  <c:v>44411</c:v>
                </c:pt>
                <c:pt idx="145" c:formatCode="yyyy/m/d">
                  <c:v>44412</c:v>
                </c:pt>
                <c:pt idx="146" c:formatCode="yyyy/m/d">
                  <c:v>44413</c:v>
                </c:pt>
                <c:pt idx="147" c:formatCode="yyyy/m/d">
                  <c:v>44414</c:v>
                </c:pt>
                <c:pt idx="148" c:formatCode="yyyy/m/d">
                  <c:v>44417</c:v>
                </c:pt>
                <c:pt idx="149" c:formatCode="yyyy/m/d">
                  <c:v>44418</c:v>
                </c:pt>
                <c:pt idx="150" c:formatCode="yyyy/m/d">
                  <c:v>44419</c:v>
                </c:pt>
                <c:pt idx="151" c:formatCode="yyyy/m/d">
                  <c:v>44420</c:v>
                </c:pt>
                <c:pt idx="152" c:formatCode="yyyy/m/d">
                  <c:v>44421</c:v>
                </c:pt>
                <c:pt idx="153" c:formatCode="yyyy/m/d">
                  <c:v>44424</c:v>
                </c:pt>
                <c:pt idx="154" c:formatCode="yyyy/m/d">
                  <c:v>44425</c:v>
                </c:pt>
                <c:pt idx="155" c:formatCode="yyyy/m/d">
                  <c:v>44426</c:v>
                </c:pt>
                <c:pt idx="156" c:formatCode="yyyy/m/d">
                  <c:v>44427</c:v>
                </c:pt>
                <c:pt idx="157" c:formatCode="yyyy/m/d">
                  <c:v>44428</c:v>
                </c:pt>
                <c:pt idx="158" c:formatCode="yyyy/m/d">
                  <c:v>44431</c:v>
                </c:pt>
                <c:pt idx="159" c:formatCode="yyyy/m/d">
                  <c:v>44432</c:v>
                </c:pt>
                <c:pt idx="160" c:formatCode="yyyy/m/d">
                  <c:v>44433</c:v>
                </c:pt>
                <c:pt idx="161" c:formatCode="yyyy/m/d">
                  <c:v>44434</c:v>
                </c:pt>
                <c:pt idx="162" c:formatCode="yyyy/m/d">
                  <c:v>44435</c:v>
                </c:pt>
                <c:pt idx="163" c:formatCode="yyyy/m/d">
                  <c:v>44438</c:v>
                </c:pt>
                <c:pt idx="164" c:formatCode="yyyy/m/d">
                  <c:v>44439</c:v>
                </c:pt>
                <c:pt idx="165" c:formatCode="yyyy/m/d">
                  <c:v>44440</c:v>
                </c:pt>
                <c:pt idx="166" c:formatCode="yyyy/m/d">
                  <c:v>44441</c:v>
                </c:pt>
                <c:pt idx="167" c:formatCode="yyyy/m/d">
                  <c:v>44442</c:v>
                </c:pt>
                <c:pt idx="168" c:formatCode="yyyy/m/d">
                  <c:v>44445</c:v>
                </c:pt>
                <c:pt idx="169" c:formatCode="yyyy/m/d">
                  <c:v>44446</c:v>
                </c:pt>
                <c:pt idx="170" c:formatCode="yyyy/m/d">
                  <c:v>44447</c:v>
                </c:pt>
                <c:pt idx="171" c:formatCode="yyyy/m/d">
                  <c:v>44448</c:v>
                </c:pt>
                <c:pt idx="172" c:formatCode="yyyy/m/d">
                  <c:v>44449</c:v>
                </c:pt>
                <c:pt idx="173" c:formatCode="yyyy/m/d">
                  <c:v>44452</c:v>
                </c:pt>
                <c:pt idx="174" c:formatCode="yyyy/m/d">
                  <c:v>44453</c:v>
                </c:pt>
                <c:pt idx="175" c:formatCode="yyyy/m/d">
                  <c:v>44454</c:v>
                </c:pt>
                <c:pt idx="176" c:formatCode="yyyy/m/d">
                  <c:v>44455</c:v>
                </c:pt>
                <c:pt idx="177" c:formatCode="yyyy/m/d">
                  <c:v>44456</c:v>
                </c:pt>
                <c:pt idx="178" c:formatCode="yyyy/m/d">
                  <c:v>44461</c:v>
                </c:pt>
                <c:pt idx="179" c:formatCode="yyyy/m/d">
                  <c:v>44462</c:v>
                </c:pt>
                <c:pt idx="180" c:formatCode="yyyy/m/d">
                  <c:v>44463</c:v>
                </c:pt>
                <c:pt idx="181" c:formatCode="yyyy/m/d">
                  <c:v>44466</c:v>
                </c:pt>
                <c:pt idx="182" c:formatCode="yyyy/m/d">
                  <c:v>44467</c:v>
                </c:pt>
                <c:pt idx="183" c:formatCode="yyyy/m/d">
                  <c:v>44468</c:v>
                </c:pt>
                <c:pt idx="184" c:formatCode="yyyy/m/d">
                  <c:v>44469</c:v>
                </c:pt>
                <c:pt idx="185" c:formatCode="yyyy/m/d">
                  <c:v>44470</c:v>
                </c:pt>
                <c:pt idx="186" c:formatCode="yyyy/m/d">
                  <c:v>44473</c:v>
                </c:pt>
                <c:pt idx="187" c:formatCode="yyyy/m/d">
                  <c:v>44474</c:v>
                </c:pt>
                <c:pt idx="188" c:formatCode="yyyy/m/d">
                  <c:v>44475</c:v>
                </c:pt>
                <c:pt idx="189" c:formatCode="yyyy/m/d">
                  <c:v>44476</c:v>
                </c:pt>
                <c:pt idx="190" c:formatCode="yyyy/m/d">
                  <c:v>44477</c:v>
                </c:pt>
                <c:pt idx="191" c:formatCode="yyyy/m/d">
                  <c:v>44480</c:v>
                </c:pt>
                <c:pt idx="192" c:formatCode="yyyy/m/d">
                  <c:v>44481</c:v>
                </c:pt>
                <c:pt idx="193" c:formatCode="yyyy/m/d">
                  <c:v>44482</c:v>
                </c:pt>
                <c:pt idx="194" c:formatCode="yyyy/m/d">
                  <c:v>44483</c:v>
                </c:pt>
                <c:pt idx="195" c:formatCode="yyyy/m/d">
                  <c:v>44484</c:v>
                </c:pt>
                <c:pt idx="196" c:formatCode="yyyy/m/d">
                  <c:v>44487</c:v>
                </c:pt>
                <c:pt idx="197" c:formatCode="yyyy/m/d">
                  <c:v>44488</c:v>
                </c:pt>
                <c:pt idx="198" c:formatCode="yyyy/m/d">
                  <c:v>44489</c:v>
                </c:pt>
                <c:pt idx="199" c:formatCode="yyyy/m/d">
                  <c:v>44490</c:v>
                </c:pt>
                <c:pt idx="200" c:formatCode="yyyy/m/d">
                  <c:v>44491</c:v>
                </c:pt>
                <c:pt idx="201" c:formatCode="yyyy/m/d">
                  <c:v>44494</c:v>
                </c:pt>
                <c:pt idx="202" c:formatCode="yyyy/m/d">
                  <c:v>44495</c:v>
                </c:pt>
                <c:pt idx="203" c:formatCode="yyyy/m/d">
                  <c:v>44496</c:v>
                </c:pt>
                <c:pt idx="204" c:formatCode="yyyy/m/d">
                  <c:v>44497</c:v>
                </c:pt>
                <c:pt idx="205" c:formatCode="yyyy/m/d">
                  <c:v>44498</c:v>
                </c:pt>
                <c:pt idx="206" c:formatCode="yyyy/m/d">
                  <c:v>44501</c:v>
                </c:pt>
                <c:pt idx="207" c:formatCode="yyyy/m/d">
                  <c:v>44502</c:v>
                </c:pt>
                <c:pt idx="208" c:formatCode="yyyy/m/d">
                  <c:v>44503</c:v>
                </c:pt>
                <c:pt idx="209" c:formatCode="yyyy/m/d">
                  <c:v>44504</c:v>
                </c:pt>
                <c:pt idx="210" c:formatCode="yyyy/m/d">
                  <c:v>44505</c:v>
                </c:pt>
                <c:pt idx="211" c:formatCode="yyyy/m/d">
                  <c:v>44508</c:v>
                </c:pt>
                <c:pt idx="212" c:formatCode="yyyy/m/d">
                  <c:v>44509</c:v>
                </c:pt>
                <c:pt idx="213" c:formatCode="yyyy/m/d">
                  <c:v>44510</c:v>
                </c:pt>
                <c:pt idx="214" c:formatCode="yyyy/m/d">
                  <c:v>44511</c:v>
                </c:pt>
                <c:pt idx="215" c:formatCode="yyyy/m/d">
                  <c:v>44512</c:v>
                </c:pt>
                <c:pt idx="216" c:formatCode="yyyy/m/d">
                  <c:v>44515</c:v>
                </c:pt>
                <c:pt idx="217" c:formatCode="yyyy/m/d">
                  <c:v>44516</c:v>
                </c:pt>
                <c:pt idx="218" c:formatCode="yyyy/m/d">
                  <c:v>44517</c:v>
                </c:pt>
                <c:pt idx="219" c:formatCode="yyyy/m/d">
                  <c:v>44518</c:v>
                </c:pt>
                <c:pt idx="220" c:formatCode="yyyy/m/d">
                  <c:v>44519</c:v>
                </c:pt>
                <c:pt idx="221" c:formatCode="yyyy/m/d">
                  <c:v>44522</c:v>
                </c:pt>
                <c:pt idx="222" c:formatCode="yyyy/m/d">
                  <c:v>44523</c:v>
                </c:pt>
                <c:pt idx="223" c:formatCode="yyyy/m/d">
                  <c:v>44524</c:v>
                </c:pt>
                <c:pt idx="224" c:formatCode="yyyy/m/d">
                  <c:v>44525</c:v>
                </c:pt>
                <c:pt idx="225" c:formatCode="yyyy/m/d">
                  <c:v>44526</c:v>
                </c:pt>
                <c:pt idx="226" c:formatCode="yyyy/m/d">
                  <c:v>44529</c:v>
                </c:pt>
                <c:pt idx="227" c:formatCode="yyyy/m/d">
                  <c:v>44530</c:v>
                </c:pt>
                <c:pt idx="228" c:formatCode="yyyy/m/d">
                  <c:v>44531</c:v>
                </c:pt>
                <c:pt idx="229" c:formatCode="yyyy/m/d">
                  <c:v>44532</c:v>
                </c:pt>
                <c:pt idx="230" c:formatCode="yyyy/m/d">
                  <c:v>44533</c:v>
                </c:pt>
                <c:pt idx="231" c:formatCode="yyyy/m/d">
                  <c:v>44536</c:v>
                </c:pt>
                <c:pt idx="232" c:formatCode="yyyy/m/d">
                  <c:v>44537</c:v>
                </c:pt>
                <c:pt idx="233" c:formatCode="yyyy/m/d">
                  <c:v>44538</c:v>
                </c:pt>
                <c:pt idx="234" c:formatCode="yyyy/m/d">
                  <c:v>44539</c:v>
                </c:pt>
                <c:pt idx="235" c:formatCode="yyyy/m/d">
                  <c:v>44540</c:v>
                </c:pt>
                <c:pt idx="236" c:formatCode="yyyy/m/d">
                  <c:v>44543</c:v>
                </c:pt>
                <c:pt idx="237" c:formatCode="yyyy/m/d">
                  <c:v>44544</c:v>
                </c:pt>
                <c:pt idx="238" c:formatCode="yyyy/m/d">
                  <c:v>44545</c:v>
                </c:pt>
                <c:pt idx="239" c:formatCode="yyyy/m/d">
                  <c:v>44546</c:v>
                </c:pt>
                <c:pt idx="240" c:formatCode="yyyy/m/d">
                  <c:v>44547</c:v>
                </c:pt>
                <c:pt idx="241" c:formatCode="yyyy/m/d">
                  <c:v>44550</c:v>
                </c:pt>
                <c:pt idx="242" c:formatCode="yyyy/m/d">
                  <c:v>44551</c:v>
                </c:pt>
                <c:pt idx="243" c:formatCode="yyyy/m/d">
                  <c:v>44552</c:v>
                </c:pt>
                <c:pt idx="244" c:formatCode="yyyy/m/d">
                  <c:v>44553</c:v>
                </c:pt>
                <c:pt idx="245" c:formatCode="yyyy/m/d">
                  <c:v>44554</c:v>
                </c:pt>
                <c:pt idx="246" c:formatCode="yyyy/m/d">
                  <c:v>44557</c:v>
                </c:pt>
                <c:pt idx="247" c:formatCode="yyyy/m/d">
                  <c:v>44558</c:v>
                </c:pt>
                <c:pt idx="248" c:formatCode="yyyy/m/d">
                  <c:v>44559</c:v>
                </c:pt>
                <c:pt idx="249" c:formatCode="yyyy/m/d">
                  <c:v>44560</c:v>
                </c:pt>
                <c:pt idx="250" c:formatCode="yyyy/m/d">
                  <c:v>44561</c:v>
                </c:pt>
                <c:pt idx="251" c:formatCode="yyyy/m/d">
                  <c:v>44564</c:v>
                </c:pt>
                <c:pt idx="252" c:formatCode="yyyy/m/d">
                  <c:v>44565</c:v>
                </c:pt>
                <c:pt idx="253" c:formatCode="yyyy/m/d">
                  <c:v>44566</c:v>
                </c:pt>
                <c:pt idx="254" c:formatCode="yyyy/m/d">
                  <c:v>44567</c:v>
                </c:pt>
                <c:pt idx="255" c:formatCode="yyyy/m/d">
                  <c:v>44568</c:v>
                </c:pt>
                <c:pt idx="256" c:formatCode="yyyy/m/d">
                  <c:v>44571</c:v>
                </c:pt>
                <c:pt idx="257" c:formatCode="yyyy/m/d">
                  <c:v>44572</c:v>
                </c:pt>
                <c:pt idx="258" c:formatCode="yyyy/m/d">
                  <c:v>44573</c:v>
                </c:pt>
                <c:pt idx="259" c:formatCode="yyyy/m/d">
                  <c:v>44574</c:v>
                </c:pt>
                <c:pt idx="260" c:formatCode="yyyy/m/d">
                  <c:v>44575</c:v>
                </c:pt>
                <c:pt idx="261" c:formatCode="yyyy/m/d">
                  <c:v>44578</c:v>
                </c:pt>
                <c:pt idx="262" c:formatCode="yyyy/m/d">
                  <c:v>44579</c:v>
                </c:pt>
                <c:pt idx="263" c:formatCode="yyyy/m/d">
                  <c:v>44580</c:v>
                </c:pt>
                <c:pt idx="264" c:formatCode="yyyy/m/d">
                  <c:v>44581</c:v>
                </c:pt>
                <c:pt idx="265" c:formatCode="yyyy/m/d">
                  <c:v>44582</c:v>
                </c:pt>
                <c:pt idx="266" c:formatCode="yyyy/m/d">
                  <c:v>44585</c:v>
                </c:pt>
                <c:pt idx="267" c:formatCode="yyyy/m/d">
                  <c:v>44586</c:v>
                </c:pt>
                <c:pt idx="268" c:formatCode="yyyy/m/d">
                  <c:v>44587</c:v>
                </c:pt>
                <c:pt idx="269" c:formatCode="yyyy/m/d">
                  <c:v>44588</c:v>
                </c:pt>
                <c:pt idx="270" c:formatCode="yyyy/m/d">
                  <c:v>44589</c:v>
                </c:pt>
                <c:pt idx="271" c:formatCode="yyyy/m/d">
                  <c:v>44599</c:v>
                </c:pt>
                <c:pt idx="272" c:formatCode="yyyy/m/d">
                  <c:v>44600</c:v>
                </c:pt>
                <c:pt idx="273" c:formatCode="yyyy/m/d">
                  <c:v>44601</c:v>
                </c:pt>
                <c:pt idx="274" c:formatCode="yyyy/m/d">
                  <c:v>44602</c:v>
                </c:pt>
                <c:pt idx="275" c:formatCode="yyyy/m/d">
                  <c:v>44603</c:v>
                </c:pt>
                <c:pt idx="276" c:formatCode="yyyy/m/d">
                  <c:v>44606</c:v>
                </c:pt>
                <c:pt idx="277" c:formatCode="yyyy/m/d">
                  <c:v>44607</c:v>
                </c:pt>
                <c:pt idx="278" c:formatCode="yyyy/m/d">
                  <c:v>44608</c:v>
                </c:pt>
                <c:pt idx="279" c:formatCode="yyyy/m/d">
                  <c:v>44609</c:v>
                </c:pt>
                <c:pt idx="280" c:formatCode="yyyy/m/d">
                  <c:v>44610</c:v>
                </c:pt>
                <c:pt idx="281" c:formatCode="yyyy/m/d">
                  <c:v>44613</c:v>
                </c:pt>
                <c:pt idx="282" c:formatCode="yyyy/m/d">
                  <c:v>44614</c:v>
                </c:pt>
                <c:pt idx="283" c:formatCode="yyyy/m/d">
                  <c:v>44615</c:v>
                </c:pt>
                <c:pt idx="284" c:formatCode="yyyy/m/d">
                  <c:v>44616</c:v>
                </c:pt>
                <c:pt idx="285" c:formatCode="yyyy/m/d">
                  <c:v>44617</c:v>
                </c:pt>
                <c:pt idx="286" c:formatCode="yyyy/m/d">
                  <c:v>44620</c:v>
                </c:pt>
                <c:pt idx="287" c:formatCode="yyyy/m/d">
                  <c:v>44621</c:v>
                </c:pt>
                <c:pt idx="288" c:formatCode="yyyy/m/d">
                  <c:v>44622</c:v>
                </c:pt>
                <c:pt idx="289" c:formatCode="yyyy/m/d">
                  <c:v>44623</c:v>
                </c:pt>
                <c:pt idx="290" c:formatCode="yyyy/m/d">
                  <c:v>44624</c:v>
                </c:pt>
                <c:pt idx="291" c:formatCode="yyyy/m/d">
                  <c:v>44627</c:v>
                </c:pt>
                <c:pt idx="292" c:formatCode="yyyy/m/d">
                  <c:v>44628</c:v>
                </c:pt>
                <c:pt idx="293" c:formatCode="yyyy/m/d">
                  <c:v>44629</c:v>
                </c:pt>
                <c:pt idx="294" c:formatCode="yyyy/m/d">
                  <c:v>44630</c:v>
                </c:pt>
                <c:pt idx="295" c:formatCode="yyyy/m/d">
                  <c:v>44631</c:v>
                </c:pt>
                <c:pt idx="296" c:formatCode="yyyy/m/d">
                  <c:v>44634</c:v>
                </c:pt>
                <c:pt idx="297" c:formatCode="yyyy/m/d">
                  <c:v>44635</c:v>
                </c:pt>
                <c:pt idx="298" c:formatCode="yyyy/m/d">
                  <c:v>44636</c:v>
                </c:pt>
                <c:pt idx="299" c:formatCode="yyyy/m/d">
                  <c:v>44637</c:v>
                </c:pt>
                <c:pt idx="300" c:formatCode="yyyy/m/d">
                  <c:v>44638</c:v>
                </c:pt>
                <c:pt idx="301" c:formatCode="yyyy/m/d">
                  <c:v>44641</c:v>
                </c:pt>
                <c:pt idx="302" c:formatCode="yyyy/m/d">
                  <c:v>44642</c:v>
                </c:pt>
                <c:pt idx="303" c:formatCode="yyyy/m/d">
                  <c:v>44643</c:v>
                </c:pt>
                <c:pt idx="304" c:formatCode="yyyy/m/d">
                  <c:v>44644</c:v>
                </c:pt>
                <c:pt idx="305" c:formatCode="yyyy/m/d">
                  <c:v>44645</c:v>
                </c:pt>
                <c:pt idx="306" c:formatCode="yyyy/m/d">
                  <c:v>44648</c:v>
                </c:pt>
                <c:pt idx="307" c:formatCode="yyyy/m/d">
                  <c:v>44649</c:v>
                </c:pt>
                <c:pt idx="308" c:formatCode="yyyy/m/d">
                  <c:v>44650</c:v>
                </c:pt>
                <c:pt idx="309" c:formatCode="yyyy/m/d">
                  <c:v>44651</c:v>
                </c:pt>
                <c:pt idx="310" c:formatCode="yyyy/m/d">
                  <c:v>44652</c:v>
                </c:pt>
                <c:pt idx="311" c:formatCode="yyyy/m/d">
                  <c:v>44657</c:v>
                </c:pt>
                <c:pt idx="312" c:formatCode="yyyy/m/d">
                  <c:v>44658</c:v>
                </c:pt>
                <c:pt idx="313" c:formatCode="yyyy/m/d">
                  <c:v>44659</c:v>
                </c:pt>
                <c:pt idx="314" c:formatCode="yyyy/m/d">
                  <c:v>44662</c:v>
                </c:pt>
                <c:pt idx="315" c:formatCode="yyyy/m/d">
                  <c:v>44663</c:v>
                </c:pt>
                <c:pt idx="316" c:formatCode="yyyy/m/d">
                  <c:v>44664</c:v>
                </c:pt>
                <c:pt idx="317" c:formatCode="yyyy/m/d">
                  <c:v>44665</c:v>
                </c:pt>
                <c:pt idx="318" c:formatCode="yyyy/m/d">
                  <c:v>44666</c:v>
                </c:pt>
                <c:pt idx="319" c:formatCode="yyyy/m/d">
                  <c:v>44669</c:v>
                </c:pt>
                <c:pt idx="320" c:formatCode="yyyy/m/d">
                  <c:v>44670</c:v>
                </c:pt>
                <c:pt idx="321" c:formatCode="yyyy/m/d">
                  <c:v>44671</c:v>
                </c:pt>
                <c:pt idx="322" c:formatCode="yyyy/m/d">
                  <c:v>44672</c:v>
                </c:pt>
                <c:pt idx="323" c:formatCode="yyyy/m/d">
                  <c:v>44673</c:v>
                </c:pt>
                <c:pt idx="324" c:formatCode="yyyy/m/d">
                  <c:v>44676</c:v>
                </c:pt>
                <c:pt idx="325" c:formatCode="yyyy/m/d">
                  <c:v>44677</c:v>
                </c:pt>
                <c:pt idx="326" c:formatCode="yyyy/m/d">
                  <c:v>44678</c:v>
                </c:pt>
                <c:pt idx="327" c:formatCode="yyyy/m/d">
                  <c:v>44679</c:v>
                </c:pt>
                <c:pt idx="328" c:formatCode="yyyy/m/d">
                  <c:v>44680</c:v>
                </c:pt>
                <c:pt idx="329" c:formatCode="yyyy/m/d">
                  <c:v>44684</c:v>
                </c:pt>
                <c:pt idx="330" c:formatCode="yyyy/m/d">
                  <c:v>44685</c:v>
                </c:pt>
                <c:pt idx="331" c:formatCode="yyyy/m/d">
                  <c:v>44686</c:v>
                </c:pt>
                <c:pt idx="332" c:formatCode="yyyy/m/d">
                  <c:v>44687</c:v>
                </c:pt>
                <c:pt idx="333" c:formatCode="yyyy/m/d">
                  <c:v>44690</c:v>
                </c:pt>
                <c:pt idx="334" c:formatCode="yyyy/m/d">
                  <c:v>44691</c:v>
                </c:pt>
                <c:pt idx="335" c:formatCode="yyyy/m/d">
                  <c:v>44692</c:v>
                </c:pt>
                <c:pt idx="336" c:formatCode="yyyy/m/d">
                  <c:v>44693</c:v>
                </c:pt>
                <c:pt idx="337" c:formatCode="yyyy/m/d">
                  <c:v>44694</c:v>
                </c:pt>
                <c:pt idx="338" c:formatCode="yyyy/m/d">
                  <c:v>44697</c:v>
                </c:pt>
                <c:pt idx="339" c:formatCode="yyyy/m/d">
                  <c:v>44698</c:v>
                </c:pt>
                <c:pt idx="340" c:formatCode="yyyy/m/d">
                  <c:v>44699</c:v>
                </c:pt>
                <c:pt idx="341" c:formatCode="yyyy/m/d">
                  <c:v>44700</c:v>
                </c:pt>
                <c:pt idx="342" c:formatCode="yyyy/m/d">
                  <c:v>44701</c:v>
                </c:pt>
                <c:pt idx="343" c:formatCode="yyyy/m/d">
                  <c:v>44704</c:v>
                </c:pt>
                <c:pt idx="344" c:formatCode="yyyy/m/d">
                  <c:v>44705</c:v>
                </c:pt>
                <c:pt idx="345" c:formatCode="yyyy/m/d">
                  <c:v>44706</c:v>
                </c:pt>
                <c:pt idx="346" c:formatCode="yyyy/m/d">
                  <c:v>44707</c:v>
                </c:pt>
                <c:pt idx="347" c:formatCode="yyyy/m/d">
                  <c:v>44708</c:v>
                </c:pt>
                <c:pt idx="348" c:formatCode="yyyy/m/d">
                  <c:v>44711</c:v>
                </c:pt>
                <c:pt idx="349" c:formatCode="yyyy/m/d">
                  <c:v>44712</c:v>
                </c:pt>
                <c:pt idx="350" c:formatCode="yyyy/m/d">
                  <c:v>44713</c:v>
                </c:pt>
                <c:pt idx="351" c:formatCode="yyyy/m/d">
                  <c:v>44714</c:v>
                </c:pt>
                <c:pt idx="352" c:formatCode="yyyy/m/d">
                  <c:v>44718</c:v>
                </c:pt>
                <c:pt idx="353" c:formatCode="yyyy/m/d">
                  <c:v>44719</c:v>
                </c:pt>
                <c:pt idx="354" c:formatCode="yyyy/m/d">
                  <c:v>44720</c:v>
                </c:pt>
                <c:pt idx="355" c:formatCode="yyyy/m/d">
                  <c:v>44721</c:v>
                </c:pt>
                <c:pt idx="356" c:formatCode="yyyy/m/d">
                  <c:v>44722</c:v>
                </c:pt>
                <c:pt idx="357" c:formatCode="yyyy/m/d">
                  <c:v>44725</c:v>
                </c:pt>
                <c:pt idx="358" c:formatCode="yyyy/m/d">
                  <c:v>44726</c:v>
                </c:pt>
                <c:pt idx="359" c:formatCode="yyyy/m/d">
                  <c:v>44727</c:v>
                </c:pt>
                <c:pt idx="360" c:formatCode="yyyy/m/d">
                  <c:v>44728</c:v>
                </c:pt>
                <c:pt idx="361" c:formatCode="yyyy/m/d">
                  <c:v>44729</c:v>
                </c:pt>
                <c:pt idx="362" c:formatCode="yyyy/m/d">
                  <c:v>44732</c:v>
                </c:pt>
                <c:pt idx="363" c:formatCode="yyyy/m/d">
                  <c:v>44733</c:v>
                </c:pt>
                <c:pt idx="364" c:formatCode="yyyy/m/d">
                  <c:v>44734</c:v>
                </c:pt>
                <c:pt idx="365" c:formatCode="yyyy/m/d">
                  <c:v>44735</c:v>
                </c:pt>
                <c:pt idx="366" c:formatCode="yyyy/m/d">
                  <c:v>44736</c:v>
                </c:pt>
                <c:pt idx="367" c:formatCode="yyyy/m/d">
                  <c:v>44739</c:v>
                </c:pt>
                <c:pt idx="368" c:formatCode="yyyy/m/d">
                  <c:v>44740</c:v>
                </c:pt>
                <c:pt idx="369" c:formatCode="yyyy/m/d">
                  <c:v>44741</c:v>
                </c:pt>
                <c:pt idx="370" c:formatCode="yyyy/m/d">
                  <c:v>44742</c:v>
                </c:pt>
                <c:pt idx="371" c:formatCode="yyyy/m/d">
                  <c:v>44743</c:v>
                </c:pt>
                <c:pt idx="372" c:formatCode="yyyy/m/d">
                  <c:v>44746</c:v>
                </c:pt>
                <c:pt idx="373" c:formatCode="yyyy/m/d">
                  <c:v>44747</c:v>
                </c:pt>
                <c:pt idx="374" c:formatCode="yyyy/m/d">
                  <c:v>44748</c:v>
                </c:pt>
                <c:pt idx="375" c:formatCode="yyyy/m/d">
                  <c:v>44749</c:v>
                </c:pt>
                <c:pt idx="376" c:formatCode="yyyy/m/d">
                  <c:v>44750</c:v>
                </c:pt>
                <c:pt idx="377" c:formatCode="yyyy/m/d">
                  <c:v>44753</c:v>
                </c:pt>
                <c:pt idx="378" c:formatCode="yyyy/m/d">
                  <c:v>44754</c:v>
                </c:pt>
                <c:pt idx="379" c:formatCode="yyyy/m/d">
                  <c:v>44755</c:v>
                </c:pt>
                <c:pt idx="380" c:formatCode="yyyy/m/d">
                  <c:v>44756</c:v>
                </c:pt>
                <c:pt idx="381" c:formatCode="yyyy/m/d">
                  <c:v>44757</c:v>
                </c:pt>
                <c:pt idx="382" c:formatCode="yyyy/m/d">
                  <c:v>44760</c:v>
                </c:pt>
                <c:pt idx="383" c:formatCode="yyyy/m/d">
                  <c:v>44761</c:v>
                </c:pt>
                <c:pt idx="384" c:formatCode="yyyy/m/d">
                  <c:v>44762</c:v>
                </c:pt>
                <c:pt idx="385" c:formatCode="yyyy/m/d">
                  <c:v>44763</c:v>
                </c:pt>
                <c:pt idx="386" c:formatCode="yyyy/m/d">
                  <c:v>44764</c:v>
                </c:pt>
                <c:pt idx="387" c:formatCode="yyyy/m/d">
                  <c:v>44767</c:v>
                </c:pt>
                <c:pt idx="388" c:formatCode="yyyy/m/d">
                  <c:v>44768</c:v>
                </c:pt>
                <c:pt idx="389" c:formatCode="yyyy/m/d">
                  <c:v>44769</c:v>
                </c:pt>
                <c:pt idx="390" c:formatCode="yyyy/m/d">
                  <c:v>44770</c:v>
                </c:pt>
                <c:pt idx="391" c:formatCode="yyyy/m/d">
                  <c:v>44771</c:v>
                </c:pt>
                <c:pt idx="392" c:formatCode="yyyy/m/d">
                  <c:v>44774</c:v>
                </c:pt>
                <c:pt idx="393" c:formatCode="yyyy/m/d">
                  <c:v>44775</c:v>
                </c:pt>
                <c:pt idx="394" c:formatCode="yyyy/m/d">
                  <c:v>44776</c:v>
                </c:pt>
                <c:pt idx="395" c:formatCode="yyyy/m/d">
                  <c:v>44777</c:v>
                </c:pt>
                <c:pt idx="396" c:formatCode="yyyy/m/d">
                  <c:v>44778</c:v>
                </c:pt>
                <c:pt idx="397" c:formatCode="yyyy/m/d">
                  <c:v>44781</c:v>
                </c:pt>
                <c:pt idx="398" c:formatCode="yyyy/m/d">
                  <c:v>44782</c:v>
                </c:pt>
                <c:pt idx="399" c:formatCode="yyyy/m/d">
                  <c:v>44783</c:v>
                </c:pt>
                <c:pt idx="400" c:formatCode="yyyy/m/d">
                  <c:v>44784</c:v>
                </c:pt>
                <c:pt idx="401" c:formatCode="yyyy/m/d">
                  <c:v>44785</c:v>
                </c:pt>
                <c:pt idx="402" c:formatCode="yyyy/m/d">
                  <c:v>44788</c:v>
                </c:pt>
                <c:pt idx="403" c:formatCode="yyyy/m/d">
                  <c:v>44789</c:v>
                </c:pt>
                <c:pt idx="404" c:formatCode="yyyy/m/d">
                  <c:v>44790</c:v>
                </c:pt>
                <c:pt idx="405" c:formatCode="yyyy/m/d">
                  <c:v>44791</c:v>
                </c:pt>
                <c:pt idx="406" c:formatCode="yyyy/m/d">
                  <c:v>44792</c:v>
                </c:pt>
                <c:pt idx="407" c:formatCode="yyyy/m/d">
                  <c:v>44795</c:v>
                </c:pt>
                <c:pt idx="408" c:formatCode="yyyy/m/d">
                  <c:v>44796</c:v>
                </c:pt>
                <c:pt idx="409" c:formatCode="yyyy/m/d">
                  <c:v>44797</c:v>
                </c:pt>
                <c:pt idx="410" c:formatCode="yyyy/m/d">
                  <c:v>44798</c:v>
                </c:pt>
                <c:pt idx="411" c:formatCode="yyyy/m/d">
                  <c:v>44799</c:v>
                </c:pt>
                <c:pt idx="412" c:formatCode="yyyy/m/d">
                  <c:v>44802</c:v>
                </c:pt>
                <c:pt idx="413" c:formatCode="yyyy/m/d">
                  <c:v>44803</c:v>
                </c:pt>
                <c:pt idx="414" c:formatCode="yyyy/m/d">
                  <c:v>44804</c:v>
                </c:pt>
                <c:pt idx="415" c:formatCode="yyyy/m/d">
                  <c:v>44805</c:v>
                </c:pt>
                <c:pt idx="416" c:formatCode="yyyy/m/d">
                  <c:v>44806</c:v>
                </c:pt>
                <c:pt idx="417" c:formatCode="yyyy/m/d">
                  <c:v>44809</c:v>
                </c:pt>
                <c:pt idx="418" c:formatCode="yyyy/m/d">
                  <c:v>44810</c:v>
                </c:pt>
                <c:pt idx="419" c:formatCode="yyyy/m/d">
                  <c:v>44811</c:v>
                </c:pt>
                <c:pt idx="420" c:formatCode="yyyy/m/d">
                  <c:v>44812</c:v>
                </c:pt>
                <c:pt idx="421" c:formatCode="yyyy/m/d">
                  <c:v>44813</c:v>
                </c:pt>
                <c:pt idx="422" c:formatCode="yyyy/m/d">
                  <c:v>44816</c:v>
                </c:pt>
                <c:pt idx="423" c:formatCode="yyyy/m/d">
                  <c:v>44817</c:v>
                </c:pt>
                <c:pt idx="424" c:formatCode="yyyy/m/d">
                  <c:v>44818</c:v>
                </c:pt>
                <c:pt idx="425" c:formatCode="yyyy/m/d">
                  <c:v>44819</c:v>
                </c:pt>
                <c:pt idx="426" c:formatCode="yyyy/m/d">
                  <c:v>44820</c:v>
                </c:pt>
                <c:pt idx="427" c:formatCode="yyyy/m/d">
                  <c:v>44823</c:v>
                </c:pt>
                <c:pt idx="428" c:formatCode="yyyy/m/d">
                  <c:v>44824</c:v>
                </c:pt>
                <c:pt idx="429" c:formatCode="yyyy/m/d">
                  <c:v>44825</c:v>
                </c:pt>
                <c:pt idx="430" c:formatCode="yyyy/m/d">
                  <c:v>44826</c:v>
                </c:pt>
                <c:pt idx="431" c:formatCode="yyyy/m/d">
                  <c:v>44827</c:v>
                </c:pt>
                <c:pt idx="432" c:formatCode="yyyy/m/d">
                  <c:v>44830</c:v>
                </c:pt>
                <c:pt idx="433" c:formatCode="yyyy/m/d">
                  <c:v>44831</c:v>
                </c:pt>
                <c:pt idx="434" c:formatCode="yyyy/m/d">
                  <c:v>44832</c:v>
                </c:pt>
                <c:pt idx="435" c:formatCode="yyyy/m/d">
                  <c:v>44833</c:v>
                </c:pt>
                <c:pt idx="436" c:formatCode="yyyy/m/d">
                  <c:v>44834</c:v>
                </c:pt>
                <c:pt idx="437" c:formatCode="yyyy/m/d">
                  <c:v>44837</c:v>
                </c:pt>
                <c:pt idx="438" c:formatCode="yyyy/m/d">
                  <c:v>44838</c:v>
                </c:pt>
                <c:pt idx="439" c:formatCode="yyyy/m/d">
                  <c:v>44839</c:v>
                </c:pt>
                <c:pt idx="440" c:formatCode="yyyy/m/d">
                  <c:v>44840</c:v>
                </c:pt>
                <c:pt idx="441" c:formatCode="yyyy/m/d">
                  <c:v>44841</c:v>
                </c:pt>
                <c:pt idx="442" c:formatCode="yyyy/m/d">
                  <c:v>44844</c:v>
                </c:pt>
                <c:pt idx="443" c:formatCode="yyyy/m/d">
                  <c:v>44845</c:v>
                </c:pt>
                <c:pt idx="444" c:formatCode="yyyy/m/d">
                  <c:v>44846</c:v>
                </c:pt>
                <c:pt idx="445" c:formatCode="yyyy/m/d">
                  <c:v>44847</c:v>
                </c:pt>
                <c:pt idx="446" c:formatCode="yyyy/m/d">
                  <c:v>44848</c:v>
                </c:pt>
                <c:pt idx="447" c:formatCode="yyyy/m/d">
                  <c:v>44851</c:v>
                </c:pt>
                <c:pt idx="448" c:formatCode="yyyy/m/d">
                  <c:v>44852</c:v>
                </c:pt>
                <c:pt idx="449" c:formatCode="yyyy/m/d">
                  <c:v>44853</c:v>
                </c:pt>
                <c:pt idx="450" c:formatCode="yyyy/m/d">
                  <c:v>44854</c:v>
                </c:pt>
                <c:pt idx="451" c:formatCode="yyyy/m/d">
                  <c:v>44855</c:v>
                </c:pt>
                <c:pt idx="452" c:formatCode="yyyy/m/d">
                  <c:v>44858</c:v>
                </c:pt>
                <c:pt idx="453" c:formatCode="yyyy/m/d">
                  <c:v>44859</c:v>
                </c:pt>
                <c:pt idx="454" c:formatCode="yyyy/m/d">
                  <c:v>44860</c:v>
                </c:pt>
                <c:pt idx="455" c:formatCode="yyyy/m/d">
                  <c:v>44861</c:v>
                </c:pt>
                <c:pt idx="456" c:formatCode="yyyy/m/d">
                  <c:v>44862</c:v>
                </c:pt>
                <c:pt idx="457" c:formatCode="yyyy/m/d">
                  <c:v>44865</c:v>
                </c:pt>
                <c:pt idx="458" c:formatCode="yyyy/m/d">
                  <c:v>44866</c:v>
                </c:pt>
                <c:pt idx="459" c:formatCode="yyyy/m/d">
                  <c:v>44867</c:v>
                </c:pt>
                <c:pt idx="460" c:formatCode="yyyy/m/d">
                  <c:v>44868</c:v>
                </c:pt>
                <c:pt idx="461" c:formatCode="yyyy/m/d">
                  <c:v>44869</c:v>
                </c:pt>
                <c:pt idx="462" c:formatCode="yyyy/m/d">
                  <c:v>44872</c:v>
                </c:pt>
                <c:pt idx="463" c:formatCode="yyyy/m/d">
                  <c:v>44873</c:v>
                </c:pt>
                <c:pt idx="464" c:formatCode="yyyy/m/d">
                  <c:v>44874</c:v>
                </c:pt>
                <c:pt idx="465" c:formatCode="yyyy/m/d">
                  <c:v>44875</c:v>
                </c:pt>
                <c:pt idx="466" c:formatCode="yyyy/m/d">
                  <c:v>44876</c:v>
                </c:pt>
                <c:pt idx="467" c:formatCode="yyyy/m/d">
                  <c:v>44879</c:v>
                </c:pt>
                <c:pt idx="468" c:formatCode="yyyy/m/d">
                  <c:v>44880</c:v>
                </c:pt>
                <c:pt idx="469" c:formatCode="yyyy/m/d">
                  <c:v>44881</c:v>
                </c:pt>
                <c:pt idx="470" c:formatCode="yyyy/m/d">
                  <c:v>44882</c:v>
                </c:pt>
                <c:pt idx="471" c:formatCode="yyyy/m/d">
                  <c:v>44883</c:v>
                </c:pt>
                <c:pt idx="472" c:formatCode="yyyy/m/d">
                  <c:v>44886</c:v>
                </c:pt>
                <c:pt idx="473" c:formatCode="yyyy/m/d">
                  <c:v>44887</c:v>
                </c:pt>
                <c:pt idx="474" c:formatCode="yyyy/m/d">
                  <c:v>44888</c:v>
                </c:pt>
                <c:pt idx="475" c:formatCode="yyyy/m/d">
                  <c:v>44889</c:v>
                </c:pt>
                <c:pt idx="476" c:formatCode="yyyy/m/d">
                  <c:v>44890</c:v>
                </c:pt>
                <c:pt idx="477" c:formatCode="yyyy/m/d">
                  <c:v>44893</c:v>
                </c:pt>
                <c:pt idx="478" c:formatCode="yyyy/m/d">
                  <c:v>44894</c:v>
                </c:pt>
                <c:pt idx="479" c:formatCode="yyyy/m/d">
                  <c:v>44895</c:v>
                </c:pt>
                <c:pt idx="480" c:formatCode="yyyy/m/d">
                  <c:v>44896</c:v>
                </c:pt>
                <c:pt idx="481" c:formatCode="yyyy/m/d">
                  <c:v>44897</c:v>
                </c:pt>
                <c:pt idx="482" c:formatCode="yyyy/m/d">
                  <c:v>44900</c:v>
                </c:pt>
                <c:pt idx="483" c:formatCode="yyyy/m/d">
                  <c:v>44901</c:v>
                </c:pt>
                <c:pt idx="484" c:formatCode="yyyy/m/d">
                  <c:v>44902</c:v>
                </c:pt>
                <c:pt idx="485" c:formatCode="yyyy/m/d">
                  <c:v>44903</c:v>
                </c:pt>
                <c:pt idx="486" c:formatCode="yyyy/m/d">
                  <c:v>44904</c:v>
                </c:pt>
                <c:pt idx="487" c:formatCode="yyyy/m/d">
                  <c:v>44907</c:v>
                </c:pt>
                <c:pt idx="488" c:formatCode="yyyy/m/d">
                  <c:v>44908</c:v>
                </c:pt>
                <c:pt idx="489" c:formatCode="yyyy/m/d">
                  <c:v>44909</c:v>
                </c:pt>
                <c:pt idx="490" c:formatCode="yyyy/m/d">
                  <c:v>44910</c:v>
                </c:pt>
                <c:pt idx="491" c:formatCode="yyyy/m/d">
                  <c:v>44911</c:v>
                </c:pt>
                <c:pt idx="492" c:formatCode="yyyy/m/d">
                  <c:v>44914</c:v>
                </c:pt>
                <c:pt idx="493" c:formatCode="yyyy/m/d">
                  <c:v>44915</c:v>
                </c:pt>
                <c:pt idx="494" c:formatCode="yyyy/m/d">
                  <c:v>44916</c:v>
                </c:pt>
                <c:pt idx="495" c:formatCode="yyyy/m/d">
                  <c:v>44917</c:v>
                </c:pt>
                <c:pt idx="496" c:formatCode="yyyy/m/d">
                  <c:v>44918</c:v>
                </c:pt>
                <c:pt idx="497" c:formatCode="yyyy/m/d">
                  <c:v>44921</c:v>
                </c:pt>
                <c:pt idx="498" c:formatCode="yyyy/m/d">
                  <c:v>44922</c:v>
                </c:pt>
                <c:pt idx="499" c:formatCode="yyyy/m/d">
                  <c:v>44923</c:v>
                </c:pt>
                <c:pt idx="500" c:formatCode="yyyy/m/d">
                  <c:v>44924</c:v>
                </c:pt>
                <c:pt idx="501" c:formatCode="yyyy/m/d">
                  <c:v>44925</c:v>
                </c:pt>
                <c:pt idx="502" c:formatCode="yyyy/m/d">
                  <c:v>44928</c:v>
                </c:pt>
                <c:pt idx="503" c:formatCode="yyyy/m/d">
                  <c:v>44929</c:v>
                </c:pt>
                <c:pt idx="504" c:formatCode="yyyy/m/d">
                  <c:v>44930</c:v>
                </c:pt>
                <c:pt idx="505" c:formatCode="yyyy/m/d">
                  <c:v>44931</c:v>
                </c:pt>
                <c:pt idx="506" c:formatCode="yyyy/m/d">
                  <c:v>44932</c:v>
                </c:pt>
                <c:pt idx="507" c:formatCode="yyyy/m/d">
                  <c:v>44935</c:v>
                </c:pt>
                <c:pt idx="508" c:formatCode="yyyy/m/d">
                  <c:v>44936</c:v>
                </c:pt>
                <c:pt idx="509" c:formatCode="yyyy/m/d">
                  <c:v>44937</c:v>
                </c:pt>
                <c:pt idx="510" c:formatCode="yyyy/m/d">
                  <c:v>44938</c:v>
                </c:pt>
                <c:pt idx="511" c:formatCode="yyyy/m/d">
                  <c:v>44939</c:v>
                </c:pt>
                <c:pt idx="512" c:formatCode="yyyy/m/d">
                  <c:v>44942</c:v>
                </c:pt>
                <c:pt idx="513" c:formatCode="yyyy/m/d">
                  <c:v>44943</c:v>
                </c:pt>
                <c:pt idx="514" c:formatCode="yyyy/m/d">
                  <c:v>44944</c:v>
                </c:pt>
                <c:pt idx="515" c:formatCode="yyyy/m/d">
                  <c:v>44945</c:v>
                </c:pt>
                <c:pt idx="516" c:formatCode="yyyy/m/d">
                  <c:v>44946</c:v>
                </c:pt>
                <c:pt idx="517" c:formatCode="yyyy/m/d">
                  <c:v>44956</c:v>
                </c:pt>
                <c:pt idx="518" c:formatCode="yyyy/m/d">
                  <c:v>44957</c:v>
                </c:pt>
                <c:pt idx="519" c:formatCode="yyyy/m/d">
                  <c:v>44958</c:v>
                </c:pt>
                <c:pt idx="520" c:formatCode="yyyy/m/d">
                  <c:v>44959</c:v>
                </c:pt>
                <c:pt idx="521" c:formatCode="yyyy/m/d">
                  <c:v>44960</c:v>
                </c:pt>
                <c:pt idx="522" c:formatCode="yyyy/m/d">
                  <c:v>44963</c:v>
                </c:pt>
                <c:pt idx="523" c:formatCode="yyyy/m/d">
                  <c:v>44964</c:v>
                </c:pt>
                <c:pt idx="524" c:formatCode="yyyy/m/d">
                  <c:v>44965</c:v>
                </c:pt>
                <c:pt idx="525" c:formatCode="yyyy/m/d">
                  <c:v>44966</c:v>
                </c:pt>
                <c:pt idx="526" c:formatCode="yyyy/m/d">
                  <c:v>44967</c:v>
                </c:pt>
                <c:pt idx="527" c:formatCode="yyyy/m/d">
                  <c:v>44970</c:v>
                </c:pt>
                <c:pt idx="528" c:formatCode="yyyy/m/d">
                  <c:v>44971</c:v>
                </c:pt>
                <c:pt idx="529" c:formatCode="yyyy/m/d">
                  <c:v>44972</c:v>
                </c:pt>
                <c:pt idx="530" c:formatCode="yyyy/m/d">
                  <c:v>44973</c:v>
                </c:pt>
                <c:pt idx="531" c:formatCode="yyyy/m/d">
                  <c:v>44974</c:v>
                </c:pt>
                <c:pt idx="532" c:formatCode="yyyy/m/d">
                  <c:v>44977</c:v>
                </c:pt>
                <c:pt idx="533" c:formatCode="yyyy/m/d">
                  <c:v>44978</c:v>
                </c:pt>
                <c:pt idx="534" c:formatCode="yyyy/m/d">
                  <c:v>44979</c:v>
                </c:pt>
                <c:pt idx="535" c:formatCode="yyyy/m/d">
                  <c:v>44980</c:v>
                </c:pt>
                <c:pt idx="536" c:formatCode="yyyy/m/d">
                  <c:v>44981</c:v>
                </c:pt>
                <c:pt idx="537" c:formatCode="yyyy/m/d">
                  <c:v>44984</c:v>
                </c:pt>
                <c:pt idx="538" c:formatCode="yyyy/m/d">
                  <c:v>44985</c:v>
                </c:pt>
                <c:pt idx="539" c:formatCode="yyyy/m/d">
                  <c:v>44986</c:v>
                </c:pt>
                <c:pt idx="540" c:formatCode="yyyy/m/d">
                  <c:v>44987</c:v>
                </c:pt>
                <c:pt idx="541" c:formatCode="yyyy/m/d">
                  <c:v>44988</c:v>
                </c:pt>
                <c:pt idx="542" c:formatCode="yyyy/m/d">
                  <c:v>44991</c:v>
                </c:pt>
                <c:pt idx="543" c:formatCode="yyyy/m/d">
                  <c:v>44992</c:v>
                </c:pt>
                <c:pt idx="544" c:formatCode="yyyy/m/d">
                  <c:v>44993</c:v>
                </c:pt>
                <c:pt idx="545" c:formatCode="yyyy/m/d">
                  <c:v>44994</c:v>
                </c:pt>
                <c:pt idx="546" c:formatCode="yyyy/m/d">
                  <c:v>44995</c:v>
                </c:pt>
                <c:pt idx="547" c:formatCode="yyyy/m/d">
                  <c:v>44998</c:v>
                </c:pt>
                <c:pt idx="548" c:formatCode="yyyy/m/d">
                  <c:v>44999</c:v>
                </c:pt>
                <c:pt idx="549" c:formatCode="yyyy/m/d">
                  <c:v>45000</c:v>
                </c:pt>
                <c:pt idx="550" c:formatCode="yyyy/m/d">
                  <c:v>45001</c:v>
                </c:pt>
                <c:pt idx="551" c:formatCode="yyyy/m/d">
                  <c:v>45002</c:v>
                </c:pt>
                <c:pt idx="552" c:formatCode="yyyy/m/d">
                  <c:v>45005</c:v>
                </c:pt>
                <c:pt idx="553" c:formatCode="yyyy/m/d">
                  <c:v>45006</c:v>
                </c:pt>
                <c:pt idx="554" c:formatCode="yyyy/m/d">
                  <c:v>45007</c:v>
                </c:pt>
                <c:pt idx="555" c:formatCode="yyyy/m/d">
                  <c:v>45008</c:v>
                </c:pt>
                <c:pt idx="556" c:formatCode="yyyy/m/d">
                  <c:v>45009</c:v>
                </c:pt>
                <c:pt idx="557" c:formatCode="yyyy/m/d">
                  <c:v>45012</c:v>
                </c:pt>
                <c:pt idx="558" c:formatCode="yyyy/m/d">
                  <c:v>45013</c:v>
                </c:pt>
                <c:pt idx="559" c:formatCode="yyyy/m/d">
                  <c:v>45014</c:v>
                </c:pt>
                <c:pt idx="560" c:formatCode="yyyy/m/d">
                  <c:v>45015</c:v>
                </c:pt>
                <c:pt idx="561" c:formatCode="yyyy/m/d">
                  <c:v>45016</c:v>
                </c:pt>
                <c:pt idx="562" c:formatCode="yyyy/m/d">
                  <c:v>45019</c:v>
                </c:pt>
                <c:pt idx="563" c:formatCode="yyyy/m/d">
                  <c:v>45020</c:v>
                </c:pt>
                <c:pt idx="564" c:formatCode="yyyy/m/d">
                  <c:v>45022</c:v>
                </c:pt>
                <c:pt idx="565" c:formatCode="yyyy/m/d">
                  <c:v>45023</c:v>
                </c:pt>
                <c:pt idx="566" c:formatCode="yyyy/m/d">
                  <c:v>45026</c:v>
                </c:pt>
                <c:pt idx="567" c:formatCode="yyyy/m/d">
                  <c:v>45027</c:v>
                </c:pt>
                <c:pt idx="568" c:formatCode="yyyy/m/d">
                  <c:v>45028</c:v>
                </c:pt>
                <c:pt idx="569" c:formatCode="yyyy/m/d">
                  <c:v>45029</c:v>
                </c:pt>
                <c:pt idx="570" c:formatCode="yyyy/m/d">
                  <c:v>45030</c:v>
                </c:pt>
                <c:pt idx="571" c:formatCode="yyyy/m/d">
                  <c:v>45033</c:v>
                </c:pt>
                <c:pt idx="572" c:formatCode="yyyy/m/d">
                  <c:v>45034</c:v>
                </c:pt>
                <c:pt idx="573" c:formatCode="yyyy/m/d">
                  <c:v>45035</c:v>
                </c:pt>
                <c:pt idx="574" c:formatCode="yyyy/m/d">
                  <c:v>45036</c:v>
                </c:pt>
                <c:pt idx="575" c:formatCode="yyyy/m/d">
                  <c:v>45037</c:v>
                </c:pt>
                <c:pt idx="576" c:formatCode="yyyy/m/d">
                  <c:v>45040</c:v>
                </c:pt>
                <c:pt idx="577" c:formatCode="yyyy/m/d">
                  <c:v>45041</c:v>
                </c:pt>
                <c:pt idx="578" c:formatCode="yyyy/m/d">
                  <c:v>45042</c:v>
                </c:pt>
                <c:pt idx="579" c:formatCode="yyyy/m/d">
                  <c:v>45043</c:v>
                </c:pt>
                <c:pt idx="580" c:formatCode="yyyy/m/d">
                  <c:v>45044</c:v>
                </c:pt>
                <c:pt idx="581" c:formatCode="yyyy/m/d">
                  <c:v>45047</c:v>
                </c:pt>
                <c:pt idx="582" c:formatCode="yyyy/m/d">
                  <c:v>45049</c:v>
                </c:pt>
                <c:pt idx="583" c:formatCode="yyyy/m/d">
                  <c:v>45050</c:v>
                </c:pt>
                <c:pt idx="584" c:formatCode="yyyy/m/d">
                  <c:v>45051</c:v>
                </c:pt>
                <c:pt idx="585" c:formatCode="yyyy/m/d">
                  <c:v>45054</c:v>
                </c:pt>
                <c:pt idx="586" c:formatCode="yyyy/m/d">
                  <c:v>45055</c:v>
                </c:pt>
                <c:pt idx="587" c:formatCode="yyyy/m/d">
                  <c:v>45056</c:v>
                </c:pt>
                <c:pt idx="588" c:formatCode="yyyy/m/d">
                  <c:v>45057</c:v>
                </c:pt>
                <c:pt idx="589" c:formatCode="yyyy/m/d">
                  <c:v>45058</c:v>
                </c:pt>
                <c:pt idx="590" c:formatCode="yyyy/m/d">
                  <c:v>45061</c:v>
                </c:pt>
                <c:pt idx="591" c:formatCode="yyyy/m/d">
                  <c:v>45062</c:v>
                </c:pt>
                <c:pt idx="592" c:formatCode="yyyy/m/d">
                  <c:v>45063</c:v>
                </c:pt>
                <c:pt idx="593" c:formatCode="yyyy/m/d">
                  <c:v>45064</c:v>
                </c:pt>
                <c:pt idx="594" c:formatCode="yyyy/m/d">
                  <c:v>45065</c:v>
                </c:pt>
                <c:pt idx="595" c:formatCode="yyyy/m/d">
                  <c:v>45068</c:v>
                </c:pt>
                <c:pt idx="596" c:formatCode="yyyy/m/d">
                  <c:v>45069</c:v>
                </c:pt>
                <c:pt idx="597" c:formatCode="yyyy/m/d">
                  <c:v>45070</c:v>
                </c:pt>
                <c:pt idx="598" c:formatCode="yyyy/m/d">
                  <c:v>45071</c:v>
                </c:pt>
                <c:pt idx="599" c:formatCode="yyyy/m/d">
                  <c:v>45072</c:v>
                </c:pt>
                <c:pt idx="600" c:formatCode="yyyy/m/d">
                  <c:v>45075</c:v>
                </c:pt>
                <c:pt idx="601" c:formatCode="yyyy/m/d">
                  <c:v>45076</c:v>
                </c:pt>
                <c:pt idx="602" c:formatCode="yyyy/m/d">
                  <c:v>45077</c:v>
                </c:pt>
                <c:pt idx="603" c:formatCode="yyyy/m/d">
                  <c:v>45078</c:v>
                </c:pt>
                <c:pt idx="604" c:formatCode="yyyy/m/d">
                  <c:v>45079</c:v>
                </c:pt>
                <c:pt idx="605" c:formatCode="yyyy/m/d">
                  <c:v>45082</c:v>
                </c:pt>
                <c:pt idx="606" c:formatCode="yyyy/m/d">
                  <c:v>45083</c:v>
                </c:pt>
                <c:pt idx="607" c:formatCode="yyyy/m/d">
                  <c:v>45084</c:v>
                </c:pt>
                <c:pt idx="608" c:formatCode="yyyy/m/d">
                  <c:v>45085</c:v>
                </c:pt>
                <c:pt idx="609" c:formatCode="yyyy/m/d">
                  <c:v>45086</c:v>
                </c:pt>
                <c:pt idx="610" c:formatCode="yyyy/m/d">
                  <c:v>45089</c:v>
                </c:pt>
                <c:pt idx="611" c:formatCode="yyyy/m/d">
                  <c:v>45090</c:v>
                </c:pt>
                <c:pt idx="612" c:formatCode="yyyy/m/d">
                  <c:v>45091</c:v>
                </c:pt>
                <c:pt idx="613" c:formatCode="yyyy/m/d">
                  <c:v>45092</c:v>
                </c:pt>
                <c:pt idx="614" c:formatCode="yyyy/m/d">
                  <c:v>45093</c:v>
                </c:pt>
                <c:pt idx="615" c:formatCode="yyyy/m/d">
                  <c:v>45096</c:v>
                </c:pt>
                <c:pt idx="616" c:formatCode="yyyy/m/d">
                  <c:v>45097</c:v>
                </c:pt>
                <c:pt idx="617" c:formatCode="yyyy/m/d">
                  <c:v>45098</c:v>
                </c:pt>
                <c:pt idx="618" c:formatCode="yyyy/m/d">
                  <c:v>45103</c:v>
                </c:pt>
                <c:pt idx="619" c:formatCode="yyyy/m/d">
                  <c:v>45104</c:v>
                </c:pt>
                <c:pt idx="620" c:formatCode="yyyy/m/d">
                  <c:v>45105</c:v>
                </c:pt>
                <c:pt idx="621" c:formatCode="yyyy/m/d">
                  <c:v>45106</c:v>
                </c:pt>
                <c:pt idx="622" c:formatCode="yyyy/m/d">
                  <c:v>45107</c:v>
                </c:pt>
                <c:pt idx="623" c:formatCode="yyyy/m/d">
                  <c:v>45110</c:v>
                </c:pt>
                <c:pt idx="624" c:formatCode="yyyy/m/d">
                  <c:v>45111</c:v>
                </c:pt>
                <c:pt idx="625" c:formatCode="yyyy/m/d">
                  <c:v>45112</c:v>
                </c:pt>
                <c:pt idx="626" c:formatCode="yyyy/m/d">
                  <c:v>45113</c:v>
                </c:pt>
                <c:pt idx="627" c:formatCode="yyyy/m/d">
                  <c:v>45114</c:v>
                </c:pt>
                <c:pt idx="628" c:formatCode="yyyy/m/d">
                  <c:v>45117</c:v>
                </c:pt>
                <c:pt idx="629" c:formatCode="yyyy/m/d">
                  <c:v>45118</c:v>
                </c:pt>
                <c:pt idx="630" c:formatCode="yyyy/m/d">
                  <c:v>45119</c:v>
                </c:pt>
                <c:pt idx="631" c:formatCode="yyyy/m/d">
                  <c:v>45120</c:v>
                </c:pt>
                <c:pt idx="632" c:formatCode="yyyy/m/d">
                  <c:v>45121</c:v>
                </c:pt>
                <c:pt idx="633" c:formatCode="yyyy/m/d">
                  <c:v>45124</c:v>
                </c:pt>
                <c:pt idx="634" c:formatCode="yyyy/m/d">
                  <c:v>45125</c:v>
                </c:pt>
                <c:pt idx="635" c:formatCode="yyyy/m/d">
                  <c:v>45126</c:v>
                </c:pt>
                <c:pt idx="636" c:formatCode="yyyy/m/d">
                  <c:v>45127</c:v>
                </c:pt>
                <c:pt idx="637" c:formatCode="yyyy/m/d">
                  <c:v>45128</c:v>
                </c:pt>
                <c:pt idx="638" c:formatCode="yyyy/m/d">
                  <c:v>45131</c:v>
                </c:pt>
                <c:pt idx="639" c:formatCode="yyyy/m/d">
                  <c:v>45132</c:v>
                </c:pt>
                <c:pt idx="640" c:formatCode="yyyy/m/d">
                  <c:v>45133</c:v>
                </c:pt>
                <c:pt idx="641" c:formatCode="yyyy/m/d">
                  <c:v>45134</c:v>
                </c:pt>
                <c:pt idx="642" c:formatCode="yyyy/m/d">
                  <c:v>45135</c:v>
                </c:pt>
                <c:pt idx="643" c:formatCode="yyyy/m/d">
                  <c:v>45138</c:v>
                </c:pt>
                <c:pt idx="644" c:formatCode="yyyy/m/d">
                  <c:v>45139</c:v>
                </c:pt>
                <c:pt idx="645" c:formatCode="yyyy/m/d">
                  <c:v>45140</c:v>
                </c:pt>
                <c:pt idx="646" c:formatCode="yyyy/m/d">
                  <c:v>45141</c:v>
                </c:pt>
                <c:pt idx="647" c:formatCode="yyyy/m/d">
                  <c:v>45142</c:v>
                </c:pt>
                <c:pt idx="648" c:formatCode="yyyy/m/d">
                  <c:v>45145</c:v>
                </c:pt>
                <c:pt idx="649" c:formatCode="yyyy/m/d">
                  <c:v>45146</c:v>
                </c:pt>
                <c:pt idx="650" c:formatCode="yyyy/m/d">
                  <c:v>45147</c:v>
                </c:pt>
                <c:pt idx="651" c:formatCode="yyyy/m/d">
                  <c:v>45148</c:v>
                </c:pt>
                <c:pt idx="652" c:formatCode="yyyy/m/d">
                  <c:v>45149</c:v>
                </c:pt>
                <c:pt idx="653" c:formatCode="yyyy/m/d">
                  <c:v>45152</c:v>
                </c:pt>
                <c:pt idx="654" c:formatCode="yyyy/m/d">
                  <c:v>45153</c:v>
                </c:pt>
                <c:pt idx="655" c:formatCode="yyyy/m/d">
                  <c:v>45154</c:v>
                </c:pt>
                <c:pt idx="656" c:formatCode="yyyy/m/d">
                  <c:v>45155</c:v>
                </c:pt>
                <c:pt idx="657" c:formatCode="yyyy/m/d">
                  <c:v>45156</c:v>
                </c:pt>
                <c:pt idx="658" c:formatCode="yyyy/m/d">
                  <c:v>45159</c:v>
                </c:pt>
                <c:pt idx="659" c:formatCode="yyyy/m/d">
                  <c:v>45160</c:v>
                </c:pt>
                <c:pt idx="660" c:formatCode="yyyy/m/d">
                  <c:v>45161</c:v>
                </c:pt>
                <c:pt idx="661" c:formatCode="yyyy/m/d">
                  <c:v>45162</c:v>
                </c:pt>
                <c:pt idx="662" c:formatCode="yyyy/m/d">
                  <c:v>45163</c:v>
                </c:pt>
                <c:pt idx="663" c:formatCode="yyyy/m/d">
                  <c:v>45166</c:v>
                </c:pt>
                <c:pt idx="664" c:formatCode="yyyy/m/d">
                  <c:v>45167</c:v>
                </c:pt>
                <c:pt idx="665" c:formatCode="yyyy/m/d">
                  <c:v>45168</c:v>
                </c:pt>
                <c:pt idx="666" c:formatCode="yyyy/m/d">
                  <c:v>45169</c:v>
                </c:pt>
                <c:pt idx="667" c:formatCode="yyyy/m/d">
                  <c:v>45170</c:v>
                </c:pt>
                <c:pt idx="668" c:formatCode="yyyy/m/d">
                  <c:v>45173</c:v>
                </c:pt>
                <c:pt idx="669" c:formatCode="yyyy/m/d">
                  <c:v>45174</c:v>
                </c:pt>
                <c:pt idx="670" c:formatCode="yyyy/m/d">
                  <c:v>45175</c:v>
                </c:pt>
                <c:pt idx="671" c:formatCode="yyyy/m/d">
                  <c:v>45176</c:v>
                </c:pt>
                <c:pt idx="672" c:formatCode="yyyy/m/d">
                  <c:v>45177</c:v>
                </c:pt>
                <c:pt idx="673" c:formatCode="yyyy/m/d">
                  <c:v>45180</c:v>
                </c:pt>
                <c:pt idx="674" c:formatCode="yyyy/m/d">
                  <c:v>45181</c:v>
                </c:pt>
                <c:pt idx="675" c:formatCode="yyyy/m/d">
                  <c:v>45182</c:v>
                </c:pt>
                <c:pt idx="676" c:formatCode="yyyy/m/d">
                  <c:v>45183</c:v>
                </c:pt>
                <c:pt idx="677" c:formatCode="yyyy/m/d">
                  <c:v>45184</c:v>
                </c:pt>
                <c:pt idx="678" c:formatCode="yyyy/m/d">
                  <c:v>45187</c:v>
                </c:pt>
                <c:pt idx="679" c:formatCode="yyyy/m/d">
                  <c:v>45188</c:v>
                </c:pt>
                <c:pt idx="680" c:formatCode="yyyy/m/d">
                  <c:v>45189</c:v>
                </c:pt>
                <c:pt idx="681" c:formatCode="yyyy/m/d">
                  <c:v>45190</c:v>
                </c:pt>
                <c:pt idx="682" c:formatCode="yyyy/m/d">
                  <c:v>45191</c:v>
                </c:pt>
                <c:pt idx="683" c:formatCode="yyyy/m/d">
                  <c:v>45194</c:v>
                </c:pt>
                <c:pt idx="684" c:formatCode="yyyy/m/d">
                  <c:v>45195</c:v>
                </c:pt>
                <c:pt idx="685" c:formatCode="yyyy/m/d">
                  <c:v>45196</c:v>
                </c:pt>
                <c:pt idx="686" c:formatCode="yyyy/m/d">
                  <c:v>45197</c:v>
                </c:pt>
                <c:pt idx="687" c:formatCode="yyyy/m/d">
                  <c:v>45201</c:v>
                </c:pt>
                <c:pt idx="688" c:formatCode="yyyy/m/d">
                  <c:v>45202</c:v>
                </c:pt>
                <c:pt idx="689" c:formatCode="yyyy/m/d">
                  <c:v>45203</c:v>
                </c:pt>
                <c:pt idx="690" c:formatCode="yyyy/m/d">
                  <c:v>45204</c:v>
                </c:pt>
                <c:pt idx="691" c:formatCode="yyyy/m/d">
                  <c:v>45205</c:v>
                </c:pt>
                <c:pt idx="692" c:formatCode="yyyy/m/d">
                  <c:v>45208</c:v>
                </c:pt>
                <c:pt idx="693" c:formatCode="yyyy/m/d">
                  <c:v>45209</c:v>
                </c:pt>
                <c:pt idx="694" c:formatCode="yyyy/m/d">
                  <c:v>45210</c:v>
                </c:pt>
                <c:pt idx="695" c:formatCode="yyyy/m/d">
                  <c:v>45211</c:v>
                </c:pt>
                <c:pt idx="696" c:formatCode="yyyy/m/d">
                  <c:v>45212</c:v>
                </c:pt>
                <c:pt idx="697" c:formatCode="yyyy/m/d">
                  <c:v>45215</c:v>
                </c:pt>
                <c:pt idx="698" c:formatCode="yyyy/m/d">
                  <c:v>45216</c:v>
                </c:pt>
                <c:pt idx="699" c:formatCode="yyyy/m/d">
                  <c:v>45217</c:v>
                </c:pt>
                <c:pt idx="700" c:formatCode="yyyy/m/d">
                  <c:v>45218</c:v>
                </c:pt>
                <c:pt idx="701" c:formatCode="yyyy/m/d">
                  <c:v>45219</c:v>
                </c:pt>
                <c:pt idx="702" c:formatCode="yyyy/m/d">
                  <c:v>45222</c:v>
                </c:pt>
                <c:pt idx="703" c:formatCode="yyyy/m/d">
                  <c:v>45223</c:v>
                </c:pt>
                <c:pt idx="704" c:formatCode="yyyy/m/d">
                  <c:v>45224</c:v>
                </c:pt>
                <c:pt idx="705" c:formatCode="yyyy/m/d">
                  <c:v>45225</c:v>
                </c:pt>
                <c:pt idx="706" c:formatCode="yyyy/m/d">
                  <c:v>45226</c:v>
                </c:pt>
                <c:pt idx="707" c:formatCode="yyyy/m/d">
                  <c:v>45229</c:v>
                </c:pt>
                <c:pt idx="708" c:formatCode="yyyy/m/d">
                  <c:v>45230</c:v>
                </c:pt>
                <c:pt idx="709" c:formatCode="yyyy/m/d">
                  <c:v>45231</c:v>
                </c:pt>
                <c:pt idx="710" c:formatCode="yyyy/m/d">
                  <c:v>45232</c:v>
                </c:pt>
                <c:pt idx="711" c:formatCode="yyyy/m/d">
                  <c:v>45233</c:v>
                </c:pt>
                <c:pt idx="712" c:formatCode="yyyy/m/d">
                  <c:v>45236</c:v>
                </c:pt>
                <c:pt idx="713" c:formatCode="yyyy/m/d">
                  <c:v>45237</c:v>
                </c:pt>
                <c:pt idx="714" c:formatCode="yyyy/m/d">
                  <c:v>45238</c:v>
                </c:pt>
                <c:pt idx="715" c:formatCode="yyyy/m/d">
                  <c:v>45239</c:v>
                </c:pt>
                <c:pt idx="716" c:formatCode="yyyy/m/d">
                  <c:v>45240</c:v>
                </c:pt>
                <c:pt idx="717" c:formatCode="yyyy/m/d">
                  <c:v>45243</c:v>
                </c:pt>
                <c:pt idx="718" c:formatCode="yyyy/m/d">
                  <c:v>45244</c:v>
                </c:pt>
                <c:pt idx="719" c:formatCode="yyyy/m/d">
                  <c:v>45245</c:v>
                </c:pt>
                <c:pt idx="720" c:formatCode="yyyy/m/d">
                  <c:v>45246</c:v>
                </c:pt>
                <c:pt idx="721" c:formatCode="yyyy/m/d">
                  <c:v>45247</c:v>
                </c:pt>
                <c:pt idx="722" c:formatCode="yyyy/m/d">
                  <c:v>45250</c:v>
                </c:pt>
                <c:pt idx="723" c:formatCode="yyyy/m/d">
                  <c:v>45251</c:v>
                </c:pt>
                <c:pt idx="724" c:formatCode="yyyy/m/d">
                  <c:v>45252</c:v>
                </c:pt>
                <c:pt idx="725" c:formatCode="yyyy/m/d">
                  <c:v>45253</c:v>
                </c:pt>
                <c:pt idx="726" c:formatCode="yyyy/m/d">
                  <c:v>45254</c:v>
                </c:pt>
                <c:pt idx="727" c:formatCode="yyyy/m/d">
                  <c:v>45257</c:v>
                </c:pt>
                <c:pt idx="728" c:formatCode="yyyy/m/d">
                  <c:v>45258</c:v>
                </c:pt>
                <c:pt idx="729" c:formatCode="yyyy/m/d">
                  <c:v>45259</c:v>
                </c:pt>
                <c:pt idx="730" c:formatCode="yyyy/m/d">
                  <c:v>45260</c:v>
                </c:pt>
                <c:pt idx="731" c:formatCode="yyyy/m/d">
                  <c:v>45261</c:v>
                </c:pt>
                <c:pt idx="732" c:formatCode="yyyy/m/d">
                  <c:v>45264</c:v>
                </c:pt>
                <c:pt idx="733" c:formatCode="yyyy/m/d">
                  <c:v>45265</c:v>
                </c:pt>
                <c:pt idx="734" c:formatCode="yyyy/m/d">
                  <c:v>45266</c:v>
                </c:pt>
                <c:pt idx="735" c:formatCode="yyyy/m/d">
                  <c:v>45267</c:v>
                </c:pt>
                <c:pt idx="736" c:formatCode="yyyy/m/d">
                  <c:v>45268</c:v>
                </c:pt>
                <c:pt idx="737" c:formatCode="yyyy/m/d">
                  <c:v>45271</c:v>
                </c:pt>
                <c:pt idx="738" c:formatCode="yyyy/m/d">
                  <c:v>45272</c:v>
                </c:pt>
                <c:pt idx="739" c:formatCode="yyyy/m/d">
                  <c:v>45273</c:v>
                </c:pt>
                <c:pt idx="740" c:formatCode="yyyy/m/d">
                  <c:v>45274</c:v>
                </c:pt>
                <c:pt idx="741" c:formatCode="yyyy/m/d">
                  <c:v>45275</c:v>
                </c:pt>
                <c:pt idx="742" c:formatCode="yyyy/m/d">
                  <c:v>45278</c:v>
                </c:pt>
                <c:pt idx="743" c:formatCode="yyyy/m/d">
                  <c:v>45279</c:v>
                </c:pt>
                <c:pt idx="744" c:formatCode="yyyy/m/d">
                  <c:v>45280</c:v>
                </c:pt>
                <c:pt idx="745" c:formatCode="yyyy/m/d">
                  <c:v>45281</c:v>
                </c:pt>
                <c:pt idx="746" c:formatCode="yyyy/m/d">
                  <c:v>45282</c:v>
                </c:pt>
                <c:pt idx="747" c:formatCode="yyyy/m/d">
                  <c:v>45285</c:v>
                </c:pt>
                <c:pt idx="748" c:formatCode="yyyy/m/d">
                  <c:v>45286</c:v>
                </c:pt>
                <c:pt idx="749" c:formatCode="yyyy/m/d">
                  <c:v>45287</c:v>
                </c:pt>
                <c:pt idx="750" c:formatCode="yyyy/m/d">
                  <c:v>45288</c:v>
                </c:pt>
                <c:pt idx="751" c:formatCode="yyyy/m/d">
                  <c:v>45289</c:v>
                </c:pt>
                <c:pt idx="752" c:formatCode="yyyy/m/d">
                  <c:v>45293</c:v>
                </c:pt>
                <c:pt idx="753" c:formatCode="yyyy/m/d">
                  <c:v>45294</c:v>
                </c:pt>
                <c:pt idx="754" c:formatCode="yyyy/m/d">
                  <c:v>45295</c:v>
                </c:pt>
                <c:pt idx="755" c:formatCode="yyyy/m/d">
                  <c:v>45296</c:v>
                </c:pt>
                <c:pt idx="756" c:formatCode="yyyy/m/d">
                  <c:v>45299</c:v>
                </c:pt>
                <c:pt idx="757" c:formatCode="yyyy/m/d">
                  <c:v>45300</c:v>
                </c:pt>
                <c:pt idx="758" c:formatCode="yyyy/m/d">
                  <c:v>45301</c:v>
                </c:pt>
                <c:pt idx="759" c:formatCode="yyyy/m/d">
                  <c:v>45302</c:v>
                </c:pt>
                <c:pt idx="760" c:formatCode="yyyy/m/d">
                  <c:v>45303</c:v>
                </c:pt>
                <c:pt idx="761" c:formatCode="yyyy/m/d">
                  <c:v>45306</c:v>
                </c:pt>
                <c:pt idx="762" c:formatCode="yyyy/m/d">
                  <c:v>45307</c:v>
                </c:pt>
                <c:pt idx="763" c:formatCode="yyyy/m/d">
                  <c:v>45308</c:v>
                </c:pt>
                <c:pt idx="764" c:formatCode="yyyy/m/d">
                  <c:v>45309</c:v>
                </c:pt>
                <c:pt idx="765" c:formatCode="yyyy/m/d">
                  <c:v>45310</c:v>
                </c:pt>
                <c:pt idx="766" c:formatCode="yyyy/m/d">
                  <c:v>45313</c:v>
                </c:pt>
                <c:pt idx="767" c:formatCode="yyyy/m/d">
                  <c:v>45314</c:v>
                </c:pt>
                <c:pt idx="768" c:formatCode="yyyy/m/d">
                  <c:v>45315</c:v>
                </c:pt>
                <c:pt idx="769" c:formatCode="yyyy/m/d">
                  <c:v>45316</c:v>
                </c:pt>
                <c:pt idx="770" c:formatCode="yyyy/m/d">
                  <c:v>45317</c:v>
                </c:pt>
                <c:pt idx="771" c:formatCode="yyyy/m/d">
                  <c:v>45320</c:v>
                </c:pt>
                <c:pt idx="772" c:formatCode="yyyy/m/d">
                  <c:v>45321</c:v>
                </c:pt>
                <c:pt idx="773" c:formatCode="yyyy/m/d">
                  <c:v>45322</c:v>
                </c:pt>
                <c:pt idx="774" c:formatCode="yyyy/m/d">
                  <c:v>45323</c:v>
                </c:pt>
                <c:pt idx="775" c:formatCode="yyyy/m/d">
                  <c:v>45324</c:v>
                </c:pt>
                <c:pt idx="776" c:formatCode="yyyy/m/d">
                  <c:v>45327</c:v>
                </c:pt>
                <c:pt idx="777" c:formatCode="yyyy/m/d">
                  <c:v>45328</c:v>
                </c:pt>
                <c:pt idx="778" c:formatCode="yyyy/m/d">
                  <c:v>45329</c:v>
                </c:pt>
                <c:pt idx="779" c:formatCode="yyyy/m/d">
                  <c:v>45330</c:v>
                </c:pt>
                <c:pt idx="780" c:formatCode="yyyy/m/d">
                  <c:v>45337</c:v>
                </c:pt>
                <c:pt idx="781" c:formatCode="yyyy/m/d">
                  <c:v>45338</c:v>
                </c:pt>
                <c:pt idx="782" c:formatCode="yyyy/m/d">
                  <c:v>45341</c:v>
                </c:pt>
                <c:pt idx="783" c:formatCode="yyyy/m/d">
                  <c:v>45342</c:v>
                </c:pt>
                <c:pt idx="784" c:formatCode="yyyy/m/d">
                  <c:v>45343</c:v>
                </c:pt>
                <c:pt idx="785" c:formatCode="yyyy/m/d">
                  <c:v>45344</c:v>
                </c:pt>
                <c:pt idx="786" c:formatCode="yyyy/m/d">
                  <c:v>45345</c:v>
                </c:pt>
                <c:pt idx="787" c:formatCode="yyyy/m/d">
                  <c:v>45348</c:v>
                </c:pt>
                <c:pt idx="788" c:formatCode="yyyy/m/d">
                  <c:v>45349</c:v>
                </c:pt>
                <c:pt idx="789" c:formatCode="yyyy/m/d">
                  <c:v>45350</c:v>
                </c:pt>
                <c:pt idx="790" c:formatCode="yyyy/m/d">
                  <c:v>45351</c:v>
                </c:pt>
                <c:pt idx="791" c:formatCode="yyyy/m/d">
                  <c:v>45352</c:v>
                </c:pt>
                <c:pt idx="792" c:formatCode="yyyy/m/d">
                  <c:v>45355</c:v>
                </c:pt>
                <c:pt idx="793" c:formatCode="yyyy/m/d">
                  <c:v>45356</c:v>
                </c:pt>
                <c:pt idx="794" c:formatCode="yyyy/m/d">
                  <c:v>45357</c:v>
                </c:pt>
                <c:pt idx="795" c:formatCode="yyyy/m/d">
                  <c:v>45358</c:v>
                </c:pt>
                <c:pt idx="796" c:formatCode="yyyy/m/d">
                  <c:v>45359</c:v>
                </c:pt>
                <c:pt idx="797" c:formatCode="yyyy/m/d">
                  <c:v>45362</c:v>
                </c:pt>
                <c:pt idx="798" c:formatCode="yyyy/m/d">
                  <c:v>45363</c:v>
                </c:pt>
                <c:pt idx="799" c:formatCode="yyyy/m/d">
                  <c:v>45364</c:v>
                </c:pt>
                <c:pt idx="800" c:formatCode="yyyy/m/d">
                  <c:v>45365</c:v>
                </c:pt>
                <c:pt idx="801" c:formatCode="yyyy/m/d">
                  <c:v>45366</c:v>
                </c:pt>
                <c:pt idx="802" c:formatCode="yyyy/m/d">
                  <c:v>45369</c:v>
                </c:pt>
                <c:pt idx="803" c:formatCode="yyyy/m/d">
                  <c:v>45370</c:v>
                </c:pt>
                <c:pt idx="804" c:formatCode="yyyy/m/d">
                  <c:v>45371</c:v>
                </c:pt>
                <c:pt idx="805" c:formatCode="yyyy/m/d">
                  <c:v>45372</c:v>
                </c:pt>
                <c:pt idx="806" c:formatCode="yyyy/m/d">
                  <c:v>45373</c:v>
                </c:pt>
                <c:pt idx="807" c:formatCode="yyyy/m/d">
                  <c:v>45376</c:v>
                </c:pt>
                <c:pt idx="808" c:formatCode="yyyy/m/d">
                  <c:v>45377</c:v>
                </c:pt>
                <c:pt idx="809" c:formatCode="yyyy/m/d">
                  <c:v>45378</c:v>
                </c:pt>
                <c:pt idx="810" c:formatCode="yyyy/m/d">
                  <c:v>45379</c:v>
                </c:pt>
                <c:pt idx="811" c:formatCode="yyyy/m/d">
                  <c:v>45380</c:v>
                </c:pt>
                <c:pt idx="812" c:formatCode="yyyy/m/d">
                  <c:v>45383</c:v>
                </c:pt>
                <c:pt idx="813" c:formatCode="yyyy/m/d">
                  <c:v>45384</c:v>
                </c:pt>
                <c:pt idx="814" c:formatCode="yyyy/m/d">
                  <c:v>45385</c:v>
                </c:pt>
                <c:pt idx="815" c:formatCode="yyyy/m/d">
                  <c:v>45390</c:v>
                </c:pt>
                <c:pt idx="816" c:formatCode="yyyy/m/d">
                  <c:v>45391</c:v>
                </c:pt>
                <c:pt idx="817" c:formatCode="yyyy/m/d">
                  <c:v>45392</c:v>
                </c:pt>
                <c:pt idx="818" c:formatCode="yyyy/m/d">
                  <c:v>45393</c:v>
                </c:pt>
                <c:pt idx="819" c:formatCode="yyyy/m/d">
                  <c:v>45394</c:v>
                </c:pt>
                <c:pt idx="820" c:formatCode="yyyy/m/d">
                  <c:v>45397</c:v>
                </c:pt>
                <c:pt idx="821" c:formatCode="yyyy/m/d">
                  <c:v>45398</c:v>
                </c:pt>
                <c:pt idx="822" c:formatCode="yyyy/m/d">
                  <c:v>45399</c:v>
                </c:pt>
                <c:pt idx="823" c:formatCode="yyyy/m/d">
                  <c:v>45400</c:v>
                </c:pt>
                <c:pt idx="824" c:formatCode="yyyy/m/d">
                  <c:v>45401</c:v>
                </c:pt>
                <c:pt idx="825" c:formatCode="yyyy/m/d">
                  <c:v>45404</c:v>
                </c:pt>
                <c:pt idx="826" c:formatCode="yyyy/m/d">
                  <c:v>45405</c:v>
                </c:pt>
                <c:pt idx="827" c:formatCode="yyyy/m/d">
                  <c:v>45406</c:v>
                </c:pt>
                <c:pt idx="828" c:formatCode="yyyy/m/d">
                  <c:v>45407</c:v>
                </c:pt>
                <c:pt idx="829" c:formatCode="yyyy/m/d">
                  <c:v>45408</c:v>
                </c:pt>
                <c:pt idx="830" c:formatCode="yyyy/m/d">
                  <c:v>45411</c:v>
                </c:pt>
                <c:pt idx="831" c:formatCode="yyyy/m/d">
                  <c:v>45412</c:v>
                </c:pt>
                <c:pt idx="832" c:formatCode="yyyy/m/d">
                  <c:v>45414</c:v>
                </c:pt>
                <c:pt idx="833" c:formatCode="yyyy/m/d">
                  <c:v>45415</c:v>
                </c:pt>
                <c:pt idx="834" c:formatCode="yyyy/m/d">
                  <c:v>45418</c:v>
                </c:pt>
                <c:pt idx="835" c:formatCode="yyyy/m/d">
                  <c:v>45419</c:v>
                </c:pt>
                <c:pt idx="836" c:formatCode="yyyy/m/d">
                  <c:v>45420</c:v>
                </c:pt>
                <c:pt idx="837" c:formatCode="yyyy/m/d">
                  <c:v>45421</c:v>
                </c:pt>
                <c:pt idx="838" c:formatCode="yyyy/m/d">
                  <c:v>45422</c:v>
                </c:pt>
                <c:pt idx="839" c:formatCode="yyyy/m/d">
                  <c:v>45425</c:v>
                </c:pt>
                <c:pt idx="840" c:formatCode="yyyy/m/d">
                  <c:v>45426</c:v>
                </c:pt>
                <c:pt idx="841" c:formatCode="yyyy/m/d">
                  <c:v>45427</c:v>
                </c:pt>
                <c:pt idx="842" c:formatCode="yyyy/m/d">
                  <c:v>45428</c:v>
                </c:pt>
                <c:pt idx="843" c:formatCode="yyyy/m/d">
                  <c:v>45429</c:v>
                </c:pt>
                <c:pt idx="844" c:formatCode="yyyy/m/d">
                  <c:v>45432</c:v>
                </c:pt>
                <c:pt idx="845" c:formatCode="yyyy/m/d">
                  <c:v>45433</c:v>
                </c:pt>
                <c:pt idx="846" c:formatCode="yyyy/m/d">
                  <c:v>45434</c:v>
                </c:pt>
                <c:pt idx="847" c:formatCode="yyyy/m/d">
                  <c:v>45435</c:v>
                </c:pt>
                <c:pt idx="848" c:formatCode="yyyy/m/d">
                  <c:v>45436</c:v>
                </c:pt>
                <c:pt idx="849" c:formatCode="yyyy/m/d">
                  <c:v>45439</c:v>
                </c:pt>
                <c:pt idx="850" c:formatCode="yyyy/m/d">
                  <c:v>45440</c:v>
                </c:pt>
                <c:pt idx="851" c:formatCode="yyyy/m/d">
                  <c:v>45441</c:v>
                </c:pt>
                <c:pt idx="852" c:formatCode="yyyy/m/d">
                  <c:v>45442</c:v>
                </c:pt>
                <c:pt idx="853" c:formatCode="yyyy/m/d">
                  <c:v>45443</c:v>
                </c:pt>
                <c:pt idx="854" c:formatCode="yyyy/m/d">
                  <c:v>45446</c:v>
                </c:pt>
                <c:pt idx="855" c:formatCode="yyyy/m/d">
                  <c:v>45447</c:v>
                </c:pt>
                <c:pt idx="856" c:formatCode="yyyy/m/d">
                  <c:v>45448</c:v>
                </c:pt>
                <c:pt idx="857" c:formatCode="yyyy/m/d">
                  <c:v>45449</c:v>
                </c:pt>
                <c:pt idx="858" c:formatCode="yyyy/m/d">
                  <c:v>45450</c:v>
                </c:pt>
                <c:pt idx="859" c:formatCode="yyyy/m/d">
                  <c:v>45454</c:v>
                </c:pt>
                <c:pt idx="860" c:formatCode="yyyy/m/d">
                  <c:v>45455</c:v>
                </c:pt>
                <c:pt idx="861" c:formatCode="yyyy/m/d">
                  <c:v>45456</c:v>
                </c:pt>
                <c:pt idx="862" c:formatCode="yyyy/m/d">
                  <c:v>45457</c:v>
                </c:pt>
                <c:pt idx="863" c:formatCode="yyyy/m/d">
                  <c:v>45460</c:v>
                </c:pt>
                <c:pt idx="864" c:formatCode="yyyy/m/d">
                  <c:v>45461</c:v>
                </c:pt>
                <c:pt idx="865" c:formatCode="yyyy/m/d">
                  <c:v>45462</c:v>
                </c:pt>
                <c:pt idx="866" c:formatCode="yyyy/m/d">
                  <c:v>45463</c:v>
                </c:pt>
                <c:pt idx="867" c:formatCode="yyyy/m/d">
                  <c:v>45464</c:v>
                </c:pt>
                <c:pt idx="868" c:formatCode="yyyy/m/d">
                  <c:v>45467</c:v>
                </c:pt>
                <c:pt idx="869" c:formatCode="yyyy/m/d">
                  <c:v>45468</c:v>
                </c:pt>
                <c:pt idx="870" c:formatCode="yyyy/m/d">
                  <c:v>45469</c:v>
                </c:pt>
                <c:pt idx="871" c:formatCode="yyyy/m/d">
                  <c:v>45470</c:v>
                </c:pt>
                <c:pt idx="872" c:formatCode="yyyy/m/d">
                  <c:v>45471</c:v>
                </c:pt>
                <c:pt idx="873" c:formatCode="yyyy/m/d">
                  <c:v>45474</c:v>
                </c:pt>
                <c:pt idx="874" c:formatCode="yyyy/m/d">
                  <c:v>45475</c:v>
                </c:pt>
                <c:pt idx="875" c:formatCode="yyyy/m/d">
                  <c:v>45476</c:v>
                </c:pt>
                <c:pt idx="876" c:formatCode="yyyy/m/d">
                  <c:v>45477</c:v>
                </c:pt>
                <c:pt idx="877" c:formatCode="yyyy/m/d">
                  <c:v>45478</c:v>
                </c:pt>
                <c:pt idx="878" c:formatCode="yyyy/m/d">
                  <c:v>45481</c:v>
                </c:pt>
                <c:pt idx="879" c:formatCode="yyyy/m/d">
                  <c:v>45482</c:v>
                </c:pt>
                <c:pt idx="880" c:formatCode="yyyy/m/d">
                  <c:v>45483</c:v>
                </c:pt>
                <c:pt idx="881" c:formatCode="yyyy/m/d">
                  <c:v>45484</c:v>
                </c:pt>
                <c:pt idx="882" c:formatCode="yyyy/m/d">
                  <c:v>45485</c:v>
                </c:pt>
                <c:pt idx="883" c:formatCode="yyyy/m/d">
                  <c:v>45488</c:v>
                </c:pt>
                <c:pt idx="884" c:formatCode="yyyy/m/d">
                  <c:v>45489</c:v>
                </c:pt>
                <c:pt idx="885" c:formatCode="yyyy/m/d">
                  <c:v>45490</c:v>
                </c:pt>
                <c:pt idx="886" c:formatCode="yyyy/m/d">
                  <c:v>45491</c:v>
                </c:pt>
                <c:pt idx="887" c:formatCode="yyyy/m/d">
                  <c:v>45492</c:v>
                </c:pt>
                <c:pt idx="888" c:formatCode="yyyy/m/d">
                  <c:v>45495</c:v>
                </c:pt>
                <c:pt idx="889" c:formatCode="yyyy/m/d">
                  <c:v>45496</c:v>
                </c:pt>
                <c:pt idx="890" c:formatCode="yyyy/m/d">
                  <c:v>45497</c:v>
                </c:pt>
                <c:pt idx="891" c:formatCode="yyyy/m/d">
                  <c:v>45498</c:v>
                </c:pt>
                <c:pt idx="892" c:formatCode="yyyy/m/d">
                  <c:v>45499</c:v>
                </c:pt>
                <c:pt idx="893" c:formatCode="yyyy/m/d">
                  <c:v>45502</c:v>
                </c:pt>
                <c:pt idx="894" c:formatCode="yyyy/m/d">
                  <c:v>45503</c:v>
                </c:pt>
                <c:pt idx="895" c:formatCode="yyyy/m/d">
                  <c:v>45504</c:v>
                </c:pt>
                <c:pt idx="896" c:formatCode="yyyy/m/d">
                  <c:v>45505</c:v>
                </c:pt>
                <c:pt idx="897" c:formatCode="yyyy/m/d">
                  <c:v>45506</c:v>
                </c:pt>
                <c:pt idx="898" c:formatCode="yyyy/m/d">
                  <c:v>45509</c:v>
                </c:pt>
                <c:pt idx="899" c:formatCode="yyyy/m/d">
                  <c:v>45510</c:v>
                </c:pt>
                <c:pt idx="900" c:formatCode="yyyy/m/d">
                  <c:v>45511</c:v>
                </c:pt>
                <c:pt idx="901" c:formatCode="yyyy/m/d">
                  <c:v>45512</c:v>
                </c:pt>
                <c:pt idx="902" c:formatCode="yyyy/m/d">
                  <c:v>45513</c:v>
                </c:pt>
                <c:pt idx="903" c:formatCode="yyyy/m/d">
                  <c:v>45516</c:v>
                </c:pt>
                <c:pt idx="904" c:formatCode="yyyy/m/d">
                  <c:v>45517</c:v>
                </c:pt>
                <c:pt idx="905" c:formatCode="yyyy/m/d">
                  <c:v>45518</c:v>
                </c:pt>
                <c:pt idx="906" c:formatCode="yyyy/m/d">
                  <c:v>45519</c:v>
                </c:pt>
                <c:pt idx="907" c:formatCode="yyyy/m/d">
                  <c:v>45520</c:v>
                </c:pt>
                <c:pt idx="908" c:formatCode="yyyy/m/d">
                  <c:v>45523</c:v>
                </c:pt>
                <c:pt idx="909" c:formatCode="yyyy/m/d">
                  <c:v>45524</c:v>
                </c:pt>
                <c:pt idx="910" c:formatCode="yyyy/m/d">
                  <c:v>45525</c:v>
                </c:pt>
                <c:pt idx="911" c:formatCode="yyyy/m/d">
                  <c:v>45526</c:v>
                </c:pt>
                <c:pt idx="912" c:formatCode="yyyy/m/d">
                  <c:v>45527</c:v>
                </c:pt>
                <c:pt idx="913" c:formatCode="yyyy/m/d">
                  <c:v>45530</c:v>
                </c:pt>
                <c:pt idx="914" c:formatCode="yyyy/m/d">
                  <c:v>45531</c:v>
                </c:pt>
                <c:pt idx="915" c:formatCode="yyyy/m/d">
                  <c:v>45532</c:v>
                </c:pt>
                <c:pt idx="916" c:formatCode="yyyy/m/d">
                  <c:v>45533</c:v>
                </c:pt>
                <c:pt idx="917" c:formatCode="yyyy/m/d">
                  <c:v>45534</c:v>
                </c:pt>
                <c:pt idx="918" c:formatCode="yyyy/m/d">
                  <c:v>45537</c:v>
                </c:pt>
                <c:pt idx="919" c:formatCode="yyyy/m/d">
                  <c:v>45538</c:v>
                </c:pt>
                <c:pt idx="920" c:formatCode="yyyy/m/d">
                  <c:v>45539</c:v>
                </c:pt>
                <c:pt idx="921" c:formatCode="yyyy/m/d">
                  <c:v>45540</c:v>
                </c:pt>
                <c:pt idx="922" c:formatCode="yyyy/m/d">
                  <c:v>45541</c:v>
                </c:pt>
                <c:pt idx="923" c:formatCode="yyyy/m/d">
                  <c:v>45544</c:v>
                </c:pt>
                <c:pt idx="924" c:formatCode="yyyy/m/d">
                  <c:v>45545</c:v>
                </c:pt>
                <c:pt idx="925" c:formatCode="yyyy/m/d">
                  <c:v>45546</c:v>
                </c:pt>
                <c:pt idx="926" c:formatCode="yyyy/m/d">
                  <c:v>45547</c:v>
                </c:pt>
                <c:pt idx="927" c:formatCode="yyyy/m/d">
                  <c:v>45548</c:v>
                </c:pt>
                <c:pt idx="928" c:formatCode="yyyy/m/d">
                  <c:v>45551</c:v>
                </c:pt>
                <c:pt idx="929" c:formatCode="yyyy/m/d">
                  <c:v>45553</c:v>
                </c:pt>
                <c:pt idx="930" c:formatCode="yyyy/m/d">
                  <c:v>45554</c:v>
                </c:pt>
                <c:pt idx="931" c:formatCode="yyyy/m/d">
                  <c:v>45555</c:v>
                </c:pt>
                <c:pt idx="932" c:formatCode="yyyy/m/d">
                  <c:v>45558</c:v>
                </c:pt>
                <c:pt idx="933" c:formatCode="yyyy/m/d">
                  <c:v>45559</c:v>
                </c:pt>
                <c:pt idx="934" c:formatCode="yyyy/m/d">
                  <c:v>45560</c:v>
                </c:pt>
                <c:pt idx="935" c:formatCode="yyyy/m/d">
                  <c:v>45561</c:v>
                </c:pt>
                <c:pt idx="936" c:formatCode="yyyy/m/d">
                  <c:v>45562</c:v>
                </c:pt>
                <c:pt idx="937" c:formatCode="yyyy/m/d">
                  <c:v>45565</c:v>
                </c:pt>
                <c:pt idx="938" c:formatCode="yyyy/m/d">
                  <c:v>45566</c:v>
                </c:pt>
                <c:pt idx="939" c:formatCode="yyyy/m/d">
                  <c:v>45567</c:v>
                </c:pt>
                <c:pt idx="940" c:formatCode="yyyy/m/d">
                  <c:v>45568</c:v>
                </c:pt>
                <c:pt idx="941" c:formatCode="yyyy/m/d">
                  <c:v>45569</c:v>
                </c:pt>
                <c:pt idx="942" c:formatCode="yyyy/m/d">
                  <c:v>45572</c:v>
                </c:pt>
                <c:pt idx="943" c:formatCode="yyyy/m/d">
                  <c:v>45573</c:v>
                </c:pt>
                <c:pt idx="944" c:formatCode="yyyy/m/d">
                  <c:v>45574</c:v>
                </c:pt>
                <c:pt idx="945" c:formatCode="yyyy/m/d">
                  <c:v>45575</c:v>
                </c:pt>
                <c:pt idx="946" c:formatCode="yyyy/m/d">
                  <c:v>45576</c:v>
                </c:pt>
                <c:pt idx="947" c:formatCode="yyyy/m/d">
                  <c:v>45579</c:v>
                </c:pt>
                <c:pt idx="948" c:formatCode="yyyy/m/d">
                  <c:v>45580</c:v>
                </c:pt>
                <c:pt idx="949" c:formatCode="yyyy/m/d">
                  <c:v>45581</c:v>
                </c:pt>
                <c:pt idx="950" c:formatCode="yyyy/m/d">
                  <c:v>45582</c:v>
                </c:pt>
                <c:pt idx="951" c:formatCode="yyyy/m/d">
                  <c:v>45583</c:v>
                </c:pt>
                <c:pt idx="952" c:formatCode="yyyy/m/d">
                  <c:v>45586</c:v>
                </c:pt>
                <c:pt idx="953" c:formatCode="yyyy/m/d">
                  <c:v>45587</c:v>
                </c:pt>
                <c:pt idx="954" c:formatCode="yyyy/m/d">
                  <c:v>45588</c:v>
                </c:pt>
                <c:pt idx="955" c:formatCode="yyyy/m/d">
                  <c:v>45589</c:v>
                </c:pt>
                <c:pt idx="956" c:formatCode="yyyy/m/d">
                  <c:v>45590</c:v>
                </c:pt>
                <c:pt idx="957" c:formatCode="yyyy/m/d">
                  <c:v>45593</c:v>
                </c:pt>
                <c:pt idx="958" c:formatCode="yyyy/m/d">
                  <c:v>45594</c:v>
                </c:pt>
                <c:pt idx="959" c:formatCode="yyyy/m/d">
                  <c:v>45595</c:v>
                </c:pt>
                <c:pt idx="960" c:formatCode="yyyy/m/d">
                  <c:v>45596</c:v>
                </c:pt>
                <c:pt idx="961" c:formatCode="yyyy/m/d">
                  <c:v>45597</c:v>
                </c:pt>
                <c:pt idx="962" c:formatCode="yyyy/m/d">
                  <c:v>45600</c:v>
                </c:pt>
                <c:pt idx="963" c:formatCode="yyyy/m/d">
                  <c:v>45601</c:v>
                </c:pt>
                <c:pt idx="964" c:formatCode="yyyy/m/d">
                  <c:v>45602</c:v>
                </c:pt>
                <c:pt idx="965" c:formatCode="yyyy/m/d">
                  <c:v>45603</c:v>
                </c:pt>
                <c:pt idx="966" c:formatCode="yyyy/m/d">
                  <c:v>45604</c:v>
                </c:pt>
                <c:pt idx="967" c:formatCode="yyyy/m/d">
                  <c:v>45607</c:v>
                </c:pt>
                <c:pt idx="968" c:formatCode="yyyy/m/d">
                  <c:v>45608</c:v>
                </c:pt>
                <c:pt idx="969" c:formatCode="yyyy/m/d">
                  <c:v>45609</c:v>
                </c:pt>
                <c:pt idx="970" c:formatCode="yyyy/m/d">
                  <c:v>45610</c:v>
                </c:pt>
                <c:pt idx="971" c:formatCode="yyyy/m/d">
                  <c:v>45611</c:v>
                </c:pt>
                <c:pt idx="972" c:formatCode="yyyy/m/d">
                  <c:v>45614</c:v>
                </c:pt>
                <c:pt idx="973" c:formatCode="yyyy/m/d">
                  <c:v>45615</c:v>
                </c:pt>
                <c:pt idx="974" c:formatCode="yyyy/m/d">
                  <c:v>45616</c:v>
                </c:pt>
                <c:pt idx="975" c:formatCode="yyyy/m/d">
                  <c:v>45617</c:v>
                </c:pt>
                <c:pt idx="976" c:formatCode="yyyy/m/d">
                  <c:v>45618</c:v>
                </c:pt>
                <c:pt idx="977" c:formatCode="yyyy/m/d">
                  <c:v>45621</c:v>
                </c:pt>
                <c:pt idx="978" c:formatCode="yyyy/m/d">
                  <c:v>45622</c:v>
                </c:pt>
                <c:pt idx="979" c:formatCode="yyyy/m/d">
                  <c:v>45623</c:v>
                </c:pt>
                <c:pt idx="980" c:formatCode="yyyy/m/d">
                  <c:v>45624</c:v>
                </c:pt>
                <c:pt idx="981" c:formatCode="yyyy/m/d">
                  <c:v>45625</c:v>
                </c:pt>
                <c:pt idx="982" c:formatCode="yyyy/m/d">
                  <c:v>45628</c:v>
                </c:pt>
                <c:pt idx="983" c:formatCode="yyyy/m/d">
                  <c:v>45629</c:v>
                </c:pt>
                <c:pt idx="984" c:formatCode="yyyy/m/d">
                  <c:v>45630</c:v>
                </c:pt>
                <c:pt idx="985" c:formatCode="yyyy/m/d">
                  <c:v>45631</c:v>
                </c:pt>
                <c:pt idx="986" c:formatCode="yyyy/m/d">
                  <c:v>45632</c:v>
                </c:pt>
                <c:pt idx="987" c:formatCode="yyyy/m/d">
                  <c:v>45635</c:v>
                </c:pt>
                <c:pt idx="988" c:formatCode="yyyy/m/d">
                  <c:v>45636</c:v>
                </c:pt>
                <c:pt idx="989" c:formatCode="yyyy/m/d">
                  <c:v>45637</c:v>
                </c:pt>
                <c:pt idx="990" c:formatCode="yyyy/m/d">
                  <c:v>45638</c:v>
                </c:pt>
                <c:pt idx="991" c:formatCode="yyyy/m/d">
                  <c:v>45639</c:v>
                </c:pt>
                <c:pt idx="992" c:formatCode="yyyy/m/d">
                  <c:v>45642</c:v>
                </c:pt>
                <c:pt idx="993" c:formatCode="yyyy/m/d">
                  <c:v>45643</c:v>
                </c:pt>
                <c:pt idx="994" c:formatCode="yyyy/m/d">
                  <c:v>45644</c:v>
                </c:pt>
                <c:pt idx="995" c:formatCode="yyyy/m/d">
                  <c:v>45645</c:v>
                </c:pt>
                <c:pt idx="996" c:formatCode="yyyy/m/d">
                  <c:v>45646</c:v>
                </c:pt>
                <c:pt idx="997" c:formatCode="yyyy/m/d">
                  <c:v>45649</c:v>
                </c:pt>
                <c:pt idx="998" c:formatCode="yyyy/m/d">
                  <c:v>45650</c:v>
                </c:pt>
                <c:pt idx="999" c:formatCode="yyyy/m/d">
                  <c:v>45651</c:v>
                </c:pt>
                <c:pt idx="1000" c:formatCode="yyyy/m/d">
                  <c:v>45652</c:v>
                </c:pt>
                <c:pt idx="1001" c:formatCode="yyyy/m/d">
                  <c:v>45653</c:v>
                </c:pt>
                <c:pt idx="1002" c:formatCode="yyyy/m/d">
                  <c:v>45656</c:v>
                </c:pt>
                <c:pt idx="1003" c:formatCode="yyyy/m/d">
                  <c:v>45657</c:v>
                </c:pt>
                <c:pt idx="1004" c:formatCode="yyyy/m/d">
                  <c:v>45659</c:v>
                </c:pt>
                <c:pt idx="1005" c:formatCode="yyyy/m/d">
                  <c:v>45660</c:v>
                </c:pt>
                <c:pt idx="1006" c:formatCode="yyyy/m/d">
                  <c:v>45663</c:v>
                </c:pt>
                <c:pt idx="1007" c:formatCode="yyyy/m/d">
                  <c:v>45664</c:v>
                </c:pt>
                <c:pt idx="1008" c:formatCode="yyyy/m/d">
                  <c:v>45665</c:v>
                </c:pt>
                <c:pt idx="1009" c:formatCode="yyyy/m/d">
                  <c:v>45666</c:v>
                </c:pt>
                <c:pt idx="1010" c:formatCode="yyyy/m/d">
                  <c:v>45667</c:v>
                </c:pt>
                <c:pt idx="1011" c:formatCode="yyyy/m/d">
                  <c:v>45670</c:v>
                </c:pt>
                <c:pt idx="1012" c:formatCode="yyyy/m/d">
                  <c:v>45671</c:v>
                </c:pt>
                <c:pt idx="1013" c:formatCode="yyyy/m/d">
                  <c:v>45672</c:v>
                </c:pt>
                <c:pt idx="1014" c:formatCode="yyyy/m/d">
                  <c:v>45673</c:v>
                </c:pt>
                <c:pt idx="1015" c:formatCode="yyyy/m/d">
                  <c:v>45674</c:v>
                </c:pt>
                <c:pt idx="1016" c:formatCode="yyyy/m/d">
                  <c:v>45677</c:v>
                </c:pt>
                <c:pt idx="1017" c:formatCode="yyyy/m/d">
                  <c:v>45678</c:v>
                </c:pt>
                <c:pt idx="1018" c:formatCode="yyyy/m/d">
                  <c:v>45679</c:v>
                </c:pt>
                <c:pt idx="1019" c:formatCode="yyyy/m/d">
                  <c:v>45680</c:v>
                </c:pt>
                <c:pt idx="1020" c:formatCode="yyyy/m/d">
                  <c:v>45681</c:v>
                </c:pt>
                <c:pt idx="1021" c:formatCode="yyyy/m/d">
                  <c:v>45684</c:v>
                </c:pt>
                <c:pt idx="1022" c:formatCode="yyyy/m/d">
                  <c:v>45691</c:v>
                </c:pt>
                <c:pt idx="1023" c:formatCode="yyyy/m/d">
                  <c:v>45692</c:v>
                </c:pt>
                <c:pt idx="1024" c:formatCode="yyyy/m/d">
                  <c:v>45693</c:v>
                </c:pt>
                <c:pt idx="1025" c:formatCode="yyyy/m/d">
                  <c:v>45694</c:v>
                </c:pt>
                <c:pt idx="1026" c:formatCode="yyyy/m/d">
                  <c:v>45695</c:v>
                </c:pt>
                <c:pt idx="1027" c:formatCode="yyyy/m/d">
                  <c:v>45698</c:v>
                </c:pt>
                <c:pt idx="1028" c:formatCode="yyyy/m/d">
                  <c:v>45699</c:v>
                </c:pt>
                <c:pt idx="1029" c:formatCode="yyyy/m/d">
                  <c:v>45700</c:v>
                </c:pt>
                <c:pt idx="1030" c:formatCode="yyyy/m/d">
                  <c:v>45701</c:v>
                </c:pt>
                <c:pt idx="1031" c:formatCode="yyyy/m/d">
                  <c:v>45702</c:v>
                </c:pt>
                <c:pt idx="1032" c:formatCode="yyyy/m/d">
                  <c:v>45705</c:v>
                </c:pt>
                <c:pt idx="1033" c:formatCode="yyyy/m/d">
                  <c:v>45706</c:v>
                </c:pt>
                <c:pt idx="1034" c:formatCode="yyyy/m/d">
                  <c:v>45707</c:v>
                </c:pt>
                <c:pt idx="1035" c:formatCode="yyyy/m/d">
                  <c:v>45708</c:v>
                </c:pt>
                <c:pt idx="1036" c:formatCode="yyyy/m/d">
                  <c:v>45709</c:v>
                </c:pt>
                <c:pt idx="1037" c:formatCode="yyyy/m/d">
                  <c:v>45712</c:v>
                </c:pt>
                <c:pt idx="1038" c:formatCode="yyyy/m/d">
                  <c:v>45713</c:v>
                </c:pt>
                <c:pt idx="1039" c:formatCode="yyyy/m/d">
                  <c:v>45714</c:v>
                </c:pt>
                <c:pt idx="1040" c:formatCode="yyyy/m/d">
                  <c:v>45715</c:v>
                </c:pt>
                <c:pt idx="1041" c:formatCode="yyyy/m/d">
                  <c:v>45716</c:v>
                </c:pt>
                <c:pt idx="1042" c:formatCode="yyyy/m/d">
                  <c:v>45719</c:v>
                </c:pt>
                <c:pt idx="1043" c:formatCode="yyyy/m/d">
                  <c:v>45720</c:v>
                </c:pt>
                <c:pt idx="1044" c:formatCode="yyyy/m/d">
                  <c:v>45721</c:v>
                </c:pt>
                <c:pt idx="1045" c:formatCode="yyyy/m/d">
                  <c:v>45722</c:v>
                </c:pt>
                <c:pt idx="1046" c:formatCode="yyyy/m/d">
                  <c:v>45723</c:v>
                </c:pt>
                <c:pt idx="1047" c:formatCode="yyyy/m/d">
                  <c:v>45726</c:v>
                </c:pt>
                <c:pt idx="1048" c:formatCode="yyyy/m/d">
                  <c:v>45727</c:v>
                </c:pt>
                <c:pt idx="1049" c:formatCode="yyyy/m/d">
                  <c:v>45728</c:v>
                </c:pt>
                <c:pt idx="1050" c:formatCode="yyyy/m/d">
                  <c:v>45729</c:v>
                </c:pt>
                <c:pt idx="1051" c:formatCode="yyyy/m/d">
                  <c:v>45730</c:v>
                </c:pt>
                <c:pt idx="1052" c:formatCode="yyyy/m/d">
                  <c:v>45733</c:v>
                </c:pt>
                <c:pt idx="1053" c:formatCode="yyyy/m/d">
                  <c:v>45734</c:v>
                </c:pt>
                <c:pt idx="1054" c:formatCode="yyyy/m/d">
                  <c:v>45735</c:v>
                </c:pt>
                <c:pt idx="1055" c:formatCode="yyyy/m/d">
                  <c:v>45736</c:v>
                </c:pt>
                <c:pt idx="1056" c:formatCode="yyyy/m/d">
                  <c:v>45737</c:v>
                </c:pt>
                <c:pt idx="1057" c:formatCode="yyyy/m/d">
                  <c:v>45740</c:v>
                </c:pt>
                <c:pt idx="1058" c:formatCode="yyyy/m/d">
                  <c:v>45741</c:v>
                </c:pt>
                <c:pt idx="1059" c:formatCode="yyyy/m/d">
                  <c:v>45742</c:v>
                </c:pt>
                <c:pt idx="1060" c:formatCode="yyyy/m/d">
                  <c:v>45743</c:v>
                </c:pt>
                <c:pt idx="1061" c:formatCode="yyyy/m/d">
                  <c:v>45744</c:v>
                </c:pt>
                <c:pt idx="1062" c:formatCode="yyyy/m/d">
                  <c:v>45747</c:v>
                </c:pt>
                <c:pt idx="1063" c:formatCode="yyyy/m/d">
                  <c:v>45748</c:v>
                </c:pt>
                <c:pt idx="1064" c:formatCode="yyyy/m/d">
                  <c:v>45749</c:v>
                </c:pt>
                <c:pt idx="1065" c:formatCode="yyyy/m/d">
                  <c:v>45750</c:v>
                </c:pt>
                <c:pt idx="1066" c:formatCode="yyyy/m/d">
                  <c:v>45754</c:v>
                </c:pt>
                <c:pt idx="1067" c:formatCode="yyyy/m/d">
                  <c:v>45755</c:v>
                </c:pt>
                <c:pt idx="1068" c:formatCode="yyyy/m/d">
                  <c:v>45756</c:v>
                </c:pt>
                <c:pt idx="1069" c:formatCode="yyyy/m/d">
                  <c:v>45757</c:v>
                </c:pt>
                <c:pt idx="1070" c:formatCode="yyyy/m/d">
                  <c:v>45758</c:v>
                </c:pt>
                <c:pt idx="1071" c:formatCode="yyyy/m/d">
                  <c:v>45761</c:v>
                </c:pt>
                <c:pt idx="1072" c:formatCode="yyyy/m/d">
                  <c:v>45762</c:v>
                </c:pt>
                <c:pt idx="1073" c:formatCode="yyyy/m/d">
                  <c:v>45763</c:v>
                </c:pt>
                <c:pt idx="1074" c:formatCode="yyyy/m/d">
                  <c:v>45764</c:v>
                </c:pt>
                <c:pt idx="1075" c:formatCode="yyyy/m/d">
                  <c:v>45765</c:v>
                </c:pt>
                <c:pt idx="1076" c:formatCode="yyyy/m/d">
                  <c:v>45768</c:v>
                </c:pt>
                <c:pt idx="1077" c:formatCode="yyyy/m/d">
                  <c:v>45769</c:v>
                </c:pt>
                <c:pt idx="1078" c:formatCode="yyyy/m/d">
                  <c:v>45770</c:v>
                </c:pt>
                <c:pt idx="1079" c:formatCode="yyyy/m/d">
                  <c:v>45771</c:v>
                </c:pt>
                <c:pt idx="1080" c:formatCode="yyyy/m/d">
                  <c:v>45772</c:v>
                </c:pt>
                <c:pt idx="1081" c:formatCode="yyyy/m/d">
                  <c:v>45775</c:v>
                </c:pt>
                <c:pt idx="1082" c:formatCode="yyyy/m/d">
                  <c:v>45776</c:v>
                </c:pt>
                <c:pt idx="1083" c:formatCode="yyyy/m/d">
                  <c:v>45777</c:v>
                </c:pt>
                <c:pt idx="1084" c:formatCode="yyyy/m/d">
                  <c:v>45779</c:v>
                </c:pt>
                <c:pt idx="1085" c:formatCode="yyyy/m/d">
                  <c:v>45782</c:v>
                </c:pt>
                <c:pt idx="1086" c:formatCode="yyyy/m/d">
                  <c:v>45783</c:v>
                </c:pt>
                <c:pt idx="1087" c:formatCode="yyyy/m/d">
                  <c:v>45784</c:v>
                </c:pt>
                <c:pt idx="1088" c:formatCode="yyyy/m/d">
                  <c:v>45785</c:v>
                </c:pt>
                <c:pt idx="1089" c:formatCode="yyyy/m/d">
                  <c:v>45786</c:v>
                </c:pt>
                <c:pt idx="1090" c:formatCode="yyyy/m/d">
                  <c:v>45789</c:v>
                </c:pt>
                <c:pt idx="1091" c:formatCode="yyyy/m/d">
                  <c:v>45790</c:v>
                </c:pt>
                <c:pt idx="1092" c:formatCode="yyyy/m/d">
                  <c:v>45791</c:v>
                </c:pt>
                <c:pt idx="1093" c:formatCode="yyyy/m/d">
                  <c:v>45792</c:v>
                </c:pt>
                <c:pt idx="1094" c:formatCode="yyyy/m/d">
                  <c:v>45793</c:v>
                </c:pt>
                <c:pt idx="1095" c:formatCode="yyyy/m/d">
                  <c:v>45796</c:v>
                </c:pt>
                <c:pt idx="1096" c:formatCode="yyyy/m/d">
                  <c:v>45797</c:v>
                </c:pt>
                <c:pt idx="1097" c:formatCode="yyyy/m/d">
                  <c:v>45798</c:v>
                </c:pt>
                <c:pt idx="1098" c:formatCode="yyyy/m/d">
                  <c:v>45799</c:v>
                </c:pt>
                <c:pt idx="1099" c:formatCode="yyyy/m/d">
                  <c:v>45800</c:v>
                </c:pt>
                <c:pt idx="1100" c:formatCode="yyyy/m/d">
                  <c:v>45803</c:v>
                </c:pt>
                <c:pt idx="1101" c:formatCode="yyyy/m/d">
                  <c:v>45804</c:v>
                </c:pt>
                <c:pt idx="1102" c:formatCode="yyyy/m/d">
                  <c:v>45805</c:v>
                </c:pt>
                <c:pt idx="1103" c:formatCode="yyyy/m/d">
                  <c:v>45806</c:v>
                </c:pt>
                <c:pt idx="1104" c:formatCode="yyyy/m/d">
                  <c:v>45807</c:v>
                </c:pt>
                <c:pt idx="1105" c:formatCode="yyyy/m/d">
                  <c:v>45810</c:v>
                </c:pt>
                <c:pt idx="1106" c:formatCode="yyyy/m/d">
                  <c:v>45811</c:v>
                </c:pt>
                <c:pt idx="1107" c:formatCode="yyyy/m/d">
                  <c:v>45812</c:v>
                </c:pt>
                <c:pt idx="1108" c:formatCode="yyyy/m/d">
                  <c:v>45813</c:v>
                </c:pt>
                <c:pt idx="1109" c:formatCode="yyyy/m/d">
                  <c:v>45814</c:v>
                </c:pt>
                <c:pt idx="1110" c:formatCode="yyyy/m/d">
                  <c:v>45817</c:v>
                </c:pt>
                <c:pt idx="1111" c:formatCode="yyyy/m/d">
                  <c:v>45818</c:v>
                </c:pt>
                <c:pt idx="1112" c:formatCode="yyyy/m/d">
                  <c:v>45819</c:v>
                </c:pt>
                <c:pt idx="1113" c:formatCode="yyyy/m/d">
                  <c:v>45820</c:v>
                </c:pt>
                <c:pt idx="1114" c:formatCode="yyyy/m/d">
                  <c:v>45821</c:v>
                </c:pt>
                <c:pt idx="1115" c:formatCode="yyyy/m/d">
                  <c:v>45824</c:v>
                </c:pt>
                <c:pt idx="1116" c:formatCode="yyyy/m/d">
                  <c:v>45825</c:v>
                </c:pt>
                <c:pt idx="1117" c:formatCode="yyyy/m/d">
                  <c:v>45826</c:v>
                </c:pt>
                <c:pt idx="1118" c:formatCode="yyyy/m/d">
                  <c:v>45827</c:v>
                </c:pt>
                <c:pt idx="1119" c:formatCode="yyyy/m/d">
                  <c:v>45828</c:v>
                </c:pt>
                <c:pt idx="1120" c:formatCode="yyyy/m/d">
                  <c:v>45831</c:v>
                </c:pt>
                <c:pt idx="1121" c:formatCode="yyyy/m/d">
                  <c:v>45832</c:v>
                </c:pt>
                <c:pt idx="1122" c:formatCode="yyyy/m/d">
                  <c:v>45833</c:v>
                </c:pt>
                <c:pt idx="1123" c:formatCode="yyyy/m/d">
                  <c:v>45834</c:v>
                </c:pt>
                <c:pt idx="1124" c:formatCode="yyyy/m/d">
                  <c:v>45835</c:v>
                </c:pt>
                <c:pt idx="1125" c:formatCode="yyyy/m/d">
                  <c:v>45838</c:v>
                </c:pt>
                <c:pt idx="1126" c:formatCode="yyyy/m/d">
                  <c:v>45839</c:v>
                </c:pt>
                <c:pt idx="1127" c:formatCode="yyyy/m/d">
                  <c:v>45840</c:v>
                </c:pt>
                <c:pt idx="1128" c:formatCode="yyyy/m/d">
                  <c:v>45841</c:v>
                </c:pt>
                <c:pt idx="1129" c:formatCode="yyyy/m/d">
                  <c:v>45842</c:v>
                </c:pt>
                <c:pt idx="1130" c:formatCode="yyyy/m/d">
                  <c:v>45845</c:v>
                </c:pt>
                <c:pt idx="1131" c:formatCode="yyyy/m/d">
                  <c:v>45846</c:v>
                </c:pt>
                <c:pt idx="1132" c:formatCode="yyyy/m/d">
                  <c:v>45847</c:v>
                </c:pt>
                <c:pt idx="1133" c:formatCode="yyyy/m/d">
                  <c:v>45848</c:v>
                </c:pt>
                <c:pt idx="1134" c:formatCode="yyyy/m/d">
                  <c:v>45849</c:v>
                </c:pt>
                <c:pt idx="1135" c:formatCode="yyyy/m/d">
                  <c:v>45852</c:v>
                </c:pt>
                <c:pt idx="1136" c:formatCode="yyyy/m/d">
                  <c:v>45853</c:v>
                </c:pt>
                <c:pt idx="1137" c:formatCode="yyyy/m/d">
                  <c:v>45854</c:v>
                </c:pt>
                <c:pt idx="1138" c:formatCode="yyyy/m/d">
                  <c:v>45855</c:v>
                </c:pt>
                <c:pt idx="1139" c:formatCode="yyyy/m/d">
                  <c:v>45856</c:v>
                </c:pt>
                <c:pt idx="1140" c:formatCode="yyyy/m/d">
                  <c:v>45859</c:v>
                </c:pt>
                <c:pt idx="1141" c:formatCode="yyyy/m/d">
                  <c:v>45860</c:v>
                </c:pt>
                <c:pt idx="1142" c:formatCode="yyyy/m/d">
                  <c:v>45861</c:v>
                </c:pt>
                <c:pt idx="1143" c:formatCode="yyyy/m/d">
                  <c:v>45862</c:v>
                </c:pt>
                <c:pt idx="1144" c:formatCode="yyyy/m/d">
                  <c:v>45863</c:v>
                </c:pt>
                <c:pt idx="1145" c:formatCode="yyyy/m/d">
                  <c:v>45866</c:v>
                </c:pt>
                <c:pt idx="1146" c:formatCode="yyyy/m/d">
                  <c:v>45867</c:v>
                </c:pt>
                <c:pt idx="1147" c:formatCode="yyyy/m/d">
                  <c:v>45868</c:v>
                </c:pt>
                <c:pt idx="1148" c:formatCode="yyyy/m/d">
                  <c:v>45869</c:v>
                </c:pt>
                <c:pt idx="1149" c:formatCode="yyyy/m/d">
                  <c:v>45870</c:v>
                </c:pt>
                <c:pt idx="1150" c:formatCode="yyyy/m/d">
                  <c:v>45873</c:v>
                </c:pt>
                <c:pt idx="1151" c:formatCode="yyyy/m/d">
                  <c:v>45874</c:v>
                </c:pt>
                <c:pt idx="1152" c:formatCode="yyyy/m/d">
                  <c:v>45875</c:v>
                </c:pt>
                <c:pt idx="1153" c:formatCode="yyyy/m/d">
                  <c:v>45876</c:v>
                </c:pt>
                <c:pt idx="1154" c:formatCode="yyyy/m/d">
                  <c:v>45877</c:v>
                </c:pt>
                <c:pt idx="1155" c:formatCode="yyyy/m/d">
                  <c:v>45880</c:v>
                </c:pt>
                <c:pt idx="1156" c:formatCode="yyyy/m/d">
                  <c:v>45881</c:v>
                </c:pt>
                <c:pt idx="1157" c:formatCode="yyyy/m/d">
                  <c:v>45882</c:v>
                </c:pt>
                <c:pt idx="1158" c:formatCode="yyyy/m/d">
                  <c:v>45883</c:v>
                </c:pt>
                <c:pt idx="1159" c:formatCode="yyyy/m/d">
                  <c:v>45884</c:v>
                </c:pt>
                <c:pt idx="1160" c:formatCode="yyyy/m/d">
                  <c:v>45887</c:v>
                </c:pt>
                <c:pt idx="1161" c:formatCode="yyyy/m/d">
                  <c:v>45888</c:v>
                </c:pt>
                <c:pt idx="1162" c:formatCode="yyyy/m/d">
                  <c:v>45889</c:v>
                </c:pt>
                <c:pt idx="1163" c:formatCode="yyyy/m/d">
                  <c:v>45890</c:v>
                </c:pt>
                <c:pt idx="1164" c:formatCode="yyyy/m/d">
                  <c:v>45891</c:v>
                </c:pt>
                <c:pt idx="1165" c:formatCode="yyyy/m/d">
                  <c:v>45894</c:v>
                </c:pt>
                <c:pt idx="1166" c:formatCode="yyyy/m/d">
                  <c:v>45895</c:v>
                </c:pt>
                <c:pt idx="1167" c:formatCode="yyyy/m/d">
                  <c:v>45896</c:v>
                </c:pt>
                <c:pt idx="1168" c:formatCode="yyyy/m/d">
                  <c:v>45897</c:v>
                </c:pt>
                <c:pt idx="1169" c:formatCode="yyyy/m/d">
                  <c:v>45898</c:v>
                </c:pt>
                <c:pt idx="1170" c:formatCode="yyyy/m/d">
                  <c:v>45901</c:v>
                </c:pt>
                <c:pt idx="1171" c:formatCode="yyyy/m/d">
                  <c:v>45902</c:v>
                </c:pt>
                <c:pt idx="1172" c:formatCode="yyyy/m/d">
                  <c:v>45903</c:v>
                </c:pt>
                <c:pt idx="1173" c:formatCode="yyyy/m/d">
                  <c:v>45904</c:v>
                </c:pt>
                <c:pt idx="1174" c:formatCode="yyyy/m/d">
                  <c:v>45905</c:v>
                </c:pt>
                <c:pt idx="1175" c:formatCode="yyyy/m/d">
                  <c:v>45908</c:v>
                </c:pt>
                <c:pt idx="1176" c:formatCode="yyyy/m/d">
                  <c:v>45909</c:v>
                </c:pt>
                <c:pt idx="1177" c:formatCode="yyyy/m/d">
                  <c:v>45910</c:v>
                </c:pt>
                <c:pt idx="1178" c:formatCode="yyyy/m/d">
                  <c:v>45911</c:v>
                </c:pt>
                <c:pt idx="1179" c:formatCode="yyyy/m/d">
                  <c:v>45912</c:v>
                </c:pt>
                <c:pt idx="1180" c:formatCode="yyyy/m/d">
                  <c:v>45915</c:v>
                </c:pt>
                <c:pt idx="1181" c:formatCode="yyyy/m/d">
                  <c:v>45916</c:v>
                </c:pt>
                <c:pt idx="1182" c:formatCode="yyyy/m/d">
                  <c:v>45917</c:v>
                </c:pt>
                <c:pt idx="1183" c:formatCode="yyyy/m/d">
                  <c:v>45918</c:v>
                </c:pt>
                <c:pt idx="1184" c:formatCode="yyyy/m/d">
                  <c:v>45919</c:v>
                </c:pt>
                <c:pt idx="1185" c:formatCode="yyyy/m/d">
                  <c:v>45922</c:v>
                </c:pt>
                <c:pt idx="1186" c:formatCode="yyyy/m/d">
                  <c:v>45923</c:v>
                </c:pt>
                <c:pt idx="1187" c:formatCode="yyyy/m/d">
                  <c:v>45924</c:v>
                </c:pt>
                <c:pt idx="1188" c:formatCode="yyyy/m/d">
                  <c:v>45925</c:v>
                </c:pt>
                <c:pt idx="1189" c:formatCode="yyyy/m/d">
                  <c:v>45926</c:v>
                </c:pt>
                <c:pt idx="1190" c:formatCode="yyyy/m/d">
                  <c:v>45929</c:v>
                </c:pt>
                <c:pt idx="1191" c:formatCode="yyyy/m/d">
                  <c:v>45930</c:v>
                </c:pt>
                <c:pt idx="1192" c:formatCode="yyyy/m/d">
                  <c:v>45931</c:v>
                </c:pt>
                <c:pt idx="1193" c:formatCode="yyyy/m/d">
                  <c:v>45932</c:v>
                </c:pt>
                <c:pt idx="1194" c:formatCode="yyyy/m/d">
                  <c:v>45933</c:v>
                </c:pt>
                <c:pt idx="1195" c:formatCode="yyyy/m/d">
                  <c:v>45936</c:v>
                </c:pt>
                <c:pt idx="1196" c:formatCode="yyyy/m/d">
                  <c:v>45937</c:v>
                </c:pt>
                <c:pt idx="1197" c:formatCode="yyyy/m/d">
                  <c:v>45938</c:v>
                </c:pt>
                <c:pt idx="1198" c:formatCode="yyyy/m/d">
                  <c:v>45939</c:v>
                </c:pt>
                <c:pt idx="1199" c:formatCode="yyyy/m/d">
                  <c:v>45940</c:v>
                </c:pt>
                <c:pt idx="1200" c:formatCode="yyyy/m/d">
                  <c:v>45943</c:v>
                </c:pt>
                <c:pt idx="1201" c:formatCode="yyyy/m/d">
                  <c:v>45944</c:v>
                </c:pt>
                <c:pt idx="1202" c:formatCode="yyyy/m/d">
                  <c:v>45945</c:v>
                </c:pt>
                <c:pt idx="1203" c:formatCode="yyyy/m/d">
                  <c:v>45946</c:v>
                </c:pt>
                <c:pt idx="1204" c:formatCode="yyyy/m/d">
                  <c:v>45947</c:v>
                </c:pt>
                <c:pt idx="1205" c:formatCode="yyyy/m/d">
                  <c:v>45950</c:v>
                </c:pt>
                <c:pt idx="1206" c:formatCode="yyyy/m/d">
                  <c:v>45951</c:v>
                </c:pt>
                <c:pt idx="1207" c:formatCode="yyyy/m/d">
                  <c:v>45952</c:v>
                </c:pt>
                <c:pt idx="1208" c:formatCode="yyyy/m/d">
                  <c:v>45953</c:v>
                </c:pt>
                <c:pt idx="1209" c:formatCode="yyyy/m/d">
                  <c:v>45954</c:v>
                </c:pt>
                <c:pt idx="1210" c:formatCode="yyyy/m/d">
                  <c:v>45957</c:v>
                </c:pt>
                <c:pt idx="1211" c:formatCode="yyyy/m/d">
                  <c:v>45958</c:v>
                </c:pt>
                <c:pt idx="1212" c:formatCode="yyyy/m/d">
                  <c:v>45959</c:v>
                </c:pt>
                <c:pt idx="1213" c:formatCode="yyyy/m/d">
                  <c:v>45960</c:v>
                </c:pt>
                <c:pt idx="1214" c:formatCode="yyyy/m/d">
                  <c:v>45961</c:v>
                </c:pt>
                <c:pt idx="1215" c:formatCode="yyyy/m/d">
                  <c:v>45964</c:v>
                </c:pt>
                <c:pt idx="1216" c:formatCode="yyyy/m/d">
                  <c:v>45965</c:v>
                </c:pt>
                <c:pt idx="1217" c:formatCode="yyyy/m/d">
                  <c:v>45966</c:v>
                </c:pt>
                <c:pt idx="1218" c:formatCode="yyyy/m/d">
                  <c:v>45967</c:v>
                </c:pt>
                <c:pt idx="1219" c:formatCode="yyyy/m/d">
                  <c:v>45968</c:v>
                </c:pt>
                <c:pt idx="1220" c:formatCode="yyyy/m/d">
                  <c:v>45971</c:v>
                </c:pt>
                <c:pt idx="1221" c:formatCode="yyyy/m/d">
                  <c:v>45972</c:v>
                </c:pt>
                <c:pt idx="1222" c:formatCode="yyyy/m/d">
                  <c:v>45973</c:v>
                </c:pt>
                <c:pt idx="1223" c:formatCode="yyyy/m/d">
                  <c:v>45974</c:v>
                </c:pt>
                <c:pt idx="1224" c:formatCode="yyyy/m/d">
                  <c:v>45975</c:v>
                </c:pt>
                <c:pt idx="1225" c:formatCode="yyyy/m/d">
                  <c:v>45978</c:v>
                </c:pt>
                <c:pt idx="1226" c:formatCode="yyyy/m/d">
                  <c:v>45979</c:v>
                </c:pt>
                <c:pt idx="1227" c:formatCode="yyyy/m/d">
                  <c:v>45980</c:v>
                </c:pt>
                <c:pt idx="1228" c:formatCode="yyyy/m/d">
                  <c:v>45981</c:v>
                </c:pt>
                <c:pt idx="1229" c:formatCode="yyyy/m/d">
                  <c:v>45982</c:v>
                </c:pt>
                <c:pt idx="1230" c:formatCode="yyyy/m/d">
                  <c:v>45985</c:v>
                </c:pt>
                <c:pt idx="1231" c:formatCode="yyyy/m/d">
                  <c:v>45986</c:v>
                </c:pt>
                <c:pt idx="1232" c:formatCode="yyyy/m/d">
                  <c:v>45987</c:v>
                </c:pt>
                <c:pt idx="1233" c:formatCode="yyyy/m/d">
                  <c:v>45988</c:v>
                </c:pt>
                <c:pt idx="1234" c:formatCode="yyyy/m/d">
                  <c:v>45989</c:v>
                </c:pt>
                <c:pt idx="1235" c:formatCode="yyyy/m/d">
                  <c:v>45992</c:v>
                </c:pt>
                <c:pt idx="1236" c:formatCode="yyyy/m/d">
                  <c:v>45993</c:v>
                </c:pt>
                <c:pt idx="1237" c:formatCode="yyyy/m/d">
                  <c:v>45994</c:v>
                </c:pt>
                <c:pt idx="1238" c:formatCode="yyyy/m/d">
                  <c:v>45995</c:v>
                </c:pt>
                <c:pt idx="1239" c:formatCode="yyyy/m/d">
                  <c:v>45996</c:v>
                </c:pt>
                <c:pt idx="1240" c:formatCode="yyyy/m/d">
                  <c:v>45999</c:v>
                </c:pt>
                <c:pt idx="1241" c:formatCode="yyyy/m/d">
                  <c:v>46000</c:v>
                </c:pt>
                <c:pt idx="1242" c:formatCode="yyyy/m/d">
                  <c:v>46001</c:v>
                </c:pt>
                <c:pt idx="1243" c:formatCode="yyyy/m/d">
                  <c:v>46002</c:v>
                </c:pt>
                <c:pt idx="1244" c:formatCode="yyyy/m/d">
                  <c:v>46003</c:v>
                </c:pt>
                <c:pt idx="1245" c:formatCode="yyyy/m/d">
                  <c:v>46006</c:v>
                </c:pt>
                <c:pt idx="1246" c:formatCode="yyyy/m/d">
                  <c:v>46007</c:v>
                </c:pt>
                <c:pt idx="1247" c:formatCode="yyyy/m/d">
                  <c:v>46008</c:v>
                </c:pt>
                <c:pt idx="1248" c:formatCode="yyyy/m/d">
                  <c:v>46009</c:v>
                </c:pt>
                <c:pt idx="1249" c:formatCode="yyyy/m/d">
                  <c:v>46010</c:v>
                </c:pt>
                <c:pt idx="1250" c:formatCode="yyyy/m/d">
                  <c:v>46013</c:v>
                </c:pt>
                <c:pt idx="1251" c:formatCode="yyyy/m/d">
                  <c:v>46014</c:v>
                </c:pt>
                <c:pt idx="1252" c:formatCode="yyyy/m/d">
                  <c:v>46015</c:v>
                </c:pt>
                <c:pt idx="1253" c:formatCode="yyyy/m/d">
                  <c:v>46016</c:v>
                </c:pt>
                <c:pt idx="1254" c:formatCode="yyyy/m/d">
                  <c:v>46017</c:v>
                </c:pt>
                <c:pt idx="1255" c:formatCode="yyyy/m/d">
                  <c:v>46020</c:v>
                </c:pt>
                <c:pt idx="1256" c:formatCode="yyyy/m/d">
                  <c:v>46021</c:v>
                </c:pt>
                <c:pt idx="1257" c:formatCode="yyyy/m/d">
                  <c:v>46022</c:v>
                </c:pt>
                <c:pt idx="1258" c:formatCode="yyyy/m/d">
                  <c:v>46024</c:v>
                </c:pt>
                <c:pt idx="1259" c:formatCode="yyyy/m/d">
                  <c:v>46027</c:v>
                </c:pt>
                <c:pt idx="1260" c:formatCode="yyyy/m/d">
                  <c:v>46028</c:v>
                </c:pt>
                <c:pt idx="1261" c:formatCode="yyyy/m/d">
                  <c:v>46029</c:v>
                </c:pt>
                <c:pt idx="1262" c:formatCode="yyyy/m/d">
                  <c:v>46030</c:v>
                </c:pt>
                <c:pt idx="1263" c:formatCode="yyyy/m/d">
                  <c:v>46031</c:v>
                </c:pt>
                <c:pt idx="1264" c:formatCode="yyyy/m/d">
                  <c:v>46034</c:v>
                </c:pt>
                <c:pt idx="1265" c:formatCode="yyyy/m/d">
                  <c:v>46035</c:v>
                </c:pt>
                <c:pt idx="1266" c:formatCode="yyyy/m/d">
                  <c:v>46036</c:v>
                </c:pt>
                <c:pt idx="1267" c:formatCode="yyyy/m/d">
                  <c:v>46037</c:v>
                </c:pt>
                <c:pt idx="1268" c:formatCode="yyyy/m/d">
                  <c:v>46038</c:v>
                </c:pt>
                <c:pt idx="1269" c:formatCode="yyyy/m/d">
                  <c:v>46041</c:v>
                </c:pt>
                <c:pt idx="1270" c:formatCode="yyyy/m/d">
                  <c:v>46042</c:v>
                </c:pt>
                <c:pt idx="1271" c:formatCode="yyyy/m/d">
                  <c:v>46043</c:v>
                </c:pt>
                <c:pt idx="1272" c:formatCode="yyyy/m/d">
                  <c:v>46044</c:v>
                </c:pt>
                <c:pt idx="1273" c:formatCode="yyyy/m/d">
                  <c:v>46045</c:v>
                </c:pt>
                <c:pt idx="1274" c:formatCode="yyyy/m/d">
                  <c:v>46048</c:v>
                </c:pt>
                <c:pt idx="1275" c:formatCode="yyyy/m/d">
                  <c:v>46049</c:v>
                </c:pt>
                <c:pt idx="1276" c:formatCode="yyyy/m/d">
                  <c:v>46050</c:v>
                </c:pt>
                <c:pt idx="1277" c:formatCode="yyyy/m/d">
                  <c:v>46051</c:v>
                </c:pt>
                <c:pt idx="1278" c:formatCode="yyyy/m/d">
                  <c:v>46052</c:v>
                </c:pt>
                <c:pt idx="1279" c:formatCode="yyyy/m/d">
                  <c:v>46055</c:v>
                </c:pt>
                <c:pt idx="1280" c:formatCode="yyyy/m/d">
                  <c:v>46056</c:v>
                </c:pt>
                <c:pt idx="1281" c:formatCode="yyyy/m/d">
                  <c:v>46057</c:v>
                </c:pt>
                <c:pt idx="1282" c:formatCode="yyyy/m/d">
                  <c:v>46058</c:v>
                </c:pt>
                <c:pt idx="1283" c:formatCode="yyyy/m/d">
                  <c:v>46059</c:v>
                </c:pt>
                <c:pt idx="1284" c:formatCode="yyyy/m/d">
                  <c:v>46062</c:v>
                </c:pt>
                <c:pt idx="1285" c:formatCode="yyyy/m/d">
                  <c:v>46063</c:v>
                </c:pt>
                <c:pt idx="1286" c:formatCode="yyyy/m/d">
                  <c:v>46064</c:v>
                </c:pt>
                <c:pt idx="1287" c:formatCode="yyyy/m/d">
                  <c:v>46065</c:v>
                </c:pt>
                <c:pt idx="1288" c:formatCode="yyyy/m/d">
                  <c:v>46066</c:v>
                </c:pt>
                <c:pt idx="1289" c:formatCode="yyyy/m/d">
                  <c:v>46076</c:v>
                </c:pt>
                <c:pt idx="1290" c:formatCode="yyyy/m/d">
                  <c:v>46077</c:v>
                </c:pt>
                <c:pt idx="1291" c:formatCode="yyyy/m/d">
                  <c:v>46078</c:v>
                </c:pt>
                <c:pt idx="1292" c:formatCode="yyyy/m/d">
                  <c:v>46079</c:v>
                </c:pt>
                <c:pt idx="1293" c:formatCode="yyyy/m/d">
                  <c:v>46080</c:v>
                </c:pt>
                <c:pt idx="1294" c:formatCode="yyyy/m/d">
                  <c:v>46083</c:v>
                </c:pt>
                <c:pt idx="1295" c:formatCode="yyyy/m/d">
                  <c:v>46084</c:v>
                </c:pt>
                <c:pt idx="1296" c:formatCode="yyyy/m/d">
                  <c:v>46085</c:v>
                </c:pt>
                <c:pt idx="1297" c:formatCode="yyyy/m/d">
                  <c:v>46086</c:v>
                </c:pt>
                <c:pt idx="1298" c:formatCode="yyyy/m/d">
                  <c:v>46087</c:v>
                </c:pt>
                <c:pt idx="1299" c:formatCode="yyyy/m/d">
                  <c:v>46090</c:v>
                </c:pt>
                <c:pt idx="1300" c:formatCode="yyyy/m/d">
                  <c:v>46091</c:v>
                </c:pt>
                <c:pt idx="1301" c:formatCode="yyyy/m/d">
                  <c:v>46092</c:v>
                </c:pt>
                <c:pt idx="1302" c:formatCode="yyyy/m/d">
                  <c:v>46093</c:v>
                </c:pt>
                <c:pt idx="1303" c:formatCode="yyyy/m/d">
                  <c:v>46094</c:v>
                </c:pt>
                <c:pt idx="1304" c:formatCode="yyyy/m/d">
                  <c:v>46097</c:v>
                </c:pt>
                <c:pt idx="1305" c:formatCode="yyyy/m/d">
                  <c:v>46098</c:v>
                </c:pt>
                <c:pt idx="1306" c:formatCode="yyyy/m/d">
                  <c:v>46099</c:v>
                </c:pt>
                <c:pt idx="1307" c:formatCode="yyyy/m/d">
                  <c:v>46100</c:v>
                </c:pt>
                <c:pt idx="1308" c:formatCode="yyyy/m/d">
                  <c:v>46101</c:v>
                </c:pt>
                <c:pt idx="1309" c:formatCode="yyyy/m/d">
                  <c:v>46104</c:v>
                </c:pt>
                <c:pt idx="1310" c:formatCode="yyyy/m/d">
                  <c:v>46105</c:v>
                </c:pt>
                <c:pt idx="1311" c:formatCode="yyyy/m/d">
                  <c:v>46106</c:v>
                </c:pt>
                <c:pt idx="1312" c:formatCode="yyyy/m/d">
                  <c:v>46107</c:v>
                </c:pt>
                <c:pt idx="1313" c:formatCode="yyyy/m/d">
                  <c:v>46108</c:v>
                </c:pt>
                <c:pt idx="1314" c:formatCode="yyyy/m/d">
                  <c:v>46111</c:v>
                </c:pt>
                <c:pt idx="1315" c:formatCode="yyyy/m/d">
                  <c:v>46112</c:v>
                </c:pt>
                <c:pt idx="1316" c:formatCode="yyyy/m/d">
                  <c:v>46113</c:v>
                </c:pt>
                <c:pt idx="1317" c:formatCode="yyyy/m/d">
                  <c:v>46114</c:v>
                </c:pt>
                <c:pt idx="1318" c:formatCode="yyyy/m/d">
                  <c:v>46115</c:v>
                </c:pt>
                <c:pt idx="1319" c:formatCode="yyyy/m/d">
                  <c:v>46119</c:v>
                </c:pt>
                <c:pt idx="1320" c:formatCode="yyyy/m/d">
                  <c:v>46120</c:v>
                </c:pt>
                <c:pt idx="1321" c:formatCode="yyyy/m/d">
                  <c:v>46121</c:v>
                </c:pt>
                <c:pt idx="1322" c:formatCode="yyyy/m/d">
                  <c:v>46122</c:v>
                </c:pt>
                <c:pt idx="1323" c:formatCode="yyyy/m/d">
                  <c:v>46125</c:v>
                </c:pt>
                <c:pt idx="1324" c:formatCode="yyyy/m/d">
                  <c:v>46126</c:v>
                </c:pt>
                <c:pt idx="1325" c:formatCode="yyyy/m/d">
                  <c:v>46127</c:v>
                </c:pt>
                <c:pt idx="1326" c:formatCode="yyyy/m/d">
                  <c:v>46128</c:v>
                </c:pt>
                <c:pt idx="1327" c:formatCode="yyyy/m/d">
                  <c:v>46129</c:v>
                </c:pt>
                <c:pt idx="1328" c:formatCode="yyyy/m/d">
                  <c:v>46132</c:v>
                </c:pt>
                <c:pt idx="1329" c:formatCode="yyyy/m/d">
                  <c:v>46133</c:v>
                </c:pt>
                <c:pt idx="1330" c:formatCode="yyyy/m/d">
                  <c:v>46134</c:v>
                </c:pt>
                <c:pt idx="1331" c:formatCode="yyyy/m/d">
                  <c:v>46135</c:v>
                </c:pt>
                <c:pt idx="1332" c:formatCode="yyyy/m/d">
                  <c:v>46136</c:v>
                </c:pt>
                <c:pt idx="1333" c:formatCode="yyyy/m/d">
                  <c:v>46139</c:v>
                </c:pt>
                <c:pt idx="1334" c:formatCode="yyyy/m/d">
                  <c:v>46140</c:v>
                </c:pt>
                <c:pt idx="1335" c:formatCode="yyyy/m/d">
                  <c:v>46141</c:v>
                </c:pt>
                <c:pt idx="1336" c:formatCode="yyyy/m/d">
                  <c:v>46142</c:v>
                </c:pt>
                <c:pt idx="1337" c:formatCode="yyyy/m/d">
                  <c:v>46146</c:v>
                </c:pt>
                <c:pt idx="1338" c:formatCode="yyyy/m/d">
                  <c:v>46147</c:v>
                </c:pt>
                <c:pt idx="1339" c:formatCode="yyyy/m/d">
                  <c:v>46148</c:v>
                </c:pt>
                <c:pt idx="1340" c:formatCode="yyyy/m/d">
                  <c:v>46149</c:v>
                </c:pt>
                <c:pt idx="1341" c:formatCode="yyyy/m/d">
                  <c:v>46150</c:v>
                </c:pt>
                <c:pt idx="1342" c:formatCode="yyyy/m/d">
                  <c:v>46153</c:v>
                </c:pt>
                <c:pt idx="1343" c:formatCode="yyyy/m/d">
                  <c:v>46154</c:v>
                </c:pt>
                <c:pt idx="1344" c:formatCode="yyyy/m/d">
                  <c:v>46155</c:v>
                </c:pt>
                <c:pt idx="1345" c:formatCode="yyyy/m/d">
                  <c:v>46156</c:v>
                </c:pt>
                <c:pt idx="1346" c:formatCode="yyyy/m/d">
                  <c:v>46157</c:v>
                </c:pt>
                <c:pt idx="1347" c:formatCode="yyyy/m/d">
                  <c:v>46160</c:v>
                </c:pt>
                <c:pt idx="1348" c:formatCode="yyyy/m/d">
                  <c:v>46161</c:v>
                </c:pt>
                <c:pt idx="1349" c:formatCode="yyyy/m/d">
                  <c:v>46162</c:v>
                </c:pt>
                <c:pt idx="1350" c:formatCode="yyyy/m/d">
                  <c:v>46163</c:v>
                </c:pt>
                <c:pt idx="1351" c:formatCode="yyyy/m/d">
                  <c:v>46164</c:v>
                </c:pt>
                <c:pt idx="1352" c:formatCode="yyyy/m/d">
                  <c:v>46167</c:v>
                </c:pt>
                <c:pt idx="1353" c:formatCode="yyyy/m/d">
                  <c:v>46168</c:v>
                </c:pt>
                <c:pt idx="1354" c:formatCode="yyyy/m/d">
                  <c:v>46169</c:v>
                </c:pt>
                <c:pt idx="1355" c:formatCode="yyyy/m/d">
                  <c:v>46170</c:v>
                </c:pt>
                <c:pt idx="1356" c:formatCode="yyyy/m/d">
                  <c:v>46171</c:v>
                </c:pt>
                <c:pt idx="1357" c:formatCode="yyyy/m/d">
                  <c:v>46174</c:v>
                </c:pt>
              </c:numCache>
            </c:numRef>
          </c:cat>
          <c:val>
            <c:numRef>
              <c:f>DRAM!$M$1245:$M$3000</c:f>
              <c:numCache>
                <c:formatCode>0.0</c:formatCode>
                <c:ptCount val="1756"/>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pt idx="24">
                  <c:v>3</c:v>
                </c:pt>
                <c:pt idx="25">
                  <c:v>3</c:v>
                </c:pt>
                <c:pt idx="26">
                  <c:v>3</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3</c:v>
                </c:pt>
                <c:pt idx="45">
                  <c:v>3</c:v>
                </c:pt>
                <c:pt idx="46">
                  <c:v>3</c:v>
                </c:pt>
                <c:pt idx="47">
                  <c:v>3</c:v>
                </c:pt>
                <c:pt idx="48">
                  <c:v>3</c:v>
                </c:pt>
                <c:pt idx="49">
                  <c:v>3</c:v>
                </c:pt>
                <c:pt idx="50">
                  <c:v>3</c:v>
                </c:pt>
                <c:pt idx="51">
                  <c:v>3</c:v>
                </c:pt>
                <c:pt idx="52">
                  <c:v>3</c:v>
                </c:pt>
                <c:pt idx="53">
                  <c:v>3</c:v>
                </c:pt>
                <c:pt idx="54">
                  <c:v>3</c:v>
                </c:pt>
                <c:pt idx="55">
                  <c:v>3</c:v>
                </c:pt>
                <c:pt idx="56">
                  <c:v>3</c:v>
                </c:pt>
                <c:pt idx="57">
                  <c:v>3</c:v>
                </c:pt>
                <c:pt idx="58">
                  <c:v>3</c:v>
                </c:pt>
                <c:pt idx="59">
                  <c:v>3.8</c:v>
                </c:pt>
                <c:pt idx="60">
                  <c:v>3.8</c:v>
                </c:pt>
                <c:pt idx="61">
                  <c:v>3.8</c:v>
                </c:pt>
                <c:pt idx="62">
                  <c:v>3.8</c:v>
                </c:pt>
                <c:pt idx="63">
                  <c:v>3.8</c:v>
                </c:pt>
                <c:pt idx="64">
                  <c:v>3.8</c:v>
                </c:pt>
                <c:pt idx="65">
                  <c:v>3.8</c:v>
                </c:pt>
                <c:pt idx="66">
                  <c:v>3.8</c:v>
                </c:pt>
                <c:pt idx="67">
                  <c:v>3.8</c:v>
                </c:pt>
                <c:pt idx="68">
                  <c:v>3.8</c:v>
                </c:pt>
                <c:pt idx="69">
                  <c:v>3.8</c:v>
                </c:pt>
                <c:pt idx="70">
                  <c:v>3.8</c:v>
                </c:pt>
                <c:pt idx="71">
                  <c:v>3.8</c:v>
                </c:pt>
                <c:pt idx="72">
                  <c:v>3.8</c:v>
                </c:pt>
                <c:pt idx="73">
                  <c:v>3.8</c:v>
                </c:pt>
                <c:pt idx="74">
                  <c:v>3.8</c:v>
                </c:pt>
                <c:pt idx="75">
                  <c:v>3.8</c:v>
                </c:pt>
                <c:pt idx="76">
                  <c:v>3.8</c:v>
                </c:pt>
                <c:pt idx="77">
                  <c:v>3.8</c:v>
                </c:pt>
                <c:pt idx="78">
                  <c:v>3.8</c:v>
                </c:pt>
                <c:pt idx="79">
                  <c:v>3.8</c:v>
                </c:pt>
                <c:pt idx="80">
                  <c:v>3.8</c:v>
                </c:pt>
                <c:pt idx="81">
                  <c:v>3.8</c:v>
                </c:pt>
                <c:pt idx="82">
                  <c:v>3.8</c:v>
                </c:pt>
                <c:pt idx="83">
                  <c:v>3.8</c:v>
                </c:pt>
                <c:pt idx="84">
                  <c:v>3.8</c:v>
                </c:pt>
                <c:pt idx="85">
                  <c:v>3.8</c:v>
                </c:pt>
                <c:pt idx="86">
                  <c:v>3.8</c:v>
                </c:pt>
                <c:pt idx="87">
                  <c:v>3.8</c:v>
                </c:pt>
                <c:pt idx="88">
                  <c:v>3.8</c:v>
                </c:pt>
                <c:pt idx="89">
                  <c:v>3.8</c:v>
                </c:pt>
                <c:pt idx="90">
                  <c:v>3.8</c:v>
                </c:pt>
                <c:pt idx="91">
                  <c:v>3.8</c:v>
                </c:pt>
                <c:pt idx="92">
                  <c:v>3.8</c:v>
                </c:pt>
                <c:pt idx="93">
                  <c:v>3.8</c:v>
                </c:pt>
                <c:pt idx="94">
                  <c:v>3.8</c:v>
                </c:pt>
                <c:pt idx="95">
                  <c:v>3.8</c:v>
                </c:pt>
                <c:pt idx="96">
                  <c:v>3.8</c:v>
                </c:pt>
                <c:pt idx="97">
                  <c:v>3.8</c:v>
                </c:pt>
                <c:pt idx="98">
                  <c:v>3.8</c:v>
                </c:pt>
                <c:pt idx="99">
                  <c:v>3.8</c:v>
                </c:pt>
                <c:pt idx="100">
                  <c:v>3.8</c:v>
                </c:pt>
                <c:pt idx="101">
                  <c:v>3.8</c:v>
                </c:pt>
                <c:pt idx="102">
                  <c:v>3.8</c:v>
                </c:pt>
                <c:pt idx="103">
                  <c:v>3.8</c:v>
                </c:pt>
                <c:pt idx="104">
                  <c:v>3.8</c:v>
                </c:pt>
                <c:pt idx="105">
                  <c:v>3.8</c:v>
                </c:pt>
                <c:pt idx="106">
                  <c:v>3.8</c:v>
                </c:pt>
                <c:pt idx="107">
                  <c:v>3.8</c:v>
                </c:pt>
                <c:pt idx="108">
                  <c:v>3.8</c:v>
                </c:pt>
                <c:pt idx="109">
                  <c:v>3.8</c:v>
                </c:pt>
                <c:pt idx="110">
                  <c:v>3.8</c:v>
                </c:pt>
                <c:pt idx="111">
                  <c:v>3.8</c:v>
                </c:pt>
                <c:pt idx="112">
                  <c:v>3.8</c:v>
                </c:pt>
                <c:pt idx="113">
                  <c:v>3.8</c:v>
                </c:pt>
                <c:pt idx="114">
                  <c:v>3.8</c:v>
                </c:pt>
                <c:pt idx="115">
                  <c:v>3.8</c:v>
                </c:pt>
                <c:pt idx="116">
                  <c:v>3.8</c:v>
                </c:pt>
                <c:pt idx="117">
                  <c:v>3.8</c:v>
                </c:pt>
                <c:pt idx="118">
                  <c:v>3.8</c:v>
                </c:pt>
                <c:pt idx="119">
                  <c:v>3.8</c:v>
                </c:pt>
                <c:pt idx="120">
                  <c:v>3.8</c:v>
                </c:pt>
                <c:pt idx="121">
                  <c:v>4.1</c:v>
                </c:pt>
                <c:pt idx="122">
                  <c:v>4.1</c:v>
                </c:pt>
                <c:pt idx="123">
                  <c:v>4.1</c:v>
                </c:pt>
                <c:pt idx="124">
                  <c:v>4.1</c:v>
                </c:pt>
                <c:pt idx="125">
                  <c:v>4.1</c:v>
                </c:pt>
                <c:pt idx="126">
                  <c:v>4.1</c:v>
                </c:pt>
                <c:pt idx="127">
                  <c:v>4.1</c:v>
                </c:pt>
                <c:pt idx="128">
                  <c:v>4.1</c:v>
                </c:pt>
                <c:pt idx="129">
                  <c:v>4.1</c:v>
                </c:pt>
                <c:pt idx="130">
                  <c:v>4.1</c:v>
                </c:pt>
                <c:pt idx="131">
                  <c:v>4.1</c:v>
                </c:pt>
                <c:pt idx="132">
                  <c:v>4.1</c:v>
                </c:pt>
                <c:pt idx="133">
                  <c:v>4.1</c:v>
                </c:pt>
                <c:pt idx="134">
                  <c:v>4.1</c:v>
                </c:pt>
                <c:pt idx="135">
                  <c:v>4.1</c:v>
                </c:pt>
                <c:pt idx="136">
                  <c:v>4.1</c:v>
                </c:pt>
                <c:pt idx="137">
                  <c:v>4.1</c:v>
                </c:pt>
                <c:pt idx="138">
                  <c:v>4.1</c:v>
                </c:pt>
                <c:pt idx="139">
                  <c:v>4.1</c:v>
                </c:pt>
                <c:pt idx="140">
                  <c:v>4.1</c:v>
                </c:pt>
                <c:pt idx="141">
                  <c:v>4.1</c:v>
                </c:pt>
                <c:pt idx="142">
                  <c:v>4.1</c:v>
                </c:pt>
                <c:pt idx="143">
                  <c:v>4.1</c:v>
                </c:pt>
                <c:pt idx="144">
                  <c:v>4.1</c:v>
                </c:pt>
                <c:pt idx="145">
                  <c:v>4.1</c:v>
                </c:pt>
                <c:pt idx="146">
                  <c:v>4.1</c:v>
                </c:pt>
                <c:pt idx="147">
                  <c:v>4.1</c:v>
                </c:pt>
                <c:pt idx="148">
                  <c:v>4.1</c:v>
                </c:pt>
                <c:pt idx="149">
                  <c:v>4.1</c:v>
                </c:pt>
                <c:pt idx="150">
                  <c:v>4.1</c:v>
                </c:pt>
                <c:pt idx="151">
                  <c:v>4.1</c:v>
                </c:pt>
                <c:pt idx="152">
                  <c:v>4.1</c:v>
                </c:pt>
                <c:pt idx="153">
                  <c:v>4.1</c:v>
                </c:pt>
                <c:pt idx="154">
                  <c:v>4.1</c:v>
                </c:pt>
                <c:pt idx="155">
                  <c:v>4.1</c:v>
                </c:pt>
                <c:pt idx="156">
                  <c:v>4.1</c:v>
                </c:pt>
                <c:pt idx="157">
                  <c:v>4.1</c:v>
                </c:pt>
                <c:pt idx="158">
                  <c:v>4.1</c:v>
                </c:pt>
                <c:pt idx="159">
                  <c:v>4.1</c:v>
                </c:pt>
                <c:pt idx="160">
                  <c:v>4.1</c:v>
                </c:pt>
                <c:pt idx="161">
                  <c:v>4.1</c:v>
                </c:pt>
                <c:pt idx="162">
                  <c:v>4.1</c:v>
                </c:pt>
                <c:pt idx="163">
                  <c:v>4.1</c:v>
                </c:pt>
                <c:pt idx="164">
                  <c:v>4.1</c:v>
                </c:pt>
                <c:pt idx="165">
                  <c:v>4.1</c:v>
                </c:pt>
                <c:pt idx="166">
                  <c:v>4.1</c:v>
                </c:pt>
                <c:pt idx="167">
                  <c:v>4.1</c:v>
                </c:pt>
                <c:pt idx="168">
                  <c:v>4.1</c:v>
                </c:pt>
                <c:pt idx="169">
                  <c:v>4.1</c:v>
                </c:pt>
                <c:pt idx="170">
                  <c:v>4.1</c:v>
                </c:pt>
                <c:pt idx="171">
                  <c:v>4.1</c:v>
                </c:pt>
                <c:pt idx="172">
                  <c:v>4.1</c:v>
                </c:pt>
                <c:pt idx="173">
                  <c:v>4.1</c:v>
                </c:pt>
                <c:pt idx="174">
                  <c:v>4.1</c:v>
                </c:pt>
                <c:pt idx="175">
                  <c:v>4.1</c:v>
                </c:pt>
                <c:pt idx="176">
                  <c:v>4.1</c:v>
                </c:pt>
                <c:pt idx="177">
                  <c:v>4.1</c:v>
                </c:pt>
                <c:pt idx="178">
                  <c:v>4.1</c:v>
                </c:pt>
                <c:pt idx="179">
                  <c:v>4.1</c:v>
                </c:pt>
                <c:pt idx="180">
                  <c:v>4.1</c:v>
                </c:pt>
                <c:pt idx="181">
                  <c:v>4.1</c:v>
                </c:pt>
                <c:pt idx="182">
                  <c:v>4.1</c:v>
                </c:pt>
                <c:pt idx="183">
                  <c:v>4.1</c:v>
                </c:pt>
                <c:pt idx="184">
                  <c:v>4.1</c:v>
                </c:pt>
                <c:pt idx="185">
                  <c:v>3.71</c:v>
                </c:pt>
                <c:pt idx="186">
                  <c:v>3.71</c:v>
                </c:pt>
                <c:pt idx="187">
                  <c:v>3.71</c:v>
                </c:pt>
                <c:pt idx="188">
                  <c:v>3.71</c:v>
                </c:pt>
                <c:pt idx="189">
                  <c:v>3.71</c:v>
                </c:pt>
                <c:pt idx="190">
                  <c:v>3.71</c:v>
                </c:pt>
                <c:pt idx="191">
                  <c:v>3.71</c:v>
                </c:pt>
                <c:pt idx="192">
                  <c:v>3.71</c:v>
                </c:pt>
                <c:pt idx="193">
                  <c:v>3.71</c:v>
                </c:pt>
                <c:pt idx="194">
                  <c:v>3.71</c:v>
                </c:pt>
                <c:pt idx="195">
                  <c:v>3.71</c:v>
                </c:pt>
                <c:pt idx="196">
                  <c:v>3.71</c:v>
                </c:pt>
                <c:pt idx="197">
                  <c:v>3.71</c:v>
                </c:pt>
                <c:pt idx="198">
                  <c:v>3.71</c:v>
                </c:pt>
                <c:pt idx="199">
                  <c:v>3.71</c:v>
                </c:pt>
                <c:pt idx="200">
                  <c:v>3.71</c:v>
                </c:pt>
                <c:pt idx="201">
                  <c:v>3.71</c:v>
                </c:pt>
                <c:pt idx="202">
                  <c:v>3.71</c:v>
                </c:pt>
                <c:pt idx="203">
                  <c:v>3.71</c:v>
                </c:pt>
                <c:pt idx="204">
                  <c:v>3.71</c:v>
                </c:pt>
                <c:pt idx="205">
                  <c:v>3.71</c:v>
                </c:pt>
                <c:pt idx="206">
                  <c:v>3.71</c:v>
                </c:pt>
                <c:pt idx="207">
                  <c:v>3.71</c:v>
                </c:pt>
                <c:pt idx="208">
                  <c:v>3.71</c:v>
                </c:pt>
                <c:pt idx="209">
                  <c:v>3.71</c:v>
                </c:pt>
                <c:pt idx="210">
                  <c:v>3.71</c:v>
                </c:pt>
                <c:pt idx="211">
                  <c:v>3.71</c:v>
                </c:pt>
                <c:pt idx="212">
                  <c:v>3.71</c:v>
                </c:pt>
                <c:pt idx="213">
                  <c:v>3.71</c:v>
                </c:pt>
                <c:pt idx="214">
                  <c:v>3.71</c:v>
                </c:pt>
                <c:pt idx="215">
                  <c:v>3.71</c:v>
                </c:pt>
                <c:pt idx="216">
                  <c:v>3.71</c:v>
                </c:pt>
                <c:pt idx="217">
                  <c:v>3.71</c:v>
                </c:pt>
                <c:pt idx="218">
                  <c:v>3.71</c:v>
                </c:pt>
                <c:pt idx="219">
                  <c:v>3.71</c:v>
                </c:pt>
                <c:pt idx="220">
                  <c:v>3.71</c:v>
                </c:pt>
                <c:pt idx="221">
                  <c:v>3.71</c:v>
                </c:pt>
                <c:pt idx="222">
                  <c:v>3.71</c:v>
                </c:pt>
                <c:pt idx="223">
                  <c:v>3.71</c:v>
                </c:pt>
                <c:pt idx="224">
                  <c:v>3.71</c:v>
                </c:pt>
                <c:pt idx="225">
                  <c:v>3.71</c:v>
                </c:pt>
                <c:pt idx="226">
                  <c:v>3.71</c:v>
                </c:pt>
                <c:pt idx="227" c:formatCode="0.00">
                  <c:v>3.71</c:v>
                </c:pt>
                <c:pt idx="228" c:formatCode="0.00">
                  <c:v>3.71</c:v>
                </c:pt>
                <c:pt idx="229" c:formatCode="0.00">
                  <c:v>3.71</c:v>
                </c:pt>
                <c:pt idx="230" c:formatCode="0.00">
                  <c:v>3.71</c:v>
                </c:pt>
                <c:pt idx="231" c:formatCode="0.00">
                  <c:v>3.71</c:v>
                </c:pt>
                <c:pt idx="232" c:formatCode="0.00">
                  <c:v>3.71</c:v>
                </c:pt>
                <c:pt idx="233" c:formatCode="0.00">
                  <c:v>3.71</c:v>
                </c:pt>
                <c:pt idx="234" c:formatCode="0.00">
                  <c:v>3.71</c:v>
                </c:pt>
                <c:pt idx="235" c:formatCode="0.00">
                  <c:v>3.71</c:v>
                </c:pt>
                <c:pt idx="236" c:formatCode="0.00">
                  <c:v>3.71</c:v>
                </c:pt>
                <c:pt idx="237" c:formatCode="0.00">
                  <c:v>3.71</c:v>
                </c:pt>
                <c:pt idx="238" c:formatCode="0.00">
                  <c:v>3.71</c:v>
                </c:pt>
                <c:pt idx="239" c:formatCode="0.00">
                  <c:v>3.71</c:v>
                </c:pt>
                <c:pt idx="240" c:formatCode="0.00">
                  <c:v>3.71</c:v>
                </c:pt>
                <c:pt idx="241" c:formatCode="0.00">
                  <c:v>3.71</c:v>
                </c:pt>
                <c:pt idx="242" c:formatCode="0.00">
                  <c:v>3.71</c:v>
                </c:pt>
                <c:pt idx="243" c:formatCode="0.00">
                  <c:v>3.71</c:v>
                </c:pt>
                <c:pt idx="244" c:formatCode="0.00">
                  <c:v>3.71</c:v>
                </c:pt>
                <c:pt idx="245" c:formatCode="0.00">
                  <c:v>3.71</c:v>
                </c:pt>
                <c:pt idx="246" c:formatCode="0.00">
                  <c:v>3.71</c:v>
                </c:pt>
                <c:pt idx="247" c:formatCode="0.00">
                  <c:v>3.71</c:v>
                </c:pt>
                <c:pt idx="248" c:formatCode="0.00">
                  <c:v>3.71</c:v>
                </c:pt>
                <c:pt idx="249" c:formatCode="0.00">
                  <c:v>3.71</c:v>
                </c:pt>
                <c:pt idx="250" c:formatCode="0.00">
                  <c:v>3.71</c:v>
                </c:pt>
                <c:pt idx="251" c:formatCode="0.00">
                  <c:v>3.41</c:v>
                </c:pt>
                <c:pt idx="252" c:formatCode="0.00">
                  <c:v>3.41</c:v>
                </c:pt>
                <c:pt idx="253" c:formatCode="0.00">
                  <c:v>3.41</c:v>
                </c:pt>
                <c:pt idx="254" c:formatCode="0.00">
                  <c:v>3.41</c:v>
                </c:pt>
                <c:pt idx="255" c:formatCode="0.00">
                  <c:v>3.41</c:v>
                </c:pt>
                <c:pt idx="256" c:formatCode="0.00">
                  <c:v>3.41</c:v>
                </c:pt>
                <c:pt idx="257" c:formatCode="0.00">
                  <c:v>3.41</c:v>
                </c:pt>
                <c:pt idx="258" c:formatCode="0.00">
                  <c:v>3.41</c:v>
                </c:pt>
                <c:pt idx="259" c:formatCode="0.00">
                  <c:v>3.41</c:v>
                </c:pt>
                <c:pt idx="260" c:formatCode="0.00">
                  <c:v>3.41</c:v>
                </c:pt>
                <c:pt idx="261" c:formatCode="0.00">
                  <c:v>3.41</c:v>
                </c:pt>
                <c:pt idx="262" c:formatCode="0.00">
                  <c:v>3.41</c:v>
                </c:pt>
                <c:pt idx="263" c:formatCode="0.00">
                  <c:v>3.41</c:v>
                </c:pt>
                <c:pt idx="264" c:formatCode="0.00">
                  <c:v>3.41</c:v>
                </c:pt>
                <c:pt idx="265" c:formatCode="0.00">
                  <c:v>3.41</c:v>
                </c:pt>
                <c:pt idx="266" c:formatCode="0.00">
                  <c:v>3.41</c:v>
                </c:pt>
                <c:pt idx="267" c:formatCode="0.00">
                  <c:v>3.41</c:v>
                </c:pt>
                <c:pt idx="268" c:formatCode="0.00">
                  <c:v>3.41</c:v>
                </c:pt>
                <c:pt idx="269" c:formatCode="0.00">
                  <c:v>3.41</c:v>
                </c:pt>
                <c:pt idx="270" c:formatCode="0.00">
                  <c:v>3.41</c:v>
                </c:pt>
                <c:pt idx="271" c:formatCode="0.00">
                  <c:v>3.41</c:v>
                </c:pt>
                <c:pt idx="272" c:formatCode="0.00">
                  <c:v>3.41</c:v>
                </c:pt>
                <c:pt idx="273" c:formatCode="0.00">
                  <c:v>3.41</c:v>
                </c:pt>
                <c:pt idx="274" c:formatCode="0.00">
                  <c:v>3.41</c:v>
                </c:pt>
                <c:pt idx="275" c:formatCode="0.00">
                  <c:v>3.41</c:v>
                </c:pt>
                <c:pt idx="276" c:formatCode="0.00">
                  <c:v>3.41</c:v>
                </c:pt>
                <c:pt idx="277" c:formatCode="0.00">
                  <c:v>3.41</c:v>
                </c:pt>
                <c:pt idx="278" c:formatCode="0.00">
                  <c:v>3.41</c:v>
                </c:pt>
                <c:pt idx="279" c:formatCode="0.00">
                  <c:v>3.41</c:v>
                </c:pt>
                <c:pt idx="280" c:formatCode="0.00">
                  <c:v>3.41</c:v>
                </c:pt>
                <c:pt idx="281" c:formatCode="0.00">
                  <c:v>3.41</c:v>
                </c:pt>
                <c:pt idx="282" c:formatCode="0.00">
                  <c:v>3.41</c:v>
                </c:pt>
                <c:pt idx="283" c:formatCode="0.00">
                  <c:v>3.41</c:v>
                </c:pt>
                <c:pt idx="284" c:formatCode="0.00">
                  <c:v>3.41</c:v>
                </c:pt>
                <c:pt idx="285" c:formatCode="0.00">
                  <c:v>3.41</c:v>
                </c:pt>
                <c:pt idx="286" c:formatCode="0.00">
                  <c:v>3.41</c:v>
                </c:pt>
                <c:pt idx="287" c:formatCode="0.00">
                  <c:v>3.41</c:v>
                </c:pt>
                <c:pt idx="288" c:formatCode="0.00">
                  <c:v>3.41</c:v>
                </c:pt>
                <c:pt idx="289" c:formatCode="0.00">
                  <c:v>3.41</c:v>
                </c:pt>
                <c:pt idx="290" c:formatCode="0.00">
                  <c:v>3.41</c:v>
                </c:pt>
                <c:pt idx="291" c:formatCode="0.00">
                  <c:v>3.41</c:v>
                </c:pt>
                <c:pt idx="292" c:formatCode="0.00">
                  <c:v>3.41</c:v>
                </c:pt>
                <c:pt idx="293" c:formatCode="0.00">
                  <c:v>3.41</c:v>
                </c:pt>
                <c:pt idx="294" c:formatCode="0.00">
                  <c:v>3.41</c:v>
                </c:pt>
                <c:pt idx="295" c:formatCode="0.00">
                  <c:v>3.41</c:v>
                </c:pt>
                <c:pt idx="296" c:formatCode="0.00">
                  <c:v>3.41</c:v>
                </c:pt>
                <c:pt idx="297" c:formatCode="0.00">
                  <c:v>3.41</c:v>
                </c:pt>
                <c:pt idx="298" c:formatCode="0.00">
                  <c:v>3.41</c:v>
                </c:pt>
                <c:pt idx="299" c:formatCode="0.00">
                  <c:v>3.41</c:v>
                </c:pt>
                <c:pt idx="300" c:formatCode="0.00">
                  <c:v>3.41</c:v>
                </c:pt>
                <c:pt idx="301" c:formatCode="0.00">
                  <c:v>3.41</c:v>
                </c:pt>
                <c:pt idx="302" c:formatCode="0.00">
                  <c:v>3.41</c:v>
                </c:pt>
                <c:pt idx="303" c:formatCode="0.00">
                  <c:v>3.41</c:v>
                </c:pt>
                <c:pt idx="304" c:formatCode="0.00">
                  <c:v>3.41</c:v>
                </c:pt>
                <c:pt idx="305" c:formatCode="0.00">
                  <c:v>3.41</c:v>
                </c:pt>
                <c:pt idx="306" c:formatCode="0.00">
                  <c:v>3.41</c:v>
                </c:pt>
                <c:pt idx="307" c:formatCode="0.00">
                  <c:v>3.41</c:v>
                </c:pt>
                <c:pt idx="308" c:formatCode="0.00">
                  <c:v>3.41</c:v>
                </c:pt>
                <c:pt idx="309" c:formatCode="0.00">
                  <c:v>3.41</c:v>
                </c:pt>
                <c:pt idx="310" c:formatCode="0.00">
                  <c:v>3.41</c:v>
                </c:pt>
                <c:pt idx="311" c:formatCode="0.00">
                  <c:v>3.41</c:v>
                </c:pt>
                <c:pt idx="312" c:formatCode="0.00">
                  <c:v>3.41</c:v>
                </c:pt>
                <c:pt idx="313" c:formatCode="0.00">
                  <c:v>3.41</c:v>
                </c:pt>
                <c:pt idx="314" c:formatCode="0.00">
                  <c:v>3.41</c:v>
                </c:pt>
                <c:pt idx="315" c:formatCode="0.00">
                  <c:v>3.41</c:v>
                </c:pt>
                <c:pt idx="316" c:formatCode="0.00">
                  <c:v>3.41</c:v>
                </c:pt>
                <c:pt idx="317" c:formatCode="0.00">
                  <c:v>3.41</c:v>
                </c:pt>
                <c:pt idx="318" c:formatCode="0.00">
                  <c:v>3.41</c:v>
                </c:pt>
                <c:pt idx="319" c:formatCode="0.00">
                  <c:v>3.41</c:v>
                </c:pt>
                <c:pt idx="320" c:formatCode="0.00">
                  <c:v>3.41</c:v>
                </c:pt>
                <c:pt idx="321" c:formatCode="0.00">
                  <c:v>3.41</c:v>
                </c:pt>
                <c:pt idx="322" c:formatCode="0.00">
                  <c:v>3.41</c:v>
                </c:pt>
                <c:pt idx="323" c:formatCode="0.00">
                  <c:v>3.41</c:v>
                </c:pt>
                <c:pt idx="324" c:formatCode="0.00">
                  <c:v>3.41</c:v>
                </c:pt>
                <c:pt idx="325" c:formatCode="0.00">
                  <c:v>3.41</c:v>
                </c:pt>
                <c:pt idx="326" c:formatCode="0.00">
                  <c:v>3.41</c:v>
                </c:pt>
                <c:pt idx="327" c:formatCode="0.00">
                  <c:v>3.41</c:v>
                </c:pt>
                <c:pt idx="328" c:formatCode="0.00">
                  <c:v>3.41</c:v>
                </c:pt>
                <c:pt idx="329" c:formatCode="0.00">
                  <c:v>3.35</c:v>
                </c:pt>
                <c:pt idx="330" c:formatCode="0.00">
                  <c:v>3.35</c:v>
                </c:pt>
                <c:pt idx="331" c:formatCode="0.00">
                  <c:v>3.35</c:v>
                </c:pt>
                <c:pt idx="332" c:formatCode="0.00">
                  <c:v>3.35</c:v>
                </c:pt>
                <c:pt idx="333" c:formatCode="0.00">
                  <c:v>3.35</c:v>
                </c:pt>
                <c:pt idx="334" c:formatCode="0.00">
                  <c:v>3.35</c:v>
                </c:pt>
                <c:pt idx="335" c:formatCode="0.00">
                  <c:v>3.35</c:v>
                </c:pt>
                <c:pt idx="336" c:formatCode="0.00">
                  <c:v>3.35</c:v>
                </c:pt>
                <c:pt idx="337" c:formatCode="0.00">
                  <c:v>3.35</c:v>
                </c:pt>
                <c:pt idx="338" c:formatCode="0.00">
                  <c:v>3.35</c:v>
                </c:pt>
                <c:pt idx="339" c:formatCode="0.00">
                  <c:v>3.35</c:v>
                </c:pt>
                <c:pt idx="340" c:formatCode="0.00">
                  <c:v>3.35</c:v>
                </c:pt>
                <c:pt idx="341" c:formatCode="0.00">
                  <c:v>3.35</c:v>
                </c:pt>
                <c:pt idx="342" c:formatCode="0.00">
                  <c:v>3.35</c:v>
                </c:pt>
                <c:pt idx="343" c:formatCode="0.00">
                  <c:v>3.35</c:v>
                </c:pt>
                <c:pt idx="344" c:formatCode="0.00">
                  <c:v>3.35</c:v>
                </c:pt>
                <c:pt idx="345" c:formatCode="0.00">
                  <c:v>3.35</c:v>
                </c:pt>
                <c:pt idx="346" c:formatCode="0.00">
                  <c:v>3.35</c:v>
                </c:pt>
                <c:pt idx="347" c:formatCode="0.00">
                  <c:v>3.35</c:v>
                </c:pt>
                <c:pt idx="348" c:formatCode="0.00">
                  <c:v>3.35</c:v>
                </c:pt>
                <c:pt idx="349" c:formatCode="0.00">
                  <c:v>3.35</c:v>
                </c:pt>
                <c:pt idx="350" c:formatCode="0.00">
                  <c:v>3.35</c:v>
                </c:pt>
                <c:pt idx="351" c:formatCode="0.00">
                  <c:v>3.35</c:v>
                </c:pt>
                <c:pt idx="352" c:formatCode="0.00">
                  <c:v>3.35</c:v>
                </c:pt>
                <c:pt idx="353" c:formatCode="0.00">
                  <c:v>3.35</c:v>
                </c:pt>
                <c:pt idx="354" c:formatCode="0.00">
                  <c:v>3.35</c:v>
                </c:pt>
                <c:pt idx="355" c:formatCode="0.00">
                  <c:v>3.35</c:v>
                </c:pt>
                <c:pt idx="356" c:formatCode="0.00">
                  <c:v>3.35</c:v>
                </c:pt>
                <c:pt idx="357" c:formatCode="0.00">
                  <c:v>3.35</c:v>
                </c:pt>
                <c:pt idx="358" c:formatCode="0.00">
                  <c:v>3.35</c:v>
                </c:pt>
                <c:pt idx="359" c:formatCode="0.00">
                  <c:v>3.35</c:v>
                </c:pt>
                <c:pt idx="360" c:formatCode="0.00">
                  <c:v>3.35</c:v>
                </c:pt>
                <c:pt idx="361" c:formatCode="0.00">
                  <c:v>3.35</c:v>
                </c:pt>
                <c:pt idx="362" c:formatCode="0.00">
                  <c:v>3.35</c:v>
                </c:pt>
                <c:pt idx="363" c:formatCode="0.00">
                  <c:v>3.35</c:v>
                </c:pt>
                <c:pt idx="364" c:formatCode="0.00">
                  <c:v>3.35</c:v>
                </c:pt>
                <c:pt idx="365" c:formatCode="0.00">
                  <c:v>3.35</c:v>
                </c:pt>
                <c:pt idx="366" c:formatCode="0.00">
                  <c:v>3.35</c:v>
                </c:pt>
                <c:pt idx="367" c:formatCode="0.00">
                  <c:v>3.35</c:v>
                </c:pt>
                <c:pt idx="368" c:formatCode="0.00">
                  <c:v>3.35</c:v>
                </c:pt>
                <c:pt idx="369" c:formatCode="0.00">
                  <c:v>3.35</c:v>
                </c:pt>
                <c:pt idx="370" c:formatCode="0.00">
                  <c:v>3.35</c:v>
                </c:pt>
                <c:pt idx="371" c:formatCode="0.00">
                  <c:v>2.88</c:v>
                </c:pt>
                <c:pt idx="372" c:formatCode="0.00">
                  <c:v>2.88</c:v>
                </c:pt>
                <c:pt idx="373" c:formatCode="0.00">
                  <c:v>2.88</c:v>
                </c:pt>
                <c:pt idx="374" c:formatCode="0.00">
                  <c:v>2.88</c:v>
                </c:pt>
                <c:pt idx="375" c:formatCode="0.00">
                  <c:v>2.88</c:v>
                </c:pt>
                <c:pt idx="376" c:formatCode="0.00">
                  <c:v>2.88</c:v>
                </c:pt>
                <c:pt idx="377" c:formatCode="0.00">
                  <c:v>2.88</c:v>
                </c:pt>
                <c:pt idx="378" c:formatCode="0.00">
                  <c:v>2.88</c:v>
                </c:pt>
                <c:pt idx="379" c:formatCode="0.00">
                  <c:v>2.88</c:v>
                </c:pt>
                <c:pt idx="380" c:formatCode="0.00">
                  <c:v>2.88</c:v>
                </c:pt>
                <c:pt idx="381" c:formatCode="0.00">
                  <c:v>2.88</c:v>
                </c:pt>
                <c:pt idx="382" c:formatCode="0.00">
                  <c:v>2.88</c:v>
                </c:pt>
                <c:pt idx="383" c:formatCode="0.00">
                  <c:v>2.88</c:v>
                </c:pt>
                <c:pt idx="384" c:formatCode="0.00">
                  <c:v>2.88</c:v>
                </c:pt>
                <c:pt idx="385" c:formatCode="0.00">
                  <c:v>2.88</c:v>
                </c:pt>
                <c:pt idx="386" c:formatCode="0.00">
                  <c:v>2.88</c:v>
                </c:pt>
                <c:pt idx="387" c:formatCode="0.00">
                  <c:v>2.88</c:v>
                </c:pt>
                <c:pt idx="388" c:formatCode="0.00">
                  <c:v>2.88</c:v>
                </c:pt>
                <c:pt idx="389" c:formatCode="0.00">
                  <c:v>2.88</c:v>
                </c:pt>
                <c:pt idx="390" c:formatCode="0.00">
                  <c:v>2.88</c:v>
                </c:pt>
                <c:pt idx="391" c:formatCode="0.00">
                  <c:v>2.88</c:v>
                </c:pt>
                <c:pt idx="392" c:formatCode="0.00">
                  <c:v>2.85</c:v>
                </c:pt>
                <c:pt idx="393" c:formatCode="0.00">
                  <c:v>2.85</c:v>
                </c:pt>
                <c:pt idx="394" c:formatCode="0.00">
                  <c:v>2.85</c:v>
                </c:pt>
                <c:pt idx="395" c:formatCode="0.00">
                  <c:v>2.85</c:v>
                </c:pt>
                <c:pt idx="396" c:formatCode="0.00">
                  <c:v>2.85</c:v>
                </c:pt>
                <c:pt idx="397" c:formatCode="0.00">
                  <c:v>2.85</c:v>
                </c:pt>
                <c:pt idx="398" c:formatCode="0.00">
                  <c:v>2.85</c:v>
                </c:pt>
                <c:pt idx="399" c:formatCode="0.00">
                  <c:v>2.85</c:v>
                </c:pt>
                <c:pt idx="400" c:formatCode="0.00">
                  <c:v>2.85</c:v>
                </c:pt>
                <c:pt idx="401" c:formatCode="0.00">
                  <c:v>2.85</c:v>
                </c:pt>
                <c:pt idx="402" c:formatCode="0.00">
                  <c:v>2.85</c:v>
                </c:pt>
                <c:pt idx="403" c:formatCode="0.00">
                  <c:v>2.85</c:v>
                </c:pt>
                <c:pt idx="404" c:formatCode="0.00">
                  <c:v>2.85</c:v>
                </c:pt>
                <c:pt idx="405" c:formatCode="0.00">
                  <c:v>2.85</c:v>
                </c:pt>
                <c:pt idx="406" c:formatCode="0.00">
                  <c:v>2.85</c:v>
                </c:pt>
                <c:pt idx="407" c:formatCode="0.00">
                  <c:v>2.85</c:v>
                </c:pt>
                <c:pt idx="408" c:formatCode="0.00">
                  <c:v>2.85</c:v>
                </c:pt>
                <c:pt idx="409" c:formatCode="0.00">
                  <c:v>2.85</c:v>
                </c:pt>
                <c:pt idx="410" c:formatCode="0.00">
                  <c:v>2.85</c:v>
                </c:pt>
                <c:pt idx="411" c:formatCode="0.00">
                  <c:v>2.85</c:v>
                </c:pt>
                <c:pt idx="412" c:formatCode="0.00">
                  <c:v>2.85</c:v>
                </c:pt>
                <c:pt idx="413" c:formatCode="0.00">
                  <c:v>2.85</c:v>
                </c:pt>
                <c:pt idx="414" c:formatCode="0.00">
                  <c:v>2.85</c:v>
                </c:pt>
                <c:pt idx="415" c:formatCode="0.00">
                  <c:v>2.85</c:v>
                </c:pt>
                <c:pt idx="416" c:formatCode="0.00">
                  <c:v>2.85</c:v>
                </c:pt>
                <c:pt idx="417" c:formatCode="0.00">
                  <c:v>2.85</c:v>
                </c:pt>
                <c:pt idx="418" c:formatCode="0.00">
                  <c:v>2.85</c:v>
                </c:pt>
                <c:pt idx="419" c:formatCode="0.00">
                  <c:v>2.85</c:v>
                </c:pt>
                <c:pt idx="420" c:formatCode="0.00">
                  <c:v>2.85</c:v>
                </c:pt>
                <c:pt idx="421" c:formatCode="0.00">
                  <c:v>2.85</c:v>
                </c:pt>
                <c:pt idx="422" c:formatCode="0.00">
                  <c:v>2.85</c:v>
                </c:pt>
                <c:pt idx="423" c:formatCode="0.00">
                  <c:v>2.85</c:v>
                </c:pt>
                <c:pt idx="424" c:formatCode="0.00">
                  <c:v>2.85</c:v>
                </c:pt>
                <c:pt idx="425" c:formatCode="0.00">
                  <c:v>2.85</c:v>
                </c:pt>
                <c:pt idx="426" c:formatCode="0.00">
                  <c:v>2.85</c:v>
                </c:pt>
                <c:pt idx="427" c:formatCode="0.00">
                  <c:v>2.85</c:v>
                </c:pt>
                <c:pt idx="428" c:formatCode="0.00">
                  <c:v>2.85</c:v>
                </c:pt>
                <c:pt idx="429" c:formatCode="0.00">
                  <c:v>2.85</c:v>
                </c:pt>
                <c:pt idx="430" c:formatCode="0.00">
                  <c:v>2.85</c:v>
                </c:pt>
                <c:pt idx="431" c:formatCode="0.00">
                  <c:v>2.85</c:v>
                </c:pt>
                <c:pt idx="432" c:formatCode="0.00">
                  <c:v>2.85</c:v>
                </c:pt>
                <c:pt idx="433" c:formatCode="0.00">
                  <c:v>2.85</c:v>
                </c:pt>
                <c:pt idx="434" c:formatCode="0.00">
                  <c:v>2.85</c:v>
                </c:pt>
                <c:pt idx="435" c:formatCode="0.00">
                  <c:v>2.85</c:v>
                </c:pt>
                <c:pt idx="436" c:formatCode="0.00">
                  <c:v>2.85</c:v>
                </c:pt>
                <c:pt idx="437" c:formatCode="0.00">
                  <c:v>2.21</c:v>
                </c:pt>
                <c:pt idx="438" c:formatCode="0.00">
                  <c:v>2.21</c:v>
                </c:pt>
                <c:pt idx="439" c:formatCode="0.00">
                  <c:v>2.21</c:v>
                </c:pt>
                <c:pt idx="440" c:formatCode="0.00">
                  <c:v>2.21</c:v>
                </c:pt>
                <c:pt idx="441" c:formatCode="0.00">
                  <c:v>2.21</c:v>
                </c:pt>
                <c:pt idx="442" c:formatCode="0.00">
                  <c:v>2.21</c:v>
                </c:pt>
                <c:pt idx="443" c:formatCode="0.00">
                  <c:v>2.21</c:v>
                </c:pt>
                <c:pt idx="444" c:formatCode="0.00">
                  <c:v>2.21</c:v>
                </c:pt>
                <c:pt idx="445" c:formatCode="0.00">
                  <c:v>2.21</c:v>
                </c:pt>
                <c:pt idx="446" c:formatCode="0.00">
                  <c:v>2.21</c:v>
                </c:pt>
                <c:pt idx="447" c:formatCode="0.00">
                  <c:v>2.21</c:v>
                </c:pt>
                <c:pt idx="448" c:formatCode="0.00">
                  <c:v>2.21</c:v>
                </c:pt>
                <c:pt idx="449" c:formatCode="0.00">
                  <c:v>2.21</c:v>
                </c:pt>
                <c:pt idx="450" c:formatCode="0.00">
                  <c:v>2.21</c:v>
                </c:pt>
                <c:pt idx="451" c:formatCode="0.00">
                  <c:v>2.21</c:v>
                </c:pt>
                <c:pt idx="452" c:formatCode="0.00">
                  <c:v>2.21</c:v>
                </c:pt>
                <c:pt idx="453" c:formatCode="0.00">
                  <c:v>2.21</c:v>
                </c:pt>
                <c:pt idx="454" c:formatCode="0.00">
                  <c:v>2.21</c:v>
                </c:pt>
                <c:pt idx="455" c:formatCode="0.00">
                  <c:v>2.21</c:v>
                </c:pt>
                <c:pt idx="456" c:formatCode="0.00">
                  <c:v>2.21</c:v>
                </c:pt>
                <c:pt idx="457" c:formatCode="0.00">
                  <c:v>2.21</c:v>
                </c:pt>
                <c:pt idx="458" c:formatCode="0.00">
                  <c:v>2.21</c:v>
                </c:pt>
                <c:pt idx="459" c:formatCode="0.00">
                  <c:v>2.21</c:v>
                </c:pt>
                <c:pt idx="460" c:formatCode="0.00">
                  <c:v>2.21</c:v>
                </c:pt>
                <c:pt idx="461" c:formatCode="0.00">
                  <c:v>2.21</c:v>
                </c:pt>
                <c:pt idx="462" c:formatCode="0.00">
                  <c:v>2.21</c:v>
                </c:pt>
                <c:pt idx="463" c:formatCode="0.00">
                  <c:v>2.21</c:v>
                </c:pt>
                <c:pt idx="464" c:formatCode="0.00">
                  <c:v>2.21</c:v>
                </c:pt>
                <c:pt idx="465" c:formatCode="0.00">
                  <c:v>2.21</c:v>
                </c:pt>
                <c:pt idx="466" c:formatCode="0.00">
                  <c:v>2.21</c:v>
                </c:pt>
                <c:pt idx="467" c:formatCode="0.00">
                  <c:v>2.21</c:v>
                </c:pt>
                <c:pt idx="468" c:formatCode="0.00">
                  <c:v>2.21</c:v>
                </c:pt>
                <c:pt idx="469" c:formatCode="0.00">
                  <c:v>2.21</c:v>
                </c:pt>
                <c:pt idx="470" c:formatCode="0.00">
                  <c:v>2.21</c:v>
                </c:pt>
                <c:pt idx="471" c:formatCode="0.00">
                  <c:v>2.21</c:v>
                </c:pt>
                <c:pt idx="472" c:formatCode="0.00">
                  <c:v>2.21</c:v>
                </c:pt>
                <c:pt idx="473" c:formatCode="0.00">
                  <c:v>2.21</c:v>
                </c:pt>
                <c:pt idx="474" c:formatCode="0.00">
                  <c:v>2.21</c:v>
                </c:pt>
                <c:pt idx="475" c:formatCode="0.00">
                  <c:v>2.21</c:v>
                </c:pt>
                <c:pt idx="476" c:formatCode="0.00">
                  <c:v>2.21</c:v>
                </c:pt>
                <c:pt idx="477" c:formatCode="0.00">
                  <c:v>2.21</c:v>
                </c:pt>
                <c:pt idx="478" c:formatCode="0.00">
                  <c:v>2.21</c:v>
                </c:pt>
                <c:pt idx="479" c:formatCode="0.00">
                  <c:v>2.21</c:v>
                </c:pt>
                <c:pt idx="480" c:formatCode="0.00">
                  <c:v>2.21</c:v>
                </c:pt>
                <c:pt idx="481" c:formatCode="0.00">
                  <c:v>2.21</c:v>
                </c:pt>
                <c:pt idx="482" c:formatCode="0.00">
                  <c:v>2.21</c:v>
                </c:pt>
                <c:pt idx="483" c:formatCode="0.00">
                  <c:v>2.21</c:v>
                </c:pt>
                <c:pt idx="484" c:formatCode="0.00">
                  <c:v>2.21</c:v>
                </c:pt>
                <c:pt idx="485" c:formatCode="0.00">
                  <c:v>2.21</c:v>
                </c:pt>
                <c:pt idx="486" c:formatCode="0.00">
                  <c:v>2.21</c:v>
                </c:pt>
                <c:pt idx="487" c:formatCode="0.00">
                  <c:v>2.21</c:v>
                </c:pt>
                <c:pt idx="488" c:formatCode="0.00">
                  <c:v>2.21</c:v>
                </c:pt>
                <c:pt idx="489" c:formatCode="0.00">
                  <c:v>2.21</c:v>
                </c:pt>
                <c:pt idx="490" c:formatCode="0.00">
                  <c:v>2.21</c:v>
                </c:pt>
                <c:pt idx="491" c:formatCode="0.00">
                  <c:v>2.21</c:v>
                </c:pt>
                <c:pt idx="492" c:formatCode="0.00">
                  <c:v>2.21</c:v>
                </c:pt>
                <c:pt idx="493" c:formatCode="0.00">
                  <c:v>2.21</c:v>
                </c:pt>
                <c:pt idx="494" c:formatCode="0.00">
                  <c:v>2.21</c:v>
                </c:pt>
                <c:pt idx="495" c:formatCode="0.00">
                  <c:v>2.21</c:v>
                </c:pt>
                <c:pt idx="496" c:formatCode="0.00">
                  <c:v>2.21</c:v>
                </c:pt>
                <c:pt idx="497" c:formatCode="0.00">
                  <c:v>2.21</c:v>
                </c:pt>
                <c:pt idx="498" c:formatCode="0.00">
                  <c:v>2.21</c:v>
                </c:pt>
                <c:pt idx="499" c:formatCode="0.00">
                  <c:v>2.21</c:v>
                </c:pt>
                <c:pt idx="500" c:formatCode="0.00">
                  <c:v>2.21</c:v>
                </c:pt>
                <c:pt idx="501" c:formatCode="0.00">
                  <c:v>2.21</c:v>
                </c:pt>
                <c:pt idx="502" c:formatCode="0.00">
                  <c:v>1.81</c:v>
                </c:pt>
                <c:pt idx="503" c:formatCode="0.00">
                  <c:v>1.81</c:v>
                </c:pt>
                <c:pt idx="504" c:formatCode="0.00">
                  <c:v>1.81</c:v>
                </c:pt>
                <c:pt idx="505" c:formatCode="0.00">
                  <c:v>1.81</c:v>
                </c:pt>
                <c:pt idx="506" c:formatCode="0.00">
                  <c:v>1.81</c:v>
                </c:pt>
                <c:pt idx="507" c:formatCode="0.00">
                  <c:v>1.81</c:v>
                </c:pt>
                <c:pt idx="508" c:formatCode="0.00">
                  <c:v>1.81</c:v>
                </c:pt>
                <c:pt idx="509" c:formatCode="0.00">
                  <c:v>1.81</c:v>
                </c:pt>
                <c:pt idx="510" c:formatCode="0.00">
                  <c:v>1.81</c:v>
                </c:pt>
                <c:pt idx="511" c:formatCode="0.00">
                  <c:v>1.81</c:v>
                </c:pt>
                <c:pt idx="512" c:formatCode="0.00">
                  <c:v>1.81</c:v>
                </c:pt>
                <c:pt idx="513" c:formatCode="0.00">
                  <c:v>1.81</c:v>
                </c:pt>
                <c:pt idx="514" c:formatCode="0.00">
                  <c:v>1.81</c:v>
                </c:pt>
                <c:pt idx="515" c:formatCode="0.00">
                  <c:v>1.81</c:v>
                </c:pt>
                <c:pt idx="516" c:formatCode="0.00">
                  <c:v>1.81</c:v>
                </c:pt>
                <c:pt idx="517" c:formatCode="0.00">
                  <c:v>1.81</c:v>
                </c:pt>
                <c:pt idx="518" c:formatCode="0.00">
                  <c:v>1.81</c:v>
                </c:pt>
                <c:pt idx="519" c:formatCode="0.00">
                  <c:v>1.81</c:v>
                </c:pt>
                <c:pt idx="520" c:formatCode="0.00">
                  <c:v>1.81</c:v>
                </c:pt>
                <c:pt idx="521" c:formatCode="0.00">
                  <c:v>1.81</c:v>
                </c:pt>
                <c:pt idx="522" c:formatCode="0.00">
                  <c:v>1.81</c:v>
                </c:pt>
                <c:pt idx="523" c:formatCode="0.00">
                  <c:v>1.81</c:v>
                </c:pt>
                <c:pt idx="524" c:formatCode="0.00">
                  <c:v>1.81</c:v>
                </c:pt>
                <c:pt idx="525" c:formatCode="0.00">
                  <c:v>1.81</c:v>
                </c:pt>
                <c:pt idx="526" c:formatCode="0.00">
                  <c:v>1.81</c:v>
                </c:pt>
                <c:pt idx="527" c:formatCode="0.00">
                  <c:v>1.81</c:v>
                </c:pt>
                <c:pt idx="528" c:formatCode="0.00">
                  <c:v>1.81</c:v>
                </c:pt>
                <c:pt idx="529" c:formatCode="0.00">
                  <c:v>1.81</c:v>
                </c:pt>
                <c:pt idx="530" c:formatCode="0.00">
                  <c:v>1.81</c:v>
                </c:pt>
                <c:pt idx="531" c:formatCode="0.00">
                  <c:v>1.81</c:v>
                </c:pt>
                <c:pt idx="532" c:formatCode="0.00">
                  <c:v>1.81</c:v>
                </c:pt>
                <c:pt idx="533" c:formatCode="0.00">
                  <c:v>1.81</c:v>
                </c:pt>
                <c:pt idx="534" c:formatCode="0.00">
                  <c:v>1.81</c:v>
                </c:pt>
                <c:pt idx="535" c:formatCode="0.00">
                  <c:v>1.81</c:v>
                </c:pt>
                <c:pt idx="536" c:formatCode="0.00">
                  <c:v>1.81</c:v>
                </c:pt>
                <c:pt idx="537" c:formatCode="0.00">
                  <c:v>1.81</c:v>
                </c:pt>
                <c:pt idx="538" c:formatCode="0.00">
                  <c:v>1.81</c:v>
                </c:pt>
                <c:pt idx="539" c:formatCode="0.00">
                  <c:v>1.81</c:v>
                </c:pt>
                <c:pt idx="540" c:formatCode="0.00">
                  <c:v>1.81</c:v>
                </c:pt>
                <c:pt idx="541" c:formatCode="0.00">
                  <c:v>1.81</c:v>
                </c:pt>
                <c:pt idx="542" c:formatCode="0.00">
                  <c:v>1.81</c:v>
                </c:pt>
                <c:pt idx="543" c:formatCode="0.00">
                  <c:v>1.81</c:v>
                </c:pt>
                <c:pt idx="544" c:formatCode="0.00">
                  <c:v>1.81</c:v>
                </c:pt>
                <c:pt idx="545" c:formatCode="0.00">
                  <c:v>1.81</c:v>
                </c:pt>
                <c:pt idx="546" c:formatCode="0.00">
                  <c:v>1.81</c:v>
                </c:pt>
                <c:pt idx="547" c:formatCode="0.00">
                  <c:v>1.81</c:v>
                </c:pt>
                <c:pt idx="548" c:formatCode="0.00">
                  <c:v>1.81</c:v>
                </c:pt>
                <c:pt idx="549" c:formatCode="0.00">
                  <c:v>1.81</c:v>
                </c:pt>
                <c:pt idx="550" c:formatCode="0.00">
                  <c:v>1.81</c:v>
                </c:pt>
                <c:pt idx="551" c:formatCode="0.00">
                  <c:v>1.81</c:v>
                </c:pt>
                <c:pt idx="552" c:formatCode="0.00">
                  <c:v>1.81</c:v>
                </c:pt>
                <c:pt idx="553" c:formatCode="0.00">
                  <c:v>1.81</c:v>
                </c:pt>
                <c:pt idx="554" c:formatCode="0.00">
                  <c:v>1.81</c:v>
                </c:pt>
                <c:pt idx="555" c:formatCode="0.00">
                  <c:v>1.81</c:v>
                </c:pt>
                <c:pt idx="556" c:formatCode="0.00">
                  <c:v>1.81</c:v>
                </c:pt>
                <c:pt idx="557" c:formatCode="0.00">
                  <c:v>1.81</c:v>
                </c:pt>
                <c:pt idx="558" c:formatCode="0.00">
                  <c:v>1.81</c:v>
                </c:pt>
                <c:pt idx="559" c:formatCode="0.00">
                  <c:v>1.81</c:v>
                </c:pt>
                <c:pt idx="560" c:formatCode="0.00">
                  <c:v>1.81</c:v>
                </c:pt>
                <c:pt idx="561" c:formatCode="0.00">
                  <c:v>1.81</c:v>
                </c:pt>
                <c:pt idx="562" c:formatCode="0.00">
                  <c:v>1.45</c:v>
                </c:pt>
                <c:pt idx="563" c:formatCode="0.00">
                  <c:v>1.45</c:v>
                </c:pt>
                <c:pt idx="564" c:formatCode="0.00">
                  <c:v>1.45</c:v>
                </c:pt>
                <c:pt idx="565" c:formatCode="0.00">
                  <c:v>1.45</c:v>
                </c:pt>
                <c:pt idx="566" c:formatCode="0.00">
                  <c:v>1.45</c:v>
                </c:pt>
                <c:pt idx="567" c:formatCode="0.00">
                  <c:v>1.45</c:v>
                </c:pt>
                <c:pt idx="568" c:formatCode="0.00">
                  <c:v>1.45</c:v>
                </c:pt>
                <c:pt idx="569" c:formatCode="0.00">
                  <c:v>1.45</c:v>
                </c:pt>
                <c:pt idx="570" c:formatCode="0.00">
                  <c:v>1.45</c:v>
                </c:pt>
                <c:pt idx="571" c:formatCode="0.00">
                  <c:v>1.45</c:v>
                </c:pt>
                <c:pt idx="572" c:formatCode="0.00">
                  <c:v>1.45</c:v>
                </c:pt>
                <c:pt idx="573" c:formatCode="0.00">
                  <c:v>1.45</c:v>
                </c:pt>
                <c:pt idx="574" c:formatCode="0.00">
                  <c:v>1.45</c:v>
                </c:pt>
                <c:pt idx="575" c:formatCode="0.00">
                  <c:v>1.45</c:v>
                </c:pt>
                <c:pt idx="576" c:formatCode="0.00">
                  <c:v>1.45</c:v>
                </c:pt>
                <c:pt idx="577" c:formatCode="0.00">
                  <c:v>1.45</c:v>
                </c:pt>
                <c:pt idx="578" c:formatCode="0.00">
                  <c:v>1.45</c:v>
                </c:pt>
                <c:pt idx="579" c:formatCode="0.00">
                  <c:v>1.45</c:v>
                </c:pt>
                <c:pt idx="580" c:formatCode="0.00">
                  <c:v>1.45</c:v>
                </c:pt>
                <c:pt idx="581" c:formatCode="0.00">
                  <c:v>1.4</c:v>
                </c:pt>
                <c:pt idx="582" c:formatCode="0.00">
                  <c:v>1.4</c:v>
                </c:pt>
                <c:pt idx="583" c:formatCode="0.00">
                  <c:v>1.4</c:v>
                </c:pt>
                <c:pt idx="584" c:formatCode="0.00">
                  <c:v>1.4</c:v>
                </c:pt>
                <c:pt idx="585" c:formatCode="0.00">
                  <c:v>1.4</c:v>
                </c:pt>
                <c:pt idx="586" c:formatCode="0.00">
                  <c:v>1.4</c:v>
                </c:pt>
                <c:pt idx="587" c:formatCode="0.00">
                  <c:v>1.4</c:v>
                </c:pt>
                <c:pt idx="588" c:formatCode="0.00">
                  <c:v>1.4</c:v>
                </c:pt>
                <c:pt idx="589" c:formatCode="0.00">
                  <c:v>1.4</c:v>
                </c:pt>
                <c:pt idx="590" c:formatCode="0.00">
                  <c:v>1.4</c:v>
                </c:pt>
                <c:pt idx="591" c:formatCode="0.00">
                  <c:v>1.4</c:v>
                </c:pt>
                <c:pt idx="592" c:formatCode="0.00">
                  <c:v>1.4</c:v>
                </c:pt>
                <c:pt idx="593" c:formatCode="0.00">
                  <c:v>1.4</c:v>
                </c:pt>
                <c:pt idx="594" c:formatCode="0.00">
                  <c:v>1.4</c:v>
                </c:pt>
                <c:pt idx="595" c:formatCode="0.00">
                  <c:v>1.4</c:v>
                </c:pt>
                <c:pt idx="596" c:formatCode="0.00">
                  <c:v>1.4</c:v>
                </c:pt>
                <c:pt idx="597" c:formatCode="0.00">
                  <c:v>1.4</c:v>
                </c:pt>
                <c:pt idx="598" c:formatCode="0.00">
                  <c:v>1.4</c:v>
                </c:pt>
                <c:pt idx="599" c:formatCode="0.00">
                  <c:v>1.4</c:v>
                </c:pt>
                <c:pt idx="600" c:formatCode="0.00">
                  <c:v>1.4</c:v>
                </c:pt>
                <c:pt idx="601" c:formatCode="0.00">
                  <c:v>1.4</c:v>
                </c:pt>
                <c:pt idx="602" c:formatCode="0.00">
                  <c:v>1.4</c:v>
                </c:pt>
                <c:pt idx="603" c:formatCode="0.00">
                  <c:v>1.36</c:v>
                </c:pt>
                <c:pt idx="604" c:formatCode="0.00">
                  <c:v>1.36</c:v>
                </c:pt>
                <c:pt idx="605" c:formatCode="0.00">
                  <c:v>1.36</c:v>
                </c:pt>
                <c:pt idx="606" c:formatCode="0.00">
                  <c:v>1.36</c:v>
                </c:pt>
                <c:pt idx="607" c:formatCode="0.00">
                  <c:v>1.36</c:v>
                </c:pt>
                <c:pt idx="608" c:formatCode="0.00">
                  <c:v>1.36</c:v>
                </c:pt>
                <c:pt idx="609" c:formatCode="0.00">
                  <c:v>1.36</c:v>
                </c:pt>
                <c:pt idx="610" c:formatCode="0.00">
                  <c:v>1.36</c:v>
                </c:pt>
                <c:pt idx="611" c:formatCode="0.00">
                  <c:v>1.36</c:v>
                </c:pt>
                <c:pt idx="612" c:formatCode="0.00">
                  <c:v>1.36</c:v>
                </c:pt>
                <c:pt idx="613" c:formatCode="0.00">
                  <c:v>1.36</c:v>
                </c:pt>
                <c:pt idx="614" c:formatCode="0.00">
                  <c:v>1.36</c:v>
                </c:pt>
                <c:pt idx="615" c:formatCode="0.00">
                  <c:v>1.36</c:v>
                </c:pt>
                <c:pt idx="616" c:formatCode="0.00">
                  <c:v>1.36</c:v>
                </c:pt>
                <c:pt idx="617" c:formatCode="0.00">
                  <c:v>1.36</c:v>
                </c:pt>
                <c:pt idx="618" c:formatCode="0.00">
                  <c:v>1.36</c:v>
                </c:pt>
                <c:pt idx="619" c:formatCode="0.00">
                  <c:v>1.36</c:v>
                </c:pt>
                <c:pt idx="620" c:formatCode="0.00">
                  <c:v>1.36</c:v>
                </c:pt>
                <c:pt idx="621" c:formatCode="0.00">
                  <c:v>1.36</c:v>
                </c:pt>
                <c:pt idx="622" c:formatCode="0.00">
                  <c:v>1.36</c:v>
                </c:pt>
                <c:pt idx="623" c:formatCode="0.00">
                  <c:v>1.34</c:v>
                </c:pt>
                <c:pt idx="624" c:formatCode="0.00">
                  <c:v>1.34</c:v>
                </c:pt>
                <c:pt idx="625" c:formatCode="0.00">
                  <c:v>1.34</c:v>
                </c:pt>
                <c:pt idx="626" c:formatCode="0.00">
                  <c:v>1.34</c:v>
                </c:pt>
                <c:pt idx="627" c:formatCode="0.00">
                  <c:v>1.34</c:v>
                </c:pt>
                <c:pt idx="628" c:formatCode="0.00">
                  <c:v>1.34</c:v>
                </c:pt>
                <c:pt idx="629" c:formatCode="0.00">
                  <c:v>1.34</c:v>
                </c:pt>
                <c:pt idx="630" c:formatCode="0.00">
                  <c:v>1.34</c:v>
                </c:pt>
                <c:pt idx="631" c:formatCode="0.00">
                  <c:v>1.34</c:v>
                </c:pt>
                <c:pt idx="632" c:formatCode="0.00">
                  <c:v>1.34</c:v>
                </c:pt>
                <c:pt idx="633" c:formatCode="0.00">
                  <c:v>1.34</c:v>
                </c:pt>
                <c:pt idx="634" c:formatCode="0.00">
                  <c:v>1.34</c:v>
                </c:pt>
                <c:pt idx="635" c:formatCode="0.00">
                  <c:v>1.34</c:v>
                </c:pt>
                <c:pt idx="636" c:formatCode="0.00">
                  <c:v>1.34</c:v>
                </c:pt>
                <c:pt idx="637" c:formatCode="0.00">
                  <c:v>1.34</c:v>
                </c:pt>
                <c:pt idx="638" c:formatCode="0.00">
                  <c:v>1.34</c:v>
                </c:pt>
                <c:pt idx="639" c:formatCode="0.00">
                  <c:v>1.34</c:v>
                </c:pt>
                <c:pt idx="640" c:formatCode="0.00">
                  <c:v>1.34</c:v>
                </c:pt>
                <c:pt idx="641" c:formatCode="0.00">
                  <c:v>1.34</c:v>
                </c:pt>
                <c:pt idx="642" c:formatCode="0.00">
                  <c:v>1.34</c:v>
                </c:pt>
                <c:pt idx="643" c:formatCode="0.00">
                  <c:v>1.34</c:v>
                </c:pt>
                <c:pt idx="644" c:formatCode="0.00">
                  <c:v>1.3</c:v>
                </c:pt>
                <c:pt idx="645" c:formatCode="0.00">
                  <c:v>1.3</c:v>
                </c:pt>
                <c:pt idx="646" c:formatCode="0.00">
                  <c:v>1.3</c:v>
                </c:pt>
                <c:pt idx="647" c:formatCode="0.00">
                  <c:v>1.3</c:v>
                </c:pt>
                <c:pt idx="648" c:formatCode="0.00">
                  <c:v>1.3</c:v>
                </c:pt>
                <c:pt idx="649" c:formatCode="0.00">
                  <c:v>1.3</c:v>
                </c:pt>
                <c:pt idx="650" c:formatCode="0.00">
                  <c:v>1.3</c:v>
                </c:pt>
                <c:pt idx="651" c:formatCode="0.00">
                  <c:v>1.3</c:v>
                </c:pt>
                <c:pt idx="652" c:formatCode="0.00">
                  <c:v>1.3</c:v>
                </c:pt>
                <c:pt idx="653" c:formatCode="0.00">
                  <c:v>1.3</c:v>
                </c:pt>
                <c:pt idx="654" c:formatCode="0.00">
                  <c:v>1.3</c:v>
                </c:pt>
                <c:pt idx="655" c:formatCode="0.00">
                  <c:v>1.3</c:v>
                </c:pt>
                <c:pt idx="656" c:formatCode="0.00">
                  <c:v>1.3</c:v>
                </c:pt>
                <c:pt idx="657" c:formatCode="0.00">
                  <c:v>1.3</c:v>
                </c:pt>
                <c:pt idx="658" c:formatCode="0.00">
                  <c:v>1.3</c:v>
                </c:pt>
                <c:pt idx="659" c:formatCode="0.00">
                  <c:v>1.3</c:v>
                </c:pt>
                <c:pt idx="660" c:formatCode="0.00">
                  <c:v>1.3</c:v>
                </c:pt>
                <c:pt idx="661" c:formatCode="0.00">
                  <c:v>1.3</c:v>
                </c:pt>
                <c:pt idx="662" c:formatCode="0.00">
                  <c:v>1.3</c:v>
                </c:pt>
                <c:pt idx="663" c:formatCode="0.00">
                  <c:v>1.3</c:v>
                </c:pt>
                <c:pt idx="664" c:formatCode="0.00">
                  <c:v>1.3</c:v>
                </c:pt>
                <c:pt idx="665" c:formatCode="0.00">
                  <c:v>1.3</c:v>
                </c:pt>
                <c:pt idx="666" c:formatCode="0.00">
                  <c:v>1.3</c:v>
                </c:pt>
                <c:pt idx="667" c:formatCode="0.00">
                  <c:v>1.3</c:v>
                </c:pt>
                <c:pt idx="668" c:formatCode="0.00">
                  <c:v>1.3</c:v>
                </c:pt>
                <c:pt idx="669" c:formatCode="0.00">
                  <c:v>1.3</c:v>
                </c:pt>
                <c:pt idx="670" c:formatCode="0.00">
                  <c:v>1.3</c:v>
                </c:pt>
                <c:pt idx="671" c:formatCode="0.00">
                  <c:v>1.3</c:v>
                </c:pt>
                <c:pt idx="672" c:formatCode="0.00">
                  <c:v>1.3</c:v>
                </c:pt>
                <c:pt idx="673" c:formatCode="0.00">
                  <c:v>1.3</c:v>
                </c:pt>
                <c:pt idx="674" c:formatCode="0.00">
                  <c:v>1.3</c:v>
                </c:pt>
                <c:pt idx="675" c:formatCode="0.00">
                  <c:v>1.3</c:v>
                </c:pt>
                <c:pt idx="676" c:formatCode="0.00">
                  <c:v>1.3</c:v>
                </c:pt>
                <c:pt idx="677" c:formatCode="0.00">
                  <c:v>1.3</c:v>
                </c:pt>
                <c:pt idx="678" c:formatCode="0.00">
                  <c:v>1.3</c:v>
                </c:pt>
                <c:pt idx="679" c:formatCode="0.00">
                  <c:v>1.3</c:v>
                </c:pt>
                <c:pt idx="680" c:formatCode="0.00">
                  <c:v>1.3</c:v>
                </c:pt>
                <c:pt idx="681" c:formatCode="0.00">
                  <c:v>1.3</c:v>
                </c:pt>
                <c:pt idx="682" c:formatCode="0.00">
                  <c:v>1.3</c:v>
                </c:pt>
                <c:pt idx="683" c:formatCode="0.00">
                  <c:v>1.3</c:v>
                </c:pt>
                <c:pt idx="684" c:formatCode="0.00">
                  <c:v>1.3</c:v>
                </c:pt>
                <c:pt idx="685" c:formatCode="0.00">
                  <c:v>1.3</c:v>
                </c:pt>
                <c:pt idx="686" c:formatCode="0.00">
                  <c:v>1.3</c:v>
                </c:pt>
                <c:pt idx="687" c:formatCode="0.00">
                  <c:v>1.5</c:v>
                </c:pt>
                <c:pt idx="688" c:formatCode="0.00">
                  <c:v>1.5</c:v>
                </c:pt>
                <c:pt idx="689" c:formatCode="0.00">
                  <c:v>1.5</c:v>
                </c:pt>
                <c:pt idx="690" c:formatCode="0.00">
                  <c:v>1.5</c:v>
                </c:pt>
                <c:pt idx="691" c:formatCode="0.00">
                  <c:v>1.5</c:v>
                </c:pt>
                <c:pt idx="692" c:formatCode="0.00">
                  <c:v>1.5</c:v>
                </c:pt>
                <c:pt idx="693" c:formatCode="0.00">
                  <c:v>1.5</c:v>
                </c:pt>
                <c:pt idx="694" c:formatCode="0.00">
                  <c:v>1.5</c:v>
                </c:pt>
                <c:pt idx="695" c:formatCode="0.00">
                  <c:v>1.5</c:v>
                </c:pt>
                <c:pt idx="696" c:formatCode="0.00">
                  <c:v>1.5</c:v>
                </c:pt>
                <c:pt idx="697" c:formatCode="0.00">
                  <c:v>1.5</c:v>
                </c:pt>
                <c:pt idx="698" c:formatCode="0.00">
                  <c:v>1.5</c:v>
                </c:pt>
                <c:pt idx="699" c:formatCode="0.00">
                  <c:v>1.5</c:v>
                </c:pt>
                <c:pt idx="700" c:formatCode="0.00">
                  <c:v>1.5</c:v>
                </c:pt>
                <c:pt idx="701" c:formatCode="0.00">
                  <c:v>1.5</c:v>
                </c:pt>
                <c:pt idx="702" c:formatCode="0.00">
                  <c:v>1.5</c:v>
                </c:pt>
                <c:pt idx="703" c:formatCode="0.00">
                  <c:v>1.5</c:v>
                </c:pt>
                <c:pt idx="704" c:formatCode="0.00">
                  <c:v>1.5</c:v>
                </c:pt>
                <c:pt idx="705" c:formatCode="0.00">
                  <c:v>1.5</c:v>
                </c:pt>
                <c:pt idx="706" c:formatCode="0.00">
                  <c:v>1.5</c:v>
                </c:pt>
                <c:pt idx="707" c:formatCode="0.00">
                  <c:v>1.5</c:v>
                </c:pt>
                <c:pt idx="708" c:formatCode="0.00">
                  <c:v>1.5</c:v>
                </c:pt>
                <c:pt idx="709" c:formatCode="0.00">
                  <c:v>1.55</c:v>
                </c:pt>
                <c:pt idx="710" c:formatCode="0.00">
                  <c:v>1.55</c:v>
                </c:pt>
                <c:pt idx="711" c:formatCode="0.00">
                  <c:v>1.55</c:v>
                </c:pt>
                <c:pt idx="712" c:formatCode="0.00">
                  <c:v>1.55</c:v>
                </c:pt>
                <c:pt idx="713" c:formatCode="0.00">
                  <c:v>1.55</c:v>
                </c:pt>
                <c:pt idx="714" c:formatCode="0.00">
                  <c:v>1.55</c:v>
                </c:pt>
                <c:pt idx="715" c:formatCode="0.00">
                  <c:v>1.55</c:v>
                </c:pt>
                <c:pt idx="716" c:formatCode="0.00">
                  <c:v>1.55</c:v>
                </c:pt>
                <c:pt idx="717" c:formatCode="0.00">
                  <c:v>1.55</c:v>
                </c:pt>
                <c:pt idx="718" c:formatCode="0.00">
                  <c:v>1.55</c:v>
                </c:pt>
                <c:pt idx="719" c:formatCode="0.00">
                  <c:v>1.55</c:v>
                </c:pt>
                <c:pt idx="720" c:formatCode="0.00">
                  <c:v>1.55</c:v>
                </c:pt>
                <c:pt idx="721" c:formatCode="0.00">
                  <c:v>1.55</c:v>
                </c:pt>
                <c:pt idx="722" c:formatCode="0.00">
                  <c:v>1.55</c:v>
                </c:pt>
                <c:pt idx="723" c:formatCode="0.00">
                  <c:v>1.55</c:v>
                </c:pt>
                <c:pt idx="724" c:formatCode="0.00">
                  <c:v>1.55</c:v>
                </c:pt>
                <c:pt idx="725" c:formatCode="0.00">
                  <c:v>1.55</c:v>
                </c:pt>
                <c:pt idx="726" c:formatCode="0.00">
                  <c:v>1.55</c:v>
                </c:pt>
                <c:pt idx="727" c:formatCode="0.00">
                  <c:v>1.55</c:v>
                </c:pt>
                <c:pt idx="728" c:formatCode="0.00">
                  <c:v>1.55</c:v>
                </c:pt>
                <c:pt idx="729" c:formatCode="0.00">
                  <c:v>1.55</c:v>
                </c:pt>
                <c:pt idx="730" c:formatCode="0.00">
                  <c:v>1.55</c:v>
                </c:pt>
                <c:pt idx="731" c:formatCode="0.00">
                  <c:v>1.65</c:v>
                </c:pt>
                <c:pt idx="732" c:formatCode="0.00">
                  <c:v>1.65</c:v>
                </c:pt>
                <c:pt idx="733" c:formatCode="0.00">
                  <c:v>1.65</c:v>
                </c:pt>
                <c:pt idx="734" c:formatCode="0.00">
                  <c:v>1.65</c:v>
                </c:pt>
                <c:pt idx="735" c:formatCode="0.00">
                  <c:v>1.65</c:v>
                </c:pt>
                <c:pt idx="736" c:formatCode="0.00">
                  <c:v>1.65</c:v>
                </c:pt>
                <c:pt idx="737" c:formatCode="0.00">
                  <c:v>1.65</c:v>
                </c:pt>
                <c:pt idx="738" c:formatCode="0.00">
                  <c:v>1.65</c:v>
                </c:pt>
                <c:pt idx="739" c:formatCode="0.00">
                  <c:v>1.65</c:v>
                </c:pt>
                <c:pt idx="740" c:formatCode="0.00">
                  <c:v>1.65</c:v>
                </c:pt>
                <c:pt idx="741" c:formatCode="0.00">
                  <c:v>1.65</c:v>
                </c:pt>
                <c:pt idx="742" c:formatCode="0.00">
                  <c:v>1.65</c:v>
                </c:pt>
                <c:pt idx="743" c:formatCode="0.00">
                  <c:v>1.65</c:v>
                </c:pt>
                <c:pt idx="744" c:formatCode="0.00">
                  <c:v>1.65</c:v>
                </c:pt>
                <c:pt idx="745" c:formatCode="0.00">
                  <c:v>1.65</c:v>
                </c:pt>
                <c:pt idx="746" c:formatCode="0.00">
                  <c:v>1.65</c:v>
                </c:pt>
                <c:pt idx="747" c:formatCode="0.00">
                  <c:v>1.65</c:v>
                </c:pt>
                <c:pt idx="748" c:formatCode="0.00">
                  <c:v>1.65</c:v>
                </c:pt>
                <c:pt idx="749" c:formatCode="0.00">
                  <c:v>1.65</c:v>
                </c:pt>
                <c:pt idx="750" c:formatCode="0.00">
                  <c:v>1.65</c:v>
                </c:pt>
                <c:pt idx="751" c:formatCode="0.00">
                  <c:v>1.65</c:v>
                </c:pt>
                <c:pt idx="752" c:formatCode="0.00">
                  <c:v>1.8</c:v>
                </c:pt>
                <c:pt idx="753" c:formatCode="0.00">
                  <c:v>1.8</c:v>
                </c:pt>
                <c:pt idx="754" c:formatCode="0.00">
                  <c:v>1.8</c:v>
                </c:pt>
                <c:pt idx="755" c:formatCode="0.00">
                  <c:v>1.8</c:v>
                </c:pt>
                <c:pt idx="756" c:formatCode="0.00">
                  <c:v>1.8</c:v>
                </c:pt>
                <c:pt idx="757" c:formatCode="0.00">
                  <c:v>1.8</c:v>
                </c:pt>
                <c:pt idx="758" c:formatCode="0.00">
                  <c:v>1.8</c:v>
                </c:pt>
                <c:pt idx="759" c:formatCode="0.00">
                  <c:v>1.8</c:v>
                </c:pt>
                <c:pt idx="760" c:formatCode="0.00">
                  <c:v>1.8</c:v>
                </c:pt>
                <c:pt idx="761" c:formatCode="0.00">
                  <c:v>1.8</c:v>
                </c:pt>
                <c:pt idx="762" c:formatCode="0.00">
                  <c:v>1.8</c:v>
                </c:pt>
                <c:pt idx="763" c:formatCode="0.00">
                  <c:v>1.8</c:v>
                </c:pt>
                <c:pt idx="764" c:formatCode="0.00">
                  <c:v>1.8</c:v>
                </c:pt>
                <c:pt idx="765" c:formatCode="0.00">
                  <c:v>1.8</c:v>
                </c:pt>
                <c:pt idx="766" c:formatCode="0.00">
                  <c:v>1.8</c:v>
                </c:pt>
                <c:pt idx="767" c:formatCode="0.00">
                  <c:v>1.8</c:v>
                </c:pt>
                <c:pt idx="768" c:formatCode="0.00">
                  <c:v>1.8</c:v>
                </c:pt>
                <c:pt idx="769" c:formatCode="0.00">
                  <c:v>1.8</c:v>
                </c:pt>
                <c:pt idx="770" c:formatCode="0.00">
                  <c:v>1.8</c:v>
                </c:pt>
                <c:pt idx="771" c:formatCode="0.00">
                  <c:v>1.8</c:v>
                </c:pt>
                <c:pt idx="772" c:formatCode="0.00">
                  <c:v>1.8</c:v>
                </c:pt>
                <c:pt idx="773" c:formatCode="0.00">
                  <c:v>1.8</c:v>
                </c:pt>
                <c:pt idx="774" c:formatCode="0.00">
                  <c:v>1.8</c:v>
                </c:pt>
                <c:pt idx="775" c:formatCode="0.00">
                  <c:v>1.8</c:v>
                </c:pt>
                <c:pt idx="776" c:formatCode="0.00">
                  <c:v>1.8</c:v>
                </c:pt>
                <c:pt idx="777" c:formatCode="0.00">
                  <c:v>1.8</c:v>
                </c:pt>
                <c:pt idx="778" c:formatCode="0.00">
                  <c:v>1.8</c:v>
                </c:pt>
                <c:pt idx="779" c:formatCode="0.00">
                  <c:v>1.8</c:v>
                </c:pt>
                <c:pt idx="780" c:formatCode="0.00">
                  <c:v>1.8</c:v>
                </c:pt>
                <c:pt idx="781" c:formatCode="0.00">
                  <c:v>1.8</c:v>
                </c:pt>
                <c:pt idx="782" c:formatCode="0.00">
                  <c:v>1.8</c:v>
                </c:pt>
                <c:pt idx="783" c:formatCode="0.00">
                  <c:v>1.8</c:v>
                </c:pt>
                <c:pt idx="784" c:formatCode="0.00">
                  <c:v>1.8</c:v>
                </c:pt>
                <c:pt idx="785" c:formatCode="0.00">
                  <c:v>1.8</c:v>
                </c:pt>
                <c:pt idx="786" c:formatCode="0.00">
                  <c:v>1.8</c:v>
                </c:pt>
                <c:pt idx="787" c:formatCode="0.00">
                  <c:v>1.8</c:v>
                </c:pt>
                <c:pt idx="788" c:formatCode="0.00">
                  <c:v>1.8</c:v>
                </c:pt>
                <c:pt idx="789" c:formatCode="0.00">
                  <c:v>1.8</c:v>
                </c:pt>
                <c:pt idx="790" c:formatCode="0.00">
                  <c:v>1.8</c:v>
                </c:pt>
                <c:pt idx="791" c:formatCode="0.00">
                  <c:v>1.8</c:v>
                </c:pt>
                <c:pt idx="792" c:formatCode="0.00">
                  <c:v>1.8</c:v>
                </c:pt>
                <c:pt idx="793" c:formatCode="0.00">
                  <c:v>1.8</c:v>
                </c:pt>
                <c:pt idx="794" c:formatCode="0.00">
                  <c:v>1.8</c:v>
                </c:pt>
                <c:pt idx="795" c:formatCode="0.00">
                  <c:v>1.8</c:v>
                </c:pt>
                <c:pt idx="796" c:formatCode="0.00">
                  <c:v>1.8</c:v>
                </c:pt>
                <c:pt idx="797" c:formatCode="0.00">
                  <c:v>1.8</c:v>
                </c:pt>
                <c:pt idx="798" c:formatCode="0.00">
                  <c:v>1.8</c:v>
                </c:pt>
                <c:pt idx="799" c:formatCode="0.00">
                  <c:v>1.8</c:v>
                </c:pt>
                <c:pt idx="800" c:formatCode="0.00">
                  <c:v>1.8</c:v>
                </c:pt>
                <c:pt idx="801" c:formatCode="0.00">
                  <c:v>1.8</c:v>
                </c:pt>
                <c:pt idx="802" c:formatCode="0.00">
                  <c:v>1.8</c:v>
                </c:pt>
                <c:pt idx="803" c:formatCode="0.00">
                  <c:v>1.8</c:v>
                </c:pt>
                <c:pt idx="804" c:formatCode="0.00">
                  <c:v>1.8</c:v>
                </c:pt>
                <c:pt idx="805" c:formatCode="0.00">
                  <c:v>1.8</c:v>
                </c:pt>
                <c:pt idx="806" c:formatCode="0.00">
                  <c:v>1.8</c:v>
                </c:pt>
                <c:pt idx="807" c:formatCode="0.00">
                  <c:v>1.8</c:v>
                </c:pt>
                <c:pt idx="808" c:formatCode="0.00">
                  <c:v>1.8</c:v>
                </c:pt>
                <c:pt idx="809" c:formatCode="0.00">
                  <c:v>1.8</c:v>
                </c:pt>
                <c:pt idx="810" c:formatCode="0.00">
                  <c:v>1.8</c:v>
                </c:pt>
                <c:pt idx="811" c:formatCode="0.00">
                  <c:v>1.8</c:v>
                </c:pt>
                <c:pt idx="812" c:formatCode="0.00">
                  <c:v>2.1</c:v>
                </c:pt>
                <c:pt idx="813" c:formatCode="0.00">
                  <c:v>2.1</c:v>
                </c:pt>
                <c:pt idx="814" c:formatCode="0.00">
                  <c:v>2.1</c:v>
                </c:pt>
                <c:pt idx="815" c:formatCode="0.00">
                  <c:v>2.1</c:v>
                </c:pt>
                <c:pt idx="816" c:formatCode="0.00">
                  <c:v>2.1</c:v>
                </c:pt>
                <c:pt idx="817" c:formatCode="0.00">
                  <c:v>2.1</c:v>
                </c:pt>
                <c:pt idx="818" c:formatCode="0.00">
                  <c:v>2.1</c:v>
                </c:pt>
                <c:pt idx="819" c:formatCode="0.00">
                  <c:v>2.1</c:v>
                </c:pt>
                <c:pt idx="820" c:formatCode="0.00">
                  <c:v>2.1</c:v>
                </c:pt>
                <c:pt idx="821" c:formatCode="0.00">
                  <c:v>2.1</c:v>
                </c:pt>
                <c:pt idx="822" c:formatCode="0.00">
                  <c:v>2.1</c:v>
                </c:pt>
                <c:pt idx="823" c:formatCode="0.00">
                  <c:v>2.1</c:v>
                </c:pt>
                <c:pt idx="824" c:formatCode="0.00">
                  <c:v>2.1</c:v>
                </c:pt>
                <c:pt idx="825" c:formatCode="0.00">
                  <c:v>2.1</c:v>
                </c:pt>
                <c:pt idx="826" c:formatCode="0.00">
                  <c:v>2.1</c:v>
                </c:pt>
                <c:pt idx="827" c:formatCode="0.00">
                  <c:v>2.1</c:v>
                </c:pt>
                <c:pt idx="828" c:formatCode="0.00">
                  <c:v>2.1</c:v>
                </c:pt>
                <c:pt idx="829" c:formatCode="0.00">
                  <c:v>2.1</c:v>
                </c:pt>
                <c:pt idx="830" c:formatCode="0.00">
                  <c:v>2.1</c:v>
                </c:pt>
                <c:pt idx="831" c:formatCode="0.00">
                  <c:v>2.1</c:v>
                </c:pt>
                <c:pt idx="832" c:formatCode="0.00">
                  <c:v>2.1</c:v>
                </c:pt>
                <c:pt idx="833" c:formatCode="0.00">
                  <c:v>2.1</c:v>
                </c:pt>
                <c:pt idx="834" c:formatCode="0.00">
                  <c:v>2.1</c:v>
                </c:pt>
                <c:pt idx="835" c:formatCode="0.00">
                  <c:v>2.1</c:v>
                </c:pt>
                <c:pt idx="836" c:formatCode="0.00">
                  <c:v>2.1</c:v>
                </c:pt>
                <c:pt idx="837" c:formatCode="0.00">
                  <c:v>2.1</c:v>
                </c:pt>
                <c:pt idx="838" c:formatCode="0.00">
                  <c:v>2.1</c:v>
                </c:pt>
                <c:pt idx="839" c:formatCode="0.00">
                  <c:v>2.1</c:v>
                </c:pt>
                <c:pt idx="840" c:formatCode="0.00">
                  <c:v>2.1</c:v>
                </c:pt>
                <c:pt idx="841" c:formatCode="0.00">
                  <c:v>2.1</c:v>
                </c:pt>
                <c:pt idx="842" c:formatCode="0.00">
                  <c:v>2.1</c:v>
                </c:pt>
                <c:pt idx="843" c:formatCode="0.00">
                  <c:v>2.1</c:v>
                </c:pt>
                <c:pt idx="844" c:formatCode="0.00">
                  <c:v>2.1</c:v>
                </c:pt>
                <c:pt idx="845" c:formatCode="0.00">
                  <c:v>2.1</c:v>
                </c:pt>
                <c:pt idx="846" c:formatCode="0.00">
                  <c:v>2.1</c:v>
                </c:pt>
                <c:pt idx="847" c:formatCode="0.00">
                  <c:v>2.1</c:v>
                </c:pt>
                <c:pt idx="848" c:formatCode="0.00">
                  <c:v>2.1</c:v>
                </c:pt>
                <c:pt idx="849" c:formatCode="0.00">
                  <c:v>2.1</c:v>
                </c:pt>
                <c:pt idx="850" c:formatCode="0.00">
                  <c:v>2.1</c:v>
                </c:pt>
                <c:pt idx="851" c:formatCode="0.00">
                  <c:v>2.1</c:v>
                </c:pt>
                <c:pt idx="852" c:formatCode="0.00">
                  <c:v>2.1</c:v>
                </c:pt>
                <c:pt idx="853" c:formatCode="0.00">
                  <c:v>2.1</c:v>
                </c:pt>
                <c:pt idx="854" c:formatCode="0.00">
                  <c:v>2.1</c:v>
                </c:pt>
                <c:pt idx="855" c:formatCode="0.00">
                  <c:v>2.1</c:v>
                </c:pt>
                <c:pt idx="856" c:formatCode="0.00">
                  <c:v>2.1</c:v>
                </c:pt>
                <c:pt idx="857" c:formatCode="0.00">
                  <c:v>2.1</c:v>
                </c:pt>
                <c:pt idx="858" c:formatCode="0.00">
                  <c:v>2.1</c:v>
                </c:pt>
                <c:pt idx="859" c:formatCode="0.00">
                  <c:v>2.1</c:v>
                </c:pt>
                <c:pt idx="860" c:formatCode="0.00">
                  <c:v>2.1</c:v>
                </c:pt>
                <c:pt idx="861" c:formatCode="0.00">
                  <c:v>2.1</c:v>
                </c:pt>
                <c:pt idx="862" c:formatCode="0.00">
                  <c:v>2.1</c:v>
                </c:pt>
                <c:pt idx="863" c:formatCode="0.00">
                  <c:v>2.1</c:v>
                </c:pt>
                <c:pt idx="864" c:formatCode="0.00">
                  <c:v>2.1</c:v>
                </c:pt>
                <c:pt idx="865" c:formatCode="0.00">
                  <c:v>2.1</c:v>
                </c:pt>
                <c:pt idx="866" c:formatCode="0.00">
                  <c:v>2.1</c:v>
                </c:pt>
                <c:pt idx="867" c:formatCode="0.00">
                  <c:v>2.1</c:v>
                </c:pt>
                <c:pt idx="868" c:formatCode="0.00">
                  <c:v>2.1</c:v>
                </c:pt>
                <c:pt idx="869" c:formatCode="0.00">
                  <c:v>2.1</c:v>
                </c:pt>
                <c:pt idx="870" c:formatCode="0.00">
                  <c:v>2.1</c:v>
                </c:pt>
                <c:pt idx="871" c:formatCode="0.00">
                  <c:v>2.1</c:v>
                </c:pt>
                <c:pt idx="872" c:formatCode="0.00">
                  <c:v>2.1</c:v>
                </c:pt>
                <c:pt idx="873" c:formatCode="0.00">
                  <c:v>2.1</c:v>
                </c:pt>
                <c:pt idx="874" c:formatCode="0.00">
                  <c:v>2.1</c:v>
                </c:pt>
                <c:pt idx="875" c:formatCode="0.00">
                  <c:v>2.1</c:v>
                </c:pt>
                <c:pt idx="876" c:formatCode="0.00">
                  <c:v>2.1</c:v>
                </c:pt>
                <c:pt idx="877" c:formatCode="0.00">
                  <c:v>2.1</c:v>
                </c:pt>
                <c:pt idx="878" c:formatCode="0.00">
                  <c:v>2.1</c:v>
                </c:pt>
                <c:pt idx="879" c:formatCode="0.00">
                  <c:v>2.1</c:v>
                </c:pt>
                <c:pt idx="880" c:formatCode="0.00">
                  <c:v>2.1</c:v>
                </c:pt>
                <c:pt idx="881" c:formatCode="0.00">
                  <c:v>2.1</c:v>
                </c:pt>
                <c:pt idx="882" c:formatCode="0.00">
                  <c:v>2.1</c:v>
                </c:pt>
                <c:pt idx="883" c:formatCode="0.00">
                  <c:v>2.1</c:v>
                </c:pt>
                <c:pt idx="884" c:formatCode="0.00">
                  <c:v>2.1</c:v>
                </c:pt>
                <c:pt idx="885" c:formatCode="0.00">
                  <c:v>2.1</c:v>
                </c:pt>
                <c:pt idx="886" c:formatCode="0.00">
                  <c:v>2.1</c:v>
                </c:pt>
                <c:pt idx="887" c:formatCode="0.00">
                  <c:v>2.1</c:v>
                </c:pt>
                <c:pt idx="888" c:formatCode="0.00">
                  <c:v>2.1</c:v>
                </c:pt>
                <c:pt idx="889" c:formatCode="0.00">
                  <c:v>2.1</c:v>
                </c:pt>
                <c:pt idx="890" c:formatCode="0.00">
                  <c:v>2.1</c:v>
                </c:pt>
                <c:pt idx="891" c:formatCode="0.00">
                  <c:v>2.1</c:v>
                </c:pt>
                <c:pt idx="892" c:formatCode="0.00">
                  <c:v>2.1</c:v>
                </c:pt>
                <c:pt idx="893" c:formatCode="0.00">
                  <c:v>2.1</c:v>
                </c:pt>
                <c:pt idx="894" c:formatCode="0.00">
                  <c:v>2.1</c:v>
                </c:pt>
                <c:pt idx="895" c:formatCode="0.00">
                  <c:v>2.1</c:v>
                </c:pt>
                <c:pt idx="896" c:formatCode="0.00">
                  <c:v>2.05</c:v>
                </c:pt>
                <c:pt idx="897" c:formatCode="0.00">
                  <c:v>2.05</c:v>
                </c:pt>
                <c:pt idx="898" c:formatCode="0.00">
                  <c:v>2.05</c:v>
                </c:pt>
                <c:pt idx="899" c:formatCode="0.00">
                  <c:v>2.05</c:v>
                </c:pt>
                <c:pt idx="900" c:formatCode="0.00">
                  <c:v>2.05</c:v>
                </c:pt>
                <c:pt idx="901" c:formatCode="0.00">
                  <c:v>2.05</c:v>
                </c:pt>
                <c:pt idx="902" c:formatCode="0.00">
                  <c:v>2.05</c:v>
                </c:pt>
                <c:pt idx="903" c:formatCode="0.00">
                  <c:v>2.05</c:v>
                </c:pt>
                <c:pt idx="904" c:formatCode="0.00">
                  <c:v>2.05</c:v>
                </c:pt>
                <c:pt idx="905" c:formatCode="0.00">
                  <c:v>2.05</c:v>
                </c:pt>
                <c:pt idx="906" c:formatCode="0.00">
                  <c:v>2.05</c:v>
                </c:pt>
                <c:pt idx="907" c:formatCode="0.00">
                  <c:v>2.05</c:v>
                </c:pt>
                <c:pt idx="908" c:formatCode="0.00">
                  <c:v>2.05</c:v>
                </c:pt>
                <c:pt idx="909" c:formatCode="0.00">
                  <c:v>2.05</c:v>
                </c:pt>
                <c:pt idx="910" c:formatCode="0.00">
                  <c:v>2.05</c:v>
                </c:pt>
                <c:pt idx="911" c:formatCode="0.00">
                  <c:v>2.05</c:v>
                </c:pt>
                <c:pt idx="912" c:formatCode="0.00">
                  <c:v>2.05</c:v>
                </c:pt>
                <c:pt idx="913" c:formatCode="0.00">
                  <c:v>2.05</c:v>
                </c:pt>
                <c:pt idx="914" c:formatCode="0.00">
                  <c:v>2.05</c:v>
                </c:pt>
                <c:pt idx="915" c:formatCode="0.00">
                  <c:v>2.05</c:v>
                </c:pt>
                <c:pt idx="916" c:formatCode="0.00">
                  <c:v>2.05</c:v>
                </c:pt>
                <c:pt idx="917" c:formatCode="0.00">
                  <c:v>2.05</c:v>
                </c:pt>
                <c:pt idx="918" c:formatCode="0.00">
                  <c:v>1.7</c:v>
                </c:pt>
                <c:pt idx="919" c:formatCode="0.00">
                  <c:v>1.7</c:v>
                </c:pt>
                <c:pt idx="920" c:formatCode="0.00">
                  <c:v>1.7</c:v>
                </c:pt>
                <c:pt idx="921" c:formatCode="0.00">
                  <c:v>1.7</c:v>
                </c:pt>
                <c:pt idx="922" c:formatCode="0.00">
                  <c:v>1.7</c:v>
                </c:pt>
                <c:pt idx="923" c:formatCode="0.00">
                  <c:v>1.7</c:v>
                </c:pt>
                <c:pt idx="924" c:formatCode="0.00">
                  <c:v>1.7</c:v>
                </c:pt>
                <c:pt idx="925" c:formatCode="0.00">
                  <c:v>1.7</c:v>
                </c:pt>
                <c:pt idx="926" c:formatCode="0.00">
                  <c:v>1.7</c:v>
                </c:pt>
                <c:pt idx="927" c:formatCode="0.00">
                  <c:v>1.7</c:v>
                </c:pt>
                <c:pt idx="928" c:formatCode="0.00">
                  <c:v>1.7</c:v>
                </c:pt>
                <c:pt idx="929" c:formatCode="0.00">
                  <c:v>1.7</c:v>
                </c:pt>
                <c:pt idx="930" c:formatCode="0.00">
                  <c:v>1.7</c:v>
                </c:pt>
                <c:pt idx="931" c:formatCode="0.00">
                  <c:v>1.7</c:v>
                </c:pt>
                <c:pt idx="932" c:formatCode="0.00">
                  <c:v>1.7</c:v>
                </c:pt>
                <c:pt idx="933" c:formatCode="0.00">
                  <c:v>1.7</c:v>
                </c:pt>
                <c:pt idx="934" c:formatCode="0.00">
                  <c:v>1.7</c:v>
                </c:pt>
                <c:pt idx="935" c:formatCode="0.00">
                  <c:v>1.7</c:v>
                </c:pt>
                <c:pt idx="936" c:formatCode="0.00">
                  <c:v>1.7</c:v>
                </c:pt>
                <c:pt idx="937" c:formatCode="0.00">
                  <c:v>1.7</c:v>
                </c:pt>
                <c:pt idx="938" c:formatCode="0.00">
                  <c:v>1.7</c:v>
                </c:pt>
                <c:pt idx="939" c:formatCode="0.00">
                  <c:v>1.7</c:v>
                </c:pt>
                <c:pt idx="940" c:formatCode="0.00">
                  <c:v>1.7</c:v>
                </c:pt>
                <c:pt idx="941" c:formatCode="0.00">
                  <c:v>1.7</c:v>
                </c:pt>
                <c:pt idx="942" c:formatCode="0.00">
                  <c:v>1.7</c:v>
                </c:pt>
                <c:pt idx="943" c:formatCode="0.00">
                  <c:v>1.7</c:v>
                </c:pt>
                <c:pt idx="944" c:formatCode="0.00">
                  <c:v>1.7</c:v>
                </c:pt>
                <c:pt idx="945" c:formatCode="0.00">
                  <c:v>1.7</c:v>
                </c:pt>
                <c:pt idx="946" c:formatCode="0.00">
                  <c:v>1.7</c:v>
                </c:pt>
                <c:pt idx="947" c:formatCode="0.00">
                  <c:v>1.7</c:v>
                </c:pt>
                <c:pt idx="948" c:formatCode="0.00">
                  <c:v>1.7</c:v>
                </c:pt>
                <c:pt idx="949" c:formatCode="0.00">
                  <c:v>1.7</c:v>
                </c:pt>
                <c:pt idx="950" c:formatCode="0.00">
                  <c:v>1.7</c:v>
                </c:pt>
                <c:pt idx="951" c:formatCode="0.00">
                  <c:v>1.7</c:v>
                </c:pt>
                <c:pt idx="952" c:formatCode="0.00">
                  <c:v>1.7</c:v>
                </c:pt>
                <c:pt idx="953" c:formatCode="0.00">
                  <c:v>1.7</c:v>
                </c:pt>
                <c:pt idx="954" c:formatCode="0.00">
                  <c:v>1.7</c:v>
                </c:pt>
                <c:pt idx="955" c:formatCode="0.00">
                  <c:v>1.7</c:v>
                </c:pt>
                <c:pt idx="956" c:formatCode="0.00">
                  <c:v>1.7</c:v>
                </c:pt>
                <c:pt idx="957" c:formatCode="0.00">
                  <c:v>1.7</c:v>
                </c:pt>
                <c:pt idx="958" c:formatCode="0.00">
                  <c:v>1.7</c:v>
                </c:pt>
                <c:pt idx="959" c:formatCode="0.00">
                  <c:v>1.7</c:v>
                </c:pt>
                <c:pt idx="960" c:formatCode="0.00">
                  <c:v>1.7</c:v>
                </c:pt>
                <c:pt idx="961" c:formatCode="0.00">
                  <c:v>1.35</c:v>
                </c:pt>
                <c:pt idx="962" c:formatCode="0.00">
                  <c:v>1.35</c:v>
                </c:pt>
                <c:pt idx="963" c:formatCode="0.00">
                  <c:v>1.35</c:v>
                </c:pt>
                <c:pt idx="964" c:formatCode="0.00">
                  <c:v>1.35</c:v>
                </c:pt>
                <c:pt idx="965" c:formatCode="0.00">
                  <c:v>1.35</c:v>
                </c:pt>
                <c:pt idx="966" c:formatCode="0.00">
                  <c:v>1.35</c:v>
                </c:pt>
                <c:pt idx="967" c:formatCode="0.00">
                  <c:v>1.35</c:v>
                </c:pt>
                <c:pt idx="968" c:formatCode="0.00">
                  <c:v>1.35</c:v>
                </c:pt>
                <c:pt idx="969" c:formatCode="0.00">
                  <c:v>1.35</c:v>
                </c:pt>
                <c:pt idx="970" c:formatCode="0.00">
                  <c:v>1.35</c:v>
                </c:pt>
                <c:pt idx="971" c:formatCode="0.00">
                  <c:v>1.35</c:v>
                </c:pt>
                <c:pt idx="972" c:formatCode="0.00">
                  <c:v>1.35</c:v>
                </c:pt>
                <c:pt idx="973" c:formatCode="0.00">
                  <c:v>1.35</c:v>
                </c:pt>
                <c:pt idx="974" c:formatCode="0.00">
                  <c:v>1.35</c:v>
                </c:pt>
                <c:pt idx="975" c:formatCode="0.00">
                  <c:v>1.35</c:v>
                </c:pt>
                <c:pt idx="976" c:formatCode="0.00">
                  <c:v>1.35</c:v>
                </c:pt>
                <c:pt idx="977" c:formatCode="0.00">
                  <c:v>1.35</c:v>
                </c:pt>
                <c:pt idx="978" c:formatCode="0.00">
                  <c:v>1.35</c:v>
                </c:pt>
                <c:pt idx="979" c:formatCode="0.00">
                  <c:v>1.35</c:v>
                </c:pt>
                <c:pt idx="980" c:formatCode="0.00">
                  <c:v>1.35</c:v>
                </c:pt>
                <c:pt idx="981" c:formatCode="0.00">
                  <c:v>1.35</c:v>
                </c:pt>
                <c:pt idx="982" c:formatCode="0.00">
                  <c:v>1.35</c:v>
                </c:pt>
                <c:pt idx="983" c:formatCode="0.00">
                  <c:v>1.35</c:v>
                </c:pt>
                <c:pt idx="984" c:formatCode="0.00">
                  <c:v>1.35</c:v>
                </c:pt>
                <c:pt idx="985" c:formatCode="0.00">
                  <c:v>1.35</c:v>
                </c:pt>
                <c:pt idx="986" c:formatCode="0.00">
                  <c:v>1.35</c:v>
                </c:pt>
                <c:pt idx="987" c:formatCode="0.00">
                  <c:v>1.35</c:v>
                </c:pt>
                <c:pt idx="988" c:formatCode="0.00">
                  <c:v>1.35</c:v>
                </c:pt>
                <c:pt idx="989" c:formatCode="0.00">
                  <c:v>1.35</c:v>
                </c:pt>
                <c:pt idx="990" c:formatCode="0.00">
                  <c:v>1.35</c:v>
                </c:pt>
                <c:pt idx="991" c:formatCode="0.00">
                  <c:v>1.35</c:v>
                </c:pt>
                <c:pt idx="992" c:formatCode="0.00">
                  <c:v>1.35</c:v>
                </c:pt>
                <c:pt idx="993" c:formatCode="0.00">
                  <c:v>1.35</c:v>
                </c:pt>
                <c:pt idx="994" c:formatCode="0.00">
                  <c:v>1.35</c:v>
                </c:pt>
                <c:pt idx="995" c:formatCode="0.00">
                  <c:v>1.35</c:v>
                </c:pt>
                <c:pt idx="996" c:formatCode="0.00">
                  <c:v>1.35</c:v>
                </c:pt>
                <c:pt idx="997" c:formatCode="0.00">
                  <c:v>1.35</c:v>
                </c:pt>
                <c:pt idx="998" c:formatCode="0.00">
                  <c:v>1.35</c:v>
                </c:pt>
                <c:pt idx="999" c:formatCode="0.00">
                  <c:v>1.35</c:v>
                </c:pt>
                <c:pt idx="1000" c:formatCode="0.00">
                  <c:v>1.35</c:v>
                </c:pt>
                <c:pt idx="1001" c:formatCode="0.00">
                  <c:v>1.35</c:v>
                </c:pt>
                <c:pt idx="1002" c:formatCode="0.00">
                  <c:v>1.35</c:v>
                </c:pt>
                <c:pt idx="1003" c:formatCode="0.00">
                  <c:v>1.35</c:v>
                </c:pt>
                <c:pt idx="1004" c:formatCode="0.00">
                  <c:v>1.35</c:v>
                </c:pt>
                <c:pt idx="1005" c:formatCode="0.00">
                  <c:v>1.35</c:v>
                </c:pt>
                <c:pt idx="1006" c:formatCode="0.00">
                  <c:v>1.35</c:v>
                </c:pt>
                <c:pt idx="1007" c:formatCode="0.00">
                  <c:v>1.35</c:v>
                </c:pt>
                <c:pt idx="1008" c:formatCode="0.00">
                  <c:v>1.35</c:v>
                </c:pt>
                <c:pt idx="1009" c:formatCode="0.00">
                  <c:v>1.35</c:v>
                </c:pt>
                <c:pt idx="1010" c:formatCode="0.00">
                  <c:v>1.35</c:v>
                </c:pt>
                <c:pt idx="1011" c:formatCode="0.00">
                  <c:v>1.35</c:v>
                </c:pt>
                <c:pt idx="1012" c:formatCode="0.00">
                  <c:v>1.35</c:v>
                </c:pt>
                <c:pt idx="1013" c:formatCode="0.00">
                  <c:v>1.35</c:v>
                </c:pt>
                <c:pt idx="1014" c:formatCode="0.00">
                  <c:v>1.35</c:v>
                </c:pt>
                <c:pt idx="1015" c:formatCode="0.00">
                  <c:v>1.35</c:v>
                </c:pt>
                <c:pt idx="1016" c:formatCode="0.00">
                  <c:v>1.35</c:v>
                </c:pt>
                <c:pt idx="1017" c:formatCode="0.00">
                  <c:v>1.35</c:v>
                </c:pt>
                <c:pt idx="1018" c:formatCode="0.00">
                  <c:v>1.35</c:v>
                </c:pt>
                <c:pt idx="1019" c:formatCode="0.00">
                  <c:v>1.35</c:v>
                </c:pt>
                <c:pt idx="1020" c:formatCode="0.00">
                  <c:v>1.35</c:v>
                </c:pt>
                <c:pt idx="1021" c:formatCode="0.00">
                  <c:v>1.35</c:v>
                </c:pt>
                <c:pt idx="1022" c:formatCode="0.00">
                  <c:v>1.35</c:v>
                </c:pt>
                <c:pt idx="1023" c:formatCode="0.00">
                  <c:v>1.35</c:v>
                </c:pt>
                <c:pt idx="1024" c:formatCode="0.00">
                  <c:v>1.35</c:v>
                </c:pt>
                <c:pt idx="1025" c:formatCode="0.00">
                  <c:v>1.35</c:v>
                </c:pt>
                <c:pt idx="1026" c:formatCode="0.00">
                  <c:v>1.35</c:v>
                </c:pt>
                <c:pt idx="1027" c:formatCode="0.00">
                  <c:v>1.35</c:v>
                </c:pt>
                <c:pt idx="1028" c:formatCode="0.00">
                  <c:v>1.35</c:v>
                </c:pt>
                <c:pt idx="1029" c:formatCode="0.00">
                  <c:v>1.35</c:v>
                </c:pt>
                <c:pt idx="1030" c:formatCode="0.00">
                  <c:v>1.35</c:v>
                </c:pt>
                <c:pt idx="1031" c:formatCode="0.00">
                  <c:v>1.35</c:v>
                </c:pt>
                <c:pt idx="1032" c:formatCode="0.00">
                  <c:v>1.35</c:v>
                </c:pt>
                <c:pt idx="1033" c:formatCode="0.00">
                  <c:v>1.35</c:v>
                </c:pt>
                <c:pt idx="1034" c:formatCode="0.00">
                  <c:v>1.35</c:v>
                </c:pt>
                <c:pt idx="1035" c:formatCode="0.00">
                  <c:v>1.35</c:v>
                </c:pt>
                <c:pt idx="1036" c:formatCode="0.00">
                  <c:v>1.35</c:v>
                </c:pt>
                <c:pt idx="1037" c:formatCode="0.00">
                  <c:v>1.35</c:v>
                </c:pt>
                <c:pt idx="1038" c:formatCode="0.00">
                  <c:v>1.35</c:v>
                </c:pt>
                <c:pt idx="1039" c:formatCode="0.00">
                  <c:v>1.35</c:v>
                </c:pt>
                <c:pt idx="1040" c:formatCode="0.00">
                  <c:v>1.35</c:v>
                </c:pt>
                <c:pt idx="1041" c:formatCode="0.00">
                  <c:v>1.35</c:v>
                </c:pt>
                <c:pt idx="1042" c:formatCode="0.00">
                  <c:v>1.35</c:v>
                </c:pt>
                <c:pt idx="1043" c:formatCode="0.00">
                  <c:v>1.35</c:v>
                </c:pt>
                <c:pt idx="1044" c:formatCode="0.00">
                  <c:v>1.35</c:v>
                </c:pt>
                <c:pt idx="1045" c:formatCode="0.00">
                  <c:v>1.35</c:v>
                </c:pt>
                <c:pt idx="1046" c:formatCode="0.00">
                  <c:v>1.35</c:v>
                </c:pt>
                <c:pt idx="1047" c:formatCode="0.00">
                  <c:v>1.35</c:v>
                </c:pt>
                <c:pt idx="1048" c:formatCode="0.00">
                  <c:v>1.35</c:v>
                </c:pt>
                <c:pt idx="1049" c:formatCode="0.00">
                  <c:v>1.35</c:v>
                </c:pt>
                <c:pt idx="1050" c:formatCode="0.00">
                  <c:v>1.35</c:v>
                </c:pt>
                <c:pt idx="1051" c:formatCode="0.00">
                  <c:v>1.35</c:v>
                </c:pt>
                <c:pt idx="1052" c:formatCode="0.00">
                  <c:v>1.35</c:v>
                </c:pt>
                <c:pt idx="1053" c:formatCode="0.00">
                  <c:v>1.35</c:v>
                </c:pt>
                <c:pt idx="1054" c:formatCode="0.00">
                  <c:v>1.35</c:v>
                </c:pt>
                <c:pt idx="1055" c:formatCode="0.00">
                  <c:v>1.35</c:v>
                </c:pt>
                <c:pt idx="1056" c:formatCode="0.00">
                  <c:v>1.35</c:v>
                </c:pt>
                <c:pt idx="1057" c:formatCode="0.00">
                  <c:v>1.35</c:v>
                </c:pt>
                <c:pt idx="1058" c:formatCode="0.00">
                  <c:v>1.35</c:v>
                </c:pt>
                <c:pt idx="1059" c:formatCode="0.00">
                  <c:v>1.35</c:v>
                </c:pt>
                <c:pt idx="1060" c:formatCode="0.00">
                  <c:v>1.35</c:v>
                </c:pt>
                <c:pt idx="1061" c:formatCode="0.00">
                  <c:v>1.35</c:v>
                </c:pt>
                <c:pt idx="1062" c:formatCode="0.00">
                  <c:v>1.35</c:v>
                </c:pt>
                <c:pt idx="1063" c:formatCode="0.00">
                  <c:v>1.65</c:v>
                </c:pt>
                <c:pt idx="1064" c:formatCode="0.00">
                  <c:v>1.65</c:v>
                </c:pt>
                <c:pt idx="1065" c:formatCode="0.00">
                  <c:v>1.65</c:v>
                </c:pt>
                <c:pt idx="1066" c:formatCode="0.00">
                  <c:v>1.65</c:v>
                </c:pt>
                <c:pt idx="1067" c:formatCode="0.00">
                  <c:v>1.65</c:v>
                </c:pt>
                <c:pt idx="1068" c:formatCode="0.00">
                  <c:v>1.65</c:v>
                </c:pt>
                <c:pt idx="1069" c:formatCode="0.00">
                  <c:v>1.65</c:v>
                </c:pt>
                <c:pt idx="1070" c:formatCode="0.00">
                  <c:v>1.65</c:v>
                </c:pt>
                <c:pt idx="1071" c:formatCode="0.00">
                  <c:v>1.65</c:v>
                </c:pt>
                <c:pt idx="1072" c:formatCode="0.00">
                  <c:v>1.65</c:v>
                </c:pt>
                <c:pt idx="1073" c:formatCode="0.00">
                  <c:v>1.65</c:v>
                </c:pt>
                <c:pt idx="1074" c:formatCode="0.00">
                  <c:v>1.65</c:v>
                </c:pt>
                <c:pt idx="1075" c:formatCode="0.00">
                  <c:v>1.65</c:v>
                </c:pt>
                <c:pt idx="1076" c:formatCode="0.00">
                  <c:v>1.65</c:v>
                </c:pt>
                <c:pt idx="1077" c:formatCode="0.00">
                  <c:v>1.65</c:v>
                </c:pt>
                <c:pt idx="1078" c:formatCode="0.00">
                  <c:v>1.65</c:v>
                </c:pt>
                <c:pt idx="1079" c:formatCode="0.00">
                  <c:v>1.65</c:v>
                </c:pt>
                <c:pt idx="1080" c:formatCode="0.00">
                  <c:v>1.65</c:v>
                </c:pt>
                <c:pt idx="1081" c:formatCode="0.00">
                  <c:v>1.65</c:v>
                </c:pt>
                <c:pt idx="1082" c:formatCode="0.00">
                  <c:v>1.65</c:v>
                </c:pt>
                <c:pt idx="1083" c:formatCode="0.00">
                  <c:v>1.65</c:v>
                </c:pt>
                <c:pt idx="1084" c:formatCode="0.00">
                  <c:v>2.1</c:v>
                </c:pt>
                <c:pt idx="1085" c:formatCode="0.00">
                  <c:v>2.1</c:v>
                </c:pt>
                <c:pt idx="1086" c:formatCode="0.00">
                  <c:v>2.1</c:v>
                </c:pt>
                <c:pt idx="1087" c:formatCode="0.00">
                  <c:v>2.1</c:v>
                </c:pt>
                <c:pt idx="1088" c:formatCode="0.00">
                  <c:v>2.1</c:v>
                </c:pt>
                <c:pt idx="1089" c:formatCode="0.00">
                  <c:v>2.1</c:v>
                </c:pt>
                <c:pt idx="1090" c:formatCode="0.00">
                  <c:v>2.1</c:v>
                </c:pt>
                <c:pt idx="1091" c:formatCode="0.00">
                  <c:v>2.1</c:v>
                </c:pt>
                <c:pt idx="1092" c:formatCode="0.00">
                  <c:v>2.1</c:v>
                </c:pt>
                <c:pt idx="1093" c:formatCode="0.00">
                  <c:v>2.1</c:v>
                </c:pt>
                <c:pt idx="1094" c:formatCode="0.00">
                  <c:v>2.1</c:v>
                </c:pt>
                <c:pt idx="1095" c:formatCode="0.00">
                  <c:v>2.1</c:v>
                </c:pt>
                <c:pt idx="1096" c:formatCode="0.00">
                  <c:v>2.1</c:v>
                </c:pt>
                <c:pt idx="1097" c:formatCode="0.00">
                  <c:v>2.1</c:v>
                </c:pt>
                <c:pt idx="1098" c:formatCode="0.00">
                  <c:v>2.1</c:v>
                </c:pt>
                <c:pt idx="1099" c:formatCode="0.00">
                  <c:v>2.1</c:v>
                </c:pt>
                <c:pt idx="1100" c:formatCode="0.00">
                  <c:v>2.1</c:v>
                </c:pt>
                <c:pt idx="1101" c:formatCode="0.00">
                  <c:v>2.1</c:v>
                </c:pt>
                <c:pt idx="1102" c:formatCode="0.00">
                  <c:v>2.1</c:v>
                </c:pt>
                <c:pt idx="1103" c:formatCode="0.00">
                  <c:v>2.1</c:v>
                </c:pt>
                <c:pt idx="1104" c:formatCode="0.00">
                  <c:v>2.1</c:v>
                </c:pt>
                <c:pt idx="1105" c:formatCode="0.00">
                  <c:v>2.6</c:v>
                </c:pt>
                <c:pt idx="1106" c:formatCode="0.00">
                  <c:v>2.6</c:v>
                </c:pt>
                <c:pt idx="1107" c:formatCode="0.00">
                  <c:v>2.6</c:v>
                </c:pt>
                <c:pt idx="1108" c:formatCode="0.00">
                  <c:v>2.6</c:v>
                </c:pt>
                <c:pt idx="1109" c:formatCode="0.00">
                  <c:v>2.6</c:v>
                </c:pt>
                <c:pt idx="1110" c:formatCode="0.00">
                  <c:v>2.6</c:v>
                </c:pt>
                <c:pt idx="1111" c:formatCode="0.00">
                  <c:v>2.6</c:v>
                </c:pt>
                <c:pt idx="1112" c:formatCode="0.00">
                  <c:v>2.6</c:v>
                </c:pt>
                <c:pt idx="1113" c:formatCode="0.00">
                  <c:v>2.6</c:v>
                </c:pt>
                <c:pt idx="1114" c:formatCode="0.00">
                  <c:v>2.6</c:v>
                </c:pt>
                <c:pt idx="1115" c:formatCode="0.00">
                  <c:v>2.6</c:v>
                </c:pt>
                <c:pt idx="1116" c:formatCode="0.00">
                  <c:v>2.6</c:v>
                </c:pt>
                <c:pt idx="1117" c:formatCode="0.00">
                  <c:v>2.6</c:v>
                </c:pt>
                <c:pt idx="1118" c:formatCode="0.00">
                  <c:v>2.6</c:v>
                </c:pt>
                <c:pt idx="1119" c:formatCode="0.00">
                  <c:v>2.6</c:v>
                </c:pt>
                <c:pt idx="1120" c:formatCode="0.00">
                  <c:v>2.6</c:v>
                </c:pt>
                <c:pt idx="1121" c:formatCode="0.00">
                  <c:v>2.6</c:v>
                </c:pt>
                <c:pt idx="1122" c:formatCode="0.00">
                  <c:v>2.6</c:v>
                </c:pt>
                <c:pt idx="1123" c:formatCode="0.00">
                  <c:v>2.6</c:v>
                </c:pt>
                <c:pt idx="1124" c:formatCode="0.00">
                  <c:v>2.6</c:v>
                </c:pt>
                <c:pt idx="1125" c:formatCode="0.00">
                  <c:v>2.6</c:v>
                </c:pt>
                <c:pt idx="1126" c:formatCode="0.00">
                  <c:v>3.9</c:v>
                </c:pt>
                <c:pt idx="1127" c:formatCode="0.00">
                  <c:v>3.9</c:v>
                </c:pt>
                <c:pt idx="1128" c:formatCode="0.00">
                  <c:v>3.9</c:v>
                </c:pt>
                <c:pt idx="1129" c:formatCode="0.00">
                  <c:v>3.9</c:v>
                </c:pt>
                <c:pt idx="1130" c:formatCode="0.00">
                  <c:v>3.9</c:v>
                </c:pt>
                <c:pt idx="1131" c:formatCode="0.00">
                  <c:v>3.9</c:v>
                </c:pt>
                <c:pt idx="1132" c:formatCode="0.00">
                  <c:v>3.9</c:v>
                </c:pt>
                <c:pt idx="1133" c:formatCode="0.00">
                  <c:v>3.9</c:v>
                </c:pt>
                <c:pt idx="1134" c:formatCode="0.00">
                  <c:v>3.9</c:v>
                </c:pt>
                <c:pt idx="1135" c:formatCode="0.00">
                  <c:v>3.9</c:v>
                </c:pt>
                <c:pt idx="1136" c:formatCode="0.00">
                  <c:v>3.9</c:v>
                </c:pt>
                <c:pt idx="1137" c:formatCode="0.00">
                  <c:v>3.9</c:v>
                </c:pt>
                <c:pt idx="1138" c:formatCode="0.00">
                  <c:v>3.9</c:v>
                </c:pt>
                <c:pt idx="1139" c:formatCode="0.00">
                  <c:v>3.9</c:v>
                </c:pt>
                <c:pt idx="1140" c:formatCode="0.00">
                  <c:v>3.9</c:v>
                </c:pt>
                <c:pt idx="1141" c:formatCode="0.00">
                  <c:v>3.9</c:v>
                </c:pt>
                <c:pt idx="1142" c:formatCode="0.00">
                  <c:v>3.9</c:v>
                </c:pt>
                <c:pt idx="1143" c:formatCode="0.00">
                  <c:v>3.9</c:v>
                </c:pt>
                <c:pt idx="1144" c:formatCode="0.00">
                  <c:v>3.9</c:v>
                </c:pt>
                <c:pt idx="1145" c:formatCode="0.00">
                  <c:v>3.9</c:v>
                </c:pt>
                <c:pt idx="1146" c:formatCode="0.00">
                  <c:v>3.9</c:v>
                </c:pt>
                <c:pt idx="1147" c:formatCode="0.00">
                  <c:v>3.9</c:v>
                </c:pt>
                <c:pt idx="1148" c:formatCode="0.00">
                  <c:v>3.9</c:v>
                </c:pt>
                <c:pt idx="1149" c:formatCode="0.00">
                  <c:v>5.7</c:v>
                </c:pt>
                <c:pt idx="1150" c:formatCode="0.00">
                  <c:v>5.7</c:v>
                </c:pt>
                <c:pt idx="1151" c:formatCode="0.00">
                  <c:v>5.7</c:v>
                </c:pt>
                <c:pt idx="1152" c:formatCode="0.00">
                  <c:v>5.7</c:v>
                </c:pt>
                <c:pt idx="1153" c:formatCode="0.00">
                  <c:v>5.7</c:v>
                </c:pt>
                <c:pt idx="1154" c:formatCode="0.00">
                  <c:v>5.7</c:v>
                </c:pt>
                <c:pt idx="1155" c:formatCode="0.00">
                  <c:v>5.7</c:v>
                </c:pt>
                <c:pt idx="1156" c:formatCode="0.00">
                  <c:v>5.7</c:v>
                </c:pt>
                <c:pt idx="1157" c:formatCode="0.00">
                  <c:v>5.7</c:v>
                </c:pt>
                <c:pt idx="1158" c:formatCode="0.00">
                  <c:v>5.7</c:v>
                </c:pt>
                <c:pt idx="1159" c:formatCode="0.00">
                  <c:v>5.7</c:v>
                </c:pt>
                <c:pt idx="1160" c:formatCode="0.00">
                  <c:v>5.7</c:v>
                </c:pt>
                <c:pt idx="1161" c:formatCode="0.00">
                  <c:v>5.7</c:v>
                </c:pt>
                <c:pt idx="1162" c:formatCode="0.00">
                  <c:v>5.7</c:v>
                </c:pt>
                <c:pt idx="1163" c:formatCode="0.00">
                  <c:v>5.7</c:v>
                </c:pt>
                <c:pt idx="1164" c:formatCode="0.00">
                  <c:v>5.7</c:v>
                </c:pt>
                <c:pt idx="1165" c:formatCode="0.00">
                  <c:v>5.7</c:v>
                </c:pt>
                <c:pt idx="1166" c:formatCode="0.00">
                  <c:v>5.7</c:v>
                </c:pt>
                <c:pt idx="1167" c:formatCode="0.00">
                  <c:v>5.7</c:v>
                </c:pt>
                <c:pt idx="1168" c:formatCode="0.00">
                  <c:v>5.7</c:v>
                </c:pt>
                <c:pt idx="1169" c:formatCode="0.00">
                  <c:v>5.7</c:v>
                </c:pt>
                <c:pt idx="1170" c:formatCode="0.00">
                  <c:v>6.3</c:v>
                </c:pt>
                <c:pt idx="1171" c:formatCode="0.00">
                  <c:v>6.3</c:v>
                </c:pt>
                <c:pt idx="1172" c:formatCode="0.00">
                  <c:v>6.3</c:v>
                </c:pt>
                <c:pt idx="1173" c:formatCode="0.00">
                  <c:v>6.3</c:v>
                </c:pt>
                <c:pt idx="1174" c:formatCode="0.00">
                  <c:v>6.3</c:v>
                </c:pt>
                <c:pt idx="1175" c:formatCode="0.00">
                  <c:v>6.3</c:v>
                </c:pt>
                <c:pt idx="1176" c:formatCode="0.00">
                  <c:v>6.3</c:v>
                </c:pt>
                <c:pt idx="1177" c:formatCode="0.00">
                  <c:v>6.3</c:v>
                </c:pt>
                <c:pt idx="1178" c:formatCode="0.00">
                  <c:v>6.3</c:v>
                </c:pt>
                <c:pt idx="1179" c:formatCode="0.00">
                  <c:v>6.3</c:v>
                </c:pt>
                <c:pt idx="1180" c:formatCode="0.00">
                  <c:v>6.3</c:v>
                </c:pt>
                <c:pt idx="1181" c:formatCode="0.00">
                  <c:v>6.3</c:v>
                </c:pt>
                <c:pt idx="1182" c:formatCode="0.00">
                  <c:v>6.3</c:v>
                </c:pt>
                <c:pt idx="1183" c:formatCode="0.00">
                  <c:v>6.3</c:v>
                </c:pt>
                <c:pt idx="1184" c:formatCode="0.00">
                  <c:v>6.3</c:v>
                </c:pt>
                <c:pt idx="1185" c:formatCode="0.00">
                  <c:v>6.3</c:v>
                </c:pt>
                <c:pt idx="1186" c:formatCode="0.00">
                  <c:v>6.3</c:v>
                </c:pt>
                <c:pt idx="1187" c:formatCode="0.00">
                  <c:v>6.3</c:v>
                </c:pt>
                <c:pt idx="1188" c:formatCode="0.00">
                  <c:v>6.3</c:v>
                </c:pt>
                <c:pt idx="1189" c:formatCode="0.00">
                  <c:v>6.3</c:v>
                </c:pt>
                <c:pt idx="1190" c:formatCode="0.00">
                  <c:v>6.3</c:v>
                </c:pt>
                <c:pt idx="1191" c:formatCode="0.00">
                  <c:v>6.3</c:v>
                </c:pt>
                <c:pt idx="1192" c:formatCode="0.00">
                  <c:v>7</c:v>
                </c:pt>
                <c:pt idx="1193" c:formatCode="0.00">
                  <c:v>7</c:v>
                </c:pt>
                <c:pt idx="1194" c:formatCode="0.00">
                  <c:v>7</c:v>
                </c:pt>
                <c:pt idx="1195" c:formatCode="0.00">
                  <c:v>7</c:v>
                </c:pt>
                <c:pt idx="1196" c:formatCode="0.00">
                  <c:v>7</c:v>
                </c:pt>
                <c:pt idx="1197" c:formatCode="0.00">
                  <c:v>7</c:v>
                </c:pt>
                <c:pt idx="1198" c:formatCode="0.00">
                  <c:v>7</c:v>
                </c:pt>
                <c:pt idx="1199" c:formatCode="0.00">
                  <c:v>7</c:v>
                </c:pt>
                <c:pt idx="1200" c:formatCode="0.00">
                  <c:v>7</c:v>
                </c:pt>
                <c:pt idx="1201" c:formatCode="0.00">
                  <c:v>7</c:v>
                </c:pt>
                <c:pt idx="1202" c:formatCode="0.00">
                  <c:v>7</c:v>
                </c:pt>
                <c:pt idx="1203" c:formatCode="0.00">
                  <c:v>7</c:v>
                </c:pt>
                <c:pt idx="1204" c:formatCode="0.00">
                  <c:v>7</c:v>
                </c:pt>
                <c:pt idx="1205" c:formatCode="0.00">
                  <c:v>7</c:v>
                </c:pt>
                <c:pt idx="1206" c:formatCode="0.00">
                  <c:v>7</c:v>
                </c:pt>
                <c:pt idx="1207" c:formatCode="0.00">
                  <c:v>7</c:v>
                </c:pt>
                <c:pt idx="1208" c:formatCode="0.00">
                  <c:v>7</c:v>
                </c:pt>
                <c:pt idx="1209" c:formatCode="0.00">
                  <c:v>7</c:v>
                </c:pt>
                <c:pt idx="1210" c:formatCode="0.00">
                  <c:v>7</c:v>
                </c:pt>
                <c:pt idx="1211" c:formatCode="0.00">
                  <c:v>7</c:v>
                </c:pt>
                <c:pt idx="1212" c:formatCode="0.00">
                  <c:v>7</c:v>
                </c:pt>
                <c:pt idx="1213" c:formatCode="0.00">
                  <c:v>7</c:v>
                </c:pt>
                <c:pt idx="1214" c:formatCode="0.00">
                  <c:v>7</c:v>
                </c:pt>
                <c:pt idx="1215" c:formatCode="0.00">
                  <c:v>8.1</c:v>
                </c:pt>
                <c:pt idx="1216" c:formatCode="0.00">
                  <c:v>8.1</c:v>
                </c:pt>
                <c:pt idx="1217" c:formatCode="0.00">
                  <c:v>8.1</c:v>
                </c:pt>
                <c:pt idx="1218" c:formatCode="0.00">
                  <c:v>8.1</c:v>
                </c:pt>
                <c:pt idx="1219" c:formatCode="0.00">
                  <c:v>8.1</c:v>
                </c:pt>
                <c:pt idx="1220" c:formatCode="0.00">
                  <c:v>8.1</c:v>
                </c:pt>
                <c:pt idx="1221" c:formatCode="0.00">
                  <c:v>8.1</c:v>
                </c:pt>
                <c:pt idx="1222" c:formatCode="0.00">
                  <c:v>8.1</c:v>
                </c:pt>
                <c:pt idx="1223" c:formatCode="0.00">
                  <c:v>8.1</c:v>
                </c:pt>
                <c:pt idx="1224" c:formatCode="0.00">
                  <c:v>8.1</c:v>
                </c:pt>
                <c:pt idx="1225" c:formatCode="0.00">
                  <c:v>8.1</c:v>
                </c:pt>
                <c:pt idx="1226" c:formatCode="0.00">
                  <c:v>8.1</c:v>
                </c:pt>
                <c:pt idx="1227" c:formatCode="0.00">
                  <c:v>8.1</c:v>
                </c:pt>
                <c:pt idx="1228" c:formatCode="0.00">
                  <c:v>8.1</c:v>
                </c:pt>
                <c:pt idx="1229" c:formatCode="0.00">
                  <c:v>8.1</c:v>
                </c:pt>
                <c:pt idx="1230" c:formatCode="0.00">
                  <c:v>8.1</c:v>
                </c:pt>
                <c:pt idx="1231" c:formatCode="0.00">
                  <c:v>8.1</c:v>
                </c:pt>
                <c:pt idx="1232" c:formatCode="0.00">
                  <c:v>8.1</c:v>
                </c:pt>
                <c:pt idx="1233" c:formatCode="0.00">
                  <c:v>8.1</c:v>
                </c:pt>
                <c:pt idx="1234" c:formatCode="0.00">
                  <c:v>8.1</c:v>
                </c:pt>
                <c:pt idx="1235" c:formatCode="0.00">
                  <c:v>9.3</c:v>
                </c:pt>
                <c:pt idx="1236" c:formatCode="0.00">
                  <c:v>9.3</c:v>
                </c:pt>
                <c:pt idx="1237" c:formatCode="0.00">
                  <c:v>9.3</c:v>
                </c:pt>
                <c:pt idx="1238" c:formatCode="0.00">
                  <c:v>9.3</c:v>
                </c:pt>
                <c:pt idx="1239" c:formatCode="0.00">
                  <c:v>9.3</c:v>
                </c:pt>
                <c:pt idx="1240" c:formatCode="0.00">
                  <c:v>9.3</c:v>
                </c:pt>
                <c:pt idx="1241" c:formatCode="0.00">
                  <c:v>9.3</c:v>
                </c:pt>
                <c:pt idx="1242" c:formatCode="0.00">
                  <c:v>9.3</c:v>
                </c:pt>
                <c:pt idx="1243" c:formatCode="0.00">
                  <c:v>9.3</c:v>
                </c:pt>
                <c:pt idx="1244" c:formatCode="0.00">
                  <c:v>9.3</c:v>
                </c:pt>
                <c:pt idx="1245" c:formatCode="0.00">
                  <c:v>9.3</c:v>
                </c:pt>
                <c:pt idx="1246" c:formatCode="0.00">
                  <c:v>9.3</c:v>
                </c:pt>
                <c:pt idx="1247" c:formatCode="0.00">
                  <c:v>9.3</c:v>
                </c:pt>
                <c:pt idx="1248" c:formatCode="0.00">
                  <c:v>9.3</c:v>
                </c:pt>
                <c:pt idx="1249" c:formatCode="0.00">
                  <c:v>9.3</c:v>
                </c:pt>
                <c:pt idx="1250" c:formatCode="0.00">
                  <c:v>9.3</c:v>
                </c:pt>
                <c:pt idx="1251" c:formatCode="0.00">
                  <c:v>9.3</c:v>
                </c:pt>
                <c:pt idx="1252" c:formatCode="0.00">
                  <c:v>9.3</c:v>
                </c:pt>
                <c:pt idx="1253" c:formatCode="0.00">
                  <c:v>9.3</c:v>
                </c:pt>
                <c:pt idx="1254" c:formatCode="0.00">
                  <c:v>9.3</c:v>
                </c:pt>
                <c:pt idx="1255" c:formatCode="0.00">
                  <c:v>9.3</c:v>
                </c:pt>
                <c:pt idx="1256" c:formatCode="0.00">
                  <c:v>9.3</c:v>
                </c:pt>
                <c:pt idx="1257" c:formatCode="0.00">
                  <c:v>9.3</c:v>
                </c:pt>
                <c:pt idx="1258" c:formatCode="0.00">
                  <c:v>11.5</c:v>
                </c:pt>
                <c:pt idx="1259" c:formatCode="0.00">
                  <c:v>11.5</c:v>
                </c:pt>
                <c:pt idx="1260" c:formatCode="0.00">
                  <c:v>11.5</c:v>
                </c:pt>
                <c:pt idx="1261" c:formatCode="0.00">
                  <c:v>11.5</c:v>
                </c:pt>
                <c:pt idx="1262" c:formatCode="0.00">
                  <c:v>11.5</c:v>
                </c:pt>
                <c:pt idx="1263" c:formatCode="0.00">
                  <c:v>11.5</c:v>
                </c:pt>
                <c:pt idx="1264" c:formatCode="0.00">
                  <c:v>11.5</c:v>
                </c:pt>
                <c:pt idx="1265" c:formatCode="0.00">
                  <c:v>11.5</c:v>
                </c:pt>
                <c:pt idx="1266" c:formatCode="0.00">
                  <c:v>11.5</c:v>
                </c:pt>
                <c:pt idx="1267" c:formatCode="0.00">
                  <c:v>11.5</c:v>
                </c:pt>
                <c:pt idx="1268" c:formatCode="0.00">
                  <c:v>11.5</c:v>
                </c:pt>
                <c:pt idx="1269" c:formatCode="0.00">
                  <c:v>11.5</c:v>
                </c:pt>
                <c:pt idx="1270" c:formatCode="0.00">
                  <c:v>11.5</c:v>
                </c:pt>
                <c:pt idx="1271" c:formatCode="0.00">
                  <c:v>11.5</c:v>
                </c:pt>
                <c:pt idx="1272" c:formatCode="0.00">
                  <c:v>11.5</c:v>
                </c:pt>
                <c:pt idx="1273" c:formatCode="0.00">
                  <c:v>11.5</c:v>
                </c:pt>
                <c:pt idx="1274" c:formatCode="0.00">
                  <c:v>11.5</c:v>
                </c:pt>
                <c:pt idx="1275" c:formatCode="0.00">
                  <c:v>11.5</c:v>
                </c:pt>
                <c:pt idx="1276" c:formatCode="0.00">
                  <c:v>11.5</c:v>
                </c:pt>
                <c:pt idx="1277" c:formatCode="0.00">
                  <c:v>11.5</c:v>
                </c:pt>
                <c:pt idx="1278" c:formatCode="0.00">
                  <c:v>11.5</c:v>
                </c:pt>
                <c:pt idx="1279" c:formatCode="0.00">
                  <c:v>13</c:v>
                </c:pt>
                <c:pt idx="1280" c:formatCode="0.00">
                  <c:v>13</c:v>
                </c:pt>
                <c:pt idx="1281" c:formatCode="0.00">
                  <c:v>13</c:v>
                </c:pt>
                <c:pt idx="1282" c:formatCode="0.00">
                  <c:v>13</c:v>
                </c:pt>
                <c:pt idx="1283" c:formatCode="0.00">
                  <c:v>13</c:v>
                </c:pt>
                <c:pt idx="1284" c:formatCode="0.00">
                  <c:v>13</c:v>
                </c:pt>
                <c:pt idx="1285" c:formatCode="0.00">
                  <c:v>13</c:v>
                </c:pt>
                <c:pt idx="1286" c:formatCode="0.00">
                  <c:v>13</c:v>
                </c:pt>
                <c:pt idx="1287" c:formatCode="0.00">
                  <c:v>13</c:v>
                </c:pt>
                <c:pt idx="1288" c:formatCode="0.00">
                  <c:v>13</c:v>
                </c:pt>
                <c:pt idx="1289" c:formatCode="0.00">
                  <c:v>13</c:v>
                </c:pt>
                <c:pt idx="1290" c:formatCode="0.00">
                  <c:v>13</c:v>
                </c:pt>
                <c:pt idx="1291" c:formatCode="0.00">
                  <c:v>13</c:v>
                </c:pt>
                <c:pt idx="1292" c:formatCode="0.00">
                  <c:v>13</c:v>
                </c:pt>
                <c:pt idx="1293" c:formatCode="0.00">
                  <c:v>13</c:v>
                </c:pt>
                <c:pt idx="1294" c:formatCode="0.00">
                  <c:v>13</c:v>
                </c:pt>
                <c:pt idx="1295" c:formatCode="0.00">
                  <c:v>13</c:v>
                </c:pt>
                <c:pt idx="1296" c:formatCode="0.00">
                  <c:v>13</c:v>
                </c:pt>
                <c:pt idx="1297" c:formatCode="0.00">
                  <c:v>13</c:v>
                </c:pt>
                <c:pt idx="1298" c:formatCode="0.00">
                  <c:v>13</c:v>
                </c:pt>
                <c:pt idx="1299" c:formatCode="0.00">
                  <c:v>13</c:v>
                </c:pt>
                <c:pt idx="1300" c:formatCode="0.00">
                  <c:v>13</c:v>
                </c:pt>
                <c:pt idx="1301" c:formatCode="0.00">
                  <c:v>13</c:v>
                </c:pt>
                <c:pt idx="1302" c:formatCode="0.00">
                  <c:v>13</c:v>
                </c:pt>
                <c:pt idx="1303" c:formatCode="0.00">
                  <c:v>13</c:v>
                </c:pt>
                <c:pt idx="1304" c:formatCode="0.00">
                  <c:v>13</c:v>
                </c:pt>
                <c:pt idx="1305" c:formatCode="0.00">
                  <c:v>13</c:v>
                </c:pt>
                <c:pt idx="1306" c:formatCode="0.00">
                  <c:v>13</c:v>
                </c:pt>
                <c:pt idx="1307" c:formatCode="0.00">
                  <c:v>13</c:v>
                </c:pt>
                <c:pt idx="1308" c:formatCode="0.00">
                  <c:v>13</c:v>
                </c:pt>
                <c:pt idx="1309" c:formatCode="0.00">
                  <c:v>13</c:v>
                </c:pt>
                <c:pt idx="1310" c:formatCode="0.00">
                  <c:v>13</c:v>
                </c:pt>
                <c:pt idx="1311" c:formatCode="0.00">
                  <c:v>13</c:v>
                </c:pt>
                <c:pt idx="1312" c:formatCode="0.00">
                  <c:v>13</c:v>
                </c:pt>
                <c:pt idx="1313" c:formatCode="0.00">
                  <c:v>13</c:v>
                </c:pt>
                <c:pt idx="1314" c:formatCode="0.00">
                  <c:v>13</c:v>
                </c:pt>
                <c:pt idx="1315" c:formatCode="0.00">
                  <c:v>13</c:v>
                </c:pt>
                <c:pt idx="1316" c:formatCode="0.00">
                  <c:v>16</c:v>
                </c:pt>
                <c:pt idx="1317" c:formatCode="0.00">
                  <c:v>16</c:v>
                </c:pt>
                <c:pt idx="1318" c:formatCode="0.00">
                  <c:v>16</c:v>
                </c:pt>
                <c:pt idx="1319" c:formatCode="0.00">
                  <c:v>16</c:v>
                </c:pt>
                <c:pt idx="1320" c:formatCode="0.00">
                  <c:v>16</c:v>
                </c:pt>
                <c:pt idx="1321" c:formatCode="0.00">
                  <c:v>16</c:v>
                </c:pt>
                <c:pt idx="1322" c:formatCode="0.00">
                  <c:v>16</c:v>
                </c:pt>
                <c:pt idx="1323" c:formatCode="0.00">
                  <c:v>16</c:v>
                </c:pt>
                <c:pt idx="1324" c:formatCode="0.00">
                  <c:v>16</c:v>
                </c:pt>
                <c:pt idx="1325" c:formatCode="0.00">
                  <c:v>16</c:v>
                </c:pt>
                <c:pt idx="1326" c:formatCode="0.00">
                  <c:v>16</c:v>
                </c:pt>
                <c:pt idx="1327" c:formatCode="0.00">
                  <c:v>16</c:v>
                </c:pt>
                <c:pt idx="1328" c:formatCode="0.00">
                  <c:v>16</c:v>
                </c:pt>
                <c:pt idx="1329" c:formatCode="0.00">
                  <c:v>16</c:v>
                </c:pt>
                <c:pt idx="1330" c:formatCode="0.00">
                  <c:v>16</c:v>
                </c:pt>
                <c:pt idx="1331" c:formatCode="0.00">
                  <c:v>16</c:v>
                </c:pt>
                <c:pt idx="1332" c:formatCode="0.00">
                  <c:v>16</c:v>
                </c:pt>
                <c:pt idx="1333" c:formatCode="0.00">
                  <c:v>16</c:v>
                </c:pt>
                <c:pt idx="1334" c:formatCode="0.00">
                  <c:v>16</c:v>
                </c:pt>
                <c:pt idx="1335" c:formatCode="0.00">
                  <c:v>16</c:v>
                </c:pt>
                <c:pt idx="1336" c:formatCode="0.00">
                  <c:v>16</c:v>
                </c:pt>
                <c:pt idx="1337" c:formatCode="0.00">
                  <c:v>20</c:v>
                </c:pt>
                <c:pt idx="1338" c:formatCode="0.00">
                  <c:v>20</c:v>
                </c:pt>
                <c:pt idx="1339" c:formatCode="0.00">
                  <c:v>20</c:v>
                </c:pt>
                <c:pt idx="1340" c:formatCode="0.00">
                  <c:v>20</c:v>
                </c:pt>
                <c:pt idx="1341" c:formatCode="0.00">
                  <c:v>20</c:v>
                </c:pt>
                <c:pt idx="1342" c:formatCode="0.00">
                  <c:v>20</c:v>
                </c:pt>
                <c:pt idx="1343" c:formatCode="0.00">
                  <c:v>20</c:v>
                </c:pt>
                <c:pt idx="1344" c:formatCode="0.00">
                  <c:v>20</c:v>
                </c:pt>
                <c:pt idx="1345" c:formatCode="0.00">
                  <c:v>20</c:v>
                </c:pt>
                <c:pt idx="1346" c:formatCode="0.00">
                  <c:v>20</c:v>
                </c:pt>
                <c:pt idx="1347" c:formatCode="0.00">
                  <c:v>20</c:v>
                </c:pt>
                <c:pt idx="1348" c:formatCode="0.00">
                  <c:v>20</c:v>
                </c:pt>
                <c:pt idx="1349" c:formatCode="0.00">
                  <c:v>20</c:v>
                </c:pt>
                <c:pt idx="1350" c:formatCode="0.00">
                  <c:v>20</c:v>
                </c:pt>
                <c:pt idx="1351" c:formatCode="0.00">
                  <c:v>20</c:v>
                </c:pt>
                <c:pt idx="1352" c:formatCode="0.00">
                  <c:v>20</c:v>
                </c:pt>
                <c:pt idx="1353" c:formatCode="0.00">
                  <c:v>20</c:v>
                </c:pt>
                <c:pt idx="1354" c:formatCode="0.00">
                  <c:v>20</c:v>
                </c:pt>
                <c:pt idx="1355" c:formatCode="0.00">
                  <c:v>20</c:v>
                </c:pt>
                <c:pt idx="1356" c:formatCode="0.00">
                  <c:v>20</c:v>
                </c:pt>
                <c:pt idx="1357" c:formatCode="0.00">
                  <c:v>#N/A</c:v>
                </c:pt>
              </c:numCache>
            </c:numRef>
          </c:val>
          <c:smooth val="0"/>
        </c:ser>
        <c:dLbls>
          <c:showLegendKey val="0"/>
          <c:showVal val="0"/>
          <c:showCatName val="0"/>
          <c:showSerName val="0"/>
          <c:showPercent val="0"/>
          <c:showBubbleSize val="0"/>
        </c:dLbls>
        <c:marker val="0"/>
        <c:smooth val="0"/>
        <c:axId val="500746112"/>
        <c:axId val="500747648"/>
      </c:lineChart>
      <c:dateAx>
        <c:axId val="500746112"/>
        <c:scaling>
          <c:orientation val="minMax"/>
        </c:scaling>
        <c:delete val="0"/>
        <c:axPos val="b"/>
        <c:majorGridlines>
          <c:spPr>
            <a:ln w="12700" cap="flat" cmpd="sng" algn="ctr">
              <a:solidFill>
                <a:schemeClr val="tx1">
                  <a:tint val="75000"/>
                </a:schemeClr>
              </a:solidFill>
              <a:prstDash val="dash"/>
              <a:round/>
            </a:ln>
          </c:spPr>
        </c:majorGridlines>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500747648"/>
        <c:crosses val="autoZero"/>
        <c:auto val="1"/>
        <c:lblOffset val="100"/>
        <c:baseTimeUnit val="days"/>
        <c:majorUnit val="3"/>
        <c:majorTimeUnit val="months"/>
      </c:dateAx>
      <c:valAx>
        <c:axId val="500747648"/>
        <c:scaling>
          <c:orientation val="minMax"/>
          <c:min val="0"/>
        </c:scaling>
        <c:delete val="0"/>
        <c:axPos val="l"/>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500746112"/>
        <c:crosses val="autoZero"/>
        <c:crossBetween val="between"/>
      </c:valAx>
      <c:catAx>
        <c:axId val="1502781071"/>
        <c:scaling>
          <c:orientation val="minMax"/>
        </c:scaling>
        <c:delete val="1"/>
        <c:axPos val="b"/>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307237183"/>
        <c:crosses val="autoZero"/>
        <c:auto val="1"/>
        <c:lblAlgn val="ctr"/>
        <c:lblOffset val="100"/>
        <c:noMultiLvlLbl val="0"/>
      </c:catAx>
      <c:valAx>
        <c:axId val="1307237183"/>
        <c:scaling>
          <c:orientation val="minMax"/>
          <c:max val="0.2"/>
          <c:min val="-0.2"/>
        </c:scaling>
        <c:delete val="1"/>
        <c:axPos val="r"/>
        <c:numFmt formatCode="0%" sourceLinked="0"/>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502781071"/>
        <c:crosses val="max"/>
        <c:crossBetween val="between"/>
        <c:majorUnit val="0.05"/>
      </c:valAx>
      <c:spPr>
        <a:noFill/>
        <a:ln w="25400">
          <a:noFill/>
        </a:ln>
      </c:spPr>
    </c:plotArea>
    <c:legend>
      <c:legendPos val="b"/>
      <c:legendEntry>
        <c:idx val="0"/>
        <c:delete val="1"/>
      </c:legendEntry>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5912512a-6f56-49db-95a0-450ff497004d}"/>
      </c:ext>
    </c:extLst>
  </c:chart>
  <c:spPr>
    <a:solidFill>
      <a:srgbClr val="FFFFFF"/>
    </a:solidFill>
    <a:ln w="3175" cap="flat" cmpd="sng" algn="ctr">
      <a:solidFill>
        <a:srgbClr val="FFFFFF"/>
      </a:solidFill>
      <a:prstDash val="solid"/>
      <a:round/>
    </a:ln>
    <a:effectLst/>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960" b="1" i="0" u="none" strike="noStrike" kern="1200" baseline="0">
                <a:solidFill>
                  <a:schemeClr val="tx1"/>
                </a:solidFill>
                <a:latin typeface="Arial" panose="020B0604020202090204"/>
                <a:ea typeface="Arial" panose="020B0604020202090204"/>
                <a:cs typeface="Arial" panose="020B0604020202090204"/>
              </a:defRPr>
            </a:pPr>
            <a:r>
              <a:rPr lang="en-US"/>
              <a:t>Server DRAM Module (DDR4</a:t>
            </a:r>
            <a:r>
              <a:rPr lang="en-US" baseline="0"/>
              <a:t> </a:t>
            </a:r>
            <a:r>
              <a:rPr lang="en-US" sz="960" b="1" i="0" u="none" strike="noStrike" baseline="0">
                <a:effectLst/>
              </a:rPr>
              <a:t>64GB </a:t>
            </a:r>
            <a:r>
              <a:rPr lang="en-US"/>
              <a:t>RDIMM) Spot &amp; Contract Price</a:t>
            </a:r>
            <a:endParaRPr lang="en-US"/>
          </a:p>
        </c:rich>
      </c:tx>
      <c:layout/>
      <c:overlay val="1"/>
    </c:title>
    <c:autoTitleDeleted val="0"/>
    <c:plotArea>
      <c:layout>
        <c:manualLayout>
          <c:layoutTarget val="inner"/>
          <c:xMode val="edge"/>
          <c:yMode val="edge"/>
          <c:x val="0.100783248247815"/>
          <c:y val="0.134160166598893"/>
          <c:w val="0.866327247555594"/>
          <c:h val="0.56200422827656"/>
        </c:manualLayout>
      </c:layout>
      <c:areaChart>
        <c:grouping val="stacked"/>
        <c:varyColors val="0"/>
        <c:ser>
          <c:idx val="2"/>
          <c:order val="0"/>
          <c:tx>
            <c:strRef>
              <c:f>"Spot vs. Contract"</c:f>
              <c:strCache>
                <c:ptCount val="1"/>
                <c:pt idx="0">
                  <c:v>Spot vs. Contract</c:v>
                </c:pt>
              </c:strCache>
            </c:strRef>
          </c:tx>
          <c:spPr>
            <a:solidFill>
              <a:schemeClr val="accent1"/>
            </a:solidFill>
            <a:ln>
              <a:solidFill>
                <a:schemeClr val="accent1"/>
              </a:solidFill>
            </a:ln>
          </c:spPr>
          <c:dLbls>
            <c:delete val="1"/>
          </c:dLbls>
          <c:val>
            <c:numRef>
              <c:f>{0.00667838312829505,0.0149384885764499,0.0413005272407732,0.0588752196836555,0.0632688927943761,0.0764499121265376,0.0852372583479788,0.0984182776801406,0.107205623901582,0.115992970123023,0.124780316344464,0.142355008787346,0.151142355008787,0.168717047451669,0.169595782073814,0.178383128295255,0.17908611599297,0.187170474516696,0.170740103270224,0.178657487091222,0.190361445783133,0.190877796901893,0.191910499139415,0.192254733218589,0.192254733218589,0.192254733218589,0.192254733218589,0.192254733218589,0.192254733218589,0.192254733218589,0.192254733218589,0.192254733218589,0.186230636833047,0.186230636833047,0.186230636833047,0.178829604130809,0.178829604130809,0.178829604130809,0.178829604130809,0.178829604130809,0.178829604130809,0.181927710843374,0.18382099827883,0.185197934595525,0.185197934595525,0.185197934595525,0.185197934595525,0.185197934595525,0.167641996557659,0.169363166953528,0.174010327022375,0.174354561101549,0.174354561101549,0.174698795180723,0.176247848537005,0.176247848537005,0.166953528399312,0.167469879518072,0.168674698795181,0.0446153846153847,0.0446153846153847,0.0446153846153847,0.0481538461538462,0.0492307692307692,0.05,0.05,0.05,0.05,0.05,0.05,0.0493846153846154,0.0332307692307692,0.0256923076923077,0.0183076923076924,0.0107692307692309,-0.00461538461538469,-0.00769230769230766,-0.00769230769230766,-0.00769230769230766,-0.00769230769230766,-0.00769230769230766,-0.0115384615384616,-0.0192307692307693,-0.0187692307692308,-0.0187692307692308,-0.0187692307692308,-0.0187692307692308,-0.0181538461538462,-0.0175384615384615,-0.0175384615384615,-0.0175384615384615,-0.0175384615384615,-0.0175384615384615,-0.0175384615384615,-0.0167692307692308,-0.0167692307692308,-0.0167692307692308,-0.0167692307692308,-0.0167692307692308,-0.0167692307692308,-0.0167692307692308,-0.0167692307692308,-0.0175384615384615,-0.0175384615384615,-0.0175384615384615,-0.0175384615384615,-0.0146153846153846,-0.0135384615384615,-0.0135384615384615,-0.0107692307692309,-0.00861538461538458,-0.00784615384615384,-0.00646153846153841,0.00184615384615383,0.00461538461538469,0.00492307692307703,0.00661538461538469,0.00676923076923064,0.0070769230769232,-0.0387665198237884,-0.0368575624082231,-0.00646108663729805,-0.00587371512481649,-0.00323054331864892,-0.00220264317180607,-0.00220264317180607,-0.00220264317180607,0.0198237885462555,0.0290748898678415,0.0348017621145376,0.0402349486049927,0.0441997063142439,0.0572687224669604,0.0602055800293686,0.0602055800293686,0.0602055800293686,0.064610866372981,0.064610866372981,0.0772393538913363,0.0772393538913363,0.0772393538913363,0.0759177679882526,0.0759177679882526,0.0691629955947137,0.0691629955947137,0.0691629955947137,0.0691629955947137,0.0691629955947137,0.0687224669603523,0.0687224669603523,0.0687224669603523,0.0650513950073421,0.064610866372981,0.0644640234948606,0.0641703377386198,0.0641703377386198,0.0647577092511014,0.0650513950073421,0.0650513950073421,0.0669603524229077,0.0684287812041116,0.07136563876652,0.07136563876652,0.0784140969162996,0.0784140969162996,0.0798825256975038,0.0812041116005875,0.0856093979441996,0.0925110132158591,0.103083700440529,0.1071953010279,0.118208516886931,0.123348017621145,0.127459618208517,0.130690161527166,0.137591776798825,0.13935389133627,0.160205580029369,0.167400881057269,0.181938325991189,0.209985315712188,0.222466960352423,0.22511013215859,0.233627019089574,0.162106703146375,0.188372093023256,0.202462380300958,0.208891928864569,0.211901504787962,0.217510259917921,0.231190150478796,0.243912448700411,0.245280437756498,0.260601915184679,0.282489740082079,0.298221614227086,0.299589603283174,0.326949384404925,0.326949384404925,0.314090287277702,0.305061559507524,0.299863201094391,0.304240766073872,0.306976744186047,0.309575923392613,0.309986320109439,0.318057455540356,0.321203830369357,0.321614227086183,0.32202462380301,0.313269493844049,0.310533515731874,0.304924760601915,0.301367989056088,0.300957592339261,0.300136798905609,0.299863201094391,0.299452804377565,0.300547195622435,0.297127222982216,0.30984952120383,0.309986320109439,0.312585499316006,0.312585499316006,0.30984952120383,0.278133333333333,0.2832,0.2872,0.288,0.289066666666667,0.290266666666667,0.290266666666667,0.291066666666667,0.291333333333333,0.291466666666667,0.2888,0.284266666666667,0.282666666666667,0.282666666666667,0.282666666666667,0.282666666666667,0.282666666666667,0.282666666666667,0.282666666666667,0.282666666666667,0.282666666666667,0.278133333333333,0.278933333333333,0.278933333333333,0.278933333333333,0.281066666666667,0.286533333333333,0.286533333333333,0.286666666666667,0.286666666666667,0.286666666666667,0.286666666666667,0.286666666666667,0.286666666666667,0.286666666666667,0.277733333333333,0.274266666666667,0.273333333333333,0.273333333333333,0.277733333333333,0.277733333333333,0.277733333333333,0.2644,0.187153652392947,0.182619647355164,0.179345088161209,0.175314861460957,0.173803526448363,0.168765743073048,0.168765743073048,0.16712846347607,0.166876574307305,0.166750629722922,0.166750629722922,0.166750629722922,0.162846347607053,0.161335012594458,0.156549118387909,0.155793450881612,0.154911838790932,0.154785894206549,0.154282115869018,0.152015113350126,0.151259445843829,0.148488664987406,0.148488664987406,0.140680100755668,0.13816120906801,0.135642317380352,0.134130982367758,0.133627204030227,0.131360201511335,0.133501259445844,0.13551637279597,0.137027707808564,0.137027707808564,0.137531486146096,0.138539042821159,0.141813602015113,0.142065491183879,0.140680100755668,0.140680100755668,0.137783375314861,0.103052503052503,0.103052503052503,0.103052503052503,0.103663003663004,0.103052503052503,0.103052503052503,0.0992673992673994,0.0990231990231991,0.0974358974358975,0.0941391941391942,0.0941391941391942,0.0941391941391942,0.0926739926739928,0.0926739926739928,0.0909645909645911,0.0897435897435899,0.084859584859585,0.0844932844932844,0.0840048840048842,0.0840048840048842,0.0840048840048842,0.0840048840048842,0.0842490842490844,0.0842490842490844,0.0842490842490844,0.0842490842490844,0.0842490842490844,0.0842490842490844,0.0813186813186815,0.0769230769230771,0.0744810744810747,0.0744810744810747,0.0744810744810747,0.0661782661782662,0.0648351648351648,0.0612942612942613,0.0584859584859585,0.0584859584859585,0.0538461538461539,0.0538461538461539,0.0533577533577536,0.0532356532356533,0.0532356532356533,0.052991452991453,0.0528693528693529,0.0526251526251527,0.0522588522588523,0.0518925518925519,0.051770451770452,0.0515262515262516,0.0514041514041514,0.0511599511599512,0.0511599511599512,0.0503052503052503,0.0456654456654457,0.0448107448107449,0.0440781440781441,0.0417582417582418,0.0113553113553113,-0.00525030525030512,-0.0152625152625152,-0.0175824175824176,-0.0181929181929181,-0.0211233211233212,-0.0218559218559219,-0.0218559218559219,-0.0188034188034188,-0.0188034188034188,-0.0188034188034188,-0.0102564102564102,-0.0133089133089133,-0.0145299145299145,-0.0217338217338217,-0.0257631257631257,-0.0278388278388279,-0.0293040293040292,-0.0313797313797314,-0.0317460317460317,-0.0326007326007325,-0.0326007326007325,-0.0354090354090353,-0.0354090354090353,-0.0354090354090353,-0.0357753357753356,-0.0362637362637362,-0.036996336996337,-0.039072039072039,-0.0411477411477411,-0.0418803418803417,-0.0427350427350427,-0.0467643467643467,-0.05006105006105,-0.0525030525030524,-0.0533577533577533,-0.0561660561660561,-0.0601953601953601,-0.0692307692307691,-0.0699633699633699,-0.0721611721611721,-0.0747252747252747,-0.0777777777777777,-0.0777777777777777,-0.0792429792429792,-0.0813186813186813,-0.0818070818070818,-0.0855921855921855,-0.0864468864468864,-0.0875457875457875,-0.0881562881562881,-0.0888888888888889,-0.0979242979242979,-0.0984126984126983,-0.0998778998778999,-0.1003663003663,-0.100854700854701,-0.0993894993894993,-0.0993894993894993,-0.0993894993894993,-0.0993894993894993,-0.1003663003663,-0.102686202686203,-0.102686202686203,-0.103663003663004,-0.112332112332112,-0.119536019536019,-0.0142270861833105,-0.014500683994528,-0.015047879616963,-0.015047879616963,-0.015047879616963,-0.015047879616963,-0.0166894664842681,-0.0175102599179205,-0.0218878248974007,-0.0251709986320109,-0.0272229822161423,-0.0283173734610123,-0.0326949384404924,-0.0343365253077975,-0.0343365253077975,-0.0348837209302325,-0.0348837209302325,-0.0461012311901504,-0.0466484268125854,-0.0471956224350205,-0.0471956224350205,-0.0497948016415869,-0.0522571819425445,-0.0375521557719055,-0.0385257301808067,-0.0385257301808067,-0.0390820584144647,-0.0458970792767733,-0.0527121001390821,-0.0534075104311544,-0.0543810848400557,-0.0559109874826148,-0.0559109874826148,-0.0575799721835883,-0.0575799721835883,-0.0585535465924896,-0.0585535465924896,-0.0585535465924896,-0.0611961057023644,-0.0611961057023644,-0.0663421418636996,-0.0663421418636996,-0.0680111265646732,-0.0694019471488179,-0.0720445062586927,-0.0819310344827586,-0.0897931034482758,-0.0951724137931035,-0.0977931034482759,-0.0993103448275862,-0.1,-0.1,-0.103034482758621,-0.103034482758621,-0.104689655172414,-0.107310344827586,-0.107310344827586,-0.115172413793103,-0.116689655172414,-0.119862068965517,-0.121379310344828,-0.123034482758621,-0.123448275862069,-0.123862068965517,-0.123862068965517,0.0586666666666666,0.0489999999999999,0.0330000000000001,0.0296666666666667,0.0265,0.02,0.0188333333333335,0.0183333333333333,0.0178333333333334,0.0165,0.000333333333333297,-0.00283333333333335,-0.00649999999999995,-0.00716666666666665,-0.00783333333333325,-0.00783333333333325,-0.00800000000000001,-0.00800000000000001,-0.0086666666666666,-0.00900000000000001,-0.00900000000000001,-0.0096666666666666,0.158284600389864,0.157894736842105,0.157504873294347,0.15458089668616,0.14327485380117,0.139571150097466,0.135672514619883,0.131968810916179,0.125146198830409,0.12280701754386,0.12046783625731,0.117543859649123,0.0984405458089668,0.0863547758284602,0.0729044834307992,0.20109649122807,0.195833333333334,0.195175438596491,0.173245614035088,0.173245614035088,0.17171052631579,0.151315789473684,0.137938596491228,0.132894736842105,0.116008771929825,0.113377192982456,0.113377192982456,0.104824561403509,0.0734649122807018,0.0651315789473685,0.0407894736842107,0.0392543859649124,0.0166666666666668,0.00964912280701768,0.00526315789473686,0.00307017543859645,0.1335,0.1285,0.121,0.1135,0.1125,0.0985,0.0867500000000001,0.08125,0.0762499999999999,0.073,0.0629999999999999,0.0585,0.0549999999999999,0.0475000000000001,0.04,0.0269999999999999,0.022,0.00800000000000001,-0.004,-0.0115,-0.013,0.0405333333333333,0.0325333333333333,0.0271999999999999,0.0202666666666667,0.0138666666666667,0.0114666666666667,0.00826666666666664,0.00746666666666673,0.0066666666666666,0.00426666666666664,-0.000533333333333275,-0.0026666666666666,-0.00639999999999996,-0.0079999999999999,-0.0165333333333333,-0.0207999999999999,-0.0224,-0.0245333333333334,-0.0325333333333333,-0.0357333333333333,-0.0376,-0.0397333333333333,0.0854984894259818,0.0854984894259818,0.0809667673716012,0.066465256797583,0.0561933534743202,0.0410876132930513,0.0350453172205438,0.0332326283987916,0.0290030211480363,0.0277945619335347,0.0235649546827794,0.0126888217522658,0.00543806646525669,-0.0102719033232629,-0.0135951661631419,-0.0247734138972809,-0.0283987915407855,-0.0456193353474321,-0.0507552870090635,0.0639455782312925,0.0564625850340137,0.0517006802721089,0.0428571428571429,0.0306122448979591,0.0238095238095237,0.0224489795918368,0.0346938775510204,0.0544217687074831,0.109183673469388,0.143197278911565,0.201360544217687,0.212244897959184,0.22312925170068,0.270748299319728,0.270748299319728,0.256122448979592,0.246258503401361,0.239115646258503,0.236734693877551,0.235714285714286,0.235714285714286,0.235714285714286,0.23469387755102,0.235714285714286,0.235714285714286,0.237074829931973,0.237074829931973,0.230272108843537,0.218707482993197,0.216666666666667,0.209863945578231,0.206462585034014,0.205102040816327,0.199659863945578,0.198299319727891,0.196258503401361,0.19047619047619,0.189455782312925,0.18265306122449,0.180272108843538,0.177891156462585,0.162244897959184,0.156462585034014,0.154081632653061,0.150680272108844,0.146258503401361,0.142857142857143,0.131632653061224,0.12687074829932,0.123469387755102,0.112244897959184,0.108843537414966,0.106462585034014,0.104421768707483,0.103061224489796,0.102040816326531,0.101020408163265,0.0986394557823129,0.0976190476190475,0.0894557823129252,0.08843537414966,0.0874149659863945,0.0850340136054422,0.0826530612244898,0.128113879003559,0.112811387900356,0.109252669039146,0.100711743772242,0.095017793594306,0.0864768683274022,0.0914590747330961,0.0914590747330961,0.090035587188612,0.090035587188612,0.0864768683274022,0.0736654804270462,0.0665480427046263,0.0640569395017794,0.0558718861209964,0.0523131672597863,0.0462633451957295,0.0402135231316727,0.0345195729537366,0.0327402135231316,0.0295373665480425,0.0284697508896798,0.0259786476868327,0.0249110320284698,0.0238434163701067,0.0213523131672597,0.0202846975088968,0.0188612099644128,0.0153024911032029,0.0131672597864769,0.00818505338078301,0.00711743772241991,0.00711743772241991,0.00249110320284696,-0.00249110320284707,-0.00604982206405691,-0.00604982206405691,-0.0131672597864768,-0.0188612099644128,-0.0202846975088967,-0.0220640569395018,-0.0224199288256228,-0.0224199288256228,-0.0224199288256228,-0.0224199288256228,-0.0231316725978647,-0.0277580071174377,-0.0277580071174377,-0.0249110320284697,-0.0256227758007118,-0.0188612099644128,-0.00960854092526697,0.0188612099644128,0.0569395017793595,0.0736654804270462,0.0736654804270462,0.0758007117437722,0.0772241992882563,0.0772241992882563,0.0772241992882563,0.0772241992882563,0.0775800711743773,0.0782918149466192,0.0782918149466192,0.0782918149466192,0.0782918149466192,0.0669014084507042,0.073943661971831,0.0820422535211267,0.101056338028169,0.108098591549296,0.112676056338028,0.120774647887324,0.126760563380282,0.13274647887324,0.150352112676056,0.172535211267606,0.177112676056338,0.179577464788732,0.18556338028169,0.189084507042254,0.189084507042254,0.208802816901408,0.194444444444444,0.210763888888889,0.196875,0.189930555555556,0.185069444444445,0.185069444444445,0.185069444444445,0.185069444444445,0.185069444444445,0.185069444444445,0.178125,0.173611111111111,0.151736111111111,0.151736111111111,0.151736111111111,0.151736111111111,0.160763888888889,0.164236111111111,0.186458333333333,0.189930555555556,0.172448979591837,0.196258503401361,0.200680272108843,0.211904761904762,0.211904761904762,0.218707482993197,0.227891156462585,0.22891156462585,0.224489795918367,0.223469387755102,0.216666666666667,0.21530612244898,0.204081632653061,0.199659863945578,0.197278911564626,0.194897959183673,0.19047619047619,0.19047619047619,0.19047619047619,0.19047619047619,0.19047619047619,0.19047619047619,0.094224924012158,0.104255319148936,0.105471124620061,0.105471124620061,0.105471124620061,0.0993920972644378,0.0902735562310031,0.0881458966565349,0.0829787234042554,0.0738601823708207,0.064741641337386,0.0577507598784195,0.0556231003039513,0.0537993920972644,0.0486322188449848,0.0465045592705167,0.0416413373860183,0.0386018237082066,0.0364741641337387,0.0234042553191489,0.0161094224924012,0.00911854103343468,-0.000906344410876114,-0.00694864048338373,-0.00906344410876136,-0.011178247734139,-0.015105740181269,-0.0190332326283988,-0.027190332326284,-0.0293051359516616,-0.0347432024169185,-0.0441087613293051,-0.051963746223565,-0.0561933534743202,-0.0583081570996979,-0.0592145015105741,-0.0601208459214501,-0.0607250755287009,-0.065558912386707,-0.0676737160120846,-0.0697885196374622,-0.0761329305135953,-0.0761329305135953,-0.0776435045317221,-0.0776435045317221,-0.0791540785498489,-0.0854984894259818,-0.0867069486404833,-0.0954682779456193,-0.0978851963746223,-0.0987915407854985,-0.103021148036254,-0.120543806646526,-0.124773413897281,-0.131117824773414,-0.137462235649547,-0.138972809667674,-0.145619335347432,-0.148036253776435,-0.152870090634441,-0.155287009063444,-0.159516616314199,-0.114376996805112,-0.117571884984025,-0.120127795527156,-0.133546325878594,-0.13482428115016,-0.137380191693291,-0.139936102236422,-0.142492012779553,-0.145047923322684,-0.145047923322684,-0.147603833865815,-0.147923322683706,-0.147923322683706,-0.147923322683706,-0.150798722044728,-0.155591054313099,-0.155591054313099,-0.156549520766773,-0.156869009584665,-0.159744408945687,-0.160063897763578,-0.162939297124601,-0.163258785942492,-0.163258785942492,-0.166134185303514,-0.166453674121406,-0.166453674121406,-0.167092651757188,-0.167092651757188,-0.167092651757188,-0.167092651757188,-0.175399361022364,-0.177955271565495,-0.178594249201278,-0.181150159744409,-0.184025559105431,-0.189456869009585,-0.189456869009585,-0.192012779552716,-0.190095846645367,-0.180191693290735,-0.173801916932907,-0.173801916932907,-0.173801916932907,-0.162939297124601,-0.143130990415336,-0.118849840255591,-0.103194888178914,-0.100319488817891,-0.0878594249201278,-0.0773162939297125,-0.0654952076677316,-0.0591054313099042,-0.0591054313099042,-0.0591054313099042,-0.0517571884984025,-0.0517571884984025,-0.0517571884984025,-0.0517571884984025,-0.0543130990415335,-0.0543130990415335,-0.0543130990415335,-0.0543130990415335,-0.0565495207667732,-0.0565495207667732,-0.0565495207667732,0.0361403508771929,0.0361403508771929,0.0361403508771929,0.0361403508771929,0.0361403508771929,0.0385964912280701,0.0385964912280701,0.0361403508771929,0.0308771929824561,0.0256140350877192,0.0192982456140349,0.0175438596491226,0.016842105263158,0.0157894736842106,0.0157894736842106,0.0133333333333332,0.0122807017543858,0.00701754385964914,0.00666666666666682,0.00070175438596487,0.000350877192982324,-0.000350877192982435,-0.000350877192982435,-0.000350877192982435,-0.00140350877192985,-0.00140350877192985,-0.00210526315789483,-0.0028070175438597,-0.00947368421052641,-0.011578947368421,-0.011578947368421,-0.0150877192982457,-0.015438596491228,-0.015438596491228,-0.0171929824561403,-0.0185964912280702,-0.0252631578947369,-0.0252631578947369,-0.0263157894736843,-0.0277192982456141,-0.0280701754385965,-0.0280701754385965,-0.0266666666666667,-0.011578947368421,0.00491228070175431,0.0140350877192983,0.0368421052631578,0.0428070175438595,0.0428070175438595,0.0438596491228069,0.0498245614035087,0.0596491228070175,0.128070175438596,0.164210526315789,0.188070175438596,0.190877192982456,0.192982456140351,0.198245614035088,0.205263157894737,0.210526315789474,0.210526315789474,0.210526315789474,0.214035087719298,0.214035087719298,0.153333333333333,0.153333333333333,0.153333333333333,0.153333333333333,0.153333333333333,0.153333333333333,0.141666666666667,0.141666666666667,0.141666666666667,0.15,0.15,0.155,0.155,0.155,0.156666666666667,0.156666666666667,0.175,0.178333333333333,0.203333333333333,0.228333333333333,0.233333333333333,0.236666666666667,0.236666666666667,0.24,0.24,0.24,0.245,0.245,0.25,0.305,0.33,0.358333333333333,0.383333333333334,0.4,0.425,0.45,0.458333333333333,0.475,0.475,0.475,0.475,0.475,0.475,0.491666666666666,0.491666666666666,0.5,0.5,0.483333333333333,0.466666666666667,0.458333333333333,0.45,0.433333333333333,0.433333333333333,0.433333333333333,0.425,0.416666666666667,0.411666666666667,0.403333333333333,0.4,0.0986842105263157,0.0986842105263157,0.138157894736842,0.151315789473684,0.151315789473684,0.144736842105263,0.144736842105263,0.151315789473684,0.151315789473684,0.151315789473684,0.153947368421053,0.157894736842105,0.157894736842105,0.157894736842105,0.15921052631579,0.171052631578948,0.217105263157895,0.223684210526316,0.225789473684211,0.218947368421053,0.218947368421053,0.218947368421053,0.218947368421053,0.218947368421053,0.212105263157895,0.212105263157895,0.212105263157895,0.198947368421053,0.186315789473684,0.173157894736842,0.166842105263158,0.162894736842105,0.162894736842105,0.153684210526316,0.146842105263158,0.14,0.14,0.146315789473684,0.152894736842105,0.164473684210526,0.171052631578948,0.177631578947368,0.180263157894737,0.182894736842105,0.177631578947368,0.171052631578948,0.171052631578948,0.177631578947368,0.180263157894737,0.182894736842105,0.182894736842105,0.181578947368421,0.188157894736842,0.190789473684211,0.197368421052632,0.195526315789474,0.194736842105263,0.201842105263158,0.210526315789474,0.207894736842105,0.206578947368421,0.206578947368421,0.118292682926829,0.118292682926829,0.118292682926829,0.118292682926829,0.121951219512195,0.121951219512195,0.121951219512195,0.121951219512195,0.119512195121951,0.119512195121951,0.125609756097561,0.125609756097561,0.115853658536585,0.109756097560976,0.103658536585366,0.1,0.1,0.0975609756097562,0.0975609756097562,0.0914634146341464,0.0853658536585367,0.0792682926829269,0.0963414634146342,0.0939024390243903,0.0926829268292686,0.0858536585365854,0.0831707317073171,0.0548780487804879,0.0378048780487805,0.0339024390243903,0.0304878048780488,0.03,0.0278048780487807,0.0275609756097561,0.0212195121951222,0.00121951219512217,-0.0051219512195122,-0.00853658536585344,-0.011951219512195,-0.0265853658536584,-0.0382926829268292,-0.0478048780487804,-0.0514634146341463,-0.057560975609756,-0.0709756097560974,-0.073170731707317,-0.0734146341463414,-0.0756097560975609,-0.0775609756097561,-0.0817073170731706,-0.0839024390243902,-0.0863414634146341,-0.0890243902439024,-0.0912195121951219,-0.0917073170731706,-0.0917073170731706,-0.0919512195121951,-0.0921951219512195,-0.0929268292682927,-0.097560975609756,-0.0997560975609756,-0.100243902439024,-0.100731707317073,-0.108048780487805,-0.0169811320754717,-0.0169811320754717,-0.0169811320754717,-0.0172506738544475,-0.0199460916442048,-0.022911051212938,-0.0258760107816712,-0.0261455525606469,-0.0288409703504042,-0.033423180592992,-0.0442048517520216,-0.0474393530997305,-0.0539083557951483,-0.0582210242587601,-0.059299191374663,-0.0638814016172508,-0.0660377358490566,-0.0671159029649596,-0.077088948787062,-0.0824797843665769}</c:f>
              <c:numCache>
                <c:formatCode>General</c:formatCode>
                <c:ptCount val="1205"/>
                <c:pt idx="0">
                  <c:v>0.00667838312829505</c:v>
                </c:pt>
                <c:pt idx="1">
                  <c:v>0.0149384885764499</c:v>
                </c:pt>
                <c:pt idx="2">
                  <c:v>0.0413005272407732</c:v>
                </c:pt>
                <c:pt idx="3">
                  <c:v>0.0588752196836555</c:v>
                </c:pt>
                <c:pt idx="4">
                  <c:v>0.0632688927943761</c:v>
                </c:pt>
                <c:pt idx="5">
                  <c:v>0.0764499121265376</c:v>
                </c:pt>
                <c:pt idx="6">
                  <c:v>0.0852372583479788</c:v>
                </c:pt>
                <c:pt idx="7">
                  <c:v>0.0984182776801406</c:v>
                </c:pt>
                <c:pt idx="8">
                  <c:v>0.107205623901582</c:v>
                </c:pt>
                <c:pt idx="9">
                  <c:v>0.115992970123023</c:v>
                </c:pt>
                <c:pt idx="10">
                  <c:v>0.124780316344464</c:v>
                </c:pt>
                <c:pt idx="11">
                  <c:v>0.142355008787346</c:v>
                </c:pt>
                <c:pt idx="12">
                  <c:v>0.151142355008787</c:v>
                </c:pt>
                <c:pt idx="13">
                  <c:v>0.168717047451669</c:v>
                </c:pt>
                <c:pt idx="14">
                  <c:v>0.169595782073814</c:v>
                </c:pt>
                <c:pt idx="15">
                  <c:v>0.178383128295255</c:v>
                </c:pt>
                <c:pt idx="16">
                  <c:v>0.17908611599297</c:v>
                </c:pt>
                <c:pt idx="17">
                  <c:v>0.187170474516696</c:v>
                </c:pt>
                <c:pt idx="18">
                  <c:v>0.170740103270224</c:v>
                </c:pt>
                <c:pt idx="19">
                  <c:v>0.178657487091222</c:v>
                </c:pt>
                <c:pt idx="20">
                  <c:v>0.190361445783133</c:v>
                </c:pt>
                <c:pt idx="21">
                  <c:v>0.190877796901893</c:v>
                </c:pt>
                <c:pt idx="22">
                  <c:v>0.191910499139415</c:v>
                </c:pt>
                <c:pt idx="23">
                  <c:v>0.192254733218589</c:v>
                </c:pt>
                <c:pt idx="24">
                  <c:v>0.192254733218589</c:v>
                </c:pt>
                <c:pt idx="25">
                  <c:v>0.192254733218589</c:v>
                </c:pt>
                <c:pt idx="26">
                  <c:v>0.192254733218589</c:v>
                </c:pt>
                <c:pt idx="27">
                  <c:v>0.192254733218589</c:v>
                </c:pt>
                <c:pt idx="28">
                  <c:v>0.192254733218589</c:v>
                </c:pt>
                <c:pt idx="29">
                  <c:v>0.192254733218589</c:v>
                </c:pt>
                <c:pt idx="30">
                  <c:v>0.192254733218589</c:v>
                </c:pt>
                <c:pt idx="31">
                  <c:v>0.192254733218589</c:v>
                </c:pt>
                <c:pt idx="32">
                  <c:v>0.186230636833047</c:v>
                </c:pt>
                <c:pt idx="33">
                  <c:v>0.186230636833047</c:v>
                </c:pt>
                <c:pt idx="34">
                  <c:v>0.186230636833047</c:v>
                </c:pt>
                <c:pt idx="35">
                  <c:v>0.178829604130809</c:v>
                </c:pt>
                <c:pt idx="36">
                  <c:v>0.178829604130809</c:v>
                </c:pt>
                <c:pt idx="37">
                  <c:v>0.178829604130809</c:v>
                </c:pt>
                <c:pt idx="38">
                  <c:v>0.178829604130809</c:v>
                </c:pt>
                <c:pt idx="39">
                  <c:v>0.178829604130809</c:v>
                </c:pt>
                <c:pt idx="40">
                  <c:v>0.178829604130809</c:v>
                </c:pt>
                <c:pt idx="41">
                  <c:v>0.181927710843374</c:v>
                </c:pt>
                <c:pt idx="42">
                  <c:v>0.18382099827883</c:v>
                </c:pt>
                <c:pt idx="43">
                  <c:v>0.185197934595525</c:v>
                </c:pt>
                <c:pt idx="44">
                  <c:v>0.185197934595525</c:v>
                </c:pt>
                <c:pt idx="45">
                  <c:v>0.185197934595525</c:v>
                </c:pt>
                <c:pt idx="46">
                  <c:v>0.185197934595525</c:v>
                </c:pt>
                <c:pt idx="47">
                  <c:v>0.185197934595525</c:v>
                </c:pt>
                <c:pt idx="48">
                  <c:v>0.167641996557659</c:v>
                </c:pt>
                <c:pt idx="49">
                  <c:v>0.169363166953528</c:v>
                </c:pt>
                <c:pt idx="50">
                  <c:v>0.174010327022375</c:v>
                </c:pt>
                <c:pt idx="51">
                  <c:v>0.174354561101549</c:v>
                </c:pt>
                <c:pt idx="52">
                  <c:v>0.174354561101549</c:v>
                </c:pt>
                <c:pt idx="53">
                  <c:v>0.174698795180723</c:v>
                </c:pt>
                <c:pt idx="54">
                  <c:v>0.176247848537005</c:v>
                </c:pt>
                <c:pt idx="55">
                  <c:v>0.176247848537005</c:v>
                </c:pt>
                <c:pt idx="56">
                  <c:v>0.166953528399312</c:v>
                </c:pt>
                <c:pt idx="57">
                  <c:v>0.167469879518072</c:v>
                </c:pt>
                <c:pt idx="58">
                  <c:v>0.168674698795181</c:v>
                </c:pt>
                <c:pt idx="59">
                  <c:v>0.0446153846153847</c:v>
                </c:pt>
                <c:pt idx="60">
                  <c:v>0.0446153846153847</c:v>
                </c:pt>
                <c:pt idx="61">
                  <c:v>0.0446153846153847</c:v>
                </c:pt>
                <c:pt idx="62">
                  <c:v>0.0481538461538462</c:v>
                </c:pt>
                <c:pt idx="63">
                  <c:v>0.0492307692307692</c:v>
                </c:pt>
                <c:pt idx="64">
                  <c:v>0.05</c:v>
                </c:pt>
                <c:pt idx="65">
                  <c:v>0.05</c:v>
                </c:pt>
                <c:pt idx="66">
                  <c:v>0.05</c:v>
                </c:pt>
                <c:pt idx="67">
                  <c:v>0.05</c:v>
                </c:pt>
                <c:pt idx="68">
                  <c:v>0.05</c:v>
                </c:pt>
                <c:pt idx="69">
                  <c:v>0.05</c:v>
                </c:pt>
                <c:pt idx="70">
                  <c:v>0.0493846153846154</c:v>
                </c:pt>
                <c:pt idx="71">
                  <c:v>0.0332307692307692</c:v>
                </c:pt>
                <c:pt idx="72">
                  <c:v>0.0256923076923077</c:v>
                </c:pt>
                <c:pt idx="73">
                  <c:v>0.0183076923076924</c:v>
                </c:pt>
                <c:pt idx="74">
                  <c:v>0.0107692307692309</c:v>
                </c:pt>
                <c:pt idx="75">
                  <c:v>-0.00461538461538469</c:v>
                </c:pt>
                <c:pt idx="76">
                  <c:v>-0.00769230769230766</c:v>
                </c:pt>
                <c:pt idx="77">
                  <c:v>-0.00769230769230766</c:v>
                </c:pt>
                <c:pt idx="78">
                  <c:v>-0.00769230769230766</c:v>
                </c:pt>
                <c:pt idx="79">
                  <c:v>-0.00769230769230766</c:v>
                </c:pt>
                <c:pt idx="80">
                  <c:v>-0.00769230769230766</c:v>
                </c:pt>
                <c:pt idx="81">
                  <c:v>-0.0115384615384616</c:v>
                </c:pt>
                <c:pt idx="82">
                  <c:v>-0.0192307692307693</c:v>
                </c:pt>
                <c:pt idx="83">
                  <c:v>-0.0187692307692308</c:v>
                </c:pt>
                <c:pt idx="84">
                  <c:v>-0.0187692307692308</c:v>
                </c:pt>
                <c:pt idx="85">
                  <c:v>-0.0187692307692308</c:v>
                </c:pt>
                <c:pt idx="86">
                  <c:v>-0.0187692307692308</c:v>
                </c:pt>
                <c:pt idx="87">
                  <c:v>-0.0181538461538462</c:v>
                </c:pt>
                <c:pt idx="88">
                  <c:v>-0.0175384615384615</c:v>
                </c:pt>
                <c:pt idx="89">
                  <c:v>-0.0175384615384615</c:v>
                </c:pt>
                <c:pt idx="90">
                  <c:v>-0.0175384615384615</c:v>
                </c:pt>
                <c:pt idx="91">
                  <c:v>-0.0175384615384615</c:v>
                </c:pt>
                <c:pt idx="92">
                  <c:v>-0.0175384615384615</c:v>
                </c:pt>
                <c:pt idx="93">
                  <c:v>-0.0175384615384615</c:v>
                </c:pt>
                <c:pt idx="94">
                  <c:v>-0.0167692307692308</c:v>
                </c:pt>
                <c:pt idx="95">
                  <c:v>-0.0167692307692308</c:v>
                </c:pt>
                <c:pt idx="96">
                  <c:v>-0.0167692307692308</c:v>
                </c:pt>
                <c:pt idx="97">
                  <c:v>-0.0167692307692308</c:v>
                </c:pt>
                <c:pt idx="98">
                  <c:v>-0.0167692307692308</c:v>
                </c:pt>
                <c:pt idx="99">
                  <c:v>-0.0167692307692308</c:v>
                </c:pt>
                <c:pt idx="100">
                  <c:v>-0.0167692307692308</c:v>
                </c:pt>
                <c:pt idx="101">
                  <c:v>-0.0167692307692308</c:v>
                </c:pt>
                <c:pt idx="102">
                  <c:v>-0.0175384615384615</c:v>
                </c:pt>
                <c:pt idx="103">
                  <c:v>-0.0175384615384615</c:v>
                </c:pt>
                <c:pt idx="104">
                  <c:v>-0.0175384615384615</c:v>
                </c:pt>
                <c:pt idx="105">
                  <c:v>-0.0175384615384615</c:v>
                </c:pt>
                <c:pt idx="106">
                  <c:v>-0.0146153846153846</c:v>
                </c:pt>
                <c:pt idx="107">
                  <c:v>-0.0135384615384615</c:v>
                </c:pt>
                <c:pt idx="108">
                  <c:v>-0.0135384615384615</c:v>
                </c:pt>
                <c:pt idx="109">
                  <c:v>-0.0107692307692309</c:v>
                </c:pt>
                <c:pt idx="110">
                  <c:v>-0.00861538461538458</c:v>
                </c:pt>
                <c:pt idx="111">
                  <c:v>-0.00784615384615384</c:v>
                </c:pt>
                <c:pt idx="112">
                  <c:v>-0.00646153846153841</c:v>
                </c:pt>
                <c:pt idx="113">
                  <c:v>0.00184615384615383</c:v>
                </c:pt>
                <c:pt idx="114">
                  <c:v>0.00461538461538469</c:v>
                </c:pt>
                <c:pt idx="115">
                  <c:v>0.00492307692307703</c:v>
                </c:pt>
                <c:pt idx="116">
                  <c:v>0.00661538461538469</c:v>
                </c:pt>
                <c:pt idx="117">
                  <c:v>0.00676923076923064</c:v>
                </c:pt>
                <c:pt idx="118">
                  <c:v>0.0070769230769232</c:v>
                </c:pt>
                <c:pt idx="119">
                  <c:v>-0.0387665198237884</c:v>
                </c:pt>
                <c:pt idx="120">
                  <c:v>-0.0368575624082231</c:v>
                </c:pt>
                <c:pt idx="121">
                  <c:v>-0.00646108663729805</c:v>
                </c:pt>
                <c:pt idx="122">
                  <c:v>-0.00587371512481649</c:v>
                </c:pt>
                <c:pt idx="123">
                  <c:v>-0.00323054331864892</c:v>
                </c:pt>
                <c:pt idx="124">
                  <c:v>-0.00220264317180607</c:v>
                </c:pt>
                <c:pt idx="125">
                  <c:v>-0.00220264317180607</c:v>
                </c:pt>
                <c:pt idx="126">
                  <c:v>-0.00220264317180607</c:v>
                </c:pt>
                <c:pt idx="127">
                  <c:v>0.0198237885462555</c:v>
                </c:pt>
                <c:pt idx="128">
                  <c:v>0.0290748898678415</c:v>
                </c:pt>
                <c:pt idx="129">
                  <c:v>0.0348017621145376</c:v>
                </c:pt>
                <c:pt idx="130">
                  <c:v>0.0402349486049927</c:v>
                </c:pt>
                <c:pt idx="131">
                  <c:v>0.0441997063142439</c:v>
                </c:pt>
                <c:pt idx="132">
                  <c:v>0.0572687224669604</c:v>
                </c:pt>
                <c:pt idx="133">
                  <c:v>0.0602055800293686</c:v>
                </c:pt>
                <c:pt idx="134">
                  <c:v>0.0602055800293686</c:v>
                </c:pt>
                <c:pt idx="135">
                  <c:v>0.0602055800293686</c:v>
                </c:pt>
                <c:pt idx="136">
                  <c:v>0.064610866372981</c:v>
                </c:pt>
                <c:pt idx="137">
                  <c:v>0.064610866372981</c:v>
                </c:pt>
                <c:pt idx="138">
                  <c:v>0.0772393538913363</c:v>
                </c:pt>
                <c:pt idx="139">
                  <c:v>0.0772393538913363</c:v>
                </c:pt>
                <c:pt idx="140">
                  <c:v>0.0772393538913363</c:v>
                </c:pt>
                <c:pt idx="141">
                  <c:v>0.0759177679882526</c:v>
                </c:pt>
                <c:pt idx="142">
                  <c:v>0.0759177679882526</c:v>
                </c:pt>
                <c:pt idx="143">
                  <c:v>0.0691629955947137</c:v>
                </c:pt>
                <c:pt idx="144">
                  <c:v>0.0691629955947137</c:v>
                </c:pt>
                <c:pt idx="145">
                  <c:v>0.0691629955947137</c:v>
                </c:pt>
                <c:pt idx="146">
                  <c:v>0.0691629955947137</c:v>
                </c:pt>
                <c:pt idx="147">
                  <c:v>0.0691629955947137</c:v>
                </c:pt>
                <c:pt idx="148">
                  <c:v>0.0687224669603523</c:v>
                </c:pt>
                <c:pt idx="149">
                  <c:v>0.0687224669603523</c:v>
                </c:pt>
                <c:pt idx="150">
                  <c:v>0.0687224669603523</c:v>
                </c:pt>
                <c:pt idx="151">
                  <c:v>0.0650513950073421</c:v>
                </c:pt>
                <c:pt idx="152">
                  <c:v>0.064610866372981</c:v>
                </c:pt>
                <c:pt idx="153">
                  <c:v>0.0644640234948606</c:v>
                </c:pt>
                <c:pt idx="154">
                  <c:v>0.0641703377386198</c:v>
                </c:pt>
                <c:pt idx="155">
                  <c:v>0.0641703377386198</c:v>
                </c:pt>
                <c:pt idx="156">
                  <c:v>0.0647577092511014</c:v>
                </c:pt>
                <c:pt idx="157">
                  <c:v>0.0650513950073421</c:v>
                </c:pt>
                <c:pt idx="158">
                  <c:v>0.0650513950073421</c:v>
                </c:pt>
                <c:pt idx="159">
                  <c:v>0.0669603524229077</c:v>
                </c:pt>
                <c:pt idx="160">
                  <c:v>0.0684287812041116</c:v>
                </c:pt>
                <c:pt idx="161">
                  <c:v>0.07136563876652</c:v>
                </c:pt>
                <c:pt idx="162">
                  <c:v>0.07136563876652</c:v>
                </c:pt>
                <c:pt idx="163">
                  <c:v>0.0784140969162996</c:v>
                </c:pt>
                <c:pt idx="164">
                  <c:v>0.0784140969162996</c:v>
                </c:pt>
                <c:pt idx="165">
                  <c:v>0.0798825256975038</c:v>
                </c:pt>
                <c:pt idx="166">
                  <c:v>0.0812041116005875</c:v>
                </c:pt>
                <c:pt idx="167">
                  <c:v>0.0856093979441996</c:v>
                </c:pt>
                <c:pt idx="168">
                  <c:v>0.0925110132158591</c:v>
                </c:pt>
                <c:pt idx="169">
                  <c:v>0.103083700440529</c:v>
                </c:pt>
                <c:pt idx="170">
                  <c:v>0.1071953010279</c:v>
                </c:pt>
                <c:pt idx="171">
                  <c:v>0.118208516886931</c:v>
                </c:pt>
                <c:pt idx="172">
                  <c:v>0.123348017621145</c:v>
                </c:pt>
                <c:pt idx="173">
                  <c:v>0.127459618208517</c:v>
                </c:pt>
                <c:pt idx="174">
                  <c:v>0.130690161527166</c:v>
                </c:pt>
                <c:pt idx="175">
                  <c:v>0.137591776798825</c:v>
                </c:pt>
                <c:pt idx="176">
                  <c:v>0.13935389133627</c:v>
                </c:pt>
                <c:pt idx="177">
                  <c:v>0.160205580029369</c:v>
                </c:pt>
                <c:pt idx="178">
                  <c:v>0.167400881057269</c:v>
                </c:pt>
                <c:pt idx="179">
                  <c:v>0.181938325991189</c:v>
                </c:pt>
                <c:pt idx="180">
                  <c:v>0.209985315712188</c:v>
                </c:pt>
                <c:pt idx="181">
                  <c:v>0.222466960352423</c:v>
                </c:pt>
                <c:pt idx="182">
                  <c:v>0.22511013215859</c:v>
                </c:pt>
                <c:pt idx="183">
                  <c:v>0.233627019089574</c:v>
                </c:pt>
                <c:pt idx="184">
                  <c:v>0.162106703146375</c:v>
                </c:pt>
                <c:pt idx="185">
                  <c:v>0.188372093023256</c:v>
                </c:pt>
                <c:pt idx="186">
                  <c:v>0.202462380300958</c:v>
                </c:pt>
                <c:pt idx="187">
                  <c:v>0.208891928864569</c:v>
                </c:pt>
                <c:pt idx="188">
                  <c:v>0.211901504787962</c:v>
                </c:pt>
                <c:pt idx="189">
                  <c:v>0.217510259917921</c:v>
                </c:pt>
                <c:pt idx="190">
                  <c:v>0.231190150478796</c:v>
                </c:pt>
                <c:pt idx="191">
                  <c:v>0.243912448700411</c:v>
                </c:pt>
                <c:pt idx="192">
                  <c:v>0.245280437756498</c:v>
                </c:pt>
                <c:pt idx="193">
                  <c:v>0.260601915184679</c:v>
                </c:pt>
                <c:pt idx="194">
                  <c:v>0.282489740082079</c:v>
                </c:pt>
                <c:pt idx="195">
                  <c:v>0.298221614227086</c:v>
                </c:pt>
                <c:pt idx="196">
                  <c:v>0.299589603283174</c:v>
                </c:pt>
                <c:pt idx="197">
                  <c:v>0.326949384404925</c:v>
                </c:pt>
                <c:pt idx="198">
                  <c:v>0.326949384404925</c:v>
                </c:pt>
                <c:pt idx="199">
                  <c:v>0.314090287277702</c:v>
                </c:pt>
                <c:pt idx="200">
                  <c:v>0.305061559507524</c:v>
                </c:pt>
                <c:pt idx="201">
                  <c:v>0.299863201094391</c:v>
                </c:pt>
                <c:pt idx="202">
                  <c:v>0.304240766073872</c:v>
                </c:pt>
                <c:pt idx="203">
                  <c:v>0.306976744186047</c:v>
                </c:pt>
                <c:pt idx="204">
                  <c:v>0.309575923392613</c:v>
                </c:pt>
                <c:pt idx="205">
                  <c:v>0.309986320109439</c:v>
                </c:pt>
                <c:pt idx="206">
                  <c:v>0.318057455540356</c:v>
                </c:pt>
                <c:pt idx="207">
                  <c:v>0.321203830369357</c:v>
                </c:pt>
                <c:pt idx="208">
                  <c:v>0.321614227086183</c:v>
                </c:pt>
                <c:pt idx="209">
                  <c:v>0.32202462380301</c:v>
                </c:pt>
                <c:pt idx="210">
                  <c:v>0.313269493844049</c:v>
                </c:pt>
                <c:pt idx="211">
                  <c:v>0.310533515731874</c:v>
                </c:pt>
                <c:pt idx="212">
                  <c:v>0.304924760601915</c:v>
                </c:pt>
                <c:pt idx="213">
                  <c:v>0.301367989056088</c:v>
                </c:pt>
                <c:pt idx="214">
                  <c:v>0.300957592339261</c:v>
                </c:pt>
                <c:pt idx="215">
                  <c:v>0.300136798905609</c:v>
                </c:pt>
                <c:pt idx="216">
                  <c:v>0.299863201094391</c:v>
                </c:pt>
                <c:pt idx="217">
                  <c:v>0.299452804377565</c:v>
                </c:pt>
                <c:pt idx="218">
                  <c:v>0.300547195622435</c:v>
                </c:pt>
                <c:pt idx="219">
                  <c:v>0.297127222982216</c:v>
                </c:pt>
                <c:pt idx="220">
                  <c:v>0.30984952120383</c:v>
                </c:pt>
                <c:pt idx="221">
                  <c:v>0.309986320109439</c:v>
                </c:pt>
                <c:pt idx="222">
                  <c:v>0.312585499316006</c:v>
                </c:pt>
                <c:pt idx="223">
                  <c:v>0.312585499316006</c:v>
                </c:pt>
                <c:pt idx="224">
                  <c:v>0.30984952120383</c:v>
                </c:pt>
                <c:pt idx="225">
                  <c:v>0.278133333333333</c:v>
                </c:pt>
                <c:pt idx="226">
                  <c:v>0.2832</c:v>
                </c:pt>
                <c:pt idx="227">
                  <c:v>0.2872</c:v>
                </c:pt>
                <c:pt idx="228">
                  <c:v>0.288</c:v>
                </c:pt>
                <c:pt idx="229">
                  <c:v>0.289066666666667</c:v>
                </c:pt>
                <c:pt idx="230">
                  <c:v>0.290266666666667</c:v>
                </c:pt>
                <c:pt idx="231">
                  <c:v>0.290266666666667</c:v>
                </c:pt>
                <c:pt idx="232">
                  <c:v>0.291066666666667</c:v>
                </c:pt>
                <c:pt idx="233">
                  <c:v>0.291333333333333</c:v>
                </c:pt>
                <c:pt idx="234">
                  <c:v>0.291466666666667</c:v>
                </c:pt>
                <c:pt idx="235">
                  <c:v>0.2888</c:v>
                </c:pt>
                <c:pt idx="236">
                  <c:v>0.284266666666667</c:v>
                </c:pt>
                <c:pt idx="237">
                  <c:v>0.282666666666667</c:v>
                </c:pt>
                <c:pt idx="238">
                  <c:v>0.282666666666667</c:v>
                </c:pt>
                <c:pt idx="239">
                  <c:v>0.282666666666667</c:v>
                </c:pt>
                <c:pt idx="240">
                  <c:v>0.282666666666667</c:v>
                </c:pt>
                <c:pt idx="241">
                  <c:v>0.282666666666667</c:v>
                </c:pt>
                <c:pt idx="242">
                  <c:v>0.282666666666667</c:v>
                </c:pt>
                <c:pt idx="243">
                  <c:v>0.282666666666667</c:v>
                </c:pt>
                <c:pt idx="244">
                  <c:v>0.282666666666667</c:v>
                </c:pt>
                <c:pt idx="245">
                  <c:v>0.282666666666667</c:v>
                </c:pt>
                <c:pt idx="246">
                  <c:v>0.278133333333333</c:v>
                </c:pt>
                <c:pt idx="247">
                  <c:v>0.278933333333333</c:v>
                </c:pt>
                <c:pt idx="248">
                  <c:v>0.278933333333333</c:v>
                </c:pt>
                <c:pt idx="249">
                  <c:v>0.278933333333333</c:v>
                </c:pt>
                <c:pt idx="250">
                  <c:v>0.281066666666667</c:v>
                </c:pt>
                <c:pt idx="251">
                  <c:v>0.286533333333333</c:v>
                </c:pt>
                <c:pt idx="252">
                  <c:v>0.286533333333333</c:v>
                </c:pt>
                <c:pt idx="253">
                  <c:v>0.286666666666667</c:v>
                </c:pt>
                <c:pt idx="254">
                  <c:v>0.286666666666667</c:v>
                </c:pt>
                <c:pt idx="255">
                  <c:v>0.286666666666667</c:v>
                </c:pt>
                <c:pt idx="256">
                  <c:v>0.286666666666667</c:v>
                </c:pt>
                <c:pt idx="257">
                  <c:v>0.286666666666667</c:v>
                </c:pt>
                <c:pt idx="258">
                  <c:v>0.286666666666667</c:v>
                </c:pt>
                <c:pt idx="259">
                  <c:v>0.286666666666667</c:v>
                </c:pt>
                <c:pt idx="260">
                  <c:v>0.277733333333333</c:v>
                </c:pt>
                <c:pt idx="261">
                  <c:v>0.274266666666667</c:v>
                </c:pt>
                <c:pt idx="262">
                  <c:v>0.273333333333333</c:v>
                </c:pt>
                <c:pt idx="263">
                  <c:v>0.273333333333333</c:v>
                </c:pt>
                <c:pt idx="264">
                  <c:v>0.277733333333333</c:v>
                </c:pt>
                <c:pt idx="265">
                  <c:v>0.277733333333333</c:v>
                </c:pt>
                <c:pt idx="266">
                  <c:v>0.277733333333333</c:v>
                </c:pt>
                <c:pt idx="267">
                  <c:v>0.2644</c:v>
                </c:pt>
                <c:pt idx="268">
                  <c:v>0.187153652392947</c:v>
                </c:pt>
                <c:pt idx="269">
                  <c:v>0.182619647355164</c:v>
                </c:pt>
                <c:pt idx="270">
                  <c:v>0.179345088161209</c:v>
                </c:pt>
                <c:pt idx="271">
                  <c:v>0.175314861460957</c:v>
                </c:pt>
                <c:pt idx="272">
                  <c:v>0.173803526448363</c:v>
                </c:pt>
                <c:pt idx="273">
                  <c:v>0.168765743073048</c:v>
                </c:pt>
                <c:pt idx="274">
                  <c:v>0.168765743073048</c:v>
                </c:pt>
                <c:pt idx="275">
                  <c:v>0.16712846347607</c:v>
                </c:pt>
                <c:pt idx="276">
                  <c:v>0.166876574307305</c:v>
                </c:pt>
                <c:pt idx="277">
                  <c:v>0.166750629722922</c:v>
                </c:pt>
                <c:pt idx="278">
                  <c:v>0.166750629722922</c:v>
                </c:pt>
                <c:pt idx="279">
                  <c:v>0.166750629722922</c:v>
                </c:pt>
                <c:pt idx="280">
                  <c:v>0.162846347607053</c:v>
                </c:pt>
                <c:pt idx="281">
                  <c:v>0.161335012594458</c:v>
                </c:pt>
                <c:pt idx="282">
                  <c:v>0.156549118387909</c:v>
                </c:pt>
                <c:pt idx="283">
                  <c:v>0.155793450881612</c:v>
                </c:pt>
                <c:pt idx="284">
                  <c:v>0.154911838790932</c:v>
                </c:pt>
                <c:pt idx="285">
                  <c:v>0.154785894206549</c:v>
                </c:pt>
                <c:pt idx="286">
                  <c:v>0.154282115869018</c:v>
                </c:pt>
                <c:pt idx="287">
                  <c:v>0.152015113350126</c:v>
                </c:pt>
                <c:pt idx="288">
                  <c:v>0.151259445843829</c:v>
                </c:pt>
                <c:pt idx="289">
                  <c:v>0.148488664987406</c:v>
                </c:pt>
                <c:pt idx="290">
                  <c:v>0.148488664987406</c:v>
                </c:pt>
                <c:pt idx="291">
                  <c:v>0.140680100755668</c:v>
                </c:pt>
                <c:pt idx="292">
                  <c:v>0.13816120906801</c:v>
                </c:pt>
                <c:pt idx="293">
                  <c:v>0.135642317380352</c:v>
                </c:pt>
                <c:pt idx="294">
                  <c:v>0.134130982367758</c:v>
                </c:pt>
                <c:pt idx="295">
                  <c:v>0.133627204030227</c:v>
                </c:pt>
                <c:pt idx="296">
                  <c:v>0.131360201511335</c:v>
                </c:pt>
                <c:pt idx="297">
                  <c:v>0.133501259445844</c:v>
                </c:pt>
                <c:pt idx="298">
                  <c:v>0.13551637279597</c:v>
                </c:pt>
                <c:pt idx="299">
                  <c:v>0.137027707808564</c:v>
                </c:pt>
                <c:pt idx="300">
                  <c:v>0.137027707808564</c:v>
                </c:pt>
                <c:pt idx="301">
                  <c:v>0.137531486146096</c:v>
                </c:pt>
                <c:pt idx="302">
                  <c:v>0.138539042821159</c:v>
                </c:pt>
                <c:pt idx="303">
                  <c:v>0.141813602015113</c:v>
                </c:pt>
                <c:pt idx="304">
                  <c:v>0.142065491183879</c:v>
                </c:pt>
                <c:pt idx="305">
                  <c:v>0.140680100755668</c:v>
                </c:pt>
                <c:pt idx="306">
                  <c:v>0.140680100755668</c:v>
                </c:pt>
                <c:pt idx="307">
                  <c:v>0.137783375314861</c:v>
                </c:pt>
                <c:pt idx="308">
                  <c:v>0.103052503052503</c:v>
                </c:pt>
                <c:pt idx="309">
                  <c:v>0.103052503052503</c:v>
                </c:pt>
                <c:pt idx="310">
                  <c:v>0.103052503052503</c:v>
                </c:pt>
                <c:pt idx="311">
                  <c:v>0.103663003663004</c:v>
                </c:pt>
                <c:pt idx="312">
                  <c:v>0.103052503052503</c:v>
                </c:pt>
                <c:pt idx="313">
                  <c:v>0.103052503052503</c:v>
                </c:pt>
                <c:pt idx="314">
                  <c:v>0.0992673992673994</c:v>
                </c:pt>
                <c:pt idx="315">
                  <c:v>0.0990231990231991</c:v>
                </c:pt>
                <c:pt idx="316">
                  <c:v>0.0974358974358975</c:v>
                </c:pt>
                <c:pt idx="317">
                  <c:v>0.0941391941391942</c:v>
                </c:pt>
                <c:pt idx="318">
                  <c:v>0.0941391941391942</c:v>
                </c:pt>
                <c:pt idx="319">
                  <c:v>0.0941391941391942</c:v>
                </c:pt>
                <c:pt idx="320">
                  <c:v>0.0926739926739928</c:v>
                </c:pt>
                <c:pt idx="321">
                  <c:v>0.0926739926739928</c:v>
                </c:pt>
                <c:pt idx="322">
                  <c:v>0.0909645909645911</c:v>
                </c:pt>
                <c:pt idx="323">
                  <c:v>0.0897435897435899</c:v>
                </c:pt>
                <c:pt idx="324">
                  <c:v>0.084859584859585</c:v>
                </c:pt>
                <c:pt idx="325">
                  <c:v>0.0844932844932844</c:v>
                </c:pt>
                <c:pt idx="326">
                  <c:v>0.0840048840048842</c:v>
                </c:pt>
                <c:pt idx="327">
                  <c:v>0.0840048840048842</c:v>
                </c:pt>
                <c:pt idx="328">
                  <c:v>0.0840048840048842</c:v>
                </c:pt>
                <c:pt idx="329">
                  <c:v>0.0840048840048842</c:v>
                </c:pt>
                <c:pt idx="330">
                  <c:v>0.0842490842490844</c:v>
                </c:pt>
                <c:pt idx="331">
                  <c:v>0.0842490842490844</c:v>
                </c:pt>
                <c:pt idx="332">
                  <c:v>0.0842490842490844</c:v>
                </c:pt>
                <c:pt idx="333">
                  <c:v>0.0842490842490844</c:v>
                </c:pt>
                <c:pt idx="334">
                  <c:v>0.0842490842490844</c:v>
                </c:pt>
                <c:pt idx="335">
                  <c:v>0.0842490842490844</c:v>
                </c:pt>
                <c:pt idx="336">
                  <c:v>0.0813186813186815</c:v>
                </c:pt>
                <c:pt idx="337">
                  <c:v>0.0769230769230771</c:v>
                </c:pt>
                <c:pt idx="338">
                  <c:v>0.0744810744810747</c:v>
                </c:pt>
                <c:pt idx="339">
                  <c:v>0.0744810744810747</c:v>
                </c:pt>
                <c:pt idx="340">
                  <c:v>0.0744810744810747</c:v>
                </c:pt>
                <c:pt idx="341">
                  <c:v>0.0661782661782662</c:v>
                </c:pt>
                <c:pt idx="342">
                  <c:v>0.0648351648351648</c:v>
                </c:pt>
                <c:pt idx="343">
                  <c:v>0.0612942612942613</c:v>
                </c:pt>
                <c:pt idx="344">
                  <c:v>0.0584859584859585</c:v>
                </c:pt>
                <c:pt idx="345">
                  <c:v>0.0584859584859585</c:v>
                </c:pt>
                <c:pt idx="346">
                  <c:v>0.0538461538461539</c:v>
                </c:pt>
                <c:pt idx="347">
                  <c:v>0.0538461538461539</c:v>
                </c:pt>
                <c:pt idx="348">
                  <c:v>0.0533577533577536</c:v>
                </c:pt>
                <c:pt idx="349">
                  <c:v>0.0532356532356533</c:v>
                </c:pt>
                <c:pt idx="350">
                  <c:v>0.0532356532356533</c:v>
                </c:pt>
                <c:pt idx="351">
                  <c:v>0.052991452991453</c:v>
                </c:pt>
                <c:pt idx="352">
                  <c:v>0.0528693528693529</c:v>
                </c:pt>
                <c:pt idx="353">
                  <c:v>0.0526251526251527</c:v>
                </c:pt>
                <c:pt idx="354">
                  <c:v>0.0522588522588523</c:v>
                </c:pt>
                <c:pt idx="355">
                  <c:v>0.0518925518925519</c:v>
                </c:pt>
                <c:pt idx="356">
                  <c:v>0.051770451770452</c:v>
                </c:pt>
                <c:pt idx="357">
                  <c:v>0.0515262515262516</c:v>
                </c:pt>
                <c:pt idx="358">
                  <c:v>0.0514041514041514</c:v>
                </c:pt>
                <c:pt idx="359">
                  <c:v>0.0511599511599512</c:v>
                </c:pt>
                <c:pt idx="360">
                  <c:v>0.0511599511599512</c:v>
                </c:pt>
                <c:pt idx="361">
                  <c:v>0.0503052503052503</c:v>
                </c:pt>
                <c:pt idx="362">
                  <c:v>0.0456654456654457</c:v>
                </c:pt>
                <c:pt idx="363">
                  <c:v>0.0448107448107449</c:v>
                </c:pt>
                <c:pt idx="364">
                  <c:v>0.0440781440781441</c:v>
                </c:pt>
                <c:pt idx="365">
                  <c:v>0.0417582417582418</c:v>
                </c:pt>
                <c:pt idx="366">
                  <c:v>0.0113553113553113</c:v>
                </c:pt>
                <c:pt idx="367">
                  <c:v>-0.00525030525030512</c:v>
                </c:pt>
                <c:pt idx="368">
                  <c:v>-0.0152625152625152</c:v>
                </c:pt>
                <c:pt idx="369">
                  <c:v>-0.0175824175824176</c:v>
                </c:pt>
                <c:pt idx="370">
                  <c:v>-0.0181929181929181</c:v>
                </c:pt>
                <c:pt idx="371">
                  <c:v>-0.0211233211233212</c:v>
                </c:pt>
                <c:pt idx="372">
                  <c:v>-0.0218559218559219</c:v>
                </c:pt>
                <c:pt idx="373">
                  <c:v>-0.0218559218559219</c:v>
                </c:pt>
                <c:pt idx="374">
                  <c:v>-0.0188034188034188</c:v>
                </c:pt>
                <c:pt idx="375">
                  <c:v>-0.0188034188034188</c:v>
                </c:pt>
                <c:pt idx="376">
                  <c:v>-0.0188034188034188</c:v>
                </c:pt>
                <c:pt idx="377">
                  <c:v>-0.0102564102564102</c:v>
                </c:pt>
                <c:pt idx="378">
                  <c:v>-0.0133089133089133</c:v>
                </c:pt>
                <c:pt idx="379">
                  <c:v>-0.0145299145299145</c:v>
                </c:pt>
                <c:pt idx="380">
                  <c:v>-0.0217338217338217</c:v>
                </c:pt>
                <c:pt idx="381">
                  <c:v>-0.0257631257631257</c:v>
                </c:pt>
                <c:pt idx="382">
                  <c:v>-0.0278388278388279</c:v>
                </c:pt>
                <c:pt idx="383">
                  <c:v>-0.0293040293040292</c:v>
                </c:pt>
                <c:pt idx="384">
                  <c:v>-0.0313797313797314</c:v>
                </c:pt>
                <c:pt idx="385">
                  <c:v>-0.0317460317460317</c:v>
                </c:pt>
                <c:pt idx="386">
                  <c:v>-0.0326007326007325</c:v>
                </c:pt>
                <c:pt idx="387">
                  <c:v>-0.0326007326007325</c:v>
                </c:pt>
                <c:pt idx="388">
                  <c:v>-0.0354090354090353</c:v>
                </c:pt>
                <c:pt idx="389">
                  <c:v>-0.0354090354090353</c:v>
                </c:pt>
                <c:pt idx="390">
                  <c:v>-0.0354090354090353</c:v>
                </c:pt>
                <c:pt idx="391">
                  <c:v>-0.0357753357753356</c:v>
                </c:pt>
                <c:pt idx="392">
                  <c:v>-0.0362637362637362</c:v>
                </c:pt>
                <c:pt idx="393">
                  <c:v>-0.036996336996337</c:v>
                </c:pt>
                <c:pt idx="394">
                  <c:v>-0.039072039072039</c:v>
                </c:pt>
                <c:pt idx="395">
                  <c:v>-0.0411477411477411</c:v>
                </c:pt>
                <c:pt idx="396">
                  <c:v>-0.0418803418803417</c:v>
                </c:pt>
                <c:pt idx="397">
                  <c:v>-0.0427350427350427</c:v>
                </c:pt>
                <c:pt idx="398">
                  <c:v>-0.0467643467643467</c:v>
                </c:pt>
                <c:pt idx="399">
                  <c:v>-0.05006105006105</c:v>
                </c:pt>
                <c:pt idx="400">
                  <c:v>-0.0525030525030524</c:v>
                </c:pt>
                <c:pt idx="401">
                  <c:v>-0.0533577533577533</c:v>
                </c:pt>
                <c:pt idx="402">
                  <c:v>-0.0561660561660561</c:v>
                </c:pt>
                <c:pt idx="403">
                  <c:v>-0.0601953601953601</c:v>
                </c:pt>
                <c:pt idx="404">
                  <c:v>-0.0692307692307691</c:v>
                </c:pt>
                <c:pt idx="405">
                  <c:v>-0.0699633699633699</c:v>
                </c:pt>
                <c:pt idx="406">
                  <c:v>-0.0721611721611721</c:v>
                </c:pt>
                <c:pt idx="407">
                  <c:v>-0.0747252747252747</c:v>
                </c:pt>
                <c:pt idx="408">
                  <c:v>-0.0777777777777777</c:v>
                </c:pt>
                <c:pt idx="409">
                  <c:v>-0.0777777777777777</c:v>
                </c:pt>
                <c:pt idx="410">
                  <c:v>-0.0792429792429792</c:v>
                </c:pt>
                <c:pt idx="411">
                  <c:v>-0.0813186813186813</c:v>
                </c:pt>
                <c:pt idx="412">
                  <c:v>-0.0818070818070818</c:v>
                </c:pt>
                <c:pt idx="413">
                  <c:v>-0.0855921855921855</c:v>
                </c:pt>
                <c:pt idx="414">
                  <c:v>-0.0864468864468864</c:v>
                </c:pt>
                <c:pt idx="415">
                  <c:v>-0.0875457875457875</c:v>
                </c:pt>
                <c:pt idx="416">
                  <c:v>-0.0881562881562881</c:v>
                </c:pt>
                <c:pt idx="417">
                  <c:v>-0.0888888888888889</c:v>
                </c:pt>
                <c:pt idx="418">
                  <c:v>-0.0979242979242979</c:v>
                </c:pt>
                <c:pt idx="419">
                  <c:v>-0.0984126984126983</c:v>
                </c:pt>
                <c:pt idx="420">
                  <c:v>-0.0998778998778999</c:v>
                </c:pt>
                <c:pt idx="421">
                  <c:v>-0.1003663003663</c:v>
                </c:pt>
                <c:pt idx="422">
                  <c:v>-0.100854700854701</c:v>
                </c:pt>
                <c:pt idx="423">
                  <c:v>-0.0993894993894993</c:v>
                </c:pt>
                <c:pt idx="424">
                  <c:v>-0.0993894993894993</c:v>
                </c:pt>
                <c:pt idx="425">
                  <c:v>-0.0993894993894993</c:v>
                </c:pt>
                <c:pt idx="426">
                  <c:v>-0.0993894993894993</c:v>
                </c:pt>
                <c:pt idx="427">
                  <c:v>-0.1003663003663</c:v>
                </c:pt>
                <c:pt idx="428">
                  <c:v>-0.102686202686203</c:v>
                </c:pt>
                <c:pt idx="429">
                  <c:v>-0.102686202686203</c:v>
                </c:pt>
                <c:pt idx="430">
                  <c:v>-0.103663003663004</c:v>
                </c:pt>
                <c:pt idx="431">
                  <c:v>-0.112332112332112</c:v>
                </c:pt>
                <c:pt idx="432">
                  <c:v>-0.119536019536019</c:v>
                </c:pt>
                <c:pt idx="433">
                  <c:v>-0.0142270861833105</c:v>
                </c:pt>
                <c:pt idx="434">
                  <c:v>-0.014500683994528</c:v>
                </c:pt>
                <c:pt idx="435">
                  <c:v>-0.015047879616963</c:v>
                </c:pt>
                <c:pt idx="436">
                  <c:v>-0.015047879616963</c:v>
                </c:pt>
                <c:pt idx="437">
                  <c:v>-0.015047879616963</c:v>
                </c:pt>
                <c:pt idx="438">
                  <c:v>-0.015047879616963</c:v>
                </c:pt>
                <c:pt idx="439">
                  <c:v>-0.0166894664842681</c:v>
                </c:pt>
                <c:pt idx="440">
                  <c:v>-0.0175102599179205</c:v>
                </c:pt>
                <c:pt idx="441">
                  <c:v>-0.0218878248974007</c:v>
                </c:pt>
                <c:pt idx="442">
                  <c:v>-0.0251709986320109</c:v>
                </c:pt>
                <c:pt idx="443">
                  <c:v>-0.0272229822161423</c:v>
                </c:pt>
                <c:pt idx="444">
                  <c:v>-0.0283173734610123</c:v>
                </c:pt>
                <c:pt idx="445">
                  <c:v>-0.0326949384404924</c:v>
                </c:pt>
                <c:pt idx="446">
                  <c:v>-0.0343365253077975</c:v>
                </c:pt>
                <c:pt idx="447">
                  <c:v>-0.0343365253077975</c:v>
                </c:pt>
                <c:pt idx="448">
                  <c:v>-0.0348837209302325</c:v>
                </c:pt>
                <c:pt idx="449">
                  <c:v>-0.0348837209302325</c:v>
                </c:pt>
                <c:pt idx="450">
                  <c:v>-0.0461012311901504</c:v>
                </c:pt>
                <c:pt idx="451">
                  <c:v>-0.0466484268125854</c:v>
                </c:pt>
                <c:pt idx="452">
                  <c:v>-0.0471956224350205</c:v>
                </c:pt>
                <c:pt idx="453">
                  <c:v>-0.0471956224350205</c:v>
                </c:pt>
                <c:pt idx="454">
                  <c:v>-0.0497948016415869</c:v>
                </c:pt>
                <c:pt idx="455">
                  <c:v>-0.0522571819425445</c:v>
                </c:pt>
                <c:pt idx="456">
                  <c:v>-0.0375521557719055</c:v>
                </c:pt>
                <c:pt idx="457">
                  <c:v>-0.0385257301808067</c:v>
                </c:pt>
                <c:pt idx="458">
                  <c:v>-0.0385257301808067</c:v>
                </c:pt>
                <c:pt idx="459">
                  <c:v>-0.0390820584144647</c:v>
                </c:pt>
                <c:pt idx="460">
                  <c:v>-0.0458970792767733</c:v>
                </c:pt>
                <c:pt idx="461">
                  <c:v>-0.0527121001390821</c:v>
                </c:pt>
                <c:pt idx="462">
                  <c:v>-0.0534075104311544</c:v>
                </c:pt>
                <c:pt idx="463">
                  <c:v>-0.0543810848400557</c:v>
                </c:pt>
                <c:pt idx="464">
                  <c:v>-0.0559109874826148</c:v>
                </c:pt>
                <c:pt idx="465">
                  <c:v>-0.0559109874826148</c:v>
                </c:pt>
                <c:pt idx="466">
                  <c:v>-0.0575799721835883</c:v>
                </c:pt>
                <c:pt idx="467">
                  <c:v>-0.0575799721835883</c:v>
                </c:pt>
                <c:pt idx="468">
                  <c:v>-0.0585535465924896</c:v>
                </c:pt>
                <c:pt idx="469">
                  <c:v>-0.0585535465924896</c:v>
                </c:pt>
                <c:pt idx="470">
                  <c:v>-0.0585535465924896</c:v>
                </c:pt>
                <c:pt idx="471">
                  <c:v>-0.0611961057023644</c:v>
                </c:pt>
                <c:pt idx="472">
                  <c:v>-0.0611961057023644</c:v>
                </c:pt>
                <c:pt idx="473">
                  <c:v>-0.0663421418636996</c:v>
                </c:pt>
                <c:pt idx="474">
                  <c:v>-0.0663421418636996</c:v>
                </c:pt>
                <c:pt idx="475">
                  <c:v>-0.0680111265646732</c:v>
                </c:pt>
                <c:pt idx="476">
                  <c:v>-0.0694019471488179</c:v>
                </c:pt>
                <c:pt idx="477">
                  <c:v>-0.0720445062586927</c:v>
                </c:pt>
                <c:pt idx="478">
                  <c:v>-0.0819310344827586</c:v>
                </c:pt>
                <c:pt idx="479">
                  <c:v>-0.0897931034482758</c:v>
                </c:pt>
                <c:pt idx="480">
                  <c:v>-0.0951724137931035</c:v>
                </c:pt>
                <c:pt idx="481">
                  <c:v>-0.0977931034482759</c:v>
                </c:pt>
                <c:pt idx="482">
                  <c:v>-0.0993103448275862</c:v>
                </c:pt>
                <c:pt idx="483">
                  <c:v>-0.1</c:v>
                </c:pt>
                <c:pt idx="484">
                  <c:v>-0.1</c:v>
                </c:pt>
                <c:pt idx="485">
                  <c:v>-0.103034482758621</c:v>
                </c:pt>
                <c:pt idx="486">
                  <c:v>-0.103034482758621</c:v>
                </c:pt>
                <c:pt idx="487">
                  <c:v>-0.104689655172414</c:v>
                </c:pt>
                <c:pt idx="488">
                  <c:v>-0.107310344827586</c:v>
                </c:pt>
                <c:pt idx="489">
                  <c:v>-0.107310344827586</c:v>
                </c:pt>
                <c:pt idx="490">
                  <c:v>-0.115172413793103</c:v>
                </c:pt>
                <c:pt idx="491">
                  <c:v>-0.116689655172414</c:v>
                </c:pt>
                <c:pt idx="492">
                  <c:v>-0.119862068965517</c:v>
                </c:pt>
                <c:pt idx="493">
                  <c:v>-0.121379310344828</c:v>
                </c:pt>
                <c:pt idx="494">
                  <c:v>-0.123034482758621</c:v>
                </c:pt>
                <c:pt idx="495">
                  <c:v>-0.123448275862069</c:v>
                </c:pt>
                <c:pt idx="496">
                  <c:v>-0.123862068965517</c:v>
                </c:pt>
                <c:pt idx="497">
                  <c:v>-0.123862068965517</c:v>
                </c:pt>
                <c:pt idx="498">
                  <c:v>0.0586666666666666</c:v>
                </c:pt>
                <c:pt idx="499">
                  <c:v>0.0489999999999999</c:v>
                </c:pt>
                <c:pt idx="500">
                  <c:v>0.0330000000000001</c:v>
                </c:pt>
                <c:pt idx="501">
                  <c:v>0.0296666666666667</c:v>
                </c:pt>
                <c:pt idx="502">
                  <c:v>0.0265</c:v>
                </c:pt>
                <c:pt idx="503">
                  <c:v>0.02</c:v>
                </c:pt>
                <c:pt idx="504">
                  <c:v>0.0188333333333335</c:v>
                </c:pt>
                <c:pt idx="505">
                  <c:v>0.0183333333333333</c:v>
                </c:pt>
                <c:pt idx="506">
                  <c:v>0.0178333333333334</c:v>
                </c:pt>
                <c:pt idx="507">
                  <c:v>0.0165</c:v>
                </c:pt>
                <c:pt idx="508">
                  <c:v>0.000333333333333297</c:v>
                </c:pt>
                <c:pt idx="509">
                  <c:v>-0.00283333333333335</c:v>
                </c:pt>
                <c:pt idx="510">
                  <c:v>-0.00649999999999995</c:v>
                </c:pt>
                <c:pt idx="511">
                  <c:v>-0.00716666666666665</c:v>
                </c:pt>
                <c:pt idx="512">
                  <c:v>-0.00783333333333325</c:v>
                </c:pt>
                <c:pt idx="513">
                  <c:v>-0.00783333333333325</c:v>
                </c:pt>
                <c:pt idx="514">
                  <c:v>-0.00800000000000001</c:v>
                </c:pt>
                <c:pt idx="515">
                  <c:v>-0.00800000000000001</c:v>
                </c:pt>
                <c:pt idx="516">
                  <c:v>-0.0086666666666666</c:v>
                </c:pt>
                <c:pt idx="517">
                  <c:v>-0.00900000000000001</c:v>
                </c:pt>
                <c:pt idx="518">
                  <c:v>-0.00900000000000001</c:v>
                </c:pt>
                <c:pt idx="519">
                  <c:v>-0.0096666666666666</c:v>
                </c:pt>
                <c:pt idx="520">
                  <c:v>0.158284600389864</c:v>
                </c:pt>
                <c:pt idx="521">
                  <c:v>0.157894736842105</c:v>
                </c:pt>
                <c:pt idx="522">
                  <c:v>0.157504873294347</c:v>
                </c:pt>
                <c:pt idx="523">
                  <c:v>0.15458089668616</c:v>
                </c:pt>
                <c:pt idx="524">
                  <c:v>0.14327485380117</c:v>
                </c:pt>
                <c:pt idx="525">
                  <c:v>0.139571150097466</c:v>
                </c:pt>
                <c:pt idx="526">
                  <c:v>0.135672514619883</c:v>
                </c:pt>
                <c:pt idx="527">
                  <c:v>0.131968810916179</c:v>
                </c:pt>
                <c:pt idx="528">
                  <c:v>0.125146198830409</c:v>
                </c:pt>
                <c:pt idx="529">
                  <c:v>0.12280701754386</c:v>
                </c:pt>
                <c:pt idx="530">
                  <c:v>0.12046783625731</c:v>
                </c:pt>
                <c:pt idx="531">
                  <c:v>0.117543859649123</c:v>
                </c:pt>
                <c:pt idx="532">
                  <c:v>0.0984405458089668</c:v>
                </c:pt>
                <c:pt idx="533">
                  <c:v>0.0863547758284602</c:v>
                </c:pt>
                <c:pt idx="534">
                  <c:v>0.0729044834307992</c:v>
                </c:pt>
                <c:pt idx="535">
                  <c:v>0.20109649122807</c:v>
                </c:pt>
                <c:pt idx="536">
                  <c:v>0.195833333333334</c:v>
                </c:pt>
                <c:pt idx="537">
                  <c:v>0.195175438596491</c:v>
                </c:pt>
                <c:pt idx="538">
                  <c:v>0.173245614035088</c:v>
                </c:pt>
                <c:pt idx="539">
                  <c:v>0.173245614035088</c:v>
                </c:pt>
                <c:pt idx="540">
                  <c:v>0.17171052631579</c:v>
                </c:pt>
                <c:pt idx="541">
                  <c:v>0.151315789473684</c:v>
                </c:pt>
                <c:pt idx="542">
                  <c:v>0.137938596491228</c:v>
                </c:pt>
                <c:pt idx="543">
                  <c:v>0.132894736842105</c:v>
                </c:pt>
                <c:pt idx="544">
                  <c:v>0.116008771929825</c:v>
                </c:pt>
                <c:pt idx="545">
                  <c:v>0.113377192982456</c:v>
                </c:pt>
                <c:pt idx="546">
                  <c:v>0.113377192982456</c:v>
                </c:pt>
                <c:pt idx="547">
                  <c:v>0.104824561403509</c:v>
                </c:pt>
                <c:pt idx="548">
                  <c:v>0.0734649122807018</c:v>
                </c:pt>
                <c:pt idx="549">
                  <c:v>0.0651315789473685</c:v>
                </c:pt>
                <c:pt idx="550">
                  <c:v>0.0407894736842107</c:v>
                </c:pt>
                <c:pt idx="551">
                  <c:v>0.0392543859649124</c:v>
                </c:pt>
                <c:pt idx="552">
                  <c:v>0.0166666666666668</c:v>
                </c:pt>
                <c:pt idx="553">
                  <c:v>0.00964912280701768</c:v>
                </c:pt>
                <c:pt idx="554">
                  <c:v>0.00526315789473686</c:v>
                </c:pt>
                <c:pt idx="555">
                  <c:v>0.00307017543859645</c:v>
                </c:pt>
                <c:pt idx="556">
                  <c:v>0.1335</c:v>
                </c:pt>
                <c:pt idx="557">
                  <c:v>0.1285</c:v>
                </c:pt>
                <c:pt idx="558">
                  <c:v>0.121</c:v>
                </c:pt>
                <c:pt idx="559">
                  <c:v>0.1135</c:v>
                </c:pt>
                <c:pt idx="560">
                  <c:v>0.1125</c:v>
                </c:pt>
                <c:pt idx="561">
                  <c:v>0.0985</c:v>
                </c:pt>
                <c:pt idx="562">
                  <c:v>0.0867500000000001</c:v>
                </c:pt>
                <c:pt idx="563">
                  <c:v>0.08125</c:v>
                </c:pt>
                <c:pt idx="564">
                  <c:v>0.0762499999999999</c:v>
                </c:pt>
                <c:pt idx="565">
                  <c:v>0.073</c:v>
                </c:pt>
                <c:pt idx="566">
                  <c:v>0.0629999999999999</c:v>
                </c:pt>
                <c:pt idx="567">
                  <c:v>0.0585</c:v>
                </c:pt>
                <c:pt idx="568">
                  <c:v>0.0549999999999999</c:v>
                </c:pt>
                <c:pt idx="569">
                  <c:v>0.0475000000000001</c:v>
                </c:pt>
                <c:pt idx="570">
                  <c:v>0.04</c:v>
                </c:pt>
                <c:pt idx="571">
                  <c:v>0.0269999999999999</c:v>
                </c:pt>
                <c:pt idx="572">
                  <c:v>0.022</c:v>
                </c:pt>
                <c:pt idx="573">
                  <c:v>0.00800000000000001</c:v>
                </c:pt>
                <c:pt idx="574">
                  <c:v>-0.004</c:v>
                </c:pt>
                <c:pt idx="575">
                  <c:v>-0.0115</c:v>
                </c:pt>
                <c:pt idx="576">
                  <c:v>-0.013</c:v>
                </c:pt>
                <c:pt idx="577">
                  <c:v>0.0405333333333333</c:v>
                </c:pt>
                <c:pt idx="578">
                  <c:v>0.0325333333333333</c:v>
                </c:pt>
                <c:pt idx="579">
                  <c:v>0.0271999999999999</c:v>
                </c:pt>
                <c:pt idx="580">
                  <c:v>0.0202666666666667</c:v>
                </c:pt>
                <c:pt idx="581">
                  <c:v>0.0138666666666667</c:v>
                </c:pt>
                <c:pt idx="582">
                  <c:v>0.0114666666666667</c:v>
                </c:pt>
                <c:pt idx="583">
                  <c:v>0.00826666666666664</c:v>
                </c:pt>
                <c:pt idx="584">
                  <c:v>0.00746666666666673</c:v>
                </c:pt>
                <c:pt idx="585">
                  <c:v>0.0066666666666666</c:v>
                </c:pt>
                <c:pt idx="586">
                  <c:v>0.00426666666666664</c:v>
                </c:pt>
                <c:pt idx="587">
                  <c:v>-0.000533333333333275</c:v>
                </c:pt>
                <c:pt idx="588">
                  <c:v>-0.0026666666666666</c:v>
                </c:pt>
                <c:pt idx="589">
                  <c:v>-0.00639999999999996</c:v>
                </c:pt>
                <c:pt idx="590">
                  <c:v>-0.0079999999999999</c:v>
                </c:pt>
                <c:pt idx="591">
                  <c:v>-0.0165333333333333</c:v>
                </c:pt>
                <c:pt idx="592">
                  <c:v>-0.0207999999999999</c:v>
                </c:pt>
                <c:pt idx="593">
                  <c:v>-0.0224</c:v>
                </c:pt>
                <c:pt idx="594">
                  <c:v>-0.0245333333333334</c:v>
                </c:pt>
                <c:pt idx="595">
                  <c:v>-0.0325333333333333</c:v>
                </c:pt>
                <c:pt idx="596">
                  <c:v>-0.0357333333333333</c:v>
                </c:pt>
                <c:pt idx="597">
                  <c:v>-0.0376</c:v>
                </c:pt>
                <c:pt idx="598">
                  <c:v>-0.0397333333333333</c:v>
                </c:pt>
                <c:pt idx="599">
                  <c:v>0.0854984894259818</c:v>
                </c:pt>
                <c:pt idx="600">
                  <c:v>0.0854984894259818</c:v>
                </c:pt>
                <c:pt idx="601">
                  <c:v>0.0809667673716012</c:v>
                </c:pt>
                <c:pt idx="602">
                  <c:v>0.066465256797583</c:v>
                </c:pt>
                <c:pt idx="603">
                  <c:v>0.0561933534743202</c:v>
                </c:pt>
                <c:pt idx="604">
                  <c:v>0.0410876132930513</c:v>
                </c:pt>
                <c:pt idx="605">
                  <c:v>0.0350453172205438</c:v>
                </c:pt>
                <c:pt idx="606">
                  <c:v>0.0332326283987916</c:v>
                </c:pt>
                <c:pt idx="607">
                  <c:v>0.0290030211480363</c:v>
                </c:pt>
                <c:pt idx="608">
                  <c:v>0.0277945619335347</c:v>
                </c:pt>
                <c:pt idx="609">
                  <c:v>0.0235649546827794</c:v>
                </c:pt>
                <c:pt idx="610">
                  <c:v>0.0126888217522658</c:v>
                </c:pt>
                <c:pt idx="611">
                  <c:v>0.00543806646525669</c:v>
                </c:pt>
                <c:pt idx="612">
                  <c:v>-0.0102719033232629</c:v>
                </c:pt>
                <c:pt idx="613">
                  <c:v>-0.0135951661631419</c:v>
                </c:pt>
                <c:pt idx="614">
                  <c:v>-0.0247734138972809</c:v>
                </c:pt>
                <c:pt idx="615">
                  <c:v>-0.0283987915407855</c:v>
                </c:pt>
                <c:pt idx="616">
                  <c:v>-0.0456193353474321</c:v>
                </c:pt>
                <c:pt idx="617">
                  <c:v>-0.0507552870090635</c:v>
                </c:pt>
                <c:pt idx="618">
                  <c:v>0.0639455782312925</c:v>
                </c:pt>
                <c:pt idx="619">
                  <c:v>0.0564625850340137</c:v>
                </c:pt>
                <c:pt idx="620">
                  <c:v>0.0517006802721089</c:v>
                </c:pt>
                <c:pt idx="621">
                  <c:v>0.0428571428571429</c:v>
                </c:pt>
                <c:pt idx="622">
                  <c:v>0.0306122448979591</c:v>
                </c:pt>
                <c:pt idx="623">
                  <c:v>0.0238095238095237</c:v>
                </c:pt>
                <c:pt idx="624">
                  <c:v>0.0224489795918368</c:v>
                </c:pt>
                <c:pt idx="625">
                  <c:v>0.0346938775510204</c:v>
                </c:pt>
                <c:pt idx="626">
                  <c:v>0.0544217687074831</c:v>
                </c:pt>
                <c:pt idx="627">
                  <c:v>0.109183673469388</c:v>
                </c:pt>
                <c:pt idx="628">
                  <c:v>0.143197278911565</c:v>
                </c:pt>
                <c:pt idx="629">
                  <c:v>0.201360544217687</c:v>
                </c:pt>
                <c:pt idx="630">
                  <c:v>0.212244897959184</c:v>
                </c:pt>
                <c:pt idx="631">
                  <c:v>0.22312925170068</c:v>
                </c:pt>
                <c:pt idx="632">
                  <c:v>0.270748299319728</c:v>
                </c:pt>
                <c:pt idx="633">
                  <c:v>0.270748299319728</c:v>
                </c:pt>
                <c:pt idx="634">
                  <c:v>0.256122448979592</c:v>
                </c:pt>
                <c:pt idx="635">
                  <c:v>0.246258503401361</c:v>
                </c:pt>
                <c:pt idx="636">
                  <c:v>0.239115646258503</c:v>
                </c:pt>
                <c:pt idx="637">
                  <c:v>0.236734693877551</c:v>
                </c:pt>
                <c:pt idx="638">
                  <c:v>0.235714285714286</c:v>
                </c:pt>
                <c:pt idx="639">
                  <c:v>0.235714285714286</c:v>
                </c:pt>
                <c:pt idx="640">
                  <c:v>0.235714285714286</c:v>
                </c:pt>
                <c:pt idx="641">
                  <c:v>0.23469387755102</c:v>
                </c:pt>
                <c:pt idx="642">
                  <c:v>0.235714285714286</c:v>
                </c:pt>
                <c:pt idx="643">
                  <c:v>0.235714285714286</c:v>
                </c:pt>
                <c:pt idx="644">
                  <c:v>0.237074829931973</c:v>
                </c:pt>
                <c:pt idx="645">
                  <c:v>0.237074829931973</c:v>
                </c:pt>
                <c:pt idx="646">
                  <c:v>0.230272108843537</c:v>
                </c:pt>
                <c:pt idx="647">
                  <c:v>0.218707482993197</c:v>
                </c:pt>
                <c:pt idx="648">
                  <c:v>0.216666666666667</c:v>
                </c:pt>
                <c:pt idx="649">
                  <c:v>0.209863945578231</c:v>
                </c:pt>
                <c:pt idx="650">
                  <c:v>0.206462585034014</c:v>
                </c:pt>
                <c:pt idx="651">
                  <c:v>0.205102040816327</c:v>
                </c:pt>
                <c:pt idx="652">
                  <c:v>0.199659863945578</c:v>
                </c:pt>
                <c:pt idx="653">
                  <c:v>0.198299319727891</c:v>
                </c:pt>
                <c:pt idx="654">
                  <c:v>0.196258503401361</c:v>
                </c:pt>
                <c:pt idx="655">
                  <c:v>0.19047619047619</c:v>
                </c:pt>
                <c:pt idx="656">
                  <c:v>0.189455782312925</c:v>
                </c:pt>
                <c:pt idx="657">
                  <c:v>0.18265306122449</c:v>
                </c:pt>
                <c:pt idx="658">
                  <c:v>0.180272108843538</c:v>
                </c:pt>
                <c:pt idx="659">
                  <c:v>0.177891156462585</c:v>
                </c:pt>
                <c:pt idx="660">
                  <c:v>0.162244897959184</c:v>
                </c:pt>
                <c:pt idx="661">
                  <c:v>0.156462585034014</c:v>
                </c:pt>
                <c:pt idx="662">
                  <c:v>0.154081632653061</c:v>
                </c:pt>
                <c:pt idx="663">
                  <c:v>0.150680272108844</c:v>
                </c:pt>
                <c:pt idx="664">
                  <c:v>0.146258503401361</c:v>
                </c:pt>
                <c:pt idx="665">
                  <c:v>0.142857142857143</c:v>
                </c:pt>
                <c:pt idx="666">
                  <c:v>0.131632653061224</c:v>
                </c:pt>
                <c:pt idx="667">
                  <c:v>0.12687074829932</c:v>
                </c:pt>
                <c:pt idx="668">
                  <c:v>0.123469387755102</c:v>
                </c:pt>
                <c:pt idx="669">
                  <c:v>0.112244897959184</c:v>
                </c:pt>
                <c:pt idx="670">
                  <c:v>0.108843537414966</c:v>
                </c:pt>
                <c:pt idx="671">
                  <c:v>0.106462585034014</c:v>
                </c:pt>
                <c:pt idx="672">
                  <c:v>0.104421768707483</c:v>
                </c:pt>
                <c:pt idx="673">
                  <c:v>0.103061224489796</c:v>
                </c:pt>
                <c:pt idx="674">
                  <c:v>0.102040816326531</c:v>
                </c:pt>
                <c:pt idx="675">
                  <c:v>0.101020408163265</c:v>
                </c:pt>
                <c:pt idx="676">
                  <c:v>0.0986394557823129</c:v>
                </c:pt>
                <c:pt idx="677">
                  <c:v>0.0976190476190475</c:v>
                </c:pt>
                <c:pt idx="678">
                  <c:v>0.0894557823129252</c:v>
                </c:pt>
                <c:pt idx="679">
                  <c:v>0.08843537414966</c:v>
                </c:pt>
                <c:pt idx="680">
                  <c:v>0.0874149659863945</c:v>
                </c:pt>
                <c:pt idx="681">
                  <c:v>0.0850340136054422</c:v>
                </c:pt>
                <c:pt idx="682">
                  <c:v>0.0826530612244898</c:v>
                </c:pt>
                <c:pt idx="683">
                  <c:v>0.128113879003559</c:v>
                </c:pt>
                <c:pt idx="684">
                  <c:v>0.112811387900356</c:v>
                </c:pt>
                <c:pt idx="685">
                  <c:v>0.109252669039146</c:v>
                </c:pt>
                <c:pt idx="686">
                  <c:v>0.100711743772242</c:v>
                </c:pt>
                <c:pt idx="687">
                  <c:v>0.095017793594306</c:v>
                </c:pt>
                <c:pt idx="688">
                  <c:v>0.0864768683274022</c:v>
                </c:pt>
                <c:pt idx="689">
                  <c:v>0.0914590747330961</c:v>
                </c:pt>
                <c:pt idx="690">
                  <c:v>0.0914590747330961</c:v>
                </c:pt>
                <c:pt idx="691">
                  <c:v>0.090035587188612</c:v>
                </c:pt>
                <c:pt idx="692">
                  <c:v>0.090035587188612</c:v>
                </c:pt>
                <c:pt idx="693">
                  <c:v>0.0864768683274022</c:v>
                </c:pt>
                <c:pt idx="694">
                  <c:v>0.0736654804270462</c:v>
                </c:pt>
                <c:pt idx="695">
                  <c:v>0.0665480427046263</c:v>
                </c:pt>
                <c:pt idx="696">
                  <c:v>0.0640569395017794</c:v>
                </c:pt>
                <c:pt idx="697">
                  <c:v>0.0558718861209964</c:v>
                </c:pt>
                <c:pt idx="698">
                  <c:v>0.0523131672597863</c:v>
                </c:pt>
                <c:pt idx="699">
                  <c:v>0.0462633451957295</c:v>
                </c:pt>
                <c:pt idx="700">
                  <c:v>0.0402135231316727</c:v>
                </c:pt>
                <c:pt idx="701">
                  <c:v>0.0345195729537366</c:v>
                </c:pt>
                <c:pt idx="702">
                  <c:v>0.0327402135231316</c:v>
                </c:pt>
                <c:pt idx="703">
                  <c:v>0.0295373665480425</c:v>
                </c:pt>
                <c:pt idx="704">
                  <c:v>0.0284697508896798</c:v>
                </c:pt>
                <c:pt idx="705">
                  <c:v>0.0259786476868327</c:v>
                </c:pt>
                <c:pt idx="706">
                  <c:v>0.0249110320284698</c:v>
                </c:pt>
                <c:pt idx="707">
                  <c:v>0.0238434163701067</c:v>
                </c:pt>
                <c:pt idx="708">
                  <c:v>0.0213523131672597</c:v>
                </c:pt>
                <c:pt idx="709">
                  <c:v>0.0202846975088968</c:v>
                </c:pt>
                <c:pt idx="710">
                  <c:v>0.0188612099644128</c:v>
                </c:pt>
                <c:pt idx="711">
                  <c:v>0.0153024911032029</c:v>
                </c:pt>
                <c:pt idx="712">
                  <c:v>0.0131672597864769</c:v>
                </c:pt>
                <c:pt idx="713">
                  <c:v>0.00818505338078301</c:v>
                </c:pt>
                <c:pt idx="714">
                  <c:v>0.00711743772241991</c:v>
                </c:pt>
                <c:pt idx="715">
                  <c:v>0.00711743772241991</c:v>
                </c:pt>
                <c:pt idx="716">
                  <c:v>0.00249110320284696</c:v>
                </c:pt>
                <c:pt idx="717">
                  <c:v>-0.00249110320284707</c:v>
                </c:pt>
                <c:pt idx="718">
                  <c:v>-0.00604982206405691</c:v>
                </c:pt>
                <c:pt idx="719">
                  <c:v>-0.00604982206405691</c:v>
                </c:pt>
                <c:pt idx="720">
                  <c:v>-0.0131672597864768</c:v>
                </c:pt>
                <c:pt idx="721">
                  <c:v>-0.0188612099644128</c:v>
                </c:pt>
                <c:pt idx="722">
                  <c:v>-0.0202846975088967</c:v>
                </c:pt>
                <c:pt idx="723">
                  <c:v>-0.0220640569395018</c:v>
                </c:pt>
                <c:pt idx="724">
                  <c:v>-0.0224199288256228</c:v>
                </c:pt>
                <c:pt idx="725">
                  <c:v>-0.0224199288256228</c:v>
                </c:pt>
                <c:pt idx="726">
                  <c:v>-0.0224199288256228</c:v>
                </c:pt>
                <c:pt idx="727">
                  <c:v>-0.0224199288256228</c:v>
                </c:pt>
                <c:pt idx="728">
                  <c:v>-0.0231316725978647</c:v>
                </c:pt>
                <c:pt idx="729">
                  <c:v>-0.0277580071174377</c:v>
                </c:pt>
                <c:pt idx="730">
                  <c:v>-0.0277580071174377</c:v>
                </c:pt>
                <c:pt idx="731">
                  <c:v>-0.0249110320284697</c:v>
                </c:pt>
                <c:pt idx="732">
                  <c:v>-0.0256227758007118</c:v>
                </c:pt>
                <c:pt idx="733">
                  <c:v>-0.0188612099644128</c:v>
                </c:pt>
                <c:pt idx="734">
                  <c:v>-0.00960854092526697</c:v>
                </c:pt>
                <c:pt idx="735">
                  <c:v>0.0188612099644128</c:v>
                </c:pt>
                <c:pt idx="736">
                  <c:v>0.0569395017793595</c:v>
                </c:pt>
                <c:pt idx="737">
                  <c:v>0.0736654804270462</c:v>
                </c:pt>
                <c:pt idx="738">
                  <c:v>0.0736654804270462</c:v>
                </c:pt>
                <c:pt idx="739">
                  <c:v>0.0758007117437722</c:v>
                </c:pt>
                <c:pt idx="740">
                  <c:v>0.0772241992882563</c:v>
                </c:pt>
                <c:pt idx="741">
                  <c:v>0.0772241992882563</c:v>
                </c:pt>
                <c:pt idx="742">
                  <c:v>0.0772241992882563</c:v>
                </c:pt>
                <c:pt idx="743">
                  <c:v>0.0772241992882563</c:v>
                </c:pt>
                <c:pt idx="744">
                  <c:v>0.0775800711743773</c:v>
                </c:pt>
                <c:pt idx="745">
                  <c:v>0.0782918149466192</c:v>
                </c:pt>
                <c:pt idx="746">
                  <c:v>0.0782918149466192</c:v>
                </c:pt>
                <c:pt idx="747">
                  <c:v>0.0782918149466192</c:v>
                </c:pt>
                <c:pt idx="748">
                  <c:v>0.0782918149466192</c:v>
                </c:pt>
                <c:pt idx="749">
                  <c:v>0.0669014084507042</c:v>
                </c:pt>
                <c:pt idx="750">
                  <c:v>0.073943661971831</c:v>
                </c:pt>
                <c:pt idx="751">
                  <c:v>0.0820422535211267</c:v>
                </c:pt>
                <c:pt idx="752">
                  <c:v>0.101056338028169</c:v>
                </c:pt>
                <c:pt idx="753">
                  <c:v>0.108098591549296</c:v>
                </c:pt>
                <c:pt idx="754">
                  <c:v>0.112676056338028</c:v>
                </c:pt>
                <c:pt idx="755">
                  <c:v>0.120774647887324</c:v>
                </c:pt>
                <c:pt idx="756">
                  <c:v>0.126760563380282</c:v>
                </c:pt>
                <c:pt idx="757">
                  <c:v>0.13274647887324</c:v>
                </c:pt>
                <c:pt idx="758">
                  <c:v>0.150352112676056</c:v>
                </c:pt>
                <c:pt idx="759">
                  <c:v>0.172535211267606</c:v>
                </c:pt>
                <c:pt idx="760">
                  <c:v>0.177112676056338</c:v>
                </c:pt>
                <c:pt idx="761">
                  <c:v>0.179577464788732</c:v>
                </c:pt>
                <c:pt idx="762">
                  <c:v>0.18556338028169</c:v>
                </c:pt>
                <c:pt idx="763">
                  <c:v>0.189084507042254</c:v>
                </c:pt>
                <c:pt idx="764">
                  <c:v>0.189084507042254</c:v>
                </c:pt>
                <c:pt idx="765">
                  <c:v>0.208802816901408</c:v>
                </c:pt>
                <c:pt idx="766">
                  <c:v>0.194444444444444</c:v>
                </c:pt>
                <c:pt idx="767">
                  <c:v>0.210763888888889</c:v>
                </c:pt>
                <c:pt idx="768">
                  <c:v>0.196875</c:v>
                </c:pt>
                <c:pt idx="769">
                  <c:v>0.189930555555556</c:v>
                </c:pt>
                <c:pt idx="770">
                  <c:v>0.185069444444445</c:v>
                </c:pt>
                <c:pt idx="771">
                  <c:v>0.185069444444445</c:v>
                </c:pt>
                <c:pt idx="772">
                  <c:v>0.185069444444445</c:v>
                </c:pt>
                <c:pt idx="773">
                  <c:v>0.185069444444445</c:v>
                </c:pt>
                <c:pt idx="774">
                  <c:v>0.185069444444445</c:v>
                </c:pt>
                <c:pt idx="775">
                  <c:v>0.185069444444445</c:v>
                </c:pt>
                <c:pt idx="776">
                  <c:v>0.178125</c:v>
                </c:pt>
                <c:pt idx="777">
                  <c:v>0.173611111111111</c:v>
                </c:pt>
                <c:pt idx="778">
                  <c:v>0.151736111111111</c:v>
                </c:pt>
                <c:pt idx="779">
                  <c:v>0.151736111111111</c:v>
                </c:pt>
                <c:pt idx="780">
                  <c:v>0.151736111111111</c:v>
                </c:pt>
                <c:pt idx="781">
                  <c:v>0.151736111111111</c:v>
                </c:pt>
                <c:pt idx="782">
                  <c:v>0.160763888888889</c:v>
                </c:pt>
                <c:pt idx="783">
                  <c:v>0.164236111111111</c:v>
                </c:pt>
                <c:pt idx="784">
                  <c:v>0.186458333333333</c:v>
                </c:pt>
                <c:pt idx="785">
                  <c:v>0.189930555555556</c:v>
                </c:pt>
                <c:pt idx="786">
                  <c:v>0.172448979591837</c:v>
                </c:pt>
                <c:pt idx="787">
                  <c:v>0.196258503401361</c:v>
                </c:pt>
                <c:pt idx="788">
                  <c:v>0.200680272108843</c:v>
                </c:pt>
                <c:pt idx="789">
                  <c:v>0.211904761904762</c:v>
                </c:pt>
                <c:pt idx="790">
                  <c:v>0.211904761904762</c:v>
                </c:pt>
                <c:pt idx="791">
                  <c:v>0.218707482993197</c:v>
                </c:pt>
                <c:pt idx="792">
                  <c:v>0.227891156462585</c:v>
                </c:pt>
                <c:pt idx="793">
                  <c:v>0.22891156462585</c:v>
                </c:pt>
                <c:pt idx="794">
                  <c:v>0.224489795918367</c:v>
                </c:pt>
                <c:pt idx="795">
                  <c:v>0.223469387755102</c:v>
                </c:pt>
                <c:pt idx="796">
                  <c:v>0.216666666666667</c:v>
                </c:pt>
                <c:pt idx="797">
                  <c:v>0.21530612244898</c:v>
                </c:pt>
                <c:pt idx="798">
                  <c:v>0.204081632653061</c:v>
                </c:pt>
                <c:pt idx="799">
                  <c:v>0.199659863945578</c:v>
                </c:pt>
                <c:pt idx="800">
                  <c:v>0.197278911564626</c:v>
                </c:pt>
                <c:pt idx="801">
                  <c:v>0.194897959183673</c:v>
                </c:pt>
                <c:pt idx="802">
                  <c:v>0.19047619047619</c:v>
                </c:pt>
                <c:pt idx="803">
                  <c:v>0.19047619047619</c:v>
                </c:pt>
                <c:pt idx="804">
                  <c:v>0.19047619047619</c:v>
                </c:pt>
                <c:pt idx="805">
                  <c:v>0.19047619047619</c:v>
                </c:pt>
                <c:pt idx="806">
                  <c:v>0.19047619047619</c:v>
                </c:pt>
                <c:pt idx="807">
                  <c:v>0.19047619047619</c:v>
                </c:pt>
                <c:pt idx="808">
                  <c:v>0.094224924012158</c:v>
                </c:pt>
                <c:pt idx="809">
                  <c:v>0.104255319148936</c:v>
                </c:pt>
                <c:pt idx="810">
                  <c:v>0.105471124620061</c:v>
                </c:pt>
                <c:pt idx="811">
                  <c:v>0.105471124620061</c:v>
                </c:pt>
                <c:pt idx="812">
                  <c:v>0.105471124620061</c:v>
                </c:pt>
                <c:pt idx="813">
                  <c:v>0.0993920972644378</c:v>
                </c:pt>
                <c:pt idx="814">
                  <c:v>0.0902735562310031</c:v>
                </c:pt>
                <c:pt idx="815">
                  <c:v>0.0881458966565349</c:v>
                </c:pt>
                <c:pt idx="816">
                  <c:v>0.0829787234042554</c:v>
                </c:pt>
                <c:pt idx="817">
                  <c:v>0.0738601823708207</c:v>
                </c:pt>
                <c:pt idx="818">
                  <c:v>0.064741641337386</c:v>
                </c:pt>
                <c:pt idx="819">
                  <c:v>0.0577507598784195</c:v>
                </c:pt>
                <c:pt idx="820">
                  <c:v>0.0556231003039513</c:v>
                </c:pt>
                <c:pt idx="821">
                  <c:v>0.0537993920972644</c:v>
                </c:pt>
                <c:pt idx="822">
                  <c:v>0.0486322188449848</c:v>
                </c:pt>
                <c:pt idx="823">
                  <c:v>0.0465045592705167</c:v>
                </c:pt>
                <c:pt idx="824">
                  <c:v>0.0416413373860183</c:v>
                </c:pt>
                <c:pt idx="825">
                  <c:v>0.0386018237082066</c:v>
                </c:pt>
                <c:pt idx="826">
                  <c:v>0.0364741641337387</c:v>
                </c:pt>
                <c:pt idx="827">
                  <c:v>0.0234042553191489</c:v>
                </c:pt>
                <c:pt idx="828">
                  <c:v>0.0161094224924012</c:v>
                </c:pt>
                <c:pt idx="829">
                  <c:v>0.00911854103343468</c:v>
                </c:pt>
                <c:pt idx="830">
                  <c:v>-0.000906344410876114</c:v>
                </c:pt>
                <c:pt idx="831">
                  <c:v>-0.00694864048338373</c:v>
                </c:pt>
                <c:pt idx="832">
                  <c:v>-0.00906344410876136</c:v>
                </c:pt>
                <c:pt idx="833">
                  <c:v>-0.011178247734139</c:v>
                </c:pt>
                <c:pt idx="834">
                  <c:v>-0.015105740181269</c:v>
                </c:pt>
                <c:pt idx="835">
                  <c:v>-0.0190332326283988</c:v>
                </c:pt>
                <c:pt idx="836">
                  <c:v>-0.027190332326284</c:v>
                </c:pt>
                <c:pt idx="837">
                  <c:v>-0.0293051359516616</c:v>
                </c:pt>
                <c:pt idx="838">
                  <c:v>-0.0347432024169185</c:v>
                </c:pt>
                <c:pt idx="839">
                  <c:v>-0.0441087613293051</c:v>
                </c:pt>
                <c:pt idx="840">
                  <c:v>-0.051963746223565</c:v>
                </c:pt>
                <c:pt idx="841">
                  <c:v>-0.0561933534743202</c:v>
                </c:pt>
                <c:pt idx="842">
                  <c:v>-0.0583081570996979</c:v>
                </c:pt>
                <c:pt idx="843">
                  <c:v>-0.0592145015105741</c:v>
                </c:pt>
                <c:pt idx="844">
                  <c:v>-0.0601208459214501</c:v>
                </c:pt>
                <c:pt idx="845">
                  <c:v>-0.0607250755287009</c:v>
                </c:pt>
                <c:pt idx="846">
                  <c:v>-0.065558912386707</c:v>
                </c:pt>
                <c:pt idx="847">
                  <c:v>-0.0676737160120846</c:v>
                </c:pt>
                <c:pt idx="848">
                  <c:v>-0.0697885196374622</c:v>
                </c:pt>
                <c:pt idx="849">
                  <c:v>-0.0761329305135953</c:v>
                </c:pt>
                <c:pt idx="850">
                  <c:v>-0.0761329305135953</c:v>
                </c:pt>
                <c:pt idx="851">
                  <c:v>-0.0776435045317221</c:v>
                </c:pt>
                <c:pt idx="852">
                  <c:v>-0.0776435045317221</c:v>
                </c:pt>
                <c:pt idx="853">
                  <c:v>-0.0791540785498489</c:v>
                </c:pt>
                <c:pt idx="854">
                  <c:v>-0.0854984894259818</c:v>
                </c:pt>
                <c:pt idx="855">
                  <c:v>-0.0867069486404833</c:v>
                </c:pt>
                <c:pt idx="856">
                  <c:v>-0.0954682779456193</c:v>
                </c:pt>
                <c:pt idx="857">
                  <c:v>-0.0978851963746223</c:v>
                </c:pt>
                <c:pt idx="858">
                  <c:v>-0.0987915407854985</c:v>
                </c:pt>
                <c:pt idx="859">
                  <c:v>-0.103021148036254</c:v>
                </c:pt>
                <c:pt idx="860">
                  <c:v>-0.120543806646526</c:v>
                </c:pt>
                <c:pt idx="861">
                  <c:v>-0.124773413897281</c:v>
                </c:pt>
                <c:pt idx="862">
                  <c:v>-0.131117824773414</c:v>
                </c:pt>
                <c:pt idx="863">
                  <c:v>-0.137462235649547</c:v>
                </c:pt>
                <c:pt idx="864">
                  <c:v>-0.138972809667674</c:v>
                </c:pt>
                <c:pt idx="865">
                  <c:v>-0.145619335347432</c:v>
                </c:pt>
                <c:pt idx="866">
                  <c:v>-0.148036253776435</c:v>
                </c:pt>
                <c:pt idx="867">
                  <c:v>-0.152870090634441</c:v>
                </c:pt>
                <c:pt idx="868">
                  <c:v>-0.155287009063444</c:v>
                </c:pt>
                <c:pt idx="869">
                  <c:v>-0.159516616314199</c:v>
                </c:pt>
                <c:pt idx="870">
                  <c:v>-0.114376996805112</c:v>
                </c:pt>
                <c:pt idx="871">
                  <c:v>-0.117571884984025</c:v>
                </c:pt>
                <c:pt idx="872">
                  <c:v>-0.120127795527156</c:v>
                </c:pt>
                <c:pt idx="873">
                  <c:v>-0.133546325878594</c:v>
                </c:pt>
                <c:pt idx="874">
                  <c:v>-0.13482428115016</c:v>
                </c:pt>
                <c:pt idx="875">
                  <c:v>-0.137380191693291</c:v>
                </c:pt>
                <c:pt idx="876">
                  <c:v>-0.139936102236422</c:v>
                </c:pt>
                <c:pt idx="877">
                  <c:v>-0.142492012779553</c:v>
                </c:pt>
                <c:pt idx="878">
                  <c:v>-0.145047923322684</c:v>
                </c:pt>
                <c:pt idx="879">
                  <c:v>-0.145047923322684</c:v>
                </c:pt>
                <c:pt idx="880">
                  <c:v>-0.147603833865815</c:v>
                </c:pt>
                <c:pt idx="881">
                  <c:v>-0.147923322683706</c:v>
                </c:pt>
                <c:pt idx="882">
                  <c:v>-0.147923322683706</c:v>
                </c:pt>
                <c:pt idx="883">
                  <c:v>-0.147923322683706</c:v>
                </c:pt>
                <c:pt idx="884">
                  <c:v>-0.150798722044728</c:v>
                </c:pt>
                <c:pt idx="885">
                  <c:v>-0.155591054313099</c:v>
                </c:pt>
                <c:pt idx="886">
                  <c:v>-0.155591054313099</c:v>
                </c:pt>
                <c:pt idx="887">
                  <c:v>-0.156549520766773</c:v>
                </c:pt>
                <c:pt idx="888">
                  <c:v>-0.156869009584665</c:v>
                </c:pt>
                <c:pt idx="889">
                  <c:v>-0.159744408945687</c:v>
                </c:pt>
                <c:pt idx="890">
                  <c:v>-0.160063897763578</c:v>
                </c:pt>
                <c:pt idx="891">
                  <c:v>-0.162939297124601</c:v>
                </c:pt>
                <c:pt idx="892">
                  <c:v>-0.163258785942492</c:v>
                </c:pt>
                <c:pt idx="893">
                  <c:v>-0.163258785942492</c:v>
                </c:pt>
                <c:pt idx="894">
                  <c:v>-0.166134185303514</c:v>
                </c:pt>
                <c:pt idx="895">
                  <c:v>-0.166453674121406</c:v>
                </c:pt>
                <c:pt idx="896">
                  <c:v>-0.166453674121406</c:v>
                </c:pt>
                <c:pt idx="897">
                  <c:v>-0.167092651757188</c:v>
                </c:pt>
                <c:pt idx="898">
                  <c:v>-0.167092651757188</c:v>
                </c:pt>
                <c:pt idx="899">
                  <c:v>-0.167092651757188</c:v>
                </c:pt>
                <c:pt idx="900">
                  <c:v>-0.167092651757188</c:v>
                </c:pt>
                <c:pt idx="901">
                  <c:v>-0.175399361022364</c:v>
                </c:pt>
                <c:pt idx="902">
                  <c:v>-0.177955271565495</c:v>
                </c:pt>
                <c:pt idx="903">
                  <c:v>-0.178594249201278</c:v>
                </c:pt>
                <c:pt idx="904">
                  <c:v>-0.181150159744409</c:v>
                </c:pt>
                <c:pt idx="905">
                  <c:v>-0.184025559105431</c:v>
                </c:pt>
                <c:pt idx="906">
                  <c:v>-0.189456869009585</c:v>
                </c:pt>
                <c:pt idx="907">
                  <c:v>-0.189456869009585</c:v>
                </c:pt>
                <c:pt idx="908">
                  <c:v>-0.192012779552716</c:v>
                </c:pt>
                <c:pt idx="909">
                  <c:v>-0.190095846645367</c:v>
                </c:pt>
                <c:pt idx="910">
                  <c:v>-0.180191693290735</c:v>
                </c:pt>
                <c:pt idx="911">
                  <c:v>-0.173801916932907</c:v>
                </c:pt>
                <c:pt idx="912">
                  <c:v>-0.173801916932907</c:v>
                </c:pt>
                <c:pt idx="913">
                  <c:v>-0.173801916932907</c:v>
                </c:pt>
                <c:pt idx="914">
                  <c:v>-0.162939297124601</c:v>
                </c:pt>
                <c:pt idx="915">
                  <c:v>-0.143130990415336</c:v>
                </c:pt>
                <c:pt idx="916">
                  <c:v>-0.118849840255591</c:v>
                </c:pt>
                <c:pt idx="917">
                  <c:v>-0.103194888178914</c:v>
                </c:pt>
                <c:pt idx="918">
                  <c:v>-0.100319488817891</c:v>
                </c:pt>
                <c:pt idx="919">
                  <c:v>-0.0878594249201278</c:v>
                </c:pt>
                <c:pt idx="920">
                  <c:v>-0.0773162939297125</c:v>
                </c:pt>
                <c:pt idx="921">
                  <c:v>-0.0654952076677316</c:v>
                </c:pt>
                <c:pt idx="922">
                  <c:v>-0.0591054313099042</c:v>
                </c:pt>
                <c:pt idx="923">
                  <c:v>-0.0591054313099042</c:v>
                </c:pt>
                <c:pt idx="924">
                  <c:v>-0.0591054313099042</c:v>
                </c:pt>
                <c:pt idx="925">
                  <c:v>-0.0517571884984025</c:v>
                </c:pt>
                <c:pt idx="926">
                  <c:v>-0.0517571884984025</c:v>
                </c:pt>
                <c:pt idx="927">
                  <c:v>-0.0517571884984025</c:v>
                </c:pt>
                <c:pt idx="928">
                  <c:v>-0.0517571884984025</c:v>
                </c:pt>
                <c:pt idx="929">
                  <c:v>-0.0543130990415335</c:v>
                </c:pt>
                <c:pt idx="930">
                  <c:v>-0.0543130990415335</c:v>
                </c:pt>
                <c:pt idx="931">
                  <c:v>-0.0543130990415335</c:v>
                </c:pt>
                <c:pt idx="932">
                  <c:v>-0.0543130990415335</c:v>
                </c:pt>
                <c:pt idx="933">
                  <c:v>-0.0565495207667732</c:v>
                </c:pt>
                <c:pt idx="934">
                  <c:v>-0.0565495207667732</c:v>
                </c:pt>
                <c:pt idx="935">
                  <c:v>-0.0565495207667732</c:v>
                </c:pt>
                <c:pt idx="936">
                  <c:v>0.0361403508771929</c:v>
                </c:pt>
                <c:pt idx="937">
                  <c:v>0.0361403508771929</c:v>
                </c:pt>
                <c:pt idx="938">
                  <c:v>0.0361403508771929</c:v>
                </c:pt>
                <c:pt idx="939">
                  <c:v>0.0361403508771929</c:v>
                </c:pt>
                <c:pt idx="940">
                  <c:v>0.0361403508771929</c:v>
                </c:pt>
                <c:pt idx="941">
                  <c:v>0.0385964912280701</c:v>
                </c:pt>
                <c:pt idx="942">
                  <c:v>0.0385964912280701</c:v>
                </c:pt>
                <c:pt idx="943">
                  <c:v>0.0361403508771929</c:v>
                </c:pt>
                <c:pt idx="944">
                  <c:v>0.0308771929824561</c:v>
                </c:pt>
                <c:pt idx="945">
                  <c:v>0.0256140350877192</c:v>
                </c:pt>
                <c:pt idx="946">
                  <c:v>0.0192982456140349</c:v>
                </c:pt>
                <c:pt idx="947">
                  <c:v>0.0175438596491226</c:v>
                </c:pt>
                <c:pt idx="948">
                  <c:v>0.016842105263158</c:v>
                </c:pt>
                <c:pt idx="949">
                  <c:v>0.0157894736842106</c:v>
                </c:pt>
                <c:pt idx="950">
                  <c:v>0.0157894736842106</c:v>
                </c:pt>
                <c:pt idx="951">
                  <c:v>0.0133333333333332</c:v>
                </c:pt>
                <c:pt idx="952">
                  <c:v>0.0122807017543858</c:v>
                </c:pt>
                <c:pt idx="953">
                  <c:v>0.00701754385964914</c:v>
                </c:pt>
                <c:pt idx="954">
                  <c:v>0.00666666666666682</c:v>
                </c:pt>
                <c:pt idx="955">
                  <c:v>0.00070175438596487</c:v>
                </c:pt>
                <c:pt idx="956">
                  <c:v>0.000350877192982324</c:v>
                </c:pt>
                <c:pt idx="957">
                  <c:v>-0.000350877192982435</c:v>
                </c:pt>
                <c:pt idx="958">
                  <c:v>-0.000350877192982435</c:v>
                </c:pt>
                <c:pt idx="959">
                  <c:v>-0.000350877192982435</c:v>
                </c:pt>
                <c:pt idx="960">
                  <c:v>-0.00140350877192985</c:v>
                </c:pt>
                <c:pt idx="961">
                  <c:v>-0.00140350877192985</c:v>
                </c:pt>
                <c:pt idx="962">
                  <c:v>-0.00210526315789483</c:v>
                </c:pt>
                <c:pt idx="963">
                  <c:v>-0.0028070175438597</c:v>
                </c:pt>
                <c:pt idx="964">
                  <c:v>-0.00947368421052641</c:v>
                </c:pt>
                <c:pt idx="965">
                  <c:v>-0.011578947368421</c:v>
                </c:pt>
                <c:pt idx="966">
                  <c:v>-0.011578947368421</c:v>
                </c:pt>
                <c:pt idx="967">
                  <c:v>-0.0150877192982457</c:v>
                </c:pt>
                <c:pt idx="968">
                  <c:v>-0.015438596491228</c:v>
                </c:pt>
                <c:pt idx="969">
                  <c:v>-0.015438596491228</c:v>
                </c:pt>
                <c:pt idx="970">
                  <c:v>-0.0171929824561403</c:v>
                </c:pt>
                <c:pt idx="971">
                  <c:v>-0.0185964912280702</c:v>
                </c:pt>
                <c:pt idx="972">
                  <c:v>-0.0252631578947369</c:v>
                </c:pt>
                <c:pt idx="973">
                  <c:v>-0.0252631578947369</c:v>
                </c:pt>
                <c:pt idx="974">
                  <c:v>-0.0263157894736843</c:v>
                </c:pt>
                <c:pt idx="975">
                  <c:v>-0.0277192982456141</c:v>
                </c:pt>
                <c:pt idx="976">
                  <c:v>-0.0280701754385965</c:v>
                </c:pt>
                <c:pt idx="977">
                  <c:v>-0.0280701754385965</c:v>
                </c:pt>
                <c:pt idx="978">
                  <c:v>-0.0266666666666667</c:v>
                </c:pt>
                <c:pt idx="979">
                  <c:v>-0.011578947368421</c:v>
                </c:pt>
                <c:pt idx="980">
                  <c:v>0.00491228070175431</c:v>
                </c:pt>
                <c:pt idx="981">
                  <c:v>0.0140350877192983</c:v>
                </c:pt>
                <c:pt idx="982">
                  <c:v>0.0368421052631578</c:v>
                </c:pt>
                <c:pt idx="983">
                  <c:v>0.0428070175438595</c:v>
                </c:pt>
                <c:pt idx="984">
                  <c:v>0.0428070175438595</c:v>
                </c:pt>
                <c:pt idx="985">
                  <c:v>0.0438596491228069</c:v>
                </c:pt>
                <c:pt idx="986">
                  <c:v>0.0498245614035087</c:v>
                </c:pt>
                <c:pt idx="987">
                  <c:v>0.0596491228070175</c:v>
                </c:pt>
                <c:pt idx="988">
                  <c:v>0.128070175438596</c:v>
                </c:pt>
                <c:pt idx="989">
                  <c:v>0.164210526315789</c:v>
                </c:pt>
                <c:pt idx="990">
                  <c:v>0.188070175438596</c:v>
                </c:pt>
                <c:pt idx="991">
                  <c:v>0.190877192982456</c:v>
                </c:pt>
                <c:pt idx="992">
                  <c:v>0.192982456140351</c:v>
                </c:pt>
                <c:pt idx="993">
                  <c:v>0.198245614035088</c:v>
                </c:pt>
                <c:pt idx="994">
                  <c:v>0.205263157894737</c:v>
                </c:pt>
                <c:pt idx="995">
                  <c:v>0.210526315789474</c:v>
                </c:pt>
                <c:pt idx="996">
                  <c:v>0.210526315789474</c:v>
                </c:pt>
                <c:pt idx="997">
                  <c:v>0.210526315789474</c:v>
                </c:pt>
                <c:pt idx="998">
                  <c:v>0.214035087719298</c:v>
                </c:pt>
                <c:pt idx="999">
                  <c:v>0.214035087719298</c:v>
                </c:pt>
                <c:pt idx="1000">
                  <c:v>0.153333333333333</c:v>
                </c:pt>
                <c:pt idx="1001">
                  <c:v>0.153333333333333</c:v>
                </c:pt>
                <c:pt idx="1002">
                  <c:v>0.153333333333333</c:v>
                </c:pt>
                <c:pt idx="1003">
                  <c:v>0.153333333333333</c:v>
                </c:pt>
                <c:pt idx="1004">
                  <c:v>0.153333333333333</c:v>
                </c:pt>
                <c:pt idx="1005">
                  <c:v>0.153333333333333</c:v>
                </c:pt>
                <c:pt idx="1006">
                  <c:v>0.141666666666667</c:v>
                </c:pt>
                <c:pt idx="1007">
                  <c:v>0.141666666666667</c:v>
                </c:pt>
                <c:pt idx="1008">
                  <c:v>0.141666666666667</c:v>
                </c:pt>
                <c:pt idx="1009">
                  <c:v>0.15</c:v>
                </c:pt>
                <c:pt idx="1010">
                  <c:v>0.15</c:v>
                </c:pt>
                <c:pt idx="1011">
                  <c:v>0.155</c:v>
                </c:pt>
                <c:pt idx="1012">
                  <c:v>0.155</c:v>
                </c:pt>
                <c:pt idx="1013">
                  <c:v>0.155</c:v>
                </c:pt>
                <c:pt idx="1014">
                  <c:v>0.156666666666667</c:v>
                </c:pt>
                <c:pt idx="1015">
                  <c:v>0.156666666666667</c:v>
                </c:pt>
                <c:pt idx="1016">
                  <c:v>0.175</c:v>
                </c:pt>
                <c:pt idx="1017">
                  <c:v>0.178333333333333</c:v>
                </c:pt>
                <c:pt idx="1018">
                  <c:v>0.203333333333333</c:v>
                </c:pt>
                <c:pt idx="1019">
                  <c:v>0.228333333333333</c:v>
                </c:pt>
                <c:pt idx="1020">
                  <c:v>0.233333333333333</c:v>
                </c:pt>
                <c:pt idx="1021">
                  <c:v>0.236666666666667</c:v>
                </c:pt>
                <c:pt idx="1022">
                  <c:v>0.236666666666667</c:v>
                </c:pt>
                <c:pt idx="1023">
                  <c:v>0.24</c:v>
                </c:pt>
                <c:pt idx="1024">
                  <c:v>0.24</c:v>
                </c:pt>
                <c:pt idx="1025">
                  <c:v>0.24</c:v>
                </c:pt>
                <c:pt idx="1026">
                  <c:v>0.245</c:v>
                </c:pt>
                <c:pt idx="1027">
                  <c:v>0.245</c:v>
                </c:pt>
                <c:pt idx="1028">
                  <c:v>0.25</c:v>
                </c:pt>
                <c:pt idx="1029">
                  <c:v>0.305</c:v>
                </c:pt>
                <c:pt idx="1030">
                  <c:v>0.33</c:v>
                </c:pt>
                <c:pt idx="1031">
                  <c:v>0.358333333333333</c:v>
                </c:pt>
                <c:pt idx="1032">
                  <c:v>0.383333333333334</c:v>
                </c:pt>
                <c:pt idx="1033">
                  <c:v>0.4</c:v>
                </c:pt>
                <c:pt idx="1034">
                  <c:v>0.425</c:v>
                </c:pt>
                <c:pt idx="1035">
                  <c:v>0.45</c:v>
                </c:pt>
                <c:pt idx="1036">
                  <c:v>0.458333333333333</c:v>
                </c:pt>
                <c:pt idx="1037">
                  <c:v>0.475</c:v>
                </c:pt>
                <c:pt idx="1038">
                  <c:v>0.475</c:v>
                </c:pt>
                <c:pt idx="1039">
                  <c:v>0.475</c:v>
                </c:pt>
                <c:pt idx="1040">
                  <c:v>0.475</c:v>
                </c:pt>
                <c:pt idx="1041">
                  <c:v>0.475</c:v>
                </c:pt>
                <c:pt idx="1042">
                  <c:v>0.475</c:v>
                </c:pt>
                <c:pt idx="1043">
                  <c:v>0.491666666666666</c:v>
                </c:pt>
                <c:pt idx="1044">
                  <c:v>0.491666666666666</c:v>
                </c:pt>
                <c:pt idx="1045">
                  <c:v>0.5</c:v>
                </c:pt>
                <c:pt idx="1046">
                  <c:v>0.5</c:v>
                </c:pt>
                <c:pt idx="1047">
                  <c:v>0.483333333333333</c:v>
                </c:pt>
                <c:pt idx="1048">
                  <c:v>0.466666666666667</c:v>
                </c:pt>
                <c:pt idx="1049">
                  <c:v>0.458333333333333</c:v>
                </c:pt>
                <c:pt idx="1050">
                  <c:v>0.45</c:v>
                </c:pt>
                <c:pt idx="1051">
                  <c:v>0.433333333333333</c:v>
                </c:pt>
                <c:pt idx="1052">
                  <c:v>0.433333333333333</c:v>
                </c:pt>
                <c:pt idx="1053">
                  <c:v>0.433333333333333</c:v>
                </c:pt>
                <c:pt idx="1054">
                  <c:v>0.425</c:v>
                </c:pt>
                <c:pt idx="1055">
                  <c:v>0.416666666666667</c:v>
                </c:pt>
                <c:pt idx="1056">
                  <c:v>0.411666666666667</c:v>
                </c:pt>
                <c:pt idx="1057">
                  <c:v>0.403333333333333</c:v>
                </c:pt>
                <c:pt idx="1058">
                  <c:v>0.4</c:v>
                </c:pt>
                <c:pt idx="1059">
                  <c:v>0.0986842105263157</c:v>
                </c:pt>
                <c:pt idx="1060">
                  <c:v>0.0986842105263157</c:v>
                </c:pt>
                <c:pt idx="1061">
                  <c:v>0.138157894736842</c:v>
                </c:pt>
                <c:pt idx="1062">
                  <c:v>0.151315789473684</c:v>
                </c:pt>
                <c:pt idx="1063">
                  <c:v>0.151315789473684</c:v>
                </c:pt>
                <c:pt idx="1064">
                  <c:v>0.144736842105263</c:v>
                </c:pt>
                <c:pt idx="1065">
                  <c:v>0.144736842105263</c:v>
                </c:pt>
                <c:pt idx="1066">
                  <c:v>0.151315789473684</c:v>
                </c:pt>
                <c:pt idx="1067">
                  <c:v>0.151315789473684</c:v>
                </c:pt>
                <c:pt idx="1068">
                  <c:v>0.151315789473684</c:v>
                </c:pt>
                <c:pt idx="1069">
                  <c:v>0.153947368421053</c:v>
                </c:pt>
                <c:pt idx="1070">
                  <c:v>0.157894736842105</c:v>
                </c:pt>
                <c:pt idx="1071">
                  <c:v>0.157894736842105</c:v>
                </c:pt>
                <c:pt idx="1072">
                  <c:v>0.157894736842105</c:v>
                </c:pt>
                <c:pt idx="1073">
                  <c:v>0.15921052631579</c:v>
                </c:pt>
                <c:pt idx="1074">
                  <c:v>0.171052631578948</c:v>
                </c:pt>
                <c:pt idx="1075">
                  <c:v>0.217105263157895</c:v>
                </c:pt>
                <c:pt idx="1076">
                  <c:v>0.223684210526316</c:v>
                </c:pt>
                <c:pt idx="1077">
                  <c:v>0.225789473684211</c:v>
                </c:pt>
                <c:pt idx="1078">
                  <c:v>0.218947368421053</c:v>
                </c:pt>
                <c:pt idx="1079">
                  <c:v>0.218947368421053</c:v>
                </c:pt>
                <c:pt idx="1080">
                  <c:v>0.218947368421053</c:v>
                </c:pt>
                <c:pt idx="1081">
                  <c:v>0.218947368421053</c:v>
                </c:pt>
                <c:pt idx="1082">
                  <c:v>0.218947368421053</c:v>
                </c:pt>
                <c:pt idx="1083">
                  <c:v>0.212105263157895</c:v>
                </c:pt>
                <c:pt idx="1084">
                  <c:v>0.212105263157895</c:v>
                </c:pt>
                <c:pt idx="1085">
                  <c:v>0.212105263157895</c:v>
                </c:pt>
                <c:pt idx="1086">
                  <c:v>0.198947368421053</c:v>
                </c:pt>
                <c:pt idx="1087">
                  <c:v>0.186315789473684</c:v>
                </c:pt>
                <c:pt idx="1088">
                  <c:v>0.173157894736842</c:v>
                </c:pt>
                <c:pt idx="1089">
                  <c:v>0.166842105263158</c:v>
                </c:pt>
                <c:pt idx="1090">
                  <c:v>0.162894736842105</c:v>
                </c:pt>
                <c:pt idx="1091">
                  <c:v>0.162894736842105</c:v>
                </c:pt>
                <c:pt idx="1092">
                  <c:v>0.153684210526316</c:v>
                </c:pt>
                <c:pt idx="1093">
                  <c:v>0.146842105263158</c:v>
                </c:pt>
                <c:pt idx="1094">
                  <c:v>0.14</c:v>
                </c:pt>
                <c:pt idx="1095">
                  <c:v>0.14</c:v>
                </c:pt>
                <c:pt idx="1096">
                  <c:v>0.146315789473684</c:v>
                </c:pt>
                <c:pt idx="1097">
                  <c:v>0.152894736842105</c:v>
                </c:pt>
                <c:pt idx="1098">
                  <c:v>0.164473684210526</c:v>
                </c:pt>
                <c:pt idx="1099">
                  <c:v>0.171052631578948</c:v>
                </c:pt>
                <c:pt idx="1100">
                  <c:v>0.177631578947368</c:v>
                </c:pt>
                <c:pt idx="1101">
                  <c:v>0.180263157894737</c:v>
                </c:pt>
                <c:pt idx="1102">
                  <c:v>0.182894736842105</c:v>
                </c:pt>
                <c:pt idx="1103">
                  <c:v>0.177631578947368</c:v>
                </c:pt>
                <c:pt idx="1104">
                  <c:v>0.171052631578948</c:v>
                </c:pt>
                <c:pt idx="1105">
                  <c:v>0.171052631578948</c:v>
                </c:pt>
                <c:pt idx="1106">
                  <c:v>0.177631578947368</c:v>
                </c:pt>
                <c:pt idx="1107">
                  <c:v>0.180263157894737</c:v>
                </c:pt>
                <c:pt idx="1108">
                  <c:v>0.182894736842105</c:v>
                </c:pt>
                <c:pt idx="1109">
                  <c:v>0.182894736842105</c:v>
                </c:pt>
                <c:pt idx="1110">
                  <c:v>0.181578947368421</c:v>
                </c:pt>
                <c:pt idx="1111">
                  <c:v>0.188157894736842</c:v>
                </c:pt>
                <c:pt idx="1112">
                  <c:v>0.190789473684211</c:v>
                </c:pt>
                <c:pt idx="1113">
                  <c:v>0.197368421052632</c:v>
                </c:pt>
                <c:pt idx="1114">
                  <c:v>0.195526315789474</c:v>
                </c:pt>
                <c:pt idx="1115">
                  <c:v>0.194736842105263</c:v>
                </c:pt>
                <c:pt idx="1116">
                  <c:v>0.201842105263158</c:v>
                </c:pt>
                <c:pt idx="1117">
                  <c:v>0.210526315789474</c:v>
                </c:pt>
                <c:pt idx="1118">
                  <c:v>0.207894736842105</c:v>
                </c:pt>
                <c:pt idx="1119">
                  <c:v>0.206578947368421</c:v>
                </c:pt>
                <c:pt idx="1120">
                  <c:v>0.206578947368421</c:v>
                </c:pt>
                <c:pt idx="1121">
                  <c:v>0.118292682926829</c:v>
                </c:pt>
                <c:pt idx="1122">
                  <c:v>0.118292682926829</c:v>
                </c:pt>
                <c:pt idx="1123">
                  <c:v>0.118292682926829</c:v>
                </c:pt>
                <c:pt idx="1124">
                  <c:v>0.118292682926829</c:v>
                </c:pt>
                <c:pt idx="1125">
                  <c:v>0.121951219512195</c:v>
                </c:pt>
                <c:pt idx="1126">
                  <c:v>0.121951219512195</c:v>
                </c:pt>
                <c:pt idx="1127">
                  <c:v>0.121951219512195</c:v>
                </c:pt>
                <c:pt idx="1128">
                  <c:v>0.121951219512195</c:v>
                </c:pt>
                <c:pt idx="1129">
                  <c:v>0.119512195121951</c:v>
                </c:pt>
                <c:pt idx="1130">
                  <c:v>0.119512195121951</c:v>
                </c:pt>
                <c:pt idx="1131">
                  <c:v>0.125609756097561</c:v>
                </c:pt>
                <c:pt idx="1132">
                  <c:v>0.125609756097561</c:v>
                </c:pt>
                <c:pt idx="1133">
                  <c:v>0.115853658536585</c:v>
                </c:pt>
                <c:pt idx="1134">
                  <c:v>0.109756097560976</c:v>
                </c:pt>
                <c:pt idx="1135">
                  <c:v>0.103658536585366</c:v>
                </c:pt>
                <c:pt idx="1136">
                  <c:v>0.1</c:v>
                </c:pt>
                <c:pt idx="1137">
                  <c:v>0.1</c:v>
                </c:pt>
                <c:pt idx="1138">
                  <c:v>0.0975609756097562</c:v>
                </c:pt>
                <c:pt idx="1139">
                  <c:v>0.0975609756097562</c:v>
                </c:pt>
                <c:pt idx="1140">
                  <c:v>0.0914634146341464</c:v>
                </c:pt>
                <c:pt idx="1141">
                  <c:v>0.0853658536585367</c:v>
                </c:pt>
                <c:pt idx="1142">
                  <c:v>0.0792682926829269</c:v>
                </c:pt>
                <c:pt idx="1143">
                  <c:v>0.0963414634146342</c:v>
                </c:pt>
                <c:pt idx="1144">
                  <c:v>0.0939024390243903</c:v>
                </c:pt>
                <c:pt idx="1145">
                  <c:v>0.0926829268292686</c:v>
                </c:pt>
                <c:pt idx="1146">
                  <c:v>0.0858536585365854</c:v>
                </c:pt>
                <c:pt idx="1147">
                  <c:v>0.0831707317073171</c:v>
                </c:pt>
                <c:pt idx="1148">
                  <c:v>0.0548780487804879</c:v>
                </c:pt>
                <c:pt idx="1149">
                  <c:v>0.0378048780487805</c:v>
                </c:pt>
                <c:pt idx="1150">
                  <c:v>0.0339024390243903</c:v>
                </c:pt>
                <c:pt idx="1151">
                  <c:v>0.0304878048780488</c:v>
                </c:pt>
                <c:pt idx="1152">
                  <c:v>0.03</c:v>
                </c:pt>
                <c:pt idx="1153">
                  <c:v>0.0278048780487807</c:v>
                </c:pt>
                <c:pt idx="1154">
                  <c:v>0.0275609756097561</c:v>
                </c:pt>
                <c:pt idx="1155">
                  <c:v>0.0212195121951222</c:v>
                </c:pt>
                <c:pt idx="1156">
                  <c:v>0.00121951219512217</c:v>
                </c:pt>
                <c:pt idx="1157">
                  <c:v>-0.0051219512195122</c:v>
                </c:pt>
                <c:pt idx="1158">
                  <c:v>-0.00853658536585344</c:v>
                </c:pt>
                <c:pt idx="1159">
                  <c:v>-0.011951219512195</c:v>
                </c:pt>
                <c:pt idx="1160">
                  <c:v>-0.0265853658536584</c:v>
                </c:pt>
                <c:pt idx="1161">
                  <c:v>-0.0382926829268292</c:v>
                </c:pt>
                <c:pt idx="1162">
                  <c:v>-0.0478048780487804</c:v>
                </c:pt>
                <c:pt idx="1163">
                  <c:v>-0.0514634146341463</c:v>
                </c:pt>
                <c:pt idx="1164">
                  <c:v>-0.057560975609756</c:v>
                </c:pt>
                <c:pt idx="1165">
                  <c:v>-0.0709756097560974</c:v>
                </c:pt>
                <c:pt idx="1166">
                  <c:v>-0.073170731707317</c:v>
                </c:pt>
                <c:pt idx="1167">
                  <c:v>-0.0734146341463414</c:v>
                </c:pt>
                <c:pt idx="1168">
                  <c:v>-0.0756097560975609</c:v>
                </c:pt>
                <c:pt idx="1169">
                  <c:v>-0.0775609756097561</c:v>
                </c:pt>
                <c:pt idx="1170">
                  <c:v>-0.0817073170731706</c:v>
                </c:pt>
                <c:pt idx="1171">
                  <c:v>-0.0839024390243902</c:v>
                </c:pt>
                <c:pt idx="1172">
                  <c:v>-0.0863414634146341</c:v>
                </c:pt>
                <c:pt idx="1173">
                  <c:v>-0.0890243902439024</c:v>
                </c:pt>
                <c:pt idx="1174">
                  <c:v>-0.0912195121951219</c:v>
                </c:pt>
                <c:pt idx="1175">
                  <c:v>-0.0917073170731706</c:v>
                </c:pt>
                <c:pt idx="1176">
                  <c:v>-0.0917073170731706</c:v>
                </c:pt>
                <c:pt idx="1177">
                  <c:v>-0.0919512195121951</c:v>
                </c:pt>
                <c:pt idx="1178">
                  <c:v>-0.0921951219512195</c:v>
                </c:pt>
                <c:pt idx="1179">
                  <c:v>-0.0929268292682927</c:v>
                </c:pt>
                <c:pt idx="1180">
                  <c:v>-0.097560975609756</c:v>
                </c:pt>
                <c:pt idx="1181">
                  <c:v>-0.0997560975609756</c:v>
                </c:pt>
                <c:pt idx="1182">
                  <c:v>-0.100243902439024</c:v>
                </c:pt>
                <c:pt idx="1183">
                  <c:v>-0.100731707317073</c:v>
                </c:pt>
                <c:pt idx="1184">
                  <c:v>-0.108048780487805</c:v>
                </c:pt>
                <c:pt idx="1185">
                  <c:v>-0.0169811320754717</c:v>
                </c:pt>
                <c:pt idx="1186">
                  <c:v>-0.0169811320754717</c:v>
                </c:pt>
                <c:pt idx="1187">
                  <c:v>-0.0169811320754717</c:v>
                </c:pt>
                <c:pt idx="1188">
                  <c:v>-0.0172506738544475</c:v>
                </c:pt>
                <c:pt idx="1189">
                  <c:v>-0.0199460916442048</c:v>
                </c:pt>
                <c:pt idx="1190">
                  <c:v>-0.022911051212938</c:v>
                </c:pt>
                <c:pt idx="1191">
                  <c:v>-0.0258760107816712</c:v>
                </c:pt>
                <c:pt idx="1192">
                  <c:v>-0.0261455525606469</c:v>
                </c:pt>
                <c:pt idx="1193">
                  <c:v>-0.0288409703504042</c:v>
                </c:pt>
                <c:pt idx="1194">
                  <c:v>-0.033423180592992</c:v>
                </c:pt>
                <c:pt idx="1195">
                  <c:v>-0.0442048517520216</c:v>
                </c:pt>
                <c:pt idx="1196">
                  <c:v>-0.0474393530997305</c:v>
                </c:pt>
                <c:pt idx="1197">
                  <c:v>-0.0539083557951483</c:v>
                </c:pt>
                <c:pt idx="1198">
                  <c:v>-0.0582210242587601</c:v>
                </c:pt>
                <c:pt idx="1199">
                  <c:v>-0.059299191374663</c:v>
                </c:pt>
                <c:pt idx="1200">
                  <c:v>-0.0638814016172508</c:v>
                </c:pt>
                <c:pt idx="1201">
                  <c:v>-0.0660377358490566</c:v>
                </c:pt>
                <c:pt idx="1202">
                  <c:v>-0.0671159029649596</c:v>
                </c:pt>
                <c:pt idx="1203">
                  <c:v>-0.077088948787062</c:v>
                </c:pt>
                <c:pt idx="1204">
                  <c:v>-0.0824797843665769</c:v>
                </c:pt>
              </c:numCache>
            </c:numRef>
          </c:val>
        </c:ser>
        <c:dLbls>
          <c:showLegendKey val="0"/>
          <c:showVal val="0"/>
          <c:showCatName val="0"/>
          <c:showSerName val="0"/>
          <c:showPercent val="0"/>
          <c:showBubbleSize val="0"/>
        </c:dLbls>
        <c:axId val="1502781071"/>
        <c:axId val="1307237183"/>
      </c:areaChart>
      <c:lineChart>
        <c:grouping val="standard"/>
        <c:varyColors val="0"/>
        <c:ser>
          <c:idx val="0"/>
          <c:order val="1"/>
          <c:tx>
            <c:strRef>
              <c:f>DRAM!$AV$27</c:f>
              <c:strCache>
                <c:ptCount val="1"/>
                <c:pt idx="0">
                  <c:v>Spot</c:v>
                </c:pt>
              </c:strCache>
            </c:strRef>
          </c:tx>
          <c:spPr>
            <a:ln w="19050" cap="rnd" cmpd="sng" algn="ctr">
              <a:solidFill>
                <a:schemeClr val="accent1"/>
              </a:solidFill>
              <a:prstDash val="solid"/>
              <a:round/>
            </a:ln>
          </c:spPr>
          <c:marker>
            <c:symbol val="none"/>
          </c:marker>
          <c:dLbls>
            <c:delete val="1"/>
          </c:dLbls>
          <c:cat>
            <c:numRef>
              <c:f>DRAM!$AS$29:$AS$500</c:f>
              <c:numCache>
                <c:formatCode>m/d/yyyy;@</c:formatCode>
                <c:ptCount val="472"/>
                <c:pt idx="0" c:formatCode="m/d/yyyy;@">
                  <c:v>43479</c:v>
                </c:pt>
                <c:pt idx="1" c:formatCode="m/d/yyyy;@">
                  <c:v>43493</c:v>
                </c:pt>
                <c:pt idx="2" c:formatCode="m/d/yyyy;@">
                  <c:v>43507</c:v>
                </c:pt>
                <c:pt idx="3" c:formatCode="m/d/yyyy;@">
                  <c:v>43514</c:v>
                </c:pt>
                <c:pt idx="4" c:formatCode="m/d/yyyy;@">
                  <c:v>43521</c:v>
                </c:pt>
                <c:pt idx="5" c:formatCode="m/d/yyyy;@">
                  <c:v>43528</c:v>
                </c:pt>
                <c:pt idx="6" c:formatCode="m/d/yyyy;@">
                  <c:v>43535</c:v>
                </c:pt>
                <c:pt idx="7" c:formatCode="m/d/yyyy;@">
                  <c:v>43542</c:v>
                </c:pt>
                <c:pt idx="8" c:formatCode="m/d/yyyy;@">
                  <c:v>43549</c:v>
                </c:pt>
                <c:pt idx="9" c:formatCode="m/d/yyyy;@">
                  <c:v>43556</c:v>
                </c:pt>
                <c:pt idx="10" c:formatCode="m/d/yyyy;@">
                  <c:v>43563</c:v>
                </c:pt>
                <c:pt idx="11" c:formatCode="m/d/yyyy;@">
                  <c:v>43570</c:v>
                </c:pt>
                <c:pt idx="12" c:formatCode="m/d/yyyy;@">
                  <c:v>43577</c:v>
                </c:pt>
                <c:pt idx="13" c:formatCode="m/d/yyyy;@">
                  <c:v>43584</c:v>
                </c:pt>
                <c:pt idx="14" c:formatCode="m/d/yyyy;@">
                  <c:v>43591</c:v>
                </c:pt>
                <c:pt idx="15" c:formatCode="m/d/yyyy;@">
                  <c:v>43598</c:v>
                </c:pt>
                <c:pt idx="16" c:formatCode="m/d/yyyy;@">
                  <c:v>43605</c:v>
                </c:pt>
                <c:pt idx="17" c:formatCode="m/d/yyyy;@">
                  <c:v>43612</c:v>
                </c:pt>
                <c:pt idx="18" c:formatCode="m/d/yyyy;@">
                  <c:v>43619</c:v>
                </c:pt>
                <c:pt idx="19" c:formatCode="m/d/yyyy;@">
                  <c:v>43626</c:v>
                </c:pt>
                <c:pt idx="20" c:formatCode="m/d/yyyy;@">
                  <c:v>43633</c:v>
                </c:pt>
                <c:pt idx="21" c:formatCode="m/d/yyyy;@">
                  <c:v>43640</c:v>
                </c:pt>
                <c:pt idx="22" c:formatCode="m/d/yyyy;@">
                  <c:v>43647</c:v>
                </c:pt>
                <c:pt idx="23" c:formatCode="m/d/yyyy;@">
                  <c:v>43654</c:v>
                </c:pt>
                <c:pt idx="24" c:formatCode="m/d/yyyy;@">
                  <c:v>43661</c:v>
                </c:pt>
                <c:pt idx="25" c:formatCode="m/d/yyyy;@">
                  <c:v>43668</c:v>
                </c:pt>
                <c:pt idx="26" c:formatCode="m/d/yyyy;@">
                  <c:v>43675</c:v>
                </c:pt>
                <c:pt idx="27" c:formatCode="m/d/yyyy;@">
                  <c:v>43682</c:v>
                </c:pt>
                <c:pt idx="28" c:formatCode="m/d/yyyy;@">
                  <c:v>43689</c:v>
                </c:pt>
                <c:pt idx="29" c:formatCode="m/d/yyyy;@">
                  <c:v>43696</c:v>
                </c:pt>
                <c:pt idx="30" c:formatCode="m/d/yyyy;@">
                  <c:v>43703</c:v>
                </c:pt>
                <c:pt idx="31" c:formatCode="m/d/yyyy;@">
                  <c:v>43710</c:v>
                </c:pt>
                <c:pt idx="32" c:formatCode="m/d/yyyy;@">
                  <c:v>43717</c:v>
                </c:pt>
                <c:pt idx="33" c:formatCode="m/d/yyyy;@">
                  <c:v>43724</c:v>
                </c:pt>
                <c:pt idx="34" c:formatCode="m/d/yyyy;@">
                  <c:v>43731</c:v>
                </c:pt>
                <c:pt idx="35" c:formatCode="m/d/yyyy;@">
                  <c:v>43738</c:v>
                </c:pt>
                <c:pt idx="36" c:formatCode="m/d/yyyy;@">
                  <c:v>43745</c:v>
                </c:pt>
                <c:pt idx="37" c:formatCode="m/d/yyyy;@">
                  <c:v>43752</c:v>
                </c:pt>
                <c:pt idx="38" c:formatCode="m/d/yyyy;@">
                  <c:v>43759</c:v>
                </c:pt>
                <c:pt idx="39" c:formatCode="m/d/yyyy;@">
                  <c:v>43766</c:v>
                </c:pt>
                <c:pt idx="40" c:formatCode="m/d/yyyy;@">
                  <c:v>43773</c:v>
                </c:pt>
                <c:pt idx="41" c:formatCode="m/d/yyyy;@">
                  <c:v>43780</c:v>
                </c:pt>
                <c:pt idx="42" c:formatCode="m/d/yyyy;@">
                  <c:v>43787</c:v>
                </c:pt>
                <c:pt idx="43" c:formatCode="m/d/yyyy;@">
                  <c:v>43794</c:v>
                </c:pt>
                <c:pt idx="44" c:formatCode="m/d/yyyy;@">
                  <c:v>43801</c:v>
                </c:pt>
                <c:pt idx="45" c:formatCode="m/d/yyyy;@">
                  <c:v>43808</c:v>
                </c:pt>
                <c:pt idx="46" c:formatCode="m/d/yyyy;@">
                  <c:v>43815</c:v>
                </c:pt>
                <c:pt idx="47" c:formatCode="m/d/yyyy;@">
                  <c:v>43822</c:v>
                </c:pt>
                <c:pt idx="48" c:formatCode="m/d/yyyy;@">
                  <c:v>43829</c:v>
                </c:pt>
                <c:pt idx="49" c:formatCode="m/d/yyyy;@">
                  <c:v>43836</c:v>
                </c:pt>
                <c:pt idx="50" c:formatCode="m/d/yyyy;@">
                  <c:v>43843</c:v>
                </c:pt>
                <c:pt idx="51" c:formatCode="m/d/yyyy;@">
                  <c:v>43850</c:v>
                </c:pt>
                <c:pt idx="52" c:formatCode="m/d/yyyy;@">
                  <c:v>43864</c:v>
                </c:pt>
                <c:pt idx="53" c:formatCode="m/d/yyyy;@">
                  <c:v>43871</c:v>
                </c:pt>
                <c:pt idx="54" c:formatCode="m/d/yyyy;@">
                  <c:v>43878</c:v>
                </c:pt>
                <c:pt idx="55" c:formatCode="m/d/yyyy;@">
                  <c:v>43885</c:v>
                </c:pt>
                <c:pt idx="56" c:formatCode="m/d/yyyy;@">
                  <c:v>43892</c:v>
                </c:pt>
                <c:pt idx="57" c:formatCode="m/d/yyyy;@">
                  <c:v>43899</c:v>
                </c:pt>
                <c:pt idx="58" c:formatCode="m/d/yyyy;@">
                  <c:v>43906</c:v>
                </c:pt>
                <c:pt idx="59" c:formatCode="m/d/yyyy;@">
                  <c:v>43913</c:v>
                </c:pt>
                <c:pt idx="60" c:formatCode="m/d/yyyy;@">
                  <c:v>43920</c:v>
                </c:pt>
                <c:pt idx="61" c:formatCode="m/d/yyyy;@">
                  <c:v>43927</c:v>
                </c:pt>
                <c:pt idx="62" c:formatCode="m/d/yyyy;@">
                  <c:v>43934</c:v>
                </c:pt>
                <c:pt idx="63" c:formatCode="m/d/yyyy;@">
                  <c:v>43941</c:v>
                </c:pt>
                <c:pt idx="64" c:formatCode="m/d/yyyy;@">
                  <c:v>43948</c:v>
                </c:pt>
                <c:pt idx="65" c:formatCode="m/d/yyyy;@">
                  <c:v>43955</c:v>
                </c:pt>
                <c:pt idx="66" c:formatCode="m/d/yyyy;@">
                  <c:v>43962</c:v>
                </c:pt>
                <c:pt idx="67" c:formatCode="m/d/yyyy;@">
                  <c:v>43969</c:v>
                </c:pt>
                <c:pt idx="68" c:formatCode="m/d/yyyy;@">
                  <c:v>43976</c:v>
                </c:pt>
                <c:pt idx="69" c:formatCode="m/d/yyyy;@">
                  <c:v>43983</c:v>
                </c:pt>
                <c:pt idx="70" c:formatCode="m/d/yyyy;@">
                  <c:v>43990</c:v>
                </c:pt>
                <c:pt idx="71" c:formatCode="m/d/yyyy;@">
                  <c:v>43997</c:v>
                </c:pt>
                <c:pt idx="72" c:formatCode="m/d/yyyy;@">
                  <c:v>44004</c:v>
                </c:pt>
                <c:pt idx="73" c:formatCode="m/d/yyyy;@">
                  <c:v>44011</c:v>
                </c:pt>
                <c:pt idx="74" c:formatCode="m/d/yyyy;@">
                  <c:v>44018</c:v>
                </c:pt>
                <c:pt idx="75" c:formatCode="m/d/yyyy;@">
                  <c:v>44025</c:v>
                </c:pt>
                <c:pt idx="76" c:formatCode="m/d/yyyy;@">
                  <c:v>44032</c:v>
                </c:pt>
                <c:pt idx="77" c:formatCode="m/d/yyyy;@">
                  <c:v>44039</c:v>
                </c:pt>
                <c:pt idx="78" c:formatCode="m/d/yyyy;@">
                  <c:v>44046</c:v>
                </c:pt>
                <c:pt idx="79" c:formatCode="m/d/yyyy;@">
                  <c:v>44053</c:v>
                </c:pt>
                <c:pt idx="80" c:formatCode="m/d/yyyy;@">
                  <c:v>44060</c:v>
                </c:pt>
                <c:pt idx="81" c:formatCode="m/d/yyyy;@">
                  <c:v>44067</c:v>
                </c:pt>
                <c:pt idx="82" c:formatCode="m/d/yyyy;@">
                  <c:v>44074</c:v>
                </c:pt>
                <c:pt idx="83" c:formatCode="m/d/yyyy;@">
                  <c:v>44081</c:v>
                </c:pt>
                <c:pt idx="84" c:formatCode="m/d/yyyy;@">
                  <c:v>44088</c:v>
                </c:pt>
                <c:pt idx="85" c:formatCode="m/d/yyyy;@">
                  <c:v>44095</c:v>
                </c:pt>
                <c:pt idx="86" c:formatCode="m/d/yyyy;@">
                  <c:v>44102</c:v>
                </c:pt>
                <c:pt idx="87" c:formatCode="m/d/yyyy;@">
                  <c:v>44109</c:v>
                </c:pt>
                <c:pt idx="88" c:formatCode="m/d/yyyy;@">
                  <c:v>44116</c:v>
                </c:pt>
                <c:pt idx="89" c:formatCode="m/d/yyyy;@">
                  <c:v>44123</c:v>
                </c:pt>
                <c:pt idx="90" c:formatCode="m/d/yyyy;@">
                  <c:v>44130</c:v>
                </c:pt>
                <c:pt idx="91" c:formatCode="m/d/yyyy;@">
                  <c:v>44137</c:v>
                </c:pt>
                <c:pt idx="92" c:formatCode="m/d/yyyy;@">
                  <c:v>44144</c:v>
                </c:pt>
                <c:pt idx="93" c:formatCode="m/d/yyyy;@">
                  <c:v>44151</c:v>
                </c:pt>
                <c:pt idx="94" c:formatCode="m/d/yyyy;@">
                  <c:v>44158</c:v>
                </c:pt>
                <c:pt idx="95" c:formatCode="m/d/yyyy;@">
                  <c:v>44165</c:v>
                </c:pt>
                <c:pt idx="96" c:formatCode="m/d/yyyy;@">
                  <c:v>44172</c:v>
                </c:pt>
                <c:pt idx="97" c:formatCode="m/d/yyyy;@">
                  <c:v>44179</c:v>
                </c:pt>
                <c:pt idx="98" c:formatCode="m/d/yyyy;@">
                  <c:v>44186</c:v>
                </c:pt>
                <c:pt idx="99" c:formatCode="m/d/yyyy;@">
                  <c:v>44193</c:v>
                </c:pt>
                <c:pt idx="100" c:formatCode="m/d/yyyy;@">
                  <c:v>44200</c:v>
                </c:pt>
                <c:pt idx="101" c:formatCode="m/d/yyyy;@">
                  <c:v>44207</c:v>
                </c:pt>
                <c:pt idx="102" c:formatCode="m/d/yyyy;@">
                  <c:v>44214</c:v>
                </c:pt>
                <c:pt idx="103" c:formatCode="m/d/yyyy;@">
                  <c:v>44221</c:v>
                </c:pt>
                <c:pt idx="104" c:formatCode="m/d/yyyy;@">
                  <c:v>44228</c:v>
                </c:pt>
                <c:pt idx="105" c:formatCode="m/d/yyyy;@">
                  <c:v>44235</c:v>
                </c:pt>
                <c:pt idx="106" c:formatCode="m/d/yyyy;@">
                  <c:v>44244</c:v>
                </c:pt>
                <c:pt idx="107" c:formatCode="m/d/yyyy;@">
                  <c:v>44249</c:v>
                </c:pt>
                <c:pt idx="108" c:formatCode="m/d/yyyy;@">
                  <c:v>44256</c:v>
                </c:pt>
                <c:pt idx="109" c:formatCode="m/d/yyyy;@">
                  <c:v>44263</c:v>
                </c:pt>
                <c:pt idx="110" c:formatCode="m/d/yyyy;@">
                  <c:v>44270</c:v>
                </c:pt>
                <c:pt idx="111" c:formatCode="m/d/yyyy;@">
                  <c:v>44277</c:v>
                </c:pt>
                <c:pt idx="112" c:formatCode="m/d/yyyy;@">
                  <c:v>44284</c:v>
                </c:pt>
                <c:pt idx="113" c:formatCode="m/d/yyyy;@">
                  <c:v>44292</c:v>
                </c:pt>
                <c:pt idx="114" c:formatCode="m/d/yyyy;@">
                  <c:v>44298</c:v>
                </c:pt>
                <c:pt idx="115" c:formatCode="m/d/yyyy;@">
                  <c:v>44305</c:v>
                </c:pt>
                <c:pt idx="116" c:formatCode="m/d/yyyy;@">
                  <c:v>44312</c:v>
                </c:pt>
                <c:pt idx="117" c:formatCode="m/d/yyyy;@">
                  <c:v>44319</c:v>
                </c:pt>
                <c:pt idx="118" c:formatCode="m/d/yyyy;@">
                  <c:v>44326</c:v>
                </c:pt>
                <c:pt idx="119" c:formatCode="m/d/yyyy;@">
                  <c:v>44333</c:v>
                </c:pt>
                <c:pt idx="120" c:formatCode="m/d/yyyy;@">
                  <c:v>44340</c:v>
                </c:pt>
                <c:pt idx="121" c:formatCode="m/d/yyyy;@">
                  <c:v>44347</c:v>
                </c:pt>
                <c:pt idx="122" c:formatCode="m/d/yyyy;@">
                  <c:v>44354</c:v>
                </c:pt>
                <c:pt idx="123" c:formatCode="m/d/yyyy;@">
                  <c:v>44362</c:v>
                </c:pt>
                <c:pt idx="124" c:formatCode="m/d/yyyy;@">
                  <c:v>44368</c:v>
                </c:pt>
                <c:pt idx="125" c:formatCode="m/d/yyyy;@">
                  <c:v>44375</c:v>
                </c:pt>
                <c:pt idx="126" c:formatCode="m/d/yyyy;@">
                  <c:v>44382</c:v>
                </c:pt>
                <c:pt idx="127" c:formatCode="m/d/yyyy;@">
                  <c:v>44389</c:v>
                </c:pt>
                <c:pt idx="128" c:formatCode="m/d/yyyy;@">
                  <c:v>44396</c:v>
                </c:pt>
                <c:pt idx="129" c:formatCode="m/d/yyyy;@">
                  <c:v>44403</c:v>
                </c:pt>
                <c:pt idx="130" c:formatCode="m/d/yyyy;@">
                  <c:v>44410</c:v>
                </c:pt>
                <c:pt idx="131" c:formatCode="m/d/yyyy;@">
                  <c:v>44417</c:v>
                </c:pt>
                <c:pt idx="132" c:formatCode="m/d/yyyy;@">
                  <c:v>44424</c:v>
                </c:pt>
                <c:pt idx="133" c:formatCode="m/d/yyyy;@">
                  <c:v>44431</c:v>
                </c:pt>
                <c:pt idx="134" c:formatCode="m/d/yyyy;@">
                  <c:v>44438</c:v>
                </c:pt>
                <c:pt idx="135" c:formatCode="m/d/yyyy;@">
                  <c:v>44445</c:v>
                </c:pt>
                <c:pt idx="136" c:formatCode="m/d/yyyy;@">
                  <c:v>44452</c:v>
                </c:pt>
                <c:pt idx="137" c:formatCode="m/d/yyyy;@">
                  <c:v>44461</c:v>
                </c:pt>
                <c:pt idx="138" c:formatCode="m/d/yyyy;@">
                  <c:v>44466</c:v>
                </c:pt>
                <c:pt idx="139" c:formatCode="m/d/yyyy;@">
                  <c:v>44473</c:v>
                </c:pt>
                <c:pt idx="140" c:formatCode="m/d/yyyy;@">
                  <c:v>44480</c:v>
                </c:pt>
                <c:pt idx="141" c:formatCode="m/d/yyyy;@">
                  <c:v>44487</c:v>
                </c:pt>
                <c:pt idx="142" c:formatCode="m/d/yyyy;@">
                  <c:v>44494</c:v>
                </c:pt>
                <c:pt idx="143" c:formatCode="m/d/yyyy;@">
                  <c:v>44501</c:v>
                </c:pt>
                <c:pt idx="144" c:formatCode="m/d/yyyy;@">
                  <c:v>44508</c:v>
                </c:pt>
                <c:pt idx="145" c:formatCode="m/d/yyyy;@">
                  <c:v>44515</c:v>
                </c:pt>
                <c:pt idx="146" c:formatCode="m/d/yyyy;@">
                  <c:v>44522</c:v>
                </c:pt>
                <c:pt idx="147" c:formatCode="m/d/yyyy;@">
                  <c:v>44529</c:v>
                </c:pt>
                <c:pt idx="148" c:formatCode="m/d/yyyy;@">
                  <c:v>44536</c:v>
                </c:pt>
                <c:pt idx="149" c:formatCode="m/d/yyyy;@">
                  <c:v>44543</c:v>
                </c:pt>
                <c:pt idx="150" c:formatCode="m/d/yyyy;@">
                  <c:v>44550</c:v>
                </c:pt>
                <c:pt idx="151" c:formatCode="m/d/yyyy;@">
                  <c:v>44557</c:v>
                </c:pt>
                <c:pt idx="152" c:formatCode="m/d/yyyy;@">
                  <c:v>44564</c:v>
                </c:pt>
                <c:pt idx="153" c:formatCode="m/d/yyyy;@">
                  <c:v>44571</c:v>
                </c:pt>
                <c:pt idx="154" c:formatCode="m/d/yyyy;@">
                  <c:v>44578</c:v>
                </c:pt>
                <c:pt idx="155" c:formatCode="m/d/yyyy;@">
                  <c:v>44585</c:v>
                </c:pt>
                <c:pt idx="156" c:formatCode="m/d/yyyy;@">
                  <c:v>44599</c:v>
                </c:pt>
                <c:pt idx="157" c:formatCode="m/d/yyyy;@">
                  <c:v>44606</c:v>
                </c:pt>
                <c:pt idx="158" c:formatCode="m/d/yyyy;@">
                  <c:v>44613</c:v>
                </c:pt>
                <c:pt idx="159" c:formatCode="m/d/yyyy;@">
                  <c:v>44620</c:v>
                </c:pt>
                <c:pt idx="160" c:formatCode="m/d/yyyy;@">
                  <c:v>44627</c:v>
                </c:pt>
                <c:pt idx="161" c:formatCode="m/d/yyyy;@">
                  <c:v>44634</c:v>
                </c:pt>
                <c:pt idx="162" c:formatCode="m/d/yyyy;@">
                  <c:v>44641</c:v>
                </c:pt>
                <c:pt idx="163" c:formatCode="m/d/yyyy;@">
                  <c:v>44648</c:v>
                </c:pt>
                <c:pt idx="164" c:formatCode="m/d/yyyy;@">
                  <c:v>44657</c:v>
                </c:pt>
                <c:pt idx="165" c:formatCode="m/d/yyyy;@">
                  <c:v>44662</c:v>
                </c:pt>
                <c:pt idx="166" c:formatCode="m/d/yyyy;@">
                  <c:v>44669</c:v>
                </c:pt>
                <c:pt idx="167" c:formatCode="m/d/yyyy;@">
                  <c:v>44676</c:v>
                </c:pt>
                <c:pt idx="168" c:formatCode="m/d/yyyy;@">
                  <c:v>44684</c:v>
                </c:pt>
                <c:pt idx="169" c:formatCode="m/d/yyyy;@">
                  <c:v>44690</c:v>
                </c:pt>
                <c:pt idx="170" c:formatCode="m/d/yyyy;@">
                  <c:v>44697</c:v>
                </c:pt>
                <c:pt idx="171" c:formatCode="m/d/yyyy;@">
                  <c:v>44704</c:v>
                </c:pt>
                <c:pt idx="172" c:formatCode="m/d/yyyy;@">
                  <c:v>44711</c:v>
                </c:pt>
                <c:pt idx="173" c:formatCode="m/d/yyyy;@">
                  <c:v>44718</c:v>
                </c:pt>
                <c:pt idx="174" c:formatCode="m/d/yyyy;@">
                  <c:v>44725</c:v>
                </c:pt>
                <c:pt idx="175" c:formatCode="m/d/yyyy;@">
                  <c:v>44732</c:v>
                </c:pt>
                <c:pt idx="176" c:formatCode="m/d/yyyy;@">
                  <c:v>44739</c:v>
                </c:pt>
                <c:pt idx="177" c:formatCode="m/d/yyyy;@">
                  <c:v>44746</c:v>
                </c:pt>
                <c:pt idx="178" c:formatCode="m/d/yyyy;@">
                  <c:v>44753</c:v>
                </c:pt>
                <c:pt idx="179" c:formatCode="m/d/yyyy;@">
                  <c:v>44760</c:v>
                </c:pt>
                <c:pt idx="180" c:formatCode="m/d/yyyy;@">
                  <c:v>44767</c:v>
                </c:pt>
                <c:pt idx="181" c:formatCode="m/d/yyyy;@">
                  <c:v>44774</c:v>
                </c:pt>
                <c:pt idx="182" c:formatCode="m/d/yyyy;@">
                  <c:v>44781</c:v>
                </c:pt>
                <c:pt idx="183" c:formatCode="m/d/yyyy;@">
                  <c:v>44788</c:v>
                </c:pt>
                <c:pt idx="184" c:formatCode="m/d/yyyy;@">
                  <c:v>44795</c:v>
                </c:pt>
                <c:pt idx="185" c:formatCode="m/d/yyyy;@">
                  <c:v>44802</c:v>
                </c:pt>
                <c:pt idx="186" c:formatCode="m/d/yyyy;@">
                  <c:v>44809</c:v>
                </c:pt>
                <c:pt idx="187" c:formatCode="m/d/yyyy;@">
                  <c:v>44816</c:v>
                </c:pt>
                <c:pt idx="188" c:formatCode="m/d/yyyy;@">
                  <c:v>44823</c:v>
                </c:pt>
                <c:pt idx="189" c:formatCode="m/d/yyyy;@">
                  <c:v>44830</c:v>
                </c:pt>
                <c:pt idx="190" c:formatCode="m/d/yyyy;@">
                  <c:v>44837</c:v>
                </c:pt>
                <c:pt idx="191" c:formatCode="m/d/yyyy;@">
                  <c:v>44844</c:v>
                </c:pt>
                <c:pt idx="192" c:formatCode="m/d/yyyy;@">
                  <c:v>44851</c:v>
                </c:pt>
                <c:pt idx="193" c:formatCode="m/d/yyyy;@">
                  <c:v>44858</c:v>
                </c:pt>
                <c:pt idx="194" c:formatCode="m/d/yyyy;@">
                  <c:v>44865</c:v>
                </c:pt>
                <c:pt idx="195" c:formatCode="m/d/yyyy;@">
                  <c:v>44872</c:v>
                </c:pt>
                <c:pt idx="196" c:formatCode="m/d/yyyy;@">
                  <c:v>44879</c:v>
                </c:pt>
                <c:pt idx="197" c:formatCode="m/d/yyyy;@">
                  <c:v>44886</c:v>
                </c:pt>
                <c:pt idx="198" c:formatCode="m/d/yyyy;@">
                  <c:v>44893</c:v>
                </c:pt>
                <c:pt idx="199" c:formatCode="m/d/yyyy;@">
                  <c:v>44900</c:v>
                </c:pt>
                <c:pt idx="200" c:formatCode="m/d/yyyy;@">
                  <c:v>44907</c:v>
                </c:pt>
                <c:pt idx="201" c:formatCode="m/d/yyyy;@">
                  <c:v>44914</c:v>
                </c:pt>
                <c:pt idx="202" c:formatCode="m/d/yyyy;@">
                  <c:v>44921</c:v>
                </c:pt>
                <c:pt idx="203" c:formatCode="m/d/yyyy;@">
                  <c:v>44928</c:v>
                </c:pt>
                <c:pt idx="204" c:formatCode="m/d/yyyy;@">
                  <c:v>44935</c:v>
                </c:pt>
                <c:pt idx="205" c:formatCode="m/d/yyyy;@">
                  <c:v>44942</c:v>
                </c:pt>
                <c:pt idx="206" c:formatCode="m/d/yyyy;@">
                  <c:v>44956</c:v>
                </c:pt>
                <c:pt idx="207" c:formatCode="m/d/yyyy;@">
                  <c:v>44963</c:v>
                </c:pt>
                <c:pt idx="208" c:formatCode="m/d/yyyy;@">
                  <c:v>44970</c:v>
                </c:pt>
                <c:pt idx="209" c:formatCode="m/d/yyyy;@">
                  <c:v>44977</c:v>
                </c:pt>
                <c:pt idx="210" c:formatCode="m/d/yyyy;@">
                  <c:v>44984</c:v>
                </c:pt>
                <c:pt idx="211" c:formatCode="m/d/yyyy;@">
                  <c:v>44991</c:v>
                </c:pt>
                <c:pt idx="212" c:formatCode="m/d/yyyy;@">
                  <c:v>44998</c:v>
                </c:pt>
                <c:pt idx="213" c:formatCode="m/d/yyyy;@">
                  <c:v>45005</c:v>
                </c:pt>
                <c:pt idx="214" c:formatCode="m/d/yyyy;@">
                  <c:v>45012</c:v>
                </c:pt>
                <c:pt idx="215" c:formatCode="m/d/yyyy;@">
                  <c:v>45019</c:v>
                </c:pt>
                <c:pt idx="216" c:formatCode="m/d/yyyy;@">
                  <c:v>45026</c:v>
                </c:pt>
                <c:pt idx="217" c:formatCode="m/d/yyyy;@">
                  <c:v>45033</c:v>
                </c:pt>
                <c:pt idx="218" c:formatCode="m/d/yyyy;@">
                  <c:v>45040</c:v>
                </c:pt>
                <c:pt idx="219" c:formatCode="m/d/yyyy;@">
                  <c:v>45047</c:v>
                </c:pt>
                <c:pt idx="220" c:formatCode="m/d/yyyy;@">
                  <c:v>45054</c:v>
                </c:pt>
                <c:pt idx="221" c:formatCode="m/d/yyyy;@">
                  <c:v>45061</c:v>
                </c:pt>
                <c:pt idx="222" c:formatCode="m/d/yyyy;@">
                  <c:v>45068</c:v>
                </c:pt>
                <c:pt idx="223" c:formatCode="m/d/yyyy;@">
                  <c:v>45075</c:v>
                </c:pt>
                <c:pt idx="224" c:formatCode="m/d/yyyy;@">
                  <c:v>45082</c:v>
                </c:pt>
                <c:pt idx="225" c:formatCode="m/d/yyyy;@">
                  <c:v>45089</c:v>
                </c:pt>
                <c:pt idx="226" c:formatCode="m/d/yyyy;@">
                  <c:v>45096</c:v>
                </c:pt>
                <c:pt idx="227" c:formatCode="m/d/yyyy;@">
                  <c:v>45103</c:v>
                </c:pt>
                <c:pt idx="228" c:formatCode="m/d/yyyy;@">
                  <c:v>45110</c:v>
                </c:pt>
                <c:pt idx="229" c:formatCode="m/d/yyyy;@">
                  <c:v>45117</c:v>
                </c:pt>
                <c:pt idx="230" c:formatCode="m/d/yyyy;@">
                  <c:v>45124</c:v>
                </c:pt>
                <c:pt idx="231" c:formatCode="m/d/yyyy;@">
                  <c:v>45131</c:v>
                </c:pt>
                <c:pt idx="232" c:formatCode="m/d/yyyy;@">
                  <c:v>45138</c:v>
                </c:pt>
                <c:pt idx="233" c:formatCode="m/d/yyyy;@">
                  <c:v>45145</c:v>
                </c:pt>
                <c:pt idx="234" c:formatCode="m/d/yyyy;@">
                  <c:v>45152</c:v>
                </c:pt>
                <c:pt idx="235" c:formatCode="m/d/yyyy;@">
                  <c:v>45159</c:v>
                </c:pt>
                <c:pt idx="236" c:formatCode="m/d/yyyy;@">
                  <c:v>45166</c:v>
                </c:pt>
                <c:pt idx="237" c:formatCode="m/d/yyyy;@">
                  <c:v>45173</c:v>
                </c:pt>
                <c:pt idx="238" c:formatCode="m/d/yyyy;@">
                  <c:v>45180</c:v>
                </c:pt>
                <c:pt idx="239" c:formatCode="m/d/yyyy;@">
                  <c:v>45187</c:v>
                </c:pt>
                <c:pt idx="240" c:formatCode="m/d/yyyy;@">
                  <c:v>45194</c:v>
                </c:pt>
                <c:pt idx="241" c:formatCode="m/d/yyyy;@">
                  <c:v>45201</c:v>
                </c:pt>
                <c:pt idx="242" c:formatCode="m/d/yyyy;@">
                  <c:v>45208</c:v>
                </c:pt>
                <c:pt idx="243" c:formatCode="m/d/yyyy;@">
                  <c:v>45215</c:v>
                </c:pt>
                <c:pt idx="244" c:formatCode="m/d/yyyy;@">
                  <c:v>45222</c:v>
                </c:pt>
                <c:pt idx="245" c:formatCode="m/d/yyyy;@">
                  <c:v>45229</c:v>
                </c:pt>
                <c:pt idx="246" c:formatCode="m/d/yyyy;@">
                  <c:v>45236</c:v>
                </c:pt>
                <c:pt idx="247" c:formatCode="m/d/yyyy;@">
                  <c:v>45243</c:v>
                </c:pt>
                <c:pt idx="248" c:formatCode="m/d/yyyy;@">
                  <c:v>45250</c:v>
                </c:pt>
                <c:pt idx="249" c:formatCode="m/d/yyyy;@">
                  <c:v>45257</c:v>
                </c:pt>
                <c:pt idx="250" c:formatCode="m/d/yyyy;@">
                  <c:v>45264</c:v>
                </c:pt>
                <c:pt idx="251" c:formatCode="m/d/yyyy;@">
                  <c:v>45271</c:v>
                </c:pt>
                <c:pt idx="252" c:formatCode="m/d/yyyy;@">
                  <c:v>45278</c:v>
                </c:pt>
                <c:pt idx="253" c:formatCode="m/d/yyyy;@">
                  <c:v>45285</c:v>
                </c:pt>
                <c:pt idx="254" c:formatCode="m/d/yyyy;@">
                  <c:v>45292</c:v>
                </c:pt>
                <c:pt idx="255" c:formatCode="m/d/yyyy;@">
                  <c:v>45299</c:v>
                </c:pt>
                <c:pt idx="256" c:formatCode="m/d/yyyy;@">
                  <c:v>45306</c:v>
                </c:pt>
                <c:pt idx="257" c:formatCode="m/d/yyyy;@">
                  <c:v>45313</c:v>
                </c:pt>
                <c:pt idx="258" c:formatCode="m/d/yyyy;@">
                  <c:v>45320</c:v>
                </c:pt>
                <c:pt idx="259" c:formatCode="m/d/yyyy;@">
                  <c:v>45327</c:v>
                </c:pt>
                <c:pt idx="260" c:formatCode="m/d/yyyy;@">
                  <c:v>45334</c:v>
                </c:pt>
                <c:pt idx="261" c:formatCode="m/d/yyyy;@">
                  <c:v>45341</c:v>
                </c:pt>
                <c:pt idx="262" c:formatCode="m/d/yyyy;@">
                  <c:v>45348</c:v>
                </c:pt>
                <c:pt idx="263" c:formatCode="m/d/yyyy;@">
                  <c:v>45355</c:v>
                </c:pt>
                <c:pt idx="264" c:formatCode="m/d/yyyy;@">
                  <c:v>45362</c:v>
                </c:pt>
                <c:pt idx="265" c:formatCode="m/d/yyyy;@">
                  <c:v>45369</c:v>
                </c:pt>
                <c:pt idx="266" c:formatCode="m/d/yyyy;@">
                  <c:v>45376</c:v>
                </c:pt>
                <c:pt idx="267" c:formatCode="m/d/yyyy;@">
                  <c:v>45383</c:v>
                </c:pt>
                <c:pt idx="268" c:formatCode="m/d/yyyy;@">
                  <c:v>45390</c:v>
                </c:pt>
                <c:pt idx="269" c:formatCode="m/d/yyyy;@">
                  <c:v>45397</c:v>
                </c:pt>
                <c:pt idx="270" c:formatCode="m/d/yyyy;@">
                  <c:v>45404</c:v>
                </c:pt>
                <c:pt idx="271" c:formatCode="m/d/yyyy;@">
                  <c:v>45411</c:v>
                </c:pt>
                <c:pt idx="272" c:formatCode="m/d/yyyy;@">
                  <c:v>45418</c:v>
                </c:pt>
                <c:pt idx="273" c:formatCode="m/d/yyyy;@">
                  <c:v>45425</c:v>
                </c:pt>
                <c:pt idx="274" c:formatCode="m/d/yyyy;@">
                  <c:v>45432</c:v>
                </c:pt>
                <c:pt idx="275" c:formatCode="m/d/yyyy;@">
                  <c:v>45439</c:v>
                </c:pt>
                <c:pt idx="276" c:formatCode="m/d/yyyy;@">
                  <c:v>45446</c:v>
                </c:pt>
                <c:pt idx="277" c:formatCode="m/d/yyyy;@">
                  <c:v>45454</c:v>
                </c:pt>
                <c:pt idx="278" c:formatCode="m/d/yyyy;@">
                  <c:v>45460</c:v>
                </c:pt>
                <c:pt idx="279" c:formatCode="m/d/yyyy;@">
                  <c:v>45467</c:v>
                </c:pt>
                <c:pt idx="280" c:formatCode="m/d/yyyy;@">
                  <c:v>45474</c:v>
                </c:pt>
                <c:pt idx="281" c:formatCode="m/d/yyyy;@">
                  <c:v>45481</c:v>
                </c:pt>
                <c:pt idx="282" c:formatCode="m/d/yyyy;@">
                  <c:v>45488</c:v>
                </c:pt>
                <c:pt idx="283" c:formatCode="m/d/yyyy;@">
                  <c:v>45495</c:v>
                </c:pt>
                <c:pt idx="284" c:formatCode="m/d/yyyy;@">
                  <c:v>45502</c:v>
                </c:pt>
                <c:pt idx="285" c:formatCode="m/d/yyyy;@">
                  <c:v>45509</c:v>
                </c:pt>
                <c:pt idx="286" c:formatCode="m/d/yyyy;@">
                  <c:v>45516</c:v>
                </c:pt>
                <c:pt idx="287" c:formatCode="m/d/yyyy;@">
                  <c:v>45523</c:v>
                </c:pt>
                <c:pt idx="288" c:formatCode="m/d/yyyy;@">
                  <c:v>45530</c:v>
                </c:pt>
                <c:pt idx="289" c:formatCode="m/d/yyyy;@">
                  <c:v>45537</c:v>
                </c:pt>
                <c:pt idx="290" c:formatCode="m/d/yyyy;@">
                  <c:v>45544</c:v>
                </c:pt>
                <c:pt idx="291" c:formatCode="m/d/yyyy;@">
                  <c:v>45551</c:v>
                </c:pt>
                <c:pt idx="292" c:formatCode="m/d/yyyy;@">
                  <c:v>45558</c:v>
                </c:pt>
                <c:pt idx="293" c:formatCode="m/d/yyyy;@">
                  <c:v>45565</c:v>
                </c:pt>
                <c:pt idx="294" c:formatCode="m/d/yyyy;@">
                  <c:v>45572</c:v>
                </c:pt>
                <c:pt idx="295" c:formatCode="m/d/yyyy;@">
                  <c:v>45579</c:v>
                </c:pt>
                <c:pt idx="296" c:formatCode="m/d/yyyy;@">
                  <c:v>45586</c:v>
                </c:pt>
                <c:pt idx="297" c:formatCode="m/d/yyyy;@">
                  <c:v>45593</c:v>
                </c:pt>
                <c:pt idx="298" c:formatCode="m/d/yyyy;@">
                  <c:v>45600</c:v>
                </c:pt>
                <c:pt idx="299" c:formatCode="m/d/yyyy;@">
                  <c:v>45607</c:v>
                </c:pt>
                <c:pt idx="300" c:formatCode="m/d/yyyy;@">
                  <c:v>45614</c:v>
                </c:pt>
                <c:pt idx="301" c:formatCode="m/d/yyyy;@">
                  <c:v>45621</c:v>
                </c:pt>
                <c:pt idx="302" c:formatCode="m/d/yyyy;@">
                  <c:v>45628</c:v>
                </c:pt>
                <c:pt idx="303" c:formatCode="m/d/yyyy;@">
                  <c:v>45635</c:v>
                </c:pt>
                <c:pt idx="304" c:formatCode="m/d/yyyy;@">
                  <c:v>45642</c:v>
                </c:pt>
                <c:pt idx="305" c:formatCode="m/d/yyyy;@">
                  <c:v>45649</c:v>
                </c:pt>
                <c:pt idx="306" c:formatCode="m/d/yyyy;@">
                  <c:v>45656</c:v>
                </c:pt>
                <c:pt idx="307" c:formatCode="m/d/yyyy;@">
                  <c:v>45663</c:v>
                </c:pt>
                <c:pt idx="308" c:formatCode="m/d/yyyy;@">
                  <c:v>45670</c:v>
                </c:pt>
                <c:pt idx="309" c:formatCode="m/d/yyyy;@">
                  <c:v>45677</c:v>
                </c:pt>
                <c:pt idx="310" c:formatCode="m/d/yyyy;@">
                  <c:v>45684</c:v>
                </c:pt>
                <c:pt idx="311" c:formatCode="m/d/yyyy;@">
                  <c:v>45691</c:v>
                </c:pt>
                <c:pt idx="312" c:formatCode="m/d/yyyy;@">
                  <c:v>45698</c:v>
                </c:pt>
                <c:pt idx="313" c:formatCode="m/d/yyyy;@">
                  <c:v>45705</c:v>
                </c:pt>
                <c:pt idx="314" c:formatCode="m/d/yyyy;@">
                  <c:v>45712</c:v>
                </c:pt>
                <c:pt idx="315" c:formatCode="m/d/yyyy;@">
                  <c:v>45719</c:v>
                </c:pt>
                <c:pt idx="316" c:formatCode="m/d/yyyy;@">
                  <c:v>45726</c:v>
                </c:pt>
                <c:pt idx="317" c:formatCode="m/d/yyyy;@">
                  <c:v>45733</c:v>
                </c:pt>
                <c:pt idx="318" c:formatCode="m/d/yyyy;@">
                  <c:v>45740</c:v>
                </c:pt>
                <c:pt idx="319" c:formatCode="m/d/yyyy;@">
                  <c:v>45747</c:v>
                </c:pt>
                <c:pt idx="320" c:formatCode="m/d/yyyy;@">
                  <c:v>45754</c:v>
                </c:pt>
                <c:pt idx="321" c:formatCode="m/d/yyyy;@">
                  <c:v>45761</c:v>
                </c:pt>
                <c:pt idx="322" c:formatCode="m/d/yyyy;@">
                  <c:v>45768</c:v>
                </c:pt>
                <c:pt idx="323" c:formatCode="m/d/yyyy;@">
                  <c:v>45775</c:v>
                </c:pt>
                <c:pt idx="324" c:formatCode="m/d/yyyy;@">
                  <c:v>45782</c:v>
                </c:pt>
                <c:pt idx="325" c:formatCode="m/d/yyyy;@">
                  <c:v>45789</c:v>
                </c:pt>
                <c:pt idx="326" c:formatCode="m/d/yyyy;@">
                  <c:v>45796</c:v>
                </c:pt>
                <c:pt idx="327" c:formatCode="m/d/yyyy;@">
                  <c:v>45803</c:v>
                </c:pt>
                <c:pt idx="328" c:formatCode="m/d/yyyy;@">
                  <c:v>45810</c:v>
                </c:pt>
                <c:pt idx="329" c:formatCode="m/d/yyyy;@">
                  <c:v>45817</c:v>
                </c:pt>
                <c:pt idx="330" c:formatCode="m/d/yyyy;@">
                  <c:v>45824</c:v>
                </c:pt>
                <c:pt idx="331" c:formatCode="m/d/yyyy;@">
                  <c:v>45831</c:v>
                </c:pt>
                <c:pt idx="332" c:formatCode="m/d/yyyy;@">
                  <c:v>45838</c:v>
                </c:pt>
                <c:pt idx="333" c:formatCode="m/d/yyyy;@">
                  <c:v>45845</c:v>
                </c:pt>
                <c:pt idx="334" c:formatCode="m/d/yyyy;@">
                  <c:v>45852</c:v>
                </c:pt>
                <c:pt idx="335" c:formatCode="m/d/yyyy;@">
                  <c:v>45859</c:v>
                </c:pt>
                <c:pt idx="336" c:formatCode="m/d/yyyy;@">
                  <c:v>45866</c:v>
                </c:pt>
                <c:pt idx="337" c:formatCode="m/d/yyyy;@">
                  <c:v>45873</c:v>
                </c:pt>
                <c:pt idx="338" c:formatCode="m/d/yyyy;@">
                  <c:v>45880</c:v>
                </c:pt>
                <c:pt idx="339" c:formatCode="m/d/yyyy;@">
                  <c:v>45887</c:v>
                </c:pt>
                <c:pt idx="340" c:formatCode="m/d/yyyy;@">
                  <c:v>45894</c:v>
                </c:pt>
                <c:pt idx="341" c:formatCode="m/d/yyyy;@">
                  <c:v>45901</c:v>
                </c:pt>
                <c:pt idx="342" c:formatCode="m/d/yyyy;@">
                  <c:v>45908</c:v>
                </c:pt>
                <c:pt idx="343" c:formatCode="m/d/yyyy;@">
                  <c:v>45915</c:v>
                </c:pt>
                <c:pt idx="344" c:formatCode="m/d/yyyy;@">
                  <c:v>45922</c:v>
                </c:pt>
                <c:pt idx="345" c:formatCode="m/d/yyyy;@">
                  <c:v>45929</c:v>
                </c:pt>
                <c:pt idx="346" c:formatCode="m/d/yyyy;@">
                  <c:v>45936</c:v>
                </c:pt>
                <c:pt idx="347" c:formatCode="m/d/yyyy;@">
                  <c:v>45943</c:v>
                </c:pt>
                <c:pt idx="348" c:formatCode="m/d/yyyy;@">
                  <c:v>45950</c:v>
                </c:pt>
                <c:pt idx="349" c:formatCode="m/d/yyyy;@">
                  <c:v>45957</c:v>
                </c:pt>
                <c:pt idx="350" c:formatCode="m/d/yyyy;@">
                  <c:v>45964</c:v>
                </c:pt>
                <c:pt idx="351" c:formatCode="m/d/yyyy;@">
                  <c:v>45971</c:v>
                </c:pt>
                <c:pt idx="352" c:formatCode="m/d/yyyy;@">
                  <c:v>45978</c:v>
                </c:pt>
                <c:pt idx="353" c:formatCode="m/d/yyyy;@">
                  <c:v>45985</c:v>
                </c:pt>
                <c:pt idx="354" c:formatCode="m/d/yyyy;@">
                  <c:v>45992</c:v>
                </c:pt>
                <c:pt idx="355" c:formatCode="m/d/yyyy;@">
                  <c:v>45999</c:v>
                </c:pt>
                <c:pt idx="356" c:formatCode="m/d/yyyy;@">
                  <c:v>46006</c:v>
                </c:pt>
                <c:pt idx="357" c:formatCode="m/d/yyyy;@">
                  <c:v>46013</c:v>
                </c:pt>
                <c:pt idx="358" c:formatCode="m/d/yyyy;@">
                  <c:v>46020</c:v>
                </c:pt>
                <c:pt idx="359" c:formatCode="m/d/yyyy;@">
                  <c:v>46027</c:v>
                </c:pt>
                <c:pt idx="360" c:formatCode="m/d/yyyy;@">
                  <c:v>46034</c:v>
                </c:pt>
                <c:pt idx="361" c:formatCode="m/d/yyyy;@">
                  <c:v>46041</c:v>
                </c:pt>
                <c:pt idx="362" c:formatCode="m/d/yyyy;@">
                  <c:v>46048</c:v>
                </c:pt>
                <c:pt idx="363" c:formatCode="m/d/yyyy;@">
                  <c:v>46055</c:v>
                </c:pt>
                <c:pt idx="364" c:formatCode="m/d/yyyy;@">
                  <c:v>46062</c:v>
                </c:pt>
                <c:pt idx="365" c:formatCode="m/d/yyyy;@">
                  <c:v>46076</c:v>
                </c:pt>
                <c:pt idx="366" c:formatCode="m/d/yyyy;@">
                  <c:v>46083</c:v>
                </c:pt>
                <c:pt idx="367" c:formatCode="m/d/yyyy;@">
                  <c:v>46090</c:v>
                </c:pt>
                <c:pt idx="368" c:formatCode="m/d/yyyy;@">
                  <c:v>46097</c:v>
                </c:pt>
                <c:pt idx="369" c:formatCode="m/d/yyyy;@">
                  <c:v>46104</c:v>
                </c:pt>
                <c:pt idx="370" c:formatCode="m/d/yyyy;@">
                  <c:v>46111</c:v>
                </c:pt>
                <c:pt idx="371" c:formatCode="m/d/yyyy;@">
                  <c:v>46119</c:v>
                </c:pt>
                <c:pt idx="372" c:formatCode="m/d/yyyy;@">
                  <c:v>46125</c:v>
                </c:pt>
                <c:pt idx="373" c:formatCode="m/d/yyyy;@">
                  <c:v>46132</c:v>
                </c:pt>
                <c:pt idx="374" c:formatCode="m/d/yyyy;@">
                  <c:v>46139</c:v>
                </c:pt>
                <c:pt idx="375" c:formatCode="m/d/yyyy;@">
                  <c:v>46146</c:v>
                </c:pt>
                <c:pt idx="376" c:formatCode="m/d/yyyy;@">
                  <c:v>46153</c:v>
                </c:pt>
                <c:pt idx="377" c:formatCode="m/d/yyyy;@">
                  <c:v>46160</c:v>
                </c:pt>
                <c:pt idx="378" c:formatCode="m/d/yyyy;@">
                  <c:v>46167</c:v>
                </c:pt>
                <c:pt idx="379" c:formatCode="m/d/yyyy;@">
                  <c:v>46174</c:v>
                </c:pt>
              </c:numCache>
            </c:numRef>
          </c:cat>
          <c:val>
            <c:numRef>
              <c:f>DRAM!$AV$29:$AV$500</c:f>
              <c:numCache>
                <c:formatCode>General</c:formatCode>
                <c:ptCount val="472"/>
                <c:pt idx="131" c:formatCode="_(* #,##0_);_(* \(#,##0\);_(* &quot;-&quot;??_);_(@_)">
                  <c:v>330</c:v>
                </c:pt>
                <c:pt idx="132" c:formatCode="_(* #,##0_);_(* \(#,##0\);_(* &quot;-&quot;??_);_(@_)">
                  <c:v>330</c:v>
                </c:pt>
                <c:pt idx="133" c:formatCode="_(* #,##0_);_(* \(#,##0\);_(* &quot;-&quot;??_);_(@_)">
                  <c:v>330</c:v>
                </c:pt>
                <c:pt idx="134" c:formatCode="_(* #,##0_);_(* \(#,##0\);_(* &quot;-&quot;??_);_(@_)">
                  <c:v>324</c:v>
                </c:pt>
                <c:pt idx="135" c:formatCode="_(* #,##0_);_(* \(#,##0\);_(* &quot;-&quot;??_);_(@_)">
                  <c:v>324</c:v>
                </c:pt>
                <c:pt idx="136" c:formatCode="_(* #,##0_);_(* \(#,##0\);_(* &quot;-&quot;??_);_(@_)">
                  <c:v>323</c:v>
                </c:pt>
                <c:pt idx="137" c:formatCode="_(* #,##0_);_(* \(#,##0\);_(* &quot;-&quot;??_);_(@_)">
                  <c:v>318</c:v>
                </c:pt>
                <c:pt idx="138" c:formatCode="_(* #,##0_);_(* \(#,##0\);_(* &quot;-&quot;??_);_(@_)">
                  <c:v>317.5</c:v>
                </c:pt>
                <c:pt idx="139" c:formatCode="_(* #,##0_);_(* \(#,##0\);_(* &quot;-&quot;??_);_(@_)">
                  <c:v>317</c:v>
                </c:pt>
                <c:pt idx="140" c:formatCode="_(* #,##0_);_(* \(#,##0\);_(* &quot;-&quot;??_);_(@_)">
                  <c:v>316.8</c:v>
                </c:pt>
                <c:pt idx="141" c:formatCode="_(* #,##0_);_(* \(#,##0\);_(* &quot;-&quot;??_);_(@_)">
                  <c:v>308</c:v>
                </c:pt>
                <c:pt idx="142" c:formatCode="_(* #,##0_);_(* \(#,##0\);_(* &quot;-&quot;??_);_(@_)">
                  <c:v>304</c:v>
                </c:pt>
                <c:pt idx="143" c:formatCode="_(* #,##0_);_(* \(#,##0\);_(* &quot;-&quot;??_);_(@_)">
                  <c:v>298</c:v>
                </c:pt>
                <c:pt idx="144" c:formatCode="_(* #,##0_);_(* \(#,##0\);_(* &quot;-&quot;??_);_(@_)">
                  <c:v>297</c:v>
                </c:pt>
                <c:pt idx="145" c:formatCode="_(* #,##0_);_(* \(#,##0\);_(* &quot;-&quot;??_);_(@_)">
                  <c:v>296.5</c:v>
                </c:pt>
                <c:pt idx="146" c:formatCode="_(* #,##0_);_(* \(#,##0\);_(* &quot;-&quot;??_);_(@_)">
                  <c:v>296</c:v>
                </c:pt>
                <c:pt idx="147" c:formatCode="_(* #,##0_);_(* \(#,##0\);_(* &quot;-&quot;??_);_(@_)">
                  <c:v>295</c:v>
                </c:pt>
                <c:pt idx="148" c:formatCode="_(* #,##0_);_(* \(#,##0\);_(* &quot;-&quot;??_);_(@_)">
                  <c:v>294</c:v>
                </c:pt>
                <c:pt idx="149" c:formatCode="_(* #,##0_);_(* \(#,##0\);_(* &quot;-&quot;??_);_(@_)">
                  <c:v>291</c:v>
                </c:pt>
                <c:pt idx="150" c:formatCode="_(* #,##0_);_(* \(#,##0\);_(* &quot;-&quot;??_);_(@_)">
                  <c:v>290.8</c:v>
                </c:pt>
                <c:pt idx="151" c:formatCode="_(* #,##0_);_(* \(#,##0\);_(* &quot;-&quot;??_);_(@_)">
                  <c:v>292</c:v>
                </c:pt>
                <c:pt idx="152" c:formatCode="_(* #,##0_);_(* \(#,##0\);_(* &quot;-&quot;??_);_(@_)">
                  <c:v>293</c:v>
                </c:pt>
                <c:pt idx="153" c:formatCode="_(* #,##0_);_(* \(#,##0\);_(* &quot;-&quot;??_);_(@_)">
                  <c:v>292</c:v>
                </c:pt>
                <c:pt idx="154" c:formatCode="_(* #,##0_);_(* \(#,##0\);_(* &quot;-&quot;??_);_(@_)">
                  <c:v>290</c:v>
                </c:pt>
                <c:pt idx="155" c:formatCode="_(* #,##0_);_(* \(#,##0\);_(* &quot;-&quot;??_);_(@_)">
                  <c:v>289</c:v>
                </c:pt>
                <c:pt idx="156" c:formatCode="_(* #,##0_);_(* \(#,##0\);_(* &quot;-&quot;??_);_(@_)">
                  <c:v>288</c:v>
                </c:pt>
                <c:pt idx="157" c:formatCode="_(* #,##0_);_(* \(#,##0\);_(* &quot;-&quot;??_);_(@_)">
                  <c:v>285</c:v>
                </c:pt>
                <c:pt idx="158" c:formatCode="_(* #,##0_);_(* \(#,##0\);_(* &quot;-&quot;??_);_(@_)">
                  <c:v>284</c:v>
                </c:pt>
                <c:pt idx="159" c:formatCode="_(* #,##0_);_(* \(#,##0\);_(* &quot;-&quot;??_);_(@_)">
                  <c:v>283</c:v>
                </c:pt>
                <c:pt idx="160" c:formatCode="_(* #,##0_);_(* \(#,##0\);_(* &quot;-&quot;??_);_(@_)">
                  <c:v>282</c:v>
                </c:pt>
                <c:pt idx="161" c:formatCode="_(* #,##0_);_(* \(#,##0\);_(* &quot;-&quot;??_);_(@_)">
                  <c:v>281.8</c:v>
                </c:pt>
                <c:pt idx="162" c:formatCode="_(* #,##0_);_(* \(#,##0\);_(* &quot;-&quot;??_);_(@_)">
                  <c:v>281.5</c:v>
                </c:pt>
                <c:pt idx="163" c:formatCode="_(* #,##0_);_(* \(#,##0\);_(* &quot;-&quot;??_);_(@_)">
                  <c:v>280.5</c:v>
                </c:pt>
                <c:pt idx="164" c:formatCode="_(* #,##0_);_(* \(#,##0\);_(* &quot;-&quot;??_);_(@_)">
                  <c:v>277</c:v>
                </c:pt>
                <c:pt idx="165" c:formatCode="_(* #,##0_);_(* \(#,##0\);_(* &quot;-&quot;??_);_(@_)">
                  <c:v>275</c:v>
                </c:pt>
                <c:pt idx="166" c:formatCode="_(* #,##0_);_(* \(#,##0\);_(* &quot;-&quot;??_);_(@_)">
                  <c:v>274</c:v>
                </c:pt>
                <c:pt idx="167" c:formatCode="_(* #,##0_);_(* \(#,##0\);_(* &quot;-&quot;??_);_(@_)">
                  <c:v>273</c:v>
                </c:pt>
                <c:pt idx="168" c:formatCode="_(* #,##0_);_(* \(#,##0\);_(* &quot;-&quot;??_);_(@_)">
                  <c:v>272</c:v>
                </c:pt>
                <c:pt idx="169" c:formatCode="_(* #,##0_);_(* \(#,##0\);_(* &quot;-&quot;??_);_(@_)">
                  <c:v>270</c:v>
                </c:pt>
                <c:pt idx="170" c:formatCode="_(* #,##0_);_(* \(#,##0\);_(* &quot;-&quot;??_);_(@_)">
                  <c:v>268</c:v>
                </c:pt>
                <c:pt idx="171" c:formatCode="_(* #,##0_);_(* \(#,##0\);_(* &quot;-&quot;??_);_(@_)">
                  <c:v>267.5</c:v>
                </c:pt>
                <c:pt idx="172" c:formatCode="_(* #,##0_);_(* \(#,##0\);_(* &quot;-&quot;??_);_(@_)">
                  <c:v>267</c:v>
                </c:pt>
                <c:pt idx="173" c:formatCode="_(* #,##0_);_(* \(#,##0\);_(* &quot;-&quot;??_);_(@_)">
                  <c:v>266.5</c:v>
                </c:pt>
                <c:pt idx="174" c:formatCode="_(* #,##0_);_(* \(#,##0\);_(* &quot;-&quot;??_);_(@_)">
                  <c:v>266</c:v>
                </c:pt>
                <c:pt idx="175" c:formatCode="_(* #,##0_);_(* \(#,##0\);_(* &quot;-&quot;??_);_(@_)">
                  <c:v>265.5</c:v>
                </c:pt>
                <c:pt idx="176" c:formatCode="_(* #,##0_);_(* \(#,##0\);_(* &quot;-&quot;??_);_(@_)">
                  <c:v>265</c:v>
                </c:pt>
                <c:pt idx="177" c:formatCode="_(* #,##0_);_(* \(#,##0\);_(* &quot;-&quot;??_);_(@_)">
                  <c:v>265</c:v>
                </c:pt>
                <c:pt idx="178" c:formatCode="_(* #,##0_);_(* \(#,##0\);_(* &quot;-&quot;??_);_(@_)">
                  <c:v>264</c:v>
                </c:pt>
                <c:pt idx="179" c:formatCode="_(* #,##0_);_(* \(#,##0\);_(* &quot;-&quot;??_);_(@_)">
                  <c:v>260</c:v>
                </c:pt>
                <c:pt idx="180" c:formatCode="_(* #,##0_);_(* \(#,##0\);_(* &quot;-&quot;??_);_(@_)">
                  <c:v>252</c:v>
                </c:pt>
                <c:pt idx="181" c:formatCode="_(* #,##0_);_(* \(#,##0\);_(* &quot;-&quot;??_);_(@_)">
                  <c:v>246</c:v>
                </c:pt>
                <c:pt idx="182" c:formatCode="_(* #,##0_);_(* \(#,##0\);_(* &quot;-&quot;??_);_(@_)">
                  <c:v>245</c:v>
                </c:pt>
                <c:pt idx="183" c:formatCode="_(* #,##0_);_(* \(#,##0\);_(* &quot;-&quot;??_);_(@_)">
                  <c:v>241</c:v>
                </c:pt>
                <c:pt idx="184" c:formatCode="_(* #,##0_);_(* \(#,##0\);_(* &quot;-&quot;??_);_(@_)">
                  <c:v>235</c:v>
                </c:pt>
                <c:pt idx="185" c:formatCode="_(* #,##0_);_(* \(#,##0\);_(* &quot;-&quot;??_);_(@_)">
                  <c:v>228</c:v>
                </c:pt>
                <c:pt idx="186" c:formatCode="_(* #,##0_);_(* \(#,##0\);_(* &quot;-&quot;??_);_(@_)">
                  <c:v>225</c:v>
                </c:pt>
                <c:pt idx="187" c:formatCode="_(* #,##0_);_(* \(#,##0\);_(* &quot;-&quot;??_);_(@_)">
                  <c:v>215</c:v>
                </c:pt>
                <c:pt idx="188" c:formatCode="_(* #,##0_);_(* \(#,##0\);_(* &quot;-&quot;??_);_(@_)">
                  <c:v>203</c:v>
                </c:pt>
                <c:pt idx="189" c:formatCode="_(* #,##0_);_(* \(#,##0\);_(* &quot;-&quot;??_);_(@_)">
                  <c:v>198</c:v>
                </c:pt>
                <c:pt idx="190" c:formatCode="_(* #,##0_);_(* \(#,##0\);_(* &quot;-&quot;??_);_(@_)">
                  <c:v>197</c:v>
                </c:pt>
                <c:pt idx="191" c:formatCode="_(* #,##0_);_(* \(#,##0\);_(* &quot;-&quot;??_);_(@_)">
                  <c:v>196</c:v>
                </c:pt>
                <c:pt idx="192" c:formatCode="_(* #,##0_);_(* \(#,##0\);_(* &quot;-&quot;??_);_(@_)">
                  <c:v>191</c:v>
                </c:pt>
                <c:pt idx="193" c:formatCode="_(* #,##0_);_(* \(#,##0\);_(* &quot;-&quot;??_);_(@_)">
                  <c:v>190</c:v>
                </c:pt>
                <c:pt idx="194" c:formatCode="_(* #,##0_);_(* \(#,##0\);_(* &quot;-&quot;??_);_(@_)">
                  <c:v>170</c:v>
                </c:pt>
                <c:pt idx="195" c:formatCode="_(* #,##0_);_(* \(#,##0\);_(* &quot;-&quot;??_);_(@_)">
                  <c:v>158</c:v>
                </c:pt>
                <c:pt idx="196" c:formatCode="_(* #,##0_);_(* \(#,##0\);_(* &quot;-&quot;??_);_(@_)">
                  <c:v>153</c:v>
                </c:pt>
                <c:pt idx="197" c:formatCode="_(* #,##0_);_(* \(#,##0\);_(* &quot;-&quot;??_);_(@_)">
                  <c:v>152</c:v>
                </c:pt>
                <c:pt idx="198" c:formatCode="_(* #,##0_);_(* \(#,##0\);_(* &quot;-&quot;??_);_(@_)">
                  <c:v>151</c:v>
                </c:pt>
                <c:pt idx="199" c:formatCode="_(* #,##0_);_(* \(#,##0\);_(* &quot;-&quot;??_);_(@_)">
                  <c:v>149.5</c:v>
                </c:pt>
                <c:pt idx="200" c:formatCode="_(* #,##0_);_(* \(#,##0\);_(* &quot;-&quot;??_);_(@_)">
                  <c:v>149.2</c:v>
                </c:pt>
                <c:pt idx="201" c:formatCode="_(* #,##0_);_(* \(#,##0\);_(* &quot;-&quot;??_);_(@_)">
                  <c:v>146</c:v>
                </c:pt>
                <c:pt idx="202" c:formatCode="_(* #,##0_);_(* \(#,##0\);_(* &quot;-&quot;??_);_(@_)">
                  <c:v>143</c:v>
                </c:pt>
                <c:pt idx="203" c:formatCode="_(* #,##0_);_(* \(#,##0\);_(* &quot;-&quot;??_);_(@_)">
                  <c:v>141.5</c:v>
                </c:pt>
                <c:pt idx="204" c:formatCode="_(* #,##0_);_(* \(#,##0\);_(* &quot;-&quot;??_);_(@_)">
                  <c:v>141</c:v>
                </c:pt>
                <c:pt idx="205" c:formatCode="_(* #,##0_);_(* \(#,##0\);_(* &quot;-&quot;??_);_(@_)">
                  <c:v>140</c:v>
                </c:pt>
                <c:pt idx="206" c:formatCode="_(* #,##0_);_(* \(#,##0\);_(* &quot;-&quot;??_);_(@_)">
                  <c:v>137</c:v>
                </c:pt>
                <c:pt idx="207" c:formatCode="_(* #,##0_);_(* \(#,##0\);_(* &quot;-&quot;??_);_(@_)">
                  <c:v>132</c:v>
                </c:pt>
                <c:pt idx="208" c:formatCode="_(* #,##0_);_(* \(#,##0\);_(* &quot;-&quot;??_);_(@_)">
                  <c:v>129</c:v>
                </c:pt>
                <c:pt idx="209" c:formatCode="_(* #,##0_);_(* \(#,##0\);_(* &quot;-&quot;??_);_(@_)">
                  <c:v>128.5</c:v>
                </c:pt>
                <c:pt idx="210" c:formatCode="_(* #,##0.0_);_(* \(#,##0.0\);_(* &quot;-&quot;??_);_(@_)">
                  <c:v>127</c:v>
                </c:pt>
                <c:pt idx="211" c:formatCode="_(* #,##0.0_);_(* \(#,##0.0\);_(* &quot;-&quot;??_);_(@_)">
                  <c:v>125.5</c:v>
                </c:pt>
                <c:pt idx="212" c:formatCode="_(* #,##0.0_);_(* \(#,##0.0\);_(* &quot;-&quot;??_);_(@_)">
                  <c:v>124</c:v>
                </c:pt>
                <c:pt idx="213" c:formatCode="_(* #,##0.0_);_(* \(#,##0.0\);_(* &quot;-&quot;??_);_(@_)">
                  <c:v>121</c:v>
                </c:pt>
                <c:pt idx="214" c:formatCode="_(* #,##0.0_);_(* \(#,##0.0\);_(* &quot;-&quot;??_);_(@_)">
                  <c:v>116.5</c:v>
                </c:pt>
                <c:pt idx="215" c:formatCode="_(* #,##0.0_);_(* \(#,##0.0\);_(* &quot;-&quot;??_);_(@_)">
                  <c:v>114</c:v>
                </c:pt>
                <c:pt idx="216" c:formatCode="_(* #,##0.0_);_(* \(#,##0.0\);_(* &quot;-&quot;??_);_(@_)">
                  <c:v>111</c:v>
                </c:pt>
                <c:pt idx="217" c:formatCode="_(* #,##0.0_);_(* \(#,##0.0\);_(* &quot;-&quot;??_);_(@_)">
                  <c:v>109</c:v>
                </c:pt>
                <c:pt idx="218" c:formatCode="_(* #,##0.0_);_(* \(#,##0.0\);_(* &quot;-&quot;??_);_(@_)">
                  <c:v>109</c:v>
                </c:pt>
                <c:pt idx="219" c:formatCode="_(* #,##0.0_);_(* \(#,##0.0\);_(* &quot;-&quot;??_);_(@_)">
                  <c:v>109</c:v>
                </c:pt>
                <c:pt idx="220" c:formatCode="_(* #,##0.0_);_(* \(#,##0.0\);_(* &quot;-&quot;??_);_(@_)">
                  <c:v>108.5</c:v>
                </c:pt>
                <c:pt idx="221" c:formatCode="_(* #,##0.0_);_(* \(#,##0.0\);_(* &quot;-&quot;??_);_(@_)">
                  <c:v>107</c:v>
                </c:pt>
                <c:pt idx="222" c:formatCode="_(* #,##0.0_);_(* \(#,##0.0\);_(* &quot;-&quot;??_);_(@_)">
                  <c:v>104</c:v>
                </c:pt>
                <c:pt idx="223" c:formatCode="_(* #,##0.0_);_(* \(#,##0.0\);_(* &quot;-&quot;??_);_(@_)">
                  <c:v>103.5</c:v>
                </c:pt>
                <c:pt idx="224" c:formatCode="_(* #,##0.0_);_(* \(#,##0.0\);_(* &quot;-&quot;??_);_(@_)">
                  <c:v>103</c:v>
                </c:pt>
                <c:pt idx="225" c:formatCode="_(* #,##0.0_);_(* \(#,##0.0\);_(* &quot;-&quot;??_);_(@_)">
                  <c:v>103</c:v>
                </c:pt>
                <c:pt idx="226" c:formatCode="_(* #,##0.0_);_(* \(#,##0.0\);_(* &quot;-&quot;??_);_(@_)">
                  <c:v>102.5</c:v>
                </c:pt>
                <c:pt idx="227" c:formatCode="_(* #,##0.0_);_(* \(#,##0.0\);_(* &quot;-&quot;??_);_(@_)">
                  <c:v>102.5</c:v>
                </c:pt>
                <c:pt idx="228" c:formatCode="_(* #,##0.0_);_(* \(#,##0.0\);_(* &quot;-&quot;??_);_(@_)">
                  <c:v>99</c:v>
                </c:pt>
                <c:pt idx="229" c:formatCode="_(* #,##0.0_);_(* \(#,##0.0\);_(* &quot;-&quot;??_);_(@_)">
                  <c:v>97.5</c:v>
                </c:pt>
                <c:pt idx="230" c:formatCode="_(* #,##0.0_);_(* \(#,##0.0\);_(* &quot;-&quot;??_);_(@_)">
                  <c:v>96.5</c:v>
                </c:pt>
                <c:pt idx="231" c:formatCode="_(* #,##0.0_);_(* \(#,##0.0\);_(* &quot;-&quot;??_);_(@_)">
                  <c:v>94.5</c:v>
                </c:pt>
                <c:pt idx="232" c:formatCode="_(* #,##0.0_);_(* \(#,##0.0\);_(* &quot;-&quot;??_);_(@_)">
                  <c:v>94</c:v>
                </c:pt>
                <c:pt idx="233" c:formatCode="_(* #,##0.0_);_(* \(#,##0.0\);_(* &quot;-&quot;??_);_(@_)">
                  <c:v>95.5</c:v>
                </c:pt>
                <c:pt idx="234" c:formatCode="_(* #,##0.0_);_(* \(#,##0.0\);_(* &quot;-&quot;??_);_(@_)">
                  <c:v>95.5</c:v>
                </c:pt>
                <c:pt idx="235" c:formatCode="_(* #,##0.0_);_(* \(#,##0.0\);_(* &quot;-&quot;??_);_(@_)">
                  <c:v>97</c:v>
                </c:pt>
                <c:pt idx="236" c:formatCode="_(* #,##0.0_);_(* \(#,##0.0\);_(* &quot;-&quot;??_);_(@_)">
                  <c:v>96.8</c:v>
                </c:pt>
                <c:pt idx="237" c:formatCode="_(* #,##0.0_);_(* \(#,##0.0\);_(* &quot;-&quot;??_);_(@_)">
                  <c:v>96.5</c:v>
                </c:pt>
                <c:pt idx="238" c:formatCode="_(* #,##0.0_);_(* \(#,##0.0\);_(* &quot;-&quot;??_);_(@_)">
                  <c:v>96.5</c:v>
                </c:pt>
                <c:pt idx="239" c:formatCode="_(* #,##0.0_);_(* \(#,##0.0\);_(* &quot;-&quot;??_);_(@_)">
                  <c:v>97.5</c:v>
                </c:pt>
                <c:pt idx="240" c:formatCode="_(* #,##0.0_);_(* \(#,##0.0\);_(* &quot;-&quot;??_);_(@_)">
                  <c:v>97</c:v>
                </c:pt>
                <c:pt idx="241" c:formatCode="_(* #,##0.0_);_(* \(#,##0.0\);_(* &quot;-&quot;??_);_(@_)">
                  <c:v>98</c:v>
                </c:pt>
                <c:pt idx="242" c:formatCode="_(* #,##0.0_);_(* \(#,##0.0\);_(* &quot;-&quot;??_);_(@_)">
                  <c:v>99</c:v>
                </c:pt>
                <c:pt idx="243" c:formatCode="_(* #,##0.0_);_(* \(#,##0.0\);_(* &quot;-&quot;??_);_(@_)">
                  <c:v>99</c:v>
                </c:pt>
                <c:pt idx="244" c:formatCode="_(* #,##0.0_);_(* \(#,##0.0\);_(* &quot;-&quot;??_);_(@_)">
                  <c:v>98</c:v>
                </c:pt>
                <c:pt idx="245" c:formatCode="_(* #,##0.0_);_(* \(#,##0.0\);_(* &quot;-&quot;??_);_(@_)">
                  <c:v>98.5</c:v>
                </c:pt>
                <c:pt idx="246" c:formatCode="_(* #,##0.0_);_(* \(#,##0.0\);_(* &quot;-&quot;??_);_(@_)">
                  <c:v>100</c:v>
                </c:pt>
                <c:pt idx="247" c:formatCode="_(* #,##0.0_);_(* \(#,##0.0\);_(* &quot;-&quot;??_);_(@_)">
                  <c:v>101.5</c:v>
                </c:pt>
                <c:pt idx="248" c:formatCode="_(* #,##0.0_);_(* \(#,##0.0\);_(* &quot;-&quot;??_);_(@_)">
                  <c:v>104.5</c:v>
                </c:pt>
                <c:pt idx="249" c:formatCode="_(* #,##0.0_);_(* \(#,##0.0\);_(* &quot;-&quot;??_);_(@_)">
                  <c:v>108</c:v>
                </c:pt>
                <c:pt idx="250" c:formatCode="_(* #,##0.0_);_(* \(#,##0.0\);_(* &quot;-&quot;??_);_(@_)">
                  <c:v>109</c:v>
                </c:pt>
                <c:pt idx="251" c:formatCode="_(* #,##0.0_);_(* \(#,##0.0\);_(* &quot;-&quot;??_);_(@_)">
                  <c:v>110</c:v>
                </c:pt>
                <c:pt idx="252" c:formatCode="_(* #,##0.0_);_(* \(#,##0.0\);_(* &quot;-&quot;??_);_(@_)">
                  <c:v>112</c:v>
                </c:pt>
                <c:pt idx="253" c:formatCode="_(* #,##0.0_);_(* \(#,##0.0\);_(* &quot;-&quot;??_);_(@_)">
                  <c:v>112</c:v>
                </c:pt>
                <c:pt idx="254" c:formatCode="_(* #,##0.0_);_(* \(#,##0.0\);_(* &quot;-&quot;??_);_(@_)">
                  <c:v>113</c:v>
                </c:pt>
                <c:pt idx="255" c:formatCode="_(* #,##0.0_);_(* \(#,##0.0\);_(* &quot;-&quot;??_);_(@_)">
                  <c:v>119</c:v>
                </c:pt>
                <c:pt idx="256" c:formatCode="_(* #,##0.0_);_(* \(#,##0.0\);_(* &quot;-&quot;??_);_(@_)">
                  <c:v>123</c:v>
                </c:pt>
                <c:pt idx="257" c:formatCode="_(* #,##0.0_);_(* \(#,##0.0\);_(* &quot;-&quot;??_);_(@_)">
                  <c:v>133</c:v>
                </c:pt>
                <c:pt idx="258" c:formatCode="_(* #,##0.0_);_(* \(#,##0.0\);_(* &quot;-&quot;??_);_(@_)">
                  <c:v>140</c:v>
                </c:pt>
                <c:pt idx="259" c:formatCode="_(* #,##0.0_);_(* \(#,##0.0\);_(* &quot;-&quot;??_);_(@_)">
                  <c:v>141.5</c:v>
                </c:pt>
                <c:pt idx="260" c:formatCode="_(* #,##0.0_);_(* \(#,##0.0\);_(* &quot;-&quot;??_);_(@_)">
                  <c:v>141.5</c:v>
                </c:pt>
                <c:pt idx="261" c:formatCode="_(* #,##0.0_);_(* \(#,##0.0\);_(* &quot;-&quot;??_);_(@_)">
                  <c:v>142</c:v>
                </c:pt>
                <c:pt idx="262" c:formatCode="_(* #,##0.0_);_(* \(#,##0.0\);_(* &quot;-&quot;??_);_(@_)">
                  <c:v>143.5</c:v>
                </c:pt>
                <c:pt idx="263" c:formatCode="_(* #,##0.0_);_(* \(#,##0.0\);_(* &quot;-&quot;??_);_(@_)">
                  <c:v>142.5</c:v>
                </c:pt>
                <c:pt idx="264" c:formatCode="_(* #,##0.0_);_(* \(#,##0.0\);_(* &quot;-&quot;??_);_(@_)">
                  <c:v>140</c:v>
                </c:pt>
                <c:pt idx="265" c:formatCode="_(* #,##0.0_);_(* \(#,##0.0\);_(* &quot;-&quot;??_);_(@_)">
                  <c:v>138</c:v>
                </c:pt>
                <c:pt idx="266" c:formatCode="_(* #,##0.0_);_(* \(#,##0.0\);_(* &quot;-&quot;??_);_(@_)">
                  <c:v>138</c:v>
                </c:pt>
                <c:pt idx="267" c:formatCode="_(* #,##0.0_);_(* \(#,##0.0\);_(* &quot;-&quot;??_);_(@_)">
                  <c:v>137.7</c:v>
                </c:pt>
                <c:pt idx="268" c:formatCode="_(* #,##0.0_);_(* \(#,##0.0\);_(* &quot;-&quot;??_);_(@_)">
                  <c:v>137.5</c:v>
                </c:pt>
                <c:pt idx="269" c:formatCode="_(* #,##0.0_);_(* \(#,##0.0\);_(* &quot;-&quot;??_);_(@_)">
                  <c:v>139</c:v>
                </c:pt>
                <c:pt idx="270" c:formatCode="_(* #,##0.0_);_(* \(#,##0.0\);_(* &quot;-&quot;??_);_(@_)">
                  <c:v>143</c:v>
                </c:pt>
                <c:pt idx="271" c:formatCode="_(* #,##0.0_);_(* \(#,##0.0\);_(* &quot;-&quot;??_);_(@_)">
                  <c:v>147.5</c:v>
                </c:pt>
                <c:pt idx="272" c:formatCode="_(* #,##0.0_);_(* \(#,##0.0\);_(* &quot;-&quot;??_);_(@_)">
                  <c:v>148</c:v>
                </c:pt>
                <c:pt idx="273" c:formatCode="_(* #,##0.0_);_(* \(#,##0.0\);_(* &quot;-&quot;??_);_(@_)">
                  <c:v>149</c:v>
                </c:pt>
                <c:pt idx="274" c:formatCode="_(* #,##0.0_);_(* \(#,##0.0\);_(* &quot;-&quot;??_);_(@_)">
                  <c:v>149</c:v>
                </c:pt>
                <c:pt idx="275" c:formatCode="_(* #,##0.0_);_(* \(#,##0.0\);_(* &quot;-&quot;??_);_(@_)">
                  <c:v>148.5</c:v>
                </c:pt>
                <c:pt idx="276" c:formatCode="_(* #,##0.0_);_(* \(#,##0.0\);_(* &quot;-&quot;??_);_(@_)">
                  <c:v>148</c:v>
                </c:pt>
                <c:pt idx="277" c:formatCode="_(* #,##0.0_);_(* \(#,##0.0\);_(* &quot;-&quot;??_);_(@_)">
                  <c:v>147</c:v>
                </c:pt>
                <c:pt idx="278" c:formatCode="_(* #,##0.0_);_(* \(#,##0.0\);_(* &quot;-&quot;??_);_(@_)">
                  <c:v>146.5</c:v>
                </c:pt>
                <c:pt idx="279" c:formatCode="_(* #,##0.0_);_(* \(#,##0.0\);_(* &quot;-&quot;??_);_(@_)">
                  <c:v>146.5</c:v>
                </c:pt>
                <c:pt idx="280" c:formatCode="_(* #,##0.0_);_(* \(#,##0.0\);_(* &quot;-&quot;??_);_(@_)">
                  <c:v>146.5</c:v>
                </c:pt>
                <c:pt idx="281" c:formatCode="_(* #,##0.0_);_(* \(#,##0.0\);_(* &quot;-&quot;??_);_(@_)">
                  <c:v>146.5</c:v>
                </c:pt>
                <c:pt idx="282" c:formatCode="_(* #,##0.0_);_(* \(#,##0.0\);_(* &quot;-&quot;??_);_(@_)">
                  <c:v>148</c:v>
                </c:pt>
                <c:pt idx="283" c:formatCode="_(* #,##0.0_);_(* \(#,##0.0\);_(* &quot;-&quot;??_);_(@_)">
                  <c:v>149</c:v>
                </c:pt>
                <c:pt idx="284" c:formatCode="_(* #,##0.0_);_(* \(#,##0.0\);_(* &quot;-&quot;??_);_(@_)">
                  <c:v>147.8</c:v>
                </c:pt>
                <c:pt idx="285" c:formatCode="_(* #,##0.0_);_(* \(#,##0.0\);_(* &quot;-&quot;??_);_(@_)">
                  <c:v>148.8</c:v>
                </c:pt>
                <c:pt idx="286" c:formatCode="_(* #,##0.0_);_(* \(#,##0.0\);_(* &quot;-&quot;??_);_(@_)">
                  <c:v>149</c:v>
                </c:pt>
                <c:pt idx="287" c:formatCode="_(* #,##0.0_);_(* \(#,##0.0\);_(* &quot;-&quot;??_);_(@_)">
                  <c:v>148</c:v>
                </c:pt>
                <c:pt idx="288" c:formatCode="_(* #,##0.0_);_(* \(#,##0.0\);_(* &quot;-&quot;??_);_(@_)">
                  <c:v>147.5</c:v>
                </c:pt>
                <c:pt idx="289" c:formatCode="_(* #,##0.0_);_(* \(#,##0.0\);_(* &quot;-&quot;??_);_(@_)">
                  <c:v>146</c:v>
                </c:pt>
                <c:pt idx="290" c:formatCode="_(* #,##0.0_);_(* \(#,##0.0\);_(* &quot;-&quot;??_);_(@_)">
                  <c:v>146</c:v>
                </c:pt>
                <c:pt idx="291" c:formatCode="_(* #,##0.0_);_(* \(#,##0.0\);_(* &quot;-&quot;??_);_(@_)">
                  <c:v>145</c:v>
                </c:pt>
                <c:pt idx="292" c:formatCode="_(* #,##0.0_);_(* \(#,##0.0\);_(* &quot;-&quot;??_);_(@_)">
                  <c:v>145</c:v>
                </c:pt>
                <c:pt idx="293" c:formatCode="_(* #,##0.0_);_(* \(#,##0.0\);_(* &quot;-&quot;??_);_(@_)">
                  <c:v>143</c:v>
                </c:pt>
                <c:pt idx="294" c:formatCode="_(* #,##0.0_);_(* \(#,##0.0\);_(* &quot;-&quot;??_);_(@_)">
                  <c:v>143</c:v>
                </c:pt>
                <c:pt idx="295" c:formatCode="_(* #,##0.0_);_(* \(#,##0.0\);_(* &quot;-&quot;??_);_(@_)">
                  <c:v>144</c:v>
                </c:pt>
                <c:pt idx="296" c:formatCode="_(* #,##0.0_);_(* \(#,##0.0\);_(* &quot;-&quot;??_);_(@_)">
                  <c:v>143</c:v>
                </c:pt>
                <c:pt idx="297" c:formatCode="_(* #,##0.0_);_(* \(#,##0.0\);_(* &quot;-&quot;??_);_(@_)">
                  <c:v>143</c:v>
                </c:pt>
                <c:pt idx="298" c:formatCode="_(* #,##0.0_);_(* \(#,##0.0\);_(* &quot;-&quot;??_);_(@_)">
                  <c:v>142.5</c:v>
                </c:pt>
                <c:pt idx="299" c:formatCode="_(* #,##0.0_);_(* \(#,##0.0\);_(* &quot;-&quot;??_);_(@_)">
                  <c:v>142.5</c:v>
                </c:pt>
                <c:pt idx="300" c:formatCode="_(* #,##0.0_);_(* \(#,##0.0\);_(* &quot;-&quot;??_);_(@_)">
                  <c:v>142</c:v>
                </c:pt>
                <c:pt idx="301" c:formatCode="_(* #,##0.0_);_(* \(#,##0.0\);_(* &quot;-&quot;??_);_(@_)">
                  <c:v>142</c:v>
                </c:pt>
                <c:pt idx="302" c:formatCode="_(* #,##0.0_);_(* \(#,##0.0\);_(* &quot;-&quot;??_);_(@_)">
                  <c:v>141.8</c:v>
                </c:pt>
                <c:pt idx="303" c:formatCode="_(* #,##0.0_);_(* \(#,##0.0\);_(* &quot;-&quot;??_);_(@_)">
                  <c:v>141</c:v>
                </c:pt>
                <c:pt idx="304" c:formatCode="_(* #,##0.0_);_(* \(#,##0.0\);_(* &quot;-&quot;??_);_(@_)">
                  <c:v>142</c:v>
                </c:pt>
                <c:pt idx="305" c:formatCode="_(* #,##0.0_);_(* \(#,##0.0\);_(* &quot;-&quot;??_);_(@_)">
                  <c:v>142</c:v>
                </c:pt>
                <c:pt idx="306" c:formatCode="_(* #,##0.0_);_(* \(#,##0.0\);_(* &quot;-&quot;??_);_(@_)">
                  <c:v>141.5</c:v>
                </c:pt>
                <c:pt idx="307" c:formatCode="_(* #,##0.0_);_(* \(#,##0.0\);_(* &quot;-&quot;??_);_(@_)">
                  <c:v>141.5</c:v>
                </c:pt>
                <c:pt idx="308" c:formatCode="_(* #,##0.0_);_(* \(#,##0.0\);_(* &quot;-&quot;??_);_(@_)">
                  <c:v>142</c:v>
                </c:pt>
                <c:pt idx="309" c:formatCode="_(* #,##0.0_);_(* \(#,##0.0\);_(* &quot;-&quot;??_);_(@_)">
                  <c:v>141.8</c:v>
                </c:pt>
                <c:pt idx="310" c:formatCode="_(* #,##0.0_);_(* \(#,##0.0\);_(* &quot;-&quot;??_);_(@_)">
                  <c:v>141.8</c:v>
                </c:pt>
                <c:pt idx="311" c:formatCode="_(* #,##0.0_);_(* \(#,##0.0\);_(* &quot;-&quot;??_);_(@_)">
                  <c:v>141.8</c:v>
                </c:pt>
                <c:pt idx="312" c:formatCode="_(* #,##0.0_);_(* \(#,##0.0\);_(* &quot;-&quot;??_);_(@_)">
                  <c:v>141.5</c:v>
                </c:pt>
                <c:pt idx="313" c:formatCode="_(* #,##0.0_);_(* \(#,##0.0\);_(* &quot;-&quot;??_);_(@_)">
                  <c:v>140</c:v>
                </c:pt>
                <c:pt idx="314" c:formatCode="_(* #,##0.0_);_(* \(#,##0.0\);_(* &quot;-&quot;??_);_(@_)">
                  <c:v>138.8</c:v>
                </c:pt>
                <c:pt idx="315" c:formatCode="_(* #,##0.0_);_(* \(#,##0.0\);_(* &quot;-&quot;??_);_(@_)">
                  <c:v>138.8</c:v>
                </c:pt>
                <c:pt idx="316" c:formatCode="_(* #,##0.0_);_(* \(#,##0.0\);_(* &quot;-&quot;??_);_(@_)">
                  <c:v>138</c:v>
                </c:pt>
                <c:pt idx="317" c:formatCode="_(* #,##0.0_);_(* \(#,##0.0\);_(* &quot;-&quot;??_);_(@_)">
                  <c:v>138.5</c:v>
                </c:pt>
                <c:pt idx="318" c:formatCode="_(* #,##0.0_);_(* \(#,##0.0\);_(* &quot;-&quot;??_);_(@_)">
                  <c:v>138.5</c:v>
                </c:pt>
                <c:pt idx="319" c:formatCode="_(* #,##0.0_);_(* \(#,##0.0\);_(* &quot;-&quot;??_);_(@_)">
                  <c:v>141</c:v>
                </c:pt>
                <c:pt idx="320" c:formatCode="_(* #,##0.0_);_(* \(#,##0.0\);_(* &quot;-&quot;??_);_(@_)">
                  <c:v>145</c:v>
                </c:pt>
                <c:pt idx="321" c:formatCode="_(* #,##0.0_);_(* \(#,##0.0\);_(* &quot;-&quot;??_);_(@_)">
                  <c:v>146.5</c:v>
                </c:pt>
                <c:pt idx="322" c:formatCode="_(* #,##0.0_);_(* \(#,##0.0\);_(* &quot;-&quot;??_);_(@_)">
                  <c:v>150</c:v>
                </c:pt>
                <c:pt idx="323" c:formatCode="_(* #,##0.0_);_(* \(#,##0.0\);_(* &quot;-&quot;??_);_(@_)">
                  <c:v>154</c:v>
                </c:pt>
                <c:pt idx="324" c:formatCode="_(* #,##0.0_);_(* \(#,##0.0\);_(* &quot;-&quot;??_);_(@_)">
                  <c:v>158</c:v>
                </c:pt>
                <c:pt idx="325" c:formatCode="_(* #,##0.0_);_(* \(#,##0.0\);_(* &quot;-&quot;??_);_(@_)">
                  <c:v>163</c:v>
                </c:pt>
                <c:pt idx="326" c:formatCode="_(* #,##0.0_);_(* \(#,##0.0\);_(* &quot;-&quot;??_);_(@_)">
                  <c:v>164</c:v>
                </c:pt>
                <c:pt idx="327" c:formatCode="_(* #,##0.0_);_(* \(#,##0.0\);_(* &quot;-&quot;??_);_(@_)">
                  <c:v>173</c:v>
                </c:pt>
                <c:pt idx="328" c:formatCode="_(* #,##0.0_);_(* \(#,##0.0\);_(* &quot;-&quot;??_);_(@_)">
                  <c:v>182</c:v>
                </c:pt>
                <c:pt idx="329" c:formatCode="_(* #,##0.0_);_(* \(#,##0.0\);_(* &quot;-&quot;??_);_(@_)">
                  <c:v>200</c:v>
                </c:pt>
                <c:pt idx="330" c:formatCode="_(* #,##0.0_);_(* \(#,##0.0\);_(* &quot;-&quot;??_);_(@_)">
                  <c:v>220</c:v>
                </c:pt>
                <c:pt idx="331" c:formatCode="_(* #,##0.0_);_(* \(#,##0.0\);_(* &quot;-&quot;??_);_(@_)">
                  <c:v>240</c:v>
                </c:pt>
                <c:pt idx="332" c:formatCode="_(* #,##0.0_);_(* \(#,##0.0\);_(* &quot;-&quot;??_);_(@_)">
                  <c:v>247</c:v>
                </c:pt>
                <c:pt idx="333" c:formatCode="_(* #,##0.0_);_(* \(#,##0.0\);_(* &quot;-&quot;??_);_(@_)">
                  <c:v>255</c:v>
                </c:pt>
                <c:pt idx="334" c:formatCode="_(* #,##0.0_);_(* \(#,##0.0\);_(* &quot;-&quot;??_);_(@_)">
                  <c:v>270</c:v>
                </c:pt>
                <c:pt idx="335" c:formatCode="_(* #,##0.0_);_(* \(#,##0.0\);_(* &quot;-&quot;??_);_(@_)">
                  <c:v>280</c:v>
                </c:pt>
                <c:pt idx="336" c:formatCode="_(* #,##0.0_);_(* \(#,##0.0\);_(* &quot;-&quot;??_);_(@_)">
                  <c:v>290</c:v>
                </c:pt>
                <c:pt idx="337" c:formatCode="_(* #,##0.0_);_(* \(#,##0.0\);_(* &quot;-&quot;??_);_(@_)">
                  <c:v>295</c:v>
                </c:pt>
                <c:pt idx="338" c:formatCode="_(* #,##0.0_);_(* \(#,##0.0\);_(* &quot;-&quot;??_);_(@_)">
                  <c:v>330</c:v>
                </c:pt>
                <c:pt idx="339" c:formatCode="_(* #,##0.0_);_(* \(#,##0.0\);_(* &quot;-&quot;??_);_(@_)">
                  <c:v>408</c:v>
                </c:pt>
                <c:pt idx="340" c:formatCode="_(* #,##0.0_);_(* \(#,##0.0\);_(* &quot;-&quot;??_);_(@_)">
                  <c:v>500</c:v>
                </c:pt>
                <c:pt idx="341" c:formatCode="_(* #,##0.0_);_(* \(#,##0.0\);_(* &quot;-&quot;??_);_(@_)">
                  <c:v>550</c:v>
                </c:pt>
                <c:pt idx="342" c:formatCode="_(* #,##0.0_);_(* \(#,##0.0\);_(* &quot;-&quot;??_);_(@_)">
                  <c:v>575</c:v>
                </c:pt>
                <c:pt idx="343" c:formatCode="_(* #,##0.0_);_(* \(#,##0.0\);_(* &quot;-&quot;??_);_(@_)">
                  <c:v>600</c:v>
                </c:pt>
                <c:pt idx="344" c:formatCode="_(* #,##0.0_);_(* \(#,##0.0\);_(* &quot;-&quot;??_);_(@_)">
                  <c:v>592</c:v>
                </c:pt>
                <c:pt idx="345" c:formatCode="_(* #,##0.0_);_(* \(#,##0.0\);_(* &quot;-&quot;??_);_(@_)">
                  <c:v>593</c:v>
                </c:pt>
                <c:pt idx="346" c:formatCode="_(* #,##0.0_);_(* \(#,##0.0\);_(* &quot;-&quot;??_);_(@_)">
                  <c:v>590</c:v>
                </c:pt>
                <c:pt idx="347" c:formatCode="_(* #,##0.0_);_(* \(#,##0.0\);_(* &quot;-&quot;??_);_(@_)">
                  <c:v>550</c:v>
                </c:pt>
                <c:pt idx="348" c:formatCode="_(* #,##0.0_);_(* \(#,##0.0\);_(* &quot;-&quot;??_);_(@_)">
                  <c:v>550</c:v>
                </c:pt>
                <c:pt idx="349" c:formatCode="_(* #,##0.0_);_(* \(#,##0.0\);_(* &quot;-&quot;??_);_(@_)">
                  <c:v>570</c:v>
                </c:pt>
                <c:pt idx="350" c:formatCode="_(* #,##0.0_);_(* \(#,##0.0\);_(* &quot;-&quot;??_);_(@_)">
                  <c:v>580</c:v>
                </c:pt>
                <c:pt idx="351" c:formatCode="_(* #,##0.0_);_(* \(#,##0.0\);_(* &quot;-&quot;??_);_(@_)">
                  <c:v>620</c:v>
                </c:pt>
                <c:pt idx="352" c:formatCode="_(* #,##0.0_);_(* \(#,##0.0\);_(* &quot;-&quot;??_);_(@_)">
                  <c:v>650</c:v>
                </c:pt>
                <c:pt idx="353" c:formatCode="_(* #,##0.0_);_(* \(#,##0.0\);_(* &quot;-&quot;??_);_(@_)">
                  <c:v>670</c:v>
                </c:pt>
                <c:pt idx="354" c:formatCode="_(* #,##0.0_);_(* \(#,##0.0\);_(* &quot;-&quot;??_);_(@_)">
                  <c:v>680</c:v>
                </c:pt>
                <c:pt idx="355" c:formatCode="_(* #,##0.0_);_(* \(#,##0.0\);_(* &quot;-&quot;??_);_(@_)">
                  <c:v>720</c:v>
                </c:pt>
                <c:pt idx="356" c:formatCode="_(* #,##0.0_);_(* \(#,##0.0\);_(* &quot;-&quot;??_);_(@_)">
                  <c:v>740</c:v>
                </c:pt>
                <c:pt idx="357" c:formatCode="_(* #,##0.0_);_(* \(#,##0.0\);_(* &quot;-&quot;??_);_(@_)">
                  <c:v>760</c:v>
                </c:pt>
                <c:pt idx="358" c:formatCode="_(* #,##0.0_);_(* \(#,##0.0\);_(* &quot;-&quot;??_);_(@_)">
                  <c:v>800</c:v>
                </c:pt>
                <c:pt idx="359" c:formatCode="_(* #,##0.0_);_(* \(#,##0.0\);_(* &quot;-&quot;??_);_(@_)">
                  <c:v>825</c:v>
                </c:pt>
                <c:pt idx="360" c:formatCode="_(* #,##0.0_);_(* \(#,##0.0\);_(* &quot;-&quot;??_);_(@_)">
                  <c:v>850</c:v>
                </c:pt>
                <c:pt idx="361" c:formatCode="_(* #,##0.0_);_(* \(#,##0.0\);_(* &quot;-&quot;??_);_(@_)">
                  <c:v>900</c:v>
                </c:pt>
                <c:pt idx="362" c:formatCode="_(* #,##0.0_);_(* \(#,##0.0\);_(* &quot;-&quot;??_);_(@_)">
                  <c:v>930</c:v>
                </c:pt>
                <c:pt idx="363" c:formatCode="_(* #,##0.0_);_(* \(#,##0.0\);_(* &quot;-&quot;??_);_(@_)">
                  <c:v>930</c:v>
                </c:pt>
                <c:pt idx="364" c:formatCode="_(* #,##0.0_);_(* \(#,##0.0\);_(* &quot;-&quot;??_);_(@_)">
                  <c:v>932</c:v>
                </c:pt>
                <c:pt idx="365" c:formatCode="_(* #,##0.0_);_(* \(#,##0.0\);_(* &quot;-&quot;??_);_(@_)">
                  <c:v>932</c:v>
                </c:pt>
                <c:pt idx="366" c:formatCode="_(* #,##0.0_);_(* \(#,##0.0\);_(* &quot;-&quot;??_);_(@_)">
                  <c:v>935</c:v>
                </c:pt>
                <c:pt idx="367" c:formatCode="_(* #,##0.0_);_(* \(#,##0.0\);_(* &quot;-&quot;??_);_(@_)">
                  <c:v>980</c:v>
                </c:pt>
                <c:pt idx="368" c:formatCode="_(* #,##0.0_);_(* \(#,##0.0\);_(* &quot;-&quot;??_);_(@_)">
                  <c:v>1100</c:v>
                </c:pt>
                <c:pt idx="369" c:formatCode="_(* #,##0.0_);_(* \(#,##0.0\);_(* &quot;-&quot;??_);_(@_)">
                  <c:v>1200</c:v>
                </c:pt>
                <c:pt idx="370" c:formatCode="_(* #,##0.0_);_(* \(#,##0.0\);_(* &quot;-&quot;??_);_(@_)">
                  <c:v>1300</c:v>
                </c:pt>
                <c:pt idx="371" c:formatCode="_(* #,##0.0_);_(* \(#,##0.0\);_(* &quot;-&quot;??_);_(@_)">
                  <c:v>1350</c:v>
                </c:pt>
                <c:pt idx="372" c:formatCode="_(* #,##0.0_);_(* \(#,##0.0\);_(* &quot;-&quot;??_);_(@_)">
                  <c:v>1450</c:v>
                </c:pt>
                <c:pt idx="373" c:formatCode="_(* #,##0.0_);_(* \(#,##0.0\);_(* &quot;-&quot;??_);_(@_)">
                  <c:v>1435</c:v>
                </c:pt>
                <c:pt idx="374" c:formatCode="_(* #,##0.0_);_(* \(#,##0.0\);_(* &quot;-&quot;??_);_(@_)">
                  <c:v>1435</c:v>
                </c:pt>
                <c:pt idx="375" c:formatCode="_(* #,##0.0_);_(* \(#,##0.0\);_(* &quot;-&quot;??_);_(@_)">
                  <c:v>1434</c:v>
                </c:pt>
                <c:pt idx="376" c:formatCode="_(* #,##0.0_);_(* \(#,##0.0\);_(* &quot;-&quot;??_);_(@_)">
                  <c:v>1460</c:v>
                </c:pt>
                <c:pt idx="377" c:formatCode="_(* #,##0.0_);_(* \(#,##0.0\);_(* &quot;-&quot;??_);_(@_)">
                  <c:v>1460</c:v>
                </c:pt>
                <c:pt idx="378" c:formatCode="_(* #,##0.0_);_(* \(#,##0.0\);_(* &quot;-&quot;??_);_(@_)">
                  <c:v>1480</c:v>
                </c:pt>
                <c:pt idx="379" c:formatCode="_(* #,##0.0_);_(* \(#,##0.0\);_(* &quot;-&quot;??_);_(@_)">
                  <c:v>1530</c:v>
                </c:pt>
              </c:numCache>
            </c:numRef>
          </c:val>
          <c:smooth val="0"/>
        </c:ser>
        <c:ser>
          <c:idx val="1"/>
          <c:order val="2"/>
          <c:tx>
            <c:strRef>
              <c:f>DRAM!$AW$27</c:f>
              <c:strCache>
                <c:ptCount val="1"/>
                <c:pt idx="0">
                  <c:v>Contract</c:v>
                </c:pt>
              </c:strCache>
            </c:strRef>
          </c:tx>
          <c:spPr>
            <a:ln w="19050" cap="rnd" cmpd="sng" algn="ctr">
              <a:solidFill>
                <a:sysClr val="windowText" lastClr="000000"/>
              </a:solidFill>
              <a:prstDash val="solid"/>
              <a:round/>
            </a:ln>
          </c:spPr>
          <c:marker>
            <c:symbol val="none"/>
          </c:marker>
          <c:dLbls>
            <c:delete val="1"/>
          </c:dLbls>
          <c:cat>
            <c:numRef>
              <c:f>DRAM!$AS$29:$AS$500</c:f>
              <c:numCache>
                <c:formatCode>m/d/yyyy;@</c:formatCode>
                <c:ptCount val="472"/>
                <c:pt idx="0" c:formatCode="m/d/yyyy;@">
                  <c:v>43479</c:v>
                </c:pt>
                <c:pt idx="1" c:formatCode="m/d/yyyy;@">
                  <c:v>43493</c:v>
                </c:pt>
                <c:pt idx="2" c:formatCode="m/d/yyyy;@">
                  <c:v>43507</c:v>
                </c:pt>
                <c:pt idx="3" c:formatCode="m/d/yyyy;@">
                  <c:v>43514</c:v>
                </c:pt>
                <c:pt idx="4" c:formatCode="m/d/yyyy;@">
                  <c:v>43521</c:v>
                </c:pt>
                <c:pt idx="5" c:formatCode="m/d/yyyy;@">
                  <c:v>43528</c:v>
                </c:pt>
                <c:pt idx="6" c:formatCode="m/d/yyyy;@">
                  <c:v>43535</c:v>
                </c:pt>
                <c:pt idx="7" c:formatCode="m/d/yyyy;@">
                  <c:v>43542</c:v>
                </c:pt>
                <c:pt idx="8" c:formatCode="m/d/yyyy;@">
                  <c:v>43549</c:v>
                </c:pt>
                <c:pt idx="9" c:formatCode="m/d/yyyy;@">
                  <c:v>43556</c:v>
                </c:pt>
                <c:pt idx="10" c:formatCode="m/d/yyyy;@">
                  <c:v>43563</c:v>
                </c:pt>
                <c:pt idx="11" c:formatCode="m/d/yyyy;@">
                  <c:v>43570</c:v>
                </c:pt>
                <c:pt idx="12" c:formatCode="m/d/yyyy;@">
                  <c:v>43577</c:v>
                </c:pt>
                <c:pt idx="13" c:formatCode="m/d/yyyy;@">
                  <c:v>43584</c:v>
                </c:pt>
                <c:pt idx="14" c:formatCode="m/d/yyyy;@">
                  <c:v>43591</c:v>
                </c:pt>
                <c:pt idx="15" c:formatCode="m/d/yyyy;@">
                  <c:v>43598</c:v>
                </c:pt>
                <c:pt idx="16" c:formatCode="m/d/yyyy;@">
                  <c:v>43605</c:v>
                </c:pt>
                <c:pt idx="17" c:formatCode="m/d/yyyy;@">
                  <c:v>43612</c:v>
                </c:pt>
                <c:pt idx="18" c:formatCode="m/d/yyyy;@">
                  <c:v>43619</c:v>
                </c:pt>
                <c:pt idx="19" c:formatCode="m/d/yyyy;@">
                  <c:v>43626</c:v>
                </c:pt>
                <c:pt idx="20" c:formatCode="m/d/yyyy;@">
                  <c:v>43633</c:v>
                </c:pt>
                <c:pt idx="21" c:formatCode="m/d/yyyy;@">
                  <c:v>43640</c:v>
                </c:pt>
                <c:pt idx="22" c:formatCode="m/d/yyyy;@">
                  <c:v>43647</c:v>
                </c:pt>
                <c:pt idx="23" c:formatCode="m/d/yyyy;@">
                  <c:v>43654</c:v>
                </c:pt>
                <c:pt idx="24" c:formatCode="m/d/yyyy;@">
                  <c:v>43661</c:v>
                </c:pt>
                <c:pt idx="25" c:formatCode="m/d/yyyy;@">
                  <c:v>43668</c:v>
                </c:pt>
                <c:pt idx="26" c:formatCode="m/d/yyyy;@">
                  <c:v>43675</c:v>
                </c:pt>
                <c:pt idx="27" c:formatCode="m/d/yyyy;@">
                  <c:v>43682</c:v>
                </c:pt>
                <c:pt idx="28" c:formatCode="m/d/yyyy;@">
                  <c:v>43689</c:v>
                </c:pt>
                <c:pt idx="29" c:formatCode="m/d/yyyy;@">
                  <c:v>43696</c:v>
                </c:pt>
                <c:pt idx="30" c:formatCode="m/d/yyyy;@">
                  <c:v>43703</c:v>
                </c:pt>
                <c:pt idx="31" c:formatCode="m/d/yyyy;@">
                  <c:v>43710</c:v>
                </c:pt>
                <c:pt idx="32" c:formatCode="m/d/yyyy;@">
                  <c:v>43717</c:v>
                </c:pt>
                <c:pt idx="33" c:formatCode="m/d/yyyy;@">
                  <c:v>43724</c:v>
                </c:pt>
                <c:pt idx="34" c:formatCode="m/d/yyyy;@">
                  <c:v>43731</c:v>
                </c:pt>
                <c:pt idx="35" c:formatCode="m/d/yyyy;@">
                  <c:v>43738</c:v>
                </c:pt>
                <c:pt idx="36" c:formatCode="m/d/yyyy;@">
                  <c:v>43745</c:v>
                </c:pt>
                <c:pt idx="37" c:formatCode="m/d/yyyy;@">
                  <c:v>43752</c:v>
                </c:pt>
                <c:pt idx="38" c:formatCode="m/d/yyyy;@">
                  <c:v>43759</c:v>
                </c:pt>
                <c:pt idx="39" c:formatCode="m/d/yyyy;@">
                  <c:v>43766</c:v>
                </c:pt>
                <c:pt idx="40" c:formatCode="m/d/yyyy;@">
                  <c:v>43773</c:v>
                </c:pt>
                <c:pt idx="41" c:formatCode="m/d/yyyy;@">
                  <c:v>43780</c:v>
                </c:pt>
                <c:pt idx="42" c:formatCode="m/d/yyyy;@">
                  <c:v>43787</c:v>
                </c:pt>
                <c:pt idx="43" c:formatCode="m/d/yyyy;@">
                  <c:v>43794</c:v>
                </c:pt>
                <c:pt idx="44" c:formatCode="m/d/yyyy;@">
                  <c:v>43801</c:v>
                </c:pt>
                <c:pt idx="45" c:formatCode="m/d/yyyy;@">
                  <c:v>43808</c:v>
                </c:pt>
                <c:pt idx="46" c:formatCode="m/d/yyyy;@">
                  <c:v>43815</c:v>
                </c:pt>
                <c:pt idx="47" c:formatCode="m/d/yyyy;@">
                  <c:v>43822</c:v>
                </c:pt>
                <c:pt idx="48" c:formatCode="m/d/yyyy;@">
                  <c:v>43829</c:v>
                </c:pt>
                <c:pt idx="49" c:formatCode="m/d/yyyy;@">
                  <c:v>43836</c:v>
                </c:pt>
                <c:pt idx="50" c:formatCode="m/d/yyyy;@">
                  <c:v>43843</c:v>
                </c:pt>
                <c:pt idx="51" c:formatCode="m/d/yyyy;@">
                  <c:v>43850</c:v>
                </c:pt>
                <c:pt idx="52" c:formatCode="m/d/yyyy;@">
                  <c:v>43864</c:v>
                </c:pt>
                <c:pt idx="53" c:formatCode="m/d/yyyy;@">
                  <c:v>43871</c:v>
                </c:pt>
                <c:pt idx="54" c:formatCode="m/d/yyyy;@">
                  <c:v>43878</c:v>
                </c:pt>
                <c:pt idx="55" c:formatCode="m/d/yyyy;@">
                  <c:v>43885</c:v>
                </c:pt>
                <c:pt idx="56" c:formatCode="m/d/yyyy;@">
                  <c:v>43892</c:v>
                </c:pt>
                <c:pt idx="57" c:formatCode="m/d/yyyy;@">
                  <c:v>43899</c:v>
                </c:pt>
                <c:pt idx="58" c:formatCode="m/d/yyyy;@">
                  <c:v>43906</c:v>
                </c:pt>
                <c:pt idx="59" c:formatCode="m/d/yyyy;@">
                  <c:v>43913</c:v>
                </c:pt>
                <c:pt idx="60" c:formatCode="m/d/yyyy;@">
                  <c:v>43920</c:v>
                </c:pt>
                <c:pt idx="61" c:formatCode="m/d/yyyy;@">
                  <c:v>43927</c:v>
                </c:pt>
                <c:pt idx="62" c:formatCode="m/d/yyyy;@">
                  <c:v>43934</c:v>
                </c:pt>
                <c:pt idx="63" c:formatCode="m/d/yyyy;@">
                  <c:v>43941</c:v>
                </c:pt>
                <c:pt idx="64" c:formatCode="m/d/yyyy;@">
                  <c:v>43948</c:v>
                </c:pt>
                <c:pt idx="65" c:formatCode="m/d/yyyy;@">
                  <c:v>43955</c:v>
                </c:pt>
                <c:pt idx="66" c:formatCode="m/d/yyyy;@">
                  <c:v>43962</c:v>
                </c:pt>
                <c:pt idx="67" c:formatCode="m/d/yyyy;@">
                  <c:v>43969</c:v>
                </c:pt>
                <c:pt idx="68" c:formatCode="m/d/yyyy;@">
                  <c:v>43976</c:v>
                </c:pt>
                <c:pt idx="69" c:formatCode="m/d/yyyy;@">
                  <c:v>43983</c:v>
                </c:pt>
                <c:pt idx="70" c:formatCode="m/d/yyyy;@">
                  <c:v>43990</c:v>
                </c:pt>
                <c:pt idx="71" c:formatCode="m/d/yyyy;@">
                  <c:v>43997</c:v>
                </c:pt>
                <c:pt idx="72" c:formatCode="m/d/yyyy;@">
                  <c:v>44004</c:v>
                </c:pt>
                <c:pt idx="73" c:formatCode="m/d/yyyy;@">
                  <c:v>44011</c:v>
                </c:pt>
                <c:pt idx="74" c:formatCode="m/d/yyyy;@">
                  <c:v>44018</c:v>
                </c:pt>
                <c:pt idx="75" c:formatCode="m/d/yyyy;@">
                  <c:v>44025</c:v>
                </c:pt>
                <c:pt idx="76" c:formatCode="m/d/yyyy;@">
                  <c:v>44032</c:v>
                </c:pt>
                <c:pt idx="77" c:formatCode="m/d/yyyy;@">
                  <c:v>44039</c:v>
                </c:pt>
                <c:pt idx="78" c:formatCode="m/d/yyyy;@">
                  <c:v>44046</c:v>
                </c:pt>
                <c:pt idx="79" c:formatCode="m/d/yyyy;@">
                  <c:v>44053</c:v>
                </c:pt>
                <c:pt idx="80" c:formatCode="m/d/yyyy;@">
                  <c:v>44060</c:v>
                </c:pt>
                <c:pt idx="81" c:formatCode="m/d/yyyy;@">
                  <c:v>44067</c:v>
                </c:pt>
                <c:pt idx="82" c:formatCode="m/d/yyyy;@">
                  <c:v>44074</c:v>
                </c:pt>
                <c:pt idx="83" c:formatCode="m/d/yyyy;@">
                  <c:v>44081</c:v>
                </c:pt>
                <c:pt idx="84" c:formatCode="m/d/yyyy;@">
                  <c:v>44088</c:v>
                </c:pt>
                <c:pt idx="85" c:formatCode="m/d/yyyy;@">
                  <c:v>44095</c:v>
                </c:pt>
                <c:pt idx="86" c:formatCode="m/d/yyyy;@">
                  <c:v>44102</c:v>
                </c:pt>
                <c:pt idx="87" c:formatCode="m/d/yyyy;@">
                  <c:v>44109</c:v>
                </c:pt>
                <c:pt idx="88" c:formatCode="m/d/yyyy;@">
                  <c:v>44116</c:v>
                </c:pt>
                <c:pt idx="89" c:formatCode="m/d/yyyy;@">
                  <c:v>44123</c:v>
                </c:pt>
                <c:pt idx="90" c:formatCode="m/d/yyyy;@">
                  <c:v>44130</c:v>
                </c:pt>
                <c:pt idx="91" c:formatCode="m/d/yyyy;@">
                  <c:v>44137</c:v>
                </c:pt>
                <c:pt idx="92" c:formatCode="m/d/yyyy;@">
                  <c:v>44144</c:v>
                </c:pt>
                <c:pt idx="93" c:formatCode="m/d/yyyy;@">
                  <c:v>44151</c:v>
                </c:pt>
                <c:pt idx="94" c:formatCode="m/d/yyyy;@">
                  <c:v>44158</c:v>
                </c:pt>
                <c:pt idx="95" c:formatCode="m/d/yyyy;@">
                  <c:v>44165</c:v>
                </c:pt>
                <c:pt idx="96" c:formatCode="m/d/yyyy;@">
                  <c:v>44172</c:v>
                </c:pt>
                <c:pt idx="97" c:formatCode="m/d/yyyy;@">
                  <c:v>44179</c:v>
                </c:pt>
                <c:pt idx="98" c:formatCode="m/d/yyyy;@">
                  <c:v>44186</c:v>
                </c:pt>
                <c:pt idx="99" c:formatCode="m/d/yyyy;@">
                  <c:v>44193</c:v>
                </c:pt>
                <c:pt idx="100" c:formatCode="m/d/yyyy;@">
                  <c:v>44200</c:v>
                </c:pt>
                <c:pt idx="101" c:formatCode="m/d/yyyy;@">
                  <c:v>44207</c:v>
                </c:pt>
                <c:pt idx="102" c:formatCode="m/d/yyyy;@">
                  <c:v>44214</c:v>
                </c:pt>
                <c:pt idx="103" c:formatCode="m/d/yyyy;@">
                  <c:v>44221</c:v>
                </c:pt>
                <c:pt idx="104" c:formatCode="m/d/yyyy;@">
                  <c:v>44228</c:v>
                </c:pt>
                <c:pt idx="105" c:formatCode="m/d/yyyy;@">
                  <c:v>44235</c:v>
                </c:pt>
                <c:pt idx="106" c:formatCode="m/d/yyyy;@">
                  <c:v>44244</c:v>
                </c:pt>
                <c:pt idx="107" c:formatCode="m/d/yyyy;@">
                  <c:v>44249</c:v>
                </c:pt>
                <c:pt idx="108" c:formatCode="m/d/yyyy;@">
                  <c:v>44256</c:v>
                </c:pt>
                <c:pt idx="109" c:formatCode="m/d/yyyy;@">
                  <c:v>44263</c:v>
                </c:pt>
                <c:pt idx="110" c:formatCode="m/d/yyyy;@">
                  <c:v>44270</c:v>
                </c:pt>
                <c:pt idx="111" c:formatCode="m/d/yyyy;@">
                  <c:v>44277</c:v>
                </c:pt>
                <c:pt idx="112" c:formatCode="m/d/yyyy;@">
                  <c:v>44284</c:v>
                </c:pt>
                <c:pt idx="113" c:formatCode="m/d/yyyy;@">
                  <c:v>44292</c:v>
                </c:pt>
                <c:pt idx="114" c:formatCode="m/d/yyyy;@">
                  <c:v>44298</c:v>
                </c:pt>
                <c:pt idx="115" c:formatCode="m/d/yyyy;@">
                  <c:v>44305</c:v>
                </c:pt>
                <c:pt idx="116" c:formatCode="m/d/yyyy;@">
                  <c:v>44312</c:v>
                </c:pt>
                <c:pt idx="117" c:formatCode="m/d/yyyy;@">
                  <c:v>44319</c:v>
                </c:pt>
                <c:pt idx="118" c:formatCode="m/d/yyyy;@">
                  <c:v>44326</c:v>
                </c:pt>
                <c:pt idx="119" c:formatCode="m/d/yyyy;@">
                  <c:v>44333</c:v>
                </c:pt>
                <c:pt idx="120" c:formatCode="m/d/yyyy;@">
                  <c:v>44340</c:v>
                </c:pt>
                <c:pt idx="121" c:formatCode="m/d/yyyy;@">
                  <c:v>44347</c:v>
                </c:pt>
                <c:pt idx="122" c:formatCode="m/d/yyyy;@">
                  <c:v>44354</c:v>
                </c:pt>
                <c:pt idx="123" c:formatCode="m/d/yyyy;@">
                  <c:v>44362</c:v>
                </c:pt>
                <c:pt idx="124" c:formatCode="m/d/yyyy;@">
                  <c:v>44368</c:v>
                </c:pt>
                <c:pt idx="125" c:formatCode="m/d/yyyy;@">
                  <c:v>44375</c:v>
                </c:pt>
                <c:pt idx="126" c:formatCode="m/d/yyyy;@">
                  <c:v>44382</c:v>
                </c:pt>
                <c:pt idx="127" c:formatCode="m/d/yyyy;@">
                  <c:v>44389</c:v>
                </c:pt>
                <c:pt idx="128" c:formatCode="m/d/yyyy;@">
                  <c:v>44396</c:v>
                </c:pt>
                <c:pt idx="129" c:formatCode="m/d/yyyy;@">
                  <c:v>44403</c:v>
                </c:pt>
                <c:pt idx="130" c:formatCode="m/d/yyyy;@">
                  <c:v>44410</c:v>
                </c:pt>
                <c:pt idx="131" c:formatCode="m/d/yyyy;@">
                  <c:v>44417</c:v>
                </c:pt>
                <c:pt idx="132" c:formatCode="m/d/yyyy;@">
                  <c:v>44424</c:v>
                </c:pt>
                <c:pt idx="133" c:formatCode="m/d/yyyy;@">
                  <c:v>44431</c:v>
                </c:pt>
                <c:pt idx="134" c:formatCode="m/d/yyyy;@">
                  <c:v>44438</c:v>
                </c:pt>
                <c:pt idx="135" c:formatCode="m/d/yyyy;@">
                  <c:v>44445</c:v>
                </c:pt>
                <c:pt idx="136" c:formatCode="m/d/yyyy;@">
                  <c:v>44452</c:v>
                </c:pt>
                <c:pt idx="137" c:formatCode="m/d/yyyy;@">
                  <c:v>44461</c:v>
                </c:pt>
                <c:pt idx="138" c:formatCode="m/d/yyyy;@">
                  <c:v>44466</c:v>
                </c:pt>
                <c:pt idx="139" c:formatCode="m/d/yyyy;@">
                  <c:v>44473</c:v>
                </c:pt>
                <c:pt idx="140" c:formatCode="m/d/yyyy;@">
                  <c:v>44480</c:v>
                </c:pt>
                <c:pt idx="141" c:formatCode="m/d/yyyy;@">
                  <c:v>44487</c:v>
                </c:pt>
                <c:pt idx="142" c:formatCode="m/d/yyyy;@">
                  <c:v>44494</c:v>
                </c:pt>
                <c:pt idx="143" c:formatCode="m/d/yyyy;@">
                  <c:v>44501</c:v>
                </c:pt>
                <c:pt idx="144" c:formatCode="m/d/yyyy;@">
                  <c:v>44508</c:v>
                </c:pt>
                <c:pt idx="145" c:formatCode="m/d/yyyy;@">
                  <c:v>44515</c:v>
                </c:pt>
                <c:pt idx="146" c:formatCode="m/d/yyyy;@">
                  <c:v>44522</c:v>
                </c:pt>
                <c:pt idx="147" c:formatCode="m/d/yyyy;@">
                  <c:v>44529</c:v>
                </c:pt>
                <c:pt idx="148" c:formatCode="m/d/yyyy;@">
                  <c:v>44536</c:v>
                </c:pt>
                <c:pt idx="149" c:formatCode="m/d/yyyy;@">
                  <c:v>44543</c:v>
                </c:pt>
                <c:pt idx="150" c:formatCode="m/d/yyyy;@">
                  <c:v>44550</c:v>
                </c:pt>
                <c:pt idx="151" c:formatCode="m/d/yyyy;@">
                  <c:v>44557</c:v>
                </c:pt>
                <c:pt idx="152" c:formatCode="m/d/yyyy;@">
                  <c:v>44564</c:v>
                </c:pt>
                <c:pt idx="153" c:formatCode="m/d/yyyy;@">
                  <c:v>44571</c:v>
                </c:pt>
                <c:pt idx="154" c:formatCode="m/d/yyyy;@">
                  <c:v>44578</c:v>
                </c:pt>
                <c:pt idx="155" c:formatCode="m/d/yyyy;@">
                  <c:v>44585</c:v>
                </c:pt>
                <c:pt idx="156" c:formatCode="m/d/yyyy;@">
                  <c:v>44599</c:v>
                </c:pt>
                <c:pt idx="157" c:formatCode="m/d/yyyy;@">
                  <c:v>44606</c:v>
                </c:pt>
                <c:pt idx="158" c:formatCode="m/d/yyyy;@">
                  <c:v>44613</c:v>
                </c:pt>
                <c:pt idx="159" c:formatCode="m/d/yyyy;@">
                  <c:v>44620</c:v>
                </c:pt>
                <c:pt idx="160" c:formatCode="m/d/yyyy;@">
                  <c:v>44627</c:v>
                </c:pt>
                <c:pt idx="161" c:formatCode="m/d/yyyy;@">
                  <c:v>44634</c:v>
                </c:pt>
                <c:pt idx="162" c:formatCode="m/d/yyyy;@">
                  <c:v>44641</c:v>
                </c:pt>
                <c:pt idx="163" c:formatCode="m/d/yyyy;@">
                  <c:v>44648</c:v>
                </c:pt>
                <c:pt idx="164" c:formatCode="m/d/yyyy;@">
                  <c:v>44657</c:v>
                </c:pt>
                <c:pt idx="165" c:formatCode="m/d/yyyy;@">
                  <c:v>44662</c:v>
                </c:pt>
                <c:pt idx="166" c:formatCode="m/d/yyyy;@">
                  <c:v>44669</c:v>
                </c:pt>
                <c:pt idx="167" c:formatCode="m/d/yyyy;@">
                  <c:v>44676</c:v>
                </c:pt>
                <c:pt idx="168" c:formatCode="m/d/yyyy;@">
                  <c:v>44684</c:v>
                </c:pt>
                <c:pt idx="169" c:formatCode="m/d/yyyy;@">
                  <c:v>44690</c:v>
                </c:pt>
                <c:pt idx="170" c:formatCode="m/d/yyyy;@">
                  <c:v>44697</c:v>
                </c:pt>
                <c:pt idx="171" c:formatCode="m/d/yyyy;@">
                  <c:v>44704</c:v>
                </c:pt>
                <c:pt idx="172" c:formatCode="m/d/yyyy;@">
                  <c:v>44711</c:v>
                </c:pt>
                <c:pt idx="173" c:formatCode="m/d/yyyy;@">
                  <c:v>44718</c:v>
                </c:pt>
                <c:pt idx="174" c:formatCode="m/d/yyyy;@">
                  <c:v>44725</c:v>
                </c:pt>
                <c:pt idx="175" c:formatCode="m/d/yyyy;@">
                  <c:v>44732</c:v>
                </c:pt>
                <c:pt idx="176" c:formatCode="m/d/yyyy;@">
                  <c:v>44739</c:v>
                </c:pt>
                <c:pt idx="177" c:formatCode="m/d/yyyy;@">
                  <c:v>44746</c:v>
                </c:pt>
                <c:pt idx="178" c:formatCode="m/d/yyyy;@">
                  <c:v>44753</c:v>
                </c:pt>
                <c:pt idx="179" c:formatCode="m/d/yyyy;@">
                  <c:v>44760</c:v>
                </c:pt>
                <c:pt idx="180" c:formatCode="m/d/yyyy;@">
                  <c:v>44767</c:v>
                </c:pt>
                <c:pt idx="181" c:formatCode="m/d/yyyy;@">
                  <c:v>44774</c:v>
                </c:pt>
                <c:pt idx="182" c:formatCode="m/d/yyyy;@">
                  <c:v>44781</c:v>
                </c:pt>
                <c:pt idx="183" c:formatCode="m/d/yyyy;@">
                  <c:v>44788</c:v>
                </c:pt>
                <c:pt idx="184" c:formatCode="m/d/yyyy;@">
                  <c:v>44795</c:v>
                </c:pt>
                <c:pt idx="185" c:formatCode="m/d/yyyy;@">
                  <c:v>44802</c:v>
                </c:pt>
                <c:pt idx="186" c:formatCode="m/d/yyyy;@">
                  <c:v>44809</c:v>
                </c:pt>
                <c:pt idx="187" c:formatCode="m/d/yyyy;@">
                  <c:v>44816</c:v>
                </c:pt>
                <c:pt idx="188" c:formatCode="m/d/yyyy;@">
                  <c:v>44823</c:v>
                </c:pt>
                <c:pt idx="189" c:formatCode="m/d/yyyy;@">
                  <c:v>44830</c:v>
                </c:pt>
                <c:pt idx="190" c:formatCode="m/d/yyyy;@">
                  <c:v>44837</c:v>
                </c:pt>
                <c:pt idx="191" c:formatCode="m/d/yyyy;@">
                  <c:v>44844</c:v>
                </c:pt>
                <c:pt idx="192" c:formatCode="m/d/yyyy;@">
                  <c:v>44851</c:v>
                </c:pt>
                <c:pt idx="193" c:formatCode="m/d/yyyy;@">
                  <c:v>44858</c:v>
                </c:pt>
                <c:pt idx="194" c:formatCode="m/d/yyyy;@">
                  <c:v>44865</c:v>
                </c:pt>
                <c:pt idx="195" c:formatCode="m/d/yyyy;@">
                  <c:v>44872</c:v>
                </c:pt>
                <c:pt idx="196" c:formatCode="m/d/yyyy;@">
                  <c:v>44879</c:v>
                </c:pt>
                <c:pt idx="197" c:formatCode="m/d/yyyy;@">
                  <c:v>44886</c:v>
                </c:pt>
                <c:pt idx="198" c:formatCode="m/d/yyyy;@">
                  <c:v>44893</c:v>
                </c:pt>
                <c:pt idx="199" c:formatCode="m/d/yyyy;@">
                  <c:v>44900</c:v>
                </c:pt>
                <c:pt idx="200" c:formatCode="m/d/yyyy;@">
                  <c:v>44907</c:v>
                </c:pt>
                <c:pt idx="201" c:formatCode="m/d/yyyy;@">
                  <c:v>44914</c:v>
                </c:pt>
                <c:pt idx="202" c:formatCode="m/d/yyyy;@">
                  <c:v>44921</c:v>
                </c:pt>
                <c:pt idx="203" c:formatCode="m/d/yyyy;@">
                  <c:v>44928</c:v>
                </c:pt>
                <c:pt idx="204" c:formatCode="m/d/yyyy;@">
                  <c:v>44935</c:v>
                </c:pt>
                <c:pt idx="205" c:formatCode="m/d/yyyy;@">
                  <c:v>44942</c:v>
                </c:pt>
                <c:pt idx="206" c:formatCode="m/d/yyyy;@">
                  <c:v>44956</c:v>
                </c:pt>
                <c:pt idx="207" c:formatCode="m/d/yyyy;@">
                  <c:v>44963</c:v>
                </c:pt>
                <c:pt idx="208" c:formatCode="m/d/yyyy;@">
                  <c:v>44970</c:v>
                </c:pt>
                <c:pt idx="209" c:formatCode="m/d/yyyy;@">
                  <c:v>44977</c:v>
                </c:pt>
                <c:pt idx="210" c:formatCode="m/d/yyyy;@">
                  <c:v>44984</c:v>
                </c:pt>
                <c:pt idx="211" c:formatCode="m/d/yyyy;@">
                  <c:v>44991</c:v>
                </c:pt>
                <c:pt idx="212" c:formatCode="m/d/yyyy;@">
                  <c:v>44998</c:v>
                </c:pt>
                <c:pt idx="213" c:formatCode="m/d/yyyy;@">
                  <c:v>45005</c:v>
                </c:pt>
                <c:pt idx="214" c:formatCode="m/d/yyyy;@">
                  <c:v>45012</c:v>
                </c:pt>
                <c:pt idx="215" c:formatCode="m/d/yyyy;@">
                  <c:v>45019</c:v>
                </c:pt>
                <c:pt idx="216" c:formatCode="m/d/yyyy;@">
                  <c:v>45026</c:v>
                </c:pt>
                <c:pt idx="217" c:formatCode="m/d/yyyy;@">
                  <c:v>45033</c:v>
                </c:pt>
                <c:pt idx="218" c:formatCode="m/d/yyyy;@">
                  <c:v>45040</c:v>
                </c:pt>
                <c:pt idx="219" c:formatCode="m/d/yyyy;@">
                  <c:v>45047</c:v>
                </c:pt>
                <c:pt idx="220" c:formatCode="m/d/yyyy;@">
                  <c:v>45054</c:v>
                </c:pt>
                <c:pt idx="221" c:formatCode="m/d/yyyy;@">
                  <c:v>45061</c:v>
                </c:pt>
                <c:pt idx="222" c:formatCode="m/d/yyyy;@">
                  <c:v>45068</c:v>
                </c:pt>
                <c:pt idx="223" c:formatCode="m/d/yyyy;@">
                  <c:v>45075</c:v>
                </c:pt>
                <c:pt idx="224" c:formatCode="m/d/yyyy;@">
                  <c:v>45082</c:v>
                </c:pt>
                <c:pt idx="225" c:formatCode="m/d/yyyy;@">
                  <c:v>45089</c:v>
                </c:pt>
                <c:pt idx="226" c:formatCode="m/d/yyyy;@">
                  <c:v>45096</c:v>
                </c:pt>
                <c:pt idx="227" c:formatCode="m/d/yyyy;@">
                  <c:v>45103</c:v>
                </c:pt>
                <c:pt idx="228" c:formatCode="m/d/yyyy;@">
                  <c:v>45110</c:v>
                </c:pt>
                <c:pt idx="229" c:formatCode="m/d/yyyy;@">
                  <c:v>45117</c:v>
                </c:pt>
                <c:pt idx="230" c:formatCode="m/d/yyyy;@">
                  <c:v>45124</c:v>
                </c:pt>
                <c:pt idx="231" c:formatCode="m/d/yyyy;@">
                  <c:v>45131</c:v>
                </c:pt>
                <c:pt idx="232" c:formatCode="m/d/yyyy;@">
                  <c:v>45138</c:v>
                </c:pt>
                <c:pt idx="233" c:formatCode="m/d/yyyy;@">
                  <c:v>45145</c:v>
                </c:pt>
                <c:pt idx="234" c:formatCode="m/d/yyyy;@">
                  <c:v>45152</c:v>
                </c:pt>
                <c:pt idx="235" c:formatCode="m/d/yyyy;@">
                  <c:v>45159</c:v>
                </c:pt>
                <c:pt idx="236" c:formatCode="m/d/yyyy;@">
                  <c:v>45166</c:v>
                </c:pt>
                <c:pt idx="237" c:formatCode="m/d/yyyy;@">
                  <c:v>45173</c:v>
                </c:pt>
                <c:pt idx="238" c:formatCode="m/d/yyyy;@">
                  <c:v>45180</c:v>
                </c:pt>
                <c:pt idx="239" c:formatCode="m/d/yyyy;@">
                  <c:v>45187</c:v>
                </c:pt>
                <c:pt idx="240" c:formatCode="m/d/yyyy;@">
                  <c:v>45194</c:v>
                </c:pt>
                <c:pt idx="241" c:formatCode="m/d/yyyy;@">
                  <c:v>45201</c:v>
                </c:pt>
                <c:pt idx="242" c:formatCode="m/d/yyyy;@">
                  <c:v>45208</c:v>
                </c:pt>
                <c:pt idx="243" c:formatCode="m/d/yyyy;@">
                  <c:v>45215</c:v>
                </c:pt>
                <c:pt idx="244" c:formatCode="m/d/yyyy;@">
                  <c:v>45222</c:v>
                </c:pt>
                <c:pt idx="245" c:formatCode="m/d/yyyy;@">
                  <c:v>45229</c:v>
                </c:pt>
                <c:pt idx="246" c:formatCode="m/d/yyyy;@">
                  <c:v>45236</c:v>
                </c:pt>
                <c:pt idx="247" c:formatCode="m/d/yyyy;@">
                  <c:v>45243</c:v>
                </c:pt>
                <c:pt idx="248" c:formatCode="m/d/yyyy;@">
                  <c:v>45250</c:v>
                </c:pt>
                <c:pt idx="249" c:formatCode="m/d/yyyy;@">
                  <c:v>45257</c:v>
                </c:pt>
                <c:pt idx="250" c:formatCode="m/d/yyyy;@">
                  <c:v>45264</c:v>
                </c:pt>
                <c:pt idx="251" c:formatCode="m/d/yyyy;@">
                  <c:v>45271</c:v>
                </c:pt>
                <c:pt idx="252" c:formatCode="m/d/yyyy;@">
                  <c:v>45278</c:v>
                </c:pt>
                <c:pt idx="253" c:formatCode="m/d/yyyy;@">
                  <c:v>45285</c:v>
                </c:pt>
                <c:pt idx="254" c:formatCode="m/d/yyyy;@">
                  <c:v>45292</c:v>
                </c:pt>
                <c:pt idx="255" c:formatCode="m/d/yyyy;@">
                  <c:v>45299</c:v>
                </c:pt>
                <c:pt idx="256" c:formatCode="m/d/yyyy;@">
                  <c:v>45306</c:v>
                </c:pt>
                <c:pt idx="257" c:formatCode="m/d/yyyy;@">
                  <c:v>45313</c:v>
                </c:pt>
                <c:pt idx="258" c:formatCode="m/d/yyyy;@">
                  <c:v>45320</c:v>
                </c:pt>
                <c:pt idx="259" c:formatCode="m/d/yyyy;@">
                  <c:v>45327</c:v>
                </c:pt>
                <c:pt idx="260" c:formatCode="m/d/yyyy;@">
                  <c:v>45334</c:v>
                </c:pt>
                <c:pt idx="261" c:formatCode="m/d/yyyy;@">
                  <c:v>45341</c:v>
                </c:pt>
                <c:pt idx="262" c:formatCode="m/d/yyyy;@">
                  <c:v>45348</c:v>
                </c:pt>
                <c:pt idx="263" c:formatCode="m/d/yyyy;@">
                  <c:v>45355</c:v>
                </c:pt>
                <c:pt idx="264" c:formatCode="m/d/yyyy;@">
                  <c:v>45362</c:v>
                </c:pt>
                <c:pt idx="265" c:formatCode="m/d/yyyy;@">
                  <c:v>45369</c:v>
                </c:pt>
                <c:pt idx="266" c:formatCode="m/d/yyyy;@">
                  <c:v>45376</c:v>
                </c:pt>
                <c:pt idx="267" c:formatCode="m/d/yyyy;@">
                  <c:v>45383</c:v>
                </c:pt>
                <c:pt idx="268" c:formatCode="m/d/yyyy;@">
                  <c:v>45390</c:v>
                </c:pt>
                <c:pt idx="269" c:formatCode="m/d/yyyy;@">
                  <c:v>45397</c:v>
                </c:pt>
                <c:pt idx="270" c:formatCode="m/d/yyyy;@">
                  <c:v>45404</c:v>
                </c:pt>
                <c:pt idx="271" c:formatCode="m/d/yyyy;@">
                  <c:v>45411</c:v>
                </c:pt>
                <c:pt idx="272" c:formatCode="m/d/yyyy;@">
                  <c:v>45418</c:v>
                </c:pt>
                <c:pt idx="273" c:formatCode="m/d/yyyy;@">
                  <c:v>45425</c:v>
                </c:pt>
                <c:pt idx="274" c:formatCode="m/d/yyyy;@">
                  <c:v>45432</c:v>
                </c:pt>
                <c:pt idx="275" c:formatCode="m/d/yyyy;@">
                  <c:v>45439</c:v>
                </c:pt>
                <c:pt idx="276" c:formatCode="m/d/yyyy;@">
                  <c:v>45446</c:v>
                </c:pt>
                <c:pt idx="277" c:formatCode="m/d/yyyy;@">
                  <c:v>45454</c:v>
                </c:pt>
                <c:pt idx="278" c:formatCode="m/d/yyyy;@">
                  <c:v>45460</c:v>
                </c:pt>
                <c:pt idx="279" c:formatCode="m/d/yyyy;@">
                  <c:v>45467</c:v>
                </c:pt>
                <c:pt idx="280" c:formatCode="m/d/yyyy;@">
                  <c:v>45474</c:v>
                </c:pt>
                <c:pt idx="281" c:formatCode="m/d/yyyy;@">
                  <c:v>45481</c:v>
                </c:pt>
                <c:pt idx="282" c:formatCode="m/d/yyyy;@">
                  <c:v>45488</c:v>
                </c:pt>
                <c:pt idx="283" c:formatCode="m/d/yyyy;@">
                  <c:v>45495</c:v>
                </c:pt>
                <c:pt idx="284" c:formatCode="m/d/yyyy;@">
                  <c:v>45502</c:v>
                </c:pt>
                <c:pt idx="285" c:formatCode="m/d/yyyy;@">
                  <c:v>45509</c:v>
                </c:pt>
                <c:pt idx="286" c:formatCode="m/d/yyyy;@">
                  <c:v>45516</c:v>
                </c:pt>
                <c:pt idx="287" c:formatCode="m/d/yyyy;@">
                  <c:v>45523</c:v>
                </c:pt>
                <c:pt idx="288" c:formatCode="m/d/yyyy;@">
                  <c:v>45530</c:v>
                </c:pt>
                <c:pt idx="289" c:formatCode="m/d/yyyy;@">
                  <c:v>45537</c:v>
                </c:pt>
                <c:pt idx="290" c:formatCode="m/d/yyyy;@">
                  <c:v>45544</c:v>
                </c:pt>
                <c:pt idx="291" c:formatCode="m/d/yyyy;@">
                  <c:v>45551</c:v>
                </c:pt>
                <c:pt idx="292" c:formatCode="m/d/yyyy;@">
                  <c:v>45558</c:v>
                </c:pt>
                <c:pt idx="293" c:formatCode="m/d/yyyy;@">
                  <c:v>45565</c:v>
                </c:pt>
                <c:pt idx="294" c:formatCode="m/d/yyyy;@">
                  <c:v>45572</c:v>
                </c:pt>
                <c:pt idx="295" c:formatCode="m/d/yyyy;@">
                  <c:v>45579</c:v>
                </c:pt>
                <c:pt idx="296" c:formatCode="m/d/yyyy;@">
                  <c:v>45586</c:v>
                </c:pt>
                <c:pt idx="297" c:formatCode="m/d/yyyy;@">
                  <c:v>45593</c:v>
                </c:pt>
                <c:pt idx="298" c:formatCode="m/d/yyyy;@">
                  <c:v>45600</c:v>
                </c:pt>
                <c:pt idx="299" c:formatCode="m/d/yyyy;@">
                  <c:v>45607</c:v>
                </c:pt>
                <c:pt idx="300" c:formatCode="m/d/yyyy;@">
                  <c:v>45614</c:v>
                </c:pt>
                <c:pt idx="301" c:formatCode="m/d/yyyy;@">
                  <c:v>45621</c:v>
                </c:pt>
                <c:pt idx="302" c:formatCode="m/d/yyyy;@">
                  <c:v>45628</c:v>
                </c:pt>
                <c:pt idx="303" c:formatCode="m/d/yyyy;@">
                  <c:v>45635</c:v>
                </c:pt>
                <c:pt idx="304" c:formatCode="m/d/yyyy;@">
                  <c:v>45642</c:v>
                </c:pt>
                <c:pt idx="305" c:formatCode="m/d/yyyy;@">
                  <c:v>45649</c:v>
                </c:pt>
                <c:pt idx="306" c:formatCode="m/d/yyyy;@">
                  <c:v>45656</c:v>
                </c:pt>
                <c:pt idx="307" c:formatCode="m/d/yyyy;@">
                  <c:v>45663</c:v>
                </c:pt>
                <c:pt idx="308" c:formatCode="m/d/yyyy;@">
                  <c:v>45670</c:v>
                </c:pt>
                <c:pt idx="309" c:formatCode="m/d/yyyy;@">
                  <c:v>45677</c:v>
                </c:pt>
                <c:pt idx="310" c:formatCode="m/d/yyyy;@">
                  <c:v>45684</c:v>
                </c:pt>
                <c:pt idx="311" c:formatCode="m/d/yyyy;@">
                  <c:v>45691</c:v>
                </c:pt>
                <c:pt idx="312" c:formatCode="m/d/yyyy;@">
                  <c:v>45698</c:v>
                </c:pt>
                <c:pt idx="313" c:formatCode="m/d/yyyy;@">
                  <c:v>45705</c:v>
                </c:pt>
                <c:pt idx="314" c:formatCode="m/d/yyyy;@">
                  <c:v>45712</c:v>
                </c:pt>
                <c:pt idx="315" c:formatCode="m/d/yyyy;@">
                  <c:v>45719</c:v>
                </c:pt>
                <c:pt idx="316" c:formatCode="m/d/yyyy;@">
                  <c:v>45726</c:v>
                </c:pt>
                <c:pt idx="317" c:formatCode="m/d/yyyy;@">
                  <c:v>45733</c:v>
                </c:pt>
                <c:pt idx="318" c:formatCode="m/d/yyyy;@">
                  <c:v>45740</c:v>
                </c:pt>
                <c:pt idx="319" c:formatCode="m/d/yyyy;@">
                  <c:v>45747</c:v>
                </c:pt>
                <c:pt idx="320" c:formatCode="m/d/yyyy;@">
                  <c:v>45754</c:v>
                </c:pt>
                <c:pt idx="321" c:formatCode="m/d/yyyy;@">
                  <c:v>45761</c:v>
                </c:pt>
                <c:pt idx="322" c:formatCode="m/d/yyyy;@">
                  <c:v>45768</c:v>
                </c:pt>
                <c:pt idx="323" c:formatCode="m/d/yyyy;@">
                  <c:v>45775</c:v>
                </c:pt>
                <c:pt idx="324" c:formatCode="m/d/yyyy;@">
                  <c:v>45782</c:v>
                </c:pt>
                <c:pt idx="325" c:formatCode="m/d/yyyy;@">
                  <c:v>45789</c:v>
                </c:pt>
                <c:pt idx="326" c:formatCode="m/d/yyyy;@">
                  <c:v>45796</c:v>
                </c:pt>
                <c:pt idx="327" c:formatCode="m/d/yyyy;@">
                  <c:v>45803</c:v>
                </c:pt>
                <c:pt idx="328" c:formatCode="m/d/yyyy;@">
                  <c:v>45810</c:v>
                </c:pt>
                <c:pt idx="329" c:formatCode="m/d/yyyy;@">
                  <c:v>45817</c:v>
                </c:pt>
                <c:pt idx="330" c:formatCode="m/d/yyyy;@">
                  <c:v>45824</c:v>
                </c:pt>
                <c:pt idx="331" c:formatCode="m/d/yyyy;@">
                  <c:v>45831</c:v>
                </c:pt>
                <c:pt idx="332" c:formatCode="m/d/yyyy;@">
                  <c:v>45838</c:v>
                </c:pt>
                <c:pt idx="333" c:formatCode="m/d/yyyy;@">
                  <c:v>45845</c:v>
                </c:pt>
                <c:pt idx="334" c:formatCode="m/d/yyyy;@">
                  <c:v>45852</c:v>
                </c:pt>
                <c:pt idx="335" c:formatCode="m/d/yyyy;@">
                  <c:v>45859</c:v>
                </c:pt>
                <c:pt idx="336" c:formatCode="m/d/yyyy;@">
                  <c:v>45866</c:v>
                </c:pt>
                <c:pt idx="337" c:formatCode="m/d/yyyy;@">
                  <c:v>45873</c:v>
                </c:pt>
                <c:pt idx="338" c:formatCode="m/d/yyyy;@">
                  <c:v>45880</c:v>
                </c:pt>
                <c:pt idx="339" c:formatCode="m/d/yyyy;@">
                  <c:v>45887</c:v>
                </c:pt>
                <c:pt idx="340" c:formatCode="m/d/yyyy;@">
                  <c:v>45894</c:v>
                </c:pt>
                <c:pt idx="341" c:formatCode="m/d/yyyy;@">
                  <c:v>45901</c:v>
                </c:pt>
                <c:pt idx="342" c:formatCode="m/d/yyyy;@">
                  <c:v>45908</c:v>
                </c:pt>
                <c:pt idx="343" c:formatCode="m/d/yyyy;@">
                  <c:v>45915</c:v>
                </c:pt>
                <c:pt idx="344" c:formatCode="m/d/yyyy;@">
                  <c:v>45922</c:v>
                </c:pt>
                <c:pt idx="345" c:formatCode="m/d/yyyy;@">
                  <c:v>45929</c:v>
                </c:pt>
                <c:pt idx="346" c:formatCode="m/d/yyyy;@">
                  <c:v>45936</c:v>
                </c:pt>
                <c:pt idx="347" c:formatCode="m/d/yyyy;@">
                  <c:v>45943</c:v>
                </c:pt>
                <c:pt idx="348" c:formatCode="m/d/yyyy;@">
                  <c:v>45950</c:v>
                </c:pt>
                <c:pt idx="349" c:formatCode="m/d/yyyy;@">
                  <c:v>45957</c:v>
                </c:pt>
                <c:pt idx="350" c:formatCode="m/d/yyyy;@">
                  <c:v>45964</c:v>
                </c:pt>
                <c:pt idx="351" c:formatCode="m/d/yyyy;@">
                  <c:v>45971</c:v>
                </c:pt>
                <c:pt idx="352" c:formatCode="m/d/yyyy;@">
                  <c:v>45978</c:v>
                </c:pt>
                <c:pt idx="353" c:formatCode="m/d/yyyy;@">
                  <c:v>45985</c:v>
                </c:pt>
                <c:pt idx="354" c:formatCode="m/d/yyyy;@">
                  <c:v>45992</c:v>
                </c:pt>
                <c:pt idx="355" c:formatCode="m/d/yyyy;@">
                  <c:v>45999</c:v>
                </c:pt>
                <c:pt idx="356" c:formatCode="m/d/yyyy;@">
                  <c:v>46006</c:v>
                </c:pt>
                <c:pt idx="357" c:formatCode="m/d/yyyy;@">
                  <c:v>46013</c:v>
                </c:pt>
                <c:pt idx="358" c:formatCode="m/d/yyyy;@">
                  <c:v>46020</c:v>
                </c:pt>
                <c:pt idx="359" c:formatCode="m/d/yyyy;@">
                  <c:v>46027</c:v>
                </c:pt>
                <c:pt idx="360" c:formatCode="m/d/yyyy;@">
                  <c:v>46034</c:v>
                </c:pt>
                <c:pt idx="361" c:formatCode="m/d/yyyy;@">
                  <c:v>46041</c:v>
                </c:pt>
                <c:pt idx="362" c:formatCode="m/d/yyyy;@">
                  <c:v>46048</c:v>
                </c:pt>
                <c:pt idx="363" c:formatCode="m/d/yyyy;@">
                  <c:v>46055</c:v>
                </c:pt>
                <c:pt idx="364" c:formatCode="m/d/yyyy;@">
                  <c:v>46062</c:v>
                </c:pt>
                <c:pt idx="365" c:formatCode="m/d/yyyy;@">
                  <c:v>46076</c:v>
                </c:pt>
                <c:pt idx="366" c:formatCode="m/d/yyyy;@">
                  <c:v>46083</c:v>
                </c:pt>
                <c:pt idx="367" c:formatCode="m/d/yyyy;@">
                  <c:v>46090</c:v>
                </c:pt>
                <c:pt idx="368" c:formatCode="m/d/yyyy;@">
                  <c:v>46097</c:v>
                </c:pt>
                <c:pt idx="369" c:formatCode="m/d/yyyy;@">
                  <c:v>46104</c:v>
                </c:pt>
                <c:pt idx="370" c:formatCode="m/d/yyyy;@">
                  <c:v>46111</c:v>
                </c:pt>
                <c:pt idx="371" c:formatCode="m/d/yyyy;@">
                  <c:v>46119</c:v>
                </c:pt>
                <c:pt idx="372" c:formatCode="m/d/yyyy;@">
                  <c:v>46125</c:v>
                </c:pt>
                <c:pt idx="373" c:formatCode="m/d/yyyy;@">
                  <c:v>46132</c:v>
                </c:pt>
                <c:pt idx="374" c:formatCode="m/d/yyyy;@">
                  <c:v>46139</c:v>
                </c:pt>
                <c:pt idx="375" c:formatCode="m/d/yyyy;@">
                  <c:v>46146</c:v>
                </c:pt>
                <c:pt idx="376" c:formatCode="m/d/yyyy;@">
                  <c:v>46153</c:v>
                </c:pt>
                <c:pt idx="377" c:formatCode="m/d/yyyy;@">
                  <c:v>46160</c:v>
                </c:pt>
                <c:pt idx="378" c:formatCode="m/d/yyyy;@">
                  <c:v>46167</c:v>
                </c:pt>
                <c:pt idx="379" c:formatCode="m/d/yyyy;@">
                  <c:v>46174</c:v>
                </c:pt>
              </c:numCache>
            </c:numRef>
          </c:cat>
          <c:val>
            <c:numRef>
              <c:f>DRAM!$AW$29:$AW$500</c:f>
              <c:numCache>
                <c:formatCode>0.0</c:formatCode>
                <c:ptCount val="472"/>
                <c:pt idx="0">
                  <c:v>475</c:v>
                </c:pt>
                <c:pt idx="1">
                  <c:v>475</c:v>
                </c:pt>
                <c:pt idx="2">
                  <c:v>420</c:v>
                </c:pt>
                <c:pt idx="3">
                  <c:v>420</c:v>
                </c:pt>
                <c:pt idx="4">
                  <c:v>420</c:v>
                </c:pt>
                <c:pt idx="5">
                  <c:v>340</c:v>
                </c:pt>
                <c:pt idx="6">
                  <c:v>340</c:v>
                </c:pt>
                <c:pt idx="7">
                  <c:v>340</c:v>
                </c:pt>
                <c:pt idx="8">
                  <c:v>340</c:v>
                </c:pt>
                <c:pt idx="9">
                  <c:v>320</c:v>
                </c:pt>
                <c:pt idx="10">
                  <c:v>320</c:v>
                </c:pt>
                <c:pt idx="11">
                  <c:v>320</c:v>
                </c:pt>
                <c:pt idx="12">
                  <c:v>320</c:v>
                </c:pt>
                <c:pt idx="13">
                  <c:v>320</c:v>
                </c:pt>
                <c:pt idx="14">
                  <c:v>280</c:v>
                </c:pt>
                <c:pt idx="15">
                  <c:v>280</c:v>
                </c:pt>
                <c:pt idx="16">
                  <c:v>280</c:v>
                </c:pt>
                <c:pt idx="17">
                  <c:v>280</c:v>
                </c:pt>
                <c:pt idx="18">
                  <c:v>265</c:v>
                </c:pt>
                <c:pt idx="19">
                  <c:v>265</c:v>
                </c:pt>
                <c:pt idx="20">
                  <c:v>265</c:v>
                </c:pt>
                <c:pt idx="21">
                  <c:v>265</c:v>
                </c:pt>
                <c:pt idx="22">
                  <c:v>240</c:v>
                </c:pt>
                <c:pt idx="23">
                  <c:v>240</c:v>
                </c:pt>
                <c:pt idx="24">
                  <c:v>240</c:v>
                </c:pt>
                <c:pt idx="25">
                  <c:v>240</c:v>
                </c:pt>
                <c:pt idx="26">
                  <c:v>240</c:v>
                </c:pt>
                <c:pt idx="27">
                  <c:v>230</c:v>
                </c:pt>
                <c:pt idx="28">
                  <c:v>230</c:v>
                </c:pt>
                <c:pt idx="29">
                  <c:v>230</c:v>
                </c:pt>
                <c:pt idx="30">
                  <c:v>230</c:v>
                </c:pt>
                <c:pt idx="31">
                  <c:v>220</c:v>
                </c:pt>
                <c:pt idx="32">
                  <c:v>220</c:v>
                </c:pt>
                <c:pt idx="33">
                  <c:v>220</c:v>
                </c:pt>
                <c:pt idx="34">
                  <c:v>220</c:v>
                </c:pt>
                <c:pt idx="35">
                  <c:v>220</c:v>
                </c:pt>
                <c:pt idx="36">
                  <c:v>215</c:v>
                </c:pt>
                <c:pt idx="37">
                  <c:v>215</c:v>
                </c:pt>
                <c:pt idx="38">
                  <c:v>215</c:v>
                </c:pt>
                <c:pt idx="39">
                  <c:v>215</c:v>
                </c:pt>
                <c:pt idx="40">
                  <c:v>215</c:v>
                </c:pt>
                <c:pt idx="41">
                  <c:v>215</c:v>
                </c:pt>
                <c:pt idx="42">
                  <c:v>215</c:v>
                </c:pt>
                <c:pt idx="43">
                  <c:v>215</c:v>
                </c:pt>
                <c:pt idx="44">
                  <c:v>215</c:v>
                </c:pt>
                <c:pt idx="45">
                  <c:v>215</c:v>
                </c:pt>
                <c:pt idx="46">
                  <c:v>215</c:v>
                </c:pt>
                <c:pt idx="47">
                  <c:v>215</c:v>
                </c:pt>
                <c:pt idx="48">
                  <c:v>215</c:v>
                </c:pt>
                <c:pt idx="49">
                  <c:v>217</c:v>
                </c:pt>
                <c:pt idx="50">
                  <c:v>217</c:v>
                </c:pt>
                <c:pt idx="51">
                  <c:v>217</c:v>
                </c:pt>
                <c:pt idx="52">
                  <c:v>230.84</c:v>
                </c:pt>
                <c:pt idx="53">
                  <c:v>230.84</c:v>
                </c:pt>
                <c:pt idx="54">
                  <c:v>230.84</c:v>
                </c:pt>
                <c:pt idx="55">
                  <c:v>230.84</c:v>
                </c:pt>
                <c:pt idx="56">
                  <c:v>244.45</c:v>
                </c:pt>
                <c:pt idx="57">
                  <c:v>244.45</c:v>
                </c:pt>
                <c:pt idx="58">
                  <c:v>244.45</c:v>
                </c:pt>
                <c:pt idx="59">
                  <c:v>244.45</c:v>
                </c:pt>
                <c:pt idx="60">
                  <c:v>244.45</c:v>
                </c:pt>
                <c:pt idx="61">
                  <c:v>288</c:v>
                </c:pt>
                <c:pt idx="62">
                  <c:v>288</c:v>
                </c:pt>
                <c:pt idx="63">
                  <c:v>288</c:v>
                </c:pt>
                <c:pt idx="64">
                  <c:v>288</c:v>
                </c:pt>
                <c:pt idx="65">
                  <c:v>288</c:v>
                </c:pt>
                <c:pt idx="66">
                  <c:v>288</c:v>
                </c:pt>
                <c:pt idx="67">
                  <c:v>288</c:v>
                </c:pt>
                <c:pt idx="68">
                  <c:v>288</c:v>
                </c:pt>
                <c:pt idx="69">
                  <c:v>288</c:v>
                </c:pt>
                <c:pt idx="70">
                  <c:v>288</c:v>
                </c:pt>
                <c:pt idx="71">
                  <c:v>288</c:v>
                </c:pt>
                <c:pt idx="72">
                  <c:v>288</c:v>
                </c:pt>
                <c:pt idx="73">
                  <c:v>288</c:v>
                </c:pt>
                <c:pt idx="74">
                  <c:v>270</c:v>
                </c:pt>
                <c:pt idx="75">
                  <c:v>270</c:v>
                </c:pt>
                <c:pt idx="76">
                  <c:v>270</c:v>
                </c:pt>
                <c:pt idx="77">
                  <c:v>270</c:v>
                </c:pt>
                <c:pt idx="78">
                  <c:v>258</c:v>
                </c:pt>
                <c:pt idx="79">
                  <c:v>258</c:v>
                </c:pt>
                <c:pt idx="80">
                  <c:v>258</c:v>
                </c:pt>
                <c:pt idx="81">
                  <c:v>258</c:v>
                </c:pt>
                <c:pt idx="82">
                  <c:v>258</c:v>
                </c:pt>
                <c:pt idx="83">
                  <c:v>246</c:v>
                </c:pt>
                <c:pt idx="84">
                  <c:v>246</c:v>
                </c:pt>
                <c:pt idx="85">
                  <c:v>246</c:v>
                </c:pt>
                <c:pt idx="86">
                  <c:v>246</c:v>
                </c:pt>
                <c:pt idx="87">
                  <c:v>228</c:v>
                </c:pt>
                <c:pt idx="88">
                  <c:v>228</c:v>
                </c:pt>
                <c:pt idx="89">
                  <c:v>228</c:v>
                </c:pt>
                <c:pt idx="90">
                  <c:v>228</c:v>
                </c:pt>
                <c:pt idx="91">
                  <c:v>220</c:v>
                </c:pt>
                <c:pt idx="92">
                  <c:v>220</c:v>
                </c:pt>
                <c:pt idx="93">
                  <c:v>220</c:v>
                </c:pt>
                <c:pt idx="94">
                  <c:v>220</c:v>
                </c:pt>
                <c:pt idx="95">
                  <c:v>220</c:v>
                </c:pt>
                <c:pt idx="96">
                  <c:v>220</c:v>
                </c:pt>
                <c:pt idx="97">
                  <c:v>220</c:v>
                </c:pt>
                <c:pt idx="98">
                  <c:v>220</c:v>
                </c:pt>
                <c:pt idx="99">
                  <c:v>220</c:v>
                </c:pt>
                <c:pt idx="100">
                  <c:v>230</c:v>
                </c:pt>
                <c:pt idx="101">
                  <c:v>230</c:v>
                </c:pt>
                <c:pt idx="102">
                  <c:v>230</c:v>
                </c:pt>
                <c:pt idx="103">
                  <c:v>230</c:v>
                </c:pt>
                <c:pt idx="104">
                  <c:v>238</c:v>
                </c:pt>
                <c:pt idx="105">
                  <c:v>238</c:v>
                </c:pt>
                <c:pt idx="106">
                  <c:v>238</c:v>
                </c:pt>
                <c:pt idx="107">
                  <c:v>238</c:v>
                </c:pt>
                <c:pt idx="108">
                  <c:v>243.75</c:v>
                </c:pt>
                <c:pt idx="109">
                  <c:v>243.75</c:v>
                </c:pt>
                <c:pt idx="110">
                  <c:v>243.75</c:v>
                </c:pt>
                <c:pt idx="111">
                  <c:v>243.75</c:v>
                </c:pt>
                <c:pt idx="112">
                  <c:v>243.75</c:v>
                </c:pt>
                <c:pt idx="113">
                  <c:v>282.75</c:v>
                </c:pt>
                <c:pt idx="114">
                  <c:v>282.75</c:v>
                </c:pt>
                <c:pt idx="115">
                  <c:v>282.75</c:v>
                </c:pt>
                <c:pt idx="116">
                  <c:v>282.75</c:v>
                </c:pt>
                <c:pt idx="117">
                  <c:v>286.65</c:v>
                </c:pt>
                <c:pt idx="118">
                  <c:v>286.65</c:v>
                </c:pt>
                <c:pt idx="119">
                  <c:v>286.65</c:v>
                </c:pt>
                <c:pt idx="120">
                  <c:v>286.65</c:v>
                </c:pt>
                <c:pt idx="121">
                  <c:v>286.65</c:v>
                </c:pt>
                <c:pt idx="122">
                  <c:v>298.98</c:v>
                </c:pt>
                <c:pt idx="123">
                  <c:v>298.98</c:v>
                </c:pt>
                <c:pt idx="124">
                  <c:v>298.98</c:v>
                </c:pt>
                <c:pt idx="125">
                  <c:v>298.98</c:v>
                </c:pt>
                <c:pt idx="126">
                  <c:v>316.8</c:v>
                </c:pt>
                <c:pt idx="127">
                  <c:v>316.8</c:v>
                </c:pt>
                <c:pt idx="128">
                  <c:v>316.8</c:v>
                </c:pt>
                <c:pt idx="129">
                  <c:v>316.8</c:v>
                </c:pt>
                <c:pt idx="130">
                  <c:v>316.8</c:v>
                </c:pt>
                <c:pt idx="131">
                  <c:v>316.8</c:v>
                </c:pt>
                <c:pt idx="132">
                  <c:v>316.8</c:v>
                </c:pt>
                <c:pt idx="133">
                  <c:v>316.8</c:v>
                </c:pt>
                <c:pt idx="134">
                  <c:v>316.8</c:v>
                </c:pt>
                <c:pt idx="135">
                  <c:v>316.8</c:v>
                </c:pt>
                <c:pt idx="136">
                  <c:v>316.8</c:v>
                </c:pt>
                <c:pt idx="137">
                  <c:v>316.8</c:v>
                </c:pt>
                <c:pt idx="138">
                  <c:v>316.8</c:v>
                </c:pt>
                <c:pt idx="139">
                  <c:v>302.94</c:v>
                </c:pt>
                <c:pt idx="140">
                  <c:v>302.94</c:v>
                </c:pt>
                <c:pt idx="141">
                  <c:v>302.94</c:v>
                </c:pt>
                <c:pt idx="142">
                  <c:v>302.94</c:v>
                </c:pt>
                <c:pt idx="143">
                  <c:v>297.47</c:v>
                </c:pt>
                <c:pt idx="144">
                  <c:v>297.47</c:v>
                </c:pt>
                <c:pt idx="145">
                  <c:v>297.47</c:v>
                </c:pt>
                <c:pt idx="146">
                  <c:v>297.47</c:v>
                </c:pt>
                <c:pt idx="147">
                  <c:v>297.47</c:v>
                </c:pt>
                <c:pt idx="148">
                  <c:v>292.5</c:v>
                </c:pt>
                <c:pt idx="149">
                  <c:v>292.5</c:v>
                </c:pt>
                <c:pt idx="150">
                  <c:v>292.5</c:v>
                </c:pt>
                <c:pt idx="151">
                  <c:v>292.5</c:v>
                </c:pt>
                <c:pt idx="152">
                  <c:v>271.6</c:v>
                </c:pt>
                <c:pt idx="153">
                  <c:v>271.6</c:v>
                </c:pt>
                <c:pt idx="154">
                  <c:v>271.6</c:v>
                </c:pt>
                <c:pt idx="155">
                  <c:v>271.6</c:v>
                </c:pt>
                <c:pt idx="156">
                  <c:v>271.6</c:v>
                </c:pt>
                <c:pt idx="157">
                  <c:v>271.6</c:v>
                </c:pt>
                <c:pt idx="158">
                  <c:v>271.6</c:v>
                </c:pt>
                <c:pt idx="159">
                  <c:v>271.6</c:v>
                </c:pt>
                <c:pt idx="160">
                  <c:v>270</c:v>
                </c:pt>
                <c:pt idx="161">
                  <c:v>270</c:v>
                </c:pt>
                <c:pt idx="162">
                  <c:v>270</c:v>
                </c:pt>
                <c:pt idx="163">
                  <c:v>270</c:v>
                </c:pt>
                <c:pt idx="164">
                  <c:v>268</c:v>
                </c:pt>
                <c:pt idx="165">
                  <c:v>268</c:v>
                </c:pt>
                <c:pt idx="166">
                  <c:v>268</c:v>
                </c:pt>
                <c:pt idx="167">
                  <c:v>268</c:v>
                </c:pt>
                <c:pt idx="168">
                  <c:v>268</c:v>
                </c:pt>
                <c:pt idx="169">
                  <c:v>268</c:v>
                </c:pt>
                <c:pt idx="170">
                  <c:v>268</c:v>
                </c:pt>
                <c:pt idx="171">
                  <c:v>268</c:v>
                </c:pt>
                <c:pt idx="172">
                  <c:v>268</c:v>
                </c:pt>
                <c:pt idx="173">
                  <c:v>268</c:v>
                </c:pt>
                <c:pt idx="174">
                  <c:v>268</c:v>
                </c:pt>
                <c:pt idx="175">
                  <c:v>268</c:v>
                </c:pt>
                <c:pt idx="176">
                  <c:v>268</c:v>
                </c:pt>
                <c:pt idx="177">
                  <c:v>255</c:v>
                </c:pt>
                <c:pt idx="178">
                  <c:v>255</c:v>
                </c:pt>
                <c:pt idx="179">
                  <c:v>255</c:v>
                </c:pt>
                <c:pt idx="180">
                  <c:v>255</c:v>
                </c:pt>
                <c:pt idx="181">
                  <c:v>224</c:v>
                </c:pt>
                <c:pt idx="182">
                  <c:v>224</c:v>
                </c:pt>
                <c:pt idx="183">
                  <c:v>224</c:v>
                </c:pt>
                <c:pt idx="184">
                  <c:v>224</c:v>
                </c:pt>
                <c:pt idx="185">
                  <c:v>224</c:v>
                </c:pt>
                <c:pt idx="186">
                  <c:v>205</c:v>
                </c:pt>
                <c:pt idx="187">
                  <c:v>205</c:v>
                </c:pt>
                <c:pt idx="188">
                  <c:v>205</c:v>
                </c:pt>
                <c:pt idx="189">
                  <c:v>205</c:v>
                </c:pt>
                <c:pt idx="190">
                  <c:v>186</c:v>
                </c:pt>
                <c:pt idx="191">
                  <c:v>186</c:v>
                </c:pt>
                <c:pt idx="192">
                  <c:v>186</c:v>
                </c:pt>
                <c:pt idx="193">
                  <c:v>186</c:v>
                </c:pt>
                <c:pt idx="194">
                  <c:v>186</c:v>
                </c:pt>
                <c:pt idx="195">
                  <c:v>170</c:v>
                </c:pt>
                <c:pt idx="196">
                  <c:v>170</c:v>
                </c:pt>
                <c:pt idx="197">
                  <c:v>170</c:v>
                </c:pt>
                <c:pt idx="198">
                  <c:v>170</c:v>
                </c:pt>
                <c:pt idx="199">
                  <c:v>155</c:v>
                </c:pt>
                <c:pt idx="200">
                  <c:v>155</c:v>
                </c:pt>
                <c:pt idx="201">
                  <c:v>155</c:v>
                </c:pt>
                <c:pt idx="202">
                  <c:v>155</c:v>
                </c:pt>
                <c:pt idx="203">
                  <c:v>140</c:v>
                </c:pt>
                <c:pt idx="204">
                  <c:v>140</c:v>
                </c:pt>
                <c:pt idx="205">
                  <c:v>140</c:v>
                </c:pt>
                <c:pt idx="206">
                  <c:v>140</c:v>
                </c:pt>
                <c:pt idx="207">
                  <c:v>129</c:v>
                </c:pt>
                <c:pt idx="208">
                  <c:v>129</c:v>
                </c:pt>
                <c:pt idx="209">
                  <c:v>129</c:v>
                </c:pt>
                <c:pt idx="210" c:formatCode="_(* #,##0.0_);_(* \(#,##0.0\);_(* &quot;-&quot;??_);_(@_)">
                  <c:v>129</c:v>
                </c:pt>
                <c:pt idx="211" c:formatCode="_(* #,##0.0_);_(* \(#,##0.0\);_(* &quot;-&quot;??_);_(@_)">
                  <c:v>117</c:v>
                </c:pt>
                <c:pt idx="212" c:formatCode="_(* #,##0.0_);_(* \(#,##0.0\);_(* &quot;-&quot;??_);_(@_)">
                  <c:v>117</c:v>
                </c:pt>
                <c:pt idx="213" c:formatCode="_(* #,##0.0_);_(* \(#,##0.0\);_(* &quot;-&quot;??_);_(@_)">
                  <c:v>117</c:v>
                </c:pt>
                <c:pt idx="214" c:formatCode="_(* #,##0.0_);_(* \(#,##0.0\);_(* &quot;-&quot;??_);_(@_)">
                  <c:v>117</c:v>
                </c:pt>
                <c:pt idx="215" c:formatCode="_(* #,##0.0_);_(* \(#,##0.0\);_(* &quot;-&quot;??_);_(@_)">
                  <c:v>109</c:v>
                </c:pt>
                <c:pt idx="216" c:formatCode="_(* #,##0.0_);_(* \(#,##0.0\);_(* &quot;-&quot;??_);_(@_)">
                  <c:v>109</c:v>
                </c:pt>
                <c:pt idx="217" c:formatCode="_(* #,##0.0_);_(* \(#,##0.0\);_(* &quot;-&quot;??_);_(@_)">
                  <c:v>109</c:v>
                </c:pt>
                <c:pt idx="218" c:formatCode="_(* #,##0.0_);_(* \(#,##0.0\);_(* &quot;-&quot;??_);_(@_)">
                  <c:v>109</c:v>
                </c:pt>
                <c:pt idx="219" c:formatCode="_(* #,##0.0_);_(* \(#,##0.0\);_(* &quot;-&quot;??_);_(@_)">
                  <c:v>103</c:v>
                </c:pt>
                <c:pt idx="220" c:formatCode="_(* #,##0.0_);_(* \(#,##0.0\);_(* &quot;-&quot;??_);_(@_)">
                  <c:v>103</c:v>
                </c:pt>
                <c:pt idx="221" c:formatCode="_(* #,##0.0_);_(* \(#,##0.0\);_(* &quot;-&quot;??_);_(@_)">
                  <c:v>103</c:v>
                </c:pt>
                <c:pt idx="222" c:formatCode="_(* #,##0.0_);_(* \(#,##0.0\);_(* &quot;-&quot;??_);_(@_)">
                  <c:v>103</c:v>
                </c:pt>
                <c:pt idx="223" c:formatCode="_(* #,##0.0_);_(* \(#,##0.0\);_(* &quot;-&quot;??_);_(@_)">
                  <c:v>103</c:v>
                </c:pt>
                <c:pt idx="224" c:formatCode="_(* #,##0.0_);_(* \(#,##0.0\);_(* &quot;-&quot;??_);_(@_)">
                  <c:v>100</c:v>
                </c:pt>
                <c:pt idx="225" c:formatCode="_(* #,##0.0_);_(* \(#,##0.0\);_(* &quot;-&quot;??_);_(@_)">
                  <c:v>100</c:v>
                </c:pt>
                <c:pt idx="226" c:formatCode="_(* #,##0.0_);_(* \(#,##0.0\);_(* &quot;-&quot;??_);_(@_)">
                  <c:v>100</c:v>
                </c:pt>
                <c:pt idx="227" c:formatCode="_(* #,##0.0_);_(* \(#,##0.0\);_(* &quot;-&quot;??_);_(@_)">
                  <c:v>100</c:v>
                </c:pt>
                <c:pt idx="228" c:formatCode="_(* #,##0.0_);_(* \(#,##0.0\);_(* &quot;-&quot;??_);_(@_)">
                  <c:v>96</c:v>
                </c:pt>
                <c:pt idx="229" c:formatCode="_(* #,##0.0_);_(* \(#,##0.0\);_(* &quot;-&quot;??_);_(@_)">
                  <c:v>96</c:v>
                </c:pt>
                <c:pt idx="230" c:formatCode="_(* #,##0.0_);_(* \(#,##0.0\);_(* &quot;-&quot;??_);_(@_)">
                  <c:v>96</c:v>
                </c:pt>
                <c:pt idx="231" c:formatCode="_(* #,##0.0_);_(* \(#,##0.0\);_(* &quot;-&quot;??_);_(@_)">
                  <c:v>96</c:v>
                </c:pt>
                <c:pt idx="232" c:formatCode="_(* #,##0.0_);_(* \(#,##0.0\);_(* &quot;-&quot;??_);_(@_)">
                  <c:v>96</c:v>
                </c:pt>
                <c:pt idx="233" c:formatCode="_(* #,##0.0_);_(* \(#,##0.0\);_(* &quot;-&quot;??_);_(@_)">
                  <c:v>94</c:v>
                </c:pt>
                <c:pt idx="234" c:formatCode="_(* #,##0.0_);_(* \(#,##0.0\);_(* &quot;-&quot;??_);_(@_)">
                  <c:v>94</c:v>
                </c:pt>
                <c:pt idx="235" c:formatCode="_(* #,##0.0_);_(* \(#,##0.0\);_(* &quot;-&quot;??_);_(@_)">
                  <c:v>94</c:v>
                </c:pt>
                <c:pt idx="236" c:formatCode="_(* #,##0.0_);_(* \(#,##0.0\);_(* &quot;-&quot;??_);_(@_)">
                  <c:v>94</c:v>
                </c:pt>
                <c:pt idx="237" c:formatCode="_(* #,##0.0_);_(* \(#,##0.0\);_(* &quot;-&quot;??_);_(@_)">
                  <c:v>94</c:v>
                </c:pt>
                <c:pt idx="238" c:formatCode="_(* #,##0.0_);_(* \(#,##0.0\);_(* &quot;-&quot;??_);_(@_)">
                  <c:v>94</c:v>
                </c:pt>
                <c:pt idx="239" c:formatCode="_(* #,##0.0_);_(* \(#,##0.0\);_(* &quot;-&quot;??_);_(@_)">
                  <c:v>94</c:v>
                </c:pt>
                <c:pt idx="240" c:formatCode="_(* #,##0.0_);_(* \(#,##0.0\);_(* &quot;-&quot;??_);_(@_)">
                  <c:v>94</c:v>
                </c:pt>
                <c:pt idx="241" c:formatCode="_(* #,##0.0_);_(* \(#,##0.0\);_(* &quot;-&quot;??_);_(@_)">
                  <c:v>100</c:v>
                </c:pt>
                <c:pt idx="242" c:formatCode="_(* #,##0.0_);_(* \(#,##0.0\);_(* &quot;-&quot;??_);_(@_)">
                  <c:v>100</c:v>
                </c:pt>
                <c:pt idx="243" c:formatCode="_(* #,##0.0_);_(* \(#,##0.0\);_(* &quot;-&quot;??_);_(@_)">
                  <c:v>100</c:v>
                </c:pt>
                <c:pt idx="244" c:formatCode="_(* #,##0.0_);_(* \(#,##0.0\);_(* &quot;-&quot;??_);_(@_)">
                  <c:v>100</c:v>
                </c:pt>
                <c:pt idx="245" c:formatCode="_(* #,##0.0_);_(* \(#,##0.0\);_(* &quot;-&quot;??_);_(@_)">
                  <c:v>100</c:v>
                </c:pt>
                <c:pt idx="246" c:formatCode="_(* #,##0.0_);_(* \(#,##0.0\);_(* &quot;-&quot;??_);_(@_)">
                  <c:v>103</c:v>
                </c:pt>
                <c:pt idx="247" c:formatCode="_(* #,##0.0_);_(* \(#,##0.0\);_(* &quot;-&quot;??_);_(@_)">
                  <c:v>103</c:v>
                </c:pt>
                <c:pt idx="248" c:formatCode="_(* #,##0.0_);_(* \(#,##0.0\);_(* &quot;-&quot;??_);_(@_)">
                  <c:v>103</c:v>
                </c:pt>
                <c:pt idx="249" c:formatCode="_(* #,##0.0_);_(* \(#,##0.0\);_(* &quot;-&quot;??_);_(@_)">
                  <c:v>103</c:v>
                </c:pt>
                <c:pt idx="250" c:formatCode="_(* #,##0.0_);_(* \(#,##0.0\);_(* &quot;-&quot;??_);_(@_)">
                  <c:v>113</c:v>
                </c:pt>
                <c:pt idx="251" c:formatCode="_(* #,##0.0_);_(* \(#,##0.0\);_(* &quot;-&quot;??_);_(@_)">
                  <c:v>113</c:v>
                </c:pt>
                <c:pt idx="252" c:formatCode="_(* #,##0.0_);_(* \(#,##0.0\);_(* &quot;-&quot;??_);_(@_)">
                  <c:v>113</c:v>
                </c:pt>
                <c:pt idx="253" c:formatCode="_(* #,##0.0_);_(* \(#,##0.0\);_(* &quot;-&quot;??_);_(@_)">
                  <c:v>113</c:v>
                </c:pt>
                <c:pt idx="254" c:formatCode="_(* #,##0.0_);_(* \(#,##0.0\);_(* &quot;-&quot;??_);_(@_)">
                  <c:v>124</c:v>
                </c:pt>
                <c:pt idx="255" c:formatCode="_(* #,##0.0_);_(* \(#,##0.0\);_(* &quot;-&quot;??_);_(@_)">
                  <c:v>124</c:v>
                </c:pt>
                <c:pt idx="256" c:formatCode="_(* #,##0.0_);_(* \(#,##0.0\);_(* &quot;-&quot;??_);_(@_)">
                  <c:v>124</c:v>
                </c:pt>
                <c:pt idx="257" c:formatCode="_(* #,##0.0_);_(* \(#,##0.0\);_(* &quot;-&quot;??_);_(@_)">
                  <c:v>124</c:v>
                </c:pt>
                <c:pt idx="258" c:formatCode="_(* #,##0.0_);_(* \(#,##0.0\);_(* &quot;-&quot;??_);_(@_)">
                  <c:v>124</c:v>
                </c:pt>
                <c:pt idx="259" c:formatCode="_(* #,##0.0_);_(* \(#,##0.0\);_(* &quot;-&quot;??_);_(@_)">
                  <c:v>127</c:v>
                </c:pt>
                <c:pt idx="260" c:formatCode="_(* #,##0.0_);_(* \(#,##0.0\);_(* &quot;-&quot;??_);_(@_)">
                  <c:v>127</c:v>
                </c:pt>
                <c:pt idx="261" c:formatCode="_(* #,##0.0_);_(* \(#,##0.0\);_(* &quot;-&quot;??_);_(@_)">
                  <c:v>127</c:v>
                </c:pt>
                <c:pt idx="262" c:formatCode="_(* #,##0.0_);_(* \(#,##0.0\);_(* &quot;-&quot;??_);_(@_)">
                  <c:v>127</c:v>
                </c:pt>
                <c:pt idx="263" c:formatCode="_(* #,##0.0_);_(* \(#,##0.0\);_(* &quot;-&quot;??_);_(@_)">
                  <c:v>136</c:v>
                </c:pt>
                <c:pt idx="264" c:formatCode="_(* #,##0.0_);_(* \(#,##0.0\);_(* &quot;-&quot;??_);_(@_)">
                  <c:v>136</c:v>
                </c:pt>
                <c:pt idx="265" c:formatCode="_(* #,##0.0_);_(* \(#,##0.0\);_(* &quot;-&quot;??_);_(@_)">
                  <c:v>136</c:v>
                </c:pt>
                <c:pt idx="266" c:formatCode="_(* #,##0.0_);_(* \(#,##0.0\);_(* &quot;-&quot;??_);_(@_)">
                  <c:v>136</c:v>
                </c:pt>
                <c:pt idx="267" c:formatCode="_(* #,##0.0_);_(* \(#,##0.0\);_(* &quot;-&quot;??_);_(@_)">
                  <c:v>150</c:v>
                </c:pt>
                <c:pt idx="268" c:formatCode="_(* #,##0.0_);_(* \(#,##0.0\);_(* &quot;-&quot;??_);_(@_)">
                  <c:v>150</c:v>
                </c:pt>
                <c:pt idx="269" c:formatCode="_(* #,##0.0_);_(* \(#,##0.0\);_(* &quot;-&quot;??_);_(@_)">
                  <c:v>150</c:v>
                </c:pt>
                <c:pt idx="270" c:formatCode="_(* #,##0.0_);_(* \(#,##0.0\);_(* &quot;-&quot;??_);_(@_)">
                  <c:v>150</c:v>
                </c:pt>
                <c:pt idx="271" c:formatCode="_(* #,##0.0_);_(* \(#,##0.0\);_(* &quot;-&quot;??_);_(@_)">
                  <c:v>150</c:v>
                </c:pt>
                <c:pt idx="272" c:formatCode="_(* #,##0.0_);_(* \(#,##0.0\);_(* &quot;-&quot;??_);_(@_)">
                  <c:v>160</c:v>
                </c:pt>
                <c:pt idx="273" c:formatCode="_(* #,##0.0_);_(* \(#,##0.0\);_(* &quot;-&quot;??_);_(@_)">
                  <c:v>160</c:v>
                </c:pt>
                <c:pt idx="274" c:formatCode="_(* #,##0.0_);_(* \(#,##0.0\);_(* &quot;-&quot;??_);_(@_)">
                  <c:v>160</c:v>
                </c:pt>
                <c:pt idx="275" c:formatCode="_(* #,##0.0_);_(* \(#,##0.0\);_(* &quot;-&quot;??_);_(@_)">
                  <c:v>160</c:v>
                </c:pt>
                <c:pt idx="276" c:formatCode="_(* #,##0.0_);_(* \(#,##0.0\);_(* &quot;-&quot;??_);_(@_)">
                  <c:v>161.85</c:v>
                </c:pt>
                <c:pt idx="277" c:formatCode="_(* #,##0.0_);_(* \(#,##0.0\);_(* &quot;-&quot;??_);_(@_)">
                  <c:v>161.85</c:v>
                </c:pt>
                <c:pt idx="278" c:formatCode="_(* #,##0.0_);_(* \(#,##0.0\);_(* &quot;-&quot;??_);_(@_)">
                  <c:v>161.85</c:v>
                </c:pt>
                <c:pt idx="279" c:formatCode="_(* #,##0.0_);_(* \(#,##0.0\);_(* &quot;-&quot;??_);_(@_)">
                  <c:v>161.85</c:v>
                </c:pt>
                <c:pt idx="280" c:formatCode="_(* #,##0.0_);_(* \(#,##0.0\);_(* &quot;-&quot;??_);_(@_)">
                  <c:v>170.52</c:v>
                </c:pt>
                <c:pt idx="281" c:formatCode="_(* #,##0.0_);_(* \(#,##0.0\);_(* &quot;-&quot;??_);_(@_)">
                  <c:v>170.52</c:v>
                </c:pt>
                <c:pt idx="282" c:formatCode="_(* #,##0.0_);_(* \(#,##0.0\);_(* &quot;-&quot;??_);_(@_)">
                  <c:v>170.52</c:v>
                </c:pt>
                <c:pt idx="283" c:formatCode="_(* #,##0.0_);_(* \(#,##0.0\);_(* &quot;-&quot;??_);_(@_)">
                  <c:v>170.52</c:v>
                </c:pt>
                <c:pt idx="284" c:formatCode="_(* #,##0.0_);_(* \(#,##0.0\);_(* &quot;-&quot;??_);_(@_)">
                  <c:v>170.52</c:v>
                </c:pt>
                <c:pt idx="285" c:formatCode="_(* #,##0.0_);_(* \(#,##0.0\);_(* &quot;-&quot;??_);_(@_)">
                  <c:v>174</c:v>
                </c:pt>
                <c:pt idx="286" c:formatCode="_(* #,##0.0_);_(* \(#,##0.0\);_(* &quot;-&quot;??_);_(@_)">
                  <c:v>174</c:v>
                </c:pt>
                <c:pt idx="287" c:formatCode="_(* #,##0.0_);_(* \(#,##0.0\);_(* &quot;-&quot;??_);_(@_)">
                  <c:v>174</c:v>
                </c:pt>
                <c:pt idx="288" c:formatCode="_(* #,##0.0_);_(* \(#,##0.0\);_(* &quot;-&quot;??_);_(@_)">
                  <c:v>174</c:v>
                </c:pt>
                <c:pt idx="289" c:formatCode="_(* #,##0.0_);_(* \(#,##0.0\);_(* &quot;-&quot;??_);_(@_)">
                  <c:v>174</c:v>
                </c:pt>
                <c:pt idx="290" c:formatCode="_(* #,##0.0_);_(* \(#,##0.0\);_(* &quot;-&quot;??_);_(@_)">
                  <c:v>174</c:v>
                </c:pt>
                <c:pt idx="291" c:formatCode="_(* #,##0.0_);_(* \(#,##0.0\);_(* &quot;-&quot;??_);_(@_)">
                  <c:v>174</c:v>
                </c:pt>
                <c:pt idx="292" c:formatCode="_(* #,##0.0_);_(* \(#,##0.0\);_(* &quot;-&quot;??_);_(@_)">
                  <c:v>174</c:v>
                </c:pt>
                <c:pt idx="293" c:formatCode="_(* #,##0.0_);_(* \(#,##0.0\);_(* &quot;-&quot;??_);_(@_)">
                  <c:v>174</c:v>
                </c:pt>
                <c:pt idx="294" c:formatCode="_(* #,##0.0_);_(* \(#,##0.0\);_(* &quot;-&quot;??_);_(@_)">
                  <c:v>174</c:v>
                </c:pt>
                <c:pt idx="295" c:formatCode="_(* #,##0.0_);_(* \(#,##0.0\);_(* &quot;-&quot;??_);_(@_)">
                  <c:v>174</c:v>
                </c:pt>
                <c:pt idx="296" c:formatCode="_(* #,##0.0_);_(* \(#,##0.0\);_(* &quot;-&quot;??_);_(@_)">
                  <c:v>174</c:v>
                </c:pt>
                <c:pt idx="297" c:formatCode="_(* #,##0.0_);_(* \(#,##0.0\);_(* &quot;-&quot;??_);_(@_)">
                  <c:v>174</c:v>
                </c:pt>
                <c:pt idx="298" c:formatCode="_(* #,##0.0_);_(* \(#,##0.0\);_(* &quot;-&quot;??_);_(@_)">
                  <c:v>155</c:v>
                </c:pt>
                <c:pt idx="299" c:formatCode="_(* #,##0.0_);_(* \(#,##0.0\);_(* &quot;-&quot;??_);_(@_)">
                  <c:v>155</c:v>
                </c:pt>
                <c:pt idx="300" c:formatCode="_(* #,##0.0_);_(* \(#,##0.0\);_(* &quot;-&quot;??_);_(@_)">
                  <c:v>155</c:v>
                </c:pt>
                <c:pt idx="301" c:formatCode="_(* #,##0.0_);_(* \(#,##0.0\);_(* &quot;-&quot;??_);_(@_)">
                  <c:v>155</c:v>
                </c:pt>
                <c:pt idx="302" c:formatCode="_(* #,##0.0_);_(* \(#,##0.0\);_(* &quot;-&quot;??_);_(@_)">
                  <c:v>150</c:v>
                </c:pt>
                <c:pt idx="303" c:formatCode="_(* #,##0.0_);_(* \(#,##0.0\);_(* &quot;-&quot;??_);_(@_)">
                  <c:v>150</c:v>
                </c:pt>
                <c:pt idx="304" c:formatCode="_(* #,##0.0_);_(* \(#,##0.0\);_(* &quot;-&quot;??_);_(@_)">
                  <c:v>150</c:v>
                </c:pt>
                <c:pt idx="305" c:formatCode="_(* #,##0.0_);_(* \(#,##0.0\);_(* &quot;-&quot;??_);_(@_)">
                  <c:v>150</c:v>
                </c:pt>
                <c:pt idx="306" c:formatCode="_(* #,##0.0_);_(* \(#,##0.0\);_(* &quot;-&quot;??_);_(@_)">
                  <c:v>150</c:v>
                </c:pt>
                <c:pt idx="307" c:formatCode="_(* #,##0.0_);_(* \(#,##0.0\);_(* &quot;-&quot;??_);_(@_)">
                  <c:v>145</c:v>
                </c:pt>
                <c:pt idx="308" c:formatCode="_(* #,##0.0_);_(* \(#,##0.0\);_(* &quot;-&quot;??_);_(@_)">
                  <c:v>145</c:v>
                </c:pt>
                <c:pt idx="309" c:formatCode="_(* #,##0.0_);_(* \(#,##0.0\);_(* &quot;-&quot;??_);_(@_)">
                  <c:v>145</c:v>
                </c:pt>
                <c:pt idx="310" c:formatCode="_(* #,##0.0_);_(* \(#,##0.0\);_(* &quot;-&quot;??_);_(@_)">
                  <c:v>145</c:v>
                </c:pt>
                <c:pt idx="311" c:formatCode="_(* #,##0.0_);_(* \(#,##0.0\);_(* &quot;-&quot;??_);_(@_)">
                  <c:v>140</c:v>
                </c:pt>
                <c:pt idx="312" c:formatCode="_(* #,##0.0_);_(* \(#,##0.0\);_(* &quot;-&quot;??_);_(@_)">
                  <c:v>140</c:v>
                </c:pt>
                <c:pt idx="313" c:formatCode="_(* #,##0.0_);_(* \(#,##0.0\);_(* &quot;-&quot;??_);_(@_)">
                  <c:v>140</c:v>
                </c:pt>
                <c:pt idx="314" c:formatCode="_(* #,##0.0_);_(* \(#,##0.0\);_(* &quot;-&quot;??_);_(@_)">
                  <c:v>140</c:v>
                </c:pt>
                <c:pt idx="315" c:formatCode="_(* #,##0.0_);_(* \(#,##0.0\);_(* &quot;-&quot;??_);_(@_)">
                  <c:v>140</c:v>
                </c:pt>
                <c:pt idx="316" c:formatCode="_(* #,##0.0_);_(* \(#,##0.0\);_(* &quot;-&quot;??_);_(@_)">
                  <c:v>140</c:v>
                </c:pt>
                <c:pt idx="317" c:formatCode="_(* #,##0.0_);_(* \(#,##0.0\);_(* &quot;-&quot;??_);_(@_)">
                  <c:v>140</c:v>
                </c:pt>
                <c:pt idx="318" c:formatCode="_(* #,##0.0_);_(* \(#,##0.0\);_(* &quot;-&quot;??_);_(@_)">
                  <c:v>140</c:v>
                </c:pt>
                <c:pt idx="319" c:formatCode="_(* #,##0.0_);_(* \(#,##0.0\);_(* &quot;-&quot;??_);_(@_)">
                  <c:v>140</c:v>
                </c:pt>
                <c:pt idx="320" c:formatCode="_(* #,##0.0_);_(* \(#,##0.0\);_(* &quot;-&quot;??_);_(@_)">
                  <c:v>145</c:v>
                </c:pt>
                <c:pt idx="321" c:formatCode="_(* #,##0.0_);_(* \(#,##0.0\);_(* &quot;-&quot;??_);_(@_)">
                  <c:v>145</c:v>
                </c:pt>
                <c:pt idx="322" c:formatCode="_(* #,##0.0_);_(* \(#,##0.0\);_(* &quot;-&quot;??_);_(@_)">
                  <c:v>145</c:v>
                </c:pt>
                <c:pt idx="323" c:formatCode="_(* #,##0.0_);_(* \(#,##0.0\);_(* &quot;-&quot;??_);_(@_)">
                  <c:v>145</c:v>
                </c:pt>
                <c:pt idx="324" c:formatCode="_(* #,##0.0_);_(* \(#,##0.0\);_(* &quot;-&quot;??_);_(@_)">
                  <c:v>170</c:v>
                </c:pt>
                <c:pt idx="325" c:formatCode="_(* #,##0.0_);_(* \(#,##0.0\);_(* &quot;-&quot;??_);_(@_)">
                  <c:v>170</c:v>
                </c:pt>
                <c:pt idx="326" c:formatCode="_(* #,##0.0_);_(* \(#,##0.0\);_(* &quot;-&quot;??_);_(@_)">
                  <c:v>170</c:v>
                </c:pt>
                <c:pt idx="327" c:formatCode="_(* #,##0.0_);_(* \(#,##0.0\);_(* &quot;-&quot;??_);_(@_)">
                  <c:v>170</c:v>
                </c:pt>
                <c:pt idx="328" c:formatCode="_(* #,##0.0_);_(* \(#,##0.0\);_(* &quot;-&quot;??_);_(@_)">
                  <c:v>210</c:v>
                </c:pt>
                <c:pt idx="329" c:formatCode="_(* #,##0.0_);_(* \(#,##0.0\);_(* &quot;-&quot;??_);_(@_)">
                  <c:v>210</c:v>
                </c:pt>
                <c:pt idx="330" c:formatCode="_(* #,##0.0_);_(* \(#,##0.0\);_(* &quot;-&quot;??_);_(@_)">
                  <c:v>210</c:v>
                </c:pt>
                <c:pt idx="331" c:formatCode="_(* #,##0.0_);_(* \(#,##0.0\);_(* &quot;-&quot;??_);_(@_)">
                  <c:v>210</c:v>
                </c:pt>
                <c:pt idx="332" c:formatCode="_(* #,##0.0_);_(* \(#,##0.0\);_(* &quot;-&quot;??_);_(@_)">
                  <c:v>210</c:v>
                </c:pt>
                <c:pt idx="333" c:formatCode="_(* #,##0.0_);_(* \(#,##0.0\);_(* &quot;-&quot;??_);_(@_)">
                  <c:v>225</c:v>
                </c:pt>
                <c:pt idx="334" c:formatCode="_(* #,##0.0_);_(* \(#,##0.0\);_(* &quot;-&quot;??_);_(@_)">
                  <c:v>225</c:v>
                </c:pt>
                <c:pt idx="335" c:formatCode="_(* #,##0.0_);_(* \(#,##0.0\);_(* &quot;-&quot;??_);_(@_)">
                  <c:v>225</c:v>
                </c:pt>
                <c:pt idx="336" c:formatCode="_(* #,##0.0_);_(* \(#,##0.0\);_(* &quot;-&quot;??_);_(@_)">
                  <c:v>225</c:v>
                </c:pt>
                <c:pt idx="337" c:formatCode="_(* #,##0.0_);_(* \(#,##0.0\);_(* &quot;-&quot;??_);_(@_)">
                  <c:v>230</c:v>
                </c:pt>
                <c:pt idx="338" c:formatCode="_(* #,##0.0_);_(* \(#,##0.0\);_(* &quot;-&quot;??_);_(@_)">
                  <c:v>230</c:v>
                </c:pt>
                <c:pt idx="339" c:formatCode="_(* #,##0.0_);_(* \(#,##0.0\);_(* &quot;-&quot;??_);_(@_)">
                  <c:v>230</c:v>
                </c:pt>
                <c:pt idx="340" c:formatCode="_(* #,##0.0_);_(* \(#,##0.0\);_(* &quot;-&quot;??_);_(@_)">
                  <c:v>230</c:v>
                </c:pt>
                <c:pt idx="341" c:formatCode="_(* #,##0.0_);_(* \(#,##0.0\);_(* &quot;-&quot;??_);_(@_)">
                  <c:v>235</c:v>
                </c:pt>
                <c:pt idx="342" c:formatCode="_(* #,##0.0_);_(* \(#,##0.0\);_(* &quot;-&quot;??_);_(@_)">
                  <c:v>235</c:v>
                </c:pt>
                <c:pt idx="343" c:formatCode="_(* #,##0.0_);_(* \(#,##0.0\);_(* &quot;-&quot;??_);_(@_)">
                  <c:v>235</c:v>
                </c:pt>
                <c:pt idx="344" c:formatCode="_(* #,##0.0_);_(* \(#,##0.0\);_(* &quot;-&quot;??_);_(@_)">
                  <c:v>235</c:v>
                </c:pt>
                <c:pt idx="345" c:formatCode="_(* #,##0.0_);_(* \(#,##0.0\);_(* &quot;-&quot;??_);_(@_)">
                  <c:v>235</c:v>
                </c:pt>
                <c:pt idx="346" c:formatCode="_(* #,##0.0_);_(* \(#,##0.0\);_(* &quot;-&quot;??_);_(@_)">
                  <c:v>300</c:v>
                </c:pt>
                <c:pt idx="347" c:formatCode="_(* #,##0.0_);_(* \(#,##0.0\);_(* &quot;-&quot;??_);_(@_)">
                  <c:v>300</c:v>
                </c:pt>
                <c:pt idx="348" c:formatCode="_(* #,##0.0_);_(* \(#,##0.0\);_(* &quot;-&quot;??_);_(@_)">
                  <c:v>300</c:v>
                </c:pt>
                <c:pt idx="349" c:formatCode="_(* #,##0.0_);_(* \(#,##0.0\);_(* &quot;-&quot;??_);_(@_)">
                  <c:v>300</c:v>
                </c:pt>
                <c:pt idx="350" c:formatCode="_(* #,##0.0_);_(* \(#,##0.0\);_(* &quot;-&quot;??_);_(@_)">
                  <c:v>374</c:v>
                </c:pt>
                <c:pt idx="351" c:formatCode="_(* #,##0.0_);_(* \(#,##0.0\);_(* &quot;-&quot;??_);_(@_)">
                  <c:v>374</c:v>
                </c:pt>
                <c:pt idx="352" c:formatCode="_(* #,##0.0_);_(* \(#,##0.0\);_(* &quot;-&quot;??_);_(@_)">
                  <c:v>374</c:v>
                </c:pt>
                <c:pt idx="353" c:formatCode="_(* #,##0.0_);_(* \(#,##0.0\);_(* &quot;-&quot;??_);_(@_)">
                  <c:v>374</c:v>
                </c:pt>
                <c:pt idx="354" c:formatCode="_(* #,##0.0_);_(* \(#,##0.0\);_(* &quot;-&quot;??_);_(@_)">
                  <c:v>448</c:v>
                </c:pt>
                <c:pt idx="355" c:formatCode="_(* #,##0.0_);_(* \(#,##0.0\);_(* &quot;-&quot;??_);_(@_)">
                  <c:v>448</c:v>
                </c:pt>
                <c:pt idx="356" c:formatCode="_(* #,##0.0_);_(* \(#,##0.0\);_(* &quot;-&quot;??_);_(@_)">
                  <c:v>448</c:v>
                </c:pt>
                <c:pt idx="357" c:formatCode="_(* #,##0.0_);_(* \(#,##0.0\);_(* &quot;-&quot;??_);_(@_)">
                  <c:v>448</c:v>
                </c:pt>
                <c:pt idx="358" c:formatCode="_(* #,##0.0_);_(* \(#,##0.0\);_(* &quot;-&quot;??_);_(@_)">
                  <c:v>448</c:v>
                </c:pt>
                <c:pt idx="359" c:formatCode="_(* #,##0.0_);_(* \(#,##0.0\);_(* &quot;-&quot;??_);_(@_)">
                  <c:v>738</c:v>
                </c:pt>
                <c:pt idx="360" c:formatCode="_(* #,##0.0_);_(* \(#,##0.0\);_(* &quot;-&quot;??_);_(@_)">
                  <c:v>738</c:v>
                </c:pt>
                <c:pt idx="361" c:formatCode="_(* #,##0.0_);_(* \(#,##0.0\);_(* &quot;-&quot;??_);_(@_)">
                  <c:v>738</c:v>
                </c:pt>
                <c:pt idx="362" c:formatCode="_(* #,##0.0_);_(* \(#,##0.0\);_(* &quot;-&quot;??_);_(@_)">
                  <c:v>738</c:v>
                </c:pt>
                <c:pt idx="363" c:formatCode="_(* #,##0.0_);_(* \(#,##0.0\);_(* &quot;-&quot;??_);_(@_)">
                  <c:v>738</c:v>
                </c:pt>
                <c:pt idx="364" c:formatCode="_(* #,##0.0_);_(* \(#,##0.0\);_(* &quot;-&quot;??_);_(@_)">
                  <c:v>738</c:v>
                </c:pt>
                <c:pt idx="365" c:formatCode="_(* #,##0.0_);_(* \(#,##0.0\);_(* &quot;-&quot;??_);_(@_)">
                  <c:v>738</c:v>
                </c:pt>
                <c:pt idx="366" c:formatCode="_(* #,##0.0_);_(* \(#,##0.0\);_(* &quot;-&quot;??_);_(@_)">
                  <c:v>738</c:v>
                </c:pt>
                <c:pt idx="367" c:formatCode="_(* #,##0.0_);_(* \(#,##0.0\);_(* &quot;-&quot;??_);_(@_)">
                  <c:v>738</c:v>
                </c:pt>
                <c:pt idx="368" c:formatCode="_(* #,##0.0_);_(* \(#,##0.0\);_(* &quot;-&quot;??_);_(@_)">
                  <c:v>738</c:v>
                </c:pt>
                <c:pt idx="369" c:formatCode="_(* #,##0.0_);_(* \(#,##0.0\);_(* &quot;-&quot;??_);_(@_)">
                  <c:v>738</c:v>
                </c:pt>
                <c:pt idx="370" c:formatCode="_(* #,##0.0_);_(* \(#,##0.0\);_(* &quot;-&quot;??_);_(@_)">
                  <c:v>738</c:v>
                </c:pt>
                <c:pt idx="371" c:formatCode="_(* #,##0.0_);_(* \(#,##0.0\);_(* &quot;-&quot;??_);_(@_)">
                  <c:v>1127</c:v>
                </c:pt>
                <c:pt idx="372" c:formatCode="_(* #,##0.0_);_(* \(#,##0.0\);_(* &quot;-&quot;??_);_(@_)">
                  <c:v>1127</c:v>
                </c:pt>
                <c:pt idx="373" c:formatCode="_(* #,##0.0_);_(* \(#,##0.0\);_(* &quot;-&quot;??_);_(@_)">
                  <c:v>1127</c:v>
                </c:pt>
                <c:pt idx="374" c:formatCode="_(* #,##0.0_);_(* \(#,##0.0\);_(* &quot;-&quot;??_);_(@_)">
                  <c:v>1127</c:v>
                </c:pt>
                <c:pt idx="375" c:formatCode="_(* #,##0.0_);_(* \(#,##0.0\);_(* &quot;-&quot;??_);_(@_)">
                  <c:v>1127</c:v>
                </c:pt>
                <c:pt idx="376" c:formatCode="_(* #,##0.0_);_(* \(#,##0.0\);_(* &quot;-&quot;??_);_(@_)">
                  <c:v>1127</c:v>
                </c:pt>
                <c:pt idx="377" c:formatCode="_(* #,##0.0_);_(* \(#,##0.0\);_(* &quot;-&quot;??_);_(@_)">
                  <c:v>1127</c:v>
                </c:pt>
                <c:pt idx="378" c:formatCode="_(* #,##0.0_);_(* \(#,##0.0\);_(* &quot;-&quot;??_);_(@_)">
                  <c:v>1127</c:v>
                </c:pt>
                <c:pt idx="379" c:formatCode="_(* #,##0.0_);_(* \(#,##0.0\);_(* &quot;-&quot;??_);_(@_)">
                  <c:v>#N/A</c:v>
                </c:pt>
              </c:numCache>
            </c:numRef>
          </c:val>
          <c:smooth val="0"/>
        </c:ser>
        <c:dLbls>
          <c:showLegendKey val="0"/>
          <c:showVal val="0"/>
          <c:showCatName val="0"/>
          <c:showSerName val="0"/>
          <c:showPercent val="0"/>
          <c:showBubbleSize val="0"/>
        </c:dLbls>
        <c:marker val="0"/>
        <c:smooth val="0"/>
        <c:axId val="500746112"/>
        <c:axId val="500747648"/>
      </c:lineChart>
      <c:dateAx>
        <c:axId val="500746112"/>
        <c:scaling>
          <c:orientation val="minMax"/>
          <c:min val="43466"/>
        </c:scaling>
        <c:delete val="0"/>
        <c:axPos val="b"/>
        <c:majorGridlines>
          <c:spPr>
            <a:ln w="12700" cap="flat" cmpd="sng" algn="ctr">
              <a:solidFill>
                <a:schemeClr val="tx1">
                  <a:tint val="75000"/>
                </a:schemeClr>
              </a:solidFill>
              <a:prstDash val="dash"/>
              <a:round/>
            </a:ln>
          </c:spPr>
        </c:majorGridlines>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500747648"/>
        <c:crosses val="autoZero"/>
        <c:auto val="1"/>
        <c:lblOffset val="100"/>
        <c:baseTimeUnit val="days"/>
        <c:majorUnit val="3"/>
        <c:majorTimeUnit val="months"/>
      </c:dateAx>
      <c:valAx>
        <c:axId val="500747648"/>
        <c:scaling>
          <c:orientation val="minMax"/>
          <c:min val="0"/>
        </c:scaling>
        <c:delete val="0"/>
        <c:axPos val="l"/>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500746112"/>
        <c:crosses val="autoZero"/>
        <c:crossBetween val="between"/>
      </c:valAx>
      <c:catAx>
        <c:axId val="1502781071"/>
        <c:scaling>
          <c:orientation val="minMax"/>
        </c:scaling>
        <c:delete val="1"/>
        <c:axPos val="b"/>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307237183"/>
        <c:crosses val="autoZero"/>
        <c:auto val="1"/>
        <c:lblAlgn val="ctr"/>
        <c:lblOffset val="100"/>
        <c:noMultiLvlLbl val="0"/>
      </c:catAx>
      <c:valAx>
        <c:axId val="1307237183"/>
        <c:scaling>
          <c:orientation val="minMax"/>
          <c:max val="0.2"/>
          <c:min val="-0.2"/>
        </c:scaling>
        <c:delete val="1"/>
        <c:axPos val="r"/>
        <c:numFmt formatCode="0%" sourceLinked="0"/>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502781071"/>
        <c:crosses val="max"/>
        <c:crossBetween val="between"/>
        <c:majorUnit val="0.05"/>
      </c:valAx>
      <c:spPr>
        <a:noFill/>
        <a:ln w="25400">
          <a:noFill/>
        </a:ln>
      </c:spPr>
    </c:plotArea>
    <c:legend>
      <c:legendPos val="b"/>
      <c:legendEntry>
        <c:idx val="0"/>
        <c:delete val="1"/>
      </c:legendEntry>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61869c50-e2e4-4b25-a382-f28eed1cdbc1}"/>
      </c:ext>
    </c:extLst>
  </c:chart>
  <c:spPr>
    <a:solidFill>
      <a:srgbClr val="FFFFFF"/>
    </a:solidFill>
    <a:ln w="25400" cap="flat" cmpd="sng" algn="ctr">
      <a:solidFill>
        <a:srgbClr val="FFFFFF"/>
      </a:solidFill>
      <a:prstDash val="solid"/>
      <a:round/>
    </a:ln>
    <a:effectLst/>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sz="1000" b="1" i="0" baseline="0">
                <a:effectLst/>
              </a:rPr>
              <a:t>Specialty DRAM Chip (DDR4 4Gb) Contract Price &amp; MoM </a:t>
            </a:r>
            <a:endParaRPr lang="en-US" sz="1000">
              <a:effectLst/>
            </a:endParaRPr>
          </a:p>
        </c:rich>
      </c:tx>
      <c:layout/>
      <c:overlay val="0"/>
    </c:title>
    <c:autoTitleDeleted val="0"/>
    <c:plotArea>
      <c:layout>
        <c:manualLayout>
          <c:layoutTarget val="inner"/>
          <c:xMode val="edge"/>
          <c:yMode val="edge"/>
          <c:x val="0.0780066307501036"/>
          <c:y val="0.150623285558928"/>
          <c:w val="0.830614173228346"/>
          <c:h val="0.540750539693876"/>
        </c:manualLayout>
      </c:layout>
      <c:barChart>
        <c:barDir val="col"/>
        <c:grouping val="clustered"/>
        <c:varyColors val="0"/>
        <c:ser>
          <c:idx val="0"/>
          <c:order val="0"/>
          <c:tx>
            <c:strRef>
              <c:f>DRAM!$EA$25</c:f>
              <c:strCache>
                <c:ptCount val="1"/>
                <c:pt idx="0">
                  <c:v>Price</c:v>
                </c:pt>
              </c:strCache>
            </c:strRef>
          </c:tx>
          <c:spPr>
            <a:ln>
              <a:noFill/>
            </a:ln>
          </c:spPr>
          <c:invertIfNegative val="0"/>
          <c:dLbls>
            <c:delete val="1"/>
          </c:dLbls>
          <c:cat>
            <c:numRef>
              <c:f>DRAM!$BR$60:$BR$150</c:f>
              <c:numCache>
                <c:formatCode>[$-409]mmm\-yy;@</c:formatCode>
                <c:ptCount val="91"/>
                <c:pt idx="0" c:formatCode="[$-409]mmm\-yy;@">
                  <c:v>43496</c:v>
                </c:pt>
                <c:pt idx="1" c:formatCode="[$-409]mmm\-yy;@">
                  <c:v>43524</c:v>
                </c:pt>
                <c:pt idx="2" c:formatCode="[$-409]mmm\-yy;@">
                  <c:v>43555</c:v>
                </c:pt>
                <c:pt idx="3" c:formatCode="[$-409]mmm\-yy;@">
                  <c:v>43585</c:v>
                </c:pt>
                <c:pt idx="4" c:formatCode="[$-409]mmm\-yy;@">
                  <c:v>43616</c:v>
                </c:pt>
                <c:pt idx="5" c:formatCode="[$-409]mmm\-yy;@">
                  <c:v>43646</c:v>
                </c:pt>
                <c:pt idx="6" c:formatCode="[$-409]mmm\-yy;@">
                  <c:v>43677</c:v>
                </c:pt>
                <c:pt idx="7" c:formatCode="[$-409]mmm\-yy;@">
                  <c:v>43708</c:v>
                </c:pt>
                <c:pt idx="8" c:formatCode="[$-409]mmm\-yy;@">
                  <c:v>43738</c:v>
                </c:pt>
                <c:pt idx="9" c:formatCode="[$-409]mmm\-yy;@">
                  <c:v>43769</c:v>
                </c:pt>
                <c:pt idx="10" c:formatCode="[$-409]mmm\-yy;@">
                  <c:v>43799</c:v>
                </c:pt>
                <c:pt idx="11" c:formatCode="[$-409]mmm\-yy;@">
                  <c:v>43830</c:v>
                </c:pt>
                <c:pt idx="12" c:formatCode="[$-409]mmm\-yy;@">
                  <c:v>43861</c:v>
                </c:pt>
                <c:pt idx="13" c:formatCode="[$-409]mmm\-yy;@">
                  <c:v>43890</c:v>
                </c:pt>
                <c:pt idx="14" c:formatCode="[$-409]mmm\-yy;@">
                  <c:v>43921</c:v>
                </c:pt>
                <c:pt idx="15" c:formatCode="[$-409]mmm\-yy;@">
                  <c:v>43951</c:v>
                </c:pt>
                <c:pt idx="16" c:formatCode="[$-409]mmm\-yy;@">
                  <c:v>43982</c:v>
                </c:pt>
                <c:pt idx="17" c:formatCode="[$-409]mmm\-yy;@">
                  <c:v>44012</c:v>
                </c:pt>
                <c:pt idx="18" c:formatCode="[$-409]mmm\-yy;@">
                  <c:v>44043</c:v>
                </c:pt>
                <c:pt idx="19" c:formatCode="[$-409]mmm\-yy;@">
                  <c:v>44074</c:v>
                </c:pt>
                <c:pt idx="20" c:formatCode="[$-409]mmm\-yy;@">
                  <c:v>44104</c:v>
                </c:pt>
                <c:pt idx="21" c:formatCode="[$-409]mmm\-yy;@">
                  <c:v>44135</c:v>
                </c:pt>
                <c:pt idx="22" c:formatCode="[$-409]mmm\-yy;@">
                  <c:v>44165</c:v>
                </c:pt>
                <c:pt idx="23" c:formatCode="[$-409]mmm\-yy;@">
                  <c:v>44196</c:v>
                </c:pt>
                <c:pt idx="24" c:formatCode="[$-409]mmm\-yy;@">
                  <c:v>44227</c:v>
                </c:pt>
                <c:pt idx="25" c:formatCode="[$-409]mmm\-yy;@">
                  <c:v>44255</c:v>
                </c:pt>
                <c:pt idx="26" c:formatCode="[$-409]mmm\-yy;@">
                  <c:v>44286</c:v>
                </c:pt>
                <c:pt idx="27" c:formatCode="[$-409]mmm\-yy;@">
                  <c:v>44316</c:v>
                </c:pt>
                <c:pt idx="28" c:formatCode="[$-409]mmm\-yy;@">
                  <c:v>44347</c:v>
                </c:pt>
                <c:pt idx="29" c:formatCode="[$-409]mmm\-yy;@">
                  <c:v>44377</c:v>
                </c:pt>
                <c:pt idx="30" c:formatCode="[$-409]mmm\-yy;@">
                  <c:v>44408</c:v>
                </c:pt>
                <c:pt idx="31" c:formatCode="[$-409]mmm\-yy;@">
                  <c:v>44439</c:v>
                </c:pt>
                <c:pt idx="32" c:formatCode="[$-409]mmm\-yy;@">
                  <c:v>44469</c:v>
                </c:pt>
                <c:pt idx="33" c:formatCode="[$-409]mmm\-yy;@">
                  <c:v>44500</c:v>
                </c:pt>
                <c:pt idx="34" c:formatCode="[$-409]mmm\-yy;@">
                  <c:v>44530</c:v>
                </c:pt>
                <c:pt idx="35" c:formatCode="[$-409]mmm\-yy;@">
                  <c:v>44561</c:v>
                </c:pt>
                <c:pt idx="36" c:formatCode="[$-409]mmm\-yy;@">
                  <c:v>44592</c:v>
                </c:pt>
                <c:pt idx="37" c:formatCode="[$-409]mmm\-yy;@">
                  <c:v>44620</c:v>
                </c:pt>
                <c:pt idx="38" c:formatCode="[$-409]mmm\-yy;@">
                  <c:v>44651</c:v>
                </c:pt>
                <c:pt idx="39" c:formatCode="[$-409]mmm\-yy;@">
                  <c:v>44681</c:v>
                </c:pt>
                <c:pt idx="40" c:formatCode="[$-409]mmm\-yy;@">
                  <c:v>44712</c:v>
                </c:pt>
                <c:pt idx="41" c:formatCode="[$-409]mmm\-yy;@">
                  <c:v>44742</c:v>
                </c:pt>
                <c:pt idx="42" c:formatCode="[$-409]mmm\-yy;@">
                  <c:v>44773</c:v>
                </c:pt>
                <c:pt idx="43" c:formatCode="[$-409]mmm\-yy;@">
                  <c:v>44804</c:v>
                </c:pt>
                <c:pt idx="44" c:formatCode="[$-409]mmm\-yy;@">
                  <c:v>44834</c:v>
                </c:pt>
                <c:pt idx="45" c:formatCode="[$-409]mmm\-yy;@">
                  <c:v>44865</c:v>
                </c:pt>
                <c:pt idx="46" c:formatCode="[$-409]mmm\-yy;@">
                  <c:v>44895</c:v>
                </c:pt>
                <c:pt idx="47" c:formatCode="[$-409]mmm\-yy;@">
                  <c:v>44926</c:v>
                </c:pt>
                <c:pt idx="48" c:formatCode="[$-409]mmm\-yy;@">
                  <c:v>44957</c:v>
                </c:pt>
                <c:pt idx="49" c:formatCode="[$-409]mmm\-yy;@">
                  <c:v>44985</c:v>
                </c:pt>
                <c:pt idx="50" c:formatCode="[$-409]mmm\-yy;@">
                  <c:v>45016</c:v>
                </c:pt>
                <c:pt idx="51" c:formatCode="[$-409]mmm\-yy;@">
                  <c:v>45046</c:v>
                </c:pt>
                <c:pt idx="52" c:formatCode="[$-409]mmm\-yy;@">
                  <c:v>45077</c:v>
                </c:pt>
                <c:pt idx="53" c:formatCode="[$-409]mmm\-yy;@">
                  <c:v>45107</c:v>
                </c:pt>
                <c:pt idx="54" c:formatCode="[$-409]mmm\-yy;@">
                  <c:v>45138</c:v>
                </c:pt>
                <c:pt idx="55" c:formatCode="[$-409]mmm\-yy;@">
                  <c:v>45169</c:v>
                </c:pt>
                <c:pt idx="56" c:formatCode="[$-409]mmm\-yy;@">
                  <c:v>45199</c:v>
                </c:pt>
                <c:pt idx="57" c:formatCode="[$-409]mmm\-yy;@">
                  <c:v>45230</c:v>
                </c:pt>
                <c:pt idx="58" c:formatCode="[$-409]mmm\-yy;@">
                  <c:v>45260</c:v>
                </c:pt>
                <c:pt idx="59" c:formatCode="[$-409]mmm\-yy;@">
                  <c:v>45291</c:v>
                </c:pt>
                <c:pt idx="60" c:formatCode="[$-409]mmm\-yy;@">
                  <c:v>45322</c:v>
                </c:pt>
                <c:pt idx="61" c:formatCode="[$-409]mmm\-yy;@">
                  <c:v>45351</c:v>
                </c:pt>
                <c:pt idx="62" c:formatCode="[$-409]mmm\-yy;@">
                  <c:v>45382</c:v>
                </c:pt>
                <c:pt idx="63" c:formatCode="[$-409]mmm\-yy;@">
                  <c:v>45412</c:v>
                </c:pt>
                <c:pt idx="64" c:formatCode="[$-409]mmm\-yy;@">
                  <c:v>45443</c:v>
                </c:pt>
                <c:pt idx="65" c:formatCode="[$-409]mmm\-yy;@">
                  <c:v>45473</c:v>
                </c:pt>
                <c:pt idx="66" c:formatCode="[$-409]mmm\-yy;@">
                  <c:v>45504</c:v>
                </c:pt>
                <c:pt idx="67" c:formatCode="[$-409]mmm\-yy;@">
                  <c:v>45535</c:v>
                </c:pt>
                <c:pt idx="68" c:formatCode="[$-409]mmm\-yy;@">
                  <c:v>45565</c:v>
                </c:pt>
                <c:pt idx="69" c:formatCode="[$-409]mmm\-yy;@">
                  <c:v>45596</c:v>
                </c:pt>
                <c:pt idx="70" c:formatCode="[$-409]mmm\-yy;@">
                  <c:v>45626</c:v>
                </c:pt>
                <c:pt idx="71" c:formatCode="[$-409]mmm\-yy;@">
                  <c:v>45657</c:v>
                </c:pt>
                <c:pt idx="72" c:formatCode="[$-409]mmm\-yy;@">
                  <c:v>45688</c:v>
                </c:pt>
                <c:pt idx="73" c:formatCode="[$-409]mmm\-yy;@">
                  <c:v>45716</c:v>
                </c:pt>
                <c:pt idx="74" c:formatCode="[$-409]mmm\-yy;@">
                  <c:v>45747</c:v>
                </c:pt>
                <c:pt idx="75" c:formatCode="[$-409]mmm\-yy;@">
                  <c:v>45777</c:v>
                </c:pt>
                <c:pt idx="76" c:formatCode="[$-409]mmm\-yy;@">
                  <c:v>45808</c:v>
                </c:pt>
                <c:pt idx="77" c:formatCode="[$-409]mmm\-yy;@">
                  <c:v>45838</c:v>
                </c:pt>
                <c:pt idx="78" c:formatCode="[$-409]mmm\-yy;@">
                  <c:v>45869</c:v>
                </c:pt>
                <c:pt idx="79" c:formatCode="[$-409]mmm\-yy;@">
                  <c:v>45900</c:v>
                </c:pt>
                <c:pt idx="80" c:formatCode="[$-409]mmm\-yy;@">
                  <c:v>45930</c:v>
                </c:pt>
                <c:pt idx="81" c:formatCode="[$-409]mmm\-yy;@">
                  <c:v>45961</c:v>
                </c:pt>
                <c:pt idx="82" c:formatCode="[$-409]mmm\-yy;@">
                  <c:v>45991</c:v>
                </c:pt>
                <c:pt idx="83" c:formatCode="[$-409]mmm\-yy;@">
                  <c:v>46022</c:v>
                </c:pt>
                <c:pt idx="84" c:formatCode="[$-409]mmm\-yy;@">
                  <c:v>46053</c:v>
                </c:pt>
                <c:pt idx="85" c:formatCode="[$-409]mmm\-yy;@">
                  <c:v>46081</c:v>
                </c:pt>
                <c:pt idx="86" c:formatCode="[$-409]mmm\-yy;@">
                  <c:v>46112</c:v>
                </c:pt>
                <c:pt idx="87" c:formatCode="[$-409]mmm\-yy;@">
                  <c:v>46142</c:v>
                </c:pt>
                <c:pt idx="88" c:formatCode="[$-409]mmm\-yy;@">
                  <c:v>46173</c:v>
                </c:pt>
              </c:numCache>
            </c:numRef>
          </c:cat>
          <c:val>
            <c:numRef>
              <c:f>DRAM!$CQ$60:$CQ$150</c:f>
              <c:numCache>
                <c:formatCode>#,##0.00</c:formatCode>
                <c:ptCount val="91"/>
                <c:pt idx="0">
                  <c:v>2.9</c:v>
                </c:pt>
                <c:pt idx="1">
                  <c:v>2.8</c:v>
                </c:pt>
                <c:pt idx="2">
                  <c:v>2.52</c:v>
                </c:pt>
                <c:pt idx="3">
                  <c:v>2.3</c:v>
                </c:pt>
                <c:pt idx="4">
                  <c:v>2.11</c:v>
                </c:pt>
                <c:pt idx="5">
                  <c:v>1.87</c:v>
                </c:pt>
                <c:pt idx="6">
                  <c:v>1.8</c:v>
                </c:pt>
                <c:pt idx="7">
                  <c:v>1.85</c:v>
                </c:pt>
                <c:pt idx="8">
                  <c:v>1.74</c:v>
                </c:pt>
                <c:pt idx="9">
                  <c:v>1.68</c:v>
                </c:pt>
                <c:pt idx="10">
                  <c:v>1.65</c:v>
                </c:pt>
                <c:pt idx="11">
                  <c:v>1.65</c:v>
                </c:pt>
                <c:pt idx="12">
                  <c:v>1.68</c:v>
                </c:pt>
                <c:pt idx="13">
                  <c:v>1.76</c:v>
                </c:pt>
                <c:pt idx="14">
                  <c:v>1.85</c:v>
                </c:pt>
                <c:pt idx="15">
                  <c:v>1.91</c:v>
                </c:pt>
                <c:pt idx="16">
                  <c:v>1.91</c:v>
                </c:pt>
                <c:pt idx="17">
                  <c:v>1.82</c:v>
                </c:pt>
                <c:pt idx="18">
                  <c:v>1.72</c:v>
                </c:pt>
                <c:pt idx="19">
                  <c:v>1.63</c:v>
                </c:pt>
                <c:pt idx="20">
                  <c:v>1.68</c:v>
                </c:pt>
                <c:pt idx="21">
                  <c:v>1.59</c:v>
                </c:pt>
                <c:pt idx="22">
                  <c:v>1.59</c:v>
                </c:pt>
                <c:pt idx="23">
                  <c:v>1.61</c:v>
                </c:pt>
                <c:pt idx="24">
                  <c:v>1.67</c:v>
                </c:pt>
                <c:pt idx="25">
                  <c:v>1.78</c:v>
                </c:pt>
                <c:pt idx="26">
                  <c:v>1.99</c:v>
                </c:pt>
                <c:pt idx="27">
                  <c:v>2.25</c:v>
                </c:pt>
                <c:pt idx="28">
                  <c:v>2.45</c:v>
                </c:pt>
                <c:pt idx="29">
                  <c:v>2.5</c:v>
                </c:pt>
                <c:pt idx="30">
                  <c:v>2.73</c:v>
                </c:pt>
                <c:pt idx="31">
                  <c:v>2.78</c:v>
                </c:pt>
                <c:pt idx="32">
                  <c:v>2.77</c:v>
                </c:pt>
                <c:pt idx="33">
                  <c:v>2.6</c:v>
                </c:pt>
                <c:pt idx="34">
                  <c:v>2.52</c:v>
                </c:pt>
                <c:pt idx="35">
                  <c:v>2.52</c:v>
                </c:pt>
                <c:pt idx="36">
                  <c:v>2.45</c:v>
                </c:pt>
                <c:pt idx="37">
                  <c:v>2.48</c:v>
                </c:pt>
                <c:pt idx="38">
                  <c:v>2.4</c:v>
                </c:pt>
                <c:pt idx="39">
                  <c:v>2.38</c:v>
                </c:pt>
                <c:pt idx="40">
                  <c:v>2.35</c:v>
                </c:pt>
                <c:pt idx="41">
                  <c:v>2.3</c:v>
                </c:pt>
                <c:pt idx="42">
                  <c:v>2.12</c:v>
                </c:pt>
                <c:pt idx="43">
                  <c:v>2</c:v>
                </c:pt>
                <c:pt idx="44">
                  <c:v>1.86</c:v>
                </c:pt>
                <c:pt idx="45">
                  <c:v>1.65</c:v>
                </c:pt>
                <c:pt idx="46">
                  <c:v>1.5</c:v>
                </c:pt>
                <c:pt idx="47">
                  <c:v>1.45</c:v>
                </c:pt>
                <c:pt idx="48">
                  <c:v>1.3</c:v>
                </c:pt>
                <c:pt idx="49">
                  <c:v>1.24</c:v>
                </c:pt>
                <c:pt idx="50">
                  <c:v>1.17</c:v>
                </c:pt>
                <c:pt idx="51">
                  <c:v>1.11</c:v>
                </c:pt>
                <c:pt idx="52">
                  <c:v>1.08</c:v>
                </c:pt>
                <c:pt idx="53">
                  <c:v>1.05</c:v>
                </c:pt>
                <c:pt idx="54">
                  <c:v>1.02</c:v>
                </c:pt>
                <c:pt idx="55">
                  <c:v>1.02</c:v>
                </c:pt>
                <c:pt idx="56">
                  <c:v>1.02</c:v>
                </c:pt>
                <c:pt idx="57">
                  <c:v>1.1</c:v>
                </c:pt>
                <c:pt idx="58">
                  <c:v>1.12</c:v>
                </c:pt>
                <c:pt idx="59">
                  <c:v>1.12</c:v>
                </c:pt>
                <c:pt idx="60">
                  <c:v>1.25</c:v>
                </c:pt>
                <c:pt idx="61">
                  <c:v>1.27</c:v>
                </c:pt>
                <c:pt idx="62">
                  <c:v>1.27</c:v>
                </c:pt>
                <c:pt idx="63">
                  <c:v>1.33</c:v>
                </c:pt>
                <c:pt idx="64">
                  <c:v>1.33</c:v>
                </c:pt>
                <c:pt idx="65">
                  <c:v>1.33</c:v>
                </c:pt>
                <c:pt idx="66">
                  <c:v>1.4</c:v>
                </c:pt>
                <c:pt idx="67">
                  <c:v>1.4</c:v>
                </c:pt>
                <c:pt idx="68">
                  <c:v>1.4</c:v>
                </c:pt>
                <c:pt idx="69">
                  <c:v>1.35</c:v>
                </c:pt>
                <c:pt idx="70">
                  <c:v>1.25</c:v>
                </c:pt>
                <c:pt idx="71">
                  <c:v>1.15</c:v>
                </c:pt>
                <c:pt idx="72">
                  <c:v>1.1</c:v>
                </c:pt>
                <c:pt idx="73">
                  <c:v>1.1</c:v>
                </c:pt>
                <c:pt idx="74">
                  <c:v>1.1</c:v>
                </c:pt>
                <c:pt idx="75">
                  <c:v>1.18</c:v>
                </c:pt>
                <c:pt idx="76">
                  <c:v>1.25</c:v>
                </c:pt>
                <c:pt idx="77">
                  <c:v>1.25</c:v>
                </c:pt>
                <c:pt idx="78">
                  <c:v>2.2</c:v>
                </c:pt>
                <c:pt idx="79">
                  <c:v>2.4</c:v>
                </c:pt>
                <c:pt idx="80">
                  <c:v>2.4</c:v>
                </c:pt>
                <c:pt idx="81">
                  <c:v>2.7</c:v>
                </c:pt>
                <c:pt idx="82">
                  <c:v>3.3</c:v>
                </c:pt>
                <c:pt idx="83">
                  <c:v>4.5</c:v>
                </c:pt>
                <c:pt idx="84">
                  <c:v>5.5</c:v>
                </c:pt>
                <c:pt idx="85">
                  <c:v>6</c:v>
                </c:pt>
                <c:pt idx="86">
                  <c:v>7.5</c:v>
                </c:pt>
                <c:pt idx="87">
                  <c:v>10</c:v>
                </c:pt>
                <c:pt idx="88">
                  <c:v>12</c:v>
                </c:pt>
              </c:numCache>
            </c:numRef>
          </c:val>
        </c:ser>
        <c:dLbls>
          <c:showLegendKey val="0"/>
          <c:showVal val="0"/>
          <c:showCatName val="0"/>
          <c:showSerName val="0"/>
          <c:showPercent val="0"/>
          <c:showBubbleSize val="0"/>
        </c:dLbls>
        <c:gapWidth val="66"/>
        <c:axId val="177450304"/>
        <c:axId val="206057648"/>
      </c:barChart>
      <c:lineChart>
        <c:grouping val="standard"/>
        <c:varyColors val="0"/>
        <c:ser>
          <c:idx val="1"/>
          <c:order val="1"/>
          <c:tx>
            <c:strRef>
              <c:f>DRAM!$DA$26</c:f>
              <c:strCache>
                <c:ptCount val="1"/>
                <c:pt idx="0">
                  <c:v>MoM</c:v>
                </c:pt>
              </c:strCache>
            </c:strRef>
          </c:tx>
          <c:marker>
            <c:symbol val="square"/>
            <c:size val="3"/>
          </c:marker>
          <c:dLbls>
            <c:delete val="1"/>
          </c:dLbls>
          <c:val>
            <c:numRef>
              <c:f>DRAM!$DM$60:$DM$150</c:f>
              <c:numCache>
                <c:formatCode>0%</c:formatCode>
                <c:ptCount val="91"/>
                <c:pt idx="0">
                  <c:v>-0.0937500000000001</c:v>
                </c:pt>
                <c:pt idx="1">
                  <c:v>-0.0344827586206897</c:v>
                </c:pt>
                <c:pt idx="2">
                  <c:v>-0.1</c:v>
                </c:pt>
                <c:pt idx="3">
                  <c:v>-0.0873015873015873</c:v>
                </c:pt>
                <c:pt idx="4">
                  <c:v>-0.0826086956521739</c:v>
                </c:pt>
                <c:pt idx="5">
                  <c:v>-0.113744075829384</c:v>
                </c:pt>
                <c:pt idx="6">
                  <c:v>-0.0374331550802139</c:v>
                </c:pt>
                <c:pt idx="7">
                  <c:v>0.0277777777777779</c:v>
                </c:pt>
                <c:pt idx="8">
                  <c:v>-0.0594594594594595</c:v>
                </c:pt>
                <c:pt idx="9">
                  <c:v>-0.0344827586206897</c:v>
                </c:pt>
                <c:pt idx="10">
                  <c:v>-0.0178571428571429</c:v>
                </c:pt>
                <c:pt idx="11">
                  <c:v>0</c:v>
                </c:pt>
                <c:pt idx="12">
                  <c:v>0.0181818181818183</c:v>
                </c:pt>
                <c:pt idx="13">
                  <c:v>0.0476190476190477</c:v>
                </c:pt>
                <c:pt idx="14">
                  <c:v>0.0511363636363638</c:v>
                </c:pt>
                <c:pt idx="15">
                  <c:v>0.0324324324324323</c:v>
                </c:pt>
                <c:pt idx="16">
                  <c:v>0</c:v>
                </c:pt>
                <c:pt idx="17">
                  <c:v>-0.0471204188481674</c:v>
                </c:pt>
                <c:pt idx="18">
                  <c:v>-0.054945054945055</c:v>
                </c:pt>
                <c:pt idx="19">
                  <c:v>-0.0523255813953489</c:v>
                </c:pt>
                <c:pt idx="20">
                  <c:v>0.0306748466257669</c:v>
                </c:pt>
                <c:pt idx="21">
                  <c:v>-0.0535714285714285</c:v>
                </c:pt>
                <c:pt idx="22">
                  <c:v>0</c:v>
                </c:pt>
                <c:pt idx="23">
                  <c:v>0.0125786163522013</c:v>
                </c:pt>
                <c:pt idx="24">
                  <c:v>0.0372670807453415</c:v>
                </c:pt>
                <c:pt idx="25">
                  <c:v>0.0658682634730539</c:v>
                </c:pt>
                <c:pt idx="26">
                  <c:v>0.117977528089888</c:v>
                </c:pt>
                <c:pt idx="27">
                  <c:v>0.130653266331658</c:v>
                </c:pt>
                <c:pt idx="28">
                  <c:v>0.088888888888889</c:v>
                </c:pt>
                <c:pt idx="29">
                  <c:v>0.0204081632653061</c:v>
                </c:pt>
                <c:pt idx="30">
                  <c:v>0.0920000000000001</c:v>
                </c:pt>
                <c:pt idx="31">
                  <c:v>0.0183150183150182</c:v>
                </c:pt>
                <c:pt idx="32">
                  <c:v>-0.00359712230215825</c:v>
                </c:pt>
                <c:pt idx="33">
                  <c:v>-0.0613718411552346</c:v>
                </c:pt>
                <c:pt idx="34">
                  <c:v>-0.0307692307692308</c:v>
                </c:pt>
                <c:pt idx="35">
                  <c:v>0</c:v>
                </c:pt>
                <c:pt idx="36">
                  <c:v>-0.0277777777777777</c:v>
                </c:pt>
                <c:pt idx="37">
                  <c:v>0.0122448979591836</c:v>
                </c:pt>
                <c:pt idx="38">
                  <c:v>-0.0322580645161291</c:v>
                </c:pt>
                <c:pt idx="39">
                  <c:v>-0.0083333333333333</c:v>
                </c:pt>
                <c:pt idx="40">
                  <c:v>-0.0126050420168067</c:v>
                </c:pt>
                <c:pt idx="41" c:formatCode="0.0%">
                  <c:v>-0.021276595744681</c:v>
                </c:pt>
                <c:pt idx="42" c:formatCode="0.0%">
                  <c:v>-0.0782608695652173</c:v>
                </c:pt>
                <c:pt idx="43" c:formatCode="0.0%">
                  <c:v>-0.0566037735849058</c:v>
                </c:pt>
                <c:pt idx="44" c:formatCode="0.0%">
                  <c:v>-0.07</c:v>
                </c:pt>
                <c:pt idx="45" c:formatCode="0.0%">
                  <c:v>-0.112903225806452</c:v>
                </c:pt>
                <c:pt idx="46" c:formatCode="0.0%">
                  <c:v>-0.0909090909090908</c:v>
                </c:pt>
                <c:pt idx="47" c:formatCode="0.0%">
                  <c:v>-0.0333333333333333</c:v>
                </c:pt>
                <c:pt idx="48" c:formatCode="0.0%">
                  <c:v>-0.103448275862069</c:v>
                </c:pt>
                <c:pt idx="49" c:formatCode="0.0%">
                  <c:v>-0.0461538461538462</c:v>
                </c:pt>
                <c:pt idx="50" c:formatCode="0.0%">
                  <c:v>-0.0564516129032259</c:v>
                </c:pt>
                <c:pt idx="51" c:formatCode="0.0%">
                  <c:v>-0.0512820512820511</c:v>
                </c:pt>
                <c:pt idx="52" c:formatCode="0.0%">
                  <c:v>-0.0270270270270271</c:v>
                </c:pt>
                <c:pt idx="53" c:formatCode="0.0%">
                  <c:v>-0.0277777777777778</c:v>
                </c:pt>
                <c:pt idx="54" c:formatCode="0.0%">
                  <c:v>-0.0285714285714286</c:v>
                </c:pt>
                <c:pt idx="55" c:formatCode="0.0%">
                  <c:v>0</c:v>
                </c:pt>
                <c:pt idx="56" c:formatCode="0.0%">
                  <c:v>0</c:v>
                </c:pt>
                <c:pt idx="57" c:formatCode="0.0%">
                  <c:v>0.0784313725490198</c:v>
                </c:pt>
                <c:pt idx="58" c:formatCode="0.0%">
                  <c:v>0.0181818181818183</c:v>
                </c:pt>
                <c:pt idx="59" c:formatCode="0.0%">
                  <c:v>0</c:v>
                </c:pt>
                <c:pt idx="60" c:formatCode="0.0%">
                  <c:v>0.116071428571428</c:v>
                </c:pt>
                <c:pt idx="61" c:formatCode="0.0%">
                  <c:v>0.016</c:v>
                </c:pt>
                <c:pt idx="62" c:formatCode="0.0%">
                  <c:v>0</c:v>
                </c:pt>
                <c:pt idx="63" c:formatCode="0.0%">
                  <c:v>0.0472440944881891</c:v>
                </c:pt>
                <c:pt idx="64" c:formatCode="0.0%">
                  <c:v>0</c:v>
                </c:pt>
                <c:pt idx="65" c:formatCode="0.0%">
                  <c:v>0</c:v>
                </c:pt>
                <c:pt idx="66" c:formatCode="0.0%">
                  <c:v>0.0526315789473684</c:v>
                </c:pt>
                <c:pt idx="67" c:formatCode="0.0%">
                  <c:v>0</c:v>
                </c:pt>
                <c:pt idx="68" c:formatCode="0.0%">
                  <c:v>0</c:v>
                </c:pt>
                <c:pt idx="69" c:formatCode="0.0%">
                  <c:v>-0.0357142857142856</c:v>
                </c:pt>
                <c:pt idx="70" c:formatCode="0.0%">
                  <c:v>-0.0740740740740742</c:v>
                </c:pt>
                <c:pt idx="71" c:formatCode="0.0%">
                  <c:v>-0.0800000000000001</c:v>
                </c:pt>
                <c:pt idx="72" c:formatCode="0.0%">
                  <c:v>-0.0434782608695651</c:v>
                </c:pt>
                <c:pt idx="73" c:formatCode="0.0%">
                  <c:v>0</c:v>
                </c:pt>
                <c:pt idx="74" c:formatCode="0.0%">
                  <c:v>0</c:v>
                </c:pt>
                <c:pt idx="75" c:formatCode="0.0%">
                  <c:v>0.0727272727272725</c:v>
                </c:pt>
                <c:pt idx="76" c:formatCode="0.0%">
                  <c:v>0.0593220338983051</c:v>
                </c:pt>
                <c:pt idx="77" c:formatCode="0.0%">
                  <c:v>0</c:v>
                </c:pt>
                <c:pt idx="78" c:formatCode="0.0%">
                  <c:v>0.76</c:v>
                </c:pt>
                <c:pt idx="79" c:formatCode="0.0%">
                  <c:v>0.0909090909090908</c:v>
                </c:pt>
                <c:pt idx="80" c:formatCode="0.0%">
                  <c:v>0</c:v>
                </c:pt>
                <c:pt idx="81" c:formatCode="0.0%">
                  <c:v>0.125</c:v>
                </c:pt>
                <c:pt idx="82" c:formatCode="0.0%">
                  <c:v>0.222222222222222</c:v>
                </c:pt>
                <c:pt idx="83" c:formatCode="0.0%">
                  <c:v>0.363636363636364</c:v>
                </c:pt>
                <c:pt idx="84" c:formatCode="0.0%">
                  <c:v>0.222222222222222</c:v>
                </c:pt>
                <c:pt idx="85" c:formatCode="0.0%">
                  <c:v>0.0909090909090908</c:v>
                </c:pt>
                <c:pt idx="86" c:formatCode="0.0%">
                  <c:v>0.25</c:v>
                </c:pt>
                <c:pt idx="87" c:formatCode="0.0%">
                  <c:v>0.333333333333333</c:v>
                </c:pt>
                <c:pt idx="88" c:formatCode="0.0%">
                  <c:v>0.2</c:v>
                </c:pt>
              </c:numCache>
            </c:numRef>
          </c:val>
          <c:smooth val="0"/>
        </c:ser>
        <c:dLbls>
          <c:showLegendKey val="0"/>
          <c:showVal val="0"/>
          <c:showCatName val="0"/>
          <c:showSerName val="0"/>
          <c:showPercent val="0"/>
          <c:showBubbleSize val="0"/>
        </c:dLbls>
        <c:marker val="1"/>
        <c:smooth val="0"/>
        <c:axId val="177253104"/>
        <c:axId val="206075120"/>
      </c:lineChart>
      <c:dateAx>
        <c:axId val="177450304"/>
        <c:scaling>
          <c:orientation val="minMax"/>
        </c:scaling>
        <c:delete val="0"/>
        <c:axPos val="b"/>
        <c:majorGridlines>
          <c:spPr>
            <a:ln w="12700" cap="flat" cmpd="sng" algn="ctr">
              <a:solidFill>
                <a:schemeClr val="tx1">
                  <a:tint val="75000"/>
                </a:schemeClr>
              </a:solidFill>
              <a:prstDash val="dash"/>
              <a:round/>
            </a:ln>
          </c:spPr>
        </c:majorGridlines>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57648"/>
        <c:crosses val="autoZero"/>
        <c:auto val="1"/>
        <c:lblOffset val="100"/>
        <c:baseTimeUnit val="months"/>
        <c:majorUnit val="3"/>
        <c:majorTimeUnit val="months"/>
        <c:minorUnit val="4"/>
        <c:minorTimeUnit val="days"/>
      </c:dateAx>
      <c:valAx>
        <c:axId val="206057648"/>
        <c:scaling>
          <c:orientation val="minMax"/>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0.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450304"/>
        <c:crosses val="autoZero"/>
        <c:crossBetween val="between"/>
      </c:valAx>
      <c:catAx>
        <c:axId val="177253104"/>
        <c:scaling>
          <c:orientation val="minMax"/>
        </c:scaling>
        <c:delete val="1"/>
        <c:axPos val="b"/>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75120"/>
        <c:crosses val="autoZero"/>
        <c:auto val="1"/>
        <c:lblAlgn val="ctr"/>
        <c:lblOffset val="100"/>
        <c:noMultiLvlLbl val="0"/>
      </c:catAx>
      <c:valAx>
        <c:axId val="206075120"/>
        <c:scaling>
          <c:orientation val="minMax"/>
        </c:scaling>
        <c:delete val="0"/>
        <c:axPos val="r"/>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MoM</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253104"/>
        <c:crosses val="max"/>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9dfd995e-3374-4386-9e27-be3199088fb3}"/>
      </c:ext>
    </c:extLst>
  </c:chart>
  <c:spPr>
    <a:ln w="25400" cap="flat" cmpd="sng" algn="ctr">
      <a:solidFill>
        <a:srgbClr val="FFFFFF"/>
      </a:solidFill>
      <a:prstDash val="solid"/>
      <a:round/>
    </a:ln>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Mobile eMCP Package (</a:t>
            </a:r>
            <a:r>
              <a:rPr lang="en-US" sz="1000" b="1" i="0" u="none" strike="noStrike" baseline="0">
                <a:effectLst/>
              </a:rPr>
              <a:t>LPDDR4X 32Gb +NAND 64GB) </a:t>
            </a:r>
            <a:r>
              <a:rPr lang="en-US"/>
              <a:t>Contract Price &amp; QoQ </a:t>
            </a:r>
            <a:endParaRPr lang="en-US"/>
          </a:p>
        </c:rich>
      </c:tx>
      <c:layout/>
      <c:overlay val="0"/>
    </c:title>
    <c:autoTitleDeleted val="0"/>
    <c:plotArea>
      <c:layout>
        <c:manualLayout>
          <c:layoutTarget val="inner"/>
          <c:xMode val="edge"/>
          <c:yMode val="edge"/>
          <c:x val="0.134848791025016"/>
          <c:y val="0.202260059156332"/>
          <c:w val="0.704692328915928"/>
          <c:h val="0.575648843997138"/>
        </c:manualLayout>
      </c:layout>
      <c:barChart>
        <c:barDir val="col"/>
        <c:grouping val="clustered"/>
        <c:varyColors val="0"/>
        <c:ser>
          <c:idx val="0"/>
          <c:order val="0"/>
          <c:tx>
            <c:strRef>
              <c:f>DRAM!$EA$25</c:f>
              <c:strCache>
                <c:ptCount val="1"/>
                <c:pt idx="0">
                  <c:v>Price</c:v>
                </c:pt>
              </c:strCache>
            </c:strRef>
          </c:tx>
          <c:spPr>
            <a:ln w="12700">
              <a:solidFill>
                <a:srgbClr val="000000"/>
              </a:solidFill>
              <a:prstDash val="solid"/>
            </a:ln>
          </c:spPr>
          <c:invertIfNegative val="0"/>
          <c:dLbls>
            <c:delete val="1"/>
          </c:dLbls>
          <c:cat>
            <c:strRef>
              <c:f>DRAM!$EA$35:$EA$64</c:f>
              <c:strCache>
                <c:ptCount val="30"/>
                <c:pt idx="0" c:formatCode="yyyy/m/d">
                  <c:v>1Q19</c:v>
                </c:pt>
                <c:pt idx="1" c:formatCode="yyyy/m/d">
                  <c:v>2Q19</c:v>
                </c:pt>
                <c:pt idx="2" c:formatCode="yyyy/m/d">
                  <c:v>3Q19</c:v>
                </c:pt>
                <c:pt idx="3" c:formatCode="yyyy/m/d">
                  <c:v>4Q19</c:v>
                </c:pt>
                <c:pt idx="4" c:formatCode="yyyy/m/d">
                  <c:v>1Q20</c:v>
                </c:pt>
                <c:pt idx="5" c:formatCode="yyyy/m/d">
                  <c:v>2Q20</c:v>
                </c:pt>
                <c:pt idx="6" c:formatCode="yyyy/m/d">
                  <c:v>3Q20</c:v>
                </c:pt>
                <c:pt idx="7" c:formatCode="yyyy/m/d">
                  <c:v>4Q20</c:v>
                </c:pt>
                <c:pt idx="8" c:formatCode="yyyy/m/d">
                  <c:v>1Q21</c:v>
                </c:pt>
                <c:pt idx="9" c:formatCode="yyyy/m/d">
                  <c:v>2Q21</c:v>
                </c:pt>
                <c:pt idx="10" c:formatCode="yyyy/m/d">
                  <c:v>3Q21</c:v>
                </c:pt>
                <c:pt idx="11" c:formatCode="yyyy/m/d">
                  <c:v>4Q21</c:v>
                </c:pt>
                <c:pt idx="12" c:formatCode="yyyy/m/d">
                  <c:v>1Q22</c:v>
                </c:pt>
                <c:pt idx="13" c:formatCode="yyyy/m/d">
                  <c:v>2Q22</c:v>
                </c:pt>
                <c:pt idx="14" c:formatCode="yyyy/m/d">
                  <c:v>3Q22</c:v>
                </c:pt>
                <c:pt idx="15" c:formatCode="yyyy/m/d">
                  <c:v>4Q22</c:v>
                </c:pt>
                <c:pt idx="16" c:formatCode="yyyy/m/d">
                  <c:v>1Q23</c:v>
                </c:pt>
                <c:pt idx="17" c:formatCode="yyyy/m/d">
                  <c:v>2Q23</c:v>
                </c:pt>
                <c:pt idx="18" c:formatCode="yyyy/m/d">
                  <c:v>3Q23</c:v>
                </c:pt>
                <c:pt idx="19" c:formatCode="yyyy/m/d">
                  <c:v>4Q23</c:v>
                </c:pt>
                <c:pt idx="20" c:formatCode="yyyy/m/d">
                  <c:v>1Q24</c:v>
                </c:pt>
                <c:pt idx="21" c:formatCode="yyyy/m/d">
                  <c:v>2Q24</c:v>
                </c:pt>
                <c:pt idx="22" c:formatCode="yyyy/m/d">
                  <c:v>3Q24</c:v>
                </c:pt>
                <c:pt idx="23" c:formatCode="yyyy/m/d">
                  <c:v>4Q24</c:v>
                </c:pt>
                <c:pt idx="24" c:formatCode="yyyy/m/d">
                  <c:v>1Q25</c:v>
                </c:pt>
                <c:pt idx="25" c:formatCode="yyyy/m/d">
                  <c:v>2Q25</c:v>
                </c:pt>
                <c:pt idx="26" c:formatCode="yyyy/m/d">
                  <c:v>3Q25</c:v>
                </c:pt>
                <c:pt idx="27" c:formatCode="yyyy/m/d">
                  <c:v>4Q25</c:v>
                </c:pt>
                <c:pt idx="28" c:formatCode="yyyy/m/d">
                  <c:v>1Q26</c:v>
                </c:pt>
                <c:pt idx="29" c:formatCode="yyyy/m/d">
                  <c:v>2Q26</c:v>
                </c:pt>
              </c:strCache>
            </c:strRef>
          </c:cat>
          <c:val>
            <c:numRef>
              <c:f>DRAM!$EG$35:$EG$64</c:f>
              <c:numCache>
                <c:formatCode>0.0</c:formatCode>
                <c:ptCount val="30"/>
                <c:pt idx="0">
                  <c:v>37.6</c:v>
                </c:pt>
                <c:pt idx="1">
                  <c:v>29.5</c:v>
                </c:pt>
                <c:pt idx="2">
                  <c:v>23.5</c:v>
                </c:pt>
                <c:pt idx="3">
                  <c:v>22.4</c:v>
                </c:pt>
                <c:pt idx="4">
                  <c:v>22.4</c:v>
                </c:pt>
                <c:pt idx="5">
                  <c:v>23</c:v>
                </c:pt>
                <c:pt idx="6">
                  <c:v>22</c:v>
                </c:pt>
                <c:pt idx="7">
                  <c:v>21.9</c:v>
                </c:pt>
                <c:pt idx="8">
                  <c:v>21.2</c:v>
                </c:pt>
                <c:pt idx="9">
                  <c:v>23.8</c:v>
                </c:pt>
                <c:pt idx="10">
                  <c:v>25.6</c:v>
                </c:pt>
                <c:pt idx="11">
                  <c:v>24.0466101694915</c:v>
                </c:pt>
                <c:pt idx="12">
                  <c:v>22.7</c:v>
                </c:pt>
                <c:pt idx="13">
                  <c:v>22.6519337016575</c:v>
                </c:pt>
                <c:pt idx="14">
                  <c:v>20.5524861878453</c:v>
                </c:pt>
                <c:pt idx="15">
                  <c:v>18.2237600922722</c:v>
                </c:pt>
                <c:pt idx="16">
                  <c:v>15.0731158605174</c:v>
                </c:pt>
                <c:pt idx="17">
                  <c:v>12.8286014721346</c:v>
                </c:pt>
                <c:pt idx="18">
                  <c:v>12.1673003802281</c:v>
                </c:pt>
                <c:pt idx="19">
                  <c:v>12.8227960819234</c:v>
                </c:pt>
                <c:pt idx="20">
                  <c:v>14.2990654205607</c:v>
                </c:pt>
                <c:pt idx="21">
                  <c:v>15.3</c:v>
                </c:pt>
                <c:pt idx="22">
                  <c:v>15.2980877390326</c:v>
                </c:pt>
                <c:pt idx="23">
                  <c:v>13.5371179039301</c:v>
                </c:pt>
                <c:pt idx="24">
                  <c:v>12.3420796890185</c:v>
                </c:pt>
                <c:pt idx="25">
                  <c:v>12.695652173913</c:v>
                </c:pt>
                <c:pt idx="26">
                  <c:v>14.6636432350718</c:v>
                </c:pt>
                <c:pt idx="27">
                  <c:v>20.9011943539631</c:v>
                </c:pt>
                <c:pt idx="28">
                  <c:v>34.8319709355132</c:v>
                </c:pt>
                <c:pt idx="29">
                  <c:v>76.7</c:v>
                </c:pt>
              </c:numCache>
            </c:numRef>
          </c:val>
        </c:ser>
        <c:dLbls>
          <c:showLegendKey val="0"/>
          <c:showVal val="0"/>
          <c:showCatName val="0"/>
          <c:showSerName val="0"/>
          <c:showPercent val="0"/>
          <c:showBubbleSize val="0"/>
        </c:dLbls>
        <c:gapWidth val="66"/>
        <c:axId val="177450304"/>
        <c:axId val="206057648"/>
      </c:barChart>
      <c:lineChart>
        <c:grouping val="standard"/>
        <c:varyColors val="0"/>
        <c:ser>
          <c:idx val="1"/>
          <c:order val="1"/>
          <c:tx>
            <c:strRef>
              <c:f>DRAM!$EJ$26</c:f>
              <c:strCache>
                <c:ptCount val="1"/>
                <c:pt idx="0">
                  <c:v>QoQ</c:v>
                </c:pt>
              </c:strCache>
            </c:strRef>
          </c:tx>
          <c:spPr>
            <a:ln w="12700" cap="rnd" cmpd="sng" algn="ctr">
              <a:solidFill>
                <a:srgbClr val="000000"/>
              </a:solidFill>
              <a:prstDash val="solid"/>
              <a:round/>
            </a:ln>
          </c:spPr>
          <c:marker>
            <c:symbol val="square"/>
            <c:size val="3"/>
          </c:marker>
          <c:dLbls>
            <c:delete val="1"/>
          </c:dLbls>
          <c:val>
            <c:numRef>
              <c:f>DRAM!$EO$35:$EO$64</c:f>
              <c:numCache>
                <c:formatCode>0%</c:formatCode>
                <c:ptCount val="30"/>
                <c:pt idx="0">
                  <c:v>-0.208421052631579</c:v>
                </c:pt>
                <c:pt idx="1">
                  <c:v>-0.215425531914894</c:v>
                </c:pt>
                <c:pt idx="2">
                  <c:v>-0.203389830508475</c:v>
                </c:pt>
                <c:pt idx="3">
                  <c:v>-0.0468085106382979</c:v>
                </c:pt>
                <c:pt idx="4">
                  <c:v>0</c:v>
                </c:pt>
                <c:pt idx="5">
                  <c:v>0.0267857142857144</c:v>
                </c:pt>
                <c:pt idx="6">
                  <c:v>-0.0434782608695652</c:v>
                </c:pt>
                <c:pt idx="7">
                  <c:v>-0.00454545454545463</c:v>
                </c:pt>
                <c:pt idx="8">
                  <c:v>-0.0319634703196346</c:v>
                </c:pt>
                <c:pt idx="9">
                  <c:v>0.122641509433962</c:v>
                </c:pt>
                <c:pt idx="10">
                  <c:v>0.0756302521008403</c:v>
                </c:pt>
                <c:pt idx="11">
                  <c:v>-0.0606792902542374</c:v>
                </c:pt>
                <c:pt idx="12" c:formatCode="0.0%">
                  <c:v>-0.056</c:v>
                </c:pt>
                <c:pt idx="13" c:formatCode="0.0%">
                  <c:v>-0.00211745807676389</c:v>
                </c:pt>
                <c:pt idx="14" c:formatCode="0.0%">
                  <c:v>-0.0926829268292683</c:v>
                </c:pt>
                <c:pt idx="15" c:formatCode="0.0%">
                  <c:v>-0.11330629658568</c:v>
                </c:pt>
                <c:pt idx="16" c:formatCode="0.0%">
                  <c:v>-0.172886617020974</c:v>
                </c:pt>
                <c:pt idx="17" c:formatCode="0.0%">
                  <c:v>-0.148908454572563</c:v>
                </c:pt>
                <c:pt idx="18" c:formatCode="0.0%">
                  <c:v>-0.0515489621641837</c:v>
                </c:pt>
                <c:pt idx="19" c:formatCode="0.0%">
                  <c:v>0.0538735529830809</c:v>
                </c:pt>
                <c:pt idx="20" c:formatCode="0.0%">
                  <c:v>0.115128504672897</c:v>
                </c:pt>
                <c:pt idx="21" c:formatCode="0.0%">
                  <c:v>0.0700000000000001</c:v>
                </c:pt>
                <c:pt idx="22" c:formatCode="0.0%">
                  <c:v>-0.000124984376952963</c:v>
                </c:pt>
                <c:pt idx="23" c:formatCode="0.0%">
                  <c:v>-0.115110454662214</c:v>
                </c:pt>
                <c:pt idx="24" c:formatCode="0.0%">
                  <c:v>-0.0882786294241198</c:v>
                </c:pt>
                <c:pt idx="25" c:formatCode="0.0%">
                  <c:v>0.0286477233824034</c:v>
                </c:pt>
                <c:pt idx="26" c:formatCode="0.0%">
                  <c:v>0.155012994543327</c:v>
                </c:pt>
                <c:pt idx="27" c:formatCode="0.0%">
                  <c:v>0.425375264448101</c:v>
                </c:pt>
                <c:pt idx="28" c:formatCode="0.0%">
                  <c:v>0.666506245797799</c:v>
                </c:pt>
                <c:pt idx="29" c:formatCode="0.0%">
                  <c:v>1.202</c:v>
                </c:pt>
              </c:numCache>
            </c:numRef>
          </c:val>
          <c:smooth val="0"/>
        </c:ser>
        <c:dLbls>
          <c:showLegendKey val="0"/>
          <c:showVal val="0"/>
          <c:showCatName val="0"/>
          <c:showSerName val="0"/>
          <c:showPercent val="0"/>
          <c:showBubbleSize val="0"/>
        </c:dLbls>
        <c:marker val="1"/>
        <c:smooth val="0"/>
        <c:axId val="177253104"/>
        <c:axId val="206075120"/>
      </c:lineChart>
      <c:catAx>
        <c:axId val="177450304"/>
        <c:scaling>
          <c:orientation val="minMax"/>
        </c:scaling>
        <c:delete val="0"/>
        <c:axPos val="b"/>
        <c:majorGridlines>
          <c:spPr>
            <a:ln w="12700" cap="flat" cmpd="sng" algn="ctr">
              <a:solidFill>
                <a:schemeClr val="tx1">
                  <a:tint val="75000"/>
                </a:schemeClr>
              </a:solidFill>
              <a:prstDash val="dash"/>
              <a:round/>
            </a:ln>
          </c:spPr>
        </c:majorGridlines>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57648"/>
        <c:crosses val="autoZero"/>
        <c:auto val="1"/>
        <c:lblAlgn val="ctr"/>
        <c:lblOffset val="100"/>
        <c:tickMarkSkip val="4"/>
        <c:noMultiLvlLbl val="0"/>
      </c:catAx>
      <c:valAx>
        <c:axId val="206057648"/>
        <c:scaling>
          <c:orientation val="minMax"/>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450304"/>
        <c:crosses val="autoZero"/>
        <c:crossBetween val="between"/>
      </c:valAx>
      <c:catAx>
        <c:axId val="177253104"/>
        <c:scaling>
          <c:orientation val="minMax"/>
        </c:scaling>
        <c:delete val="1"/>
        <c:axPos val="b"/>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75120"/>
        <c:crosses val="autoZero"/>
        <c:auto val="1"/>
        <c:lblAlgn val="ctr"/>
        <c:lblOffset val="100"/>
        <c:noMultiLvlLbl val="0"/>
      </c:catAx>
      <c:valAx>
        <c:axId val="206075120"/>
        <c:scaling>
          <c:orientation val="minMax"/>
        </c:scaling>
        <c:delete val="0"/>
        <c:axPos val="r"/>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QoQ</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253104"/>
        <c:crosses val="max"/>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8a738869-3c4d-4579-858f-cc78bebe9c76}"/>
      </c:ext>
    </c:extLst>
  </c:chart>
  <c:spPr>
    <a:solidFill>
      <a:srgbClr val="FFFFFF"/>
    </a:solidFill>
    <a:ln w="25400" cap="flat" cmpd="sng" algn="ctr">
      <a:solidFill>
        <a:srgbClr val="FFFFFF"/>
      </a:solidFill>
      <a:prstDash val="solid"/>
      <a:round/>
    </a:ln>
    <a:effectLst/>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Server DDR4 DRAM Module Contract Price &amp; MoM</a:t>
            </a:r>
            <a:endParaRPr lang="en-US"/>
          </a:p>
        </c:rich>
      </c:tx>
      <c:layout/>
      <c:overlay val="0"/>
    </c:title>
    <c:autoTitleDeleted val="0"/>
    <c:plotArea>
      <c:layout>
        <c:manualLayout>
          <c:layoutTarget val="inner"/>
          <c:xMode val="edge"/>
          <c:yMode val="edge"/>
          <c:x val="0.0639872912543224"/>
          <c:y val="0.131413376530468"/>
          <c:w val="0.849391477376806"/>
          <c:h val="0.585234468488992"/>
        </c:manualLayout>
      </c:layout>
      <c:barChart>
        <c:barDir val="col"/>
        <c:grouping val="clustered"/>
        <c:varyColors val="0"/>
        <c:ser>
          <c:idx val="1"/>
          <c:order val="1"/>
          <c:tx>
            <c:strRef>
              <c:f>DRAM!$DR$27</c:f>
              <c:strCache>
                <c:ptCount val="1"/>
                <c:pt idx="0">
                  <c:v>DDR4 64GB RDIMM</c:v>
                </c:pt>
              </c:strCache>
            </c:strRef>
          </c:tx>
          <c:spPr>
            <a:solidFill>
              <a:srgbClr val="FFC000"/>
            </a:solidFill>
            <a:ln w="9525">
              <a:noFill/>
              <a:prstDash val="solid"/>
            </a:ln>
          </c:spPr>
          <c:invertIfNegative val="0"/>
          <c:dLbls>
            <c:delete val="1"/>
          </c:dLbls>
          <c:cat>
            <c:numRef>
              <c:extLst>
                <c:ext xmlns:c15="http://schemas.microsoft.com/office/drawing/2012/chart" uri="{02D57815-91ED-43cb-92C2-25804820EDAC}">
                  <c15:fullRef>
                    <c15:sqref>DRAM!$CA$48:$CA$150</c15:sqref>
                  </c15:fullRef>
                </c:ext>
              </c:extLst>
              <c:f>DRAM!$CA$60:$CA$150</c:f>
              <c:numCache>
                <c:formatCode>yyyy/m/d</c:formatCode>
                <c:ptCount val="91"/>
                <c:pt idx="0" c:formatCode="yyyy/m/d">
                  <c:v>43496</c:v>
                </c:pt>
                <c:pt idx="1" c:formatCode="yyyy/m/d">
                  <c:v>43524</c:v>
                </c:pt>
                <c:pt idx="2" c:formatCode="yyyy/m/d">
                  <c:v>43555</c:v>
                </c:pt>
                <c:pt idx="3" c:formatCode="yyyy/m/d">
                  <c:v>43585</c:v>
                </c:pt>
                <c:pt idx="4" c:formatCode="yyyy/m/d">
                  <c:v>43616</c:v>
                </c:pt>
                <c:pt idx="5" c:formatCode="yyyy/m/d">
                  <c:v>43646</c:v>
                </c:pt>
                <c:pt idx="6" c:formatCode="yyyy/m/d">
                  <c:v>43677</c:v>
                </c:pt>
                <c:pt idx="7" c:formatCode="yyyy/m/d">
                  <c:v>43708</c:v>
                </c:pt>
                <c:pt idx="8" c:formatCode="yyyy/m/d">
                  <c:v>43738</c:v>
                </c:pt>
                <c:pt idx="9" c:formatCode="yyyy/m/d">
                  <c:v>43769</c:v>
                </c:pt>
                <c:pt idx="10" c:formatCode="yyyy/m/d">
                  <c:v>43799</c:v>
                </c:pt>
                <c:pt idx="11" c:formatCode="yyyy/m/d">
                  <c:v>43830</c:v>
                </c:pt>
                <c:pt idx="12" c:formatCode="yyyy/m/d">
                  <c:v>43861</c:v>
                </c:pt>
                <c:pt idx="13" c:formatCode="yyyy/m/d">
                  <c:v>43890</c:v>
                </c:pt>
                <c:pt idx="14" c:formatCode="yyyy/m/d">
                  <c:v>43921</c:v>
                </c:pt>
                <c:pt idx="15" c:formatCode="yyyy/m/d">
                  <c:v>43951</c:v>
                </c:pt>
                <c:pt idx="16" c:formatCode="yyyy/m/d">
                  <c:v>43982</c:v>
                </c:pt>
                <c:pt idx="17" c:formatCode="yyyy/m/d">
                  <c:v>44012</c:v>
                </c:pt>
                <c:pt idx="18" c:formatCode="yyyy/m/d">
                  <c:v>44043</c:v>
                </c:pt>
                <c:pt idx="19" c:formatCode="yyyy/m/d">
                  <c:v>44074</c:v>
                </c:pt>
                <c:pt idx="20" c:formatCode="yyyy/m/d">
                  <c:v>44104</c:v>
                </c:pt>
                <c:pt idx="21" c:formatCode="yyyy/m/d">
                  <c:v>44135</c:v>
                </c:pt>
                <c:pt idx="22" c:formatCode="yyyy/m/d">
                  <c:v>44165</c:v>
                </c:pt>
                <c:pt idx="23" c:formatCode="yyyy/m/d">
                  <c:v>44196</c:v>
                </c:pt>
                <c:pt idx="24" c:formatCode="yyyy/m/d">
                  <c:v>44227</c:v>
                </c:pt>
                <c:pt idx="25" c:formatCode="yyyy/m/d">
                  <c:v>44255</c:v>
                </c:pt>
                <c:pt idx="26" c:formatCode="yyyy/m/d">
                  <c:v>44286</c:v>
                </c:pt>
                <c:pt idx="27" c:formatCode="yyyy/m/d">
                  <c:v>44316</c:v>
                </c:pt>
                <c:pt idx="28" c:formatCode="yyyy/m/d">
                  <c:v>44347</c:v>
                </c:pt>
                <c:pt idx="29" c:formatCode="yyyy/m/d">
                  <c:v>44377</c:v>
                </c:pt>
                <c:pt idx="30" c:formatCode="yyyy/m/d">
                  <c:v>44408</c:v>
                </c:pt>
                <c:pt idx="31" c:formatCode="yyyy/m/d">
                  <c:v>44439</c:v>
                </c:pt>
                <c:pt idx="32" c:formatCode="yyyy/m/d">
                  <c:v>44469</c:v>
                </c:pt>
                <c:pt idx="33" c:formatCode="yyyy/m/d">
                  <c:v>44500</c:v>
                </c:pt>
                <c:pt idx="34" c:formatCode="yyyy/m/d">
                  <c:v>44530</c:v>
                </c:pt>
                <c:pt idx="35" c:formatCode="yyyy/m/d">
                  <c:v>44561</c:v>
                </c:pt>
                <c:pt idx="36" c:formatCode="yyyy/m/d">
                  <c:v>44592</c:v>
                </c:pt>
                <c:pt idx="37" c:formatCode="yyyy/m/d">
                  <c:v>44620</c:v>
                </c:pt>
                <c:pt idx="38" c:formatCode="yyyy/m/d">
                  <c:v>44651</c:v>
                </c:pt>
                <c:pt idx="39" c:formatCode="yyyy/m/d">
                  <c:v>44681</c:v>
                </c:pt>
                <c:pt idx="40" c:formatCode="yyyy/m/d">
                  <c:v>44712</c:v>
                </c:pt>
                <c:pt idx="41" c:formatCode="yyyy/m/d">
                  <c:v>44742</c:v>
                </c:pt>
                <c:pt idx="42" c:formatCode="yyyy/m/d">
                  <c:v>44773</c:v>
                </c:pt>
                <c:pt idx="43" c:formatCode="yyyy/m/d">
                  <c:v>44804</c:v>
                </c:pt>
                <c:pt idx="44" c:formatCode="yyyy/m/d">
                  <c:v>44834</c:v>
                </c:pt>
                <c:pt idx="45" c:formatCode="yyyy/m/d">
                  <c:v>44865</c:v>
                </c:pt>
                <c:pt idx="46" c:formatCode="yyyy/m/d">
                  <c:v>44895</c:v>
                </c:pt>
                <c:pt idx="47" c:formatCode="yyyy/m/d">
                  <c:v>44926</c:v>
                </c:pt>
                <c:pt idx="48" c:formatCode="yyyy/m/d">
                  <c:v>44957</c:v>
                </c:pt>
                <c:pt idx="49" c:formatCode="yyyy/m/d">
                  <c:v>44985</c:v>
                </c:pt>
                <c:pt idx="50" c:formatCode="yyyy/m/d">
                  <c:v>45016</c:v>
                </c:pt>
                <c:pt idx="51" c:formatCode="yyyy/m/d">
                  <c:v>45046</c:v>
                </c:pt>
                <c:pt idx="52" c:formatCode="yyyy/m/d">
                  <c:v>45077</c:v>
                </c:pt>
                <c:pt idx="53" c:formatCode="yyyy/m/d">
                  <c:v>45107</c:v>
                </c:pt>
                <c:pt idx="54" c:formatCode="yyyy/m/d">
                  <c:v>45138</c:v>
                </c:pt>
                <c:pt idx="55" c:formatCode="yyyy/m/d">
                  <c:v>45169</c:v>
                </c:pt>
                <c:pt idx="56" c:formatCode="yyyy/m/d">
                  <c:v>45199</c:v>
                </c:pt>
                <c:pt idx="57" c:formatCode="yyyy/m/d">
                  <c:v>45230</c:v>
                </c:pt>
                <c:pt idx="58" c:formatCode="yyyy/m/d">
                  <c:v>45260</c:v>
                </c:pt>
                <c:pt idx="59" c:formatCode="yyyy/m/d">
                  <c:v>45291</c:v>
                </c:pt>
                <c:pt idx="60" c:formatCode="yyyy/m/d">
                  <c:v>45322</c:v>
                </c:pt>
                <c:pt idx="61" c:formatCode="yyyy/m/d">
                  <c:v>45351</c:v>
                </c:pt>
                <c:pt idx="62" c:formatCode="yyyy/m/d">
                  <c:v>45382</c:v>
                </c:pt>
                <c:pt idx="63" c:formatCode="yyyy/m/d">
                  <c:v>45412</c:v>
                </c:pt>
                <c:pt idx="64" c:formatCode="yyyy/m/d">
                  <c:v>45443</c:v>
                </c:pt>
                <c:pt idx="65" c:formatCode="yyyy/m/d">
                  <c:v>45473</c:v>
                </c:pt>
                <c:pt idx="66" c:formatCode="yyyy/m/d">
                  <c:v>45504</c:v>
                </c:pt>
                <c:pt idx="67" c:formatCode="yyyy/m/d">
                  <c:v>45535</c:v>
                </c:pt>
                <c:pt idx="68" c:formatCode="yyyy/m/d">
                  <c:v>45565</c:v>
                </c:pt>
                <c:pt idx="69" c:formatCode="yyyy/m/d">
                  <c:v>45596</c:v>
                </c:pt>
                <c:pt idx="70" c:formatCode="yyyy/m/d">
                  <c:v>45626</c:v>
                </c:pt>
                <c:pt idx="71" c:formatCode="yyyy/m/d">
                  <c:v>45657</c:v>
                </c:pt>
                <c:pt idx="72" c:formatCode="yyyy/m/d">
                  <c:v>45688</c:v>
                </c:pt>
                <c:pt idx="73" c:formatCode="yyyy/m/d">
                  <c:v>45716</c:v>
                </c:pt>
                <c:pt idx="74" c:formatCode="yyyy/m/d">
                  <c:v>45747</c:v>
                </c:pt>
                <c:pt idx="75" c:formatCode="yyyy/m/d">
                  <c:v>45777</c:v>
                </c:pt>
                <c:pt idx="76" c:formatCode="yyyy/m/d">
                  <c:v>45808</c:v>
                </c:pt>
                <c:pt idx="77" c:formatCode="yyyy/m/d">
                  <c:v>45838</c:v>
                </c:pt>
                <c:pt idx="78" c:formatCode="yyyy/m/d">
                  <c:v>45869</c:v>
                </c:pt>
                <c:pt idx="79" c:formatCode="yyyy/m/d">
                  <c:v>45900</c:v>
                </c:pt>
                <c:pt idx="80" c:formatCode="yyyy/m/d">
                  <c:v>45930</c:v>
                </c:pt>
                <c:pt idx="81" c:formatCode="yyyy/m/d">
                  <c:v>45961</c:v>
                </c:pt>
                <c:pt idx="82" c:formatCode="yyyy/m/d">
                  <c:v>45991</c:v>
                </c:pt>
                <c:pt idx="83" c:formatCode="yyyy/m/d">
                  <c:v>46022</c:v>
                </c:pt>
                <c:pt idx="84" c:formatCode="yyyy/m/d">
                  <c:v>46053</c:v>
                </c:pt>
                <c:pt idx="85" c:formatCode="yyyy/m/d">
                  <c:v>46081</c:v>
                </c:pt>
                <c:pt idx="86" c:formatCode="yyyy/m/d">
                  <c:v>46112</c:v>
                </c:pt>
                <c:pt idx="87" c:formatCode="yyyy/m/d">
                  <c:v>46142</c:v>
                </c:pt>
                <c:pt idx="88" c:formatCode="yyyy/m/d">
                  <c:v>46173</c:v>
                </c:pt>
              </c:numCache>
            </c:numRef>
          </c:cat>
          <c:val>
            <c:numRef>
              <c:extLst>
                <c:ext xmlns:c15="http://schemas.microsoft.com/office/drawing/2012/chart" uri="{02D57815-91ED-43cb-92C2-25804820EDAC}">
                  <c15:fullRef>
                    <c15:sqref>DRAM!$DR$48:$DR$150</c15:sqref>
                  </c15:fullRef>
                </c:ext>
              </c:extLst>
              <c:f>DRAM!$DR$60:$DR$150</c:f>
              <c:numCache>
                <c:formatCode>_(* #,##0.0_);_(* \(#,##0.0\);_(* "-"??_);_(@_)</c:formatCode>
                <c:ptCount val="91"/>
                <c:pt idx="0">
                  <c:v>7.421875</c:v>
                </c:pt>
                <c:pt idx="1">
                  <c:v>6.5625</c:v>
                </c:pt>
                <c:pt idx="2">
                  <c:v>5.3125</c:v>
                </c:pt>
                <c:pt idx="3">
                  <c:v>5</c:v>
                </c:pt>
                <c:pt idx="4">
                  <c:v>4.375</c:v>
                </c:pt>
                <c:pt idx="5">
                  <c:v>4.140625</c:v>
                </c:pt>
                <c:pt idx="6">
                  <c:v>3.75</c:v>
                </c:pt>
                <c:pt idx="7">
                  <c:v>3.59375</c:v>
                </c:pt>
                <c:pt idx="8">
                  <c:v>3.4375</c:v>
                </c:pt>
                <c:pt idx="9">
                  <c:v>3.359375</c:v>
                </c:pt>
                <c:pt idx="10">
                  <c:v>3.359375</c:v>
                </c:pt>
                <c:pt idx="11">
                  <c:v>3.359375</c:v>
                </c:pt>
                <c:pt idx="12">
                  <c:v>3.390625</c:v>
                </c:pt>
                <c:pt idx="13">
                  <c:v>3.606875</c:v>
                </c:pt>
                <c:pt idx="14">
                  <c:v>3.81953125</c:v>
                </c:pt>
                <c:pt idx="15">
                  <c:v>4.5</c:v>
                </c:pt>
                <c:pt idx="16">
                  <c:v>4.5</c:v>
                </c:pt>
                <c:pt idx="17">
                  <c:v>4.5</c:v>
                </c:pt>
                <c:pt idx="18">
                  <c:v>4.21875</c:v>
                </c:pt>
                <c:pt idx="19">
                  <c:v>4.03125</c:v>
                </c:pt>
                <c:pt idx="20">
                  <c:v>3.84375</c:v>
                </c:pt>
                <c:pt idx="21">
                  <c:v>3.5625</c:v>
                </c:pt>
                <c:pt idx="22">
                  <c:v>3.4375</c:v>
                </c:pt>
                <c:pt idx="23">
                  <c:v>3.4375</c:v>
                </c:pt>
                <c:pt idx="24">
                  <c:v>3.59375</c:v>
                </c:pt>
                <c:pt idx="25">
                  <c:v>3.71875</c:v>
                </c:pt>
                <c:pt idx="26">
                  <c:v>3.80859375</c:v>
                </c:pt>
                <c:pt idx="27">
                  <c:v>4.41796875</c:v>
                </c:pt>
                <c:pt idx="28">
                  <c:v>4.47890625</c:v>
                </c:pt>
                <c:pt idx="29">
                  <c:v>4.6715625</c:v>
                </c:pt>
                <c:pt idx="30">
                  <c:v>4.95</c:v>
                </c:pt>
                <c:pt idx="31">
                  <c:v>4.95</c:v>
                </c:pt>
                <c:pt idx="32">
                  <c:v>4.95</c:v>
                </c:pt>
                <c:pt idx="33">
                  <c:v>4.7334375</c:v>
                </c:pt>
                <c:pt idx="34">
                  <c:v>4.64796875</c:v>
                </c:pt>
                <c:pt idx="35">
                  <c:v>4.5703125</c:v>
                </c:pt>
                <c:pt idx="36">
                  <c:v>4.24375</c:v>
                </c:pt>
                <c:pt idx="37">
                  <c:v>4.24375</c:v>
                </c:pt>
                <c:pt idx="38">
                  <c:v>4.21875</c:v>
                </c:pt>
                <c:pt idx="39">
                  <c:v>4.1875</c:v>
                </c:pt>
                <c:pt idx="40">
                  <c:v>4.1875</c:v>
                </c:pt>
                <c:pt idx="41">
                  <c:v>4.1875</c:v>
                </c:pt>
                <c:pt idx="42">
                  <c:v>3.984375</c:v>
                </c:pt>
                <c:pt idx="43">
                  <c:v>3.5</c:v>
                </c:pt>
                <c:pt idx="44">
                  <c:v>3.203125</c:v>
                </c:pt>
                <c:pt idx="45">
                  <c:v>2.90625</c:v>
                </c:pt>
                <c:pt idx="46">
                  <c:v>2.65625</c:v>
                </c:pt>
                <c:pt idx="47">
                  <c:v>2.421875</c:v>
                </c:pt>
                <c:pt idx="48">
                  <c:v>2.1875</c:v>
                </c:pt>
                <c:pt idx="49">
                  <c:v>2.015625</c:v>
                </c:pt>
                <c:pt idx="50">
                  <c:v>1.828125</c:v>
                </c:pt>
                <c:pt idx="51">
                  <c:v>1.703125</c:v>
                </c:pt>
                <c:pt idx="52">
                  <c:v>1.609375</c:v>
                </c:pt>
                <c:pt idx="53">
                  <c:v>1.5625</c:v>
                </c:pt>
                <c:pt idx="54">
                  <c:v>1.5</c:v>
                </c:pt>
                <c:pt idx="55">
                  <c:v>1.46875</c:v>
                </c:pt>
                <c:pt idx="56">
                  <c:v>1.46875</c:v>
                </c:pt>
                <c:pt idx="57">
                  <c:v>1.5625</c:v>
                </c:pt>
                <c:pt idx="58">
                  <c:v>1.609375</c:v>
                </c:pt>
                <c:pt idx="59">
                  <c:v>1.765625</c:v>
                </c:pt>
                <c:pt idx="60">
                  <c:v>1.9375</c:v>
                </c:pt>
                <c:pt idx="61">
                  <c:v>1.984375</c:v>
                </c:pt>
                <c:pt idx="62">
                  <c:v>2.125</c:v>
                </c:pt>
                <c:pt idx="63">
                  <c:v>2.34375</c:v>
                </c:pt>
                <c:pt idx="64">
                  <c:v>2.5</c:v>
                </c:pt>
                <c:pt idx="65">
                  <c:v>2.52890625</c:v>
                </c:pt>
                <c:pt idx="66">
                  <c:v>2.664375</c:v>
                </c:pt>
                <c:pt idx="67">
                  <c:v>2.71875</c:v>
                </c:pt>
                <c:pt idx="68">
                  <c:v>2.71875</c:v>
                </c:pt>
                <c:pt idx="69">
                  <c:v>2.71875</c:v>
                </c:pt>
                <c:pt idx="70">
                  <c:v>2.421875</c:v>
                </c:pt>
                <c:pt idx="71">
                  <c:v>2.34375</c:v>
                </c:pt>
                <c:pt idx="72">
                  <c:v>2.265625</c:v>
                </c:pt>
                <c:pt idx="73">
                  <c:v>2.1875</c:v>
                </c:pt>
                <c:pt idx="74">
                  <c:v>2.1875</c:v>
                </c:pt>
                <c:pt idx="75">
                  <c:v>2.265625</c:v>
                </c:pt>
                <c:pt idx="76">
                  <c:v>2.65625</c:v>
                </c:pt>
                <c:pt idx="77">
                  <c:v>3.28125</c:v>
                </c:pt>
                <c:pt idx="78">
                  <c:v>3.515625</c:v>
                </c:pt>
                <c:pt idx="79">
                  <c:v>3.59375</c:v>
                </c:pt>
                <c:pt idx="80">
                  <c:v>3.671875</c:v>
                </c:pt>
                <c:pt idx="81">
                  <c:v>4.6875</c:v>
                </c:pt>
                <c:pt idx="82">
                  <c:v>5.84375</c:v>
                </c:pt>
                <c:pt idx="83">
                  <c:v>7</c:v>
                </c:pt>
                <c:pt idx="84">
                  <c:v>11.53125</c:v>
                </c:pt>
                <c:pt idx="85">
                  <c:v>11.53125</c:v>
                </c:pt>
                <c:pt idx="86">
                  <c:v>11.53125</c:v>
                </c:pt>
                <c:pt idx="87">
                  <c:v>17.609375</c:v>
                </c:pt>
                <c:pt idx="88">
                  <c:v>17.609375</c:v>
                </c:pt>
              </c:numCache>
            </c:numRef>
          </c:val>
        </c:ser>
        <c:dLbls>
          <c:showLegendKey val="0"/>
          <c:showVal val="0"/>
          <c:showCatName val="0"/>
          <c:showSerName val="0"/>
          <c:showPercent val="0"/>
          <c:showBubbleSize val="0"/>
        </c:dLbls>
        <c:gapWidth val="66"/>
        <c:axId val="343836239"/>
        <c:axId val="397772911"/>
        <c:extLst>
          <c:ext xmlns:c15="http://schemas.microsoft.com/office/drawing/2012/chart" uri="{02D57815-91ED-43cb-92C2-25804820EDAC}">
            <c15:filteredBarSeries>
              <c15:ser>
                <c:idx val="0"/>
                <c:order val="0"/>
                <c:tx>
                  <c:strRef>
                    <c:extLst>
                      <c:ext uri="{02D57815-91ED-43cb-92C2-25804820EDAC}">
                        <c15:formulaRef>
                          <c15:sqref>DRAM!$DQ$27</c15:sqref>
                        </c15:formulaRef>
                      </c:ext>
                    </c:extLst>
                    <c:strCache>
                      <c:ptCount val="1"/>
                      <c:pt idx="0">
                        <c:v>DDR4 32GB RDIMM</c:v>
                      </c:pt>
                    </c:strCache>
                  </c:strRef>
                </c:tx>
                <c:spPr>
                  <a:ln w="9525">
                    <a:noFill/>
                    <a:prstDash val="solid"/>
                  </a:ln>
                </c:spPr>
                <c:invertIfNegative val="0"/>
                <c:dLbls>
                  <c:delete val="1"/>
                </c:dLbls>
                <c:cat>
                  <c:numRef>
                    <c:extLst>
                      <c:ext uri="{02D57815-91ED-43cb-92C2-25804820EDAC}">
                        <c15:fullRef>
                          <c15:sqref>DRAM!$CA$48:$CA$150</c15:sqref>
                        </c15:fullRef>
                        <c15:formulaRef>
                          <c15:sqref>DRAM!$CA$60:$CA$150</c15:sqref>
                        </c15:formulaRef>
                      </c:ext>
                    </c:extLst>
                    <c:numCache>
                      <c:formatCode>yyyy/m/d</c:formatCode>
                      <c:ptCount val="91"/>
                      <c:pt idx="0" c:formatCode="yyyy/m/d">
                        <c:v>43496</c:v>
                      </c:pt>
                      <c:pt idx="1" c:formatCode="yyyy/m/d">
                        <c:v>43524</c:v>
                      </c:pt>
                      <c:pt idx="2" c:formatCode="yyyy/m/d">
                        <c:v>43555</c:v>
                      </c:pt>
                      <c:pt idx="3" c:formatCode="yyyy/m/d">
                        <c:v>43585</c:v>
                      </c:pt>
                      <c:pt idx="4" c:formatCode="yyyy/m/d">
                        <c:v>43616</c:v>
                      </c:pt>
                      <c:pt idx="5" c:formatCode="yyyy/m/d">
                        <c:v>43646</c:v>
                      </c:pt>
                      <c:pt idx="6" c:formatCode="yyyy/m/d">
                        <c:v>43677</c:v>
                      </c:pt>
                      <c:pt idx="7" c:formatCode="yyyy/m/d">
                        <c:v>43708</c:v>
                      </c:pt>
                      <c:pt idx="8" c:formatCode="yyyy/m/d">
                        <c:v>43738</c:v>
                      </c:pt>
                      <c:pt idx="9" c:formatCode="yyyy/m/d">
                        <c:v>43769</c:v>
                      </c:pt>
                      <c:pt idx="10" c:formatCode="yyyy/m/d">
                        <c:v>43799</c:v>
                      </c:pt>
                      <c:pt idx="11" c:formatCode="yyyy/m/d">
                        <c:v>43830</c:v>
                      </c:pt>
                      <c:pt idx="12" c:formatCode="yyyy/m/d">
                        <c:v>43861</c:v>
                      </c:pt>
                      <c:pt idx="13" c:formatCode="yyyy/m/d">
                        <c:v>43890</c:v>
                      </c:pt>
                      <c:pt idx="14" c:formatCode="yyyy/m/d">
                        <c:v>43921</c:v>
                      </c:pt>
                      <c:pt idx="15" c:formatCode="yyyy/m/d">
                        <c:v>43951</c:v>
                      </c:pt>
                      <c:pt idx="16" c:formatCode="yyyy/m/d">
                        <c:v>43982</c:v>
                      </c:pt>
                      <c:pt idx="17" c:formatCode="yyyy/m/d">
                        <c:v>44012</c:v>
                      </c:pt>
                      <c:pt idx="18" c:formatCode="yyyy/m/d">
                        <c:v>44043</c:v>
                      </c:pt>
                      <c:pt idx="19" c:formatCode="yyyy/m/d">
                        <c:v>44074</c:v>
                      </c:pt>
                      <c:pt idx="20" c:formatCode="yyyy/m/d">
                        <c:v>44104</c:v>
                      </c:pt>
                      <c:pt idx="21" c:formatCode="yyyy/m/d">
                        <c:v>44135</c:v>
                      </c:pt>
                      <c:pt idx="22" c:formatCode="yyyy/m/d">
                        <c:v>44165</c:v>
                      </c:pt>
                      <c:pt idx="23" c:formatCode="yyyy/m/d">
                        <c:v>44196</c:v>
                      </c:pt>
                      <c:pt idx="24" c:formatCode="yyyy/m/d">
                        <c:v>44227</c:v>
                      </c:pt>
                      <c:pt idx="25" c:formatCode="yyyy/m/d">
                        <c:v>44255</c:v>
                      </c:pt>
                      <c:pt idx="26" c:formatCode="yyyy/m/d">
                        <c:v>44286</c:v>
                      </c:pt>
                      <c:pt idx="27" c:formatCode="yyyy/m/d">
                        <c:v>44316</c:v>
                      </c:pt>
                      <c:pt idx="28" c:formatCode="yyyy/m/d">
                        <c:v>44347</c:v>
                      </c:pt>
                      <c:pt idx="29" c:formatCode="yyyy/m/d">
                        <c:v>44377</c:v>
                      </c:pt>
                      <c:pt idx="30" c:formatCode="yyyy/m/d">
                        <c:v>44408</c:v>
                      </c:pt>
                      <c:pt idx="31" c:formatCode="yyyy/m/d">
                        <c:v>44439</c:v>
                      </c:pt>
                      <c:pt idx="32" c:formatCode="yyyy/m/d">
                        <c:v>44469</c:v>
                      </c:pt>
                      <c:pt idx="33" c:formatCode="yyyy/m/d">
                        <c:v>44500</c:v>
                      </c:pt>
                      <c:pt idx="34" c:formatCode="yyyy/m/d">
                        <c:v>44530</c:v>
                      </c:pt>
                      <c:pt idx="35" c:formatCode="yyyy/m/d">
                        <c:v>44561</c:v>
                      </c:pt>
                      <c:pt idx="36" c:formatCode="yyyy/m/d">
                        <c:v>44592</c:v>
                      </c:pt>
                      <c:pt idx="37" c:formatCode="yyyy/m/d">
                        <c:v>44620</c:v>
                      </c:pt>
                      <c:pt idx="38" c:formatCode="yyyy/m/d">
                        <c:v>44651</c:v>
                      </c:pt>
                      <c:pt idx="39" c:formatCode="yyyy/m/d">
                        <c:v>44681</c:v>
                      </c:pt>
                      <c:pt idx="40" c:formatCode="yyyy/m/d">
                        <c:v>44712</c:v>
                      </c:pt>
                      <c:pt idx="41" c:formatCode="yyyy/m/d">
                        <c:v>44742</c:v>
                      </c:pt>
                      <c:pt idx="42" c:formatCode="yyyy/m/d">
                        <c:v>44773</c:v>
                      </c:pt>
                      <c:pt idx="43" c:formatCode="yyyy/m/d">
                        <c:v>44804</c:v>
                      </c:pt>
                      <c:pt idx="44" c:formatCode="yyyy/m/d">
                        <c:v>44834</c:v>
                      </c:pt>
                      <c:pt idx="45" c:formatCode="yyyy/m/d">
                        <c:v>44865</c:v>
                      </c:pt>
                      <c:pt idx="46" c:formatCode="yyyy/m/d">
                        <c:v>44895</c:v>
                      </c:pt>
                      <c:pt idx="47" c:formatCode="yyyy/m/d">
                        <c:v>44926</c:v>
                      </c:pt>
                      <c:pt idx="48" c:formatCode="yyyy/m/d">
                        <c:v>44957</c:v>
                      </c:pt>
                      <c:pt idx="49" c:formatCode="yyyy/m/d">
                        <c:v>44985</c:v>
                      </c:pt>
                      <c:pt idx="50" c:formatCode="yyyy/m/d">
                        <c:v>45016</c:v>
                      </c:pt>
                      <c:pt idx="51" c:formatCode="yyyy/m/d">
                        <c:v>45046</c:v>
                      </c:pt>
                      <c:pt idx="52" c:formatCode="yyyy/m/d">
                        <c:v>45077</c:v>
                      </c:pt>
                      <c:pt idx="53" c:formatCode="yyyy/m/d">
                        <c:v>45107</c:v>
                      </c:pt>
                      <c:pt idx="54" c:formatCode="yyyy/m/d">
                        <c:v>45138</c:v>
                      </c:pt>
                      <c:pt idx="55" c:formatCode="yyyy/m/d">
                        <c:v>45169</c:v>
                      </c:pt>
                      <c:pt idx="56" c:formatCode="yyyy/m/d">
                        <c:v>45199</c:v>
                      </c:pt>
                      <c:pt idx="57" c:formatCode="yyyy/m/d">
                        <c:v>45230</c:v>
                      </c:pt>
                      <c:pt idx="58" c:formatCode="yyyy/m/d">
                        <c:v>45260</c:v>
                      </c:pt>
                      <c:pt idx="59" c:formatCode="yyyy/m/d">
                        <c:v>45291</c:v>
                      </c:pt>
                      <c:pt idx="60" c:formatCode="yyyy/m/d">
                        <c:v>45322</c:v>
                      </c:pt>
                      <c:pt idx="61" c:formatCode="yyyy/m/d">
                        <c:v>45351</c:v>
                      </c:pt>
                      <c:pt idx="62" c:formatCode="yyyy/m/d">
                        <c:v>45382</c:v>
                      </c:pt>
                      <c:pt idx="63" c:formatCode="yyyy/m/d">
                        <c:v>45412</c:v>
                      </c:pt>
                      <c:pt idx="64" c:formatCode="yyyy/m/d">
                        <c:v>45443</c:v>
                      </c:pt>
                      <c:pt idx="65" c:formatCode="yyyy/m/d">
                        <c:v>45473</c:v>
                      </c:pt>
                      <c:pt idx="66" c:formatCode="yyyy/m/d">
                        <c:v>45504</c:v>
                      </c:pt>
                      <c:pt idx="67" c:formatCode="yyyy/m/d">
                        <c:v>45535</c:v>
                      </c:pt>
                      <c:pt idx="68" c:formatCode="yyyy/m/d">
                        <c:v>45565</c:v>
                      </c:pt>
                      <c:pt idx="69" c:formatCode="yyyy/m/d">
                        <c:v>45596</c:v>
                      </c:pt>
                      <c:pt idx="70" c:formatCode="yyyy/m/d">
                        <c:v>45626</c:v>
                      </c:pt>
                      <c:pt idx="71" c:formatCode="yyyy/m/d">
                        <c:v>45657</c:v>
                      </c:pt>
                      <c:pt idx="72" c:formatCode="yyyy/m/d">
                        <c:v>45688</c:v>
                      </c:pt>
                      <c:pt idx="73" c:formatCode="yyyy/m/d">
                        <c:v>45716</c:v>
                      </c:pt>
                      <c:pt idx="74" c:formatCode="yyyy/m/d">
                        <c:v>45747</c:v>
                      </c:pt>
                      <c:pt idx="75" c:formatCode="yyyy/m/d">
                        <c:v>45777</c:v>
                      </c:pt>
                      <c:pt idx="76" c:formatCode="yyyy/m/d">
                        <c:v>45808</c:v>
                      </c:pt>
                      <c:pt idx="77" c:formatCode="yyyy/m/d">
                        <c:v>45838</c:v>
                      </c:pt>
                      <c:pt idx="78" c:formatCode="yyyy/m/d">
                        <c:v>45869</c:v>
                      </c:pt>
                      <c:pt idx="79" c:formatCode="yyyy/m/d">
                        <c:v>45900</c:v>
                      </c:pt>
                      <c:pt idx="80" c:formatCode="yyyy/m/d">
                        <c:v>45930</c:v>
                      </c:pt>
                      <c:pt idx="81" c:formatCode="yyyy/m/d">
                        <c:v>45961</c:v>
                      </c:pt>
                      <c:pt idx="82" c:formatCode="yyyy/m/d">
                        <c:v>45991</c:v>
                      </c:pt>
                      <c:pt idx="83" c:formatCode="yyyy/m/d">
                        <c:v>46022</c:v>
                      </c:pt>
                      <c:pt idx="84" c:formatCode="yyyy/m/d">
                        <c:v>46053</c:v>
                      </c:pt>
                      <c:pt idx="85" c:formatCode="yyyy/m/d">
                        <c:v>46081</c:v>
                      </c:pt>
                      <c:pt idx="86" c:formatCode="yyyy/m/d">
                        <c:v>46112</c:v>
                      </c:pt>
                      <c:pt idx="87" c:formatCode="yyyy/m/d">
                        <c:v>46142</c:v>
                      </c:pt>
                      <c:pt idx="88" c:formatCode="yyyy/m/d">
                        <c:v>46173</c:v>
                      </c:pt>
                    </c:numCache>
                  </c:numRef>
                </c:cat>
                <c:val>
                  <c:numRef>
                    <c:extLst>
                      <c:ext uri="{02D57815-91ED-43cb-92C2-25804820EDAC}">
                        <c15:fullRef>
                          <c15:sqref>DRAM!$DQ$48:$DQ$150</c15:sqref>
                        </c15:fullRef>
                        <c15:formulaRef>
                          <c15:sqref>DRAM!$DQ$60:$DQ$150</c15:sqref>
                        </c15:formulaRef>
                      </c:ext>
                    </c:extLst>
                    <c:numCache>
                      <c:formatCode>_(* #,##0.0_);_(* \(#,##0.0\);_(* "-"??_);_(@_)</c:formatCode>
                      <c:ptCount val="91"/>
                      <c:pt idx="0">
                        <c:v>7.2771875</c:v>
                      </c:pt>
                      <c:pt idx="1">
                        <c:v>6.549375</c:v>
                      </c:pt>
                      <c:pt idx="2">
                        <c:v>5.2396875</c:v>
                      </c:pt>
                      <c:pt idx="3">
                        <c:v>4.768125</c:v>
                      </c:pt>
                      <c:pt idx="4">
                        <c:v>4.29125</c:v>
                      </c:pt>
                      <c:pt idx="5">
                        <c:v>3.8621875</c:v>
                      </c:pt>
                      <c:pt idx="6">
                        <c:v>3.591875</c:v>
                      </c:pt>
                      <c:pt idx="7">
                        <c:v>3.52</c:v>
                      </c:pt>
                      <c:pt idx="8">
                        <c:v>3.449375</c:v>
                      </c:pt>
                      <c:pt idx="9">
                        <c:v>3.380625</c:v>
                      </c:pt>
                      <c:pt idx="10">
                        <c:v>3.3128125</c:v>
                      </c:pt>
                      <c:pt idx="11">
                        <c:v>3.3128125</c:v>
                      </c:pt>
                      <c:pt idx="12">
                        <c:v>3.40625</c:v>
                      </c:pt>
                      <c:pt idx="13">
                        <c:v>3.610625</c:v>
                      </c:pt>
                      <c:pt idx="14">
                        <c:v>3.79125</c:v>
                      </c:pt>
                      <c:pt idx="15">
                        <c:v>4.4734375</c:v>
                      </c:pt>
                      <c:pt idx="16">
                        <c:v>4.4734375</c:v>
                      </c:pt>
                      <c:pt idx="17">
                        <c:v>4.4734375</c:v>
                      </c:pt>
                      <c:pt idx="18">
                        <c:v>4.1875</c:v>
                      </c:pt>
                      <c:pt idx="19">
                        <c:v>4</c:v>
                      </c:pt>
                      <c:pt idx="20">
                        <c:v>3.8125</c:v>
                      </c:pt>
                      <c:pt idx="21">
                        <c:v>3.5</c:v>
                      </c:pt>
                      <c:pt idx="22">
                        <c:v>3.4375</c:v>
                      </c:pt>
                      <c:pt idx="23">
                        <c:v>3.4375</c:v>
                      </c:pt>
                      <c:pt idx="24">
                        <c:v>3.59375</c:v>
                      </c:pt>
                      <c:pt idx="25">
                        <c:v>3.71875</c:v>
                      </c:pt>
                      <c:pt idx="26">
                        <c:v>3.90625</c:v>
                      </c:pt>
                      <c:pt idx="27">
                        <c:v>4.53125</c:v>
                      </c:pt>
                      <c:pt idx="28">
                        <c:v>4.59375</c:v>
                      </c:pt>
                      <c:pt idx="29">
                        <c:v>4.71875</c:v>
                      </c:pt>
                      <c:pt idx="30">
                        <c:v>5</c:v>
                      </c:pt>
                      <c:pt idx="31">
                        <c:v>5</c:v>
                      </c:pt>
                      <c:pt idx="32">
                        <c:v>5</c:v>
                      </c:pt>
                      <c:pt idx="33">
                        <c:v>4.78125</c:v>
                      </c:pt>
                      <c:pt idx="34">
                        <c:v>4.71875</c:v>
                      </c:pt>
                      <c:pt idx="35">
                        <c:v>4.6875</c:v>
                      </c:pt>
                      <c:pt idx="36">
                        <c:v>4.375</c:v>
                      </c:pt>
                      <c:pt idx="37">
                        <c:v>4.34375</c:v>
                      </c:pt>
                      <c:pt idx="38">
                        <c:v>4.3125</c:v>
                      </c:pt>
                      <c:pt idx="39">
                        <c:v>4.25</c:v>
                      </c:pt>
                      <c:pt idx="40">
                        <c:v>4.25</c:v>
                      </c:pt>
                      <c:pt idx="41">
                        <c:v>4.15625</c:v>
                      </c:pt>
                      <c:pt idx="42">
                        <c:v>4.0625</c:v>
                      </c:pt>
                      <c:pt idx="43">
                        <c:v>3.59375</c:v>
                      </c:pt>
                      <c:pt idx="44">
                        <c:v>3.21875</c:v>
                      </c:pt>
                      <c:pt idx="45">
                        <c:v>2.96875</c:v>
                      </c:pt>
                      <c:pt idx="46">
                        <c:v>2.65625</c:v>
                      </c:pt>
                      <c:pt idx="47">
                        <c:v>2.5</c:v>
                      </c:pt>
                      <c:pt idx="48">
                        <c:v>2.25</c:v>
                      </c:pt>
                      <c:pt idx="49">
                        <c:v>2.09375</c:v>
                      </c:pt>
                      <c:pt idx="50">
                        <c:v>1.875</c:v>
                      </c:pt>
                      <c:pt idx="51">
                        <c:v>1.6875</c:v>
                      </c:pt>
                      <c:pt idx="52">
                        <c:v>1.59375</c:v>
                      </c:pt>
                      <c:pt idx="53">
                        <c:v>1.546875</c:v>
                      </c:pt>
                      <c:pt idx="54">
                        <c:v>1.5</c:v>
                      </c:pt>
                      <c:pt idx="55">
                        <c:v>1.484375</c:v>
                      </c:pt>
                      <c:pt idx="56">
                        <c:v>1.484375</c:v>
                      </c:pt>
                      <c:pt idx="57">
                        <c:v>1.5625</c:v>
                      </c:pt>
                      <c:pt idx="58">
                        <c:v>1.59375</c:v>
                      </c:pt>
                      <c:pt idx="59">
                        <c:v>1.78125</c:v>
                      </c:pt>
                      <c:pt idx="60">
                        <c:v>1.9375</c:v>
                      </c:pt>
                      <c:pt idx="61">
                        <c:v>1.984375</c:v>
                      </c:pt>
                      <c:pt idx="62">
                        <c:v>2.125</c:v>
                      </c:pt>
                      <c:pt idx="63">
                        <c:v>2.34375</c:v>
                      </c:pt>
                      <c:pt idx="64">
                        <c:v>2.5</c:v>
                      </c:pt>
                      <c:pt idx="65">
                        <c:v>2.59375</c:v>
                      </c:pt>
                      <c:pt idx="66">
                        <c:v>2.71875</c:v>
                      </c:pt>
                      <c:pt idx="67">
                        <c:v>2.8125</c:v>
                      </c:pt>
                      <c:pt idx="68">
                        <c:v>2.8125</c:v>
                      </c:pt>
                      <c:pt idx="69">
                        <c:v>2.8125</c:v>
                      </c:pt>
                      <c:pt idx="70">
                        <c:v>2.5</c:v>
                      </c:pt>
                      <c:pt idx="71">
                        <c:v>2.4375</c:v>
                      </c:pt>
                      <c:pt idx="72">
                        <c:v>2.28125</c:v>
                      </c:pt>
                      <c:pt idx="73">
                        <c:v>2.15625</c:v>
                      </c:pt>
                      <c:pt idx="74">
                        <c:v>2.15625</c:v>
                      </c:pt>
                      <c:pt idx="75">
                        <c:v>2.3125</c:v>
                      </c:pt>
                      <c:pt idx="76">
                        <c:v>2.65625</c:v>
                      </c:pt>
                      <c:pt idx="77">
                        <c:v>4.0625</c:v>
                      </c:pt>
                      <c:pt idx="78">
                        <c:v>4.125</c:v>
                      </c:pt>
                      <c:pt idx="79">
                        <c:v>4.21875</c:v>
                      </c:pt>
                      <c:pt idx="80">
                        <c:v>4.3125</c:v>
                      </c:pt>
                      <c:pt idx="81">
                        <c:v>5.46875</c:v>
                      </c:pt>
                      <c:pt idx="82">
                        <c:v>6.84375</c:v>
                      </c:pt>
                      <c:pt idx="83">
                        <c:v>8.21875</c:v>
                      </c:pt>
                      <c:pt idx="84">
                        <c:v>13.5</c:v>
                      </c:pt>
                      <c:pt idx="85">
                        <c:v>13.5</c:v>
                      </c:pt>
                      <c:pt idx="86">
                        <c:v>13.5</c:v>
                      </c:pt>
                      <c:pt idx="87">
                        <c:v>20.625</c:v>
                      </c:pt>
                      <c:pt idx="88">
                        <c:v>20.625</c:v>
                      </c:pt>
                    </c:numCache>
                  </c:numRef>
                </c:val>
              </c15:ser>
            </c15:filteredBarSeries>
          </c:ext>
        </c:extLst>
      </c:barChart>
      <c:lineChart>
        <c:grouping val="standard"/>
        <c:varyColors val="0"/>
        <c:ser>
          <c:idx val="3"/>
          <c:order val="3"/>
          <c:tx>
            <c:strRef>
              <c:f>DRAM!$DB$25</c:f>
              <c:strCache>
                <c:ptCount val="1"/>
                <c:pt idx="0">
                  <c:v>DDR4 64GB RDIMM MoM</c:v>
                </c:pt>
              </c:strCache>
            </c:strRef>
          </c:tx>
          <c:spPr>
            <a:ln w="12700" cap="rnd" cmpd="sng" algn="ctr">
              <a:solidFill>
                <a:schemeClr val="accent2"/>
              </a:solidFill>
              <a:prstDash val="solid"/>
              <a:round/>
            </a:ln>
          </c:spPr>
          <c:marker>
            <c:symbol val="x"/>
            <c:size val="3"/>
            <c:spPr>
              <a:ln w="12700" cap="flat" cmpd="sng" algn="ctr">
                <a:solidFill>
                  <a:schemeClr val="accent2"/>
                </a:solidFill>
                <a:prstDash val="solid"/>
                <a:round/>
              </a:ln>
            </c:spPr>
          </c:marker>
          <c:dLbls>
            <c:delete val="1"/>
          </c:dLbls>
          <c:cat>
            <c:numRef>
              <c:extLst>
                <c:ext xmlns:c15="http://schemas.microsoft.com/office/drawing/2012/chart" uri="{02D57815-91ED-43cb-92C2-25804820EDAC}">
                  <c15:fullRef>
                    <c15:sqref>DRAM!$CA$48:$CA$150</c15:sqref>
                  </c15:fullRef>
                </c:ext>
              </c:extLst>
              <c:f>DRAM!$CA$60:$CA$150</c:f>
              <c:numCache>
                <c:formatCode>yyyy/m/d</c:formatCode>
                <c:ptCount val="91"/>
                <c:pt idx="0" c:formatCode="yyyy/m/d">
                  <c:v>43496</c:v>
                </c:pt>
                <c:pt idx="1" c:formatCode="yyyy/m/d">
                  <c:v>43524</c:v>
                </c:pt>
                <c:pt idx="2" c:formatCode="yyyy/m/d">
                  <c:v>43555</c:v>
                </c:pt>
                <c:pt idx="3" c:formatCode="yyyy/m/d">
                  <c:v>43585</c:v>
                </c:pt>
                <c:pt idx="4" c:formatCode="yyyy/m/d">
                  <c:v>43616</c:v>
                </c:pt>
                <c:pt idx="5" c:formatCode="yyyy/m/d">
                  <c:v>43646</c:v>
                </c:pt>
                <c:pt idx="6" c:formatCode="yyyy/m/d">
                  <c:v>43677</c:v>
                </c:pt>
                <c:pt idx="7" c:formatCode="yyyy/m/d">
                  <c:v>43708</c:v>
                </c:pt>
                <c:pt idx="8" c:formatCode="yyyy/m/d">
                  <c:v>43738</c:v>
                </c:pt>
                <c:pt idx="9" c:formatCode="yyyy/m/d">
                  <c:v>43769</c:v>
                </c:pt>
                <c:pt idx="10" c:formatCode="yyyy/m/d">
                  <c:v>43799</c:v>
                </c:pt>
                <c:pt idx="11" c:formatCode="yyyy/m/d">
                  <c:v>43830</c:v>
                </c:pt>
                <c:pt idx="12" c:formatCode="yyyy/m/d">
                  <c:v>43861</c:v>
                </c:pt>
                <c:pt idx="13" c:formatCode="yyyy/m/d">
                  <c:v>43890</c:v>
                </c:pt>
                <c:pt idx="14" c:formatCode="yyyy/m/d">
                  <c:v>43921</c:v>
                </c:pt>
                <c:pt idx="15" c:formatCode="yyyy/m/d">
                  <c:v>43951</c:v>
                </c:pt>
                <c:pt idx="16" c:formatCode="yyyy/m/d">
                  <c:v>43982</c:v>
                </c:pt>
                <c:pt idx="17" c:formatCode="yyyy/m/d">
                  <c:v>44012</c:v>
                </c:pt>
                <c:pt idx="18" c:formatCode="yyyy/m/d">
                  <c:v>44043</c:v>
                </c:pt>
                <c:pt idx="19" c:formatCode="yyyy/m/d">
                  <c:v>44074</c:v>
                </c:pt>
                <c:pt idx="20" c:formatCode="yyyy/m/d">
                  <c:v>44104</c:v>
                </c:pt>
                <c:pt idx="21" c:formatCode="yyyy/m/d">
                  <c:v>44135</c:v>
                </c:pt>
                <c:pt idx="22" c:formatCode="yyyy/m/d">
                  <c:v>44165</c:v>
                </c:pt>
                <c:pt idx="23" c:formatCode="yyyy/m/d">
                  <c:v>44196</c:v>
                </c:pt>
                <c:pt idx="24" c:formatCode="yyyy/m/d">
                  <c:v>44227</c:v>
                </c:pt>
                <c:pt idx="25" c:formatCode="yyyy/m/d">
                  <c:v>44255</c:v>
                </c:pt>
                <c:pt idx="26" c:formatCode="yyyy/m/d">
                  <c:v>44286</c:v>
                </c:pt>
                <c:pt idx="27" c:formatCode="yyyy/m/d">
                  <c:v>44316</c:v>
                </c:pt>
                <c:pt idx="28" c:formatCode="yyyy/m/d">
                  <c:v>44347</c:v>
                </c:pt>
                <c:pt idx="29" c:formatCode="yyyy/m/d">
                  <c:v>44377</c:v>
                </c:pt>
                <c:pt idx="30" c:formatCode="yyyy/m/d">
                  <c:v>44408</c:v>
                </c:pt>
                <c:pt idx="31" c:formatCode="yyyy/m/d">
                  <c:v>44439</c:v>
                </c:pt>
                <c:pt idx="32" c:formatCode="yyyy/m/d">
                  <c:v>44469</c:v>
                </c:pt>
                <c:pt idx="33" c:formatCode="yyyy/m/d">
                  <c:v>44500</c:v>
                </c:pt>
                <c:pt idx="34" c:formatCode="yyyy/m/d">
                  <c:v>44530</c:v>
                </c:pt>
                <c:pt idx="35" c:formatCode="yyyy/m/d">
                  <c:v>44561</c:v>
                </c:pt>
                <c:pt idx="36" c:formatCode="yyyy/m/d">
                  <c:v>44592</c:v>
                </c:pt>
                <c:pt idx="37" c:formatCode="yyyy/m/d">
                  <c:v>44620</c:v>
                </c:pt>
                <c:pt idx="38" c:formatCode="yyyy/m/d">
                  <c:v>44651</c:v>
                </c:pt>
                <c:pt idx="39" c:formatCode="yyyy/m/d">
                  <c:v>44681</c:v>
                </c:pt>
                <c:pt idx="40" c:formatCode="yyyy/m/d">
                  <c:v>44712</c:v>
                </c:pt>
                <c:pt idx="41" c:formatCode="yyyy/m/d">
                  <c:v>44742</c:v>
                </c:pt>
                <c:pt idx="42" c:formatCode="yyyy/m/d">
                  <c:v>44773</c:v>
                </c:pt>
                <c:pt idx="43" c:formatCode="yyyy/m/d">
                  <c:v>44804</c:v>
                </c:pt>
                <c:pt idx="44" c:formatCode="yyyy/m/d">
                  <c:v>44834</c:v>
                </c:pt>
                <c:pt idx="45" c:formatCode="yyyy/m/d">
                  <c:v>44865</c:v>
                </c:pt>
                <c:pt idx="46" c:formatCode="yyyy/m/d">
                  <c:v>44895</c:v>
                </c:pt>
                <c:pt idx="47" c:formatCode="yyyy/m/d">
                  <c:v>44926</c:v>
                </c:pt>
                <c:pt idx="48" c:formatCode="yyyy/m/d">
                  <c:v>44957</c:v>
                </c:pt>
                <c:pt idx="49" c:formatCode="yyyy/m/d">
                  <c:v>44985</c:v>
                </c:pt>
                <c:pt idx="50" c:formatCode="yyyy/m/d">
                  <c:v>45016</c:v>
                </c:pt>
                <c:pt idx="51" c:formatCode="yyyy/m/d">
                  <c:v>45046</c:v>
                </c:pt>
                <c:pt idx="52" c:formatCode="yyyy/m/d">
                  <c:v>45077</c:v>
                </c:pt>
                <c:pt idx="53" c:formatCode="yyyy/m/d">
                  <c:v>45107</c:v>
                </c:pt>
                <c:pt idx="54" c:formatCode="yyyy/m/d">
                  <c:v>45138</c:v>
                </c:pt>
                <c:pt idx="55" c:formatCode="yyyy/m/d">
                  <c:v>45169</c:v>
                </c:pt>
                <c:pt idx="56" c:formatCode="yyyy/m/d">
                  <c:v>45199</c:v>
                </c:pt>
                <c:pt idx="57" c:formatCode="yyyy/m/d">
                  <c:v>45230</c:v>
                </c:pt>
                <c:pt idx="58" c:formatCode="yyyy/m/d">
                  <c:v>45260</c:v>
                </c:pt>
                <c:pt idx="59" c:formatCode="yyyy/m/d">
                  <c:v>45291</c:v>
                </c:pt>
                <c:pt idx="60" c:formatCode="yyyy/m/d">
                  <c:v>45322</c:v>
                </c:pt>
                <c:pt idx="61" c:formatCode="yyyy/m/d">
                  <c:v>45351</c:v>
                </c:pt>
                <c:pt idx="62" c:formatCode="yyyy/m/d">
                  <c:v>45382</c:v>
                </c:pt>
                <c:pt idx="63" c:formatCode="yyyy/m/d">
                  <c:v>45412</c:v>
                </c:pt>
                <c:pt idx="64" c:formatCode="yyyy/m/d">
                  <c:v>45443</c:v>
                </c:pt>
                <c:pt idx="65" c:formatCode="yyyy/m/d">
                  <c:v>45473</c:v>
                </c:pt>
                <c:pt idx="66" c:formatCode="yyyy/m/d">
                  <c:v>45504</c:v>
                </c:pt>
                <c:pt idx="67" c:formatCode="yyyy/m/d">
                  <c:v>45535</c:v>
                </c:pt>
                <c:pt idx="68" c:formatCode="yyyy/m/d">
                  <c:v>45565</c:v>
                </c:pt>
                <c:pt idx="69" c:formatCode="yyyy/m/d">
                  <c:v>45596</c:v>
                </c:pt>
                <c:pt idx="70" c:formatCode="yyyy/m/d">
                  <c:v>45626</c:v>
                </c:pt>
                <c:pt idx="71" c:formatCode="yyyy/m/d">
                  <c:v>45657</c:v>
                </c:pt>
                <c:pt idx="72" c:formatCode="yyyy/m/d">
                  <c:v>45688</c:v>
                </c:pt>
                <c:pt idx="73" c:formatCode="yyyy/m/d">
                  <c:v>45716</c:v>
                </c:pt>
                <c:pt idx="74" c:formatCode="yyyy/m/d">
                  <c:v>45747</c:v>
                </c:pt>
                <c:pt idx="75" c:formatCode="yyyy/m/d">
                  <c:v>45777</c:v>
                </c:pt>
                <c:pt idx="76" c:formatCode="yyyy/m/d">
                  <c:v>45808</c:v>
                </c:pt>
                <c:pt idx="77" c:formatCode="yyyy/m/d">
                  <c:v>45838</c:v>
                </c:pt>
                <c:pt idx="78" c:formatCode="yyyy/m/d">
                  <c:v>45869</c:v>
                </c:pt>
                <c:pt idx="79" c:formatCode="yyyy/m/d">
                  <c:v>45900</c:v>
                </c:pt>
                <c:pt idx="80" c:formatCode="yyyy/m/d">
                  <c:v>45930</c:v>
                </c:pt>
                <c:pt idx="81" c:formatCode="yyyy/m/d">
                  <c:v>45961</c:v>
                </c:pt>
                <c:pt idx="82" c:formatCode="yyyy/m/d">
                  <c:v>45991</c:v>
                </c:pt>
                <c:pt idx="83" c:formatCode="yyyy/m/d">
                  <c:v>46022</c:v>
                </c:pt>
                <c:pt idx="84" c:formatCode="yyyy/m/d">
                  <c:v>46053</c:v>
                </c:pt>
                <c:pt idx="85" c:formatCode="yyyy/m/d">
                  <c:v>46081</c:v>
                </c:pt>
                <c:pt idx="86" c:formatCode="yyyy/m/d">
                  <c:v>46112</c:v>
                </c:pt>
                <c:pt idx="87" c:formatCode="yyyy/m/d">
                  <c:v>46142</c:v>
                </c:pt>
                <c:pt idx="88" c:formatCode="yyyy/m/d">
                  <c:v>46173</c:v>
                </c:pt>
              </c:numCache>
            </c:numRef>
          </c:cat>
          <c:val>
            <c:numRef>
              <c:extLst>
                <c:ext xmlns:c15="http://schemas.microsoft.com/office/drawing/2012/chart" uri="{02D57815-91ED-43cb-92C2-25804820EDAC}">
                  <c15:fullRef>
                    <c15:sqref>DRAM!$DB$48:$DB$150</c15:sqref>
                  </c15:fullRef>
                </c:ext>
              </c:extLst>
              <c:f>DRAM!$DB$60:$DB$150</c:f>
              <c:numCache>
                <c:formatCode>0%</c:formatCode>
                <c:ptCount val="91"/>
                <c:pt idx="0">
                  <c:v>-0.181034482758621</c:v>
                </c:pt>
                <c:pt idx="1">
                  <c:v>-0.115789473684211</c:v>
                </c:pt>
                <c:pt idx="2">
                  <c:v>-0.19047619047619</c:v>
                </c:pt>
                <c:pt idx="3">
                  <c:v>-0.0588235294117647</c:v>
                </c:pt>
                <c:pt idx="4">
                  <c:v>-0.125</c:v>
                </c:pt>
                <c:pt idx="5">
                  <c:v>-0.0535714285714286</c:v>
                </c:pt>
                <c:pt idx="6">
                  <c:v>-0.0943396226415094</c:v>
                </c:pt>
                <c:pt idx="7">
                  <c:v>-0.0416666666666666</c:v>
                </c:pt>
                <c:pt idx="8">
                  <c:v>-0.0434782608695652</c:v>
                </c:pt>
                <c:pt idx="9">
                  <c:v>-0.0227272727272727</c:v>
                </c:pt>
                <c:pt idx="10">
                  <c:v>0</c:v>
                </c:pt>
                <c:pt idx="11">
                  <c:v>0</c:v>
                </c:pt>
                <c:pt idx="12">
                  <c:v>0.00930232558139532</c:v>
                </c:pt>
                <c:pt idx="13">
                  <c:v>0.0637788018433181</c:v>
                </c:pt>
                <c:pt idx="14">
                  <c:v>0.0589585860336164</c:v>
                </c:pt>
                <c:pt idx="15">
                  <c:v>0.178155041930865</c:v>
                </c:pt>
                <c:pt idx="16">
                  <c:v>0</c:v>
                </c:pt>
                <c:pt idx="17">
                  <c:v>0</c:v>
                </c:pt>
                <c:pt idx="18">
                  <c:v>-0.0625</c:v>
                </c:pt>
                <c:pt idx="19">
                  <c:v>-0.0444444444444444</c:v>
                </c:pt>
                <c:pt idx="20">
                  <c:v>-0.0465116279069767</c:v>
                </c:pt>
                <c:pt idx="21">
                  <c:v>-0.073170731707317</c:v>
                </c:pt>
                <c:pt idx="22">
                  <c:v>-0.0350877192982456</c:v>
                </c:pt>
                <c:pt idx="23">
                  <c:v>0</c:v>
                </c:pt>
                <c:pt idx="24">
                  <c:v>0.0454545454545454</c:v>
                </c:pt>
                <c:pt idx="25">
                  <c:v>0.0347826086956522</c:v>
                </c:pt>
                <c:pt idx="26">
                  <c:v>0.0241596638655461</c:v>
                </c:pt>
                <c:pt idx="27">
                  <c:v>0.16</c:v>
                </c:pt>
                <c:pt idx="28">
                  <c:v>0.0137931034482759</c:v>
                </c:pt>
                <c:pt idx="29">
                  <c:v>0.0430141287284145</c:v>
                </c:pt>
                <c:pt idx="30">
                  <c:v>0.0596026490066226</c:v>
                </c:pt>
                <c:pt idx="31">
                  <c:v>0</c:v>
                </c:pt>
                <c:pt idx="32">
                  <c:v>0</c:v>
                </c:pt>
                <c:pt idx="33">
                  <c:v>-0.0437500000000001</c:v>
                </c:pt>
                <c:pt idx="34">
                  <c:v>-0.0180563808014788</c:v>
                </c:pt>
                <c:pt idx="35">
                  <c:v>-0.0167075671496286</c:v>
                </c:pt>
                <c:pt idx="36">
                  <c:v>-0.0714529914529913</c:v>
                </c:pt>
                <c:pt idx="37">
                  <c:v>0</c:v>
                </c:pt>
                <c:pt idx="38">
                  <c:v>-0.00589101620029464</c:v>
                </c:pt>
                <c:pt idx="39">
                  <c:v>-0.00740740740740742</c:v>
                </c:pt>
                <c:pt idx="40">
                  <c:v>0</c:v>
                </c:pt>
                <c:pt idx="41" c:formatCode="0.0%">
                  <c:v>0</c:v>
                </c:pt>
                <c:pt idx="42" c:formatCode="0.0%">
                  <c:v>-0.0485074626865671</c:v>
                </c:pt>
                <c:pt idx="43" c:formatCode="0.0%">
                  <c:v>-0.12156862745098</c:v>
                </c:pt>
                <c:pt idx="44" c:formatCode="0.0%">
                  <c:v>-0.0848214285714286</c:v>
                </c:pt>
                <c:pt idx="45" c:formatCode="0.0%">
                  <c:v>-0.0926829268292683</c:v>
                </c:pt>
                <c:pt idx="46" c:formatCode="0.0%">
                  <c:v>-0.0860215053763441</c:v>
                </c:pt>
                <c:pt idx="47" c:formatCode="0.0%">
                  <c:v>-0.0882352941176471</c:v>
                </c:pt>
                <c:pt idx="48" c:formatCode="0.0%">
                  <c:v>-0.0967741935483871</c:v>
                </c:pt>
                <c:pt idx="49" c:formatCode="0.0%">
                  <c:v>-0.0785714285714286</c:v>
                </c:pt>
                <c:pt idx="50" c:formatCode="0.0%">
                  <c:v>-0.0930232558139535</c:v>
                </c:pt>
                <c:pt idx="51" c:formatCode="0.0%">
                  <c:v>-0.0683760683760684</c:v>
                </c:pt>
                <c:pt idx="52" c:formatCode="0.0%">
                  <c:v>-0.055045871559633</c:v>
                </c:pt>
                <c:pt idx="53" c:formatCode="0.0%">
                  <c:v>-0.029126213592233</c:v>
                </c:pt>
                <c:pt idx="54" c:formatCode="0.0%">
                  <c:v>-0.04</c:v>
                </c:pt>
                <c:pt idx="55" c:formatCode="0.0%">
                  <c:v>-0.0208333333333334</c:v>
                </c:pt>
                <c:pt idx="56" c:formatCode="0.0%">
                  <c:v>0</c:v>
                </c:pt>
                <c:pt idx="57" c:formatCode="0.0%">
                  <c:v>0.0638297872340425</c:v>
                </c:pt>
                <c:pt idx="58" c:formatCode="0.0%">
                  <c:v>0.03</c:v>
                </c:pt>
                <c:pt idx="59" c:formatCode="0.0%">
                  <c:v>0.0970873786407767</c:v>
                </c:pt>
                <c:pt idx="60" c:formatCode="0.0%">
                  <c:v>0.0973451327433628</c:v>
                </c:pt>
                <c:pt idx="61" c:formatCode="0.0%">
                  <c:v>0.0241935483870968</c:v>
                </c:pt>
                <c:pt idx="62" c:formatCode="0.0%">
                  <c:v>0.0708661417322836</c:v>
                </c:pt>
                <c:pt idx="63" c:formatCode="0.0%">
                  <c:v>0.102941176470588</c:v>
                </c:pt>
                <c:pt idx="64" c:formatCode="0.0%">
                  <c:v>0.0666666666666667</c:v>
                </c:pt>
                <c:pt idx="65" c:formatCode="0.0%">
                  <c:v>0.0115624999999999</c:v>
                </c:pt>
                <c:pt idx="66" c:formatCode="0.0%">
                  <c:v>0.0535681186283596</c:v>
                </c:pt>
                <c:pt idx="67" c:formatCode="0.0%">
                  <c:v>0.0204081632653061</c:v>
                </c:pt>
                <c:pt idx="68" c:formatCode="0.0%">
                  <c:v>0</c:v>
                </c:pt>
                <c:pt idx="69" c:formatCode="0.0%">
                  <c:v>0</c:v>
                </c:pt>
                <c:pt idx="70" c:formatCode="0.0%">
                  <c:v>-0.109195402298851</c:v>
                </c:pt>
                <c:pt idx="71" c:formatCode="0.0%">
                  <c:v>-0.032258064516129</c:v>
                </c:pt>
                <c:pt idx="72" c:formatCode="0.0%">
                  <c:v>-0.0333333333333333</c:v>
                </c:pt>
                <c:pt idx="73" c:formatCode="0.0%">
                  <c:v>-0.0344827586206896</c:v>
                </c:pt>
                <c:pt idx="74" c:formatCode="0.0%">
                  <c:v>0</c:v>
                </c:pt>
                <c:pt idx="75" c:formatCode="0.0%">
                  <c:v>0.0357142857142858</c:v>
                </c:pt>
                <c:pt idx="76" c:formatCode="0.0%">
                  <c:v>0.172413793103448</c:v>
                </c:pt>
                <c:pt idx="77" c:formatCode="0.0%">
                  <c:v>0.235294117647059</c:v>
                </c:pt>
                <c:pt idx="78" c:formatCode="0.0%">
                  <c:v>0.0714285714285714</c:v>
                </c:pt>
                <c:pt idx="79" c:formatCode="0.0%">
                  <c:v>0.0222222222222221</c:v>
                </c:pt>
                <c:pt idx="80" c:formatCode="0.0%">
                  <c:v>0.0217391304347827</c:v>
                </c:pt>
                <c:pt idx="81" c:formatCode="0.0%">
                  <c:v>0.276595744680851</c:v>
                </c:pt>
                <c:pt idx="82" c:formatCode="0.0%">
                  <c:v>0.246666666666667</c:v>
                </c:pt>
                <c:pt idx="83" c:formatCode="0.0%">
                  <c:v>0.197860962566845</c:v>
                </c:pt>
                <c:pt idx="84" c:formatCode="0.0%">
                  <c:v>0.647321428571429</c:v>
                </c:pt>
                <c:pt idx="85" c:formatCode="0.0%">
                  <c:v>0</c:v>
                </c:pt>
                <c:pt idx="86" c:formatCode="0.0%">
                  <c:v>0</c:v>
                </c:pt>
                <c:pt idx="87" c:formatCode="0.0%">
                  <c:v>0.52710027100271</c:v>
                </c:pt>
                <c:pt idx="88" c:formatCode="0.0%">
                  <c:v>0</c:v>
                </c:pt>
              </c:numCache>
            </c:numRef>
          </c:val>
          <c:smooth val="0"/>
        </c:ser>
        <c:dLbls>
          <c:showLegendKey val="0"/>
          <c:showVal val="0"/>
          <c:showCatName val="0"/>
          <c:showSerName val="0"/>
          <c:showPercent val="0"/>
          <c:showBubbleSize val="0"/>
        </c:dLbls>
        <c:marker val="1"/>
        <c:smooth val="0"/>
        <c:axId val="407487231"/>
        <c:axId val="1121678335"/>
        <c:extLst>
          <c:ext xmlns:c15="http://schemas.microsoft.com/office/drawing/2012/chart" uri="{02D57815-91ED-43cb-92C2-25804820EDAC}">
            <c15:filteredLineSeries>
              <c15:ser>
                <c:idx val="2"/>
                <c:order val="2"/>
                <c:tx>
                  <c:strRef>
                    <c:extLst>
                      <c:ext uri="{02D57815-91ED-43cb-92C2-25804820EDAC}">
                        <c15:formulaRef>
                          <c15:sqref>DRAM!$DA$25</c15:sqref>
                        </c15:formulaRef>
                      </c:ext>
                    </c:extLst>
                    <c:strCache>
                      <c:ptCount val="1"/>
                      <c:pt idx="0">
                        <c:v>DDR4 32GB RDIMM MoM</c:v>
                      </c:pt>
                    </c:strCache>
                  </c:strRef>
                </c:tx>
                <c:spPr>
                  <a:ln w="12700" cap="rnd" cmpd="sng" algn="ctr">
                    <a:solidFill>
                      <a:schemeClr val="accent3"/>
                    </a:solidFill>
                    <a:prstDash val="solid"/>
                    <a:round/>
                  </a:ln>
                </c:spPr>
                <c:marker>
                  <c:symbol val="triangle"/>
                  <c:size val="3"/>
                </c:marker>
                <c:dLbls>
                  <c:delete val="1"/>
                </c:dLbls>
                <c:cat>
                  <c:numRef>
                    <c:extLst>
                      <c:ext uri="{02D57815-91ED-43cb-92C2-25804820EDAC}">
                        <c15:fullRef>
                          <c15:sqref>DRAM!$CA$48:$CA$150</c15:sqref>
                        </c15:fullRef>
                        <c15:formulaRef>
                          <c15:sqref>DRAM!$CA$60:$CA$150</c15:sqref>
                        </c15:formulaRef>
                      </c:ext>
                    </c:extLst>
                    <c:numCache>
                      <c:formatCode>yyyy/m/d</c:formatCode>
                      <c:ptCount val="91"/>
                      <c:pt idx="0" c:formatCode="yyyy/m/d">
                        <c:v>43496</c:v>
                      </c:pt>
                      <c:pt idx="1" c:formatCode="yyyy/m/d">
                        <c:v>43524</c:v>
                      </c:pt>
                      <c:pt idx="2" c:formatCode="yyyy/m/d">
                        <c:v>43555</c:v>
                      </c:pt>
                      <c:pt idx="3" c:formatCode="yyyy/m/d">
                        <c:v>43585</c:v>
                      </c:pt>
                      <c:pt idx="4" c:formatCode="yyyy/m/d">
                        <c:v>43616</c:v>
                      </c:pt>
                      <c:pt idx="5" c:formatCode="yyyy/m/d">
                        <c:v>43646</c:v>
                      </c:pt>
                      <c:pt idx="6" c:formatCode="yyyy/m/d">
                        <c:v>43677</c:v>
                      </c:pt>
                      <c:pt idx="7" c:formatCode="yyyy/m/d">
                        <c:v>43708</c:v>
                      </c:pt>
                      <c:pt idx="8" c:formatCode="yyyy/m/d">
                        <c:v>43738</c:v>
                      </c:pt>
                      <c:pt idx="9" c:formatCode="yyyy/m/d">
                        <c:v>43769</c:v>
                      </c:pt>
                      <c:pt idx="10" c:formatCode="yyyy/m/d">
                        <c:v>43799</c:v>
                      </c:pt>
                      <c:pt idx="11" c:formatCode="yyyy/m/d">
                        <c:v>43830</c:v>
                      </c:pt>
                      <c:pt idx="12" c:formatCode="yyyy/m/d">
                        <c:v>43861</c:v>
                      </c:pt>
                      <c:pt idx="13" c:formatCode="yyyy/m/d">
                        <c:v>43890</c:v>
                      </c:pt>
                      <c:pt idx="14" c:formatCode="yyyy/m/d">
                        <c:v>43921</c:v>
                      </c:pt>
                      <c:pt idx="15" c:formatCode="yyyy/m/d">
                        <c:v>43951</c:v>
                      </c:pt>
                      <c:pt idx="16" c:formatCode="yyyy/m/d">
                        <c:v>43982</c:v>
                      </c:pt>
                      <c:pt idx="17" c:formatCode="yyyy/m/d">
                        <c:v>44012</c:v>
                      </c:pt>
                      <c:pt idx="18" c:formatCode="yyyy/m/d">
                        <c:v>44043</c:v>
                      </c:pt>
                      <c:pt idx="19" c:formatCode="yyyy/m/d">
                        <c:v>44074</c:v>
                      </c:pt>
                      <c:pt idx="20" c:formatCode="yyyy/m/d">
                        <c:v>44104</c:v>
                      </c:pt>
                      <c:pt idx="21" c:formatCode="yyyy/m/d">
                        <c:v>44135</c:v>
                      </c:pt>
                      <c:pt idx="22" c:formatCode="yyyy/m/d">
                        <c:v>44165</c:v>
                      </c:pt>
                      <c:pt idx="23" c:formatCode="yyyy/m/d">
                        <c:v>44196</c:v>
                      </c:pt>
                      <c:pt idx="24" c:formatCode="yyyy/m/d">
                        <c:v>44227</c:v>
                      </c:pt>
                      <c:pt idx="25" c:formatCode="yyyy/m/d">
                        <c:v>44255</c:v>
                      </c:pt>
                      <c:pt idx="26" c:formatCode="yyyy/m/d">
                        <c:v>44286</c:v>
                      </c:pt>
                      <c:pt idx="27" c:formatCode="yyyy/m/d">
                        <c:v>44316</c:v>
                      </c:pt>
                      <c:pt idx="28" c:formatCode="yyyy/m/d">
                        <c:v>44347</c:v>
                      </c:pt>
                      <c:pt idx="29" c:formatCode="yyyy/m/d">
                        <c:v>44377</c:v>
                      </c:pt>
                      <c:pt idx="30" c:formatCode="yyyy/m/d">
                        <c:v>44408</c:v>
                      </c:pt>
                      <c:pt idx="31" c:formatCode="yyyy/m/d">
                        <c:v>44439</c:v>
                      </c:pt>
                      <c:pt idx="32" c:formatCode="yyyy/m/d">
                        <c:v>44469</c:v>
                      </c:pt>
                      <c:pt idx="33" c:formatCode="yyyy/m/d">
                        <c:v>44500</c:v>
                      </c:pt>
                      <c:pt idx="34" c:formatCode="yyyy/m/d">
                        <c:v>44530</c:v>
                      </c:pt>
                      <c:pt idx="35" c:formatCode="yyyy/m/d">
                        <c:v>44561</c:v>
                      </c:pt>
                      <c:pt idx="36" c:formatCode="yyyy/m/d">
                        <c:v>44592</c:v>
                      </c:pt>
                      <c:pt idx="37" c:formatCode="yyyy/m/d">
                        <c:v>44620</c:v>
                      </c:pt>
                      <c:pt idx="38" c:formatCode="yyyy/m/d">
                        <c:v>44651</c:v>
                      </c:pt>
                      <c:pt idx="39" c:formatCode="yyyy/m/d">
                        <c:v>44681</c:v>
                      </c:pt>
                      <c:pt idx="40" c:formatCode="yyyy/m/d">
                        <c:v>44712</c:v>
                      </c:pt>
                      <c:pt idx="41" c:formatCode="yyyy/m/d">
                        <c:v>44742</c:v>
                      </c:pt>
                      <c:pt idx="42" c:formatCode="yyyy/m/d">
                        <c:v>44773</c:v>
                      </c:pt>
                      <c:pt idx="43" c:formatCode="yyyy/m/d">
                        <c:v>44804</c:v>
                      </c:pt>
                      <c:pt idx="44" c:formatCode="yyyy/m/d">
                        <c:v>44834</c:v>
                      </c:pt>
                      <c:pt idx="45" c:formatCode="yyyy/m/d">
                        <c:v>44865</c:v>
                      </c:pt>
                      <c:pt idx="46" c:formatCode="yyyy/m/d">
                        <c:v>44895</c:v>
                      </c:pt>
                      <c:pt idx="47" c:formatCode="yyyy/m/d">
                        <c:v>44926</c:v>
                      </c:pt>
                      <c:pt idx="48" c:formatCode="yyyy/m/d">
                        <c:v>44957</c:v>
                      </c:pt>
                      <c:pt idx="49" c:formatCode="yyyy/m/d">
                        <c:v>44985</c:v>
                      </c:pt>
                      <c:pt idx="50" c:formatCode="yyyy/m/d">
                        <c:v>45016</c:v>
                      </c:pt>
                      <c:pt idx="51" c:formatCode="yyyy/m/d">
                        <c:v>45046</c:v>
                      </c:pt>
                      <c:pt idx="52" c:formatCode="yyyy/m/d">
                        <c:v>45077</c:v>
                      </c:pt>
                      <c:pt idx="53" c:formatCode="yyyy/m/d">
                        <c:v>45107</c:v>
                      </c:pt>
                      <c:pt idx="54" c:formatCode="yyyy/m/d">
                        <c:v>45138</c:v>
                      </c:pt>
                      <c:pt idx="55" c:formatCode="yyyy/m/d">
                        <c:v>45169</c:v>
                      </c:pt>
                      <c:pt idx="56" c:formatCode="yyyy/m/d">
                        <c:v>45199</c:v>
                      </c:pt>
                      <c:pt idx="57" c:formatCode="yyyy/m/d">
                        <c:v>45230</c:v>
                      </c:pt>
                      <c:pt idx="58" c:formatCode="yyyy/m/d">
                        <c:v>45260</c:v>
                      </c:pt>
                      <c:pt idx="59" c:formatCode="yyyy/m/d">
                        <c:v>45291</c:v>
                      </c:pt>
                      <c:pt idx="60" c:formatCode="yyyy/m/d">
                        <c:v>45322</c:v>
                      </c:pt>
                      <c:pt idx="61" c:formatCode="yyyy/m/d">
                        <c:v>45351</c:v>
                      </c:pt>
                      <c:pt idx="62" c:formatCode="yyyy/m/d">
                        <c:v>45382</c:v>
                      </c:pt>
                      <c:pt idx="63" c:formatCode="yyyy/m/d">
                        <c:v>45412</c:v>
                      </c:pt>
                      <c:pt idx="64" c:formatCode="yyyy/m/d">
                        <c:v>45443</c:v>
                      </c:pt>
                      <c:pt idx="65" c:formatCode="yyyy/m/d">
                        <c:v>45473</c:v>
                      </c:pt>
                      <c:pt idx="66" c:formatCode="yyyy/m/d">
                        <c:v>45504</c:v>
                      </c:pt>
                      <c:pt idx="67" c:formatCode="yyyy/m/d">
                        <c:v>45535</c:v>
                      </c:pt>
                      <c:pt idx="68" c:formatCode="yyyy/m/d">
                        <c:v>45565</c:v>
                      </c:pt>
                      <c:pt idx="69" c:formatCode="yyyy/m/d">
                        <c:v>45596</c:v>
                      </c:pt>
                      <c:pt idx="70" c:formatCode="yyyy/m/d">
                        <c:v>45626</c:v>
                      </c:pt>
                      <c:pt idx="71" c:formatCode="yyyy/m/d">
                        <c:v>45657</c:v>
                      </c:pt>
                      <c:pt idx="72" c:formatCode="yyyy/m/d">
                        <c:v>45688</c:v>
                      </c:pt>
                      <c:pt idx="73" c:formatCode="yyyy/m/d">
                        <c:v>45716</c:v>
                      </c:pt>
                      <c:pt idx="74" c:formatCode="yyyy/m/d">
                        <c:v>45747</c:v>
                      </c:pt>
                      <c:pt idx="75" c:formatCode="yyyy/m/d">
                        <c:v>45777</c:v>
                      </c:pt>
                      <c:pt idx="76" c:formatCode="yyyy/m/d">
                        <c:v>45808</c:v>
                      </c:pt>
                      <c:pt idx="77" c:formatCode="yyyy/m/d">
                        <c:v>45838</c:v>
                      </c:pt>
                      <c:pt idx="78" c:formatCode="yyyy/m/d">
                        <c:v>45869</c:v>
                      </c:pt>
                      <c:pt idx="79" c:formatCode="yyyy/m/d">
                        <c:v>45900</c:v>
                      </c:pt>
                      <c:pt idx="80" c:formatCode="yyyy/m/d">
                        <c:v>45930</c:v>
                      </c:pt>
                      <c:pt idx="81" c:formatCode="yyyy/m/d">
                        <c:v>45961</c:v>
                      </c:pt>
                      <c:pt idx="82" c:formatCode="yyyy/m/d">
                        <c:v>45991</c:v>
                      </c:pt>
                      <c:pt idx="83" c:formatCode="yyyy/m/d">
                        <c:v>46022</c:v>
                      </c:pt>
                      <c:pt idx="84" c:formatCode="yyyy/m/d">
                        <c:v>46053</c:v>
                      </c:pt>
                      <c:pt idx="85" c:formatCode="yyyy/m/d">
                        <c:v>46081</c:v>
                      </c:pt>
                      <c:pt idx="86" c:formatCode="yyyy/m/d">
                        <c:v>46112</c:v>
                      </c:pt>
                      <c:pt idx="87" c:formatCode="yyyy/m/d">
                        <c:v>46142</c:v>
                      </c:pt>
                      <c:pt idx="88" c:formatCode="yyyy/m/d">
                        <c:v>46173</c:v>
                      </c:pt>
                    </c:numCache>
                  </c:numRef>
                </c:cat>
                <c:val>
                  <c:numRef>
                    <c:extLst>
                      <c:ext uri="{02D57815-91ED-43cb-92C2-25804820EDAC}">
                        <c15:fullRef>
                          <c15:sqref>DRAM!$DA$48:$DA$150</c15:sqref>
                        </c15:fullRef>
                        <c15:formulaRef>
                          <c15:sqref>DRAM!$DA$60:$DA$150</c15:sqref>
                        </c15:formulaRef>
                      </c:ext>
                    </c:extLst>
                    <c:numCache>
                      <c:formatCode>0%</c:formatCode>
                      <c:ptCount val="91"/>
                      <c:pt idx="0">
                        <c:v>-0.170011048936094</c:v>
                      </c:pt>
                      <c:pt idx="1">
                        <c:v>-0.100012882724267</c:v>
                      </c:pt>
                      <c:pt idx="2">
                        <c:v>-0.199971371314057</c:v>
                      </c:pt>
                      <c:pt idx="3">
                        <c:v>-0.0899982107711574</c:v>
                      </c:pt>
                      <c:pt idx="4">
                        <c:v>-0.100013107877835</c:v>
                      </c:pt>
                      <c:pt idx="5">
                        <c:v>-0.0999854354791727</c:v>
                      </c:pt>
                      <c:pt idx="6">
                        <c:v>-0.0699894813496238</c:v>
                      </c:pt>
                      <c:pt idx="7">
                        <c:v>-0.020010440229685</c:v>
                      </c:pt>
                      <c:pt idx="8">
                        <c:v>-0.0200639204545455</c:v>
                      </c:pt>
                      <c:pt idx="9">
                        <c:v>-0.0199311469469106</c:v>
                      </c:pt>
                      <c:pt idx="10">
                        <c:v>-0.0200591606581624</c:v>
                      </c:pt>
                      <c:pt idx="11">
                        <c:v>0</c:v>
                      </c:pt>
                      <c:pt idx="12">
                        <c:v>0.0282048863314781</c:v>
                      </c:pt>
                      <c:pt idx="13">
                        <c:v>0.0600000000000001</c:v>
                      </c:pt>
                      <c:pt idx="14">
                        <c:v>0.0500259650337544</c:v>
                      </c:pt>
                      <c:pt idx="15">
                        <c:v>0.17993735575338</c:v>
                      </c:pt>
                      <c:pt idx="16">
                        <c:v>0</c:v>
                      </c:pt>
                      <c:pt idx="17">
                        <c:v>0</c:v>
                      </c:pt>
                      <c:pt idx="18">
                        <c:v>-0.0639189661194551</c:v>
                      </c:pt>
                      <c:pt idx="19">
                        <c:v>-0.0447761194029851</c:v>
                      </c:pt>
                      <c:pt idx="20">
                        <c:v>-0.046875</c:v>
                      </c:pt>
                      <c:pt idx="21">
                        <c:v>-0.0819672131147541</c:v>
                      </c:pt>
                      <c:pt idx="22">
                        <c:v>-0.0178571428571429</c:v>
                      </c:pt>
                      <c:pt idx="23">
                        <c:v>0</c:v>
                      </c:pt>
                      <c:pt idx="24">
                        <c:v>0.0454545454545454</c:v>
                      </c:pt>
                      <c:pt idx="25">
                        <c:v>0.0347826086956522</c:v>
                      </c:pt>
                      <c:pt idx="26">
                        <c:v>0.0504201680672269</c:v>
                      </c:pt>
                      <c:pt idx="27">
                        <c:v>0.16</c:v>
                      </c:pt>
                      <c:pt idx="28">
                        <c:v>0.0137931034482759</c:v>
                      </c:pt>
                      <c:pt idx="29">
                        <c:v>0.0272108843537415</c:v>
                      </c:pt>
                      <c:pt idx="30">
                        <c:v>0.0596026490066226</c:v>
                      </c:pt>
                      <c:pt idx="31">
                        <c:v>0</c:v>
                      </c:pt>
                      <c:pt idx="32">
                        <c:v>0</c:v>
                      </c:pt>
                      <c:pt idx="33">
                        <c:v>-0.04375</c:v>
                      </c:pt>
                      <c:pt idx="34">
                        <c:v>-0.0130718954248366</c:v>
                      </c:pt>
                      <c:pt idx="35">
                        <c:v>-0.00662251655629142</c:v>
                      </c:pt>
                      <c:pt idx="36">
                        <c:v>-0.0666666666666667</c:v>
                      </c:pt>
                      <c:pt idx="37">
                        <c:v>-0.00714285714285712</c:v>
                      </c:pt>
                      <c:pt idx="38">
                        <c:v>-0.0071942446043165</c:v>
                      </c:pt>
                      <c:pt idx="39">
                        <c:v>-0.0144927536231884</c:v>
                      </c:pt>
                      <c:pt idx="40">
                        <c:v>0</c:v>
                      </c:pt>
                      <c:pt idx="41" c:formatCode="0.0%">
                        <c:v>-0.0220588235294118</c:v>
                      </c:pt>
                      <c:pt idx="42" c:formatCode="0.0%">
                        <c:v>-0.0225563909774437</c:v>
                      </c:pt>
                      <c:pt idx="43" c:formatCode="0.0%">
                        <c:v>-0.115384615384615</c:v>
                      </c:pt>
                      <c:pt idx="44" c:formatCode="0.0%">
                        <c:v>-0.104347826086956</c:v>
                      </c:pt>
                      <c:pt idx="45" c:formatCode="0.0%">
                        <c:v>-0.0776699029126213</c:v>
                      </c:pt>
                      <c:pt idx="46" c:formatCode="0.0%">
                        <c:v>-0.105263157894737</c:v>
                      </c:pt>
                      <c:pt idx="47" c:formatCode="0.0%">
                        <c:v>-0.0588235294117647</c:v>
                      </c:pt>
                      <c:pt idx="48" c:formatCode="0.0%">
                        <c:v>-0.1</c:v>
                      </c:pt>
                      <c:pt idx="49" c:formatCode="0.0%">
                        <c:v>-0.0694444444444444</c:v>
                      </c:pt>
                      <c:pt idx="50" c:formatCode="0.0%">
                        <c:v>-0.104477611940298</c:v>
                      </c:pt>
                      <c:pt idx="51" c:formatCode="0.0%">
                        <c:v>-0.1</c:v>
                      </c:pt>
                      <c:pt idx="52" c:formatCode="0.0%">
                        <c:v>-0.0555555555555556</c:v>
                      </c:pt>
                      <c:pt idx="53" c:formatCode="0.0%">
                        <c:v>-0.0294117647058824</c:v>
                      </c:pt>
                      <c:pt idx="54" c:formatCode="0.0%">
                        <c:v>-0.0303030303030303</c:v>
                      </c:pt>
                      <c:pt idx="55" c:formatCode="0.0%">
                        <c:v>-0.0104166666666666</c:v>
                      </c:pt>
                      <c:pt idx="56" c:formatCode="0.0%">
                        <c:v>0</c:v>
                      </c:pt>
                      <c:pt idx="57" c:formatCode="0.0%">
                        <c:v>0.0526315789473684</c:v>
                      </c:pt>
                      <c:pt idx="58" c:formatCode="0.0%">
                        <c:v>0.02</c:v>
                      </c:pt>
                      <c:pt idx="59" c:formatCode="0.0%">
                        <c:v>0.117647058823529</c:v>
                      </c:pt>
                      <c:pt idx="60" c:formatCode="0.0%">
                        <c:v>0.0877192982456141</c:v>
                      </c:pt>
                      <c:pt idx="61" c:formatCode="0.0%">
                        <c:v>0.0241935483870968</c:v>
                      </c:pt>
                      <c:pt idx="62" c:formatCode="0.0%">
                        <c:v>0.0708661417322836</c:v>
                      </c:pt>
                      <c:pt idx="63" c:formatCode="0.0%">
                        <c:v>0.102941176470588</c:v>
                      </c:pt>
                      <c:pt idx="64" c:formatCode="0.0%">
                        <c:v>0.0666666666666667</c:v>
                      </c:pt>
                      <c:pt idx="65" c:formatCode="0.0%">
                        <c:v>0.0375000000000001</c:v>
                      </c:pt>
                      <c:pt idx="66" c:formatCode="0.0%">
                        <c:v>0.0481927710843373</c:v>
                      </c:pt>
                      <c:pt idx="67" c:formatCode="0.0%">
                        <c:v>0.0344827586206897</c:v>
                      </c:pt>
                      <c:pt idx="68" c:formatCode="0.0%">
                        <c:v>0</c:v>
                      </c:pt>
                      <c:pt idx="69" c:formatCode="0.0%">
                        <c:v>0</c:v>
                      </c:pt>
                      <c:pt idx="70" c:formatCode="0.0%">
                        <c:v>-0.111111111111111</c:v>
                      </c:pt>
                      <c:pt idx="71" c:formatCode="0.0%">
                        <c:v>-0.025</c:v>
                      </c:pt>
                      <c:pt idx="72" c:formatCode="0.0%">
                        <c:v>-0.0641025641025641</c:v>
                      </c:pt>
                      <c:pt idx="73" c:formatCode="0.0%">
                        <c:v>-0.0547945205479452</c:v>
                      </c:pt>
                      <c:pt idx="74" c:formatCode="0.0%">
                        <c:v>0</c:v>
                      </c:pt>
                      <c:pt idx="75" c:formatCode="0.0%">
                        <c:v>0.0724637681159421</c:v>
                      </c:pt>
                      <c:pt idx="76" c:formatCode="0.0%">
                        <c:v>0.148648648648649</c:v>
                      </c:pt>
                      <c:pt idx="77" c:formatCode="0.0%">
                        <c:v>0.529411764705882</c:v>
                      </c:pt>
                      <c:pt idx="78" c:formatCode="0.0%">
                        <c:v>0.0153846153846153</c:v>
                      </c:pt>
                      <c:pt idx="79" c:formatCode="0.0%">
                        <c:v>0.0227272727272727</c:v>
                      </c:pt>
                      <c:pt idx="80" c:formatCode="0.0%">
                        <c:v>0.0222222222222221</c:v>
                      </c:pt>
                      <c:pt idx="81" c:formatCode="0.0%">
                        <c:v>0.268115942028986</c:v>
                      </c:pt>
                      <c:pt idx="82" c:formatCode="0.0%">
                        <c:v>0.251428571428571</c:v>
                      </c:pt>
                      <c:pt idx="83" c:formatCode="0.0%">
                        <c:v>0.200913242009132</c:v>
                      </c:pt>
                      <c:pt idx="84" c:formatCode="0.0%">
                        <c:v>0.642585551330799</c:v>
                      </c:pt>
                      <c:pt idx="85" c:formatCode="0.0%">
                        <c:v>0</c:v>
                      </c:pt>
                      <c:pt idx="86" c:formatCode="0.0%">
                        <c:v>0</c:v>
                      </c:pt>
                      <c:pt idx="87" c:formatCode="0.0%">
                        <c:v>0.527777777777778</c:v>
                      </c:pt>
                      <c:pt idx="88" c:formatCode="0.0%">
                        <c:v>0</c:v>
                      </c:pt>
                    </c:numCache>
                  </c:numRef>
                </c:val>
                <c:smooth val="0"/>
              </c15:ser>
            </c15:filteredLineSeries>
          </c:ext>
        </c:extLst>
      </c:lineChart>
      <c:dateAx>
        <c:axId val="343836239"/>
        <c:scaling>
          <c:orientation val="minMax"/>
        </c:scaling>
        <c:delete val="0"/>
        <c:axPos val="b"/>
        <c:majorGridlines>
          <c:spPr>
            <a:ln w="12700" cap="flat" cmpd="sng" algn="ctr">
              <a:solidFill>
                <a:schemeClr val="tx1">
                  <a:tint val="75000"/>
                </a:schemeClr>
              </a:solidFill>
              <a:prstDash val="dash"/>
              <a:round/>
            </a:ln>
          </c:spPr>
        </c:majorGridlines>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397772911"/>
        <c:crosses val="autoZero"/>
        <c:auto val="1"/>
        <c:lblOffset val="100"/>
        <c:baseTimeUnit val="months"/>
        <c:majorUnit val="3"/>
        <c:majorTimeUnit val="months"/>
      </c:dateAx>
      <c:valAx>
        <c:axId val="397772911"/>
        <c:scaling>
          <c:orientation val="minMax"/>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US$/GB</a:t>
                </a:r>
                <a:endParaRPr lang="en-US"/>
              </a:p>
            </c:rich>
          </c:tx>
          <c:layout/>
          <c:overlay val="0"/>
        </c:title>
        <c:numFmt formatCode="General"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343836239"/>
        <c:crosses val="autoZero"/>
        <c:crossBetween val="between"/>
      </c:valAx>
      <c:dateAx>
        <c:axId val="407487231"/>
        <c:scaling>
          <c:orientation val="minMax"/>
        </c:scaling>
        <c:delete val="1"/>
        <c:axPos val="b"/>
        <c:numFmt formatCode="m/d/yyyy" sourceLinked="1"/>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121678335"/>
        <c:crosses val="autoZero"/>
        <c:auto val="1"/>
        <c:lblOffset val="100"/>
        <c:baseTimeUnit val="months"/>
      </c:dateAx>
      <c:valAx>
        <c:axId val="1121678335"/>
        <c:scaling>
          <c:orientation val="minMax"/>
          <c:min val="-0.2"/>
        </c:scaling>
        <c:delete val="0"/>
        <c:axPos val="r"/>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MoM</a:t>
                </a:r>
                <a:endParaRPr lang="en-US"/>
              </a:p>
            </c:rich>
          </c:tx>
          <c:layout/>
          <c:overlay val="0"/>
        </c:title>
        <c:numFmt formatCode="0%" sourceLinked="1"/>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407487231"/>
        <c:crosses val="max"/>
        <c:crossBetween val="between"/>
      </c:valAx>
      <c:spPr>
        <a:noFill/>
        <a:ln w="25400">
          <a:noFill/>
        </a:ln>
      </c:spPr>
    </c:plotArea>
    <c:legend>
      <c:legendPos val="b"/>
      <c:layout>
        <c:manualLayout>
          <c:xMode val="edge"/>
          <c:yMode val="edge"/>
          <c:x val="0.179189118278837"/>
          <c:y val="0.890791974065488"/>
          <c:w val="0.694111956042481"/>
          <c:h val="0.0782872314567549"/>
        </c:manualLayout>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f39f61ae-b85c-4745-8257-4c2a54e84508}"/>
      </c:ext>
    </c:extLst>
  </c:chart>
  <c:spPr>
    <a:ln w="3175" cap="flat" cmpd="sng" algn="ctr">
      <a:solidFill>
        <a:srgbClr val="FFFFFF"/>
      </a:solidFill>
      <a:prstDash val="solid"/>
      <a:round/>
    </a:ln>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960" b="1" i="0" u="none" strike="noStrike" kern="1200" baseline="0">
                <a:solidFill>
                  <a:schemeClr val="tx1"/>
                </a:solidFill>
                <a:latin typeface="Arial" panose="020B0604020202090204"/>
                <a:ea typeface="Arial" panose="020B0604020202090204"/>
                <a:cs typeface="Arial" panose="020B0604020202090204"/>
              </a:defRPr>
            </a:pPr>
            <a:r>
              <a:rPr lang="en-US"/>
              <a:t>Server DRAM Module (DDR4 32GB </a:t>
            </a:r>
            <a:r>
              <a:rPr lang="en-US" sz="960" b="1" i="0" u="none" strike="noStrike" baseline="0">
                <a:effectLst/>
              </a:rPr>
              <a:t>RDIMM</a:t>
            </a:r>
            <a:r>
              <a:rPr lang="en-US"/>
              <a:t>) Spot &amp; Contract Price</a:t>
            </a:r>
            <a:endParaRPr lang="en-US"/>
          </a:p>
        </c:rich>
      </c:tx>
      <c:layout/>
      <c:overlay val="0"/>
    </c:title>
    <c:autoTitleDeleted val="0"/>
    <c:plotArea>
      <c:layout/>
      <c:lineChart>
        <c:grouping val="standard"/>
        <c:varyColors val="0"/>
        <c:ser>
          <c:idx val="0"/>
          <c:order val="0"/>
          <c:tx>
            <c:strRef>
              <c:f>DRAM!$AT$27</c:f>
              <c:strCache>
                <c:ptCount val="1"/>
                <c:pt idx="0">
                  <c:v>Spot</c:v>
                </c:pt>
              </c:strCache>
            </c:strRef>
          </c:tx>
          <c:spPr>
            <a:ln w="19050" cap="rnd" cmpd="sng" algn="ctr">
              <a:solidFill>
                <a:schemeClr val="accent1"/>
              </a:solidFill>
              <a:prstDash val="solid"/>
              <a:round/>
            </a:ln>
          </c:spPr>
          <c:marker>
            <c:symbol val="none"/>
          </c:marker>
          <c:dLbls>
            <c:delete val="1"/>
          </c:dLbls>
          <c:cat>
            <c:numRef>
              <c:f>DRAM!$AS$29:$AS$500</c:f>
              <c:numCache>
                <c:formatCode>m/d/yyyy;@</c:formatCode>
                <c:ptCount val="472"/>
                <c:pt idx="0" c:formatCode="m/d/yyyy;@">
                  <c:v>43479</c:v>
                </c:pt>
                <c:pt idx="1" c:formatCode="m/d/yyyy;@">
                  <c:v>43493</c:v>
                </c:pt>
                <c:pt idx="2" c:formatCode="m/d/yyyy;@">
                  <c:v>43507</c:v>
                </c:pt>
                <c:pt idx="3" c:formatCode="m/d/yyyy;@">
                  <c:v>43514</c:v>
                </c:pt>
                <c:pt idx="4" c:formatCode="m/d/yyyy;@">
                  <c:v>43521</c:v>
                </c:pt>
                <c:pt idx="5" c:formatCode="m/d/yyyy;@">
                  <c:v>43528</c:v>
                </c:pt>
                <c:pt idx="6" c:formatCode="m/d/yyyy;@">
                  <c:v>43535</c:v>
                </c:pt>
                <c:pt idx="7" c:formatCode="m/d/yyyy;@">
                  <c:v>43542</c:v>
                </c:pt>
                <c:pt idx="8" c:formatCode="m/d/yyyy;@">
                  <c:v>43549</c:v>
                </c:pt>
                <c:pt idx="9" c:formatCode="m/d/yyyy;@">
                  <c:v>43556</c:v>
                </c:pt>
                <c:pt idx="10" c:formatCode="m/d/yyyy;@">
                  <c:v>43563</c:v>
                </c:pt>
                <c:pt idx="11" c:formatCode="m/d/yyyy;@">
                  <c:v>43570</c:v>
                </c:pt>
                <c:pt idx="12" c:formatCode="m/d/yyyy;@">
                  <c:v>43577</c:v>
                </c:pt>
                <c:pt idx="13" c:formatCode="m/d/yyyy;@">
                  <c:v>43584</c:v>
                </c:pt>
                <c:pt idx="14" c:formatCode="m/d/yyyy;@">
                  <c:v>43591</c:v>
                </c:pt>
                <c:pt idx="15" c:formatCode="m/d/yyyy;@">
                  <c:v>43598</c:v>
                </c:pt>
                <c:pt idx="16" c:formatCode="m/d/yyyy;@">
                  <c:v>43605</c:v>
                </c:pt>
                <c:pt idx="17" c:formatCode="m/d/yyyy;@">
                  <c:v>43612</c:v>
                </c:pt>
                <c:pt idx="18" c:formatCode="m/d/yyyy;@">
                  <c:v>43619</c:v>
                </c:pt>
                <c:pt idx="19" c:formatCode="m/d/yyyy;@">
                  <c:v>43626</c:v>
                </c:pt>
                <c:pt idx="20" c:formatCode="m/d/yyyy;@">
                  <c:v>43633</c:v>
                </c:pt>
                <c:pt idx="21" c:formatCode="m/d/yyyy;@">
                  <c:v>43640</c:v>
                </c:pt>
                <c:pt idx="22" c:formatCode="m/d/yyyy;@">
                  <c:v>43647</c:v>
                </c:pt>
                <c:pt idx="23" c:formatCode="m/d/yyyy;@">
                  <c:v>43654</c:v>
                </c:pt>
                <c:pt idx="24" c:formatCode="m/d/yyyy;@">
                  <c:v>43661</c:v>
                </c:pt>
                <c:pt idx="25" c:formatCode="m/d/yyyy;@">
                  <c:v>43668</c:v>
                </c:pt>
                <c:pt idx="26" c:formatCode="m/d/yyyy;@">
                  <c:v>43675</c:v>
                </c:pt>
                <c:pt idx="27" c:formatCode="m/d/yyyy;@">
                  <c:v>43682</c:v>
                </c:pt>
                <c:pt idx="28" c:formatCode="m/d/yyyy;@">
                  <c:v>43689</c:v>
                </c:pt>
                <c:pt idx="29" c:formatCode="m/d/yyyy;@">
                  <c:v>43696</c:v>
                </c:pt>
                <c:pt idx="30" c:formatCode="m/d/yyyy;@">
                  <c:v>43703</c:v>
                </c:pt>
                <c:pt idx="31" c:formatCode="m/d/yyyy;@">
                  <c:v>43710</c:v>
                </c:pt>
                <c:pt idx="32" c:formatCode="m/d/yyyy;@">
                  <c:v>43717</c:v>
                </c:pt>
                <c:pt idx="33" c:formatCode="m/d/yyyy;@">
                  <c:v>43724</c:v>
                </c:pt>
                <c:pt idx="34" c:formatCode="m/d/yyyy;@">
                  <c:v>43731</c:v>
                </c:pt>
                <c:pt idx="35" c:formatCode="m/d/yyyy;@">
                  <c:v>43738</c:v>
                </c:pt>
                <c:pt idx="36" c:formatCode="m/d/yyyy;@">
                  <c:v>43745</c:v>
                </c:pt>
                <c:pt idx="37" c:formatCode="m/d/yyyy;@">
                  <c:v>43752</c:v>
                </c:pt>
                <c:pt idx="38" c:formatCode="m/d/yyyy;@">
                  <c:v>43759</c:v>
                </c:pt>
                <c:pt idx="39" c:formatCode="m/d/yyyy;@">
                  <c:v>43766</c:v>
                </c:pt>
                <c:pt idx="40" c:formatCode="m/d/yyyy;@">
                  <c:v>43773</c:v>
                </c:pt>
                <c:pt idx="41" c:formatCode="m/d/yyyy;@">
                  <c:v>43780</c:v>
                </c:pt>
                <c:pt idx="42" c:formatCode="m/d/yyyy;@">
                  <c:v>43787</c:v>
                </c:pt>
                <c:pt idx="43" c:formatCode="m/d/yyyy;@">
                  <c:v>43794</c:v>
                </c:pt>
                <c:pt idx="44" c:formatCode="m/d/yyyy;@">
                  <c:v>43801</c:v>
                </c:pt>
                <c:pt idx="45" c:formatCode="m/d/yyyy;@">
                  <c:v>43808</c:v>
                </c:pt>
                <c:pt idx="46" c:formatCode="m/d/yyyy;@">
                  <c:v>43815</c:v>
                </c:pt>
                <c:pt idx="47" c:formatCode="m/d/yyyy;@">
                  <c:v>43822</c:v>
                </c:pt>
                <c:pt idx="48" c:formatCode="m/d/yyyy;@">
                  <c:v>43829</c:v>
                </c:pt>
                <c:pt idx="49" c:formatCode="m/d/yyyy;@">
                  <c:v>43836</c:v>
                </c:pt>
                <c:pt idx="50" c:formatCode="m/d/yyyy;@">
                  <c:v>43843</c:v>
                </c:pt>
                <c:pt idx="51" c:formatCode="m/d/yyyy;@">
                  <c:v>43850</c:v>
                </c:pt>
                <c:pt idx="52" c:formatCode="m/d/yyyy;@">
                  <c:v>43864</c:v>
                </c:pt>
                <c:pt idx="53" c:formatCode="m/d/yyyy;@">
                  <c:v>43871</c:v>
                </c:pt>
                <c:pt idx="54" c:formatCode="m/d/yyyy;@">
                  <c:v>43878</c:v>
                </c:pt>
                <c:pt idx="55" c:formatCode="m/d/yyyy;@">
                  <c:v>43885</c:v>
                </c:pt>
                <c:pt idx="56" c:formatCode="m/d/yyyy;@">
                  <c:v>43892</c:v>
                </c:pt>
                <c:pt idx="57" c:formatCode="m/d/yyyy;@">
                  <c:v>43899</c:v>
                </c:pt>
                <c:pt idx="58" c:formatCode="m/d/yyyy;@">
                  <c:v>43906</c:v>
                </c:pt>
                <c:pt idx="59" c:formatCode="m/d/yyyy;@">
                  <c:v>43913</c:v>
                </c:pt>
                <c:pt idx="60" c:formatCode="m/d/yyyy;@">
                  <c:v>43920</c:v>
                </c:pt>
                <c:pt idx="61" c:formatCode="m/d/yyyy;@">
                  <c:v>43927</c:v>
                </c:pt>
                <c:pt idx="62" c:formatCode="m/d/yyyy;@">
                  <c:v>43934</c:v>
                </c:pt>
                <c:pt idx="63" c:formatCode="m/d/yyyy;@">
                  <c:v>43941</c:v>
                </c:pt>
                <c:pt idx="64" c:formatCode="m/d/yyyy;@">
                  <c:v>43948</c:v>
                </c:pt>
                <c:pt idx="65" c:formatCode="m/d/yyyy;@">
                  <c:v>43955</c:v>
                </c:pt>
                <c:pt idx="66" c:formatCode="m/d/yyyy;@">
                  <c:v>43962</c:v>
                </c:pt>
                <c:pt idx="67" c:formatCode="m/d/yyyy;@">
                  <c:v>43969</c:v>
                </c:pt>
                <c:pt idx="68" c:formatCode="m/d/yyyy;@">
                  <c:v>43976</c:v>
                </c:pt>
                <c:pt idx="69" c:formatCode="m/d/yyyy;@">
                  <c:v>43983</c:v>
                </c:pt>
                <c:pt idx="70" c:formatCode="m/d/yyyy;@">
                  <c:v>43990</c:v>
                </c:pt>
                <c:pt idx="71" c:formatCode="m/d/yyyy;@">
                  <c:v>43997</c:v>
                </c:pt>
                <c:pt idx="72" c:formatCode="m/d/yyyy;@">
                  <c:v>44004</c:v>
                </c:pt>
                <c:pt idx="73" c:formatCode="m/d/yyyy;@">
                  <c:v>44011</c:v>
                </c:pt>
                <c:pt idx="74" c:formatCode="m/d/yyyy;@">
                  <c:v>44018</c:v>
                </c:pt>
                <c:pt idx="75" c:formatCode="m/d/yyyy;@">
                  <c:v>44025</c:v>
                </c:pt>
                <c:pt idx="76" c:formatCode="m/d/yyyy;@">
                  <c:v>44032</c:v>
                </c:pt>
                <c:pt idx="77" c:formatCode="m/d/yyyy;@">
                  <c:v>44039</c:v>
                </c:pt>
                <c:pt idx="78" c:formatCode="m/d/yyyy;@">
                  <c:v>44046</c:v>
                </c:pt>
                <c:pt idx="79" c:formatCode="m/d/yyyy;@">
                  <c:v>44053</c:v>
                </c:pt>
                <c:pt idx="80" c:formatCode="m/d/yyyy;@">
                  <c:v>44060</c:v>
                </c:pt>
                <c:pt idx="81" c:formatCode="m/d/yyyy;@">
                  <c:v>44067</c:v>
                </c:pt>
                <c:pt idx="82" c:formatCode="m/d/yyyy;@">
                  <c:v>44074</c:v>
                </c:pt>
                <c:pt idx="83" c:formatCode="m/d/yyyy;@">
                  <c:v>44081</c:v>
                </c:pt>
                <c:pt idx="84" c:formatCode="m/d/yyyy;@">
                  <c:v>44088</c:v>
                </c:pt>
                <c:pt idx="85" c:formatCode="m/d/yyyy;@">
                  <c:v>44095</c:v>
                </c:pt>
                <c:pt idx="86" c:formatCode="m/d/yyyy;@">
                  <c:v>44102</c:v>
                </c:pt>
                <c:pt idx="87" c:formatCode="m/d/yyyy;@">
                  <c:v>44109</c:v>
                </c:pt>
                <c:pt idx="88" c:formatCode="m/d/yyyy;@">
                  <c:v>44116</c:v>
                </c:pt>
                <c:pt idx="89" c:formatCode="m/d/yyyy;@">
                  <c:v>44123</c:v>
                </c:pt>
                <c:pt idx="90" c:formatCode="m/d/yyyy;@">
                  <c:v>44130</c:v>
                </c:pt>
                <c:pt idx="91" c:formatCode="m/d/yyyy;@">
                  <c:v>44137</c:v>
                </c:pt>
                <c:pt idx="92" c:formatCode="m/d/yyyy;@">
                  <c:v>44144</c:v>
                </c:pt>
                <c:pt idx="93" c:formatCode="m/d/yyyy;@">
                  <c:v>44151</c:v>
                </c:pt>
                <c:pt idx="94" c:formatCode="m/d/yyyy;@">
                  <c:v>44158</c:v>
                </c:pt>
                <c:pt idx="95" c:formatCode="m/d/yyyy;@">
                  <c:v>44165</c:v>
                </c:pt>
                <c:pt idx="96" c:formatCode="m/d/yyyy;@">
                  <c:v>44172</c:v>
                </c:pt>
                <c:pt idx="97" c:formatCode="m/d/yyyy;@">
                  <c:v>44179</c:v>
                </c:pt>
                <c:pt idx="98" c:formatCode="m/d/yyyy;@">
                  <c:v>44186</c:v>
                </c:pt>
                <c:pt idx="99" c:formatCode="m/d/yyyy;@">
                  <c:v>44193</c:v>
                </c:pt>
                <c:pt idx="100" c:formatCode="m/d/yyyy;@">
                  <c:v>44200</c:v>
                </c:pt>
                <c:pt idx="101" c:formatCode="m/d/yyyy;@">
                  <c:v>44207</c:v>
                </c:pt>
                <c:pt idx="102" c:formatCode="m/d/yyyy;@">
                  <c:v>44214</c:v>
                </c:pt>
                <c:pt idx="103" c:formatCode="m/d/yyyy;@">
                  <c:v>44221</c:v>
                </c:pt>
                <c:pt idx="104" c:formatCode="m/d/yyyy;@">
                  <c:v>44228</c:v>
                </c:pt>
                <c:pt idx="105" c:formatCode="m/d/yyyy;@">
                  <c:v>44235</c:v>
                </c:pt>
                <c:pt idx="106" c:formatCode="m/d/yyyy;@">
                  <c:v>44244</c:v>
                </c:pt>
                <c:pt idx="107" c:formatCode="m/d/yyyy;@">
                  <c:v>44249</c:v>
                </c:pt>
                <c:pt idx="108" c:formatCode="m/d/yyyy;@">
                  <c:v>44256</c:v>
                </c:pt>
                <c:pt idx="109" c:formatCode="m/d/yyyy;@">
                  <c:v>44263</c:v>
                </c:pt>
                <c:pt idx="110" c:formatCode="m/d/yyyy;@">
                  <c:v>44270</c:v>
                </c:pt>
                <c:pt idx="111" c:formatCode="m/d/yyyy;@">
                  <c:v>44277</c:v>
                </c:pt>
                <c:pt idx="112" c:formatCode="m/d/yyyy;@">
                  <c:v>44284</c:v>
                </c:pt>
                <c:pt idx="113" c:formatCode="m/d/yyyy;@">
                  <c:v>44292</c:v>
                </c:pt>
                <c:pt idx="114" c:formatCode="m/d/yyyy;@">
                  <c:v>44298</c:v>
                </c:pt>
                <c:pt idx="115" c:formatCode="m/d/yyyy;@">
                  <c:v>44305</c:v>
                </c:pt>
                <c:pt idx="116" c:formatCode="m/d/yyyy;@">
                  <c:v>44312</c:v>
                </c:pt>
                <c:pt idx="117" c:formatCode="m/d/yyyy;@">
                  <c:v>44319</c:v>
                </c:pt>
                <c:pt idx="118" c:formatCode="m/d/yyyy;@">
                  <c:v>44326</c:v>
                </c:pt>
                <c:pt idx="119" c:formatCode="m/d/yyyy;@">
                  <c:v>44333</c:v>
                </c:pt>
                <c:pt idx="120" c:formatCode="m/d/yyyy;@">
                  <c:v>44340</c:v>
                </c:pt>
                <c:pt idx="121" c:formatCode="m/d/yyyy;@">
                  <c:v>44347</c:v>
                </c:pt>
                <c:pt idx="122" c:formatCode="m/d/yyyy;@">
                  <c:v>44354</c:v>
                </c:pt>
                <c:pt idx="123" c:formatCode="m/d/yyyy;@">
                  <c:v>44362</c:v>
                </c:pt>
                <c:pt idx="124" c:formatCode="m/d/yyyy;@">
                  <c:v>44368</c:v>
                </c:pt>
                <c:pt idx="125" c:formatCode="m/d/yyyy;@">
                  <c:v>44375</c:v>
                </c:pt>
                <c:pt idx="126" c:formatCode="m/d/yyyy;@">
                  <c:v>44382</c:v>
                </c:pt>
                <c:pt idx="127" c:formatCode="m/d/yyyy;@">
                  <c:v>44389</c:v>
                </c:pt>
                <c:pt idx="128" c:formatCode="m/d/yyyy;@">
                  <c:v>44396</c:v>
                </c:pt>
                <c:pt idx="129" c:formatCode="m/d/yyyy;@">
                  <c:v>44403</c:v>
                </c:pt>
                <c:pt idx="130" c:formatCode="m/d/yyyy;@">
                  <c:v>44410</c:v>
                </c:pt>
                <c:pt idx="131" c:formatCode="m/d/yyyy;@">
                  <c:v>44417</c:v>
                </c:pt>
                <c:pt idx="132" c:formatCode="m/d/yyyy;@">
                  <c:v>44424</c:v>
                </c:pt>
                <c:pt idx="133" c:formatCode="m/d/yyyy;@">
                  <c:v>44431</c:v>
                </c:pt>
                <c:pt idx="134" c:formatCode="m/d/yyyy;@">
                  <c:v>44438</c:v>
                </c:pt>
                <c:pt idx="135" c:formatCode="m/d/yyyy;@">
                  <c:v>44445</c:v>
                </c:pt>
                <c:pt idx="136" c:formatCode="m/d/yyyy;@">
                  <c:v>44452</c:v>
                </c:pt>
                <c:pt idx="137" c:formatCode="m/d/yyyy;@">
                  <c:v>44461</c:v>
                </c:pt>
                <c:pt idx="138" c:formatCode="m/d/yyyy;@">
                  <c:v>44466</c:v>
                </c:pt>
                <c:pt idx="139" c:formatCode="m/d/yyyy;@">
                  <c:v>44473</c:v>
                </c:pt>
                <c:pt idx="140" c:formatCode="m/d/yyyy;@">
                  <c:v>44480</c:v>
                </c:pt>
                <c:pt idx="141" c:formatCode="m/d/yyyy;@">
                  <c:v>44487</c:v>
                </c:pt>
                <c:pt idx="142" c:formatCode="m/d/yyyy;@">
                  <c:v>44494</c:v>
                </c:pt>
                <c:pt idx="143" c:formatCode="m/d/yyyy;@">
                  <c:v>44501</c:v>
                </c:pt>
                <c:pt idx="144" c:formatCode="m/d/yyyy;@">
                  <c:v>44508</c:v>
                </c:pt>
                <c:pt idx="145" c:formatCode="m/d/yyyy;@">
                  <c:v>44515</c:v>
                </c:pt>
                <c:pt idx="146" c:formatCode="m/d/yyyy;@">
                  <c:v>44522</c:v>
                </c:pt>
                <c:pt idx="147" c:formatCode="m/d/yyyy;@">
                  <c:v>44529</c:v>
                </c:pt>
                <c:pt idx="148" c:formatCode="m/d/yyyy;@">
                  <c:v>44536</c:v>
                </c:pt>
                <c:pt idx="149" c:formatCode="m/d/yyyy;@">
                  <c:v>44543</c:v>
                </c:pt>
                <c:pt idx="150" c:formatCode="m/d/yyyy;@">
                  <c:v>44550</c:v>
                </c:pt>
                <c:pt idx="151" c:formatCode="m/d/yyyy;@">
                  <c:v>44557</c:v>
                </c:pt>
                <c:pt idx="152" c:formatCode="m/d/yyyy;@">
                  <c:v>44564</c:v>
                </c:pt>
                <c:pt idx="153" c:formatCode="m/d/yyyy;@">
                  <c:v>44571</c:v>
                </c:pt>
                <c:pt idx="154" c:formatCode="m/d/yyyy;@">
                  <c:v>44578</c:v>
                </c:pt>
                <c:pt idx="155" c:formatCode="m/d/yyyy;@">
                  <c:v>44585</c:v>
                </c:pt>
                <c:pt idx="156" c:formatCode="m/d/yyyy;@">
                  <c:v>44599</c:v>
                </c:pt>
                <c:pt idx="157" c:formatCode="m/d/yyyy;@">
                  <c:v>44606</c:v>
                </c:pt>
                <c:pt idx="158" c:formatCode="m/d/yyyy;@">
                  <c:v>44613</c:v>
                </c:pt>
                <c:pt idx="159" c:formatCode="m/d/yyyy;@">
                  <c:v>44620</c:v>
                </c:pt>
                <c:pt idx="160" c:formatCode="m/d/yyyy;@">
                  <c:v>44627</c:v>
                </c:pt>
                <c:pt idx="161" c:formatCode="m/d/yyyy;@">
                  <c:v>44634</c:v>
                </c:pt>
                <c:pt idx="162" c:formatCode="m/d/yyyy;@">
                  <c:v>44641</c:v>
                </c:pt>
                <c:pt idx="163" c:formatCode="m/d/yyyy;@">
                  <c:v>44648</c:v>
                </c:pt>
                <c:pt idx="164" c:formatCode="m/d/yyyy;@">
                  <c:v>44657</c:v>
                </c:pt>
                <c:pt idx="165" c:formatCode="m/d/yyyy;@">
                  <c:v>44662</c:v>
                </c:pt>
                <c:pt idx="166" c:formatCode="m/d/yyyy;@">
                  <c:v>44669</c:v>
                </c:pt>
                <c:pt idx="167" c:formatCode="m/d/yyyy;@">
                  <c:v>44676</c:v>
                </c:pt>
                <c:pt idx="168" c:formatCode="m/d/yyyy;@">
                  <c:v>44684</c:v>
                </c:pt>
                <c:pt idx="169" c:formatCode="m/d/yyyy;@">
                  <c:v>44690</c:v>
                </c:pt>
                <c:pt idx="170" c:formatCode="m/d/yyyy;@">
                  <c:v>44697</c:v>
                </c:pt>
                <c:pt idx="171" c:formatCode="m/d/yyyy;@">
                  <c:v>44704</c:v>
                </c:pt>
                <c:pt idx="172" c:formatCode="m/d/yyyy;@">
                  <c:v>44711</c:v>
                </c:pt>
                <c:pt idx="173" c:formatCode="m/d/yyyy;@">
                  <c:v>44718</c:v>
                </c:pt>
                <c:pt idx="174" c:formatCode="m/d/yyyy;@">
                  <c:v>44725</c:v>
                </c:pt>
                <c:pt idx="175" c:formatCode="m/d/yyyy;@">
                  <c:v>44732</c:v>
                </c:pt>
                <c:pt idx="176" c:formatCode="m/d/yyyy;@">
                  <c:v>44739</c:v>
                </c:pt>
                <c:pt idx="177" c:formatCode="m/d/yyyy;@">
                  <c:v>44746</c:v>
                </c:pt>
                <c:pt idx="178" c:formatCode="m/d/yyyy;@">
                  <c:v>44753</c:v>
                </c:pt>
                <c:pt idx="179" c:formatCode="m/d/yyyy;@">
                  <c:v>44760</c:v>
                </c:pt>
                <c:pt idx="180" c:formatCode="m/d/yyyy;@">
                  <c:v>44767</c:v>
                </c:pt>
                <c:pt idx="181" c:formatCode="m/d/yyyy;@">
                  <c:v>44774</c:v>
                </c:pt>
                <c:pt idx="182" c:formatCode="m/d/yyyy;@">
                  <c:v>44781</c:v>
                </c:pt>
                <c:pt idx="183" c:formatCode="m/d/yyyy;@">
                  <c:v>44788</c:v>
                </c:pt>
                <c:pt idx="184" c:formatCode="m/d/yyyy;@">
                  <c:v>44795</c:v>
                </c:pt>
                <c:pt idx="185" c:formatCode="m/d/yyyy;@">
                  <c:v>44802</c:v>
                </c:pt>
                <c:pt idx="186" c:formatCode="m/d/yyyy;@">
                  <c:v>44809</c:v>
                </c:pt>
                <c:pt idx="187" c:formatCode="m/d/yyyy;@">
                  <c:v>44816</c:v>
                </c:pt>
                <c:pt idx="188" c:formatCode="m/d/yyyy;@">
                  <c:v>44823</c:v>
                </c:pt>
                <c:pt idx="189" c:formatCode="m/d/yyyy;@">
                  <c:v>44830</c:v>
                </c:pt>
                <c:pt idx="190" c:formatCode="m/d/yyyy;@">
                  <c:v>44837</c:v>
                </c:pt>
                <c:pt idx="191" c:formatCode="m/d/yyyy;@">
                  <c:v>44844</c:v>
                </c:pt>
                <c:pt idx="192" c:formatCode="m/d/yyyy;@">
                  <c:v>44851</c:v>
                </c:pt>
                <c:pt idx="193" c:formatCode="m/d/yyyy;@">
                  <c:v>44858</c:v>
                </c:pt>
                <c:pt idx="194" c:formatCode="m/d/yyyy;@">
                  <c:v>44865</c:v>
                </c:pt>
                <c:pt idx="195" c:formatCode="m/d/yyyy;@">
                  <c:v>44872</c:v>
                </c:pt>
                <c:pt idx="196" c:formatCode="m/d/yyyy;@">
                  <c:v>44879</c:v>
                </c:pt>
                <c:pt idx="197" c:formatCode="m/d/yyyy;@">
                  <c:v>44886</c:v>
                </c:pt>
                <c:pt idx="198" c:formatCode="m/d/yyyy;@">
                  <c:v>44893</c:v>
                </c:pt>
                <c:pt idx="199" c:formatCode="m/d/yyyy;@">
                  <c:v>44900</c:v>
                </c:pt>
                <c:pt idx="200" c:formatCode="m/d/yyyy;@">
                  <c:v>44907</c:v>
                </c:pt>
                <c:pt idx="201" c:formatCode="m/d/yyyy;@">
                  <c:v>44914</c:v>
                </c:pt>
                <c:pt idx="202" c:formatCode="m/d/yyyy;@">
                  <c:v>44921</c:v>
                </c:pt>
                <c:pt idx="203" c:formatCode="m/d/yyyy;@">
                  <c:v>44928</c:v>
                </c:pt>
                <c:pt idx="204" c:formatCode="m/d/yyyy;@">
                  <c:v>44935</c:v>
                </c:pt>
                <c:pt idx="205" c:formatCode="m/d/yyyy;@">
                  <c:v>44942</c:v>
                </c:pt>
                <c:pt idx="206" c:formatCode="m/d/yyyy;@">
                  <c:v>44956</c:v>
                </c:pt>
                <c:pt idx="207" c:formatCode="m/d/yyyy;@">
                  <c:v>44963</c:v>
                </c:pt>
                <c:pt idx="208" c:formatCode="m/d/yyyy;@">
                  <c:v>44970</c:v>
                </c:pt>
                <c:pt idx="209" c:formatCode="m/d/yyyy;@">
                  <c:v>44977</c:v>
                </c:pt>
                <c:pt idx="210" c:formatCode="m/d/yyyy;@">
                  <c:v>44984</c:v>
                </c:pt>
                <c:pt idx="211" c:formatCode="m/d/yyyy;@">
                  <c:v>44991</c:v>
                </c:pt>
                <c:pt idx="212" c:formatCode="m/d/yyyy;@">
                  <c:v>44998</c:v>
                </c:pt>
                <c:pt idx="213" c:formatCode="m/d/yyyy;@">
                  <c:v>45005</c:v>
                </c:pt>
                <c:pt idx="214" c:formatCode="m/d/yyyy;@">
                  <c:v>45012</c:v>
                </c:pt>
                <c:pt idx="215" c:formatCode="m/d/yyyy;@">
                  <c:v>45019</c:v>
                </c:pt>
                <c:pt idx="216" c:formatCode="m/d/yyyy;@">
                  <c:v>45026</c:v>
                </c:pt>
                <c:pt idx="217" c:formatCode="m/d/yyyy;@">
                  <c:v>45033</c:v>
                </c:pt>
                <c:pt idx="218" c:formatCode="m/d/yyyy;@">
                  <c:v>45040</c:v>
                </c:pt>
                <c:pt idx="219" c:formatCode="m/d/yyyy;@">
                  <c:v>45047</c:v>
                </c:pt>
                <c:pt idx="220" c:formatCode="m/d/yyyy;@">
                  <c:v>45054</c:v>
                </c:pt>
                <c:pt idx="221" c:formatCode="m/d/yyyy;@">
                  <c:v>45061</c:v>
                </c:pt>
                <c:pt idx="222" c:formatCode="m/d/yyyy;@">
                  <c:v>45068</c:v>
                </c:pt>
                <c:pt idx="223" c:formatCode="m/d/yyyy;@">
                  <c:v>45075</c:v>
                </c:pt>
                <c:pt idx="224" c:formatCode="m/d/yyyy;@">
                  <c:v>45082</c:v>
                </c:pt>
                <c:pt idx="225" c:formatCode="m/d/yyyy;@">
                  <c:v>45089</c:v>
                </c:pt>
                <c:pt idx="226" c:formatCode="m/d/yyyy;@">
                  <c:v>45096</c:v>
                </c:pt>
                <c:pt idx="227" c:formatCode="m/d/yyyy;@">
                  <c:v>45103</c:v>
                </c:pt>
                <c:pt idx="228" c:formatCode="m/d/yyyy;@">
                  <c:v>45110</c:v>
                </c:pt>
                <c:pt idx="229" c:formatCode="m/d/yyyy;@">
                  <c:v>45117</c:v>
                </c:pt>
                <c:pt idx="230" c:formatCode="m/d/yyyy;@">
                  <c:v>45124</c:v>
                </c:pt>
                <c:pt idx="231" c:formatCode="m/d/yyyy;@">
                  <c:v>45131</c:v>
                </c:pt>
                <c:pt idx="232" c:formatCode="m/d/yyyy;@">
                  <c:v>45138</c:v>
                </c:pt>
                <c:pt idx="233" c:formatCode="m/d/yyyy;@">
                  <c:v>45145</c:v>
                </c:pt>
                <c:pt idx="234" c:formatCode="m/d/yyyy;@">
                  <c:v>45152</c:v>
                </c:pt>
                <c:pt idx="235" c:formatCode="m/d/yyyy;@">
                  <c:v>45159</c:v>
                </c:pt>
                <c:pt idx="236" c:formatCode="m/d/yyyy;@">
                  <c:v>45166</c:v>
                </c:pt>
                <c:pt idx="237" c:formatCode="m/d/yyyy;@">
                  <c:v>45173</c:v>
                </c:pt>
                <c:pt idx="238" c:formatCode="m/d/yyyy;@">
                  <c:v>45180</c:v>
                </c:pt>
                <c:pt idx="239" c:formatCode="m/d/yyyy;@">
                  <c:v>45187</c:v>
                </c:pt>
                <c:pt idx="240" c:formatCode="m/d/yyyy;@">
                  <c:v>45194</c:v>
                </c:pt>
                <c:pt idx="241" c:formatCode="m/d/yyyy;@">
                  <c:v>45201</c:v>
                </c:pt>
                <c:pt idx="242" c:formatCode="m/d/yyyy;@">
                  <c:v>45208</c:v>
                </c:pt>
                <c:pt idx="243" c:formatCode="m/d/yyyy;@">
                  <c:v>45215</c:v>
                </c:pt>
                <c:pt idx="244" c:formatCode="m/d/yyyy;@">
                  <c:v>45222</c:v>
                </c:pt>
                <c:pt idx="245" c:formatCode="m/d/yyyy;@">
                  <c:v>45229</c:v>
                </c:pt>
                <c:pt idx="246" c:formatCode="m/d/yyyy;@">
                  <c:v>45236</c:v>
                </c:pt>
                <c:pt idx="247" c:formatCode="m/d/yyyy;@">
                  <c:v>45243</c:v>
                </c:pt>
                <c:pt idx="248" c:formatCode="m/d/yyyy;@">
                  <c:v>45250</c:v>
                </c:pt>
                <c:pt idx="249" c:formatCode="m/d/yyyy;@">
                  <c:v>45257</c:v>
                </c:pt>
                <c:pt idx="250" c:formatCode="m/d/yyyy;@">
                  <c:v>45264</c:v>
                </c:pt>
                <c:pt idx="251" c:formatCode="m/d/yyyy;@">
                  <c:v>45271</c:v>
                </c:pt>
                <c:pt idx="252" c:formatCode="m/d/yyyy;@">
                  <c:v>45278</c:v>
                </c:pt>
                <c:pt idx="253" c:formatCode="m/d/yyyy;@">
                  <c:v>45285</c:v>
                </c:pt>
                <c:pt idx="254" c:formatCode="m/d/yyyy;@">
                  <c:v>45292</c:v>
                </c:pt>
                <c:pt idx="255" c:formatCode="m/d/yyyy;@">
                  <c:v>45299</c:v>
                </c:pt>
                <c:pt idx="256" c:formatCode="m/d/yyyy;@">
                  <c:v>45306</c:v>
                </c:pt>
                <c:pt idx="257" c:formatCode="m/d/yyyy;@">
                  <c:v>45313</c:v>
                </c:pt>
                <c:pt idx="258" c:formatCode="m/d/yyyy;@">
                  <c:v>45320</c:v>
                </c:pt>
                <c:pt idx="259" c:formatCode="m/d/yyyy;@">
                  <c:v>45327</c:v>
                </c:pt>
                <c:pt idx="260" c:formatCode="m/d/yyyy;@">
                  <c:v>45334</c:v>
                </c:pt>
                <c:pt idx="261" c:formatCode="m/d/yyyy;@">
                  <c:v>45341</c:v>
                </c:pt>
                <c:pt idx="262" c:formatCode="m/d/yyyy;@">
                  <c:v>45348</c:v>
                </c:pt>
                <c:pt idx="263" c:formatCode="m/d/yyyy;@">
                  <c:v>45355</c:v>
                </c:pt>
                <c:pt idx="264" c:formatCode="m/d/yyyy;@">
                  <c:v>45362</c:v>
                </c:pt>
                <c:pt idx="265" c:formatCode="m/d/yyyy;@">
                  <c:v>45369</c:v>
                </c:pt>
                <c:pt idx="266" c:formatCode="m/d/yyyy;@">
                  <c:v>45376</c:v>
                </c:pt>
                <c:pt idx="267" c:formatCode="m/d/yyyy;@">
                  <c:v>45383</c:v>
                </c:pt>
                <c:pt idx="268" c:formatCode="m/d/yyyy;@">
                  <c:v>45390</c:v>
                </c:pt>
                <c:pt idx="269" c:formatCode="m/d/yyyy;@">
                  <c:v>45397</c:v>
                </c:pt>
                <c:pt idx="270" c:formatCode="m/d/yyyy;@">
                  <c:v>45404</c:v>
                </c:pt>
                <c:pt idx="271" c:formatCode="m/d/yyyy;@">
                  <c:v>45411</c:v>
                </c:pt>
                <c:pt idx="272" c:formatCode="m/d/yyyy;@">
                  <c:v>45418</c:v>
                </c:pt>
                <c:pt idx="273" c:formatCode="m/d/yyyy;@">
                  <c:v>45425</c:v>
                </c:pt>
                <c:pt idx="274" c:formatCode="m/d/yyyy;@">
                  <c:v>45432</c:v>
                </c:pt>
                <c:pt idx="275" c:formatCode="m/d/yyyy;@">
                  <c:v>45439</c:v>
                </c:pt>
                <c:pt idx="276" c:formatCode="m/d/yyyy;@">
                  <c:v>45446</c:v>
                </c:pt>
                <c:pt idx="277" c:formatCode="m/d/yyyy;@">
                  <c:v>45454</c:v>
                </c:pt>
                <c:pt idx="278" c:formatCode="m/d/yyyy;@">
                  <c:v>45460</c:v>
                </c:pt>
                <c:pt idx="279" c:formatCode="m/d/yyyy;@">
                  <c:v>45467</c:v>
                </c:pt>
                <c:pt idx="280" c:formatCode="m/d/yyyy;@">
                  <c:v>45474</c:v>
                </c:pt>
                <c:pt idx="281" c:formatCode="m/d/yyyy;@">
                  <c:v>45481</c:v>
                </c:pt>
                <c:pt idx="282" c:formatCode="m/d/yyyy;@">
                  <c:v>45488</c:v>
                </c:pt>
                <c:pt idx="283" c:formatCode="m/d/yyyy;@">
                  <c:v>45495</c:v>
                </c:pt>
                <c:pt idx="284" c:formatCode="m/d/yyyy;@">
                  <c:v>45502</c:v>
                </c:pt>
                <c:pt idx="285" c:formatCode="m/d/yyyy;@">
                  <c:v>45509</c:v>
                </c:pt>
                <c:pt idx="286" c:formatCode="m/d/yyyy;@">
                  <c:v>45516</c:v>
                </c:pt>
                <c:pt idx="287" c:formatCode="m/d/yyyy;@">
                  <c:v>45523</c:v>
                </c:pt>
                <c:pt idx="288" c:formatCode="m/d/yyyy;@">
                  <c:v>45530</c:v>
                </c:pt>
                <c:pt idx="289" c:formatCode="m/d/yyyy;@">
                  <c:v>45537</c:v>
                </c:pt>
                <c:pt idx="290" c:formatCode="m/d/yyyy;@">
                  <c:v>45544</c:v>
                </c:pt>
                <c:pt idx="291" c:formatCode="m/d/yyyy;@">
                  <c:v>45551</c:v>
                </c:pt>
                <c:pt idx="292" c:formatCode="m/d/yyyy;@">
                  <c:v>45558</c:v>
                </c:pt>
                <c:pt idx="293" c:formatCode="m/d/yyyy;@">
                  <c:v>45565</c:v>
                </c:pt>
                <c:pt idx="294" c:formatCode="m/d/yyyy;@">
                  <c:v>45572</c:v>
                </c:pt>
                <c:pt idx="295" c:formatCode="m/d/yyyy;@">
                  <c:v>45579</c:v>
                </c:pt>
                <c:pt idx="296" c:formatCode="m/d/yyyy;@">
                  <c:v>45586</c:v>
                </c:pt>
                <c:pt idx="297" c:formatCode="m/d/yyyy;@">
                  <c:v>45593</c:v>
                </c:pt>
                <c:pt idx="298" c:formatCode="m/d/yyyy;@">
                  <c:v>45600</c:v>
                </c:pt>
                <c:pt idx="299" c:formatCode="m/d/yyyy;@">
                  <c:v>45607</c:v>
                </c:pt>
                <c:pt idx="300" c:formatCode="m/d/yyyy;@">
                  <c:v>45614</c:v>
                </c:pt>
                <c:pt idx="301" c:formatCode="m/d/yyyy;@">
                  <c:v>45621</c:v>
                </c:pt>
                <c:pt idx="302" c:formatCode="m/d/yyyy;@">
                  <c:v>45628</c:v>
                </c:pt>
                <c:pt idx="303" c:formatCode="m/d/yyyy;@">
                  <c:v>45635</c:v>
                </c:pt>
                <c:pt idx="304" c:formatCode="m/d/yyyy;@">
                  <c:v>45642</c:v>
                </c:pt>
                <c:pt idx="305" c:formatCode="m/d/yyyy;@">
                  <c:v>45649</c:v>
                </c:pt>
                <c:pt idx="306" c:formatCode="m/d/yyyy;@">
                  <c:v>45656</c:v>
                </c:pt>
                <c:pt idx="307" c:formatCode="m/d/yyyy;@">
                  <c:v>45663</c:v>
                </c:pt>
                <c:pt idx="308" c:formatCode="m/d/yyyy;@">
                  <c:v>45670</c:v>
                </c:pt>
                <c:pt idx="309" c:formatCode="m/d/yyyy;@">
                  <c:v>45677</c:v>
                </c:pt>
                <c:pt idx="310" c:formatCode="m/d/yyyy;@">
                  <c:v>45684</c:v>
                </c:pt>
                <c:pt idx="311" c:formatCode="m/d/yyyy;@">
                  <c:v>45691</c:v>
                </c:pt>
                <c:pt idx="312" c:formatCode="m/d/yyyy;@">
                  <c:v>45698</c:v>
                </c:pt>
                <c:pt idx="313" c:formatCode="m/d/yyyy;@">
                  <c:v>45705</c:v>
                </c:pt>
                <c:pt idx="314" c:formatCode="m/d/yyyy;@">
                  <c:v>45712</c:v>
                </c:pt>
                <c:pt idx="315" c:formatCode="m/d/yyyy;@">
                  <c:v>45719</c:v>
                </c:pt>
                <c:pt idx="316" c:formatCode="m/d/yyyy;@">
                  <c:v>45726</c:v>
                </c:pt>
                <c:pt idx="317" c:formatCode="m/d/yyyy;@">
                  <c:v>45733</c:v>
                </c:pt>
                <c:pt idx="318" c:formatCode="m/d/yyyy;@">
                  <c:v>45740</c:v>
                </c:pt>
                <c:pt idx="319" c:formatCode="m/d/yyyy;@">
                  <c:v>45747</c:v>
                </c:pt>
                <c:pt idx="320" c:formatCode="m/d/yyyy;@">
                  <c:v>45754</c:v>
                </c:pt>
                <c:pt idx="321" c:formatCode="m/d/yyyy;@">
                  <c:v>45761</c:v>
                </c:pt>
                <c:pt idx="322" c:formatCode="m/d/yyyy;@">
                  <c:v>45768</c:v>
                </c:pt>
                <c:pt idx="323" c:formatCode="m/d/yyyy;@">
                  <c:v>45775</c:v>
                </c:pt>
                <c:pt idx="324" c:formatCode="m/d/yyyy;@">
                  <c:v>45782</c:v>
                </c:pt>
                <c:pt idx="325" c:formatCode="m/d/yyyy;@">
                  <c:v>45789</c:v>
                </c:pt>
                <c:pt idx="326" c:formatCode="m/d/yyyy;@">
                  <c:v>45796</c:v>
                </c:pt>
                <c:pt idx="327" c:formatCode="m/d/yyyy;@">
                  <c:v>45803</c:v>
                </c:pt>
                <c:pt idx="328" c:formatCode="m/d/yyyy;@">
                  <c:v>45810</c:v>
                </c:pt>
                <c:pt idx="329" c:formatCode="m/d/yyyy;@">
                  <c:v>45817</c:v>
                </c:pt>
                <c:pt idx="330" c:formatCode="m/d/yyyy;@">
                  <c:v>45824</c:v>
                </c:pt>
                <c:pt idx="331" c:formatCode="m/d/yyyy;@">
                  <c:v>45831</c:v>
                </c:pt>
                <c:pt idx="332" c:formatCode="m/d/yyyy;@">
                  <c:v>45838</c:v>
                </c:pt>
                <c:pt idx="333" c:formatCode="m/d/yyyy;@">
                  <c:v>45845</c:v>
                </c:pt>
                <c:pt idx="334" c:formatCode="m/d/yyyy;@">
                  <c:v>45852</c:v>
                </c:pt>
                <c:pt idx="335" c:formatCode="m/d/yyyy;@">
                  <c:v>45859</c:v>
                </c:pt>
                <c:pt idx="336" c:formatCode="m/d/yyyy;@">
                  <c:v>45866</c:v>
                </c:pt>
                <c:pt idx="337" c:formatCode="m/d/yyyy;@">
                  <c:v>45873</c:v>
                </c:pt>
                <c:pt idx="338" c:formatCode="m/d/yyyy;@">
                  <c:v>45880</c:v>
                </c:pt>
                <c:pt idx="339" c:formatCode="m/d/yyyy;@">
                  <c:v>45887</c:v>
                </c:pt>
                <c:pt idx="340" c:formatCode="m/d/yyyy;@">
                  <c:v>45894</c:v>
                </c:pt>
                <c:pt idx="341" c:formatCode="m/d/yyyy;@">
                  <c:v>45901</c:v>
                </c:pt>
                <c:pt idx="342" c:formatCode="m/d/yyyy;@">
                  <c:v>45908</c:v>
                </c:pt>
                <c:pt idx="343" c:formatCode="m/d/yyyy;@">
                  <c:v>45915</c:v>
                </c:pt>
                <c:pt idx="344" c:formatCode="m/d/yyyy;@">
                  <c:v>45922</c:v>
                </c:pt>
                <c:pt idx="345" c:formatCode="m/d/yyyy;@">
                  <c:v>45929</c:v>
                </c:pt>
                <c:pt idx="346" c:formatCode="m/d/yyyy;@">
                  <c:v>45936</c:v>
                </c:pt>
                <c:pt idx="347" c:formatCode="m/d/yyyy;@">
                  <c:v>45943</c:v>
                </c:pt>
                <c:pt idx="348" c:formatCode="m/d/yyyy;@">
                  <c:v>45950</c:v>
                </c:pt>
                <c:pt idx="349" c:formatCode="m/d/yyyy;@">
                  <c:v>45957</c:v>
                </c:pt>
                <c:pt idx="350" c:formatCode="m/d/yyyy;@">
                  <c:v>45964</c:v>
                </c:pt>
                <c:pt idx="351" c:formatCode="m/d/yyyy;@">
                  <c:v>45971</c:v>
                </c:pt>
                <c:pt idx="352" c:formatCode="m/d/yyyy;@">
                  <c:v>45978</c:v>
                </c:pt>
                <c:pt idx="353" c:formatCode="m/d/yyyy;@">
                  <c:v>45985</c:v>
                </c:pt>
                <c:pt idx="354" c:formatCode="m/d/yyyy;@">
                  <c:v>45992</c:v>
                </c:pt>
                <c:pt idx="355" c:formatCode="m/d/yyyy;@">
                  <c:v>45999</c:v>
                </c:pt>
                <c:pt idx="356" c:formatCode="m/d/yyyy;@">
                  <c:v>46006</c:v>
                </c:pt>
                <c:pt idx="357" c:formatCode="m/d/yyyy;@">
                  <c:v>46013</c:v>
                </c:pt>
                <c:pt idx="358" c:formatCode="m/d/yyyy;@">
                  <c:v>46020</c:v>
                </c:pt>
                <c:pt idx="359" c:formatCode="m/d/yyyy;@">
                  <c:v>46027</c:v>
                </c:pt>
                <c:pt idx="360" c:formatCode="m/d/yyyy;@">
                  <c:v>46034</c:v>
                </c:pt>
                <c:pt idx="361" c:formatCode="m/d/yyyy;@">
                  <c:v>46041</c:v>
                </c:pt>
                <c:pt idx="362" c:formatCode="m/d/yyyy;@">
                  <c:v>46048</c:v>
                </c:pt>
                <c:pt idx="363" c:formatCode="m/d/yyyy;@">
                  <c:v>46055</c:v>
                </c:pt>
                <c:pt idx="364" c:formatCode="m/d/yyyy;@">
                  <c:v>46062</c:v>
                </c:pt>
                <c:pt idx="365" c:formatCode="m/d/yyyy;@">
                  <c:v>46076</c:v>
                </c:pt>
                <c:pt idx="366" c:formatCode="m/d/yyyy;@">
                  <c:v>46083</c:v>
                </c:pt>
                <c:pt idx="367" c:formatCode="m/d/yyyy;@">
                  <c:v>46090</c:v>
                </c:pt>
                <c:pt idx="368" c:formatCode="m/d/yyyy;@">
                  <c:v>46097</c:v>
                </c:pt>
                <c:pt idx="369" c:formatCode="m/d/yyyy;@">
                  <c:v>46104</c:v>
                </c:pt>
                <c:pt idx="370" c:formatCode="m/d/yyyy;@">
                  <c:v>46111</c:v>
                </c:pt>
                <c:pt idx="371" c:formatCode="m/d/yyyy;@">
                  <c:v>46119</c:v>
                </c:pt>
                <c:pt idx="372" c:formatCode="m/d/yyyy;@">
                  <c:v>46125</c:v>
                </c:pt>
                <c:pt idx="373" c:formatCode="m/d/yyyy;@">
                  <c:v>46132</c:v>
                </c:pt>
                <c:pt idx="374" c:formatCode="m/d/yyyy;@">
                  <c:v>46139</c:v>
                </c:pt>
                <c:pt idx="375" c:formatCode="m/d/yyyy;@">
                  <c:v>46146</c:v>
                </c:pt>
                <c:pt idx="376" c:formatCode="m/d/yyyy;@">
                  <c:v>46153</c:v>
                </c:pt>
                <c:pt idx="377" c:formatCode="m/d/yyyy;@">
                  <c:v>46160</c:v>
                </c:pt>
                <c:pt idx="378" c:formatCode="m/d/yyyy;@">
                  <c:v>46167</c:v>
                </c:pt>
                <c:pt idx="379" c:formatCode="m/d/yyyy;@">
                  <c:v>46174</c:v>
                </c:pt>
              </c:numCache>
            </c:numRef>
          </c:cat>
          <c:val>
            <c:numRef>
              <c:f>DRAM!$AT$29:$AT$500</c:f>
              <c:numCache>
                <c:formatCode>General</c:formatCode>
                <c:ptCount val="472"/>
                <c:pt idx="131" c:formatCode="_(* #,##0_);_(* \(#,##0\);_(* &quot;-&quot;??_);_(@_)">
                  <c:v>159</c:v>
                </c:pt>
                <c:pt idx="132" c:formatCode="_(* #,##0_);_(* \(#,##0\);_(* &quot;-&quot;??_);_(@_)">
                  <c:v>158.5</c:v>
                </c:pt>
                <c:pt idx="133" c:formatCode="_(* #,##0_);_(* \(#,##0\);_(* &quot;-&quot;??_);_(@_)">
                  <c:v>159.5</c:v>
                </c:pt>
                <c:pt idx="134" c:formatCode="_(* #,##0_);_(* \(#,##0\);_(* &quot;-&quot;??_);_(@_)">
                  <c:v>158.5</c:v>
                </c:pt>
                <c:pt idx="135" c:formatCode="_(* #,##0_);_(* \(#,##0\);_(* &quot;-&quot;??_);_(@_)">
                  <c:v>158</c:v>
                </c:pt>
                <c:pt idx="136" c:formatCode="_(* #,##0_);_(* \(#,##0\);_(* &quot;-&quot;??_);_(@_)">
                  <c:v>157</c:v>
                </c:pt>
                <c:pt idx="137" c:formatCode="_(* #,##0_);_(* \(#,##0\);_(* &quot;-&quot;??_);_(@_)">
                  <c:v>157</c:v>
                </c:pt>
                <c:pt idx="138" c:formatCode="_(* #,##0_);_(* \(#,##0\);_(* &quot;-&quot;??_);_(@_)">
                  <c:v>156.8</c:v>
                </c:pt>
                <c:pt idx="139" c:formatCode="_(* #,##0_);_(* \(#,##0\);_(* &quot;-&quot;??_);_(@_)">
                  <c:v>155</c:v>
                </c:pt>
                <c:pt idx="140" c:formatCode="_(* #,##0_);_(* \(#,##0\);_(* &quot;-&quot;??_);_(@_)">
                  <c:v>154.5</c:v>
                </c:pt>
                <c:pt idx="141" c:formatCode="_(* #,##0_);_(* \(#,##0\);_(* &quot;-&quot;??_);_(@_)">
                  <c:v>154.5</c:v>
                </c:pt>
                <c:pt idx="142" c:formatCode="_(* #,##0_);_(* \(#,##0\);_(* &quot;-&quot;??_);_(@_)">
                  <c:v>153</c:v>
                </c:pt>
                <c:pt idx="143" c:formatCode="_(* #,##0_);_(* \(#,##0\);_(* &quot;-&quot;??_);_(@_)">
                  <c:v>152</c:v>
                </c:pt>
                <c:pt idx="144" c:formatCode="_(* #,##0_);_(* \(#,##0\);_(* &quot;-&quot;??_);_(@_)">
                  <c:v>151.5</c:v>
                </c:pt>
                <c:pt idx="145" c:formatCode="_(* #,##0_);_(* \(#,##0\);_(* &quot;-&quot;??_);_(@_)">
                  <c:v>148</c:v>
                </c:pt>
                <c:pt idx="146" c:formatCode="_(* #,##0_);_(* \(#,##0\);_(* &quot;-&quot;??_);_(@_)">
                  <c:v>147</c:v>
                </c:pt>
                <c:pt idx="147" c:formatCode="_(* #,##0_);_(* \(#,##0\);_(* &quot;-&quot;??_);_(@_)">
                  <c:v>143</c:v>
                </c:pt>
                <c:pt idx="148" c:formatCode="_(* #,##0_);_(* \(#,##0\);_(* &quot;-&quot;??_);_(@_)">
                  <c:v>142</c:v>
                </c:pt>
                <c:pt idx="149" c:formatCode="_(* #,##0_);_(* \(#,##0\);_(* &quot;-&quot;??_);_(@_)">
                  <c:v>144.5</c:v>
                </c:pt>
                <c:pt idx="150" c:formatCode="_(* #,##0_);_(* \(#,##0\);_(* &quot;-&quot;??_);_(@_)">
                  <c:v>142</c:v>
                </c:pt>
                <c:pt idx="151" c:formatCode="_(* #,##0_);_(* \(#,##0\);_(* &quot;-&quot;??_);_(@_)">
                  <c:v>148</c:v>
                </c:pt>
                <c:pt idx="152" c:formatCode="_(* #,##0_);_(* \(#,##0\);_(* &quot;-&quot;??_);_(@_)">
                  <c:v>148.5</c:v>
                </c:pt>
                <c:pt idx="153" c:formatCode="_(* #,##0_);_(* \(#,##0\);_(* &quot;-&quot;??_);_(@_)">
                  <c:v>146</c:v>
                </c:pt>
                <c:pt idx="154" c:formatCode="_(* #,##0_);_(* \(#,##0\);_(* &quot;-&quot;??_);_(@_)">
                  <c:v>145</c:v>
                </c:pt>
                <c:pt idx="155" c:formatCode="_(* #,##0_);_(* \(#,##0\);_(* &quot;-&quot;??_);_(@_)">
                  <c:v>143</c:v>
                </c:pt>
                <c:pt idx="156" c:formatCode="_(* #,##0_);_(* \(#,##0\);_(* &quot;-&quot;??_);_(@_)">
                  <c:v>142</c:v>
                </c:pt>
                <c:pt idx="157" c:formatCode="_(* #,##0_);_(* \(#,##0\);_(* &quot;-&quot;??_);_(@_)">
                  <c:v>149</c:v>
                </c:pt>
                <c:pt idx="158" c:formatCode="_(* #,##0_);_(* \(#,##0\);_(* &quot;-&quot;??_);_(@_)">
                  <c:v>147</c:v>
                </c:pt>
                <c:pt idx="159" c:formatCode="_(* #,##0_);_(* \(#,##0\);_(* &quot;-&quot;??_);_(@_)">
                  <c:v>145</c:v>
                </c:pt>
                <c:pt idx="160" c:formatCode="_(* #,##0_);_(* \(#,##0\);_(* &quot;-&quot;??_);_(@_)">
                  <c:v>144</c:v>
                </c:pt>
                <c:pt idx="161" c:formatCode="_(* #,##0_);_(* \(#,##0\);_(* &quot;-&quot;??_);_(@_)">
                  <c:v>140</c:v>
                </c:pt>
                <c:pt idx="162" c:formatCode="_(* #,##0_);_(* \(#,##0\);_(* &quot;-&quot;??_);_(@_)">
                  <c:v>142</c:v>
                </c:pt>
                <c:pt idx="163" c:formatCode="_(* #,##0_);_(* \(#,##0\);_(* &quot;-&quot;??_);_(@_)">
                  <c:v>142</c:v>
                </c:pt>
                <c:pt idx="164" c:formatCode="_(* #,##0_);_(* \(#,##0\);_(* &quot;-&quot;??_);_(@_)">
                  <c:v>138</c:v>
                </c:pt>
                <c:pt idx="165" c:formatCode="_(* #,##0_);_(* \(#,##0\);_(* &quot;-&quot;??_);_(@_)">
                  <c:v>136</c:v>
                </c:pt>
                <c:pt idx="166" c:formatCode="_(* #,##0_);_(* \(#,##0\);_(* &quot;-&quot;??_);_(@_)">
                  <c:v>136</c:v>
                </c:pt>
                <c:pt idx="167" c:formatCode="_(* #,##0_);_(* \(#,##0\);_(* &quot;-&quot;??_);_(@_)">
                  <c:v>135</c:v>
                </c:pt>
                <c:pt idx="168" c:formatCode="_(* #,##0_);_(* \(#,##0\);_(* &quot;-&quot;??_);_(@_)">
                  <c:v>135</c:v>
                </c:pt>
                <c:pt idx="169" c:formatCode="_(* #,##0_);_(* \(#,##0\);_(* &quot;-&quot;??_);_(@_)">
                  <c:v>135</c:v>
                </c:pt>
                <c:pt idx="170" c:formatCode="_(* #,##0_);_(* \(#,##0\);_(* &quot;-&quot;??_);_(@_)">
                  <c:v>135</c:v>
                </c:pt>
                <c:pt idx="171" c:formatCode="_(* #,##0_);_(* \(#,##0\);_(* &quot;-&quot;??_);_(@_)">
                  <c:v>135</c:v>
                </c:pt>
                <c:pt idx="172" c:formatCode="_(* #,##0_);_(* \(#,##0\);_(* &quot;-&quot;??_);_(@_)">
                  <c:v>135</c:v>
                </c:pt>
                <c:pt idx="173" c:formatCode="_(* #,##0_);_(* \(#,##0\);_(* &quot;-&quot;??_);_(@_)">
                  <c:v>134</c:v>
                </c:pt>
                <c:pt idx="174" c:formatCode="_(* #,##0_);_(* \(#,##0\);_(* &quot;-&quot;??_);_(@_)">
                  <c:v>133</c:v>
                </c:pt>
                <c:pt idx="175" c:formatCode="_(* #,##0_);_(* \(#,##0\);_(* &quot;-&quot;??_);_(@_)">
                  <c:v>133</c:v>
                </c:pt>
                <c:pt idx="176" c:formatCode="_(* #,##0_);_(* \(#,##0\);_(* &quot;-&quot;??_);_(@_)">
                  <c:v>132</c:v>
                </c:pt>
                <c:pt idx="177" c:formatCode="_(* #,##0_);_(* \(#,##0\);_(* &quot;-&quot;??_);_(@_)">
                  <c:v>132</c:v>
                </c:pt>
                <c:pt idx="178" c:formatCode="_(* #,##0_);_(* \(#,##0\);_(* &quot;-&quot;??_);_(@_)">
                  <c:v>131</c:v>
                </c:pt>
                <c:pt idx="179" c:formatCode="_(* #,##0_);_(* \(#,##0\);_(* &quot;-&quot;??_);_(@_)">
                  <c:v>126</c:v>
                </c:pt>
                <c:pt idx="180" c:formatCode="_(* #,##0_);_(* \(#,##0\);_(* &quot;-&quot;??_);_(@_)">
                  <c:v>123</c:v>
                </c:pt>
                <c:pt idx="181" c:formatCode="_(* #,##0_);_(* \(#,##0\);_(* &quot;-&quot;??_);_(@_)">
                  <c:v>122</c:v>
                </c:pt>
                <c:pt idx="182" c:formatCode="_(* #,##0_);_(* \(#,##0\);_(* &quot;-&quot;??_);_(@_)">
                  <c:v>121</c:v>
                </c:pt>
                <c:pt idx="183" c:formatCode="_(* #,##0_);_(* \(#,##0\);_(* &quot;-&quot;??_);_(@_)">
                  <c:v>120</c:v>
                </c:pt>
                <c:pt idx="184" c:formatCode="_(* #,##0_);_(* \(#,##0\);_(* &quot;-&quot;??_);_(@_)">
                  <c:v>116</c:v>
                </c:pt>
                <c:pt idx="185" c:formatCode="_(* #,##0_);_(* \(#,##0\);_(* &quot;-&quot;??_);_(@_)">
                  <c:v>110</c:v>
                </c:pt>
                <c:pt idx="186" c:formatCode="_(* #,##0_);_(* \(#,##0\);_(* &quot;-&quot;??_);_(@_)">
                  <c:v>106.5</c:v>
                </c:pt>
                <c:pt idx="187" c:formatCode="_(* #,##0_);_(* \(#,##0\);_(* &quot;-&quot;??_);_(@_)">
                  <c:v>103</c:v>
                </c:pt>
                <c:pt idx="188" c:formatCode="_(* #,##0_);_(* \(#,##0\);_(* &quot;-&quot;??_);_(@_)">
                  <c:v>102</c:v>
                </c:pt>
                <c:pt idx="189" c:formatCode="_(* #,##0_);_(* \(#,##0\);_(* &quot;-&quot;??_);_(@_)">
                  <c:v>101</c:v>
                </c:pt>
                <c:pt idx="190" c:formatCode="_(* #,##0_);_(* \(#,##0\);_(* &quot;-&quot;??_);_(@_)">
                  <c:v>98</c:v>
                </c:pt>
                <c:pt idx="191" c:formatCode="_(* #,##0_);_(* \(#,##0\);_(* &quot;-&quot;??_);_(@_)">
                  <c:v>96</c:v>
                </c:pt>
                <c:pt idx="192" c:formatCode="_(* #,##0_);_(* \(#,##0\);_(* &quot;-&quot;??_);_(@_)">
                  <c:v>93</c:v>
                </c:pt>
                <c:pt idx="193" c:formatCode="_(* #,##0_);_(* \(#,##0\);_(* &quot;-&quot;??_);_(@_)">
                  <c:v>92</c:v>
                </c:pt>
                <c:pt idx="194" c:formatCode="_(* #,##0_);_(* \(#,##0\);_(* &quot;-&quot;??_);_(@_)">
                  <c:v>81.5</c:v>
                </c:pt>
                <c:pt idx="195" c:formatCode="_(* #,##0_);_(* \(#,##0\);_(* &quot;-&quot;??_);_(@_)">
                  <c:v>76</c:v>
                </c:pt>
                <c:pt idx="196" c:formatCode="_(* #,##0_);_(* \(#,##0\);_(* &quot;-&quot;??_);_(@_)">
                  <c:v>73.5</c:v>
                </c:pt>
                <c:pt idx="197" c:formatCode="_(* #,##0_);_(* \(#,##0\);_(* &quot;-&quot;??_);_(@_)">
                  <c:v>75</c:v>
                </c:pt>
                <c:pt idx="198" c:formatCode="_(* #,##0_);_(* \(#,##0\);_(* &quot;-&quot;??_);_(@_)">
                  <c:v>74.5</c:v>
                </c:pt>
                <c:pt idx="199" c:formatCode="_(* #,##0_);_(* \(#,##0\);_(* &quot;-&quot;??_);_(@_)">
                  <c:v>73.5</c:v>
                </c:pt>
                <c:pt idx="200" c:formatCode="_(* #,##0_);_(* \(#,##0\);_(* &quot;-&quot;??_);_(@_)">
                  <c:v>73</c:v>
                </c:pt>
                <c:pt idx="201" c:formatCode="_(* #,##0_);_(* \(#,##0\);_(* &quot;-&quot;??_);_(@_)">
                  <c:v>71.6</c:v>
                </c:pt>
                <c:pt idx="202" c:formatCode="_(* #,##0_);_(* \(#,##0\);_(* &quot;-&quot;??_);_(@_)">
                  <c:v>71.5</c:v>
                </c:pt>
                <c:pt idx="203" c:formatCode="_(* #,##0_);_(* \(#,##0\);_(* &quot;-&quot;??_);_(@_)">
                  <c:v>71</c:v>
                </c:pt>
                <c:pt idx="204" c:formatCode="_(* #,##0_);_(* \(#,##0\);_(* &quot;-&quot;??_);_(@_)">
                  <c:v>70.5</c:v>
                </c:pt>
                <c:pt idx="205" c:formatCode="_(* #,##0_);_(* \(#,##0\);_(* &quot;-&quot;??_);_(@_)">
                  <c:v>70.2</c:v>
                </c:pt>
                <c:pt idx="206" c:formatCode="_(* #,##0_);_(* \(#,##0\);_(* &quot;-&quot;??_);_(@_)">
                  <c:v>68</c:v>
                </c:pt>
                <c:pt idx="207" c:formatCode="_(* #,##0_);_(* \(#,##0\);_(* &quot;-&quot;??_);_(@_)">
                  <c:v>68</c:v>
                </c:pt>
                <c:pt idx="208" c:formatCode="_(* #,##0_);_(* \(#,##0\);_(* &quot;-&quot;??_);_(@_)">
                  <c:v>68</c:v>
                </c:pt>
                <c:pt idx="209" c:formatCode="_(* #,##0_);_(* \(#,##0\);_(* &quot;-&quot;??_);_(@_)">
                  <c:v>67.95</c:v>
                </c:pt>
                <c:pt idx="210" c:formatCode="_(* #,##0.0_);_(* \(#,##0.0\);_(* &quot;-&quot;??_);_(@_)">
                  <c:v>66.5</c:v>
                </c:pt>
                <c:pt idx="211" c:formatCode="_(* #,##0.0_);_(* \(#,##0.0\);_(* &quot;-&quot;??_);_(@_)">
                  <c:v>65</c:v>
                </c:pt>
                <c:pt idx="212" c:formatCode="_(* #,##0.0_);_(* \(#,##0.0\);_(* &quot;-&quot;??_);_(@_)">
                  <c:v>63.5</c:v>
                </c:pt>
                <c:pt idx="213" c:formatCode="_(* #,##0.0_);_(* \(#,##0.0\);_(* &quot;-&quot;??_);_(@_)">
                  <c:v>61</c:v>
                </c:pt>
                <c:pt idx="214" c:formatCode="_(* #,##0.0_);_(* \(#,##0.0\);_(* &quot;-&quot;??_);_(@_)">
                  <c:v>58.5</c:v>
                </c:pt>
                <c:pt idx="215" c:formatCode="_(* #,##0.0_);_(* \(#,##0.0\);_(* &quot;-&quot;??_);_(@_)">
                  <c:v>55.5</c:v>
                </c:pt>
                <c:pt idx="216" c:formatCode="_(* #,##0.0_);_(* \(#,##0.0\);_(* &quot;-&quot;??_);_(@_)">
                  <c:v>53</c:v>
                </c:pt>
                <c:pt idx="217" c:formatCode="_(* #,##0.0_);_(* \(#,##0.0\);_(* &quot;-&quot;??_);_(@_)">
                  <c:v>52</c:v>
                </c:pt>
                <c:pt idx="218" c:formatCode="_(* #,##0.0_);_(* \(#,##0.0\);_(* &quot;-&quot;??_);_(@_)">
                  <c:v>54</c:v>
                </c:pt>
                <c:pt idx="219" c:formatCode="_(* #,##0.0_);_(* \(#,##0.0\);_(* &quot;-&quot;??_);_(@_)">
                  <c:v>55</c:v>
                </c:pt>
                <c:pt idx="220" c:formatCode="_(* #,##0.0_);_(* \(#,##0.0\);_(* &quot;-&quot;??_);_(@_)">
                  <c:v>55</c:v>
                </c:pt>
                <c:pt idx="221" c:formatCode="_(* #,##0.0_);_(* \(#,##0.0\);_(* &quot;-&quot;??_);_(@_)">
                  <c:v>54</c:v>
                </c:pt>
                <c:pt idx="222" c:formatCode="_(* #,##0.0_);_(* \(#,##0.0\);_(* &quot;-&quot;??_);_(@_)">
                  <c:v>51.8</c:v>
                </c:pt>
                <c:pt idx="223" c:formatCode="_(* #,##0.0_);_(* \(#,##0.0\);_(* &quot;-&quot;??_);_(@_)">
                  <c:v>51.6</c:v>
                </c:pt>
                <c:pt idx="224" c:formatCode="_(* #,##0.0_);_(* \(#,##0.0\);_(* &quot;-&quot;??_);_(@_)">
                  <c:v>51.6</c:v>
                </c:pt>
                <c:pt idx="225" c:formatCode="_(* #,##0.0_);_(* \(#,##0.0\);_(* &quot;-&quot;??_);_(@_)">
                  <c:v>52</c:v>
                </c:pt>
                <c:pt idx="226" c:formatCode="_(* #,##0.0_);_(* \(#,##0.0\);_(* &quot;-&quot;??_);_(@_)">
                  <c:v>50</c:v>
                </c:pt>
                <c:pt idx="227" c:formatCode="_(* #,##0.0_);_(* \(#,##0.0\);_(* &quot;-&quot;??_);_(@_)">
                  <c:v>50</c:v>
                </c:pt>
                <c:pt idx="228" c:formatCode="_(* #,##0.0_);_(* \(#,##0.0\);_(* &quot;-&quot;??_);_(@_)">
                  <c:v>48.5</c:v>
                </c:pt>
                <c:pt idx="229" c:formatCode="_(* #,##0.0_);_(* \(#,##0.0\);_(* &quot;-&quot;??_);_(@_)">
                  <c:v>48.2</c:v>
                </c:pt>
                <c:pt idx="230" c:formatCode="_(* #,##0.0_);_(* \(#,##0.0\);_(* &quot;-&quot;??_);_(@_)">
                  <c:v>47.5</c:v>
                </c:pt>
                <c:pt idx="231" c:formatCode="_(* #,##0.0_);_(* \(#,##0.0\);_(* &quot;-&quot;??_);_(@_)">
                  <c:v>47.4</c:v>
                </c:pt>
                <c:pt idx="232" c:formatCode="_(* #,##0.0_);_(* \(#,##0.0\);_(* &quot;-&quot;??_);_(@_)">
                  <c:v>47.4</c:v>
                </c:pt>
                <c:pt idx="233" c:formatCode="_(* #,##0.0_);_(* \(#,##0.0\);_(* &quot;-&quot;??_);_(@_)">
                  <c:v>47.4</c:v>
                </c:pt>
                <c:pt idx="234" c:formatCode="_(* #,##0.0_);_(* \(#,##0.0\);_(* &quot;-&quot;??_);_(@_)">
                  <c:v>47.3</c:v>
                </c:pt>
                <c:pt idx="235" c:formatCode="_(* #,##0.0_);_(* \(#,##0.0\);_(* &quot;-&quot;??_);_(@_)">
                  <c:v>48.5</c:v>
                </c:pt>
                <c:pt idx="236" c:formatCode="_(* #,##0.0_);_(* \(#,##0.0\);_(* &quot;-&quot;??_);_(@_)">
                  <c:v>48.4</c:v>
                </c:pt>
                <c:pt idx="237" c:formatCode="_(* #,##0.0_);_(* \(#,##0.0\);_(* &quot;-&quot;??_);_(@_)">
                  <c:v>48.3</c:v>
                </c:pt>
                <c:pt idx="238" c:formatCode="_(* #,##0.0_);_(* \(#,##0.0\);_(* &quot;-&quot;??_);_(@_)">
                  <c:v>48.3</c:v>
                </c:pt>
                <c:pt idx="239" c:formatCode="_(* #,##0.0_);_(* \(#,##0.0\);_(* &quot;-&quot;??_);_(@_)">
                  <c:v>49.5</c:v>
                </c:pt>
                <c:pt idx="240" c:formatCode="_(* #,##0.0_);_(* \(#,##0.0\);_(* &quot;-&quot;??_);_(@_)">
                  <c:v>49</c:v>
                </c:pt>
                <c:pt idx="241" c:formatCode="_(* #,##0.0_);_(* \(#,##0.0\);_(* &quot;-&quot;??_);_(@_)">
                  <c:v>49.5</c:v>
                </c:pt>
                <c:pt idx="242" c:formatCode="_(* #,##0.0_);_(* \(#,##0.0\);_(* &quot;-&quot;??_);_(@_)">
                  <c:v>50</c:v>
                </c:pt>
                <c:pt idx="243" c:formatCode="_(* #,##0.0_);_(* \(#,##0.0\);_(* &quot;-&quot;??_);_(@_)">
                  <c:v>50.5</c:v>
                </c:pt>
                <c:pt idx="244" c:formatCode="_(* #,##0.0_);_(* \(#,##0.0\);_(* &quot;-&quot;??_);_(@_)">
                  <c:v>49.5</c:v>
                </c:pt>
                <c:pt idx="245" c:formatCode="_(* #,##0.0_);_(* \(#,##0.0\);_(* &quot;-&quot;??_);_(@_)">
                  <c:v>50.5</c:v>
                </c:pt>
                <c:pt idx="246" c:formatCode="_(* #,##0.0_);_(* \(#,##0.0\);_(* &quot;-&quot;??_);_(@_)">
                  <c:v>50.5</c:v>
                </c:pt>
                <c:pt idx="247" c:formatCode="_(* #,##0.0_);_(* \(#,##0.0\);_(* &quot;-&quot;??_);_(@_)">
                  <c:v>53.5</c:v>
                </c:pt>
                <c:pt idx="248" c:formatCode="_(* #,##0.0_);_(* \(#,##0.0\);_(* &quot;-&quot;??_);_(@_)">
                  <c:v>55</c:v>
                </c:pt>
                <c:pt idx="249" c:formatCode="_(* #,##0.0_);_(* \(#,##0.0\);_(* &quot;-&quot;??_);_(@_)">
                  <c:v>57</c:v>
                </c:pt>
                <c:pt idx="250" c:formatCode="_(* #,##0.0_);_(* \(#,##0.0\);_(* &quot;-&quot;??_);_(@_)">
                  <c:v>57.5</c:v>
                </c:pt>
                <c:pt idx="251" c:formatCode="_(* #,##0.0_);_(* \(#,##0.0\);_(* &quot;-&quot;??_);_(@_)">
                  <c:v>61</c:v>
                </c:pt>
                <c:pt idx="252" c:formatCode="_(* #,##0.0_);_(* \(#,##0.0\);_(* &quot;-&quot;??_);_(@_)">
                  <c:v>60.5</c:v>
                </c:pt>
                <c:pt idx="253" c:formatCode="_(* #,##0.0_);_(* \(#,##0.0\);_(* &quot;-&quot;??_);_(@_)">
                  <c:v>61.5</c:v>
                </c:pt>
                <c:pt idx="254" c:formatCode="_(* #,##0.0_);_(* \(#,##0.0\);_(* &quot;-&quot;??_);_(@_)">
                  <c:v>63</c:v>
                </c:pt>
                <c:pt idx="255" c:formatCode="_(* #,##0.0_);_(* \(#,##0.0\);_(* &quot;-&quot;??_);_(@_)">
                  <c:v>68</c:v>
                </c:pt>
                <c:pt idx="256" c:formatCode="_(* #,##0.0_);_(* \(#,##0.0\);_(* &quot;-&quot;??_);_(@_)">
                  <c:v>69</c:v>
                </c:pt>
                <c:pt idx="257" c:formatCode="_(* #,##0.0_);_(* \(#,##0.0\);_(* &quot;-&quot;??_);_(@_)">
                  <c:v>71.8</c:v>
                </c:pt>
                <c:pt idx="258" c:formatCode="_(* #,##0.0_);_(* \(#,##0.0\);_(* &quot;-&quot;??_);_(@_)">
                  <c:v>72.8</c:v>
                </c:pt>
                <c:pt idx="259" c:formatCode="_(* #,##0.0_);_(* \(#,##0.0\);_(* &quot;-&quot;??_);_(@_)">
                  <c:v>74</c:v>
                </c:pt>
                <c:pt idx="260" c:formatCode="_(* #,##0.0_);_(* \(#,##0.0\);_(* &quot;-&quot;??_);_(@_)">
                  <c:v>74</c:v>
                </c:pt>
                <c:pt idx="261" c:formatCode="_(* #,##0.0_);_(* \(#,##0.0\);_(* &quot;-&quot;??_);_(@_)">
                  <c:v>74.5</c:v>
                </c:pt>
                <c:pt idx="262" c:formatCode="_(* #,##0.0_);_(* \(#,##0.0\);_(* &quot;-&quot;??_);_(@_)">
                  <c:v>74</c:v>
                </c:pt>
                <c:pt idx="263" c:formatCode="_(* #,##0.0_);_(* \(#,##0.0\);_(* &quot;-&quot;??_);_(@_)">
                  <c:v>73</c:v>
                </c:pt>
                <c:pt idx="264" c:formatCode="_(* #,##0.0_);_(* \(#,##0.0\);_(* &quot;-&quot;??_);_(@_)">
                  <c:v>72</c:v>
                </c:pt>
                <c:pt idx="265" c:formatCode="_(* #,##0.0_);_(* \(#,##0.0\);_(* &quot;-&quot;??_);_(@_)">
                  <c:v>71</c:v>
                </c:pt>
                <c:pt idx="266" c:formatCode="_(* #,##0.0_);_(* \(#,##0.0\);_(* &quot;-&quot;??_);_(@_)">
                  <c:v>70.8</c:v>
                </c:pt>
                <c:pt idx="267" c:formatCode="_(* #,##0.0_);_(* \(#,##0.0\);_(* &quot;-&quot;??_);_(@_)">
                  <c:v>70.5</c:v>
                </c:pt>
                <c:pt idx="268" c:formatCode="_(* #,##0.0_);_(* \(#,##0.0\);_(* &quot;-&quot;??_);_(@_)">
                  <c:v>70.5</c:v>
                </c:pt>
                <c:pt idx="269" c:formatCode="_(* #,##0.0_);_(* \(#,##0.0\);_(* &quot;-&quot;??_);_(@_)">
                  <c:v>72</c:v>
                </c:pt>
                <c:pt idx="270" c:formatCode="_(* #,##0.0_);_(* \(#,##0.0\);_(* &quot;-&quot;??_);_(@_)">
                  <c:v>76</c:v>
                </c:pt>
                <c:pt idx="271" c:formatCode="_(* #,##0.0_);_(* \(#,##0.0\);_(* &quot;-&quot;??_);_(@_)">
                  <c:v>78</c:v>
                </c:pt>
                <c:pt idx="272" c:formatCode="_(* #,##0.0_);_(* \(#,##0.0\);_(* &quot;-&quot;??_);_(@_)">
                  <c:v>78.5</c:v>
                </c:pt>
                <c:pt idx="273" c:formatCode="_(* #,##0.0_);_(* \(#,##0.0\);_(* &quot;-&quot;??_);_(@_)">
                  <c:v>79</c:v>
                </c:pt>
                <c:pt idx="274" c:formatCode="_(* #,##0.0_);_(* \(#,##0.0\);_(* &quot;-&quot;??_);_(@_)">
                  <c:v>78</c:v>
                </c:pt>
                <c:pt idx="275" c:formatCode="_(* #,##0.0_);_(* \(#,##0.0\);_(* &quot;-&quot;??_);_(@_)">
                  <c:v>78</c:v>
                </c:pt>
                <c:pt idx="276" c:formatCode="_(* #,##0.0_);_(* \(#,##0.0\);_(* &quot;-&quot;??_);_(@_)">
                  <c:v>77</c:v>
                </c:pt>
                <c:pt idx="277" c:formatCode="_(* #,##0.0_);_(* \(#,##0.0\);_(* &quot;-&quot;??_);_(@_)">
                  <c:v>76.5</c:v>
                </c:pt>
                <c:pt idx="278" c:formatCode="_(* #,##0.0_);_(* \(#,##0.0\);_(* &quot;-&quot;??_);_(@_)">
                  <c:v>76.5</c:v>
                </c:pt>
                <c:pt idx="279" c:formatCode="_(* #,##0.0_);_(* \(#,##0.0\);_(* &quot;-&quot;??_);_(@_)">
                  <c:v>76</c:v>
                </c:pt>
                <c:pt idx="280" c:formatCode="_(* #,##0.0_);_(* \(#,##0.0\);_(* &quot;-&quot;??_);_(@_)">
                  <c:v>76</c:v>
                </c:pt>
                <c:pt idx="281" c:formatCode="_(* #,##0.0_);_(* \(#,##0.0\);_(* &quot;-&quot;??_);_(@_)">
                  <c:v>76.5</c:v>
                </c:pt>
                <c:pt idx="282" c:formatCode="_(* #,##0.0_);_(* \(#,##0.0\);_(* &quot;-&quot;??_);_(@_)">
                  <c:v>78</c:v>
                </c:pt>
                <c:pt idx="283" c:formatCode="_(* #,##0.0_);_(* \(#,##0.0\);_(* &quot;-&quot;??_);_(@_)">
                  <c:v>78</c:v>
                </c:pt>
                <c:pt idx="284" c:formatCode="_(* #,##0.0_);_(* \(#,##0.0\);_(* &quot;-&quot;??_);_(@_)">
                  <c:v>77</c:v>
                </c:pt>
                <c:pt idx="285" c:formatCode="_(* #,##0.0_);_(* \(#,##0.0\);_(* &quot;-&quot;??_);_(@_)">
                  <c:v>78</c:v>
                </c:pt>
                <c:pt idx="286" c:formatCode="_(* #,##0.0_);_(* \(#,##0.0\);_(* &quot;-&quot;??_);_(@_)">
                  <c:v>79</c:v>
                </c:pt>
                <c:pt idx="287" c:formatCode="_(* #,##0.0_);_(* \(#,##0.0\);_(* &quot;-&quot;??_);_(@_)">
                  <c:v>78</c:v>
                </c:pt>
                <c:pt idx="288" c:formatCode="_(* #,##0.0_);_(* \(#,##0.0\);_(* &quot;-&quot;??_);_(@_)">
                  <c:v>77</c:v>
                </c:pt>
                <c:pt idx="289" c:formatCode="_(* #,##0.0_);_(* \(#,##0.0\);_(* &quot;-&quot;??_);_(@_)">
                  <c:v>75</c:v>
                </c:pt>
                <c:pt idx="290" c:formatCode="_(* #,##0.0_);_(* \(#,##0.0\);_(* &quot;-&quot;??_);_(@_)">
                  <c:v>74.5</c:v>
                </c:pt>
                <c:pt idx="291" c:formatCode="_(* #,##0.0_);_(* \(#,##0.0\);_(* &quot;-&quot;??_);_(@_)">
                  <c:v>74</c:v>
                </c:pt>
                <c:pt idx="292" c:formatCode="_(* #,##0.0_);_(* \(#,##0.0\);_(* &quot;-&quot;??_);_(@_)">
                  <c:v>73.5</c:v>
                </c:pt>
                <c:pt idx="293" c:formatCode="_(* #,##0.0_);_(* \(#,##0.0\);_(* &quot;-&quot;??_);_(@_)">
                  <c:v>73</c:v>
                </c:pt>
                <c:pt idx="294" c:formatCode="_(* #,##0.0_);_(* \(#,##0.0\);_(* &quot;-&quot;??_);_(@_)">
                  <c:v>72.5</c:v>
                </c:pt>
                <c:pt idx="295" c:formatCode="_(* #,##0.0_);_(* \(#,##0.0\);_(* &quot;-&quot;??_);_(@_)">
                  <c:v>72</c:v>
                </c:pt>
                <c:pt idx="296" c:formatCode="_(* #,##0.0_);_(* \(#,##0.0\);_(* &quot;-&quot;??_);_(@_)">
                  <c:v>70</c:v>
                </c:pt>
                <c:pt idx="297" c:formatCode="_(* #,##0.0_);_(* \(#,##0.0\);_(* &quot;-&quot;??_);_(@_)">
                  <c:v>67</c:v>
                </c:pt>
                <c:pt idx="298" c:formatCode="_(* #,##0.0_);_(* \(#,##0.0\);_(* &quot;-&quot;??_);_(@_)">
                  <c:v>67</c:v>
                </c:pt>
                <c:pt idx="299" c:formatCode="_(* #,##0.0_);_(* \(#,##0.0\);_(* &quot;-&quot;??_);_(@_)">
                  <c:v>66</c:v>
                </c:pt>
                <c:pt idx="300" c:formatCode="_(* #,##0.0_);_(* \(#,##0.0\);_(* &quot;-&quot;??_);_(@_)">
                  <c:v>65</c:v>
                </c:pt>
                <c:pt idx="301" c:formatCode="_(* #,##0.0_);_(* \(#,##0.0\);_(* &quot;-&quot;??_);_(@_)">
                  <c:v>65</c:v>
                </c:pt>
                <c:pt idx="302" c:formatCode="_(* #,##0.0_);_(* \(#,##0.0\);_(* &quot;-&quot;??_);_(@_)">
                  <c:v>65</c:v>
                </c:pt>
                <c:pt idx="303" c:formatCode="_(* #,##0.0_);_(* \(#,##0.0\);_(* &quot;-&quot;??_);_(@_)">
                  <c:v>63</c:v>
                </c:pt>
                <c:pt idx="304" c:formatCode="_(* #,##0.0_);_(* \(#,##0.0\);_(* &quot;-&quot;??_);_(@_)">
                  <c:v>63.5</c:v>
                </c:pt>
                <c:pt idx="305" c:formatCode="_(* #,##0.0_);_(* \(#,##0.0\);_(* &quot;-&quot;??_);_(@_)">
                  <c:v>63.6</c:v>
                </c:pt>
                <c:pt idx="306" c:formatCode="_(* #,##0.0_);_(* \(#,##0.0\);_(* &quot;-&quot;??_);_(@_)">
                  <c:v>64.5</c:v>
                </c:pt>
                <c:pt idx="307" c:formatCode="_(* #,##0.0_);_(* \(#,##0.0\);_(* &quot;-&quot;??_);_(@_)">
                  <c:v>64.5</c:v>
                </c:pt>
                <c:pt idx="308" c:formatCode="_(* #,##0.0_);_(* \(#,##0.0\);_(* &quot;-&quot;??_);_(@_)">
                  <c:v>64.5</c:v>
                </c:pt>
                <c:pt idx="309" c:formatCode="_(* #,##0.0_);_(* \(#,##0.0\);_(* &quot;-&quot;??_);_(@_)">
                  <c:v>64.5</c:v>
                </c:pt>
                <c:pt idx="310" c:formatCode="_(* #,##0.0_);_(* \(#,##0.0\);_(* &quot;-&quot;??_);_(@_)">
                  <c:v>65</c:v>
                </c:pt>
                <c:pt idx="311" c:formatCode="_(* #,##0.0_);_(* \(#,##0.0\);_(* &quot;-&quot;??_);_(@_)">
                  <c:v>65</c:v>
                </c:pt>
                <c:pt idx="312" c:formatCode="_(* #,##0.0_);_(* \(#,##0.0\);_(* &quot;-&quot;??_);_(@_)">
                  <c:v>65</c:v>
                </c:pt>
                <c:pt idx="313" c:formatCode="_(* #,##0.0_);_(* \(#,##0.0\);_(* &quot;-&quot;??_);_(@_)">
                  <c:v>65</c:v>
                </c:pt>
                <c:pt idx="314" c:formatCode="_(* #,##0.0_);_(* \(#,##0.0\);_(* &quot;-&quot;??_);_(@_)">
                  <c:v>65</c:v>
                </c:pt>
                <c:pt idx="315" c:formatCode="_(* #,##0.0_);_(* \(#,##0.0\);_(* &quot;-&quot;??_);_(@_)">
                  <c:v>65</c:v>
                </c:pt>
                <c:pt idx="316" c:formatCode="_(* #,##0.0_);_(* \(#,##0.0\);_(* &quot;-&quot;??_);_(@_)">
                  <c:v>66</c:v>
                </c:pt>
                <c:pt idx="317" c:formatCode="_(* #,##0.0_);_(* \(#,##0.0\);_(* &quot;-&quot;??_);_(@_)">
                  <c:v>67</c:v>
                </c:pt>
                <c:pt idx="318" c:formatCode="_(* #,##0.0_);_(* \(#,##0.0\);_(* &quot;-&quot;??_);_(@_)">
                  <c:v>70</c:v>
                </c:pt>
                <c:pt idx="319" c:formatCode="_(* #,##0.0_);_(* \(#,##0.0\);_(* &quot;-&quot;??_);_(@_)">
                  <c:v>75</c:v>
                </c:pt>
                <c:pt idx="320" c:formatCode="_(* #,##0.0_);_(* \(#,##0.0\);_(* &quot;-&quot;??_);_(@_)">
                  <c:v>79</c:v>
                </c:pt>
                <c:pt idx="321" c:formatCode="_(* #,##0.0_);_(* \(#,##0.0\);_(* &quot;-&quot;??_);_(@_)">
                  <c:v>79.5</c:v>
                </c:pt>
                <c:pt idx="322" c:formatCode="_(* #,##0.0_);_(* \(#,##0.0\);_(* &quot;-&quot;??_);_(@_)">
                  <c:v>81</c:v>
                </c:pt>
                <c:pt idx="323" c:formatCode="_(* #,##0.0_);_(* \(#,##0.0\);_(* &quot;-&quot;??_);_(@_)">
                  <c:v>83</c:v>
                </c:pt>
                <c:pt idx="324" c:formatCode="_(* #,##0.0_);_(* \(#,##0.0\);_(* &quot;-&quot;??_);_(@_)">
                  <c:v>85</c:v>
                </c:pt>
                <c:pt idx="325" c:formatCode="_(* #,##0.0_);_(* \(#,##0.0\);_(* &quot;-&quot;??_);_(@_)">
                  <c:v>86</c:v>
                </c:pt>
                <c:pt idx="326" c:formatCode="_(* #,##0.0_);_(* \(#,##0.0\);_(* &quot;-&quot;??_);_(@_)">
                  <c:v>86</c:v>
                </c:pt>
                <c:pt idx="327" c:formatCode="_(* #,##0.0_);_(* \(#,##0.0\);_(* &quot;-&quot;??_);_(@_)">
                  <c:v>92</c:v>
                </c:pt>
                <c:pt idx="328" c:formatCode="_(* #,##0.0_);_(* \(#,##0.0\);_(* &quot;-&quot;??_);_(@_)">
                  <c:v>98</c:v>
                </c:pt>
                <c:pt idx="329" c:formatCode="_(* #,##0.0_);_(* \(#,##0.0\);_(* &quot;-&quot;??_);_(@_)">
                  <c:v>108</c:v>
                </c:pt>
                <c:pt idx="330" c:formatCode="_(* #,##0.0_);_(* \(#,##0.0\);_(* &quot;-&quot;??_);_(@_)">
                  <c:v>130</c:v>
                </c:pt>
                <c:pt idx="331" c:formatCode="_(* #,##0.0_);_(* \(#,##0.0\);_(* &quot;-&quot;??_);_(@_)">
                  <c:v>150</c:v>
                </c:pt>
                <c:pt idx="332" c:formatCode="_(* #,##0.0_);_(* \(#,##0.0\);_(* &quot;-&quot;??_);_(@_)">
                  <c:v>156</c:v>
                </c:pt>
                <c:pt idx="333" c:formatCode="_(* #,##0.0_);_(* \(#,##0.0\);_(* &quot;-&quot;??_);_(@_)">
                  <c:v>156</c:v>
                </c:pt>
                <c:pt idx="334" c:formatCode="_(* #,##0.0_);_(* \(#,##0.0\);_(* &quot;-&quot;??_);_(@_)">
                  <c:v>165</c:v>
                </c:pt>
                <c:pt idx="335" c:formatCode="_(* #,##0.0_);_(* \(#,##0.0\);_(* &quot;-&quot;??_);_(@_)">
                  <c:v>178</c:v>
                </c:pt>
                <c:pt idx="336" c:formatCode="_(* #,##0.0_);_(* \(#,##0.0\);_(* &quot;-&quot;??_);_(@_)">
                  <c:v>182</c:v>
                </c:pt>
                <c:pt idx="337" c:formatCode="_(* #,##0.0_);_(* \(#,##0.0\);_(* &quot;-&quot;??_);_(@_)">
                  <c:v>186</c:v>
                </c:pt>
                <c:pt idx="338" c:formatCode="_(* #,##0.0_);_(* \(#,##0.0\);_(* &quot;-&quot;??_);_(@_)">
                  <c:v>203</c:v>
                </c:pt>
                <c:pt idx="339" c:formatCode="_(* #,##0.0_);_(* \(#,##0.0\);_(* &quot;-&quot;??_);_(@_)">
                  <c:v>251</c:v>
                </c:pt>
                <c:pt idx="340" c:formatCode="_(* #,##0.0_);_(* \(#,##0.0\);_(* &quot;-&quot;??_);_(@_)">
                  <c:v>310</c:v>
                </c:pt>
                <c:pt idx="341" c:formatCode="_(* #,##0.0_);_(* \(#,##0.0\);_(* &quot;-&quot;??_);_(@_)">
                  <c:v>315</c:v>
                </c:pt>
                <c:pt idx="342" c:formatCode="_(* #,##0.0_);_(* \(#,##0.0\);_(* &quot;-&quot;??_);_(@_)">
                  <c:v>285</c:v>
                </c:pt>
                <c:pt idx="343" c:formatCode="_(* #,##0.0_);_(* \(#,##0.0\);_(* &quot;-&quot;??_);_(@_)">
                  <c:v>285</c:v>
                </c:pt>
                <c:pt idx="344" c:formatCode="_(* #,##0.0_);_(* \(#,##0.0\);_(* &quot;-&quot;??_);_(@_)">
                  <c:v>300</c:v>
                </c:pt>
                <c:pt idx="345" c:formatCode="_(* #,##0.0_);_(* \(#,##0.0\);_(* &quot;-&quot;??_);_(@_)">
                  <c:v>305</c:v>
                </c:pt>
                <c:pt idx="346" c:formatCode="_(* #,##0.0_);_(* \(#,##0.0\);_(* &quot;-&quot;??_);_(@_)">
                  <c:v>300</c:v>
                </c:pt>
                <c:pt idx="347" c:formatCode="_(* #,##0.0_);_(* \(#,##0.0\);_(* &quot;-&quot;??_);_(@_)">
                  <c:v>313</c:v>
                </c:pt>
                <c:pt idx="348" c:formatCode="_(* #,##0.0_);_(* \(#,##0.0\);_(* &quot;-&quot;??_);_(@_)">
                  <c:v>350</c:v>
                </c:pt>
                <c:pt idx="349" c:formatCode="_(* #,##0.0_);_(* \(#,##0.0\);_(* &quot;-&quot;??_);_(@_)">
                  <c:v>390</c:v>
                </c:pt>
                <c:pt idx="350" c:formatCode="_(* #,##0.0_);_(* \(#,##0.0\);_(* &quot;-&quot;??_);_(@_)">
                  <c:v>420</c:v>
                </c:pt>
                <c:pt idx="351" c:formatCode="_(* #,##0.0_);_(* \(#,##0.0\);_(* &quot;-&quot;??_);_(@_)">
                  <c:v>450</c:v>
                </c:pt>
                <c:pt idx="352" c:formatCode="_(* #,##0.0_);_(* \(#,##0.0\);_(* &quot;-&quot;??_);_(@_)">
                  <c:v>480</c:v>
                </c:pt>
                <c:pt idx="353" c:formatCode="_(* #,##0.0_);_(* \(#,##0.0\);_(* &quot;-&quot;??_);_(@_)">
                  <c:v>495</c:v>
                </c:pt>
                <c:pt idx="354" c:formatCode="_(* #,##0.0_);_(* \(#,##0.0\);_(* &quot;-&quot;??_);_(@_)">
                  <c:v>505</c:v>
                </c:pt>
                <c:pt idx="355" c:formatCode="_(* #,##0.0_);_(* \(#,##0.0\);_(* &quot;-&quot;??_);_(@_)">
                  <c:v>525</c:v>
                </c:pt>
                <c:pt idx="356" c:formatCode="_(* #,##0.0_);_(* \(#,##0.0\);_(* &quot;-&quot;??_);_(@_)">
                  <c:v>550</c:v>
                </c:pt>
                <c:pt idx="357" c:formatCode="_(* #,##0.0_);_(* \(#,##0.0\);_(* &quot;-&quot;??_);_(@_)">
                  <c:v>580</c:v>
                </c:pt>
                <c:pt idx="358" c:formatCode="_(* #,##0.0_);_(* \(#,##0.0\);_(* &quot;-&quot;??_);_(@_)">
                  <c:v>620</c:v>
                </c:pt>
                <c:pt idx="359" c:formatCode="_(* #,##0.0_);_(* \(#,##0.0\);_(* &quot;-&quot;??_);_(@_)">
                  <c:v>640</c:v>
                </c:pt>
                <c:pt idx="360" c:formatCode="_(* #,##0.0_);_(* \(#,##0.0\);_(* &quot;-&quot;??_);_(@_)">
                  <c:v>650</c:v>
                </c:pt>
                <c:pt idx="361" c:formatCode="_(* #,##0.0_);_(* \(#,##0.0\);_(* &quot;-&quot;??_);_(@_)">
                  <c:v>670</c:v>
                </c:pt>
                <c:pt idx="362" c:formatCode="_(* #,##0.0_);_(* \(#,##0.0\);_(* &quot;-&quot;??_);_(@_)">
                  <c:v>680</c:v>
                </c:pt>
                <c:pt idx="363" c:formatCode="_(* #,##0.0_);_(* \(#,##0.0\);_(* &quot;-&quot;??_);_(@_)">
                  <c:v>690</c:v>
                </c:pt>
                <c:pt idx="364" c:formatCode="_(* #,##0.0_);_(* \(#,##0.0\);_(* &quot;-&quot;??_);_(@_)">
                  <c:v>700</c:v>
                </c:pt>
                <c:pt idx="365" c:formatCode="_(* #,##0.0_);_(* \(#,##0.0\);_(* &quot;-&quot;??_);_(@_)">
                  <c:v>720</c:v>
                </c:pt>
                <c:pt idx="366" c:formatCode="_(* #,##0.0_);_(* \(#,##0.0\);_(* &quot;-&quot;??_);_(@_)">
                  <c:v>730</c:v>
                </c:pt>
                <c:pt idx="367" c:formatCode="_(* #,##0.0_);_(* \(#,##0.0\);_(* &quot;-&quot;??_);_(@_)">
                  <c:v>780</c:v>
                </c:pt>
                <c:pt idx="368" c:formatCode="_(* #,##0.0_);_(* \(#,##0.0\);_(* &quot;-&quot;??_);_(@_)">
                  <c:v>900</c:v>
                </c:pt>
                <c:pt idx="369" c:formatCode="_(* #,##0.0_);_(* \(#,##0.0\);_(* &quot;-&quot;??_);_(@_)">
                  <c:v>1000</c:v>
                </c:pt>
                <c:pt idx="370" c:formatCode="_(* #,##0.0_);_(* \(#,##0.0\);_(* &quot;-&quot;??_);_(@_)">
                  <c:v>1100</c:v>
                </c:pt>
                <c:pt idx="371" c:formatCode="_(* #,##0.0_);_(* \(#,##0.0\);_(* &quot;-&quot;??_);_(@_)">
                  <c:v>1150</c:v>
                </c:pt>
                <c:pt idx="372" c:formatCode="_(* #,##0.0_);_(* \(#,##0.0\);_(* &quot;-&quot;??_);_(@_)">
                  <c:v>1250</c:v>
                </c:pt>
                <c:pt idx="373" c:formatCode="_(* #,##0.0_);_(* \(#,##0.0\);_(* &quot;-&quot;??_);_(@_)">
                  <c:v>1240</c:v>
                </c:pt>
                <c:pt idx="374" c:formatCode="_(* #,##0.0_);_(* \(#,##0.0\);_(* &quot;-&quot;??_);_(@_)">
                  <c:v>1230</c:v>
                </c:pt>
                <c:pt idx="375" c:formatCode="_(* #,##0.0_);_(* \(#,##0.0\);_(* &quot;-&quot;??_);_(@_)">
                  <c:v>1250</c:v>
                </c:pt>
                <c:pt idx="376" c:formatCode="_(* #,##0.0_);_(* \(#,##0.0\);_(* &quot;-&quot;??_);_(@_)">
                  <c:v>1280</c:v>
                </c:pt>
                <c:pt idx="377" c:formatCode="_(* #,##0.0_);_(* \(#,##0.0\);_(* &quot;-&quot;??_);_(@_)">
                  <c:v>1280</c:v>
                </c:pt>
                <c:pt idx="378" c:formatCode="_(* #,##0.0_);_(* \(#,##0.0\);_(* &quot;-&quot;??_);_(@_)">
                  <c:v>1300</c:v>
                </c:pt>
                <c:pt idx="379" c:formatCode="_(* #,##0.0_);_(* \(#,##0.0\);_(* &quot;-&quot;??_);_(@_)">
                  <c:v>1335</c:v>
                </c:pt>
              </c:numCache>
            </c:numRef>
          </c:val>
          <c:smooth val="0"/>
        </c:ser>
        <c:ser>
          <c:idx val="1"/>
          <c:order val="1"/>
          <c:tx>
            <c:strRef>
              <c:f>DRAM!$AU$27</c:f>
              <c:strCache>
                <c:ptCount val="1"/>
                <c:pt idx="0">
                  <c:v>Contract</c:v>
                </c:pt>
              </c:strCache>
            </c:strRef>
          </c:tx>
          <c:spPr>
            <a:ln w="19050" cap="rnd" cmpd="sng" algn="ctr">
              <a:solidFill>
                <a:sysClr val="windowText" lastClr="000000"/>
              </a:solidFill>
              <a:prstDash val="solid"/>
              <a:round/>
            </a:ln>
          </c:spPr>
          <c:marker>
            <c:symbol val="none"/>
          </c:marker>
          <c:dLbls>
            <c:delete val="1"/>
          </c:dLbls>
          <c:cat>
            <c:numRef>
              <c:f>DRAM!$AS$29:$AS$500</c:f>
              <c:numCache>
                <c:formatCode>m/d/yyyy;@</c:formatCode>
                <c:ptCount val="472"/>
                <c:pt idx="0" c:formatCode="m/d/yyyy;@">
                  <c:v>43479</c:v>
                </c:pt>
                <c:pt idx="1" c:formatCode="m/d/yyyy;@">
                  <c:v>43493</c:v>
                </c:pt>
                <c:pt idx="2" c:formatCode="m/d/yyyy;@">
                  <c:v>43507</c:v>
                </c:pt>
                <c:pt idx="3" c:formatCode="m/d/yyyy;@">
                  <c:v>43514</c:v>
                </c:pt>
                <c:pt idx="4" c:formatCode="m/d/yyyy;@">
                  <c:v>43521</c:v>
                </c:pt>
                <c:pt idx="5" c:formatCode="m/d/yyyy;@">
                  <c:v>43528</c:v>
                </c:pt>
                <c:pt idx="6" c:formatCode="m/d/yyyy;@">
                  <c:v>43535</c:v>
                </c:pt>
                <c:pt idx="7" c:formatCode="m/d/yyyy;@">
                  <c:v>43542</c:v>
                </c:pt>
                <c:pt idx="8" c:formatCode="m/d/yyyy;@">
                  <c:v>43549</c:v>
                </c:pt>
                <c:pt idx="9" c:formatCode="m/d/yyyy;@">
                  <c:v>43556</c:v>
                </c:pt>
                <c:pt idx="10" c:formatCode="m/d/yyyy;@">
                  <c:v>43563</c:v>
                </c:pt>
                <c:pt idx="11" c:formatCode="m/d/yyyy;@">
                  <c:v>43570</c:v>
                </c:pt>
                <c:pt idx="12" c:formatCode="m/d/yyyy;@">
                  <c:v>43577</c:v>
                </c:pt>
                <c:pt idx="13" c:formatCode="m/d/yyyy;@">
                  <c:v>43584</c:v>
                </c:pt>
                <c:pt idx="14" c:formatCode="m/d/yyyy;@">
                  <c:v>43591</c:v>
                </c:pt>
                <c:pt idx="15" c:formatCode="m/d/yyyy;@">
                  <c:v>43598</c:v>
                </c:pt>
                <c:pt idx="16" c:formatCode="m/d/yyyy;@">
                  <c:v>43605</c:v>
                </c:pt>
                <c:pt idx="17" c:formatCode="m/d/yyyy;@">
                  <c:v>43612</c:v>
                </c:pt>
                <c:pt idx="18" c:formatCode="m/d/yyyy;@">
                  <c:v>43619</c:v>
                </c:pt>
                <c:pt idx="19" c:formatCode="m/d/yyyy;@">
                  <c:v>43626</c:v>
                </c:pt>
                <c:pt idx="20" c:formatCode="m/d/yyyy;@">
                  <c:v>43633</c:v>
                </c:pt>
                <c:pt idx="21" c:formatCode="m/d/yyyy;@">
                  <c:v>43640</c:v>
                </c:pt>
                <c:pt idx="22" c:formatCode="m/d/yyyy;@">
                  <c:v>43647</c:v>
                </c:pt>
                <c:pt idx="23" c:formatCode="m/d/yyyy;@">
                  <c:v>43654</c:v>
                </c:pt>
                <c:pt idx="24" c:formatCode="m/d/yyyy;@">
                  <c:v>43661</c:v>
                </c:pt>
                <c:pt idx="25" c:formatCode="m/d/yyyy;@">
                  <c:v>43668</c:v>
                </c:pt>
                <c:pt idx="26" c:formatCode="m/d/yyyy;@">
                  <c:v>43675</c:v>
                </c:pt>
                <c:pt idx="27" c:formatCode="m/d/yyyy;@">
                  <c:v>43682</c:v>
                </c:pt>
                <c:pt idx="28" c:formatCode="m/d/yyyy;@">
                  <c:v>43689</c:v>
                </c:pt>
                <c:pt idx="29" c:formatCode="m/d/yyyy;@">
                  <c:v>43696</c:v>
                </c:pt>
                <c:pt idx="30" c:formatCode="m/d/yyyy;@">
                  <c:v>43703</c:v>
                </c:pt>
                <c:pt idx="31" c:formatCode="m/d/yyyy;@">
                  <c:v>43710</c:v>
                </c:pt>
                <c:pt idx="32" c:formatCode="m/d/yyyy;@">
                  <c:v>43717</c:v>
                </c:pt>
                <c:pt idx="33" c:formatCode="m/d/yyyy;@">
                  <c:v>43724</c:v>
                </c:pt>
                <c:pt idx="34" c:formatCode="m/d/yyyy;@">
                  <c:v>43731</c:v>
                </c:pt>
                <c:pt idx="35" c:formatCode="m/d/yyyy;@">
                  <c:v>43738</c:v>
                </c:pt>
                <c:pt idx="36" c:formatCode="m/d/yyyy;@">
                  <c:v>43745</c:v>
                </c:pt>
                <c:pt idx="37" c:formatCode="m/d/yyyy;@">
                  <c:v>43752</c:v>
                </c:pt>
                <c:pt idx="38" c:formatCode="m/d/yyyy;@">
                  <c:v>43759</c:v>
                </c:pt>
                <c:pt idx="39" c:formatCode="m/d/yyyy;@">
                  <c:v>43766</c:v>
                </c:pt>
                <c:pt idx="40" c:formatCode="m/d/yyyy;@">
                  <c:v>43773</c:v>
                </c:pt>
                <c:pt idx="41" c:formatCode="m/d/yyyy;@">
                  <c:v>43780</c:v>
                </c:pt>
                <c:pt idx="42" c:formatCode="m/d/yyyy;@">
                  <c:v>43787</c:v>
                </c:pt>
                <c:pt idx="43" c:formatCode="m/d/yyyy;@">
                  <c:v>43794</c:v>
                </c:pt>
                <c:pt idx="44" c:formatCode="m/d/yyyy;@">
                  <c:v>43801</c:v>
                </c:pt>
                <c:pt idx="45" c:formatCode="m/d/yyyy;@">
                  <c:v>43808</c:v>
                </c:pt>
                <c:pt idx="46" c:formatCode="m/d/yyyy;@">
                  <c:v>43815</c:v>
                </c:pt>
                <c:pt idx="47" c:formatCode="m/d/yyyy;@">
                  <c:v>43822</c:v>
                </c:pt>
                <c:pt idx="48" c:formatCode="m/d/yyyy;@">
                  <c:v>43829</c:v>
                </c:pt>
                <c:pt idx="49" c:formatCode="m/d/yyyy;@">
                  <c:v>43836</c:v>
                </c:pt>
                <c:pt idx="50" c:formatCode="m/d/yyyy;@">
                  <c:v>43843</c:v>
                </c:pt>
                <c:pt idx="51" c:formatCode="m/d/yyyy;@">
                  <c:v>43850</c:v>
                </c:pt>
                <c:pt idx="52" c:formatCode="m/d/yyyy;@">
                  <c:v>43864</c:v>
                </c:pt>
                <c:pt idx="53" c:formatCode="m/d/yyyy;@">
                  <c:v>43871</c:v>
                </c:pt>
                <c:pt idx="54" c:formatCode="m/d/yyyy;@">
                  <c:v>43878</c:v>
                </c:pt>
                <c:pt idx="55" c:formatCode="m/d/yyyy;@">
                  <c:v>43885</c:v>
                </c:pt>
                <c:pt idx="56" c:formatCode="m/d/yyyy;@">
                  <c:v>43892</c:v>
                </c:pt>
                <c:pt idx="57" c:formatCode="m/d/yyyy;@">
                  <c:v>43899</c:v>
                </c:pt>
                <c:pt idx="58" c:formatCode="m/d/yyyy;@">
                  <c:v>43906</c:v>
                </c:pt>
                <c:pt idx="59" c:formatCode="m/d/yyyy;@">
                  <c:v>43913</c:v>
                </c:pt>
                <c:pt idx="60" c:formatCode="m/d/yyyy;@">
                  <c:v>43920</c:v>
                </c:pt>
                <c:pt idx="61" c:formatCode="m/d/yyyy;@">
                  <c:v>43927</c:v>
                </c:pt>
                <c:pt idx="62" c:formatCode="m/d/yyyy;@">
                  <c:v>43934</c:v>
                </c:pt>
                <c:pt idx="63" c:formatCode="m/d/yyyy;@">
                  <c:v>43941</c:v>
                </c:pt>
                <c:pt idx="64" c:formatCode="m/d/yyyy;@">
                  <c:v>43948</c:v>
                </c:pt>
                <c:pt idx="65" c:formatCode="m/d/yyyy;@">
                  <c:v>43955</c:v>
                </c:pt>
                <c:pt idx="66" c:formatCode="m/d/yyyy;@">
                  <c:v>43962</c:v>
                </c:pt>
                <c:pt idx="67" c:formatCode="m/d/yyyy;@">
                  <c:v>43969</c:v>
                </c:pt>
                <c:pt idx="68" c:formatCode="m/d/yyyy;@">
                  <c:v>43976</c:v>
                </c:pt>
                <c:pt idx="69" c:formatCode="m/d/yyyy;@">
                  <c:v>43983</c:v>
                </c:pt>
                <c:pt idx="70" c:formatCode="m/d/yyyy;@">
                  <c:v>43990</c:v>
                </c:pt>
                <c:pt idx="71" c:formatCode="m/d/yyyy;@">
                  <c:v>43997</c:v>
                </c:pt>
                <c:pt idx="72" c:formatCode="m/d/yyyy;@">
                  <c:v>44004</c:v>
                </c:pt>
                <c:pt idx="73" c:formatCode="m/d/yyyy;@">
                  <c:v>44011</c:v>
                </c:pt>
                <c:pt idx="74" c:formatCode="m/d/yyyy;@">
                  <c:v>44018</c:v>
                </c:pt>
                <c:pt idx="75" c:formatCode="m/d/yyyy;@">
                  <c:v>44025</c:v>
                </c:pt>
                <c:pt idx="76" c:formatCode="m/d/yyyy;@">
                  <c:v>44032</c:v>
                </c:pt>
                <c:pt idx="77" c:formatCode="m/d/yyyy;@">
                  <c:v>44039</c:v>
                </c:pt>
                <c:pt idx="78" c:formatCode="m/d/yyyy;@">
                  <c:v>44046</c:v>
                </c:pt>
                <c:pt idx="79" c:formatCode="m/d/yyyy;@">
                  <c:v>44053</c:v>
                </c:pt>
                <c:pt idx="80" c:formatCode="m/d/yyyy;@">
                  <c:v>44060</c:v>
                </c:pt>
                <c:pt idx="81" c:formatCode="m/d/yyyy;@">
                  <c:v>44067</c:v>
                </c:pt>
                <c:pt idx="82" c:formatCode="m/d/yyyy;@">
                  <c:v>44074</c:v>
                </c:pt>
                <c:pt idx="83" c:formatCode="m/d/yyyy;@">
                  <c:v>44081</c:v>
                </c:pt>
                <c:pt idx="84" c:formatCode="m/d/yyyy;@">
                  <c:v>44088</c:v>
                </c:pt>
                <c:pt idx="85" c:formatCode="m/d/yyyy;@">
                  <c:v>44095</c:v>
                </c:pt>
                <c:pt idx="86" c:formatCode="m/d/yyyy;@">
                  <c:v>44102</c:v>
                </c:pt>
                <c:pt idx="87" c:formatCode="m/d/yyyy;@">
                  <c:v>44109</c:v>
                </c:pt>
                <c:pt idx="88" c:formatCode="m/d/yyyy;@">
                  <c:v>44116</c:v>
                </c:pt>
                <c:pt idx="89" c:formatCode="m/d/yyyy;@">
                  <c:v>44123</c:v>
                </c:pt>
                <c:pt idx="90" c:formatCode="m/d/yyyy;@">
                  <c:v>44130</c:v>
                </c:pt>
                <c:pt idx="91" c:formatCode="m/d/yyyy;@">
                  <c:v>44137</c:v>
                </c:pt>
                <c:pt idx="92" c:formatCode="m/d/yyyy;@">
                  <c:v>44144</c:v>
                </c:pt>
                <c:pt idx="93" c:formatCode="m/d/yyyy;@">
                  <c:v>44151</c:v>
                </c:pt>
                <c:pt idx="94" c:formatCode="m/d/yyyy;@">
                  <c:v>44158</c:v>
                </c:pt>
                <c:pt idx="95" c:formatCode="m/d/yyyy;@">
                  <c:v>44165</c:v>
                </c:pt>
                <c:pt idx="96" c:formatCode="m/d/yyyy;@">
                  <c:v>44172</c:v>
                </c:pt>
                <c:pt idx="97" c:formatCode="m/d/yyyy;@">
                  <c:v>44179</c:v>
                </c:pt>
                <c:pt idx="98" c:formatCode="m/d/yyyy;@">
                  <c:v>44186</c:v>
                </c:pt>
                <c:pt idx="99" c:formatCode="m/d/yyyy;@">
                  <c:v>44193</c:v>
                </c:pt>
                <c:pt idx="100" c:formatCode="m/d/yyyy;@">
                  <c:v>44200</c:v>
                </c:pt>
                <c:pt idx="101" c:formatCode="m/d/yyyy;@">
                  <c:v>44207</c:v>
                </c:pt>
                <c:pt idx="102" c:formatCode="m/d/yyyy;@">
                  <c:v>44214</c:v>
                </c:pt>
                <c:pt idx="103" c:formatCode="m/d/yyyy;@">
                  <c:v>44221</c:v>
                </c:pt>
                <c:pt idx="104" c:formatCode="m/d/yyyy;@">
                  <c:v>44228</c:v>
                </c:pt>
                <c:pt idx="105" c:formatCode="m/d/yyyy;@">
                  <c:v>44235</c:v>
                </c:pt>
                <c:pt idx="106" c:formatCode="m/d/yyyy;@">
                  <c:v>44244</c:v>
                </c:pt>
                <c:pt idx="107" c:formatCode="m/d/yyyy;@">
                  <c:v>44249</c:v>
                </c:pt>
                <c:pt idx="108" c:formatCode="m/d/yyyy;@">
                  <c:v>44256</c:v>
                </c:pt>
                <c:pt idx="109" c:formatCode="m/d/yyyy;@">
                  <c:v>44263</c:v>
                </c:pt>
                <c:pt idx="110" c:formatCode="m/d/yyyy;@">
                  <c:v>44270</c:v>
                </c:pt>
                <c:pt idx="111" c:formatCode="m/d/yyyy;@">
                  <c:v>44277</c:v>
                </c:pt>
                <c:pt idx="112" c:formatCode="m/d/yyyy;@">
                  <c:v>44284</c:v>
                </c:pt>
                <c:pt idx="113" c:formatCode="m/d/yyyy;@">
                  <c:v>44292</c:v>
                </c:pt>
                <c:pt idx="114" c:formatCode="m/d/yyyy;@">
                  <c:v>44298</c:v>
                </c:pt>
                <c:pt idx="115" c:formatCode="m/d/yyyy;@">
                  <c:v>44305</c:v>
                </c:pt>
                <c:pt idx="116" c:formatCode="m/d/yyyy;@">
                  <c:v>44312</c:v>
                </c:pt>
                <c:pt idx="117" c:formatCode="m/d/yyyy;@">
                  <c:v>44319</c:v>
                </c:pt>
                <c:pt idx="118" c:formatCode="m/d/yyyy;@">
                  <c:v>44326</c:v>
                </c:pt>
                <c:pt idx="119" c:formatCode="m/d/yyyy;@">
                  <c:v>44333</c:v>
                </c:pt>
                <c:pt idx="120" c:formatCode="m/d/yyyy;@">
                  <c:v>44340</c:v>
                </c:pt>
                <c:pt idx="121" c:formatCode="m/d/yyyy;@">
                  <c:v>44347</c:v>
                </c:pt>
                <c:pt idx="122" c:formatCode="m/d/yyyy;@">
                  <c:v>44354</c:v>
                </c:pt>
                <c:pt idx="123" c:formatCode="m/d/yyyy;@">
                  <c:v>44362</c:v>
                </c:pt>
                <c:pt idx="124" c:formatCode="m/d/yyyy;@">
                  <c:v>44368</c:v>
                </c:pt>
                <c:pt idx="125" c:formatCode="m/d/yyyy;@">
                  <c:v>44375</c:v>
                </c:pt>
                <c:pt idx="126" c:formatCode="m/d/yyyy;@">
                  <c:v>44382</c:v>
                </c:pt>
                <c:pt idx="127" c:formatCode="m/d/yyyy;@">
                  <c:v>44389</c:v>
                </c:pt>
                <c:pt idx="128" c:formatCode="m/d/yyyy;@">
                  <c:v>44396</c:v>
                </c:pt>
                <c:pt idx="129" c:formatCode="m/d/yyyy;@">
                  <c:v>44403</c:v>
                </c:pt>
                <c:pt idx="130" c:formatCode="m/d/yyyy;@">
                  <c:v>44410</c:v>
                </c:pt>
                <c:pt idx="131" c:formatCode="m/d/yyyy;@">
                  <c:v>44417</c:v>
                </c:pt>
                <c:pt idx="132" c:formatCode="m/d/yyyy;@">
                  <c:v>44424</c:v>
                </c:pt>
                <c:pt idx="133" c:formatCode="m/d/yyyy;@">
                  <c:v>44431</c:v>
                </c:pt>
                <c:pt idx="134" c:formatCode="m/d/yyyy;@">
                  <c:v>44438</c:v>
                </c:pt>
                <c:pt idx="135" c:formatCode="m/d/yyyy;@">
                  <c:v>44445</c:v>
                </c:pt>
                <c:pt idx="136" c:formatCode="m/d/yyyy;@">
                  <c:v>44452</c:v>
                </c:pt>
                <c:pt idx="137" c:formatCode="m/d/yyyy;@">
                  <c:v>44461</c:v>
                </c:pt>
                <c:pt idx="138" c:formatCode="m/d/yyyy;@">
                  <c:v>44466</c:v>
                </c:pt>
                <c:pt idx="139" c:formatCode="m/d/yyyy;@">
                  <c:v>44473</c:v>
                </c:pt>
                <c:pt idx="140" c:formatCode="m/d/yyyy;@">
                  <c:v>44480</c:v>
                </c:pt>
                <c:pt idx="141" c:formatCode="m/d/yyyy;@">
                  <c:v>44487</c:v>
                </c:pt>
                <c:pt idx="142" c:formatCode="m/d/yyyy;@">
                  <c:v>44494</c:v>
                </c:pt>
                <c:pt idx="143" c:formatCode="m/d/yyyy;@">
                  <c:v>44501</c:v>
                </c:pt>
                <c:pt idx="144" c:formatCode="m/d/yyyy;@">
                  <c:v>44508</c:v>
                </c:pt>
                <c:pt idx="145" c:formatCode="m/d/yyyy;@">
                  <c:v>44515</c:v>
                </c:pt>
                <c:pt idx="146" c:formatCode="m/d/yyyy;@">
                  <c:v>44522</c:v>
                </c:pt>
                <c:pt idx="147" c:formatCode="m/d/yyyy;@">
                  <c:v>44529</c:v>
                </c:pt>
                <c:pt idx="148" c:formatCode="m/d/yyyy;@">
                  <c:v>44536</c:v>
                </c:pt>
                <c:pt idx="149" c:formatCode="m/d/yyyy;@">
                  <c:v>44543</c:v>
                </c:pt>
                <c:pt idx="150" c:formatCode="m/d/yyyy;@">
                  <c:v>44550</c:v>
                </c:pt>
                <c:pt idx="151" c:formatCode="m/d/yyyy;@">
                  <c:v>44557</c:v>
                </c:pt>
                <c:pt idx="152" c:formatCode="m/d/yyyy;@">
                  <c:v>44564</c:v>
                </c:pt>
                <c:pt idx="153" c:formatCode="m/d/yyyy;@">
                  <c:v>44571</c:v>
                </c:pt>
                <c:pt idx="154" c:formatCode="m/d/yyyy;@">
                  <c:v>44578</c:v>
                </c:pt>
                <c:pt idx="155" c:formatCode="m/d/yyyy;@">
                  <c:v>44585</c:v>
                </c:pt>
                <c:pt idx="156" c:formatCode="m/d/yyyy;@">
                  <c:v>44599</c:v>
                </c:pt>
                <c:pt idx="157" c:formatCode="m/d/yyyy;@">
                  <c:v>44606</c:v>
                </c:pt>
                <c:pt idx="158" c:formatCode="m/d/yyyy;@">
                  <c:v>44613</c:v>
                </c:pt>
                <c:pt idx="159" c:formatCode="m/d/yyyy;@">
                  <c:v>44620</c:v>
                </c:pt>
                <c:pt idx="160" c:formatCode="m/d/yyyy;@">
                  <c:v>44627</c:v>
                </c:pt>
                <c:pt idx="161" c:formatCode="m/d/yyyy;@">
                  <c:v>44634</c:v>
                </c:pt>
                <c:pt idx="162" c:formatCode="m/d/yyyy;@">
                  <c:v>44641</c:v>
                </c:pt>
                <c:pt idx="163" c:formatCode="m/d/yyyy;@">
                  <c:v>44648</c:v>
                </c:pt>
                <c:pt idx="164" c:formatCode="m/d/yyyy;@">
                  <c:v>44657</c:v>
                </c:pt>
                <c:pt idx="165" c:formatCode="m/d/yyyy;@">
                  <c:v>44662</c:v>
                </c:pt>
                <c:pt idx="166" c:formatCode="m/d/yyyy;@">
                  <c:v>44669</c:v>
                </c:pt>
                <c:pt idx="167" c:formatCode="m/d/yyyy;@">
                  <c:v>44676</c:v>
                </c:pt>
                <c:pt idx="168" c:formatCode="m/d/yyyy;@">
                  <c:v>44684</c:v>
                </c:pt>
                <c:pt idx="169" c:formatCode="m/d/yyyy;@">
                  <c:v>44690</c:v>
                </c:pt>
                <c:pt idx="170" c:formatCode="m/d/yyyy;@">
                  <c:v>44697</c:v>
                </c:pt>
                <c:pt idx="171" c:formatCode="m/d/yyyy;@">
                  <c:v>44704</c:v>
                </c:pt>
                <c:pt idx="172" c:formatCode="m/d/yyyy;@">
                  <c:v>44711</c:v>
                </c:pt>
                <c:pt idx="173" c:formatCode="m/d/yyyy;@">
                  <c:v>44718</c:v>
                </c:pt>
                <c:pt idx="174" c:formatCode="m/d/yyyy;@">
                  <c:v>44725</c:v>
                </c:pt>
                <c:pt idx="175" c:formatCode="m/d/yyyy;@">
                  <c:v>44732</c:v>
                </c:pt>
                <c:pt idx="176" c:formatCode="m/d/yyyy;@">
                  <c:v>44739</c:v>
                </c:pt>
                <c:pt idx="177" c:formatCode="m/d/yyyy;@">
                  <c:v>44746</c:v>
                </c:pt>
                <c:pt idx="178" c:formatCode="m/d/yyyy;@">
                  <c:v>44753</c:v>
                </c:pt>
                <c:pt idx="179" c:formatCode="m/d/yyyy;@">
                  <c:v>44760</c:v>
                </c:pt>
                <c:pt idx="180" c:formatCode="m/d/yyyy;@">
                  <c:v>44767</c:v>
                </c:pt>
                <c:pt idx="181" c:formatCode="m/d/yyyy;@">
                  <c:v>44774</c:v>
                </c:pt>
                <c:pt idx="182" c:formatCode="m/d/yyyy;@">
                  <c:v>44781</c:v>
                </c:pt>
                <c:pt idx="183" c:formatCode="m/d/yyyy;@">
                  <c:v>44788</c:v>
                </c:pt>
                <c:pt idx="184" c:formatCode="m/d/yyyy;@">
                  <c:v>44795</c:v>
                </c:pt>
                <c:pt idx="185" c:formatCode="m/d/yyyy;@">
                  <c:v>44802</c:v>
                </c:pt>
                <c:pt idx="186" c:formatCode="m/d/yyyy;@">
                  <c:v>44809</c:v>
                </c:pt>
                <c:pt idx="187" c:formatCode="m/d/yyyy;@">
                  <c:v>44816</c:v>
                </c:pt>
                <c:pt idx="188" c:formatCode="m/d/yyyy;@">
                  <c:v>44823</c:v>
                </c:pt>
                <c:pt idx="189" c:formatCode="m/d/yyyy;@">
                  <c:v>44830</c:v>
                </c:pt>
                <c:pt idx="190" c:formatCode="m/d/yyyy;@">
                  <c:v>44837</c:v>
                </c:pt>
                <c:pt idx="191" c:formatCode="m/d/yyyy;@">
                  <c:v>44844</c:v>
                </c:pt>
                <c:pt idx="192" c:formatCode="m/d/yyyy;@">
                  <c:v>44851</c:v>
                </c:pt>
                <c:pt idx="193" c:formatCode="m/d/yyyy;@">
                  <c:v>44858</c:v>
                </c:pt>
                <c:pt idx="194" c:formatCode="m/d/yyyy;@">
                  <c:v>44865</c:v>
                </c:pt>
                <c:pt idx="195" c:formatCode="m/d/yyyy;@">
                  <c:v>44872</c:v>
                </c:pt>
                <c:pt idx="196" c:formatCode="m/d/yyyy;@">
                  <c:v>44879</c:v>
                </c:pt>
                <c:pt idx="197" c:formatCode="m/d/yyyy;@">
                  <c:v>44886</c:v>
                </c:pt>
                <c:pt idx="198" c:formatCode="m/d/yyyy;@">
                  <c:v>44893</c:v>
                </c:pt>
                <c:pt idx="199" c:formatCode="m/d/yyyy;@">
                  <c:v>44900</c:v>
                </c:pt>
                <c:pt idx="200" c:formatCode="m/d/yyyy;@">
                  <c:v>44907</c:v>
                </c:pt>
                <c:pt idx="201" c:formatCode="m/d/yyyy;@">
                  <c:v>44914</c:v>
                </c:pt>
                <c:pt idx="202" c:formatCode="m/d/yyyy;@">
                  <c:v>44921</c:v>
                </c:pt>
                <c:pt idx="203" c:formatCode="m/d/yyyy;@">
                  <c:v>44928</c:v>
                </c:pt>
                <c:pt idx="204" c:formatCode="m/d/yyyy;@">
                  <c:v>44935</c:v>
                </c:pt>
                <c:pt idx="205" c:formatCode="m/d/yyyy;@">
                  <c:v>44942</c:v>
                </c:pt>
                <c:pt idx="206" c:formatCode="m/d/yyyy;@">
                  <c:v>44956</c:v>
                </c:pt>
                <c:pt idx="207" c:formatCode="m/d/yyyy;@">
                  <c:v>44963</c:v>
                </c:pt>
                <c:pt idx="208" c:formatCode="m/d/yyyy;@">
                  <c:v>44970</c:v>
                </c:pt>
                <c:pt idx="209" c:formatCode="m/d/yyyy;@">
                  <c:v>44977</c:v>
                </c:pt>
                <c:pt idx="210" c:formatCode="m/d/yyyy;@">
                  <c:v>44984</c:v>
                </c:pt>
                <c:pt idx="211" c:formatCode="m/d/yyyy;@">
                  <c:v>44991</c:v>
                </c:pt>
                <c:pt idx="212" c:formatCode="m/d/yyyy;@">
                  <c:v>44998</c:v>
                </c:pt>
                <c:pt idx="213" c:formatCode="m/d/yyyy;@">
                  <c:v>45005</c:v>
                </c:pt>
                <c:pt idx="214" c:formatCode="m/d/yyyy;@">
                  <c:v>45012</c:v>
                </c:pt>
                <c:pt idx="215" c:formatCode="m/d/yyyy;@">
                  <c:v>45019</c:v>
                </c:pt>
                <c:pt idx="216" c:formatCode="m/d/yyyy;@">
                  <c:v>45026</c:v>
                </c:pt>
                <c:pt idx="217" c:formatCode="m/d/yyyy;@">
                  <c:v>45033</c:v>
                </c:pt>
                <c:pt idx="218" c:formatCode="m/d/yyyy;@">
                  <c:v>45040</c:v>
                </c:pt>
                <c:pt idx="219" c:formatCode="m/d/yyyy;@">
                  <c:v>45047</c:v>
                </c:pt>
                <c:pt idx="220" c:formatCode="m/d/yyyy;@">
                  <c:v>45054</c:v>
                </c:pt>
                <c:pt idx="221" c:formatCode="m/d/yyyy;@">
                  <c:v>45061</c:v>
                </c:pt>
                <c:pt idx="222" c:formatCode="m/d/yyyy;@">
                  <c:v>45068</c:v>
                </c:pt>
                <c:pt idx="223" c:formatCode="m/d/yyyy;@">
                  <c:v>45075</c:v>
                </c:pt>
                <c:pt idx="224" c:formatCode="m/d/yyyy;@">
                  <c:v>45082</c:v>
                </c:pt>
                <c:pt idx="225" c:formatCode="m/d/yyyy;@">
                  <c:v>45089</c:v>
                </c:pt>
                <c:pt idx="226" c:formatCode="m/d/yyyy;@">
                  <c:v>45096</c:v>
                </c:pt>
                <c:pt idx="227" c:formatCode="m/d/yyyy;@">
                  <c:v>45103</c:v>
                </c:pt>
                <c:pt idx="228" c:formatCode="m/d/yyyy;@">
                  <c:v>45110</c:v>
                </c:pt>
                <c:pt idx="229" c:formatCode="m/d/yyyy;@">
                  <c:v>45117</c:v>
                </c:pt>
                <c:pt idx="230" c:formatCode="m/d/yyyy;@">
                  <c:v>45124</c:v>
                </c:pt>
                <c:pt idx="231" c:formatCode="m/d/yyyy;@">
                  <c:v>45131</c:v>
                </c:pt>
                <c:pt idx="232" c:formatCode="m/d/yyyy;@">
                  <c:v>45138</c:v>
                </c:pt>
                <c:pt idx="233" c:formatCode="m/d/yyyy;@">
                  <c:v>45145</c:v>
                </c:pt>
                <c:pt idx="234" c:formatCode="m/d/yyyy;@">
                  <c:v>45152</c:v>
                </c:pt>
                <c:pt idx="235" c:formatCode="m/d/yyyy;@">
                  <c:v>45159</c:v>
                </c:pt>
                <c:pt idx="236" c:formatCode="m/d/yyyy;@">
                  <c:v>45166</c:v>
                </c:pt>
                <c:pt idx="237" c:formatCode="m/d/yyyy;@">
                  <c:v>45173</c:v>
                </c:pt>
                <c:pt idx="238" c:formatCode="m/d/yyyy;@">
                  <c:v>45180</c:v>
                </c:pt>
                <c:pt idx="239" c:formatCode="m/d/yyyy;@">
                  <c:v>45187</c:v>
                </c:pt>
                <c:pt idx="240" c:formatCode="m/d/yyyy;@">
                  <c:v>45194</c:v>
                </c:pt>
                <c:pt idx="241" c:formatCode="m/d/yyyy;@">
                  <c:v>45201</c:v>
                </c:pt>
                <c:pt idx="242" c:formatCode="m/d/yyyy;@">
                  <c:v>45208</c:v>
                </c:pt>
                <c:pt idx="243" c:formatCode="m/d/yyyy;@">
                  <c:v>45215</c:v>
                </c:pt>
                <c:pt idx="244" c:formatCode="m/d/yyyy;@">
                  <c:v>45222</c:v>
                </c:pt>
                <c:pt idx="245" c:formatCode="m/d/yyyy;@">
                  <c:v>45229</c:v>
                </c:pt>
                <c:pt idx="246" c:formatCode="m/d/yyyy;@">
                  <c:v>45236</c:v>
                </c:pt>
                <c:pt idx="247" c:formatCode="m/d/yyyy;@">
                  <c:v>45243</c:v>
                </c:pt>
                <c:pt idx="248" c:formatCode="m/d/yyyy;@">
                  <c:v>45250</c:v>
                </c:pt>
                <c:pt idx="249" c:formatCode="m/d/yyyy;@">
                  <c:v>45257</c:v>
                </c:pt>
                <c:pt idx="250" c:formatCode="m/d/yyyy;@">
                  <c:v>45264</c:v>
                </c:pt>
                <c:pt idx="251" c:formatCode="m/d/yyyy;@">
                  <c:v>45271</c:v>
                </c:pt>
                <c:pt idx="252" c:formatCode="m/d/yyyy;@">
                  <c:v>45278</c:v>
                </c:pt>
                <c:pt idx="253" c:formatCode="m/d/yyyy;@">
                  <c:v>45285</c:v>
                </c:pt>
                <c:pt idx="254" c:formatCode="m/d/yyyy;@">
                  <c:v>45292</c:v>
                </c:pt>
                <c:pt idx="255" c:formatCode="m/d/yyyy;@">
                  <c:v>45299</c:v>
                </c:pt>
                <c:pt idx="256" c:formatCode="m/d/yyyy;@">
                  <c:v>45306</c:v>
                </c:pt>
                <c:pt idx="257" c:formatCode="m/d/yyyy;@">
                  <c:v>45313</c:v>
                </c:pt>
                <c:pt idx="258" c:formatCode="m/d/yyyy;@">
                  <c:v>45320</c:v>
                </c:pt>
                <c:pt idx="259" c:formatCode="m/d/yyyy;@">
                  <c:v>45327</c:v>
                </c:pt>
                <c:pt idx="260" c:formatCode="m/d/yyyy;@">
                  <c:v>45334</c:v>
                </c:pt>
                <c:pt idx="261" c:formatCode="m/d/yyyy;@">
                  <c:v>45341</c:v>
                </c:pt>
                <c:pt idx="262" c:formatCode="m/d/yyyy;@">
                  <c:v>45348</c:v>
                </c:pt>
                <c:pt idx="263" c:formatCode="m/d/yyyy;@">
                  <c:v>45355</c:v>
                </c:pt>
                <c:pt idx="264" c:formatCode="m/d/yyyy;@">
                  <c:v>45362</c:v>
                </c:pt>
                <c:pt idx="265" c:formatCode="m/d/yyyy;@">
                  <c:v>45369</c:v>
                </c:pt>
                <c:pt idx="266" c:formatCode="m/d/yyyy;@">
                  <c:v>45376</c:v>
                </c:pt>
                <c:pt idx="267" c:formatCode="m/d/yyyy;@">
                  <c:v>45383</c:v>
                </c:pt>
                <c:pt idx="268" c:formatCode="m/d/yyyy;@">
                  <c:v>45390</c:v>
                </c:pt>
                <c:pt idx="269" c:formatCode="m/d/yyyy;@">
                  <c:v>45397</c:v>
                </c:pt>
                <c:pt idx="270" c:formatCode="m/d/yyyy;@">
                  <c:v>45404</c:v>
                </c:pt>
                <c:pt idx="271" c:formatCode="m/d/yyyy;@">
                  <c:v>45411</c:v>
                </c:pt>
                <c:pt idx="272" c:formatCode="m/d/yyyy;@">
                  <c:v>45418</c:v>
                </c:pt>
                <c:pt idx="273" c:formatCode="m/d/yyyy;@">
                  <c:v>45425</c:v>
                </c:pt>
                <c:pt idx="274" c:formatCode="m/d/yyyy;@">
                  <c:v>45432</c:v>
                </c:pt>
                <c:pt idx="275" c:formatCode="m/d/yyyy;@">
                  <c:v>45439</c:v>
                </c:pt>
                <c:pt idx="276" c:formatCode="m/d/yyyy;@">
                  <c:v>45446</c:v>
                </c:pt>
                <c:pt idx="277" c:formatCode="m/d/yyyy;@">
                  <c:v>45454</c:v>
                </c:pt>
                <c:pt idx="278" c:formatCode="m/d/yyyy;@">
                  <c:v>45460</c:v>
                </c:pt>
                <c:pt idx="279" c:formatCode="m/d/yyyy;@">
                  <c:v>45467</c:v>
                </c:pt>
                <c:pt idx="280" c:formatCode="m/d/yyyy;@">
                  <c:v>45474</c:v>
                </c:pt>
                <c:pt idx="281" c:formatCode="m/d/yyyy;@">
                  <c:v>45481</c:v>
                </c:pt>
                <c:pt idx="282" c:formatCode="m/d/yyyy;@">
                  <c:v>45488</c:v>
                </c:pt>
                <c:pt idx="283" c:formatCode="m/d/yyyy;@">
                  <c:v>45495</c:v>
                </c:pt>
                <c:pt idx="284" c:formatCode="m/d/yyyy;@">
                  <c:v>45502</c:v>
                </c:pt>
                <c:pt idx="285" c:formatCode="m/d/yyyy;@">
                  <c:v>45509</c:v>
                </c:pt>
                <c:pt idx="286" c:formatCode="m/d/yyyy;@">
                  <c:v>45516</c:v>
                </c:pt>
                <c:pt idx="287" c:formatCode="m/d/yyyy;@">
                  <c:v>45523</c:v>
                </c:pt>
                <c:pt idx="288" c:formatCode="m/d/yyyy;@">
                  <c:v>45530</c:v>
                </c:pt>
                <c:pt idx="289" c:formatCode="m/d/yyyy;@">
                  <c:v>45537</c:v>
                </c:pt>
                <c:pt idx="290" c:formatCode="m/d/yyyy;@">
                  <c:v>45544</c:v>
                </c:pt>
                <c:pt idx="291" c:formatCode="m/d/yyyy;@">
                  <c:v>45551</c:v>
                </c:pt>
                <c:pt idx="292" c:formatCode="m/d/yyyy;@">
                  <c:v>45558</c:v>
                </c:pt>
                <c:pt idx="293" c:formatCode="m/d/yyyy;@">
                  <c:v>45565</c:v>
                </c:pt>
                <c:pt idx="294" c:formatCode="m/d/yyyy;@">
                  <c:v>45572</c:v>
                </c:pt>
                <c:pt idx="295" c:formatCode="m/d/yyyy;@">
                  <c:v>45579</c:v>
                </c:pt>
                <c:pt idx="296" c:formatCode="m/d/yyyy;@">
                  <c:v>45586</c:v>
                </c:pt>
                <c:pt idx="297" c:formatCode="m/d/yyyy;@">
                  <c:v>45593</c:v>
                </c:pt>
                <c:pt idx="298" c:formatCode="m/d/yyyy;@">
                  <c:v>45600</c:v>
                </c:pt>
                <c:pt idx="299" c:formatCode="m/d/yyyy;@">
                  <c:v>45607</c:v>
                </c:pt>
                <c:pt idx="300" c:formatCode="m/d/yyyy;@">
                  <c:v>45614</c:v>
                </c:pt>
                <c:pt idx="301" c:formatCode="m/d/yyyy;@">
                  <c:v>45621</c:v>
                </c:pt>
                <c:pt idx="302" c:formatCode="m/d/yyyy;@">
                  <c:v>45628</c:v>
                </c:pt>
                <c:pt idx="303" c:formatCode="m/d/yyyy;@">
                  <c:v>45635</c:v>
                </c:pt>
                <c:pt idx="304" c:formatCode="m/d/yyyy;@">
                  <c:v>45642</c:v>
                </c:pt>
                <c:pt idx="305" c:formatCode="m/d/yyyy;@">
                  <c:v>45649</c:v>
                </c:pt>
                <c:pt idx="306" c:formatCode="m/d/yyyy;@">
                  <c:v>45656</c:v>
                </c:pt>
                <c:pt idx="307" c:formatCode="m/d/yyyy;@">
                  <c:v>45663</c:v>
                </c:pt>
                <c:pt idx="308" c:formatCode="m/d/yyyy;@">
                  <c:v>45670</c:v>
                </c:pt>
                <c:pt idx="309" c:formatCode="m/d/yyyy;@">
                  <c:v>45677</c:v>
                </c:pt>
                <c:pt idx="310" c:formatCode="m/d/yyyy;@">
                  <c:v>45684</c:v>
                </c:pt>
                <c:pt idx="311" c:formatCode="m/d/yyyy;@">
                  <c:v>45691</c:v>
                </c:pt>
                <c:pt idx="312" c:formatCode="m/d/yyyy;@">
                  <c:v>45698</c:v>
                </c:pt>
                <c:pt idx="313" c:formatCode="m/d/yyyy;@">
                  <c:v>45705</c:v>
                </c:pt>
                <c:pt idx="314" c:formatCode="m/d/yyyy;@">
                  <c:v>45712</c:v>
                </c:pt>
                <c:pt idx="315" c:formatCode="m/d/yyyy;@">
                  <c:v>45719</c:v>
                </c:pt>
                <c:pt idx="316" c:formatCode="m/d/yyyy;@">
                  <c:v>45726</c:v>
                </c:pt>
                <c:pt idx="317" c:formatCode="m/d/yyyy;@">
                  <c:v>45733</c:v>
                </c:pt>
                <c:pt idx="318" c:formatCode="m/d/yyyy;@">
                  <c:v>45740</c:v>
                </c:pt>
                <c:pt idx="319" c:formatCode="m/d/yyyy;@">
                  <c:v>45747</c:v>
                </c:pt>
                <c:pt idx="320" c:formatCode="m/d/yyyy;@">
                  <c:v>45754</c:v>
                </c:pt>
                <c:pt idx="321" c:formatCode="m/d/yyyy;@">
                  <c:v>45761</c:v>
                </c:pt>
                <c:pt idx="322" c:formatCode="m/d/yyyy;@">
                  <c:v>45768</c:v>
                </c:pt>
                <c:pt idx="323" c:formatCode="m/d/yyyy;@">
                  <c:v>45775</c:v>
                </c:pt>
                <c:pt idx="324" c:formatCode="m/d/yyyy;@">
                  <c:v>45782</c:v>
                </c:pt>
                <c:pt idx="325" c:formatCode="m/d/yyyy;@">
                  <c:v>45789</c:v>
                </c:pt>
                <c:pt idx="326" c:formatCode="m/d/yyyy;@">
                  <c:v>45796</c:v>
                </c:pt>
                <c:pt idx="327" c:formatCode="m/d/yyyy;@">
                  <c:v>45803</c:v>
                </c:pt>
                <c:pt idx="328" c:formatCode="m/d/yyyy;@">
                  <c:v>45810</c:v>
                </c:pt>
                <c:pt idx="329" c:formatCode="m/d/yyyy;@">
                  <c:v>45817</c:v>
                </c:pt>
                <c:pt idx="330" c:formatCode="m/d/yyyy;@">
                  <c:v>45824</c:v>
                </c:pt>
                <c:pt idx="331" c:formatCode="m/d/yyyy;@">
                  <c:v>45831</c:v>
                </c:pt>
                <c:pt idx="332" c:formatCode="m/d/yyyy;@">
                  <c:v>45838</c:v>
                </c:pt>
                <c:pt idx="333" c:formatCode="m/d/yyyy;@">
                  <c:v>45845</c:v>
                </c:pt>
                <c:pt idx="334" c:formatCode="m/d/yyyy;@">
                  <c:v>45852</c:v>
                </c:pt>
                <c:pt idx="335" c:formatCode="m/d/yyyy;@">
                  <c:v>45859</c:v>
                </c:pt>
                <c:pt idx="336" c:formatCode="m/d/yyyy;@">
                  <c:v>45866</c:v>
                </c:pt>
                <c:pt idx="337" c:formatCode="m/d/yyyy;@">
                  <c:v>45873</c:v>
                </c:pt>
                <c:pt idx="338" c:formatCode="m/d/yyyy;@">
                  <c:v>45880</c:v>
                </c:pt>
                <c:pt idx="339" c:formatCode="m/d/yyyy;@">
                  <c:v>45887</c:v>
                </c:pt>
                <c:pt idx="340" c:formatCode="m/d/yyyy;@">
                  <c:v>45894</c:v>
                </c:pt>
                <c:pt idx="341" c:formatCode="m/d/yyyy;@">
                  <c:v>45901</c:v>
                </c:pt>
                <c:pt idx="342" c:formatCode="m/d/yyyy;@">
                  <c:v>45908</c:v>
                </c:pt>
                <c:pt idx="343" c:formatCode="m/d/yyyy;@">
                  <c:v>45915</c:v>
                </c:pt>
                <c:pt idx="344" c:formatCode="m/d/yyyy;@">
                  <c:v>45922</c:v>
                </c:pt>
                <c:pt idx="345" c:formatCode="m/d/yyyy;@">
                  <c:v>45929</c:v>
                </c:pt>
                <c:pt idx="346" c:formatCode="m/d/yyyy;@">
                  <c:v>45936</c:v>
                </c:pt>
                <c:pt idx="347" c:formatCode="m/d/yyyy;@">
                  <c:v>45943</c:v>
                </c:pt>
                <c:pt idx="348" c:formatCode="m/d/yyyy;@">
                  <c:v>45950</c:v>
                </c:pt>
                <c:pt idx="349" c:formatCode="m/d/yyyy;@">
                  <c:v>45957</c:v>
                </c:pt>
                <c:pt idx="350" c:formatCode="m/d/yyyy;@">
                  <c:v>45964</c:v>
                </c:pt>
                <c:pt idx="351" c:formatCode="m/d/yyyy;@">
                  <c:v>45971</c:v>
                </c:pt>
                <c:pt idx="352" c:formatCode="m/d/yyyy;@">
                  <c:v>45978</c:v>
                </c:pt>
                <c:pt idx="353" c:formatCode="m/d/yyyy;@">
                  <c:v>45985</c:v>
                </c:pt>
                <c:pt idx="354" c:formatCode="m/d/yyyy;@">
                  <c:v>45992</c:v>
                </c:pt>
                <c:pt idx="355" c:formatCode="m/d/yyyy;@">
                  <c:v>45999</c:v>
                </c:pt>
                <c:pt idx="356" c:formatCode="m/d/yyyy;@">
                  <c:v>46006</c:v>
                </c:pt>
                <c:pt idx="357" c:formatCode="m/d/yyyy;@">
                  <c:v>46013</c:v>
                </c:pt>
                <c:pt idx="358" c:formatCode="m/d/yyyy;@">
                  <c:v>46020</c:v>
                </c:pt>
                <c:pt idx="359" c:formatCode="m/d/yyyy;@">
                  <c:v>46027</c:v>
                </c:pt>
                <c:pt idx="360" c:formatCode="m/d/yyyy;@">
                  <c:v>46034</c:v>
                </c:pt>
                <c:pt idx="361" c:formatCode="m/d/yyyy;@">
                  <c:v>46041</c:v>
                </c:pt>
                <c:pt idx="362" c:formatCode="m/d/yyyy;@">
                  <c:v>46048</c:v>
                </c:pt>
                <c:pt idx="363" c:formatCode="m/d/yyyy;@">
                  <c:v>46055</c:v>
                </c:pt>
                <c:pt idx="364" c:formatCode="m/d/yyyy;@">
                  <c:v>46062</c:v>
                </c:pt>
                <c:pt idx="365" c:formatCode="m/d/yyyy;@">
                  <c:v>46076</c:v>
                </c:pt>
                <c:pt idx="366" c:formatCode="m/d/yyyy;@">
                  <c:v>46083</c:v>
                </c:pt>
                <c:pt idx="367" c:formatCode="m/d/yyyy;@">
                  <c:v>46090</c:v>
                </c:pt>
                <c:pt idx="368" c:formatCode="m/d/yyyy;@">
                  <c:v>46097</c:v>
                </c:pt>
                <c:pt idx="369" c:formatCode="m/d/yyyy;@">
                  <c:v>46104</c:v>
                </c:pt>
                <c:pt idx="370" c:formatCode="m/d/yyyy;@">
                  <c:v>46111</c:v>
                </c:pt>
                <c:pt idx="371" c:formatCode="m/d/yyyy;@">
                  <c:v>46119</c:v>
                </c:pt>
                <c:pt idx="372" c:formatCode="m/d/yyyy;@">
                  <c:v>46125</c:v>
                </c:pt>
                <c:pt idx="373" c:formatCode="m/d/yyyy;@">
                  <c:v>46132</c:v>
                </c:pt>
                <c:pt idx="374" c:formatCode="m/d/yyyy;@">
                  <c:v>46139</c:v>
                </c:pt>
                <c:pt idx="375" c:formatCode="m/d/yyyy;@">
                  <c:v>46146</c:v>
                </c:pt>
                <c:pt idx="376" c:formatCode="m/d/yyyy;@">
                  <c:v>46153</c:v>
                </c:pt>
                <c:pt idx="377" c:formatCode="m/d/yyyy;@">
                  <c:v>46160</c:v>
                </c:pt>
                <c:pt idx="378" c:formatCode="m/d/yyyy;@">
                  <c:v>46167</c:v>
                </c:pt>
                <c:pt idx="379" c:formatCode="m/d/yyyy;@">
                  <c:v>46174</c:v>
                </c:pt>
              </c:numCache>
            </c:numRef>
          </c:cat>
          <c:val>
            <c:numRef>
              <c:f>DRAM!$AU$29:$AU$500</c:f>
              <c:numCache>
                <c:formatCode>0.0</c:formatCode>
                <c:ptCount val="472"/>
                <c:pt idx="0">
                  <c:v>232.87</c:v>
                </c:pt>
                <c:pt idx="1">
                  <c:v>232.87</c:v>
                </c:pt>
                <c:pt idx="2">
                  <c:v>209.58</c:v>
                </c:pt>
                <c:pt idx="3">
                  <c:v>209.58</c:v>
                </c:pt>
                <c:pt idx="4">
                  <c:v>209.58</c:v>
                </c:pt>
                <c:pt idx="5">
                  <c:v>167.67</c:v>
                </c:pt>
                <c:pt idx="6">
                  <c:v>167.67</c:v>
                </c:pt>
                <c:pt idx="7">
                  <c:v>167.67</c:v>
                </c:pt>
                <c:pt idx="8">
                  <c:v>167.67</c:v>
                </c:pt>
                <c:pt idx="9">
                  <c:v>152.58</c:v>
                </c:pt>
                <c:pt idx="10">
                  <c:v>152.58</c:v>
                </c:pt>
                <c:pt idx="11">
                  <c:v>152.58</c:v>
                </c:pt>
                <c:pt idx="12">
                  <c:v>152.58</c:v>
                </c:pt>
                <c:pt idx="13">
                  <c:v>152.58</c:v>
                </c:pt>
                <c:pt idx="14">
                  <c:v>137.32</c:v>
                </c:pt>
                <c:pt idx="15">
                  <c:v>137.32</c:v>
                </c:pt>
                <c:pt idx="16">
                  <c:v>137.32</c:v>
                </c:pt>
                <c:pt idx="17">
                  <c:v>137.32</c:v>
                </c:pt>
                <c:pt idx="18">
                  <c:v>123.59</c:v>
                </c:pt>
                <c:pt idx="19">
                  <c:v>123.59</c:v>
                </c:pt>
                <c:pt idx="20">
                  <c:v>123.59</c:v>
                </c:pt>
                <c:pt idx="21">
                  <c:v>123.59</c:v>
                </c:pt>
                <c:pt idx="22">
                  <c:v>114.94</c:v>
                </c:pt>
                <c:pt idx="23">
                  <c:v>114.94</c:v>
                </c:pt>
                <c:pt idx="24">
                  <c:v>114.94</c:v>
                </c:pt>
                <c:pt idx="25">
                  <c:v>114.94</c:v>
                </c:pt>
                <c:pt idx="26">
                  <c:v>114.94</c:v>
                </c:pt>
                <c:pt idx="27">
                  <c:v>112.64</c:v>
                </c:pt>
                <c:pt idx="28">
                  <c:v>112.64</c:v>
                </c:pt>
                <c:pt idx="29">
                  <c:v>112.64</c:v>
                </c:pt>
                <c:pt idx="30">
                  <c:v>112.64</c:v>
                </c:pt>
                <c:pt idx="31">
                  <c:v>110.38</c:v>
                </c:pt>
                <c:pt idx="32">
                  <c:v>110.38</c:v>
                </c:pt>
                <c:pt idx="33">
                  <c:v>110.38</c:v>
                </c:pt>
                <c:pt idx="34">
                  <c:v>110.38</c:v>
                </c:pt>
                <c:pt idx="35">
                  <c:v>110.38</c:v>
                </c:pt>
                <c:pt idx="36">
                  <c:v>108.18</c:v>
                </c:pt>
                <c:pt idx="37">
                  <c:v>108.18</c:v>
                </c:pt>
                <c:pt idx="38">
                  <c:v>108.18</c:v>
                </c:pt>
                <c:pt idx="39">
                  <c:v>108.18</c:v>
                </c:pt>
                <c:pt idx="40">
                  <c:v>106.01</c:v>
                </c:pt>
                <c:pt idx="41">
                  <c:v>106.01</c:v>
                </c:pt>
                <c:pt idx="42">
                  <c:v>106.01</c:v>
                </c:pt>
                <c:pt idx="43">
                  <c:v>106.01</c:v>
                </c:pt>
                <c:pt idx="44">
                  <c:v>106.01</c:v>
                </c:pt>
                <c:pt idx="45">
                  <c:v>106.01</c:v>
                </c:pt>
                <c:pt idx="46">
                  <c:v>106.01</c:v>
                </c:pt>
                <c:pt idx="47">
                  <c:v>106.01</c:v>
                </c:pt>
                <c:pt idx="48">
                  <c:v>106.01</c:v>
                </c:pt>
                <c:pt idx="49">
                  <c:v>109</c:v>
                </c:pt>
                <c:pt idx="50">
                  <c:v>109</c:v>
                </c:pt>
                <c:pt idx="51">
                  <c:v>109</c:v>
                </c:pt>
                <c:pt idx="52">
                  <c:v>115.54</c:v>
                </c:pt>
                <c:pt idx="53">
                  <c:v>115.54</c:v>
                </c:pt>
                <c:pt idx="54">
                  <c:v>115.54</c:v>
                </c:pt>
                <c:pt idx="55">
                  <c:v>115.54</c:v>
                </c:pt>
                <c:pt idx="56">
                  <c:v>121.32</c:v>
                </c:pt>
                <c:pt idx="57">
                  <c:v>121.32</c:v>
                </c:pt>
                <c:pt idx="58">
                  <c:v>121.32</c:v>
                </c:pt>
                <c:pt idx="59">
                  <c:v>121.32</c:v>
                </c:pt>
                <c:pt idx="60">
                  <c:v>121.32</c:v>
                </c:pt>
                <c:pt idx="61">
                  <c:v>143.15</c:v>
                </c:pt>
                <c:pt idx="62">
                  <c:v>143.15</c:v>
                </c:pt>
                <c:pt idx="63">
                  <c:v>143.15</c:v>
                </c:pt>
                <c:pt idx="64">
                  <c:v>143.15</c:v>
                </c:pt>
                <c:pt idx="65">
                  <c:v>143.15</c:v>
                </c:pt>
                <c:pt idx="66">
                  <c:v>143.15</c:v>
                </c:pt>
                <c:pt idx="67">
                  <c:v>143.15</c:v>
                </c:pt>
                <c:pt idx="68">
                  <c:v>143.15</c:v>
                </c:pt>
                <c:pt idx="69">
                  <c:v>143.15</c:v>
                </c:pt>
                <c:pt idx="70">
                  <c:v>143.15</c:v>
                </c:pt>
                <c:pt idx="71">
                  <c:v>143.15</c:v>
                </c:pt>
                <c:pt idx="72">
                  <c:v>143.15</c:v>
                </c:pt>
                <c:pt idx="73">
                  <c:v>143.15</c:v>
                </c:pt>
                <c:pt idx="74">
                  <c:v>134</c:v>
                </c:pt>
                <c:pt idx="75">
                  <c:v>134</c:v>
                </c:pt>
                <c:pt idx="76">
                  <c:v>134</c:v>
                </c:pt>
                <c:pt idx="77">
                  <c:v>134</c:v>
                </c:pt>
                <c:pt idx="78">
                  <c:v>128</c:v>
                </c:pt>
                <c:pt idx="79">
                  <c:v>128</c:v>
                </c:pt>
                <c:pt idx="80">
                  <c:v>128</c:v>
                </c:pt>
                <c:pt idx="81">
                  <c:v>128</c:v>
                </c:pt>
                <c:pt idx="82">
                  <c:v>128</c:v>
                </c:pt>
                <c:pt idx="83">
                  <c:v>122</c:v>
                </c:pt>
                <c:pt idx="84">
                  <c:v>122</c:v>
                </c:pt>
                <c:pt idx="85">
                  <c:v>122</c:v>
                </c:pt>
                <c:pt idx="86">
                  <c:v>122</c:v>
                </c:pt>
                <c:pt idx="87">
                  <c:v>112</c:v>
                </c:pt>
                <c:pt idx="88">
                  <c:v>112</c:v>
                </c:pt>
                <c:pt idx="89">
                  <c:v>112</c:v>
                </c:pt>
                <c:pt idx="90">
                  <c:v>112</c:v>
                </c:pt>
                <c:pt idx="91">
                  <c:v>110</c:v>
                </c:pt>
                <c:pt idx="92">
                  <c:v>110</c:v>
                </c:pt>
                <c:pt idx="93">
                  <c:v>110</c:v>
                </c:pt>
                <c:pt idx="94">
                  <c:v>110</c:v>
                </c:pt>
                <c:pt idx="95">
                  <c:v>110</c:v>
                </c:pt>
                <c:pt idx="96">
                  <c:v>110</c:v>
                </c:pt>
                <c:pt idx="97">
                  <c:v>110</c:v>
                </c:pt>
                <c:pt idx="98">
                  <c:v>110</c:v>
                </c:pt>
                <c:pt idx="99">
                  <c:v>110</c:v>
                </c:pt>
                <c:pt idx="100">
                  <c:v>115</c:v>
                </c:pt>
                <c:pt idx="101">
                  <c:v>115</c:v>
                </c:pt>
                <c:pt idx="102">
                  <c:v>115</c:v>
                </c:pt>
                <c:pt idx="103">
                  <c:v>115</c:v>
                </c:pt>
                <c:pt idx="104">
                  <c:v>119</c:v>
                </c:pt>
                <c:pt idx="105">
                  <c:v>119</c:v>
                </c:pt>
                <c:pt idx="106">
                  <c:v>119</c:v>
                </c:pt>
                <c:pt idx="107">
                  <c:v>119</c:v>
                </c:pt>
                <c:pt idx="108">
                  <c:v>125</c:v>
                </c:pt>
                <c:pt idx="109">
                  <c:v>125</c:v>
                </c:pt>
                <c:pt idx="110">
                  <c:v>125</c:v>
                </c:pt>
                <c:pt idx="111">
                  <c:v>125</c:v>
                </c:pt>
                <c:pt idx="112">
                  <c:v>125</c:v>
                </c:pt>
                <c:pt idx="113">
                  <c:v>145</c:v>
                </c:pt>
                <c:pt idx="114">
                  <c:v>145</c:v>
                </c:pt>
                <c:pt idx="115">
                  <c:v>145</c:v>
                </c:pt>
                <c:pt idx="116">
                  <c:v>145</c:v>
                </c:pt>
                <c:pt idx="117">
                  <c:v>147</c:v>
                </c:pt>
                <c:pt idx="118">
                  <c:v>147</c:v>
                </c:pt>
                <c:pt idx="119">
                  <c:v>147</c:v>
                </c:pt>
                <c:pt idx="120">
                  <c:v>147</c:v>
                </c:pt>
                <c:pt idx="121">
                  <c:v>147</c:v>
                </c:pt>
                <c:pt idx="122">
                  <c:v>151</c:v>
                </c:pt>
                <c:pt idx="123">
                  <c:v>151</c:v>
                </c:pt>
                <c:pt idx="124">
                  <c:v>151</c:v>
                </c:pt>
                <c:pt idx="125">
                  <c:v>151</c:v>
                </c:pt>
                <c:pt idx="126">
                  <c:v>160</c:v>
                </c:pt>
                <c:pt idx="127">
                  <c:v>160</c:v>
                </c:pt>
                <c:pt idx="128">
                  <c:v>160</c:v>
                </c:pt>
                <c:pt idx="129">
                  <c:v>160</c:v>
                </c:pt>
                <c:pt idx="130">
                  <c:v>160</c:v>
                </c:pt>
                <c:pt idx="131">
                  <c:v>160</c:v>
                </c:pt>
                <c:pt idx="132">
                  <c:v>160</c:v>
                </c:pt>
                <c:pt idx="133">
                  <c:v>160</c:v>
                </c:pt>
                <c:pt idx="134">
                  <c:v>160</c:v>
                </c:pt>
                <c:pt idx="135">
                  <c:v>160</c:v>
                </c:pt>
                <c:pt idx="136">
                  <c:v>160</c:v>
                </c:pt>
                <c:pt idx="137">
                  <c:v>160</c:v>
                </c:pt>
                <c:pt idx="138">
                  <c:v>160</c:v>
                </c:pt>
                <c:pt idx="139">
                  <c:v>153</c:v>
                </c:pt>
                <c:pt idx="140">
                  <c:v>153</c:v>
                </c:pt>
                <c:pt idx="141">
                  <c:v>153</c:v>
                </c:pt>
                <c:pt idx="142">
                  <c:v>153</c:v>
                </c:pt>
                <c:pt idx="143">
                  <c:v>151</c:v>
                </c:pt>
                <c:pt idx="144">
                  <c:v>151</c:v>
                </c:pt>
                <c:pt idx="145">
                  <c:v>151</c:v>
                </c:pt>
                <c:pt idx="146">
                  <c:v>151</c:v>
                </c:pt>
                <c:pt idx="147">
                  <c:v>151</c:v>
                </c:pt>
                <c:pt idx="148">
                  <c:v>150</c:v>
                </c:pt>
                <c:pt idx="149">
                  <c:v>150</c:v>
                </c:pt>
                <c:pt idx="150">
                  <c:v>150</c:v>
                </c:pt>
                <c:pt idx="151">
                  <c:v>150</c:v>
                </c:pt>
                <c:pt idx="152">
                  <c:v>140</c:v>
                </c:pt>
                <c:pt idx="153">
                  <c:v>140</c:v>
                </c:pt>
                <c:pt idx="154">
                  <c:v>140</c:v>
                </c:pt>
                <c:pt idx="155">
                  <c:v>140</c:v>
                </c:pt>
                <c:pt idx="156">
                  <c:v>139</c:v>
                </c:pt>
                <c:pt idx="157">
                  <c:v>139</c:v>
                </c:pt>
                <c:pt idx="158">
                  <c:v>139</c:v>
                </c:pt>
                <c:pt idx="159">
                  <c:v>139</c:v>
                </c:pt>
                <c:pt idx="160">
                  <c:v>138</c:v>
                </c:pt>
                <c:pt idx="161">
                  <c:v>138</c:v>
                </c:pt>
                <c:pt idx="162">
                  <c:v>138</c:v>
                </c:pt>
                <c:pt idx="163">
                  <c:v>138</c:v>
                </c:pt>
                <c:pt idx="164">
                  <c:v>136</c:v>
                </c:pt>
                <c:pt idx="165">
                  <c:v>136</c:v>
                </c:pt>
                <c:pt idx="166">
                  <c:v>136</c:v>
                </c:pt>
                <c:pt idx="167">
                  <c:v>136</c:v>
                </c:pt>
                <c:pt idx="168">
                  <c:v>136</c:v>
                </c:pt>
                <c:pt idx="169">
                  <c:v>136</c:v>
                </c:pt>
                <c:pt idx="170">
                  <c:v>136</c:v>
                </c:pt>
                <c:pt idx="171">
                  <c:v>136</c:v>
                </c:pt>
                <c:pt idx="172">
                  <c:v>136</c:v>
                </c:pt>
                <c:pt idx="173">
                  <c:v>133</c:v>
                </c:pt>
                <c:pt idx="174">
                  <c:v>133</c:v>
                </c:pt>
                <c:pt idx="175">
                  <c:v>133</c:v>
                </c:pt>
                <c:pt idx="176">
                  <c:v>133</c:v>
                </c:pt>
                <c:pt idx="177">
                  <c:v>130</c:v>
                </c:pt>
                <c:pt idx="178">
                  <c:v>130</c:v>
                </c:pt>
                <c:pt idx="179">
                  <c:v>130</c:v>
                </c:pt>
                <c:pt idx="180">
                  <c:v>130</c:v>
                </c:pt>
                <c:pt idx="181">
                  <c:v>115</c:v>
                </c:pt>
                <c:pt idx="182">
                  <c:v>115</c:v>
                </c:pt>
                <c:pt idx="183">
                  <c:v>115</c:v>
                </c:pt>
                <c:pt idx="184">
                  <c:v>115</c:v>
                </c:pt>
                <c:pt idx="185">
                  <c:v>115</c:v>
                </c:pt>
                <c:pt idx="186">
                  <c:v>103</c:v>
                </c:pt>
                <c:pt idx="187">
                  <c:v>103</c:v>
                </c:pt>
                <c:pt idx="188">
                  <c:v>103</c:v>
                </c:pt>
                <c:pt idx="189">
                  <c:v>103</c:v>
                </c:pt>
                <c:pt idx="190">
                  <c:v>95</c:v>
                </c:pt>
                <c:pt idx="191">
                  <c:v>95</c:v>
                </c:pt>
                <c:pt idx="192">
                  <c:v>95</c:v>
                </c:pt>
                <c:pt idx="193">
                  <c:v>95</c:v>
                </c:pt>
                <c:pt idx="194">
                  <c:v>95</c:v>
                </c:pt>
                <c:pt idx="195">
                  <c:v>85</c:v>
                </c:pt>
                <c:pt idx="196">
                  <c:v>85</c:v>
                </c:pt>
                <c:pt idx="197">
                  <c:v>85</c:v>
                </c:pt>
                <c:pt idx="198">
                  <c:v>85</c:v>
                </c:pt>
                <c:pt idx="199">
                  <c:v>80</c:v>
                </c:pt>
                <c:pt idx="200">
                  <c:v>80</c:v>
                </c:pt>
                <c:pt idx="201">
                  <c:v>80</c:v>
                </c:pt>
                <c:pt idx="202">
                  <c:v>80</c:v>
                </c:pt>
                <c:pt idx="203">
                  <c:v>72</c:v>
                </c:pt>
                <c:pt idx="204">
                  <c:v>72</c:v>
                </c:pt>
                <c:pt idx="205">
                  <c:v>72</c:v>
                </c:pt>
                <c:pt idx="206">
                  <c:v>72</c:v>
                </c:pt>
                <c:pt idx="207">
                  <c:v>67</c:v>
                </c:pt>
                <c:pt idx="208">
                  <c:v>67</c:v>
                </c:pt>
                <c:pt idx="209">
                  <c:v>67</c:v>
                </c:pt>
                <c:pt idx="210" c:formatCode="_(* #,##0.0_);_(* \(#,##0.0\);_(* &quot;-&quot;??_);_(@_)">
                  <c:v>67</c:v>
                </c:pt>
                <c:pt idx="211" c:formatCode="_(* #,##0.0_);_(* \(#,##0.0\);_(* &quot;-&quot;??_);_(@_)">
                  <c:v>60</c:v>
                </c:pt>
                <c:pt idx="212" c:formatCode="_(* #,##0.0_);_(* \(#,##0.0\);_(* &quot;-&quot;??_);_(@_)">
                  <c:v>60</c:v>
                </c:pt>
                <c:pt idx="213" c:formatCode="_(* #,##0.0_);_(* \(#,##0.0\);_(* &quot;-&quot;??_);_(@_)">
                  <c:v>60</c:v>
                </c:pt>
                <c:pt idx="214" c:formatCode="_(* #,##0.0_);_(* \(#,##0.0\);_(* &quot;-&quot;??_);_(@_)">
                  <c:v>60</c:v>
                </c:pt>
                <c:pt idx="215" c:formatCode="_(* #,##0.0_);_(* \(#,##0.0\);_(* &quot;-&quot;??_);_(@_)">
                  <c:v>54</c:v>
                </c:pt>
                <c:pt idx="216" c:formatCode="_(* #,##0.0_);_(* \(#,##0.0\);_(* &quot;-&quot;??_);_(@_)">
                  <c:v>54</c:v>
                </c:pt>
                <c:pt idx="217" c:formatCode="_(* #,##0.0_);_(* \(#,##0.0\);_(* &quot;-&quot;??_);_(@_)">
                  <c:v>54</c:v>
                </c:pt>
                <c:pt idx="218" c:formatCode="_(* #,##0.0_);_(* \(#,##0.0\);_(* &quot;-&quot;??_);_(@_)">
                  <c:v>54</c:v>
                </c:pt>
                <c:pt idx="219" c:formatCode="_(* #,##0.0_);_(* \(#,##0.0\);_(* &quot;-&quot;??_);_(@_)">
                  <c:v>51</c:v>
                </c:pt>
                <c:pt idx="220" c:formatCode="_(* #,##0.0_);_(* \(#,##0.0\);_(* &quot;-&quot;??_);_(@_)">
                  <c:v>51</c:v>
                </c:pt>
                <c:pt idx="221" c:formatCode="_(* #,##0.0_);_(* \(#,##0.0\);_(* &quot;-&quot;??_);_(@_)">
                  <c:v>51</c:v>
                </c:pt>
                <c:pt idx="222" c:formatCode="_(* #,##0.0_);_(* \(#,##0.0\);_(* &quot;-&quot;??_);_(@_)">
                  <c:v>51</c:v>
                </c:pt>
                <c:pt idx="223" c:formatCode="_(* #,##0.0_);_(* \(#,##0.0\);_(* &quot;-&quot;??_);_(@_)">
                  <c:v>51</c:v>
                </c:pt>
                <c:pt idx="224" c:formatCode="_(* #,##0.0_);_(* \(#,##0.0\);_(* &quot;-&quot;??_);_(@_)">
                  <c:v>49.5</c:v>
                </c:pt>
                <c:pt idx="225" c:formatCode="_(* #,##0.0_);_(* \(#,##0.0\);_(* &quot;-&quot;??_);_(@_)">
                  <c:v>49.5</c:v>
                </c:pt>
                <c:pt idx="226" c:formatCode="_(* #,##0.0_);_(* \(#,##0.0\);_(* &quot;-&quot;??_);_(@_)">
                  <c:v>49.5</c:v>
                </c:pt>
                <c:pt idx="227" c:formatCode="_(* #,##0.0_);_(* \(#,##0.0\);_(* &quot;-&quot;??_);_(@_)">
                  <c:v>49.5</c:v>
                </c:pt>
                <c:pt idx="228" c:formatCode="_(* #,##0.0_);_(* \(#,##0.0\);_(* &quot;-&quot;??_);_(@_)">
                  <c:v>48</c:v>
                </c:pt>
                <c:pt idx="229" c:formatCode="_(* #,##0.0_);_(* \(#,##0.0\);_(* &quot;-&quot;??_);_(@_)">
                  <c:v>48</c:v>
                </c:pt>
                <c:pt idx="230" c:formatCode="_(* #,##0.0_);_(* \(#,##0.0\);_(* &quot;-&quot;??_);_(@_)">
                  <c:v>48</c:v>
                </c:pt>
                <c:pt idx="231" c:formatCode="_(* #,##0.0_);_(* \(#,##0.0\);_(* &quot;-&quot;??_);_(@_)">
                  <c:v>48</c:v>
                </c:pt>
                <c:pt idx="232" c:formatCode="_(* #,##0.0_);_(* \(#,##0.0\);_(* &quot;-&quot;??_);_(@_)">
                  <c:v>48</c:v>
                </c:pt>
                <c:pt idx="233" c:formatCode="_(* #,##0.0_);_(* \(#,##0.0\);_(* &quot;-&quot;??_);_(@_)">
                  <c:v>47.5</c:v>
                </c:pt>
                <c:pt idx="234" c:formatCode="_(* #,##0.0_);_(* \(#,##0.0\);_(* &quot;-&quot;??_);_(@_)">
                  <c:v>47.5</c:v>
                </c:pt>
                <c:pt idx="235" c:formatCode="_(* #,##0.0_);_(* \(#,##0.0\);_(* &quot;-&quot;??_);_(@_)">
                  <c:v>47.5</c:v>
                </c:pt>
                <c:pt idx="236" c:formatCode="_(* #,##0.0_);_(* \(#,##0.0\);_(* &quot;-&quot;??_);_(@_)">
                  <c:v>47.5</c:v>
                </c:pt>
                <c:pt idx="237" c:formatCode="_(* #,##0.0_);_(* \(#,##0.0\);_(* &quot;-&quot;??_);_(@_)">
                  <c:v>47.5</c:v>
                </c:pt>
                <c:pt idx="238" c:formatCode="_(* #,##0.0_);_(* \(#,##0.0\);_(* &quot;-&quot;??_);_(@_)">
                  <c:v>47.5</c:v>
                </c:pt>
                <c:pt idx="239" c:formatCode="_(* #,##0.0_);_(* \(#,##0.0\);_(* &quot;-&quot;??_);_(@_)">
                  <c:v>47.5</c:v>
                </c:pt>
                <c:pt idx="240" c:formatCode="_(* #,##0.0_);_(* \(#,##0.0\);_(* &quot;-&quot;??_);_(@_)">
                  <c:v>47.5</c:v>
                </c:pt>
                <c:pt idx="241" c:formatCode="_(* #,##0.0_);_(* \(#,##0.0\);_(* &quot;-&quot;??_);_(@_)">
                  <c:v>50</c:v>
                </c:pt>
                <c:pt idx="242" c:formatCode="_(* #,##0.0_);_(* \(#,##0.0\);_(* &quot;-&quot;??_);_(@_)">
                  <c:v>50</c:v>
                </c:pt>
                <c:pt idx="243" c:formatCode="_(* #,##0.0_);_(* \(#,##0.0\);_(* &quot;-&quot;??_);_(@_)">
                  <c:v>50</c:v>
                </c:pt>
                <c:pt idx="244" c:formatCode="_(* #,##0.0_);_(* \(#,##0.0\);_(* &quot;-&quot;??_);_(@_)">
                  <c:v>50</c:v>
                </c:pt>
                <c:pt idx="245" c:formatCode="_(* #,##0.0_);_(* \(#,##0.0\);_(* &quot;-&quot;??_);_(@_)">
                  <c:v>50</c:v>
                </c:pt>
                <c:pt idx="246" c:formatCode="_(* #,##0.0_);_(* \(#,##0.0\);_(* &quot;-&quot;??_);_(@_)">
                  <c:v>51</c:v>
                </c:pt>
                <c:pt idx="247" c:formatCode="_(* #,##0.0_);_(* \(#,##0.0\);_(* &quot;-&quot;??_);_(@_)">
                  <c:v>51</c:v>
                </c:pt>
                <c:pt idx="248" c:formatCode="_(* #,##0.0_);_(* \(#,##0.0\);_(* &quot;-&quot;??_);_(@_)">
                  <c:v>51</c:v>
                </c:pt>
                <c:pt idx="249" c:formatCode="_(* #,##0.0_);_(* \(#,##0.0\);_(* &quot;-&quot;??_);_(@_)">
                  <c:v>51</c:v>
                </c:pt>
                <c:pt idx="250" c:formatCode="_(* #,##0.0_);_(* \(#,##0.0\);_(* &quot;-&quot;??_);_(@_)">
                  <c:v>57</c:v>
                </c:pt>
                <c:pt idx="251" c:formatCode="_(* #,##0.0_);_(* \(#,##0.0\);_(* &quot;-&quot;??_);_(@_)">
                  <c:v>57</c:v>
                </c:pt>
                <c:pt idx="252" c:formatCode="_(* #,##0.0_);_(* \(#,##0.0\);_(* &quot;-&quot;??_);_(@_)">
                  <c:v>57</c:v>
                </c:pt>
                <c:pt idx="253" c:formatCode="_(* #,##0.0_);_(* \(#,##0.0\);_(* &quot;-&quot;??_);_(@_)">
                  <c:v>57</c:v>
                </c:pt>
                <c:pt idx="254" c:formatCode="_(* #,##0.0_);_(* \(#,##0.0\);_(* &quot;-&quot;??_);_(@_)">
                  <c:v>62</c:v>
                </c:pt>
                <c:pt idx="255" c:formatCode="_(* #,##0.0_);_(* \(#,##0.0\);_(* &quot;-&quot;??_);_(@_)">
                  <c:v>62</c:v>
                </c:pt>
                <c:pt idx="256" c:formatCode="_(* #,##0.0_);_(* \(#,##0.0\);_(* &quot;-&quot;??_);_(@_)">
                  <c:v>62</c:v>
                </c:pt>
                <c:pt idx="257" c:formatCode="_(* #,##0.0_);_(* \(#,##0.0\);_(* &quot;-&quot;??_);_(@_)">
                  <c:v>62</c:v>
                </c:pt>
                <c:pt idx="258" c:formatCode="_(* #,##0.0_);_(* \(#,##0.0\);_(* &quot;-&quot;??_);_(@_)">
                  <c:v>62</c:v>
                </c:pt>
                <c:pt idx="259" c:formatCode="_(* #,##0.0_);_(* \(#,##0.0\);_(* &quot;-&quot;??_);_(@_)">
                  <c:v>63.5</c:v>
                </c:pt>
                <c:pt idx="260" c:formatCode="_(* #,##0.0_);_(* \(#,##0.0\);_(* &quot;-&quot;??_);_(@_)">
                  <c:v>63.5</c:v>
                </c:pt>
                <c:pt idx="261" c:formatCode="_(* #,##0.0_);_(* \(#,##0.0\);_(* &quot;-&quot;??_);_(@_)">
                  <c:v>63.5</c:v>
                </c:pt>
                <c:pt idx="262" c:formatCode="_(* #,##0.0_);_(* \(#,##0.0\);_(* &quot;-&quot;??_);_(@_)">
                  <c:v>63.5</c:v>
                </c:pt>
                <c:pt idx="263" c:formatCode="_(* #,##0.0_);_(* \(#,##0.0\);_(* &quot;-&quot;??_);_(@_)">
                  <c:v>68</c:v>
                </c:pt>
                <c:pt idx="264" c:formatCode="_(* #,##0.0_);_(* \(#,##0.0\);_(* &quot;-&quot;??_);_(@_)">
                  <c:v>68</c:v>
                </c:pt>
                <c:pt idx="265" c:formatCode="_(* #,##0.0_);_(* \(#,##0.0\);_(* &quot;-&quot;??_);_(@_)">
                  <c:v>68</c:v>
                </c:pt>
                <c:pt idx="266" c:formatCode="_(* #,##0.0_);_(* \(#,##0.0\);_(* &quot;-&quot;??_);_(@_)">
                  <c:v>68</c:v>
                </c:pt>
                <c:pt idx="267" c:formatCode="_(* #,##0.0_);_(* \(#,##0.0\);_(* &quot;-&quot;??_);_(@_)">
                  <c:v>75</c:v>
                </c:pt>
                <c:pt idx="268" c:formatCode="_(* #,##0.0_);_(* \(#,##0.0\);_(* &quot;-&quot;??_);_(@_)">
                  <c:v>75</c:v>
                </c:pt>
                <c:pt idx="269" c:formatCode="_(* #,##0.0_);_(* \(#,##0.0\);_(* &quot;-&quot;??_);_(@_)">
                  <c:v>75</c:v>
                </c:pt>
                <c:pt idx="270" c:formatCode="_(* #,##0.0_);_(* \(#,##0.0\);_(* &quot;-&quot;??_);_(@_)">
                  <c:v>75</c:v>
                </c:pt>
                <c:pt idx="271" c:formatCode="_(* #,##0.0_);_(* \(#,##0.0\);_(* &quot;-&quot;??_);_(@_)">
                  <c:v>75</c:v>
                </c:pt>
                <c:pt idx="272" c:formatCode="_(* #,##0.0_);_(* \(#,##0.0\);_(* &quot;-&quot;??_);_(@_)">
                  <c:v>80</c:v>
                </c:pt>
                <c:pt idx="273" c:formatCode="_(* #,##0.0_);_(* \(#,##0.0\);_(* &quot;-&quot;??_);_(@_)">
                  <c:v>80</c:v>
                </c:pt>
                <c:pt idx="274" c:formatCode="_(* #,##0.0_);_(* \(#,##0.0\);_(* &quot;-&quot;??_);_(@_)">
                  <c:v>80</c:v>
                </c:pt>
                <c:pt idx="275" c:formatCode="_(* #,##0.0_);_(* \(#,##0.0\);_(* &quot;-&quot;??_);_(@_)">
                  <c:v>80</c:v>
                </c:pt>
                <c:pt idx="276" c:formatCode="_(* #,##0.0_);_(* \(#,##0.0\);_(* &quot;-&quot;??_);_(@_)">
                  <c:v>83</c:v>
                </c:pt>
                <c:pt idx="277" c:formatCode="_(* #,##0.0_);_(* \(#,##0.0\);_(* &quot;-&quot;??_);_(@_)">
                  <c:v>83</c:v>
                </c:pt>
                <c:pt idx="278" c:formatCode="_(* #,##0.0_);_(* \(#,##0.0\);_(* &quot;-&quot;??_);_(@_)">
                  <c:v>83</c:v>
                </c:pt>
                <c:pt idx="279" c:formatCode="_(* #,##0.0_);_(* \(#,##0.0\);_(* &quot;-&quot;??_);_(@_)">
                  <c:v>83</c:v>
                </c:pt>
                <c:pt idx="280" c:formatCode="_(* #,##0.0_);_(* \(#,##0.0\);_(* &quot;-&quot;??_);_(@_)">
                  <c:v>87</c:v>
                </c:pt>
                <c:pt idx="281" c:formatCode="_(* #,##0.0_);_(* \(#,##0.0\);_(* &quot;-&quot;??_);_(@_)">
                  <c:v>87</c:v>
                </c:pt>
                <c:pt idx="282" c:formatCode="_(* #,##0.0_);_(* \(#,##0.0\);_(* &quot;-&quot;??_);_(@_)">
                  <c:v>87</c:v>
                </c:pt>
                <c:pt idx="283" c:formatCode="_(* #,##0.0_);_(* \(#,##0.0\);_(* &quot;-&quot;??_);_(@_)">
                  <c:v>87</c:v>
                </c:pt>
                <c:pt idx="284" c:formatCode="_(* #,##0.0_);_(* \(#,##0.0\);_(* &quot;-&quot;??_);_(@_)">
                  <c:v>87</c:v>
                </c:pt>
                <c:pt idx="285" c:formatCode="_(* #,##0.0_);_(* \(#,##0.0\);_(* &quot;-&quot;??_);_(@_)">
                  <c:v>90</c:v>
                </c:pt>
                <c:pt idx="286" c:formatCode="_(* #,##0.0_);_(* \(#,##0.0\);_(* &quot;-&quot;??_);_(@_)">
                  <c:v>90</c:v>
                </c:pt>
                <c:pt idx="287" c:formatCode="_(* #,##0.0_);_(* \(#,##0.0\);_(* &quot;-&quot;??_);_(@_)">
                  <c:v>90</c:v>
                </c:pt>
                <c:pt idx="288" c:formatCode="_(* #,##0.0_);_(* \(#,##0.0\);_(* &quot;-&quot;??_);_(@_)">
                  <c:v>90</c:v>
                </c:pt>
                <c:pt idx="289" c:formatCode="_(* #,##0.0_);_(* \(#,##0.0\);_(* &quot;-&quot;??_);_(@_)">
                  <c:v>90</c:v>
                </c:pt>
                <c:pt idx="290" c:formatCode="_(* #,##0.0_);_(* \(#,##0.0\);_(* &quot;-&quot;??_);_(@_)">
                  <c:v>90</c:v>
                </c:pt>
                <c:pt idx="291" c:formatCode="_(* #,##0.0_);_(* \(#,##0.0\);_(* &quot;-&quot;??_);_(@_)">
                  <c:v>90</c:v>
                </c:pt>
                <c:pt idx="292" c:formatCode="_(* #,##0.0_);_(* \(#,##0.0\);_(* &quot;-&quot;??_);_(@_)">
                  <c:v>90</c:v>
                </c:pt>
                <c:pt idx="293" c:formatCode="_(* #,##0.0_);_(* \(#,##0.0\);_(* &quot;-&quot;??_);_(@_)">
                  <c:v>90</c:v>
                </c:pt>
                <c:pt idx="294" c:formatCode="_(* #,##0.0_);_(* \(#,##0.0\);_(* &quot;-&quot;??_);_(@_)">
                  <c:v>90</c:v>
                </c:pt>
                <c:pt idx="295" c:formatCode="_(* #,##0.0_);_(* \(#,##0.0\);_(* &quot;-&quot;??_);_(@_)">
                  <c:v>90</c:v>
                </c:pt>
                <c:pt idx="296" c:formatCode="_(* #,##0.0_);_(* \(#,##0.0\);_(* &quot;-&quot;??_);_(@_)">
                  <c:v>90</c:v>
                </c:pt>
                <c:pt idx="297" c:formatCode="_(* #,##0.0_);_(* \(#,##0.0\);_(* &quot;-&quot;??_);_(@_)">
                  <c:v>90</c:v>
                </c:pt>
                <c:pt idx="298" c:formatCode="_(* #,##0.0_);_(* \(#,##0.0\);_(* &quot;-&quot;??_);_(@_)">
                  <c:v>80</c:v>
                </c:pt>
                <c:pt idx="299" c:formatCode="_(* #,##0.0_);_(* \(#,##0.0\);_(* &quot;-&quot;??_);_(@_)">
                  <c:v>80</c:v>
                </c:pt>
                <c:pt idx="300" c:formatCode="_(* #,##0.0_);_(* \(#,##0.0\);_(* &quot;-&quot;??_);_(@_)">
                  <c:v>80</c:v>
                </c:pt>
                <c:pt idx="301" c:formatCode="_(* #,##0.0_);_(* \(#,##0.0\);_(* &quot;-&quot;??_);_(@_)">
                  <c:v>80</c:v>
                </c:pt>
                <c:pt idx="302" c:formatCode="_(* #,##0.0_);_(* \(#,##0.0\);_(* &quot;-&quot;??_);_(@_)">
                  <c:v>78</c:v>
                </c:pt>
                <c:pt idx="303" c:formatCode="_(* #,##0.0_);_(* \(#,##0.0\);_(* &quot;-&quot;??_);_(@_)">
                  <c:v>78</c:v>
                </c:pt>
                <c:pt idx="304" c:formatCode="_(* #,##0.0_);_(* \(#,##0.0\);_(* &quot;-&quot;??_);_(@_)">
                  <c:v>78</c:v>
                </c:pt>
                <c:pt idx="305" c:formatCode="_(* #,##0.0_);_(* \(#,##0.0\);_(* &quot;-&quot;??_);_(@_)">
                  <c:v>78</c:v>
                </c:pt>
                <c:pt idx="306" c:formatCode="_(* #,##0.0_);_(* \(#,##0.0\);_(* &quot;-&quot;??_);_(@_)">
                  <c:v>78</c:v>
                </c:pt>
                <c:pt idx="307" c:formatCode="_(* #,##0.0_);_(* \(#,##0.0\);_(* &quot;-&quot;??_);_(@_)">
                  <c:v>73</c:v>
                </c:pt>
                <c:pt idx="308" c:formatCode="_(* #,##0.0_);_(* \(#,##0.0\);_(* &quot;-&quot;??_);_(@_)">
                  <c:v>73</c:v>
                </c:pt>
                <c:pt idx="309" c:formatCode="_(* #,##0.0_);_(* \(#,##0.0\);_(* &quot;-&quot;??_);_(@_)">
                  <c:v>73</c:v>
                </c:pt>
                <c:pt idx="310" c:formatCode="_(* #,##0.0_);_(* \(#,##0.0\);_(* &quot;-&quot;??_);_(@_)">
                  <c:v>73</c:v>
                </c:pt>
                <c:pt idx="311" c:formatCode="_(* #,##0.0_);_(* \(#,##0.0\);_(* &quot;-&quot;??_);_(@_)">
                  <c:v>69</c:v>
                </c:pt>
                <c:pt idx="312" c:formatCode="_(* #,##0.0_);_(* \(#,##0.0\);_(* &quot;-&quot;??_);_(@_)">
                  <c:v>69</c:v>
                </c:pt>
                <c:pt idx="313" c:formatCode="_(* #,##0.0_);_(* \(#,##0.0\);_(* &quot;-&quot;??_);_(@_)">
                  <c:v>69</c:v>
                </c:pt>
                <c:pt idx="314" c:formatCode="_(* #,##0.0_);_(* \(#,##0.0\);_(* &quot;-&quot;??_);_(@_)">
                  <c:v>69</c:v>
                </c:pt>
                <c:pt idx="315" c:formatCode="_(* #,##0.0_);_(* \(#,##0.0\);_(* &quot;-&quot;??_);_(@_)">
                  <c:v>69</c:v>
                </c:pt>
                <c:pt idx="316" c:formatCode="_(* #,##0.0_);_(* \(#,##0.0\);_(* &quot;-&quot;??_);_(@_)">
                  <c:v>69</c:v>
                </c:pt>
                <c:pt idx="317" c:formatCode="_(* #,##0.0_);_(* \(#,##0.0\);_(* &quot;-&quot;??_);_(@_)">
                  <c:v>69</c:v>
                </c:pt>
                <c:pt idx="318" c:formatCode="_(* #,##0.0_);_(* \(#,##0.0\);_(* &quot;-&quot;??_);_(@_)">
                  <c:v>69</c:v>
                </c:pt>
                <c:pt idx="319" c:formatCode="_(* #,##0.0_);_(* \(#,##0.0\);_(* &quot;-&quot;??_);_(@_)">
                  <c:v>69</c:v>
                </c:pt>
                <c:pt idx="320" c:formatCode="_(* #,##0.0_);_(* \(#,##0.0\);_(* &quot;-&quot;??_);_(@_)">
                  <c:v>74</c:v>
                </c:pt>
                <c:pt idx="321" c:formatCode="_(* #,##0.0_);_(* \(#,##0.0\);_(* &quot;-&quot;??_);_(@_)">
                  <c:v>74</c:v>
                </c:pt>
                <c:pt idx="322" c:formatCode="_(* #,##0.0_);_(* \(#,##0.0\);_(* &quot;-&quot;??_);_(@_)">
                  <c:v>74</c:v>
                </c:pt>
                <c:pt idx="323" c:formatCode="_(* #,##0.0_);_(* \(#,##0.0\);_(* &quot;-&quot;??_);_(@_)">
                  <c:v>74</c:v>
                </c:pt>
                <c:pt idx="324" c:formatCode="_(* #,##0.0_);_(* \(#,##0.0\);_(* &quot;-&quot;??_);_(@_)">
                  <c:v>85</c:v>
                </c:pt>
                <c:pt idx="325" c:formatCode="_(* #,##0.0_);_(* \(#,##0.0\);_(* &quot;-&quot;??_);_(@_)">
                  <c:v>85</c:v>
                </c:pt>
                <c:pt idx="326" c:formatCode="_(* #,##0.0_);_(* \(#,##0.0\);_(* &quot;-&quot;??_);_(@_)">
                  <c:v>85</c:v>
                </c:pt>
                <c:pt idx="327" c:formatCode="_(* #,##0.0_);_(* \(#,##0.0\);_(* &quot;-&quot;??_);_(@_)">
                  <c:v>85</c:v>
                </c:pt>
                <c:pt idx="328" c:formatCode="_(* #,##0.0_);_(* \(#,##0.0\);_(* &quot;-&quot;??_);_(@_)">
                  <c:v>130</c:v>
                </c:pt>
                <c:pt idx="329" c:formatCode="_(* #,##0.0_);_(* \(#,##0.0\);_(* &quot;-&quot;??_);_(@_)">
                  <c:v>130</c:v>
                </c:pt>
                <c:pt idx="330" c:formatCode="_(* #,##0.0_);_(* \(#,##0.0\);_(* &quot;-&quot;??_);_(@_)">
                  <c:v>130</c:v>
                </c:pt>
                <c:pt idx="331" c:formatCode="_(* #,##0.0_);_(* \(#,##0.0\);_(* &quot;-&quot;??_);_(@_)">
                  <c:v>130</c:v>
                </c:pt>
                <c:pt idx="332" c:formatCode="_(* #,##0.0_);_(* \(#,##0.0\);_(* &quot;-&quot;??_);_(@_)">
                  <c:v>130</c:v>
                </c:pt>
                <c:pt idx="333" c:formatCode="_(* #,##0.0_);_(* \(#,##0.0\);_(* &quot;-&quot;??_);_(@_)">
                  <c:v>132</c:v>
                </c:pt>
                <c:pt idx="334" c:formatCode="_(* #,##0.0_);_(* \(#,##0.0\);_(* &quot;-&quot;??_);_(@_)">
                  <c:v>132</c:v>
                </c:pt>
                <c:pt idx="335" c:formatCode="_(* #,##0.0_);_(* \(#,##0.0\);_(* &quot;-&quot;??_);_(@_)">
                  <c:v>132</c:v>
                </c:pt>
                <c:pt idx="336" c:formatCode="_(* #,##0.0_);_(* \(#,##0.0\);_(* &quot;-&quot;??_);_(@_)">
                  <c:v>132</c:v>
                </c:pt>
                <c:pt idx="337" c:formatCode="_(* #,##0.0_);_(* \(#,##0.0\);_(* &quot;-&quot;??_);_(@_)">
                  <c:v>135</c:v>
                </c:pt>
                <c:pt idx="338" c:formatCode="_(* #,##0.0_);_(* \(#,##0.0\);_(* &quot;-&quot;??_);_(@_)">
                  <c:v>135</c:v>
                </c:pt>
                <c:pt idx="339" c:formatCode="_(* #,##0.0_);_(* \(#,##0.0\);_(* &quot;-&quot;??_);_(@_)">
                  <c:v>135</c:v>
                </c:pt>
                <c:pt idx="340" c:formatCode="_(* #,##0.0_);_(* \(#,##0.0\);_(* &quot;-&quot;??_);_(@_)">
                  <c:v>135</c:v>
                </c:pt>
                <c:pt idx="341" c:formatCode="_(* #,##0.0_);_(* \(#,##0.0\);_(* &quot;-&quot;??_);_(@_)">
                  <c:v>138</c:v>
                </c:pt>
                <c:pt idx="342" c:formatCode="_(* #,##0.0_);_(* \(#,##0.0\);_(* &quot;-&quot;??_);_(@_)">
                  <c:v>138</c:v>
                </c:pt>
                <c:pt idx="343" c:formatCode="_(* #,##0.0_);_(* \(#,##0.0\);_(* &quot;-&quot;??_);_(@_)">
                  <c:v>138</c:v>
                </c:pt>
                <c:pt idx="344" c:formatCode="_(* #,##0.0_);_(* \(#,##0.0\);_(* &quot;-&quot;??_);_(@_)">
                  <c:v>138</c:v>
                </c:pt>
                <c:pt idx="345" c:formatCode="_(* #,##0.0_);_(* \(#,##0.0\);_(* &quot;-&quot;??_);_(@_)">
                  <c:v>138</c:v>
                </c:pt>
                <c:pt idx="346" c:formatCode="_(* #,##0.0_);_(* \(#,##0.0\);_(* &quot;-&quot;??_);_(@_)">
                  <c:v>175</c:v>
                </c:pt>
                <c:pt idx="347" c:formatCode="_(* #,##0.0_);_(* \(#,##0.0\);_(* &quot;-&quot;??_);_(@_)">
                  <c:v>175</c:v>
                </c:pt>
                <c:pt idx="348" c:formatCode="_(* #,##0.0_);_(* \(#,##0.0\);_(* &quot;-&quot;??_);_(@_)">
                  <c:v>175</c:v>
                </c:pt>
                <c:pt idx="349" c:formatCode="_(* #,##0.0_);_(* \(#,##0.0\);_(* &quot;-&quot;??_);_(@_)">
                  <c:v>175</c:v>
                </c:pt>
                <c:pt idx="350" c:formatCode="_(* #,##0.0_);_(* \(#,##0.0\);_(* &quot;-&quot;??_);_(@_)">
                  <c:v>219</c:v>
                </c:pt>
                <c:pt idx="351" c:formatCode="_(* #,##0.0_);_(* \(#,##0.0\);_(* &quot;-&quot;??_);_(@_)">
                  <c:v>219</c:v>
                </c:pt>
                <c:pt idx="352" c:formatCode="_(* #,##0.0_);_(* \(#,##0.0\);_(* &quot;-&quot;??_);_(@_)">
                  <c:v>219</c:v>
                </c:pt>
                <c:pt idx="353" c:formatCode="_(* #,##0.0_);_(* \(#,##0.0\);_(* &quot;-&quot;??_);_(@_)">
                  <c:v>219</c:v>
                </c:pt>
                <c:pt idx="354" c:formatCode="_(* #,##0.0_);_(* \(#,##0.0\);_(* &quot;-&quot;??_);_(@_)">
                  <c:v>263</c:v>
                </c:pt>
                <c:pt idx="355" c:formatCode="_(* #,##0.0_);_(* \(#,##0.0\);_(* &quot;-&quot;??_);_(@_)">
                  <c:v>263</c:v>
                </c:pt>
                <c:pt idx="356" c:formatCode="_(* #,##0.0_);_(* \(#,##0.0\);_(* &quot;-&quot;??_);_(@_)">
                  <c:v>263</c:v>
                </c:pt>
                <c:pt idx="357" c:formatCode="_(* #,##0.0_);_(* \(#,##0.0\);_(* &quot;-&quot;??_);_(@_)">
                  <c:v>263</c:v>
                </c:pt>
                <c:pt idx="358" c:formatCode="_(* #,##0.0_);_(* \(#,##0.0\);_(* &quot;-&quot;??_);_(@_)">
                  <c:v>263</c:v>
                </c:pt>
                <c:pt idx="359" c:formatCode="_(* #,##0.0_);_(* \(#,##0.0\);_(* &quot;-&quot;??_);_(@_)">
                  <c:v>432</c:v>
                </c:pt>
                <c:pt idx="360" c:formatCode="_(* #,##0.0_);_(* \(#,##0.0\);_(* &quot;-&quot;??_);_(@_)">
                  <c:v>432</c:v>
                </c:pt>
                <c:pt idx="361" c:formatCode="_(* #,##0.0_);_(* \(#,##0.0\);_(* &quot;-&quot;??_);_(@_)">
                  <c:v>432</c:v>
                </c:pt>
                <c:pt idx="362" c:formatCode="_(* #,##0.0_);_(* \(#,##0.0\);_(* &quot;-&quot;??_);_(@_)">
                  <c:v>432</c:v>
                </c:pt>
                <c:pt idx="363" c:formatCode="_(* #,##0.0_);_(* \(#,##0.0\);_(* &quot;-&quot;??_);_(@_)">
                  <c:v>432</c:v>
                </c:pt>
                <c:pt idx="364" c:formatCode="_(* #,##0.0_);_(* \(#,##0.0\);_(* &quot;-&quot;??_);_(@_)">
                  <c:v>432</c:v>
                </c:pt>
                <c:pt idx="365" c:formatCode="_(* #,##0.0_);_(* \(#,##0.0\);_(* &quot;-&quot;??_);_(@_)">
                  <c:v>432</c:v>
                </c:pt>
                <c:pt idx="366" c:formatCode="_(* #,##0.0_);_(* \(#,##0.0\);_(* &quot;-&quot;??_);_(@_)">
                  <c:v>432</c:v>
                </c:pt>
                <c:pt idx="367" c:formatCode="_(* #,##0.0_);_(* \(#,##0.0\);_(* &quot;-&quot;??_);_(@_)">
                  <c:v>432</c:v>
                </c:pt>
                <c:pt idx="368" c:formatCode="_(* #,##0.0_);_(* \(#,##0.0\);_(* &quot;-&quot;??_);_(@_)">
                  <c:v>432</c:v>
                </c:pt>
                <c:pt idx="369" c:formatCode="_(* #,##0.0_);_(* \(#,##0.0\);_(* &quot;-&quot;??_);_(@_)">
                  <c:v>432</c:v>
                </c:pt>
                <c:pt idx="370" c:formatCode="_(* #,##0.0_);_(* \(#,##0.0\);_(* &quot;-&quot;??_);_(@_)">
                  <c:v>432</c:v>
                </c:pt>
                <c:pt idx="371" c:formatCode="_(* #,##0.0_);_(* \(#,##0.0\);_(* &quot;-&quot;??_);_(@_)">
                  <c:v>660</c:v>
                </c:pt>
                <c:pt idx="372" c:formatCode="_(* #,##0.0_);_(* \(#,##0.0\);_(* &quot;-&quot;??_);_(@_)">
                  <c:v>660</c:v>
                </c:pt>
                <c:pt idx="373" c:formatCode="_(* #,##0.0_);_(* \(#,##0.0\);_(* &quot;-&quot;??_);_(@_)">
                  <c:v>660</c:v>
                </c:pt>
                <c:pt idx="374" c:formatCode="_(* #,##0.0_);_(* \(#,##0.0\);_(* &quot;-&quot;??_);_(@_)">
                  <c:v>660</c:v>
                </c:pt>
                <c:pt idx="375" c:formatCode="_(* #,##0.0_);_(* \(#,##0.0\);_(* &quot;-&quot;??_);_(@_)">
                  <c:v>660</c:v>
                </c:pt>
                <c:pt idx="376" c:formatCode="_(* #,##0.0_);_(* \(#,##0.0\);_(* &quot;-&quot;??_);_(@_)">
                  <c:v>660</c:v>
                </c:pt>
                <c:pt idx="377" c:formatCode="_(* #,##0.0_);_(* \(#,##0.0\);_(* &quot;-&quot;??_);_(@_)">
                  <c:v>660</c:v>
                </c:pt>
                <c:pt idx="378" c:formatCode="_(* #,##0.0_);_(* \(#,##0.0\);_(* &quot;-&quot;??_);_(@_)">
                  <c:v>660</c:v>
                </c:pt>
                <c:pt idx="379" c:formatCode="_(* #,##0.0_);_(* \(#,##0.0\);_(* &quot;-&quot;??_);_(@_)">
                  <c:v>#N/A</c:v>
                </c:pt>
              </c:numCache>
            </c:numRef>
          </c:val>
          <c:smooth val="0"/>
        </c:ser>
        <c:dLbls>
          <c:showLegendKey val="0"/>
          <c:showVal val="0"/>
          <c:showCatName val="0"/>
          <c:showSerName val="0"/>
          <c:showPercent val="0"/>
          <c:showBubbleSize val="0"/>
        </c:dLbls>
        <c:marker val="0"/>
        <c:smooth val="0"/>
        <c:axId val="1990687600"/>
        <c:axId val="1958259120"/>
      </c:lineChart>
      <c:dateAx>
        <c:axId val="1990687600"/>
        <c:scaling>
          <c:orientation val="minMax"/>
          <c:min val="43466"/>
        </c:scaling>
        <c:delete val="0"/>
        <c:axPos val="b"/>
        <c:majorGridlines>
          <c:spPr>
            <a:ln w="12700" cap="flat" cmpd="sng" algn="ctr">
              <a:solidFill>
                <a:schemeClr val="tx1">
                  <a:tint val="75000"/>
                </a:schemeClr>
              </a:solidFill>
              <a:prstDash val="dash"/>
              <a:round/>
            </a:ln>
          </c:spPr>
        </c:majorGridlines>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958259120"/>
        <c:crosses val="autoZero"/>
        <c:auto val="1"/>
        <c:lblOffset val="100"/>
        <c:baseTimeUnit val="days"/>
        <c:majorUnit val="3"/>
        <c:majorTimeUnit val="months"/>
      </c:dateAx>
      <c:valAx>
        <c:axId val="1958259120"/>
        <c:scaling>
          <c:orientation val="minMax"/>
          <c:min val="0"/>
        </c:scaling>
        <c:delete val="0"/>
        <c:axPos val="l"/>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990687600"/>
        <c:crosses val="autoZero"/>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77d055d7-058f-42a3-a37e-37b1bfb3e913}"/>
      </c:ext>
    </c:extLst>
  </c:chart>
  <c:spPr>
    <a:ln w="6350" cap="flat" cmpd="sng" algn="ctr">
      <a:solidFill>
        <a:srgbClr xmlns:mc="http://schemas.openxmlformats.org/markup-compatibility/2006" xmlns:a14="http://schemas.microsoft.com/office/drawing/2010/main" val="FFFFFF" mc:Ignorable="a14" a14:legacySpreadsheetColorIndex="9"/>
      </a:solidFill>
      <a:prstDash val="solid"/>
      <a:round/>
    </a:ln>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PC DRAM Module (DDR4 16GB </a:t>
            </a:r>
            <a:r>
              <a:rPr lang="en-US" sz="1000" b="1" i="0" u="none" strike="noStrike" baseline="0">
                <a:effectLst/>
              </a:rPr>
              <a:t>UDIMM</a:t>
            </a:r>
            <a:r>
              <a:rPr lang="en-US"/>
              <a:t>) Contract Price &amp; MoM</a:t>
            </a:r>
            <a:endParaRPr lang="en-US"/>
          </a:p>
        </c:rich>
      </c:tx>
      <c:layout/>
      <c:overlay val="0"/>
    </c:title>
    <c:autoTitleDeleted val="0"/>
    <c:plotArea>
      <c:layout>
        <c:manualLayout>
          <c:layoutTarget val="inner"/>
          <c:xMode val="edge"/>
          <c:yMode val="edge"/>
          <c:x val="0.162025642812348"/>
          <c:y val="0.190389397043299"/>
          <c:w val="0.659067660790189"/>
          <c:h val="0.549032678225533"/>
        </c:manualLayout>
      </c:layout>
      <c:barChart>
        <c:barDir val="col"/>
        <c:grouping val="clustered"/>
        <c:varyColors val="0"/>
        <c:ser>
          <c:idx val="0"/>
          <c:order val="0"/>
          <c:tx>
            <c:strRef>
              <c:f>DRAM!$CA$25</c:f>
              <c:strCache>
                <c:ptCount val="1"/>
                <c:pt idx="0">
                  <c:v>Price</c:v>
                </c:pt>
              </c:strCache>
            </c:strRef>
          </c:tx>
          <c:spPr>
            <a:ln>
              <a:noFill/>
            </a:ln>
          </c:spPr>
          <c:invertIfNegative val="0"/>
          <c:dLbls>
            <c:delete val="1"/>
          </c:dLbls>
          <c:cat>
            <c:numRef>
              <c:f>DRAM!$CA$96:$CA$200</c:f>
              <c:numCache>
                <c:formatCode>yyyy/m/d</c:formatCode>
                <c:ptCount val="105"/>
                <c:pt idx="0" c:formatCode="yyyy/m/d">
                  <c:v>44592</c:v>
                </c:pt>
                <c:pt idx="1" c:formatCode="yyyy/m/d">
                  <c:v>44620</c:v>
                </c:pt>
                <c:pt idx="2" c:formatCode="yyyy/m/d">
                  <c:v>44651</c:v>
                </c:pt>
                <c:pt idx="3" c:formatCode="yyyy/m/d">
                  <c:v>44681</c:v>
                </c:pt>
                <c:pt idx="4" c:formatCode="yyyy/m/d">
                  <c:v>44712</c:v>
                </c:pt>
                <c:pt idx="5" c:formatCode="yyyy/m/d">
                  <c:v>44742</c:v>
                </c:pt>
                <c:pt idx="6" c:formatCode="yyyy/m/d">
                  <c:v>44773</c:v>
                </c:pt>
                <c:pt idx="7" c:formatCode="yyyy/m/d">
                  <c:v>44804</c:v>
                </c:pt>
                <c:pt idx="8" c:formatCode="yyyy/m/d">
                  <c:v>44834</c:v>
                </c:pt>
                <c:pt idx="9" c:formatCode="yyyy/m/d">
                  <c:v>44865</c:v>
                </c:pt>
                <c:pt idx="10" c:formatCode="yyyy/m/d">
                  <c:v>44895</c:v>
                </c:pt>
                <c:pt idx="11" c:formatCode="yyyy/m/d">
                  <c:v>44926</c:v>
                </c:pt>
                <c:pt idx="12" c:formatCode="yyyy/m/d">
                  <c:v>44957</c:v>
                </c:pt>
                <c:pt idx="13" c:formatCode="yyyy/m/d">
                  <c:v>44985</c:v>
                </c:pt>
                <c:pt idx="14" c:formatCode="yyyy/m/d">
                  <c:v>45016</c:v>
                </c:pt>
                <c:pt idx="15" c:formatCode="yyyy/m/d">
                  <c:v>45046</c:v>
                </c:pt>
                <c:pt idx="16" c:formatCode="yyyy/m/d">
                  <c:v>45077</c:v>
                </c:pt>
                <c:pt idx="17" c:formatCode="yyyy/m/d">
                  <c:v>45107</c:v>
                </c:pt>
                <c:pt idx="18" c:formatCode="yyyy/m/d">
                  <c:v>45138</c:v>
                </c:pt>
                <c:pt idx="19" c:formatCode="yyyy/m/d">
                  <c:v>45169</c:v>
                </c:pt>
                <c:pt idx="20" c:formatCode="yyyy/m/d">
                  <c:v>45199</c:v>
                </c:pt>
                <c:pt idx="21" c:formatCode="yyyy/m/d">
                  <c:v>45230</c:v>
                </c:pt>
                <c:pt idx="22" c:formatCode="yyyy/m/d">
                  <c:v>45260</c:v>
                </c:pt>
                <c:pt idx="23" c:formatCode="yyyy/m/d">
                  <c:v>45291</c:v>
                </c:pt>
                <c:pt idx="24" c:formatCode="yyyy/m/d">
                  <c:v>45322</c:v>
                </c:pt>
                <c:pt idx="25" c:formatCode="yyyy/m/d">
                  <c:v>45351</c:v>
                </c:pt>
                <c:pt idx="26" c:formatCode="yyyy/m/d">
                  <c:v>45382</c:v>
                </c:pt>
                <c:pt idx="27" c:formatCode="yyyy/m/d">
                  <c:v>45412</c:v>
                </c:pt>
                <c:pt idx="28" c:formatCode="yyyy/m/d">
                  <c:v>45443</c:v>
                </c:pt>
                <c:pt idx="29" c:formatCode="yyyy/m/d">
                  <c:v>45473</c:v>
                </c:pt>
                <c:pt idx="30" c:formatCode="yyyy/m/d">
                  <c:v>45504</c:v>
                </c:pt>
                <c:pt idx="31" c:formatCode="yyyy/m/d">
                  <c:v>45535</c:v>
                </c:pt>
                <c:pt idx="32" c:formatCode="yyyy/m/d">
                  <c:v>45565</c:v>
                </c:pt>
                <c:pt idx="33" c:formatCode="yyyy/m/d">
                  <c:v>45596</c:v>
                </c:pt>
                <c:pt idx="34" c:formatCode="yyyy/m/d">
                  <c:v>45626</c:v>
                </c:pt>
                <c:pt idx="35" c:formatCode="yyyy/m/d">
                  <c:v>45657</c:v>
                </c:pt>
                <c:pt idx="36" c:formatCode="yyyy/m/d">
                  <c:v>45688</c:v>
                </c:pt>
                <c:pt idx="37" c:formatCode="yyyy/m/d">
                  <c:v>45716</c:v>
                </c:pt>
                <c:pt idx="38" c:formatCode="yyyy/m/d">
                  <c:v>45747</c:v>
                </c:pt>
                <c:pt idx="39" c:formatCode="yyyy/m/d">
                  <c:v>45777</c:v>
                </c:pt>
                <c:pt idx="40" c:formatCode="yyyy/m/d">
                  <c:v>45808</c:v>
                </c:pt>
                <c:pt idx="41" c:formatCode="yyyy/m/d">
                  <c:v>45838</c:v>
                </c:pt>
                <c:pt idx="42" c:formatCode="yyyy/m/d">
                  <c:v>45869</c:v>
                </c:pt>
                <c:pt idx="43" c:formatCode="yyyy/m/d">
                  <c:v>45900</c:v>
                </c:pt>
                <c:pt idx="44" c:formatCode="yyyy/m/d">
                  <c:v>45930</c:v>
                </c:pt>
                <c:pt idx="45" c:formatCode="yyyy/m/d">
                  <c:v>45961</c:v>
                </c:pt>
                <c:pt idx="46" c:formatCode="yyyy/m/d">
                  <c:v>45991</c:v>
                </c:pt>
                <c:pt idx="47" c:formatCode="yyyy/m/d">
                  <c:v>46022</c:v>
                </c:pt>
                <c:pt idx="48" c:formatCode="yyyy/m/d">
                  <c:v>46053</c:v>
                </c:pt>
                <c:pt idx="49" c:formatCode="yyyy/m/d">
                  <c:v>46081</c:v>
                </c:pt>
                <c:pt idx="50" c:formatCode="yyyy/m/d">
                  <c:v>46112</c:v>
                </c:pt>
                <c:pt idx="51" c:formatCode="yyyy/m/d">
                  <c:v>46142</c:v>
                </c:pt>
                <c:pt idx="52" c:formatCode="yyyy/m/d">
                  <c:v>46173</c:v>
                </c:pt>
              </c:numCache>
            </c:numRef>
          </c:cat>
          <c:val>
            <c:numRef>
              <c:f>DRAM!$CC$96:$CC$200</c:f>
              <c:numCache>
                <c:formatCode>#,##0.00</c:formatCode>
                <c:ptCount val="105"/>
                <c:pt idx="0">
                  <c:v>58.6</c:v>
                </c:pt>
                <c:pt idx="1">
                  <c:v>58.6</c:v>
                </c:pt>
                <c:pt idx="2">
                  <c:v>58.6</c:v>
                </c:pt>
                <c:pt idx="3">
                  <c:v>58.6</c:v>
                </c:pt>
                <c:pt idx="4">
                  <c:v>57.6</c:v>
                </c:pt>
                <c:pt idx="5">
                  <c:v>57.6</c:v>
                </c:pt>
                <c:pt idx="6">
                  <c:v>48.8</c:v>
                </c:pt>
                <c:pt idx="7">
                  <c:v>48.6</c:v>
                </c:pt>
                <c:pt idx="8">
                  <c:v>48.6</c:v>
                </c:pt>
                <c:pt idx="9">
                  <c:v>38.4</c:v>
                </c:pt>
                <c:pt idx="10">
                  <c:v>38.4</c:v>
                </c:pt>
                <c:pt idx="11">
                  <c:v>38.4</c:v>
                </c:pt>
                <c:pt idx="12">
                  <c:v>32</c:v>
                </c:pt>
                <c:pt idx="13">
                  <c:v>32</c:v>
                </c:pt>
                <c:pt idx="14">
                  <c:v>32</c:v>
                </c:pt>
                <c:pt idx="15">
                  <c:v>26.2</c:v>
                </c:pt>
                <c:pt idx="16">
                  <c:v>25.4</c:v>
                </c:pt>
                <c:pt idx="17">
                  <c:v>24.8</c:v>
                </c:pt>
                <c:pt idx="18">
                  <c:v>24.4</c:v>
                </c:pt>
                <c:pt idx="19">
                  <c:v>23.8</c:v>
                </c:pt>
                <c:pt idx="20">
                  <c:v>23.8</c:v>
                </c:pt>
                <c:pt idx="21">
                  <c:v>26.4</c:v>
                </c:pt>
                <c:pt idx="22">
                  <c:v>26.4</c:v>
                </c:pt>
                <c:pt idx="23">
                  <c:v>26.4</c:v>
                </c:pt>
                <c:pt idx="24">
                  <c:v>32</c:v>
                </c:pt>
                <c:pt idx="25">
                  <c:v>32</c:v>
                </c:pt>
                <c:pt idx="26">
                  <c:v>32</c:v>
                </c:pt>
                <c:pt idx="27">
                  <c:v>37</c:v>
                </c:pt>
                <c:pt idx="28">
                  <c:v>37</c:v>
                </c:pt>
                <c:pt idx="29">
                  <c:v>37</c:v>
                </c:pt>
                <c:pt idx="30">
                  <c:v>41</c:v>
                </c:pt>
                <c:pt idx="31">
                  <c:v>41</c:v>
                </c:pt>
                <c:pt idx="32">
                  <c:v>41</c:v>
                </c:pt>
                <c:pt idx="33">
                  <c:v>41</c:v>
                </c:pt>
                <c:pt idx="34">
                  <c:v>36</c:v>
                </c:pt>
                <c:pt idx="35">
                  <c:v>36</c:v>
                </c:pt>
                <c:pt idx="36">
                  <c:v>32</c:v>
                </c:pt>
                <c:pt idx="37">
                  <c:v>32</c:v>
                </c:pt>
                <c:pt idx="38">
                  <c:v>32</c:v>
                </c:pt>
                <c:pt idx="39">
                  <c:v>33.5</c:v>
                </c:pt>
                <c:pt idx="40">
                  <c:v>38</c:v>
                </c:pt>
                <c:pt idx="41">
                  <c:v>38</c:v>
                </c:pt>
                <c:pt idx="42">
                  <c:v>50</c:v>
                </c:pt>
                <c:pt idx="43">
                  <c:v>51</c:v>
                </c:pt>
                <c:pt idx="44">
                  <c:v>51</c:v>
                </c:pt>
                <c:pt idx="45">
                  <c:v>60</c:v>
                </c:pt>
                <c:pt idx="46">
                  <c:v>73.5</c:v>
                </c:pt>
                <c:pt idx="47">
                  <c:v>87</c:v>
                </c:pt>
                <c:pt idx="48">
                  <c:v>160</c:v>
                </c:pt>
                <c:pt idx="49">
                  <c:v>165</c:v>
                </c:pt>
                <c:pt idx="50">
                  <c:v>170</c:v>
                </c:pt>
                <c:pt idx="51">
                  <c:v>227</c:v>
                </c:pt>
                <c:pt idx="52">
                  <c:v>227</c:v>
                </c:pt>
              </c:numCache>
            </c:numRef>
          </c:val>
        </c:ser>
        <c:dLbls>
          <c:showLegendKey val="0"/>
          <c:showVal val="0"/>
          <c:showCatName val="0"/>
          <c:showSerName val="0"/>
          <c:showPercent val="0"/>
          <c:showBubbleSize val="0"/>
        </c:dLbls>
        <c:gapWidth val="66"/>
        <c:axId val="177450304"/>
        <c:axId val="206057648"/>
      </c:barChart>
      <c:lineChart>
        <c:grouping val="standard"/>
        <c:varyColors val="0"/>
        <c:ser>
          <c:idx val="1"/>
          <c:order val="1"/>
          <c:tx>
            <c:strRef>
              <c:f>DRAM!$CX$26</c:f>
              <c:strCache>
                <c:ptCount val="1"/>
                <c:pt idx="0">
                  <c:v>MoM</c:v>
                </c:pt>
              </c:strCache>
            </c:strRef>
          </c:tx>
          <c:spPr>
            <a:ln w="12700" cap="rnd" cmpd="sng" algn="ctr">
              <a:solidFill>
                <a:schemeClr val="accent2"/>
              </a:solidFill>
              <a:prstDash val="solid"/>
              <a:round/>
            </a:ln>
          </c:spPr>
          <c:marker>
            <c:symbol val="square"/>
            <c:size val="3"/>
          </c:marker>
          <c:dLbls>
            <c:delete val="1"/>
          </c:dLbls>
          <c:val>
            <c:numRef>
              <c:f>DRAM!$CY$96:$CY$200</c:f>
              <c:numCache>
                <c:formatCode>0%</c:formatCode>
                <c:ptCount val="105"/>
                <c:pt idx="0">
                  <c:v>-0.0757097791798107</c:v>
                </c:pt>
                <c:pt idx="1">
                  <c:v>0</c:v>
                </c:pt>
                <c:pt idx="2">
                  <c:v>0</c:v>
                </c:pt>
                <c:pt idx="3">
                  <c:v>0</c:v>
                </c:pt>
                <c:pt idx="4">
                  <c:v>-0.0170648464163823</c:v>
                </c:pt>
                <c:pt idx="5">
                  <c:v>0</c:v>
                </c:pt>
                <c:pt idx="6">
                  <c:v>-0.152777777777778</c:v>
                </c:pt>
                <c:pt idx="7">
                  <c:v>-0.00409836065573765</c:v>
                </c:pt>
                <c:pt idx="8">
                  <c:v>0</c:v>
                </c:pt>
                <c:pt idx="9">
                  <c:v>-0.209876543209877</c:v>
                </c:pt>
                <c:pt idx="10">
                  <c:v>0</c:v>
                </c:pt>
                <c:pt idx="11">
                  <c:v>0</c:v>
                </c:pt>
                <c:pt idx="12">
                  <c:v>-0.166666666666667</c:v>
                </c:pt>
                <c:pt idx="13">
                  <c:v>0</c:v>
                </c:pt>
                <c:pt idx="14">
                  <c:v>0</c:v>
                </c:pt>
                <c:pt idx="15">
                  <c:v>-0.18125</c:v>
                </c:pt>
                <c:pt idx="16" c:formatCode="0.0%">
                  <c:v>-0.0305343511450382</c:v>
                </c:pt>
                <c:pt idx="17" c:formatCode="0.0%">
                  <c:v>-0.0236220472440944</c:v>
                </c:pt>
                <c:pt idx="18" c:formatCode="0.0%">
                  <c:v>-0.0161290322580646</c:v>
                </c:pt>
                <c:pt idx="19" c:formatCode="0.0%">
                  <c:v>-0.0245901639344261</c:v>
                </c:pt>
                <c:pt idx="20" c:formatCode="0.0%">
                  <c:v>0</c:v>
                </c:pt>
                <c:pt idx="21" c:formatCode="0.0%">
                  <c:v>0.109243697478991</c:v>
                </c:pt>
                <c:pt idx="22" c:formatCode="0.0%">
                  <c:v>0</c:v>
                </c:pt>
                <c:pt idx="23" c:formatCode="0.0%">
                  <c:v>0</c:v>
                </c:pt>
                <c:pt idx="24" c:formatCode="0.0%">
                  <c:v>0.212121212121212</c:v>
                </c:pt>
                <c:pt idx="25" c:formatCode="0.0%">
                  <c:v>0</c:v>
                </c:pt>
                <c:pt idx="26" c:formatCode="0.0%">
                  <c:v>0</c:v>
                </c:pt>
                <c:pt idx="27" c:formatCode="0.0%">
                  <c:v>0.15625</c:v>
                </c:pt>
                <c:pt idx="28" c:formatCode="0.0%">
                  <c:v>0</c:v>
                </c:pt>
                <c:pt idx="29" c:formatCode="0.0%">
                  <c:v>0</c:v>
                </c:pt>
                <c:pt idx="30" c:formatCode="0.0%">
                  <c:v>0.108108108108108</c:v>
                </c:pt>
                <c:pt idx="31" c:formatCode="0.0%">
                  <c:v>0</c:v>
                </c:pt>
                <c:pt idx="32" c:formatCode="0.0%">
                  <c:v>0</c:v>
                </c:pt>
                <c:pt idx="33" c:formatCode="0.0%">
                  <c:v>0</c:v>
                </c:pt>
                <c:pt idx="34" c:formatCode="0.0%">
                  <c:v>-0.121951219512195</c:v>
                </c:pt>
                <c:pt idx="35" c:formatCode="0.0%">
                  <c:v>0</c:v>
                </c:pt>
                <c:pt idx="36" c:formatCode="0.0%">
                  <c:v>-0.111111111111111</c:v>
                </c:pt>
                <c:pt idx="37" c:formatCode="0.0%">
                  <c:v>0</c:v>
                </c:pt>
                <c:pt idx="38" c:formatCode="0.0%">
                  <c:v>0</c:v>
                </c:pt>
                <c:pt idx="39" c:formatCode="0.0%">
                  <c:v>0.046875</c:v>
                </c:pt>
                <c:pt idx="40" c:formatCode="0.0%">
                  <c:v>0.134328358208955</c:v>
                </c:pt>
                <c:pt idx="41" c:formatCode="0.0%">
                  <c:v>0</c:v>
                </c:pt>
                <c:pt idx="42" c:formatCode="0.0%">
                  <c:v>0.315789473684211</c:v>
                </c:pt>
                <c:pt idx="43" c:formatCode="0.0%">
                  <c:v>0.02</c:v>
                </c:pt>
                <c:pt idx="44" c:formatCode="0.0%">
                  <c:v>0</c:v>
                </c:pt>
                <c:pt idx="45" c:formatCode="0.0%">
                  <c:v>0.176470588235294</c:v>
                </c:pt>
                <c:pt idx="46" c:formatCode="0.0%">
                  <c:v>0.225</c:v>
                </c:pt>
                <c:pt idx="47" c:formatCode="0.0%">
                  <c:v>0.183673469387755</c:v>
                </c:pt>
                <c:pt idx="48" c:formatCode="0.0%">
                  <c:v>0.839080459770115</c:v>
                </c:pt>
                <c:pt idx="49" c:formatCode="0.0%">
                  <c:v>0.03125</c:v>
                </c:pt>
                <c:pt idx="50" c:formatCode="0.0%">
                  <c:v>0.0303030303030303</c:v>
                </c:pt>
                <c:pt idx="51" c:formatCode="0.0%">
                  <c:v>0.335294117647059</c:v>
                </c:pt>
                <c:pt idx="52" c:formatCode="0.0%">
                  <c:v>0</c:v>
                </c:pt>
              </c:numCache>
            </c:numRef>
          </c:val>
          <c:smooth val="0"/>
        </c:ser>
        <c:dLbls>
          <c:showLegendKey val="0"/>
          <c:showVal val="0"/>
          <c:showCatName val="0"/>
          <c:showSerName val="0"/>
          <c:showPercent val="0"/>
          <c:showBubbleSize val="0"/>
        </c:dLbls>
        <c:marker val="1"/>
        <c:smooth val="0"/>
        <c:axId val="177253104"/>
        <c:axId val="206075120"/>
      </c:lineChart>
      <c:dateAx>
        <c:axId val="177450304"/>
        <c:scaling>
          <c:orientation val="minMax"/>
        </c:scaling>
        <c:delete val="0"/>
        <c:axPos val="b"/>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57648"/>
        <c:crosses val="autoZero"/>
        <c:auto val="0"/>
        <c:lblOffset val="100"/>
        <c:baseTimeUnit val="months"/>
        <c:majorUnit val="3"/>
        <c:majorTimeUnit val="months"/>
      </c:dateAx>
      <c:valAx>
        <c:axId val="206057648"/>
        <c:scaling>
          <c:orientation val="minMax"/>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450304"/>
        <c:crosses val="autoZero"/>
        <c:crossBetween val="between"/>
      </c:valAx>
      <c:catAx>
        <c:axId val="177253104"/>
        <c:scaling>
          <c:orientation val="minMax"/>
        </c:scaling>
        <c:delete val="1"/>
        <c:axPos val="b"/>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75120"/>
        <c:crosses val="autoZero"/>
        <c:auto val="1"/>
        <c:lblAlgn val="ctr"/>
        <c:lblOffset val="100"/>
        <c:noMultiLvlLbl val="0"/>
      </c:catAx>
      <c:valAx>
        <c:axId val="206075120"/>
        <c:scaling>
          <c:orientation val="minMax"/>
        </c:scaling>
        <c:delete val="0"/>
        <c:axPos val="r"/>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MoM</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253104"/>
        <c:crosses val="max"/>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c00cd563-ec10-42a0-a7d9-b812abcf1437}"/>
      </c:ext>
    </c:extLst>
  </c:chart>
  <c:spPr>
    <a:solidFill>
      <a:srgbClr val="FFFFFF"/>
    </a:solidFill>
    <a:ln w="25400" cap="flat" cmpd="sng" algn="ctr">
      <a:solidFill>
        <a:srgbClr xmlns:mc="http://schemas.openxmlformats.org/markup-compatibility/2006" xmlns:a14="http://schemas.microsoft.com/office/drawing/2010/main" val="FFFFFF" mc:Ignorable="a14" a14:legacySpreadsheetColorIndex="9"/>
      </a:solidFill>
      <a:prstDash val="solid"/>
      <a:round/>
      <a:headEnd type="none" w="med" len="med"/>
      <a:tailEnd type="none" w="med" len="med"/>
    </a:ln>
    <a:effectLst/>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PC DRAM Chip (DDR4 8Gb) Spot Price DoD</a:t>
            </a:r>
            <a:endParaRPr lang="en-US"/>
          </a:p>
        </c:rich>
      </c:tx>
      <c:layout/>
      <c:overlay val="0"/>
    </c:title>
    <c:autoTitleDeleted val="0"/>
    <c:plotArea>
      <c:layout/>
      <c:barChart>
        <c:barDir val="col"/>
        <c:grouping val="clustered"/>
        <c:varyColors val="0"/>
        <c:ser>
          <c:idx val="0"/>
          <c:order val="0"/>
          <c:spPr>
            <a:ln w="12700">
              <a:solidFill>
                <a:srgbClr val="000000"/>
              </a:solidFill>
              <a:prstDash val="solid"/>
            </a:ln>
          </c:spPr>
          <c:invertIfNegative val="0"/>
          <c:dLbls>
            <c:delete val="1"/>
          </c:dLbls>
          <c:cat>
            <c:numRef>
              <c:f>DRAM!$I$1245:$I$3000</c:f>
              <c:numCache>
                <c:formatCode>yyyy/m/d</c:formatCode>
                <c:ptCount val="1756"/>
                <c:pt idx="0" c:formatCode="yyyy/m/d">
                  <c:v>44200</c:v>
                </c:pt>
                <c:pt idx="1" c:formatCode="yyyy/m/d">
                  <c:v>44201</c:v>
                </c:pt>
                <c:pt idx="2" c:formatCode="yyyy/m/d">
                  <c:v>44202</c:v>
                </c:pt>
                <c:pt idx="3" c:formatCode="yyyy/m/d">
                  <c:v>44203</c:v>
                </c:pt>
                <c:pt idx="4" c:formatCode="yyyy/m/d">
                  <c:v>44204</c:v>
                </c:pt>
                <c:pt idx="5" c:formatCode="yyyy/m/d">
                  <c:v>44207</c:v>
                </c:pt>
                <c:pt idx="6" c:formatCode="yyyy/m/d">
                  <c:v>44208</c:v>
                </c:pt>
                <c:pt idx="7" c:formatCode="yyyy/m/d">
                  <c:v>44209</c:v>
                </c:pt>
                <c:pt idx="8" c:formatCode="yyyy/m/d">
                  <c:v>44210</c:v>
                </c:pt>
                <c:pt idx="9" c:formatCode="yyyy/m/d">
                  <c:v>44211</c:v>
                </c:pt>
                <c:pt idx="10" c:formatCode="yyyy/m/d">
                  <c:v>44214</c:v>
                </c:pt>
                <c:pt idx="11" c:formatCode="yyyy/m/d">
                  <c:v>44215</c:v>
                </c:pt>
                <c:pt idx="12" c:formatCode="yyyy/m/d">
                  <c:v>44216</c:v>
                </c:pt>
                <c:pt idx="13" c:formatCode="yyyy/m/d">
                  <c:v>44217</c:v>
                </c:pt>
                <c:pt idx="14" c:formatCode="yyyy/m/d">
                  <c:v>44218</c:v>
                </c:pt>
                <c:pt idx="15" c:formatCode="yyyy/m/d">
                  <c:v>44221</c:v>
                </c:pt>
                <c:pt idx="16" c:formatCode="yyyy/m/d">
                  <c:v>44222</c:v>
                </c:pt>
                <c:pt idx="17" c:formatCode="yyyy/m/d">
                  <c:v>44223</c:v>
                </c:pt>
                <c:pt idx="18" c:formatCode="yyyy/m/d">
                  <c:v>44224</c:v>
                </c:pt>
                <c:pt idx="19" c:formatCode="yyyy/m/d">
                  <c:v>44225</c:v>
                </c:pt>
                <c:pt idx="20" c:formatCode="yyyy/m/d">
                  <c:v>44228</c:v>
                </c:pt>
                <c:pt idx="21" c:formatCode="yyyy/m/d">
                  <c:v>44229</c:v>
                </c:pt>
                <c:pt idx="22" c:formatCode="yyyy/m/d">
                  <c:v>44230</c:v>
                </c:pt>
                <c:pt idx="23" c:formatCode="yyyy/m/d">
                  <c:v>44231</c:v>
                </c:pt>
                <c:pt idx="24" c:formatCode="yyyy/m/d">
                  <c:v>44232</c:v>
                </c:pt>
                <c:pt idx="25" c:formatCode="yyyy/m/d">
                  <c:v>44235</c:v>
                </c:pt>
                <c:pt idx="26" c:formatCode="yyyy/m/d">
                  <c:v>44236</c:v>
                </c:pt>
                <c:pt idx="27" c:formatCode="yyyy/m/d">
                  <c:v>44237</c:v>
                </c:pt>
                <c:pt idx="28" c:formatCode="yyyy/m/d">
                  <c:v>44244</c:v>
                </c:pt>
                <c:pt idx="29" c:formatCode="yyyy/m/d">
                  <c:v>44245</c:v>
                </c:pt>
                <c:pt idx="30" c:formatCode="yyyy/m/d">
                  <c:v>44246</c:v>
                </c:pt>
                <c:pt idx="31" c:formatCode="yyyy/m/d">
                  <c:v>44249</c:v>
                </c:pt>
                <c:pt idx="32" c:formatCode="yyyy/m/d">
                  <c:v>44250</c:v>
                </c:pt>
                <c:pt idx="33" c:formatCode="yyyy/m/d">
                  <c:v>44251</c:v>
                </c:pt>
                <c:pt idx="34" c:formatCode="yyyy/m/d">
                  <c:v>44252</c:v>
                </c:pt>
                <c:pt idx="35" c:formatCode="yyyy/m/d">
                  <c:v>44253</c:v>
                </c:pt>
                <c:pt idx="36" c:formatCode="yyyy/m/d">
                  <c:v>44256</c:v>
                </c:pt>
                <c:pt idx="37" c:formatCode="yyyy/m/d">
                  <c:v>44257</c:v>
                </c:pt>
                <c:pt idx="38" c:formatCode="yyyy/m/d">
                  <c:v>44258</c:v>
                </c:pt>
                <c:pt idx="39" c:formatCode="yyyy/m/d">
                  <c:v>44259</c:v>
                </c:pt>
                <c:pt idx="40" c:formatCode="yyyy/m/d">
                  <c:v>44260</c:v>
                </c:pt>
                <c:pt idx="41" c:formatCode="yyyy/m/d">
                  <c:v>44263</c:v>
                </c:pt>
                <c:pt idx="42" c:formatCode="yyyy/m/d">
                  <c:v>44264</c:v>
                </c:pt>
                <c:pt idx="43" c:formatCode="yyyy/m/d">
                  <c:v>44265</c:v>
                </c:pt>
                <c:pt idx="44" c:formatCode="yyyy/m/d">
                  <c:v>44266</c:v>
                </c:pt>
                <c:pt idx="45" c:formatCode="yyyy/m/d">
                  <c:v>44267</c:v>
                </c:pt>
                <c:pt idx="46" c:formatCode="yyyy/m/d">
                  <c:v>44270</c:v>
                </c:pt>
                <c:pt idx="47" c:formatCode="yyyy/m/d">
                  <c:v>44271</c:v>
                </c:pt>
                <c:pt idx="48" c:formatCode="yyyy/m/d">
                  <c:v>44272</c:v>
                </c:pt>
                <c:pt idx="49" c:formatCode="yyyy/m/d">
                  <c:v>44273</c:v>
                </c:pt>
                <c:pt idx="50" c:formatCode="yyyy/m/d">
                  <c:v>44274</c:v>
                </c:pt>
                <c:pt idx="51" c:formatCode="yyyy/m/d">
                  <c:v>44277</c:v>
                </c:pt>
                <c:pt idx="52" c:formatCode="yyyy/m/d">
                  <c:v>44278</c:v>
                </c:pt>
                <c:pt idx="53" c:formatCode="yyyy/m/d">
                  <c:v>44279</c:v>
                </c:pt>
                <c:pt idx="54" c:formatCode="yyyy/m/d">
                  <c:v>44280</c:v>
                </c:pt>
                <c:pt idx="55" c:formatCode="yyyy/m/d">
                  <c:v>44281</c:v>
                </c:pt>
                <c:pt idx="56" c:formatCode="yyyy/m/d">
                  <c:v>44284</c:v>
                </c:pt>
                <c:pt idx="57" c:formatCode="yyyy/m/d">
                  <c:v>44285</c:v>
                </c:pt>
                <c:pt idx="58" c:formatCode="yyyy/m/d">
                  <c:v>44286</c:v>
                </c:pt>
                <c:pt idx="59" c:formatCode="yyyy/m/d">
                  <c:v>44287</c:v>
                </c:pt>
                <c:pt idx="60" c:formatCode="yyyy/m/d">
                  <c:v>44292</c:v>
                </c:pt>
                <c:pt idx="61" c:formatCode="yyyy/m/d">
                  <c:v>44293</c:v>
                </c:pt>
                <c:pt idx="62" c:formatCode="yyyy/m/d">
                  <c:v>44294</c:v>
                </c:pt>
                <c:pt idx="63" c:formatCode="yyyy/m/d">
                  <c:v>44295</c:v>
                </c:pt>
                <c:pt idx="64" c:formatCode="yyyy/m/d">
                  <c:v>44298</c:v>
                </c:pt>
                <c:pt idx="65" c:formatCode="yyyy/m/d">
                  <c:v>44299</c:v>
                </c:pt>
                <c:pt idx="66" c:formatCode="yyyy/m/d">
                  <c:v>44300</c:v>
                </c:pt>
                <c:pt idx="67" c:formatCode="yyyy/m/d">
                  <c:v>44301</c:v>
                </c:pt>
                <c:pt idx="68" c:formatCode="yyyy/m/d">
                  <c:v>44302</c:v>
                </c:pt>
                <c:pt idx="69" c:formatCode="yyyy/m/d">
                  <c:v>44305</c:v>
                </c:pt>
                <c:pt idx="70" c:formatCode="yyyy/m/d">
                  <c:v>44306</c:v>
                </c:pt>
                <c:pt idx="71" c:formatCode="yyyy/m/d">
                  <c:v>44307</c:v>
                </c:pt>
                <c:pt idx="72" c:formatCode="yyyy/m/d">
                  <c:v>44308</c:v>
                </c:pt>
                <c:pt idx="73" c:formatCode="yyyy/m/d">
                  <c:v>44309</c:v>
                </c:pt>
                <c:pt idx="74" c:formatCode="yyyy/m/d">
                  <c:v>44312</c:v>
                </c:pt>
                <c:pt idx="75" c:formatCode="yyyy/m/d">
                  <c:v>44313</c:v>
                </c:pt>
                <c:pt idx="76" c:formatCode="yyyy/m/d">
                  <c:v>44314</c:v>
                </c:pt>
                <c:pt idx="77" c:formatCode="yyyy/m/d">
                  <c:v>44315</c:v>
                </c:pt>
                <c:pt idx="78" c:formatCode="yyyy/m/d">
                  <c:v>44316</c:v>
                </c:pt>
                <c:pt idx="79" c:formatCode="yyyy/m/d">
                  <c:v>44319</c:v>
                </c:pt>
                <c:pt idx="80" c:formatCode="yyyy/m/d">
                  <c:v>44320</c:v>
                </c:pt>
                <c:pt idx="81" c:formatCode="yyyy/m/d">
                  <c:v>44321</c:v>
                </c:pt>
                <c:pt idx="82" c:formatCode="yyyy/m/d">
                  <c:v>44322</c:v>
                </c:pt>
                <c:pt idx="83" c:formatCode="yyyy/m/d">
                  <c:v>44323</c:v>
                </c:pt>
                <c:pt idx="84" c:formatCode="yyyy/m/d">
                  <c:v>44326</c:v>
                </c:pt>
                <c:pt idx="85" c:formatCode="yyyy/m/d">
                  <c:v>44327</c:v>
                </c:pt>
                <c:pt idx="86" c:formatCode="yyyy/m/d">
                  <c:v>44328</c:v>
                </c:pt>
                <c:pt idx="87" c:formatCode="yyyy/m/d">
                  <c:v>44329</c:v>
                </c:pt>
                <c:pt idx="88" c:formatCode="yyyy/m/d">
                  <c:v>44330</c:v>
                </c:pt>
                <c:pt idx="89" c:formatCode="yyyy/m/d">
                  <c:v>44333</c:v>
                </c:pt>
                <c:pt idx="90" c:formatCode="yyyy/m/d">
                  <c:v>44334</c:v>
                </c:pt>
                <c:pt idx="91" c:formatCode="yyyy/m/d">
                  <c:v>44335</c:v>
                </c:pt>
                <c:pt idx="92" c:formatCode="yyyy/m/d">
                  <c:v>44336</c:v>
                </c:pt>
                <c:pt idx="93" c:formatCode="yyyy/m/d">
                  <c:v>44337</c:v>
                </c:pt>
                <c:pt idx="94" c:formatCode="yyyy/m/d">
                  <c:v>44340</c:v>
                </c:pt>
                <c:pt idx="95" c:formatCode="yyyy/m/d">
                  <c:v>44341</c:v>
                </c:pt>
                <c:pt idx="96" c:formatCode="yyyy/m/d">
                  <c:v>44342</c:v>
                </c:pt>
                <c:pt idx="97" c:formatCode="yyyy/m/d">
                  <c:v>44343</c:v>
                </c:pt>
                <c:pt idx="98" c:formatCode="yyyy/m/d">
                  <c:v>44344</c:v>
                </c:pt>
                <c:pt idx="99" c:formatCode="yyyy/m/d">
                  <c:v>44347</c:v>
                </c:pt>
                <c:pt idx="100" c:formatCode="yyyy/m/d">
                  <c:v>44348</c:v>
                </c:pt>
                <c:pt idx="101" c:formatCode="yyyy/m/d">
                  <c:v>44349</c:v>
                </c:pt>
                <c:pt idx="102" c:formatCode="yyyy/m/d">
                  <c:v>44350</c:v>
                </c:pt>
                <c:pt idx="103" c:formatCode="yyyy/m/d">
                  <c:v>44351</c:v>
                </c:pt>
                <c:pt idx="104" c:formatCode="yyyy/m/d">
                  <c:v>44354</c:v>
                </c:pt>
                <c:pt idx="105" c:formatCode="yyyy/m/d">
                  <c:v>44355</c:v>
                </c:pt>
                <c:pt idx="106" c:formatCode="yyyy/m/d">
                  <c:v>44356</c:v>
                </c:pt>
                <c:pt idx="107" c:formatCode="yyyy/m/d">
                  <c:v>44357</c:v>
                </c:pt>
                <c:pt idx="108" c:formatCode="yyyy/m/d">
                  <c:v>44358</c:v>
                </c:pt>
                <c:pt idx="109" c:formatCode="yyyy/m/d">
                  <c:v>44362</c:v>
                </c:pt>
                <c:pt idx="110" c:formatCode="yyyy/m/d">
                  <c:v>44363</c:v>
                </c:pt>
                <c:pt idx="111" c:formatCode="yyyy/m/d">
                  <c:v>44364</c:v>
                </c:pt>
                <c:pt idx="112" c:formatCode="yyyy/m/d">
                  <c:v>44365</c:v>
                </c:pt>
                <c:pt idx="113" c:formatCode="yyyy/m/d">
                  <c:v>44368</c:v>
                </c:pt>
                <c:pt idx="114" c:formatCode="yyyy/m/d">
                  <c:v>44369</c:v>
                </c:pt>
                <c:pt idx="115" c:formatCode="yyyy/m/d">
                  <c:v>44370</c:v>
                </c:pt>
                <c:pt idx="116" c:formatCode="yyyy/m/d">
                  <c:v>44371</c:v>
                </c:pt>
                <c:pt idx="117" c:formatCode="yyyy/m/d">
                  <c:v>44372</c:v>
                </c:pt>
                <c:pt idx="118" c:formatCode="yyyy/m/d">
                  <c:v>44375</c:v>
                </c:pt>
                <c:pt idx="119" c:formatCode="yyyy/m/d">
                  <c:v>44376</c:v>
                </c:pt>
                <c:pt idx="120" c:formatCode="yyyy/m/d">
                  <c:v>44377</c:v>
                </c:pt>
                <c:pt idx="121" c:formatCode="yyyy/m/d">
                  <c:v>44378</c:v>
                </c:pt>
                <c:pt idx="122" c:formatCode="yyyy/m/d">
                  <c:v>44379</c:v>
                </c:pt>
                <c:pt idx="123" c:formatCode="yyyy/m/d">
                  <c:v>44382</c:v>
                </c:pt>
                <c:pt idx="124" c:formatCode="yyyy/m/d">
                  <c:v>44383</c:v>
                </c:pt>
                <c:pt idx="125" c:formatCode="yyyy/m/d">
                  <c:v>44384</c:v>
                </c:pt>
                <c:pt idx="126" c:formatCode="yyyy/m/d">
                  <c:v>44385</c:v>
                </c:pt>
                <c:pt idx="127" c:formatCode="yyyy/m/d">
                  <c:v>44386</c:v>
                </c:pt>
                <c:pt idx="128" c:formatCode="yyyy/m/d">
                  <c:v>44389</c:v>
                </c:pt>
                <c:pt idx="129" c:formatCode="yyyy/m/d">
                  <c:v>44390</c:v>
                </c:pt>
                <c:pt idx="130" c:formatCode="yyyy/m/d">
                  <c:v>44391</c:v>
                </c:pt>
                <c:pt idx="131" c:formatCode="yyyy/m/d">
                  <c:v>44392</c:v>
                </c:pt>
                <c:pt idx="132" c:formatCode="yyyy/m/d">
                  <c:v>44393</c:v>
                </c:pt>
                <c:pt idx="133" c:formatCode="yyyy/m/d">
                  <c:v>44396</c:v>
                </c:pt>
                <c:pt idx="134" c:formatCode="yyyy/m/d">
                  <c:v>44397</c:v>
                </c:pt>
                <c:pt idx="135" c:formatCode="yyyy/m/d">
                  <c:v>44398</c:v>
                </c:pt>
                <c:pt idx="136" c:formatCode="yyyy/m/d">
                  <c:v>44399</c:v>
                </c:pt>
                <c:pt idx="137" c:formatCode="yyyy/m/d">
                  <c:v>44400</c:v>
                </c:pt>
                <c:pt idx="138" c:formatCode="yyyy/m/d">
                  <c:v>44403</c:v>
                </c:pt>
                <c:pt idx="139" c:formatCode="yyyy/m/d">
                  <c:v>44404</c:v>
                </c:pt>
                <c:pt idx="140" c:formatCode="yyyy/m/d">
                  <c:v>44405</c:v>
                </c:pt>
                <c:pt idx="141" c:formatCode="yyyy/m/d">
                  <c:v>44406</c:v>
                </c:pt>
                <c:pt idx="142" c:formatCode="yyyy/m/d">
                  <c:v>44407</c:v>
                </c:pt>
                <c:pt idx="143" c:formatCode="yyyy/m/d">
                  <c:v>44410</c:v>
                </c:pt>
                <c:pt idx="144" c:formatCode="yyyy/m/d">
                  <c:v>44411</c:v>
                </c:pt>
                <c:pt idx="145" c:formatCode="yyyy/m/d">
                  <c:v>44412</c:v>
                </c:pt>
                <c:pt idx="146" c:formatCode="yyyy/m/d">
                  <c:v>44413</c:v>
                </c:pt>
                <c:pt idx="147" c:formatCode="yyyy/m/d">
                  <c:v>44414</c:v>
                </c:pt>
                <c:pt idx="148" c:formatCode="yyyy/m/d">
                  <c:v>44417</c:v>
                </c:pt>
                <c:pt idx="149" c:formatCode="yyyy/m/d">
                  <c:v>44418</c:v>
                </c:pt>
                <c:pt idx="150" c:formatCode="yyyy/m/d">
                  <c:v>44419</c:v>
                </c:pt>
                <c:pt idx="151" c:formatCode="yyyy/m/d">
                  <c:v>44420</c:v>
                </c:pt>
                <c:pt idx="152" c:formatCode="yyyy/m/d">
                  <c:v>44421</c:v>
                </c:pt>
                <c:pt idx="153" c:formatCode="yyyy/m/d">
                  <c:v>44424</c:v>
                </c:pt>
                <c:pt idx="154" c:formatCode="yyyy/m/d">
                  <c:v>44425</c:v>
                </c:pt>
                <c:pt idx="155" c:formatCode="yyyy/m/d">
                  <c:v>44426</c:v>
                </c:pt>
                <c:pt idx="156" c:formatCode="yyyy/m/d">
                  <c:v>44427</c:v>
                </c:pt>
                <c:pt idx="157" c:formatCode="yyyy/m/d">
                  <c:v>44428</c:v>
                </c:pt>
                <c:pt idx="158" c:formatCode="yyyy/m/d">
                  <c:v>44431</c:v>
                </c:pt>
                <c:pt idx="159" c:formatCode="yyyy/m/d">
                  <c:v>44432</c:v>
                </c:pt>
                <c:pt idx="160" c:formatCode="yyyy/m/d">
                  <c:v>44433</c:v>
                </c:pt>
                <c:pt idx="161" c:formatCode="yyyy/m/d">
                  <c:v>44434</c:v>
                </c:pt>
                <c:pt idx="162" c:formatCode="yyyy/m/d">
                  <c:v>44435</c:v>
                </c:pt>
                <c:pt idx="163" c:formatCode="yyyy/m/d">
                  <c:v>44438</c:v>
                </c:pt>
                <c:pt idx="164" c:formatCode="yyyy/m/d">
                  <c:v>44439</c:v>
                </c:pt>
                <c:pt idx="165" c:formatCode="yyyy/m/d">
                  <c:v>44440</c:v>
                </c:pt>
                <c:pt idx="166" c:formatCode="yyyy/m/d">
                  <c:v>44441</c:v>
                </c:pt>
                <c:pt idx="167" c:formatCode="yyyy/m/d">
                  <c:v>44442</c:v>
                </c:pt>
                <c:pt idx="168" c:formatCode="yyyy/m/d">
                  <c:v>44445</c:v>
                </c:pt>
                <c:pt idx="169" c:formatCode="yyyy/m/d">
                  <c:v>44446</c:v>
                </c:pt>
                <c:pt idx="170" c:formatCode="yyyy/m/d">
                  <c:v>44447</c:v>
                </c:pt>
                <c:pt idx="171" c:formatCode="yyyy/m/d">
                  <c:v>44448</c:v>
                </c:pt>
                <c:pt idx="172" c:formatCode="yyyy/m/d">
                  <c:v>44449</c:v>
                </c:pt>
                <c:pt idx="173" c:formatCode="yyyy/m/d">
                  <c:v>44452</c:v>
                </c:pt>
                <c:pt idx="174" c:formatCode="yyyy/m/d">
                  <c:v>44453</c:v>
                </c:pt>
                <c:pt idx="175" c:formatCode="yyyy/m/d">
                  <c:v>44454</c:v>
                </c:pt>
                <c:pt idx="176" c:formatCode="yyyy/m/d">
                  <c:v>44455</c:v>
                </c:pt>
                <c:pt idx="177" c:formatCode="yyyy/m/d">
                  <c:v>44456</c:v>
                </c:pt>
                <c:pt idx="178" c:formatCode="yyyy/m/d">
                  <c:v>44461</c:v>
                </c:pt>
                <c:pt idx="179" c:formatCode="yyyy/m/d">
                  <c:v>44462</c:v>
                </c:pt>
                <c:pt idx="180" c:formatCode="yyyy/m/d">
                  <c:v>44463</c:v>
                </c:pt>
                <c:pt idx="181" c:formatCode="yyyy/m/d">
                  <c:v>44466</c:v>
                </c:pt>
                <c:pt idx="182" c:formatCode="yyyy/m/d">
                  <c:v>44467</c:v>
                </c:pt>
                <c:pt idx="183" c:formatCode="yyyy/m/d">
                  <c:v>44468</c:v>
                </c:pt>
                <c:pt idx="184" c:formatCode="yyyy/m/d">
                  <c:v>44469</c:v>
                </c:pt>
                <c:pt idx="185" c:formatCode="yyyy/m/d">
                  <c:v>44470</c:v>
                </c:pt>
                <c:pt idx="186" c:formatCode="yyyy/m/d">
                  <c:v>44473</c:v>
                </c:pt>
                <c:pt idx="187" c:formatCode="yyyy/m/d">
                  <c:v>44474</c:v>
                </c:pt>
                <c:pt idx="188" c:formatCode="yyyy/m/d">
                  <c:v>44475</c:v>
                </c:pt>
                <c:pt idx="189" c:formatCode="yyyy/m/d">
                  <c:v>44476</c:v>
                </c:pt>
                <c:pt idx="190" c:formatCode="yyyy/m/d">
                  <c:v>44477</c:v>
                </c:pt>
                <c:pt idx="191" c:formatCode="yyyy/m/d">
                  <c:v>44480</c:v>
                </c:pt>
                <c:pt idx="192" c:formatCode="yyyy/m/d">
                  <c:v>44481</c:v>
                </c:pt>
                <c:pt idx="193" c:formatCode="yyyy/m/d">
                  <c:v>44482</c:v>
                </c:pt>
                <c:pt idx="194" c:formatCode="yyyy/m/d">
                  <c:v>44483</c:v>
                </c:pt>
                <c:pt idx="195" c:formatCode="yyyy/m/d">
                  <c:v>44484</c:v>
                </c:pt>
                <c:pt idx="196" c:formatCode="yyyy/m/d">
                  <c:v>44487</c:v>
                </c:pt>
                <c:pt idx="197" c:formatCode="yyyy/m/d">
                  <c:v>44488</c:v>
                </c:pt>
                <c:pt idx="198" c:formatCode="yyyy/m/d">
                  <c:v>44489</c:v>
                </c:pt>
                <c:pt idx="199" c:formatCode="yyyy/m/d">
                  <c:v>44490</c:v>
                </c:pt>
                <c:pt idx="200" c:formatCode="yyyy/m/d">
                  <c:v>44491</c:v>
                </c:pt>
                <c:pt idx="201" c:formatCode="yyyy/m/d">
                  <c:v>44494</c:v>
                </c:pt>
                <c:pt idx="202" c:formatCode="yyyy/m/d">
                  <c:v>44495</c:v>
                </c:pt>
                <c:pt idx="203" c:formatCode="yyyy/m/d">
                  <c:v>44496</c:v>
                </c:pt>
                <c:pt idx="204" c:formatCode="yyyy/m/d">
                  <c:v>44497</c:v>
                </c:pt>
                <c:pt idx="205" c:formatCode="yyyy/m/d">
                  <c:v>44498</c:v>
                </c:pt>
                <c:pt idx="206" c:formatCode="yyyy/m/d">
                  <c:v>44501</c:v>
                </c:pt>
                <c:pt idx="207" c:formatCode="yyyy/m/d">
                  <c:v>44502</c:v>
                </c:pt>
                <c:pt idx="208" c:formatCode="yyyy/m/d">
                  <c:v>44503</c:v>
                </c:pt>
                <c:pt idx="209" c:formatCode="yyyy/m/d">
                  <c:v>44504</c:v>
                </c:pt>
                <c:pt idx="210" c:formatCode="yyyy/m/d">
                  <c:v>44505</c:v>
                </c:pt>
                <c:pt idx="211" c:formatCode="yyyy/m/d">
                  <c:v>44508</c:v>
                </c:pt>
                <c:pt idx="212" c:formatCode="yyyy/m/d">
                  <c:v>44509</c:v>
                </c:pt>
                <c:pt idx="213" c:formatCode="yyyy/m/d">
                  <c:v>44510</c:v>
                </c:pt>
                <c:pt idx="214" c:formatCode="yyyy/m/d">
                  <c:v>44511</c:v>
                </c:pt>
                <c:pt idx="215" c:formatCode="yyyy/m/d">
                  <c:v>44512</c:v>
                </c:pt>
                <c:pt idx="216" c:formatCode="yyyy/m/d">
                  <c:v>44515</c:v>
                </c:pt>
                <c:pt idx="217" c:formatCode="yyyy/m/d">
                  <c:v>44516</c:v>
                </c:pt>
                <c:pt idx="218" c:formatCode="yyyy/m/d">
                  <c:v>44517</c:v>
                </c:pt>
                <c:pt idx="219" c:formatCode="yyyy/m/d">
                  <c:v>44518</c:v>
                </c:pt>
                <c:pt idx="220" c:formatCode="yyyy/m/d">
                  <c:v>44519</c:v>
                </c:pt>
                <c:pt idx="221" c:formatCode="yyyy/m/d">
                  <c:v>44522</c:v>
                </c:pt>
                <c:pt idx="222" c:formatCode="yyyy/m/d">
                  <c:v>44523</c:v>
                </c:pt>
                <c:pt idx="223" c:formatCode="yyyy/m/d">
                  <c:v>44524</c:v>
                </c:pt>
                <c:pt idx="224" c:formatCode="yyyy/m/d">
                  <c:v>44525</c:v>
                </c:pt>
                <c:pt idx="225" c:formatCode="yyyy/m/d">
                  <c:v>44526</c:v>
                </c:pt>
                <c:pt idx="226" c:formatCode="yyyy/m/d">
                  <c:v>44529</c:v>
                </c:pt>
                <c:pt idx="227" c:formatCode="yyyy/m/d">
                  <c:v>44530</c:v>
                </c:pt>
                <c:pt idx="228" c:formatCode="yyyy/m/d">
                  <c:v>44531</c:v>
                </c:pt>
                <c:pt idx="229" c:formatCode="yyyy/m/d">
                  <c:v>44532</c:v>
                </c:pt>
                <c:pt idx="230" c:formatCode="yyyy/m/d">
                  <c:v>44533</c:v>
                </c:pt>
                <c:pt idx="231" c:formatCode="yyyy/m/d">
                  <c:v>44536</c:v>
                </c:pt>
                <c:pt idx="232" c:formatCode="yyyy/m/d">
                  <c:v>44537</c:v>
                </c:pt>
                <c:pt idx="233" c:formatCode="yyyy/m/d">
                  <c:v>44538</c:v>
                </c:pt>
                <c:pt idx="234" c:formatCode="yyyy/m/d">
                  <c:v>44539</c:v>
                </c:pt>
                <c:pt idx="235" c:formatCode="yyyy/m/d">
                  <c:v>44540</c:v>
                </c:pt>
                <c:pt idx="236" c:formatCode="yyyy/m/d">
                  <c:v>44543</c:v>
                </c:pt>
                <c:pt idx="237" c:formatCode="yyyy/m/d">
                  <c:v>44544</c:v>
                </c:pt>
                <c:pt idx="238" c:formatCode="yyyy/m/d">
                  <c:v>44545</c:v>
                </c:pt>
                <c:pt idx="239" c:formatCode="yyyy/m/d">
                  <c:v>44546</c:v>
                </c:pt>
                <c:pt idx="240" c:formatCode="yyyy/m/d">
                  <c:v>44547</c:v>
                </c:pt>
                <c:pt idx="241" c:formatCode="yyyy/m/d">
                  <c:v>44550</c:v>
                </c:pt>
                <c:pt idx="242" c:formatCode="yyyy/m/d">
                  <c:v>44551</c:v>
                </c:pt>
                <c:pt idx="243" c:formatCode="yyyy/m/d">
                  <c:v>44552</c:v>
                </c:pt>
                <c:pt idx="244" c:formatCode="yyyy/m/d">
                  <c:v>44553</c:v>
                </c:pt>
                <c:pt idx="245" c:formatCode="yyyy/m/d">
                  <c:v>44554</c:v>
                </c:pt>
                <c:pt idx="246" c:formatCode="yyyy/m/d">
                  <c:v>44557</c:v>
                </c:pt>
                <c:pt idx="247" c:formatCode="yyyy/m/d">
                  <c:v>44558</c:v>
                </c:pt>
                <c:pt idx="248" c:formatCode="yyyy/m/d">
                  <c:v>44559</c:v>
                </c:pt>
                <c:pt idx="249" c:formatCode="yyyy/m/d">
                  <c:v>44560</c:v>
                </c:pt>
                <c:pt idx="250" c:formatCode="yyyy/m/d">
                  <c:v>44561</c:v>
                </c:pt>
                <c:pt idx="251" c:formatCode="yyyy/m/d">
                  <c:v>44564</c:v>
                </c:pt>
                <c:pt idx="252" c:formatCode="yyyy/m/d">
                  <c:v>44565</c:v>
                </c:pt>
                <c:pt idx="253" c:formatCode="yyyy/m/d">
                  <c:v>44566</c:v>
                </c:pt>
                <c:pt idx="254" c:formatCode="yyyy/m/d">
                  <c:v>44567</c:v>
                </c:pt>
                <c:pt idx="255" c:formatCode="yyyy/m/d">
                  <c:v>44568</c:v>
                </c:pt>
                <c:pt idx="256" c:formatCode="yyyy/m/d">
                  <c:v>44571</c:v>
                </c:pt>
                <c:pt idx="257" c:formatCode="yyyy/m/d">
                  <c:v>44572</c:v>
                </c:pt>
                <c:pt idx="258" c:formatCode="yyyy/m/d">
                  <c:v>44573</c:v>
                </c:pt>
                <c:pt idx="259" c:formatCode="yyyy/m/d">
                  <c:v>44574</c:v>
                </c:pt>
                <c:pt idx="260" c:formatCode="yyyy/m/d">
                  <c:v>44575</c:v>
                </c:pt>
                <c:pt idx="261" c:formatCode="yyyy/m/d">
                  <c:v>44578</c:v>
                </c:pt>
                <c:pt idx="262" c:formatCode="yyyy/m/d">
                  <c:v>44579</c:v>
                </c:pt>
                <c:pt idx="263" c:formatCode="yyyy/m/d">
                  <c:v>44580</c:v>
                </c:pt>
                <c:pt idx="264" c:formatCode="yyyy/m/d">
                  <c:v>44581</c:v>
                </c:pt>
                <c:pt idx="265" c:formatCode="yyyy/m/d">
                  <c:v>44582</c:v>
                </c:pt>
                <c:pt idx="266" c:formatCode="yyyy/m/d">
                  <c:v>44585</c:v>
                </c:pt>
                <c:pt idx="267" c:formatCode="yyyy/m/d">
                  <c:v>44586</c:v>
                </c:pt>
                <c:pt idx="268" c:formatCode="yyyy/m/d">
                  <c:v>44587</c:v>
                </c:pt>
                <c:pt idx="269" c:formatCode="yyyy/m/d">
                  <c:v>44588</c:v>
                </c:pt>
                <c:pt idx="270" c:formatCode="yyyy/m/d">
                  <c:v>44589</c:v>
                </c:pt>
                <c:pt idx="271" c:formatCode="yyyy/m/d">
                  <c:v>44599</c:v>
                </c:pt>
                <c:pt idx="272" c:formatCode="yyyy/m/d">
                  <c:v>44600</c:v>
                </c:pt>
                <c:pt idx="273" c:formatCode="yyyy/m/d">
                  <c:v>44601</c:v>
                </c:pt>
                <c:pt idx="274" c:formatCode="yyyy/m/d">
                  <c:v>44602</c:v>
                </c:pt>
                <c:pt idx="275" c:formatCode="yyyy/m/d">
                  <c:v>44603</c:v>
                </c:pt>
                <c:pt idx="276" c:formatCode="yyyy/m/d">
                  <c:v>44606</c:v>
                </c:pt>
                <c:pt idx="277" c:formatCode="yyyy/m/d">
                  <c:v>44607</c:v>
                </c:pt>
                <c:pt idx="278" c:formatCode="yyyy/m/d">
                  <c:v>44608</c:v>
                </c:pt>
                <c:pt idx="279" c:formatCode="yyyy/m/d">
                  <c:v>44609</c:v>
                </c:pt>
                <c:pt idx="280" c:formatCode="yyyy/m/d">
                  <c:v>44610</c:v>
                </c:pt>
                <c:pt idx="281" c:formatCode="yyyy/m/d">
                  <c:v>44613</c:v>
                </c:pt>
                <c:pt idx="282" c:formatCode="yyyy/m/d">
                  <c:v>44614</c:v>
                </c:pt>
                <c:pt idx="283" c:formatCode="yyyy/m/d">
                  <c:v>44615</c:v>
                </c:pt>
                <c:pt idx="284" c:formatCode="yyyy/m/d">
                  <c:v>44616</c:v>
                </c:pt>
                <c:pt idx="285" c:formatCode="yyyy/m/d">
                  <c:v>44617</c:v>
                </c:pt>
                <c:pt idx="286" c:formatCode="yyyy/m/d">
                  <c:v>44620</c:v>
                </c:pt>
                <c:pt idx="287" c:formatCode="yyyy/m/d">
                  <c:v>44621</c:v>
                </c:pt>
                <c:pt idx="288" c:formatCode="yyyy/m/d">
                  <c:v>44622</c:v>
                </c:pt>
                <c:pt idx="289" c:formatCode="yyyy/m/d">
                  <c:v>44623</c:v>
                </c:pt>
                <c:pt idx="290" c:formatCode="yyyy/m/d">
                  <c:v>44624</c:v>
                </c:pt>
                <c:pt idx="291" c:formatCode="yyyy/m/d">
                  <c:v>44627</c:v>
                </c:pt>
                <c:pt idx="292" c:formatCode="yyyy/m/d">
                  <c:v>44628</c:v>
                </c:pt>
                <c:pt idx="293" c:formatCode="yyyy/m/d">
                  <c:v>44629</c:v>
                </c:pt>
                <c:pt idx="294" c:formatCode="yyyy/m/d">
                  <c:v>44630</c:v>
                </c:pt>
                <c:pt idx="295" c:formatCode="yyyy/m/d">
                  <c:v>44631</c:v>
                </c:pt>
                <c:pt idx="296" c:formatCode="yyyy/m/d">
                  <c:v>44634</c:v>
                </c:pt>
                <c:pt idx="297" c:formatCode="yyyy/m/d">
                  <c:v>44635</c:v>
                </c:pt>
                <c:pt idx="298" c:formatCode="yyyy/m/d">
                  <c:v>44636</c:v>
                </c:pt>
                <c:pt idx="299" c:formatCode="yyyy/m/d">
                  <c:v>44637</c:v>
                </c:pt>
                <c:pt idx="300" c:formatCode="yyyy/m/d">
                  <c:v>44638</c:v>
                </c:pt>
                <c:pt idx="301" c:formatCode="yyyy/m/d">
                  <c:v>44641</c:v>
                </c:pt>
                <c:pt idx="302" c:formatCode="yyyy/m/d">
                  <c:v>44642</c:v>
                </c:pt>
                <c:pt idx="303" c:formatCode="yyyy/m/d">
                  <c:v>44643</c:v>
                </c:pt>
                <c:pt idx="304" c:formatCode="yyyy/m/d">
                  <c:v>44644</c:v>
                </c:pt>
                <c:pt idx="305" c:formatCode="yyyy/m/d">
                  <c:v>44645</c:v>
                </c:pt>
                <c:pt idx="306" c:formatCode="yyyy/m/d">
                  <c:v>44648</c:v>
                </c:pt>
                <c:pt idx="307" c:formatCode="yyyy/m/d">
                  <c:v>44649</c:v>
                </c:pt>
                <c:pt idx="308" c:formatCode="yyyy/m/d">
                  <c:v>44650</c:v>
                </c:pt>
                <c:pt idx="309" c:formatCode="yyyy/m/d">
                  <c:v>44651</c:v>
                </c:pt>
                <c:pt idx="310" c:formatCode="yyyy/m/d">
                  <c:v>44652</c:v>
                </c:pt>
                <c:pt idx="311" c:formatCode="yyyy/m/d">
                  <c:v>44657</c:v>
                </c:pt>
                <c:pt idx="312" c:formatCode="yyyy/m/d">
                  <c:v>44658</c:v>
                </c:pt>
                <c:pt idx="313" c:formatCode="yyyy/m/d">
                  <c:v>44659</c:v>
                </c:pt>
                <c:pt idx="314" c:formatCode="yyyy/m/d">
                  <c:v>44662</c:v>
                </c:pt>
                <c:pt idx="315" c:formatCode="yyyy/m/d">
                  <c:v>44663</c:v>
                </c:pt>
                <c:pt idx="316" c:formatCode="yyyy/m/d">
                  <c:v>44664</c:v>
                </c:pt>
                <c:pt idx="317" c:formatCode="yyyy/m/d">
                  <c:v>44665</c:v>
                </c:pt>
                <c:pt idx="318" c:formatCode="yyyy/m/d">
                  <c:v>44666</c:v>
                </c:pt>
                <c:pt idx="319" c:formatCode="yyyy/m/d">
                  <c:v>44669</c:v>
                </c:pt>
                <c:pt idx="320" c:formatCode="yyyy/m/d">
                  <c:v>44670</c:v>
                </c:pt>
                <c:pt idx="321" c:formatCode="yyyy/m/d">
                  <c:v>44671</c:v>
                </c:pt>
                <c:pt idx="322" c:formatCode="yyyy/m/d">
                  <c:v>44672</c:v>
                </c:pt>
                <c:pt idx="323" c:formatCode="yyyy/m/d">
                  <c:v>44673</c:v>
                </c:pt>
                <c:pt idx="324" c:formatCode="yyyy/m/d">
                  <c:v>44676</c:v>
                </c:pt>
                <c:pt idx="325" c:formatCode="yyyy/m/d">
                  <c:v>44677</c:v>
                </c:pt>
                <c:pt idx="326" c:formatCode="yyyy/m/d">
                  <c:v>44678</c:v>
                </c:pt>
                <c:pt idx="327" c:formatCode="yyyy/m/d">
                  <c:v>44679</c:v>
                </c:pt>
                <c:pt idx="328" c:formatCode="yyyy/m/d">
                  <c:v>44680</c:v>
                </c:pt>
                <c:pt idx="329" c:formatCode="yyyy/m/d">
                  <c:v>44684</c:v>
                </c:pt>
                <c:pt idx="330" c:formatCode="yyyy/m/d">
                  <c:v>44685</c:v>
                </c:pt>
                <c:pt idx="331" c:formatCode="yyyy/m/d">
                  <c:v>44686</c:v>
                </c:pt>
                <c:pt idx="332" c:formatCode="yyyy/m/d">
                  <c:v>44687</c:v>
                </c:pt>
                <c:pt idx="333" c:formatCode="yyyy/m/d">
                  <c:v>44690</c:v>
                </c:pt>
                <c:pt idx="334" c:formatCode="yyyy/m/d">
                  <c:v>44691</c:v>
                </c:pt>
                <c:pt idx="335" c:formatCode="yyyy/m/d">
                  <c:v>44692</c:v>
                </c:pt>
                <c:pt idx="336" c:formatCode="yyyy/m/d">
                  <c:v>44693</c:v>
                </c:pt>
                <c:pt idx="337" c:formatCode="yyyy/m/d">
                  <c:v>44694</c:v>
                </c:pt>
                <c:pt idx="338" c:formatCode="yyyy/m/d">
                  <c:v>44697</c:v>
                </c:pt>
                <c:pt idx="339" c:formatCode="yyyy/m/d">
                  <c:v>44698</c:v>
                </c:pt>
                <c:pt idx="340" c:formatCode="yyyy/m/d">
                  <c:v>44699</c:v>
                </c:pt>
                <c:pt idx="341" c:formatCode="yyyy/m/d">
                  <c:v>44700</c:v>
                </c:pt>
                <c:pt idx="342" c:formatCode="yyyy/m/d">
                  <c:v>44701</c:v>
                </c:pt>
                <c:pt idx="343" c:formatCode="yyyy/m/d">
                  <c:v>44704</c:v>
                </c:pt>
                <c:pt idx="344" c:formatCode="yyyy/m/d">
                  <c:v>44705</c:v>
                </c:pt>
                <c:pt idx="345" c:formatCode="yyyy/m/d">
                  <c:v>44706</c:v>
                </c:pt>
                <c:pt idx="346" c:formatCode="yyyy/m/d">
                  <c:v>44707</c:v>
                </c:pt>
                <c:pt idx="347" c:formatCode="yyyy/m/d">
                  <c:v>44708</c:v>
                </c:pt>
                <c:pt idx="348" c:formatCode="yyyy/m/d">
                  <c:v>44711</c:v>
                </c:pt>
                <c:pt idx="349" c:formatCode="yyyy/m/d">
                  <c:v>44712</c:v>
                </c:pt>
                <c:pt idx="350" c:formatCode="yyyy/m/d">
                  <c:v>44713</c:v>
                </c:pt>
                <c:pt idx="351" c:formatCode="yyyy/m/d">
                  <c:v>44714</c:v>
                </c:pt>
                <c:pt idx="352" c:formatCode="yyyy/m/d">
                  <c:v>44718</c:v>
                </c:pt>
                <c:pt idx="353" c:formatCode="yyyy/m/d">
                  <c:v>44719</c:v>
                </c:pt>
                <c:pt idx="354" c:formatCode="yyyy/m/d">
                  <c:v>44720</c:v>
                </c:pt>
                <c:pt idx="355" c:formatCode="yyyy/m/d">
                  <c:v>44721</c:v>
                </c:pt>
                <c:pt idx="356" c:formatCode="yyyy/m/d">
                  <c:v>44722</c:v>
                </c:pt>
                <c:pt idx="357" c:formatCode="yyyy/m/d">
                  <c:v>44725</c:v>
                </c:pt>
                <c:pt idx="358" c:formatCode="yyyy/m/d">
                  <c:v>44726</c:v>
                </c:pt>
                <c:pt idx="359" c:formatCode="yyyy/m/d">
                  <c:v>44727</c:v>
                </c:pt>
                <c:pt idx="360" c:formatCode="yyyy/m/d">
                  <c:v>44728</c:v>
                </c:pt>
                <c:pt idx="361" c:formatCode="yyyy/m/d">
                  <c:v>44729</c:v>
                </c:pt>
                <c:pt idx="362" c:formatCode="yyyy/m/d">
                  <c:v>44732</c:v>
                </c:pt>
                <c:pt idx="363" c:formatCode="yyyy/m/d">
                  <c:v>44733</c:v>
                </c:pt>
                <c:pt idx="364" c:formatCode="yyyy/m/d">
                  <c:v>44734</c:v>
                </c:pt>
                <c:pt idx="365" c:formatCode="yyyy/m/d">
                  <c:v>44735</c:v>
                </c:pt>
                <c:pt idx="366" c:formatCode="yyyy/m/d">
                  <c:v>44736</c:v>
                </c:pt>
                <c:pt idx="367" c:formatCode="yyyy/m/d">
                  <c:v>44739</c:v>
                </c:pt>
                <c:pt idx="368" c:formatCode="yyyy/m/d">
                  <c:v>44740</c:v>
                </c:pt>
                <c:pt idx="369" c:formatCode="yyyy/m/d">
                  <c:v>44741</c:v>
                </c:pt>
                <c:pt idx="370" c:formatCode="yyyy/m/d">
                  <c:v>44742</c:v>
                </c:pt>
                <c:pt idx="371" c:formatCode="yyyy/m/d">
                  <c:v>44743</c:v>
                </c:pt>
                <c:pt idx="372" c:formatCode="yyyy/m/d">
                  <c:v>44746</c:v>
                </c:pt>
                <c:pt idx="373" c:formatCode="yyyy/m/d">
                  <c:v>44747</c:v>
                </c:pt>
                <c:pt idx="374" c:formatCode="yyyy/m/d">
                  <c:v>44748</c:v>
                </c:pt>
                <c:pt idx="375" c:formatCode="yyyy/m/d">
                  <c:v>44749</c:v>
                </c:pt>
                <c:pt idx="376" c:formatCode="yyyy/m/d">
                  <c:v>44750</c:v>
                </c:pt>
                <c:pt idx="377" c:formatCode="yyyy/m/d">
                  <c:v>44753</c:v>
                </c:pt>
                <c:pt idx="378" c:formatCode="yyyy/m/d">
                  <c:v>44754</c:v>
                </c:pt>
                <c:pt idx="379" c:formatCode="yyyy/m/d">
                  <c:v>44755</c:v>
                </c:pt>
                <c:pt idx="380" c:formatCode="yyyy/m/d">
                  <c:v>44756</c:v>
                </c:pt>
                <c:pt idx="381" c:formatCode="yyyy/m/d">
                  <c:v>44757</c:v>
                </c:pt>
                <c:pt idx="382" c:formatCode="yyyy/m/d">
                  <c:v>44760</c:v>
                </c:pt>
                <c:pt idx="383" c:formatCode="yyyy/m/d">
                  <c:v>44761</c:v>
                </c:pt>
                <c:pt idx="384" c:formatCode="yyyy/m/d">
                  <c:v>44762</c:v>
                </c:pt>
                <c:pt idx="385" c:formatCode="yyyy/m/d">
                  <c:v>44763</c:v>
                </c:pt>
                <c:pt idx="386" c:formatCode="yyyy/m/d">
                  <c:v>44764</c:v>
                </c:pt>
                <c:pt idx="387" c:formatCode="yyyy/m/d">
                  <c:v>44767</c:v>
                </c:pt>
                <c:pt idx="388" c:formatCode="yyyy/m/d">
                  <c:v>44768</c:v>
                </c:pt>
                <c:pt idx="389" c:formatCode="yyyy/m/d">
                  <c:v>44769</c:v>
                </c:pt>
                <c:pt idx="390" c:formatCode="yyyy/m/d">
                  <c:v>44770</c:v>
                </c:pt>
                <c:pt idx="391" c:formatCode="yyyy/m/d">
                  <c:v>44771</c:v>
                </c:pt>
                <c:pt idx="392" c:formatCode="yyyy/m/d">
                  <c:v>44774</c:v>
                </c:pt>
                <c:pt idx="393" c:formatCode="yyyy/m/d">
                  <c:v>44775</c:v>
                </c:pt>
                <c:pt idx="394" c:formatCode="yyyy/m/d">
                  <c:v>44776</c:v>
                </c:pt>
                <c:pt idx="395" c:formatCode="yyyy/m/d">
                  <c:v>44777</c:v>
                </c:pt>
                <c:pt idx="396" c:formatCode="yyyy/m/d">
                  <c:v>44778</c:v>
                </c:pt>
                <c:pt idx="397" c:formatCode="yyyy/m/d">
                  <c:v>44781</c:v>
                </c:pt>
                <c:pt idx="398" c:formatCode="yyyy/m/d">
                  <c:v>44782</c:v>
                </c:pt>
                <c:pt idx="399" c:formatCode="yyyy/m/d">
                  <c:v>44783</c:v>
                </c:pt>
                <c:pt idx="400" c:formatCode="yyyy/m/d">
                  <c:v>44784</c:v>
                </c:pt>
                <c:pt idx="401" c:formatCode="yyyy/m/d">
                  <c:v>44785</c:v>
                </c:pt>
                <c:pt idx="402" c:formatCode="yyyy/m/d">
                  <c:v>44788</c:v>
                </c:pt>
                <c:pt idx="403" c:formatCode="yyyy/m/d">
                  <c:v>44789</c:v>
                </c:pt>
                <c:pt idx="404" c:formatCode="yyyy/m/d">
                  <c:v>44790</c:v>
                </c:pt>
                <c:pt idx="405" c:formatCode="yyyy/m/d">
                  <c:v>44791</c:v>
                </c:pt>
                <c:pt idx="406" c:formatCode="yyyy/m/d">
                  <c:v>44792</c:v>
                </c:pt>
                <c:pt idx="407" c:formatCode="yyyy/m/d">
                  <c:v>44795</c:v>
                </c:pt>
                <c:pt idx="408" c:formatCode="yyyy/m/d">
                  <c:v>44796</c:v>
                </c:pt>
                <c:pt idx="409" c:formatCode="yyyy/m/d">
                  <c:v>44797</c:v>
                </c:pt>
                <c:pt idx="410" c:formatCode="yyyy/m/d">
                  <c:v>44798</c:v>
                </c:pt>
                <c:pt idx="411" c:formatCode="yyyy/m/d">
                  <c:v>44799</c:v>
                </c:pt>
                <c:pt idx="412" c:formatCode="yyyy/m/d">
                  <c:v>44802</c:v>
                </c:pt>
                <c:pt idx="413" c:formatCode="yyyy/m/d">
                  <c:v>44803</c:v>
                </c:pt>
                <c:pt idx="414" c:formatCode="yyyy/m/d">
                  <c:v>44804</c:v>
                </c:pt>
                <c:pt idx="415" c:formatCode="yyyy/m/d">
                  <c:v>44805</c:v>
                </c:pt>
                <c:pt idx="416" c:formatCode="yyyy/m/d">
                  <c:v>44806</c:v>
                </c:pt>
                <c:pt idx="417" c:formatCode="yyyy/m/d">
                  <c:v>44809</c:v>
                </c:pt>
                <c:pt idx="418" c:formatCode="yyyy/m/d">
                  <c:v>44810</c:v>
                </c:pt>
                <c:pt idx="419" c:formatCode="yyyy/m/d">
                  <c:v>44811</c:v>
                </c:pt>
                <c:pt idx="420" c:formatCode="yyyy/m/d">
                  <c:v>44812</c:v>
                </c:pt>
                <c:pt idx="421" c:formatCode="yyyy/m/d">
                  <c:v>44813</c:v>
                </c:pt>
                <c:pt idx="422" c:formatCode="yyyy/m/d">
                  <c:v>44816</c:v>
                </c:pt>
                <c:pt idx="423" c:formatCode="yyyy/m/d">
                  <c:v>44817</c:v>
                </c:pt>
                <c:pt idx="424" c:formatCode="yyyy/m/d">
                  <c:v>44818</c:v>
                </c:pt>
                <c:pt idx="425" c:formatCode="yyyy/m/d">
                  <c:v>44819</c:v>
                </c:pt>
                <c:pt idx="426" c:formatCode="yyyy/m/d">
                  <c:v>44820</c:v>
                </c:pt>
                <c:pt idx="427" c:formatCode="yyyy/m/d">
                  <c:v>44823</c:v>
                </c:pt>
                <c:pt idx="428" c:formatCode="yyyy/m/d">
                  <c:v>44824</c:v>
                </c:pt>
                <c:pt idx="429" c:formatCode="yyyy/m/d">
                  <c:v>44825</c:v>
                </c:pt>
                <c:pt idx="430" c:formatCode="yyyy/m/d">
                  <c:v>44826</c:v>
                </c:pt>
                <c:pt idx="431" c:formatCode="yyyy/m/d">
                  <c:v>44827</c:v>
                </c:pt>
                <c:pt idx="432" c:formatCode="yyyy/m/d">
                  <c:v>44830</c:v>
                </c:pt>
                <c:pt idx="433" c:formatCode="yyyy/m/d">
                  <c:v>44831</c:v>
                </c:pt>
                <c:pt idx="434" c:formatCode="yyyy/m/d">
                  <c:v>44832</c:v>
                </c:pt>
                <c:pt idx="435" c:formatCode="yyyy/m/d">
                  <c:v>44833</c:v>
                </c:pt>
                <c:pt idx="436" c:formatCode="yyyy/m/d">
                  <c:v>44834</c:v>
                </c:pt>
                <c:pt idx="437" c:formatCode="yyyy/m/d">
                  <c:v>44837</c:v>
                </c:pt>
                <c:pt idx="438" c:formatCode="yyyy/m/d">
                  <c:v>44838</c:v>
                </c:pt>
                <c:pt idx="439" c:formatCode="yyyy/m/d">
                  <c:v>44839</c:v>
                </c:pt>
                <c:pt idx="440" c:formatCode="yyyy/m/d">
                  <c:v>44840</c:v>
                </c:pt>
                <c:pt idx="441" c:formatCode="yyyy/m/d">
                  <c:v>44841</c:v>
                </c:pt>
                <c:pt idx="442" c:formatCode="yyyy/m/d">
                  <c:v>44844</c:v>
                </c:pt>
                <c:pt idx="443" c:formatCode="yyyy/m/d">
                  <c:v>44845</c:v>
                </c:pt>
                <c:pt idx="444" c:formatCode="yyyy/m/d">
                  <c:v>44846</c:v>
                </c:pt>
                <c:pt idx="445" c:formatCode="yyyy/m/d">
                  <c:v>44847</c:v>
                </c:pt>
                <c:pt idx="446" c:formatCode="yyyy/m/d">
                  <c:v>44848</c:v>
                </c:pt>
                <c:pt idx="447" c:formatCode="yyyy/m/d">
                  <c:v>44851</c:v>
                </c:pt>
                <c:pt idx="448" c:formatCode="yyyy/m/d">
                  <c:v>44852</c:v>
                </c:pt>
                <c:pt idx="449" c:formatCode="yyyy/m/d">
                  <c:v>44853</c:v>
                </c:pt>
                <c:pt idx="450" c:formatCode="yyyy/m/d">
                  <c:v>44854</c:v>
                </c:pt>
                <c:pt idx="451" c:formatCode="yyyy/m/d">
                  <c:v>44855</c:v>
                </c:pt>
                <c:pt idx="452" c:formatCode="yyyy/m/d">
                  <c:v>44858</c:v>
                </c:pt>
                <c:pt idx="453" c:formatCode="yyyy/m/d">
                  <c:v>44859</c:v>
                </c:pt>
                <c:pt idx="454" c:formatCode="yyyy/m/d">
                  <c:v>44860</c:v>
                </c:pt>
                <c:pt idx="455" c:formatCode="yyyy/m/d">
                  <c:v>44861</c:v>
                </c:pt>
                <c:pt idx="456" c:formatCode="yyyy/m/d">
                  <c:v>44862</c:v>
                </c:pt>
                <c:pt idx="457" c:formatCode="yyyy/m/d">
                  <c:v>44865</c:v>
                </c:pt>
                <c:pt idx="458" c:formatCode="yyyy/m/d">
                  <c:v>44866</c:v>
                </c:pt>
                <c:pt idx="459" c:formatCode="yyyy/m/d">
                  <c:v>44867</c:v>
                </c:pt>
                <c:pt idx="460" c:formatCode="yyyy/m/d">
                  <c:v>44868</c:v>
                </c:pt>
                <c:pt idx="461" c:formatCode="yyyy/m/d">
                  <c:v>44869</c:v>
                </c:pt>
                <c:pt idx="462" c:formatCode="yyyy/m/d">
                  <c:v>44872</c:v>
                </c:pt>
                <c:pt idx="463" c:formatCode="yyyy/m/d">
                  <c:v>44873</c:v>
                </c:pt>
                <c:pt idx="464" c:formatCode="yyyy/m/d">
                  <c:v>44874</c:v>
                </c:pt>
                <c:pt idx="465" c:formatCode="yyyy/m/d">
                  <c:v>44875</c:v>
                </c:pt>
                <c:pt idx="466" c:formatCode="yyyy/m/d">
                  <c:v>44876</c:v>
                </c:pt>
                <c:pt idx="467" c:formatCode="yyyy/m/d">
                  <c:v>44879</c:v>
                </c:pt>
                <c:pt idx="468" c:formatCode="yyyy/m/d">
                  <c:v>44880</c:v>
                </c:pt>
                <c:pt idx="469" c:formatCode="yyyy/m/d">
                  <c:v>44881</c:v>
                </c:pt>
                <c:pt idx="470" c:formatCode="yyyy/m/d">
                  <c:v>44882</c:v>
                </c:pt>
                <c:pt idx="471" c:formatCode="yyyy/m/d">
                  <c:v>44883</c:v>
                </c:pt>
                <c:pt idx="472" c:formatCode="yyyy/m/d">
                  <c:v>44886</c:v>
                </c:pt>
                <c:pt idx="473" c:formatCode="yyyy/m/d">
                  <c:v>44887</c:v>
                </c:pt>
                <c:pt idx="474" c:formatCode="yyyy/m/d">
                  <c:v>44888</c:v>
                </c:pt>
                <c:pt idx="475" c:formatCode="yyyy/m/d">
                  <c:v>44889</c:v>
                </c:pt>
                <c:pt idx="476" c:formatCode="yyyy/m/d">
                  <c:v>44890</c:v>
                </c:pt>
                <c:pt idx="477" c:formatCode="yyyy/m/d">
                  <c:v>44893</c:v>
                </c:pt>
                <c:pt idx="478" c:formatCode="yyyy/m/d">
                  <c:v>44894</c:v>
                </c:pt>
                <c:pt idx="479" c:formatCode="yyyy/m/d">
                  <c:v>44895</c:v>
                </c:pt>
                <c:pt idx="480" c:formatCode="yyyy/m/d">
                  <c:v>44896</c:v>
                </c:pt>
                <c:pt idx="481" c:formatCode="yyyy/m/d">
                  <c:v>44897</c:v>
                </c:pt>
                <c:pt idx="482" c:formatCode="yyyy/m/d">
                  <c:v>44900</c:v>
                </c:pt>
                <c:pt idx="483" c:formatCode="yyyy/m/d">
                  <c:v>44901</c:v>
                </c:pt>
                <c:pt idx="484" c:formatCode="yyyy/m/d">
                  <c:v>44902</c:v>
                </c:pt>
                <c:pt idx="485" c:formatCode="yyyy/m/d">
                  <c:v>44903</c:v>
                </c:pt>
                <c:pt idx="486" c:formatCode="yyyy/m/d">
                  <c:v>44904</c:v>
                </c:pt>
                <c:pt idx="487" c:formatCode="yyyy/m/d">
                  <c:v>44907</c:v>
                </c:pt>
                <c:pt idx="488" c:formatCode="yyyy/m/d">
                  <c:v>44908</c:v>
                </c:pt>
                <c:pt idx="489" c:formatCode="yyyy/m/d">
                  <c:v>44909</c:v>
                </c:pt>
                <c:pt idx="490" c:formatCode="yyyy/m/d">
                  <c:v>44910</c:v>
                </c:pt>
                <c:pt idx="491" c:formatCode="yyyy/m/d">
                  <c:v>44911</c:v>
                </c:pt>
                <c:pt idx="492" c:formatCode="yyyy/m/d">
                  <c:v>44914</c:v>
                </c:pt>
                <c:pt idx="493" c:formatCode="yyyy/m/d">
                  <c:v>44915</c:v>
                </c:pt>
                <c:pt idx="494" c:formatCode="yyyy/m/d">
                  <c:v>44916</c:v>
                </c:pt>
                <c:pt idx="495" c:formatCode="yyyy/m/d">
                  <c:v>44917</c:v>
                </c:pt>
                <c:pt idx="496" c:formatCode="yyyy/m/d">
                  <c:v>44918</c:v>
                </c:pt>
                <c:pt idx="497" c:formatCode="yyyy/m/d">
                  <c:v>44921</c:v>
                </c:pt>
                <c:pt idx="498" c:formatCode="yyyy/m/d">
                  <c:v>44922</c:v>
                </c:pt>
                <c:pt idx="499" c:formatCode="yyyy/m/d">
                  <c:v>44923</c:v>
                </c:pt>
                <c:pt idx="500" c:formatCode="yyyy/m/d">
                  <c:v>44924</c:v>
                </c:pt>
                <c:pt idx="501" c:formatCode="yyyy/m/d">
                  <c:v>44925</c:v>
                </c:pt>
                <c:pt idx="502" c:formatCode="yyyy/m/d">
                  <c:v>44928</c:v>
                </c:pt>
                <c:pt idx="503" c:formatCode="yyyy/m/d">
                  <c:v>44929</c:v>
                </c:pt>
                <c:pt idx="504" c:formatCode="yyyy/m/d">
                  <c:v>44930</c:v>
                </c:pt>
                <c:pt idx="505" c:formatCode="yyyy/m/d">
                  <c:v>44931</c:v>
                </c:pt>
                <c:pt idx="506" c:formatCode="yyyy/m/d">
                  <c:v>44932</c:v>
                </c:pt>
                <c:pt idx="507" c:formatCode="yyyy/m/d">
                  <c:v>44935</c:v>
                </c:pt>
                <c:pt idx="508" c:formatCode="yyyy/m/d">
                  <c:v>44936</c:v>
                </c:pt>
                <c:pt idx="509" c:formatCode="yyyy/m/d">
                  <c:v>44937</c:v>
                </c:pt>
                <c:pt idx="510" c:formatCode="yyyy/m/d">
                  <c:v>44938</c:v>
                </c:pt>
                <c:pt idx="511" c:formatCode="yyyy/m/d">
                  <c:v>44939</c:v>
                </c:pt>
                <c:pt idx="512" c:formatCode="yyyy/m/d">
                  <c:v>44942</c:v>
                </c:pt>
                <c:pt idx="513" c:formatCode="yyyy/m/d">
                  <c:v>44943</c:v>
                </c:pt>
                <c:pt idx="514" c:formatCode="yyyy/m/d">
                  <c:v>44944</c:v>
                </c:pt>
                <c:pt idx="515" c:formatCode="yyyy/m/d">
                  <c:v>44945</c:v>
                </c:pt>
                <c:pt idx="516" c:formatCode="yyyy/m/d">
                  <c:v>44946</c:v>
                </c:pt>
                <c:pt idx="517" c:formatCode="yyyy/m/d">
                  <c:v>44956</c:v>
                </c:pt>
                <c:pt idx="518" c:formatCode="yyyy/m/d">
                  <c:v>44957</c:v>
                </c:pt>
                <c:pt idx="519" c:formatCode="yyyy/m/d">
                  <c:v>44958</c:v>
                </c:pt>
                <c:pt idx="520" c:formatCode="yyyy/m/d">
                  <c:v>44959</c:v>
                </c:pt>
                <c:pt idx="521" c:formatCode="yyyy/m/d">
                  <c:v>44960</c:v>
                </c:pt>
                <c:pt idx="522" c:formatCode="yyyy/m/d">
                  <c:v>44963</c:v>
                </c:pt>
                <c:pt idx="523" c:formatCode="yyyy/m/d">
                  <c:v>44964</c:v>
                </c:pt>
                <c:pt idx="524" c:formatCode="yyyy/m/d">
                  <c:v>44965</c:v>
                </c:pt>
                <c:pt idx="525" c:formatCode="yyyy/m/d">
                  <c:v>44966</c:v>
                </c:pt>
                <c:pt idx="526" c:formatCode="yyyy/m/d">
                  <c:v>44967</c:v>
                </c:pt>
                <c:pt idx="527" c:formatCode="yyyy/m/d">
                  <c:v>44970</c:v>
                </c:pt>
                <c:pt idx="528" c:formatCode="yyyy/m/d">
                  <c:v>44971</c:v>
                </c:pt>
                <c:pt idx="529" c:formatCode="yyyy/m/d">
                  <c:v>44972</c:v>
                </c:pt>
                <c:pt idx="530" c:formatCode="yyyy/m/d">
                  <c:v>44973</c:v>
                </c:pt>
                <c:pt idx="531" c:formatCode="yyyy/m/d">
                  <c:v>44974</c:v>
                </c:pt>
                <c:pt idx="532" c:formatCode="yyyy/m/d">
                  <c:v>44977</c:v>
                </c:pt>
                <c:pt idx="533" c:formatCode="yyyy/m/d">
                  <c:v>44978</c:v>
                </c:pt>
                <c:pt idx="534" c:formatCode="yyyy/m/d">
                  <c:v>44979</c:v>
                </c:pt>
                <c:pt idx="535" c:formatCode="yyyy/m/d">
                  <c:v>44980</c:v>
                </c:pt>
                <c:pt idx="536" c:formatCode="yyyy/m/d">
                  <c:v>44981</c:v>
                </c:pt>
                <c:pt idx="537" c:formatCode="yyyy/m/d">
                  <c:v>44984</c:v>
                </c:pt>
                <c:pt idx="538" c:formatCode="yyyy/m/d">
                  <c:v>44985</c:v>
                </c:pt>
                <c:pt idx="539" c:formatCode="yyyy/m/d">
                  <c:v>44986</c:v>
                </c:pt>
                <c:pt idx="540" c:formatCode="yyyy/m/d">
                  <c:v>44987</c:v>
                </c:pt>
                <c:pt idx="541" c:formatCode="yyyy/m/d">
                  <c:v>44988</c:v>
                </c:pt>
                <c:pt idx="542" c:formatCode="yyyy/m/d">
                  <c:v>44991</c:v>
                </c:pt>
                <c:pt idx="543" c:formatCode="yyyy/m/d">
                  <c:v>44992</c:v>
                </c:pt>
                <c:pt idx="544" c:formatCode="yyyy/m/d">
                  <c:v>44993</c:v>
                </c:pt>
                <c:pt idx="545" c:formatCode="yyyy/m/d">
                  <c:v>44994</c:v>
                </c:pt>
                <c:pt idx="546" c:formatCode="yyyy/m/d">
                  <c:v>44995</c:v>
                </c:pt>
                <c:pt idx="547" c:formatCode="yyyy/m/d">
                  <c:v>44998</c:v>
                </c:pt>
                <c:pt idx="548" c:formatCode="yyyy/m/d">
                  <c:v>44999</c:v>
                </c:pt>
                <c:pt idx="549" c:formatCode="yyyy/m/d">
                  <c:v>45000</c:v>
                </c:pt>
                <c:pt idx="550" c:formatCode="yyyy/m/d">
                  <c:v>45001</c:v>
                </c:pt>
                <c:pt idx="551" c:formatCode="yyyy/m/d">
                  <c:v>45002</c:v>
                </c:pt>
                <c:pt idx="552" c:formatCode="yyyy/m/d">
                  <c:v>45005</c:v>
                </c:pt>
                <c:pt idx="553" c:formatCode="yyyy/m/d">
                  <c:v>45006</c:v>
                </c:pt>
                <c:pt idx="554" c:formatCode="yyyy/m/d">
                  <c:v>45007</c:v>
                </c:pt>
                <c:pt idx="555" c:formatCode="yyyy/m/d">
                  <c:v>45008</c:v>
                </c:pt>
                <c:pt idx="556" c:formatCode="yyyy/m/d">
                  <c:v>45009</c:v>
                </c:pt>
                <c:pt idx="557" c:formatCode="yyyy/m/d">
                  <c:v>45012</c:v>
                </c:pt>
                <c:pt idx="558" c:formatCode="yyyy/m/d">
                  <c:v>45013</c:v>
                </c:pt>
                <c:pt idx="559" c:formatCode="yyyy/m/d">
                  <c:v>45014</c:v>
                </c:pt>
                <c:pt idx="560" c:formatCode="yyyy/m/d">
                  <c:v>45015</c:v>
                </c:pt>
                <c:pt idx="561" c:formatCode="yyyy/m/d">
                  <c:v>45016</c:v>
                </c:pt>
                <c:pt idx="562" c:formatCode="yyyy/m/d">
                  <c:v>45019</c:v>
                </c:pt>
                <c:pt idx="563" c:formatCode="yyyy/m/d">
                  <c:v>45020</c:v>
                </c:pt>
                <c:pt idx="564" c:formatCode="yyyy/m/d">
                  <c:v>45022</c:v>
                </c:pt>
                <c:pt idx="565" c:formatCode="yyyy/m/d">
                  <c:v>45023</c:v>
                </c:pt>
                <c:pt idx="566" c:formatCode="yyyy/m/d">
                  <c:v>45026</c:v>
                </c:pt>
                <c:pt idx="567" c:formatCode="yyyy/m/d">
                  <c:v>45027</c:v>
                </c:pt>
                <c:pt idx="568" c:formatCode="yyyy/m/d">
                  <c:v>45028</c:v>
                </c:pt>
                <c:pt idx="569" c:formatCode="yyyy/m/d">
                  <c:v>45029</c:v>
                </c:pt>
                <c:pt idx="570" c:formatCode="yyyy/m/d">
                  <c:v>45030</c:v>
                </c:pt>
                <c:pt idx="571" c:formatCode="yyyy/m/d">
                  <c:v>45033</c:v>
                </c:pt>
                <c:pt idx="572" c:formatCode="yyyy/m/d">
                  <c:v>45034</c:v>
                </c:pt>
                <c:pt idx="573" c:formatCode="yyyy/m/d">
                  <c:v>45035</c:v>
                </c:pt>
                <c:pt idx="574" c:formatCode="yyyy/m/d">
                  <c:v>45036</c:v>
                </c:pt>
                <c:pt idx="575" c:formatCode="yyyy/m/d">
                  <c:v>45037</c:v>
                </c:pt>
                <c:pt idx="576" c:formatCode="yyyy/m/d">
                  <c:v>45040</c:v>
                </c:pt>
                <c:pt idx="577" c:formatCode="yyyy/m/d">
                  <c:v>45041</c:v>
                </c:pt>
                <c:pt idx="578" c:formatCode="yyyy/m/d">
                  <c:v>45042</c:v>
                </c:pt>
                <c:pt idx="579" c:formatCode="yyyy/m/d">
                  <c:v>45043</c:v>
                </c:pt>
                <c:pt idx="580" c:formatCode="yyyy/m/d">
                  <c:v>45044</c:v>
                </c:pt>
                <c:pt idx="581" c:formatCode="yyyy/m/d">
                  <c:v>45047</c:v>
                </c:pt>
                <c:pt idx="582" c:formatCode="yyyy/m/d">
                  <c:v>45049</c:v>
                </c:pt>
                <c:pt idx="583" c:formatCode="yyyy/m/d">
                  <c:v>45050</c:v>
                </c:pt>
                <c:pt idx="584" c:formatCode="yyyy/m/d">
                  <c:v>45051</c:v>
                </c:pt>
                <c:pt idx="585" c:formatCode="yyyy/m/d">
                  <c:v>45054</c:v>
                </c:pt>
                <c:pt idx="586" c:formatCode="yyyy/m/d">
                  <c:v>45055</c:v>
                </c:pt>
                <c:pt idx="587" c:formatCode="yyyy/m/d">
                  <c:v>45056</c:v>
                </c:pt>
                <c:pt idx="588" c:formatCode="yyyy/m/d">
                  <c:v>45057</c:v>
                </c:pt>
                <c:pt idx="589" c:formatCode="yyyy/m/d">
                  <c:v>45058</c:v>
                </c:pt>
                <c:pt idx="590" c:formatCode="yyyy/m/d">
                  <c:v>45061</c:v>
                </c:pt>
                <c:pt idx="591" c:formatCode="yyyy/m/d">
                  <c:v>45062</c:v>
                </c:pt>
                <c:pt idx="592" c:formatCode="yyyy/m/d">
                  <c:v>45063</c:v>
                </c:pt>
                <c:pt idx="593" c:formatCode="yyyy/m/d">
                  <c:v>45064</c:v>
                </c:pt>
                <c:pt idx="594" c:formatCode="yyyy/m/d">
                  <c:v>45065</c:v>
                </c:pt>
                <c:pt idx="595" c:formatCode="yyyy/m/d">
                  <c:v>45068</c:v>
                </c:pt>
                <c:pt idx="596" c:formatCode="yyyy/m/d">
                  <c:v>45069</c:v>
                </c:pt>
                <c:pt idx="597" c:formatCode="yyyy/m/d">
                  <c:v>45070</c:v>
                </c:pt>
                <c:pt idx="598" c:formatCode="yyyy/m/d">
                  <c:v>45071</c:v>
                </c:pt>
                <c:pt idx="599" c:formatCode="yyyy/m/d">
                  <c:v>45072</c:v>
                </c:pt>
                <c:pt idx="600" c:formatCode="yyyy/m/d">
                  <c:v>45075</c:v>
                </c:pt>
                <c:pt idx="601" c:formatCode="yyyy/m/d">
                  <c:v>45076</c:v>
                </c:pt>
                <c:pt idx="602" c:formatCode="yyyy/m/d">
                  <c:v>45077</c:v>
                </c:pt>
                <c:pt idx="603" c:formatCode="yyyy/m/d">
                  <c:v>45078</c:v>
                </c:pt>
                <c:pt idx="604" c:formatCode="yyyy/m/d">
                  <c:v>45079</c:v>
                </c:pt>
                <c:pt idx="605" c:formatCode="yyyy/m/d">
                  <c:v>45082</c:v>
                </c:pt>
                <c:pt idx="606" c:formatCode="yyyy/m/d">
                  <c:v>45083</c:v>
                </c:pt>
                <c:pt idx="607" c:formatCode="yyyy/m/d">
                  <c:v>45084</c:v>
                </c:pt>
                <c:pt idx="608" c:formatCode="yyyy/m/d">
                  <c:v>45085</c:v>
                </c:pt>
                <c:pt idx="609" c:formatCode="yyyy/m/d">
                  <c:v>45086</c:v>
                </c:pt>
                <c:pt idx="610" c:formatCode="yyyy/m/d">
                  <c:v>45089</c:v>
                </c:pt>
                <c:pt idx="611" c:formatCode="yyyy/m/d">
                  <c:v>45090</c:v>
                </c:pt>
                <c:pt idx="612" c:formatCode="yyyy/m/d">
                  <c:v>45091</c:v>
                </c:pt>
                <c:pt idx="613" c:formatCode="yyyy/m/d">
                  <c:v>45092</c:v>
                </c:pt>
                <c:pt idx="614" c:formatCode="yyyy/m/d">
                  <c:v>45093</c:v>
                </c:pt>
                <c:pt idx="615" c:formatCode="yyyy/m/d">
                  <c:v>45096</c:v>
                </c:pt>
                <c:pt idx="616" c:formatCode="yyyy/m/d">
                  <c:v>45097</c:v>
                </c:pt>
                <c:pt idx="617" c:formatCode="yyyy/m/d">
                  <c:v>45098</c:v>
                </c:pt>
                <c:pt idx="618" c:formatCode="yyyy/m/d">
                  <c:v>45103</c:v>
                </c:pt>
                <c:pt idx="619" c:formatCode="yyyy/m/d">
                  <c:v>45104</c:v>
                </c:pt>
                <c:pt idx="620" c:formatCode="yyyy/m/d">
                  <c:v>45105</c:v>
                </c:pt>
                <c:pt idx="621" c:formatCode="yyyy/m/d">
                  <c:v>45106</c:v>
                </c:pt>
                <c:pt idx="622" c:formatCode="yyyy/m/d">
                  <c:v>45107</c:v>
                </c:pt>
                <c:pt idx="623" c:formatCode="yyyy/m/d">
                  <c:v>45110</c:v>
                </c:pt>
                <c:pt idx="624" c:formatCode="yyyy/m/d">
                  <c:v>45111</c:v>
                </c:pt>
                <c:pt idx="625" c:formatCode="yyyy/m/d">
                  <c:v>45112</c:v>
                </c:pt>
                <c:pt idx="626" c:formatCode="yyyy/m/d">
                  <c:v>45113</c:v>
                </c:pt>
                <c:pt idx="627" c:formatCode="yyyy/m/d">
                  <c:v>45114</c:v>
                </c:pt>
                <c:pt idx="628" c:formatCode="yyyy/m/d">
                  <c:v>45117</c:v>
                </c:pt>
                <c:pt idx="629" c:formatCode="yyyy/m/d">
                  <c:v>45118</c:v>
                </c:pt>
                <c:pt idx="630" c:formatCode="yyyy/m/d">
                  <c:v>45119</c:v>
                </c:pt>
                <c:pt idx="631" c:formatCode="yyyy/m/d">
                  <c:v>45120</c:v>
                </c:pt>
                <c:pt idx="632" c:formatCode="yyyy/m/d">
                  <c:v>45121</c:v>
                </c:pt>
                <c:pt idx="633" c:formatCode="yyyy/m/d">
                  <c:v>45124</c:v>
                </c:pt>
                <c:pt idx="634" c:formatCode="yyyy/m/d">
                  <c:v>45125</c:v>
                </c:pt>
                <c:pt idx="635" c:formatCode="yyyy/m/d">
                  <c:v>45126</c:v>
                </c:pt>
                <c:pt idx="636" c:formatCode="yyyy/m/d">
                  <c:v>45127</c:v>
                </c:pt>
                <c:pt idx="637" c:formatCode="yyyy/m/d">
                  <c:v>45128</c:v>
                </c:pt>
                <c:pt idx="638" c:formatCode="yyyy/m/d">
                  <c:v>45131</c:v>
                </c:pt>
                <c:pt idx="639" c:formatCode="yyyy/m/d">
                  <c:v>45132</c:v>
                </c:pt>
                <c:pt idx="640" c:formatCode="yyyy/m/d">
                  <c:v>45133</c:v>
                </c:pt>
                <c:pt idx="641" c:formatCode="yyyy/m/d">
                  <c:v>45134</c:v>
                </c:pt>
                <c:pt idx="642" c:formatCode="yyyy/m/d">
                  <c:v>45135</c:v>
                </c:pt>
                <c:pt idx="643" c:formatCode="yyyy/m/d">
                  <c:v>45138</c:v>
                </c:pt>
                <c:pt idx="644" c:formatCode="yyyy/m/d">
                  <c:v>45139</c:v>
                </c:pt>
                <c:pt idx="645" c:formatCode="yyyy/m/d">
                  <c:v>45140</c:v>
                </c:pt>
                <c:pt idx="646" c:formatCode="yyyy/m/d">
                  <c:v>45141</c:v>
                </c:pt>
                <c:pt idx="647" c:formatCode="yyyy/m/d">
                  <c:v>45142</c:v>
                </c:pt>
                <c:pt idx="648" c:formatCode="yyyy/m/d">
                  <c:v>45145</c:v>
                </c:pt>
                <c:pt idx="649" c:formatCode="yyyy/m/d">
                  <c:v>45146</c:v>
                </c:pt>
                <c:pt idx="650" c:formatCode="yyyy/m/d">
                  <c:v>45147</c:v>
                </c:pt>
                <c:pt idx="651" c:formatCode="yyyy/m/d">
                  <c:v>45148</c:v>
                </c:pt>
                <c:pt idx="652" c:formatCode="yyyy/m/d">
                  <c:v>45149</c:v>
                </c:pt>
                <c:pt idx="653" c:formatCode="yyyy/m/d">
                  <c:v>45152</c:v>
                </c:pt>
                <c:pt idx="654" c:formatCode="yyyy/m/d">
                  <c:v>45153</c:v>
                </c:pt>
                <c:pt idx="655" c:formatCode="yyyy/m/d">
                  <c:v>45154</c:v>
                </c:pt>
                <c:pt idx="656" c:formatCode="yyyy/m/d">
                  <c:v>45155</c:v>
                </c:pt>
                <c:pt idx="657" c:formatCode="yyyy/m/d">
                  <c:v>45156</c:v>
                </c:pt>
                <c:pt idx="658" c:formatCode="yyyy/m/d">
                  <c:v>45159</c:v>
                </c:pt>
                <c:pt idx="659" c:formatCode="yyyy/m/d">
                  <c:v>45160</c:v>
                </c:pt>
                <c:pt idx="660" c:formatCode="yyyy/m/d">
                  <c:v>45161</c:v>
                </c:pt>
                <c:pt idx="661" c:formatCode="yyyy/m/d">
                  <c:v>45162</c:v>
                </c:pt>
                <c:pt idx="662" c:formatCode="yyyy/m/d">
                  <c:v>45163</c:v>
                </c:pt>
                <c:pt idx="663" c:formatCode="yyyy/m/d">
                  <c:v>45166</c:v>
                </c:pt>
                <c:pt idx="664" c:formatCode="yyyy/m/d">
                  <c:v>45167</c:v>
                </c:pt>
                <c:pt idx="665" c:formatCode="yyyy/m/d">
                  <c:v>45168</c:v>
                </c:pt>
                <c:pt idx="666" c:formatCode="yyyy/m/d">
                  <c:v>45169</c:v>
                </c:pt>
                <c:pt idx="667" c:formatCode="yyyy/m/d">
                  <c:v>45170</c:v>
                </c:pt>
                <c:pt idx="668" c:formatCode="yyyy/m/d">
                  <c:v>45173</c:v>
                </c:pt>
                <c:pt idx="669" c:formatCode="yyyy/m/d">
                  <c:v>45174</c:v>
                </c:pt>
                <c:pt idx="670" c:formatCode="yyyy/m/d">
                  <c:v>45175</c:v>
                </c:pt>
                <c:pt idx="671" c:formatCode="yyyy/m/d">
                  <c:v>45176</c:v>
                </c:pt>
                <c:pt idx="672" c:formatCode="yyyy/m/d">
                  <c:v>45177</c:v>
                </c:pt>
                <c:pt idx="673" c:formatCode="yyyy/m/d">
                  <c:v>45180</c:v>
                </c:pt>
                <c:pt idx="674" c:formatCode="yyyy/m/d">
                  <c:v>45181</c:v>
                </c:pt>
                <c:pt idx="675" c:formatCode="yyyy/m/d">
                  <c:v>45182</c:v>
                </c:pt>
                <c:pt idx="676" c:formatCode="yyyy/m/d">
                  <c:v>45183</c:v>
                </c:pt>
                <c:pt idx="677" c:formatCode="yyyy/m/d">
                  <c:v>45184</c:v>
                </c:pt>
                <c:pt idx="678" c:formatCode="yyyy/m/d">
                  <c:v>45187</c:v>
                </c:pt>
                <c:pt idx="679" c:formatCode="yyyy/m/d">
                  <c:v>45188</c:v>
                </c:pt>
                <c:pt idx="680" c:formatCode="yyyy/m/d">
                  <c:v>45189</c:v>
                </c:pt>
                <c:pt idx="681" c:formatCode="yyyy/m/d">
                  <c:v>45190</c:v>
                </c:pt>
                <c:pt idx="682" c:formatCode="yyyy/m/d">
                  <c:v>45191</c:v>
                </c:pt>
                <c:pt idx="683" c:formatCode="yyyy/m/d">
                  <c:v>45194</c:v>
                </c:pt>
                <c:pt idx="684" c:formatCode="yyyy/m/d">
                  <c:v>45195</c:v>
                </c:pt>
                <c:pt idx="685" c:formatCode="yyyy/m/d">
                  <c:v>45196</c:v>
                </c:pt>
                <c:pt idx="686" c:formatCode="yyyy/m/d">
                  <c:v>45197</c:v>
                </c:pt>
                <c:pt idx="687" c:formatCode="yyyy/m/d">
                  <c:v>45201</c:v>
                </c:pt>
                <c:pt idx="688" c:formatCode="yyyy/m/d">
                  <c:v>45202</c:v>
                </c:pt>
                <c:pt idx="689" c:formatCode="yyyy/m/d">
                  <c:v>45203</c:v>
                </c:pt>
                <c:pt idx="690" c:formatCode="yyyy/m/d">
                  <c:v>45204</c:v>
                </c:pt>
                <c:pt idx="691" c:formatCode="yyyy/m/d">
                  <c:v>45205</c:v>
                </c:pt>
                <c:pt idx="692" c:formatCode="yyyy/m/d">
                  <c:v>45208</c:v>
                </c:pt>
                <c:pt idx="693" c:formatCode="yyyy/m/d">
                  <c:v>45209</c:v>
                </c:pt>
                <c:pt idx="694" c:formatCode="yyyy/m/d">
                  <c:v>45210</c:v>
                </c:pt>
                <c:pt idx="695" c:formatCode="yyyy/m/d">
                  <c:v>45211</c:v>
                </c:pt>
                <c:pt idx="696" c:formatCode="yyyy/m/d">
                  <c:v>45212</c:v>
                </c:pt>
                <c:pt idx="697" c:formatCode="yyyy/m/d">
                  <c:v>45215</c:v>
                </c:pt>
                <c:pt idx="698" c:formatCode="yyyy/m/d">
                  <c:v>45216</c:v>
                </c:pt>
                <c:pt idx="699" c:formatCode="yyyy/m/d">
                  <c:v>45217</c:v>
                </c:pt>
                <c:pt idx="700" c:formatCode="yyyy/m/d">
                  <c:v>45218</c:v>
                </c:pt>
                <c:pt idx="701" c:formatCode="yyyy/m/d">
                  <c:v>45219</c:v>
                </c:pt>
                <c:pt idx="702" c:formatCode="yyyy/m/d">
                  <c:v>45222</c:v>
                </c:pt>
                <c:pt idx="703" c:formatCode="yyyy/m/d">
                  <c:v>45223</c:v>
                </c:pt>
                <c:pt idx="704" c:formatCode="yyyy/m/d">
                  <c:v>45224</c:v>
                </c:pt>
                <c:pt idx="705" c:formatCode="yyyy/m/d">
                  <c:v>45225</c:v>
                </c:pt>
                <c:pt idx="706" c:formatCode="yyyy/m/d">
                  <c:v>45226</c:v>
                </c:pt>
                <c:pt idx="707" c:formatCode="yyyy/m/d">
                  <c:v>45229</c:v>
                </c:pt>
                <c:pt idx="708" c:formatCode="yyyy/m/d">
                  <c:v>45230</c:v>
                </c:pt>
                <c:pt idx="709" c:formatCode="yyyy/m/d">
                  <c:v>45231</c:v>
                </c:pt>
                <c:pt idx="710" c:formatCode="yyyy/m/d">
                  <c:v>45232</c:v>
                </c:pt>
                <c:pt idx="711" c:formatCode="yyyy/m/d">
                  <c:v>45233</c:v>
                </c:pt>
                <c:pt idx="712" c:formatCode="yyyy/m/d">
                  <c:v>45236</c:v>
                </c:pt>
                <c:pt idx="713" c:formatCode="yyyy/m/d">
                  <c:v>45237</c:v>
                </c:pt>
                <c:pt idx="714" c:formatCode="yyyy/m/d">
                  <c:v>45238</c:v>
                </c:pt>
                <c:pt idx="715" c:formatCode="yyyy/m/d">
                  <c:v>45239</c:v>
                </c:pt>
                <c:pt idx="716" c:formatCode="yyyy/m/d">
                  <c:v>45240</c:v>
                </c:pt>
                <c:pt idx="717" c:formatCode="yyyy/m/d">
                  <c:v>45243</c:v>
                </c:pt>
                <c:pt idx="718" c:formatCode="yyyy/m/d">
                  <c:v>45244</c:v>
                </c:pt>
                <c:pt idx="719" c:formatCode="yyyy/m/d">
                  <c:v>45245</c:v>
                </c:pt>
                <c:pt idx="720" c:formatCode="yyyy/m/d">
                  <c:v>45246</c:v>
                </c:pt>
                <c:pt idx="721" c:formatCode="yyyy/m/d">
                  <c:v>45247</c:v>
                </c:pt>
                <c:pt idx="722" c:formatCode="yyyy/m/d">
                  <c:v>45250</c:v>
                </c:pt>
                <c:pt idx="723" c:formatCode="yyyy/m/d">
                  <c:v>45251</c:v>
                </c:pt>
                <c:pt idx="724" c:formatCode="yyyy/m/d">
                  <c:v>45252</c:v>
                </c:pt>
                <c:pt idx="725" c:formatCode="yyyy/m/d">
                  <c:v>45253</c:v>
                </c:pt>
                <c:pt idx="726" c:formatCode="yyyy/m/d">
                  <c:v>45254</c:v>
                </c:pt>
                <c:pt idx="727" c:formatCode="yyyy/m/d">
                  <c:v>45257</c:v>
                </c:pt>
                <c:pt idx="728" c:formatCode="yyyy/m/d">
                  <c:v>45258</c:v>
                </c:pt>
                <c:pt idx="729" c:formatCode="yyyy/m/d">
                  <c:v>45259</c:v>
                </c:pt>
                <c:pt idx="730" c:formatCode="yyyy/m/d">
                  <c:v>45260</c:v>
                </c:pt>
                <c:pt idx="731" c:formatCode="yyyy/m/d">
                  <c:v>45261</c:v>
                </c:pt>
                <c:pt idx="732" c:formatCode="yyyy/m/d">
                  <c:v>45264</c:v>
                </c:pt>
                <c:pt idx="733" c:formatCode="yyyy/m/d">
                  <c:v>45265</c:v>
                </c:pt>
                <c:pt idx="734" c:formatCode="yyyy/m/d">
                  <c:v>45266</c:v>
                </c:pt>
                <c:pt idx="735" c:formatCode="yyyy/m/d">
                  <c:v>45267</c:v>
                </c:pt>
                <c:pt idx="736" c:formatCode="yyyy/m/d">
                  <c:v>45268</c:v>
                </c:pt>
                <c:pt idx="737" c:formatCode="yyyy/m/d">
                  <c:v>45271</c:v>
                </c:pt>
                <c:pt idx="738" c:formatCode="yyyy/m/d">
                  <c:v>45272</c:v>
                </c:pt>
                <c:pt idx="739" c:formatCode="yyyy/m/d">
                  <c:v>45273</c:v>
                </c:pt>
                <c:pt idx="740" c:formatCode="yyyy/m/d">
                  <c:v>45274</c:v>
                </c:pt>
                <c:pt idx="741" c:formatCode="yyyy/m/d">
                  <c:v>45275</c:v>
                </c:pt>
                <c:pt idx="742" c:formatCode="yyyy/m/d">
                  <c:v>45278</c:v>
                </c:pt>
                <c:pt idx="743" c:formatCode="yyyy/m/d">
                  <c:v>45279</c:v>
                </c:pt>
                <c:pt idx="744" c:formatCode="yyyy/m/d">
                  <c:v>45280</c:v>
                </c:pt>
                <c:pt idx="745" c:formatCode="yyyy/m/d">
                  <c:v>45281</c:v>
                </c:pt>
                <c:pt idx="746" c:formatCode="yyyy/m/d">
                  <c:v>45282</c:v>
                </c:pt>
                <c:pt idx="747" c:formatCode="yyyy/m/d">
                  <c:v>45285</c:v>
                </c:pt>
                <c:pt idx="748" c:formatCode="yyyy/m/d">
                  <c:v>45286</c:v>
                </c:pt>
                <c:pt idx="749" c:formatCode="yyyy/m/d">
                  <c:v>45287</c:v>
                </c:pt>
                <c:pt idx="750" c:formatCode="yyyy/m/d">
                  <c:v>45288</c:v>
                </c:pt>
                <c:pt idx="751" c:formatCode="yyyy/m/d">
                  <c:v>45289</c:v>
                </c:pt>
                <c:pt idx="752" c:formatCode="yyyy/m/d">
                  <c:v>45293</c:v>
                </c:pt>
                <c:pt idx="753" c:formatCode="yyyy/m/d">
                  <c:v>45294</c:v>
                </c:pt>
                <c:pt idx="754" c:formatCode="yyyy/m/d">
                  <c:v>45295</c:v>
                </c:pt>
                <c:pt idx="755" c:formatCode="yyyy/m/d">
                  <c:v>45296</c:v>
                </c:pt>
                <c:pt idx="756" c:formatCode="yyyy/m/d">
                  <c:v>45299</c:v>
                </c:pt>
                <c:pt idx="757" c:formatCode="yyyy/m/d">
                  <c:v>45300</c:v>
                </c:pt>
                <c:pt idx="758" c:formatCode="yyyy/m/d">
                  <c:v>45301</c:v>
                </c:pt>
                <c:pt idx="759" c:formatCode="yyyy/m/d">
                  <c:v>45302</c:v>
                </c:pt>
                <c:pt idx="760" c:formatCode="yyyy/m/d">
                  <c:v>45303</c:v>
                </c:pt>
                <c:pt idx="761" c:formatCode="yyyy/m/d">
                  <c:v>45306</c:v>
                </c:pt>
                <c:pt idx="762" c:formatCode="yyyy/m/d">
                  <c:v>45307</c:v>
                </c:pt>
                <c:pt idx="763" c:formatCode="yyyy/m/d">
                  <c:v>45308</c:v>
                </c:pt>
                <c:pt idx="764" c:formatCode="yyyy/m/d">
                  <c:v>45309</c:v>
                </c:pt>
                <c:pt idx="765" c:formatCode="yyyy/m/d">
                  <c:v>45310</c:v>
                </c:pt>
                <c:pt idx="766" c:formatCode="yyyy/m/d">
                  <c:v>45313</c:v>
                </c:pt>
                <c:pt idx="767" c:formatCode="yyyy/m/d">
                  <c:v>45314</c:v>
                </c:pt>
                <c:pt idx="768" c:formatCode="yyyy/m/d">
                  <c:v>45315</c:v>
                </c:pt>
                <c:pt idx="769" c:formatCode="yyyy/m/d">
                  <c:v>45316</c:v>
                </c:pt>
                <c:pt idx="770" c:formatCode="yyyy/m/d">
                  <c:v>45317</c:v>
                </c:pt>
                <c:pt idx="771" c:formatCode="yyyy/m/d">
                  <c:v>45320</c:v>
                </c:pt>
                <c:pt idx="772" c:formatCode="yyyy/m/d">
                  <c:v>45321</c:v>
                </c:pt>
                <c:pt idx="773" c:formatCode="yyyy/m/d">
                  <c:v>45322</c:v>
                </c:pt>
                <c:pt idx="774" c:formatCode="yyyy/m/d">
                  <c:v>45323</c:v>
                </c:pt>
                <c:pt idx="775" c:formatCode="yyyy/m/d">
                  <c:v>45324</c:v>
                </c:pt>
                <c:pt idx="776" c:formatCode="yyyy/m/d">
                  <c:v>45327</c:v>
                </c:pt>
                <c:pt idx="777" c:formatCode="yyyy/m/d">
                  <c:v>45328</c:v>
                </c:pt>
                <c:pt idx="778" c:formatCode="yyyy/m/d">
                  <c:v>45329</c:v>
                </c:pt>
                <c:pt idx="779" c:formatCode="yyyy/m/d">
                  <c:v>45330</c:v>
                </c:pt>
                <c:pt idx="780" c:formatCode="yyyy/m/d">
                  <c:v>45337</c:v>
                </c:pt>
                <c:pt idx="781" c:formatCode="yyyy/m/d">
                  <c:v>45338</c:v>
                </c:pt>
                <c:pt idx="782" c:formatCode="yyyy/m/d">
                  <c:v>45341</c:v>
                </c:pt>
                <c:pt idx="783" c:formatCode="yyyy/m/d">
                  <c:v>45342</c:v>
                </c:pt>
                <c:pt idx="784" c:formatCode="yyyy/m/d">
                  <c:v>45343</c:v>
                </c:pt>
                <c:pt idx="785" c:formatCode="yyyy/m/d">
                  <c:v>45344</c:v>
                </c:pt>
                <c:pt idx="786" c:formatCode="yyyy/m/d">
                  <c:v>45345</c:v>
                </c:pt>
                <c:pt idx="787" c:formatCode="yyyy/m/d">
                  <c:v>45348</c:v>
                </c:pt>
                <c:pt idx="788" c:formatCode="yyyy/m/d">
                  <c:v>45349</c:v>
                </c:pt>
                <c:pt idx="789" c:formatCode="yyyy/m/d">
                  <c:v>45350</c:v>
                </c:pt>
                <c:pt idx="790" c:formatCode="yyyy/m/d">
                  <c:v>45351</c:v>
                </c:pt>
                <c:pt idx="791" c:formatCode="yyyy/m/d">
                  <c:v>45352</c:v>
                </c:pt>
                <c:pt idx="792" c:formatCode="yyyy/m/d">
                  <c:v>45355</c:v>
                </c:pt>
                <c:pt idx="793" c:formatCode="yyyy/m/d">
                  <c:v>45356</c:v>
                </c:pt>
                <c:pt idx="794" c:formatCode="yyyy/m/d">
                  <c:v>45357</c:v>
                </c:pt>
                <c:pt idx="795" c:formatCode="yyyy/m/d">
                  <c:v>45358</c:v>
                </c:pt>
                <c:pt idx="796" c:formatCode="yyyy/m/d">
                  <c:v>45359</c:v>
                </c:pt>
                <c:pt idx="797" c:formatCode="yyyy/m/d">
                  <c:v>45362</c:v>
                </c:pt>
                <c:pt idx="798" c:formatCode="yyyy/m/d">
                  <c:v>45363</c:v>
                </c:pt>
                <c:pt idx="799" c:formatCode="yyyy/m/d">
                  <c:v>45364</c:v>
                </c:pt>
                <c:pt idx="800" c:formatCode="yyyy/m/d">
                  <c:v>45365</c:v>
                </c:pt>
                <c:pt idx="801" c:formatCode="yyyy/m/d">
                  <c:v>45366</c:v>
                </c:pt>
                <c:pt idx="802" c:formatCode="yyyy/m/d">
                  <c:v>45369</c:v>
                </c:pt>
                <c:pt idx="803" c:formatCode="yyyy/m/d">
                  <c:v>45370</c:v>
                </c:pt>
                <c:pt idx="804" c:formatCode="yyyy/m/d">
                  <c:v>45371</c:v>
                </c:pt>
                <c:pt idx="805" c:formatCode="yyyy/m/d">
                  <c:v>45372</c:v>
                </c:pt>
                <c:pt idx="806" c:formatCode="yyyy/m/d">
                  <c:v>45373</c:v>
                </c:pt>
                <c:pt idx="807" c:formatCode="yyyy/m/d">
                  <c:v>45376</c:v>
                </c:pt>
                <c:pt idx="808" c:formatCode="yyyy/m/d">
                  <c:v>45377</c:v>
                </c:pt>
                <c:pt idx="809" c:formatCode="yyyy/m/d">
                  <c:v>45378</c:v>
                </c:pt>
                <c:pt idx="810" c:formatCode="yyyy/m/d">
                  <c:v>45379</c:v>
                </c:pt>
                <c:pt idx="811" c:formatCode="yyyy/m/d">
                  <c:v>45380</c:v>
                </c:pt>
                <c:pt idx="812" c:formatCode="yyyy/m/d">
                  <c:v>45383</c:v>
                </c:pt>
                <c:pt idx="813" c:formatCode="yyyy/m/d">
                  <c:v>45384</c:v>
                </c:pt>
                <c:pt idx="814" c:formatCode="yyyy/m/d">
                  <c:v>45385</c:v>
                </c:pt>
                <c:pt idx="815" c:formatCode="yyyy/m/d">
                  <c:v>45390</c:v>
                </c:pt>
                <c:pt idx="816" c:formatCode="yyyy/m/d">
                  <c:v>45391</c:v>
                </c:pt>
                <c:pt idx="817" c:formatCode="yyyy/m/d">
                  <c:v>45392</c:v>
                </c:pt>
                <c:pt idx="818" c:formatCode="yyyy/m/d">
                  <c:v>45393</c:v>
                </c:pt>
                <c:pt idx="819" c:formatCode="yyyy/m/d">
                  <c:v>45394</c:v>
                </c:pt>
                <c:pt idx="820" c:formatCode="yyyy/m/d">
                  <c:v>45397</c:v>
                </c:pt>
                <c:pt idx="821" c:formatCode="yyyy/m/d">
                  <c:v>45398</c:v>
                </c:pt>
                <c:pt idx="822" c:formatCode="yyyy/m/d">
                  <c:v>45399</c:v>
                </c:pt>
                <c:pt idx="823" c:formatCode="yyyy/m/d">
                  <c:v>45400</c:v>
                </c:pt>
                <c:pt idx="824" c:formatCode="yyyy/m/d">
                  <c:v>45401</c:v>
                </c:pt>
                <c:pt idx="825" c:formatCode="yyyy/m/d">
                  <c:v>45404</c:v>
                </c:pt>
                <c:pt idx="826" c:formatCode="yyyy/m/d">
                  <c:v>45405</c:v>
                </c:pt>
                <c:pt idx="827" c:formatCode="yyyy/m/d">
                  <c:v>45406</c:v>
                </c:pt>
                <c:pt idx="828" c:formatCode="yyyy/m/d">
                  <c:v>45407</c:v>
                </c:pt>
                <c:pt idx="829" c:formatCode="yyyy/m/d">
                  <c:v>45408</c:v>
                </c:pt>
                <c:pt idx="830" c:formatCode="yyyy/m/d">
                  <c:v>45411</c:v>
                </c:pt>
                <c:pt idx="831" c:formatCode="yyyy/m/d">
                  <c:v>45412</c:v>
                </c:pt>
                <c:pt idx="832" c:formatCode="yyyy/m/d">
                  <c:v>45414</c:v>
                </c:pt>
                <c:pt idx="833" c:formatCode="yyyy/m/d">
                  <c:v>45415</c:v>
                </c:pt>
                <c:pt idx="834" c:formatCode="yyyy/m/d">
                  <c:v>45418</c:v>
                </c:pt>
                <c:pt idx="835" c:formatCode="yyyy/m/d">
                  <c:v>45419</c:v>
                </c:pt>
                <c:pt idx="836" c:formatCode="yyyy/m/d">
                  <c:v>45420</c:v>
                </c:pt>
                <c:pt idx="837" c:formatCode="yyyy/m/d">
                  <c:v>45421</c:v>
                </c:pt>
                <c:pt idx="838" c:formatCode="yyyy/m/d">
                  <c:v>45422</c:v>
                </c:pt>
                <c:pt idx="839" c:formatCode="yyyy/m/d">
                  <c:v>45425</c:v>
                </c:pt>
                <c:pt idx="840" c:formatCode="yyyy/m/d">
                  <c:v>45426</c:v>
                </c:pt>
                <c:pt idx="841" c:formatCode="yyyy/m/d">
                  <c:v>45427</c:v>
                </c:pt>
                <c:pt idx="842" c:formatCode="yyyy/m/d">
                  <c:v>45428</c:v>
                </c:pt>
                <c:pt idx="843" c:formatCode="yyyy/m/d">
                  <c:v>45429</c:v>
                </c:pt>
                <c:pt idx="844" c:formatCode="yyyy/m/d">
                  <c:v>45432</c:v>
                </c:pt>
                <c:pt idx="845" c:formatCode="yyyy/m/d">
                  <c:v>45433</c:v>
                </c:pt>
                <c:pt idx="846" c:formatCode="yyyy/m/d">
                  <c:v>45434</c:v>
                </c:pt>
                <c:pt idx="847" c:formatCode="yyyy/m/d">
                  <c:v>45435</c:v>
                </c:pt>
                <c:pt idx="848" c:formatCode="yyyy/m/d">
                  <c:v>45436</c:v>
                </c:pt>
                <c:pt idx="849" c:formatCode="yyyy/m/d">
                  <c:v>45439</c:v>
                </c:pt>
                <c:pt idx="850" c:formatCode="yyyy/m/d">
                  <c:v>45440</c:v>
                </c:pt>
                <c:pt idx="851" c:formatCode="yyyy/m/d">
                  <c:v>45441</c:v>
                </c:pt>
                <c:pt idx="852" c:formatCode="yyyy/m/d">
                  <c:v>45442</c:v>
                </c:pt>
                <c:pt idx="853" c:formatCode="yyyy/m/d">
                  <c:v>45443</c:v>
                </c:pt>
                <c:pt idx="854" c:formatCode="yyyy/m/d">
                  <c:v>45446</c:v>
                </c:pt>
                <c:pt idx="855" c:formatCode="yyyy/m/d">
                  <c:v>45447</c:v>
                </c:pt>
                <c:pt idx="856" c:formatCode="yyyy/m/d">
                  <c:v>45448</c:v>
                </c:pt>
                <c:pt idx="857" c:formatCode="yyyy/m/d">
                  <c:v>45449</c:v>
                </c:pt>
                <c:pt idx="858" c:formatCode="yyyy/m/d">
                  <c:v>45450</c:v>
                </c:pt>
                <c:pt idx="859" c:formatCode="yyyy/m/d">
                  <c:v>45454</c:v>
                </c:pt>
                <c:pt idx="860" c:formatCode="yyyy/m/d">
                  <c:v>45455</c:v>
                </c:pt>
                <c:pt idx="861" c:formatCode="yyyy/m/d">
                  <c:v>45456</c:v>
                </c:pt>
                <c:pt idx="862" c:formatCode="yyyy/m/d">
                  <c:v>45457</c:v>
                </c:pt>
                <c:pt idx="863" c:formatCode="yyyy/m/d">
                  <c:v>45460</c:v>
                </c:pt>
                <c:pt idx="864" c:formatCode="yyyy/m/d">
                  <c:v>45461</c:v>
                </c:pt>
                <c:pt idx="865" c:formatCode="yyyy/m/d">
                  <c:v>45462</c:v>
                </c:pt>
                <c:pt idx="866" c:formatCode="yyyy/m/d">
                  <c:v>45463</c:v>
                </c:pt>
                <c:pt idx="867" c:formatCode="yyyy/m/d">
                  <c:v>45464</c:v>
                </c:pt>
                <c:pt idx="868" c:formatCode="yyyy/m/d">
                  <c:v>45467</c:v>
                </c:pt>
                <c:pt idx="869" c:formatCode="yyyy/m/d">
                  <c:v>45468</c:v>
                </c:pt>
                <c:pt idx="870" c:formatCode="yyyy/m/d">
                  <c:v>45469</c:v>
                </c:pt>
                <c:pt idx="871" c:formatCode="yyyy/m/d">
                  <c:v>45470</c:v>
                </c:pt>
                <c:pt idx="872" c:formatCode="yyyy/m/d">
                  <c:v>45471</c:v>
                </c:pt>
                <c:pt idx="873" c:formatCode="yyyy/m/d">
                  <c:v>45474</c:v>
                </c:pt>
                <c:pt idx="874" c:formatCode="yyyy/m/d">
                  <c:v>45475</c:v>
                </c:pt>
                <c:pt idx="875" c:formatCode="yyyy/m/d">
                  <c:v>45476</c:v>
                </c:pt>
                <c:pt idx="876" c:formatCode="yyyy/m/d">
                  <c:v>45477</c:v>
                </c:pt>
                <c:pt idx="877" c:formatCode="yyyy/m/d">
                  <c:v>45478</c:v>
                </c:pt>
                <c:pt idx="878" c:formatCode="yyyy/m/d">
                  <c:v>45481</c:v>
                </c:pt>
                <c:pt idx="879" c:formatCode="yyyy/m/d">
                  <c:v>45482</c:v>
                </c:pt>
                <c:pt idx="880" c:formatCode="yyyy/m/d">
                  <c:v>45483</c:v>
                </c:pt>
                <c:pt idx="881" c:formatCode="yyyy/m/d">
                  <c:v>45484</c:v>
                </c:pt>
                <c:pt idx="882" c:formatCode="yyyy/m/d">
                  <c:v>45485</c:v>
                </c:pt>
                <c:pt idx="883" c:formatCode="yyyy/m/d">
                  <c:v>45488</c:v>
                </c:pt>
                <c:pt idx="884" c:formatCode="yyyy/m/d">
                  <c:v>45489</c:v>
                </c:pt>
                <c:pt idx="885" c:formatCode="yyyy/m/d">
                  <c:v>45490</c:v>
                </c:pt>
                <c:pt idx="886" c:formatCode="yyyy/m/d">
                  <c:v>45491</c:v>
                </c:pt>
                <c:pt idx="887" c:formatCode="yyyy/m/d">
                  <c:v>45492</c:v>
                </c:pt>
                <c:pt idx="888" c:formatCode="yyyy/m/d">
                  <c:v>45495</c:v>
                </c:pt>
                <c:pt idx="889" c:formatCode="yyyy/m/d">
                  <c:v>45496</c:v>
                </c:pt>
                <c:pt idx="890" c:formatCode="yyyy/m/d">
                  <c:v>45497</c:v>
                </c:pt>
                <c:pt idx="891" c:formatCode="yyyy/m/d">
                  <c:v>45498</c:v>
                </c:pt>
                <c:pt idx="892" c:formatCode="yyyy/m/d">
                  <c:v>45499</c:v>
                </c:pt>
                <c:pt idx="893" c:formatCode="yyyy/m/d">
                  <c:v>45502</c:v>
                </c:pt>
                <c:pt idx="894" c:formatCode="yyyy/m/d">
                  <c:v>45503</c:v>
                </c:pt>
                <c:pt idx="895" c:formatCode="yyyy/m/d">
                  <c:v>45504</c:v>
                </c:pt>
                <c:pt idx="896" c:formatCode="yyyy/m/d">
                  <c:v>45505</c:v>
                </c:pt>
                <c:pt idx="897" c:formatCode="yyyy/m/d">
                  <c:v>45506</c:v>
                </c:pt>
                <c:pt idx="898" c:formatCode="yyyy/m/d">
                  <c:v>45509</c:v>
                </c:pt>
                <c:pt idx="899" c:formatCode="yyyy/m/d">
                  <c:v>45510</c:v>
                </c:pt>
                <c:pt idx="900" c:formatCode="yyyy/m/d">
                  <c:v>45511</c:v>
                </c:pt>
                <c:pt idx="901" c:formatCode="yyyy/m/d">
                  <c:v>45512</c:v>
                </c:pt>
                <c:pt idx="902" c:formatCode="yyyy/m/d">
                  <c:v>45513</c:v>
                </c:pt>
                <c:pt idx="903" c:formatCode="yyyy/m/d">
                  <c:v>45516</c:v>
                </c:pt>
                <c:pt idx="904" c:formatCode="yyyy/m/d">
                  <c:v>45517</c:v>
                </c:pt>
                <c:pt idx="905" c:formatCode="yyyy/m/d">
                  <c:v>45518</c:v>
                </c:pt>
                <c:pt idx="906" c:formatCode="yyyy/m/d">
                  <c:v>45519</c:v>
                </c:pt>
                <c:pt idx="907" c:formatCode="yyyy/m/d">
                  <c:v>45520</c:v>
                </c:pt>
                <c:pt idx="908" c:formatCode="yyyy/m/d">
                  <c:v>45523</c:v>
                </c:pt>
                <c:pt idx="909" c:formatCode="yyyy/m/d">
                  <c:v>45524</c:v>
                </c:pt>
                <c:pt idx="910" c:formatCode="yyyy/m/d">
                  <c:v>45525</c:v>
                </c:pt>
                <c:pt idx="911" c:formatCode="yyyy/m/d">
                  <c:v>45526</c:v>
                </c:pt>
                <c:pt idx="912" c:formatCode="yyyy/m/d">
                  <c:v>45527</c:v>
                </c:pt>
                <c:pt idx="913" c:formatCode="yyyy/m/d">
                  <c:v>45530</c:v>
                </c:pt>
                <c:pt idx="914" c:formatCode="yyyy/m/d">
                  <c:v>45531</c:v>
                </c:pt>
                <c:pt idx="915" c:formatCode="yyyy/m/d">
                  <c:v>45532</c:v>
                </c:pt>
                <c:pt idx="916" c:formatCode="yyyy/m/d">
                  <c:v>45533</c:v>
                </c:pt>
                <c:pt idx="917" c:formatCode="yyyy/m/d">
                  <c:v>45534</c:v>
                </c:pt>
                <c:pt idx="918" c:formatCode="yyyy/m/d">
                  <c:v>45537</c:v>
                </c:pt>
                <c:pt idx="919" c:formatCode="yyyy/m/d">
                  <c:v>45538</c:v>
                </c:pt>
                <c:pt idx="920" c:formatCode="yyyy/m/d">
                  <c:v>45539</c:v>
                </c:pt>
                <c:pt idx="921" c:formatCode="yyyy/m/d">
                  <c:v>45540</c:v>
                </c:pt>
                <c:pt idx="922" c:formatCode="yyyy/m/d">
                  <c:v>45541</c:v>
                </c:pt>
                <c:pt idx="923" c:formatCode="yyyy/m/d">
                  <c:v>45544</c:v>
                </c:pt>
                <c:pt idx="924" c:formatCode="yyyy/m/d">
                  <c:v>45545</c:v>
                </c:pt>
                <c:pt idx="925" c:formatCode="yyyy/m/d">
                  <c:v>45546</c:v>
                </c:pt>
                <c:pt idx="926" c:formatCode="yyyy/m/d">
                  <c:v>45547</c:v>
                </c:pt>
                <c:pt idx="927" c:formatCode="yyyy/m/d">
                  <c:v>45548</c:v>
                </c:pt>
                <c:pt idx="928" c:formatCode="yyyy/m/d">
                  <c:v>45551</c:v>
                </c:pt>
                <c:pt idx="929" c:formatCode="yyyy/m/d">
                  <c:v>45553</c:v>
                </c:pt>
                <c:pt idx="930" c:formatCode="yyyy/m/d">
                  <c:v>45554</c:v>
                </c:pt>
                <c:pt idx="931" c:formatCode="yyyy/m/d">
                  <c:v>45555</c:v>
                </c:pt>
                <c:pt idx="932" c:formatCode="yyyy/m/d">
                  <c:v>45558</c:v>
                </c:pt>
                <c:pt idx="933" c:formatCode="yyyy/m/d">
                  <c:v>45559</c:v>
                </c:pt>
                <c:pt idx="934" c:formatCode="yyyy/m/d">
                  <c:v>45560</c:v>
                </c:pt>
                <c:pt idx="935" c:formatCode="yyyy/m/d">
                  <c:v>45561</c:v>
                </c:pt>
                <c:pt idx="936" c:formatCode="yyyy/m/d">
                  <c:v>45562</c:v>
                </c:pt>
                <c:pt idx="937" c:formatCode="yyyy/m/d">
                  <c:v>45565</c:v>
                </c:pt>
                <c:pt idx="938" c:formatCode="yyyy/m/d">
                  <c:v>45566</c:v>
                </c:pt>
                <c:pt idx="939" c:formatCode="yyyy/m/d">
                  <c:v>45567</c:v>
                </c:pt>
                <c:pt idx="940" c:formatCode="yyyy/m/d">
                  <c:v>45568</c:v>
                </c:pt>
                <c:pt idx="941" c:formatCode="yyyy/m/d">
                  <c:v>45569</c:v>
                </c:pt>
                <c:pt idx="942" c:formatCode="yyyy/m/d">
                  <c:v>45572</c:v>
                </c:pt>
                <c:pt idx="943" c:formatCode="yyyy/m/d">
                  <c:v>45573</c:v>
                </c:pt>
                <c:pt idx="944" c:formatCode="yyyy/m/d">
                  <c:v>45574</c:v>
                </c:pt>
                <c:pt idx="945" c:formatCode="yyyy/m/d">
                  <c:v>45575</c:v>
                </c:pt>
                <c:pt idx="946" c:formatCode="yyyy/m/d">
                  <c:v>45576</c:v>
                </c:pt>
                <c:pt idx="947" c:formatCode="yyyy/m/d">
                  <c:v>45579</c:v>
                </c:pt>
                <c:pt idx="948" c:formatCode="yyyy/m/d">
                  <c:v>45580</c:v>
                </c:pt>
                <c:pt idx="949" c:formatCode="yyyy/m/d">
                  <c:v>45581</c:v>
                </c:pt>
                <c:pt idx="950" c:formatCode="yyyy/m/d">
                  <c:v>45582</c:v>
                </c:pt>
                <c:pt idx="951" c:formatCode="yyyy/m/d">
                  <c:v>45583</c:v>
                </c:pt>
                <c:pt idx="952" c:formatCode="yyyy/m/d">
                  <c:v>45586</c:v>
                </c:pt>
                <c:pt idx="953" c:formatCode="yyyy/m/d">
                  <c:v>45587</c:v>
                </c:pt>
                <c:pt idx="954" c:formatCode="yyyy/m/d">
                  <c:v>45588</c:v>
                </c:pt>
                <c:pt idx="955" c:formatCode="yyyy/m/d">
                  <c:v>45589</c:v>
                </c:pt>
                <c:pt idx="956" c:formatCode="yyyy/m/d">
                  <c:v>45590</c:v>
                </c:pt>
                <c:pt idx="957" c:formatCode="yyyy/m/d">
                  <c:v>45593</c:v>
                </c:pt>
                <c:pt idx="958" c:formatCode="yyyy/m/d">
                  <c:v>45594</c:v>
                </c:pt>
                <c:pt idx="959" c:formatCode="yyyy/m/d">
                  <c:v>45595</c:v>
                </c:pt>
                <c:pt idx="960" c:formatCode="yyyy/m/d">
                  <c:v>45596</c:v>
                </c:pt>
                <c:pt idx="961" c:formatCode="yyyy/m/d">
                  <c:v>45597</c:v>
                </c:pt>
                <c:pt idx="962" c:formatCode="yyyy/m/d">
                  <c:v>45600</c:v>
                </c:pt>
                <c:pt idx="963" c:formatCode="yyyy/m/d">
                  <c:v>45601</c:v>
                </c:pt>
                <c:pt idx="964" c:formatCode="yyyy/m/d">
                  <c:v>45602</c:v>
                </c:pt>
                <c:pt idx="965" c:formatCode="yyyy/m/d">
                  <c:v>45603</c:v>
                </c:pt>
                <c:pt idx="966" c:formatCode="yyyy/m/d">
                  <c:v>45604</c:v>
                </c:pt>
                <c:pt idx="967" c:formatCode="yyyy/m/d">
                  <c:v>45607</c:v>
                </c:pt>
                <c:pt idx="968" c:formatCode="yyyy/m/d">
                  <c:v>45608</c:v>
                </c:pt>
                <c:pt idx="969" c:formatCode="yyyy/m/d">
                  <c:v>45609</c:v>
                </c:pt>
                <c:pt idx="970" c:formatCode="yyyy/m/d">
                  <c:v>45610</c:v>
                </c:pt>
                <c:pt idx="971" c:formatCode="yyyy/m/d">
                  <c:v>45611</c:v>
                </c:pt>
                <c:pt idx="972" c:formatCode="yyyy/m/d">
                  <c:v>45614</c:v>
                </c:pt>
                <c:pt idx="973" c:formatCode="yyyy/m/d">
                  <c:v>45615</c:v>
                </c:pt>
                <c:pt idx="974" c:formatCode="yyyy/m/d">
                  <c:v>45616</c:v>
                </c:pt>
                <c:pt idx="975" c:formatCode="yyyy/m/d">
                  <c:v>45617</c:v>
                </c:pt>
                <c:pt idx="976" c:formatCode="yyyy/m/d">
                  <c:v>45618</c:v>
                </c:pt>
                <c:pt idx="977" c:formatCode="yyyy/m/d">
                  <c:v>45621</c:v>
                </c:pt>
                <c:pt idx="978" c:formatCode="yyyy/m/d">
                  <c:v>45622</c:v>
                </c:pt>
                <c:pt idx="979" c:formatCode="yyyy/m/d">
                  <c:v>45623</c:v>
                </c:pt>
                <c:pt idx="980" c:formatCode="yyyy/m/d">
                  <c:v>45624</c:v>
                </c:pt>
                <c:pt idx="981" c:formatCode="yyyy/m/d">
                  <c:v>45625</c:v>
                </c:pt>
                <c:pt idx="982" c:formatCode="yyyy/m/d">
                  <c:v>45628</c:v>
                </c:pt>
                <c:pt idx="983" c:formatCode="yyyy/m/d">
                  <c:v>45629</c:v>
                </c:pt>
                <c:pt idx="984" c:formatCode="yyyy/m/d">
                  <c:v>45630</c:v>
                </c:pt>
                <c:pt idx="985" c:formatCode="yyyy/m/d">
                  <c:v>45631</c:v>
                </c:pt>
                <c:pt idx="986" c:formatCode="yyyy/m/d">
                  <c:v>45632</c:v>
                </c:pt>
                <c:pt idx="987" c:formatCode="yyyy/m/d">
                  <c:v>45635</c:v>
                </c:pt>
                <c:pt idx="988" c:formatCode="yyyy/m/d">
                  <c:v>45636</c:v>
                </c:pt>
                <c:pt idx="989" c:formatCode="yyyy/m/d">
                  <c:v>45637</c:v>
                </c:pt>
                <c:pt idx="990" c:formatCode="yyyy/m/d">
                  <c:v>45638</c:v>
                </c:pt>
                <c:pt idx="991" c:formatCode="yyyy/m/d">
                  <c:v>45639</c:v>
                </c:pt>
                <c:pt idx="992" c:formatCode="yyyy/m/d">
                  <c:v>45642</c:v>
                </c:pt>
                <c:pt idx="993" c:formatCode="yyyy/m/d">
                  <c:v>45643</c:v>
                </c:pt>
                <c:pt idx="994" c:formatCode="yyyy/m/d">
                  <c:v>45644</c:v>
                </c:pt>
                <c:pt idx="995" c:formatCode="yyyy/m/d">
                  <c:v>45645</c:v>
                </c:pt>
                <c:pt idx="996" c:formatCode="yyyy/m/d">
                  <c:v>45646</c:v>
                </c:pt>
                <c:pt idx="997" c:formatCode="yyyy/m/d">
                  <c:v>45649</c:v>
                </c:pt>
                <c:pt idx="998" c:formatCode="yyyy/m/d">
                  <c:v>45650</c:v>
                </c:pt>
                <c:pt idx="999" c:formatCode="yyyy/m/d">
                  <c:v>45651</c:v>
                </c:pt>
                <c:pt idx="1000" c:formatCode="yyyy/m/d">
                  <c:v>45652</c:v>
                </c:pt>
                <c:pt idx="1001" c:formatCode="yyyy/m/d">
                  <c:v>45653</c:v>
                </c:pt>
                <c:pt idx="1002" c:formatCode="yyyy/m/d">
                  <c:v>45656</c:v>
                </c:pt>
                <c:pt idx="1003" c:formatCode="yyyy/m/d">
                  <c:v>45657</c:v>
                </c:pt>
                <c:pt idx="1004" c:formatCode="yyyy/m/d">
                  <c:v>45659</c:v>
                </c:pt>
                <c:pt idx="1005" c:formatCode="yyyy/m/d">
                  <c:v>45660</c:v>
                </c:pt>
                <c:pt idx="1006" c:formatCode="yyyy/m/d">
                  <c:v>45663</c:v>
                </c:pt>
                <c:pt idx="1007" c:formatCode="yyyy/m/d">
                  <c:v>45664</c:v>
                </c:pt>
                <c:pt idx="1008" c:formatCode="yyyy/m/d">
                  <c:v>45665</c:v>
                </c:pt>
                <c:pt idx="1009" c:formatCode="yyyy/m/d">
                  <c:v>45666</c:v>
                </c:pt>
                <c:pt idx="1010" c:formatCode="yyyy/m/d">
                  <c:v>45667</c:v>
                </c:pt>
                <c:pt idx="1011" c:formatCode="yyyy/m/d">
                  <c:v>45670</c:v>
                </c:pt>
                <c:pt idx="1012" c:formatCode="yyyy/m/d">
                  <c:v>45671</c:v>
                </c:pt>
                <c:pt idx="1013" c:formatCode="yyyy/m/d">
                  <c:v>45672</c:v>
                </c:pt>
                <c:pt idx="1014" c:formatCode="yyyy/m/d">
                  <c:v>45673</c:v>
                </c:pt>
                <c:pt idx="1015" c:formatCode="yyyy/m/d">
                  <c:v>45674</c:v>
                </c:pt>
                <c:pt idx="1016" c:formatCode="yyyy/m/d">
                  <c:v>45677</c:v>
                </c:pt>
                <c:pt idx="1017" c:formatCode="yyyy/m/d">
                  <c:v>45678</c:v>
                </c:pt>
                <c:pt idx="1018" c:formatCode="yyyy/m/d">
                  <c:v>45679</c:v>
                </c:pt>
                <c:pt idx="1019" c:formatCode="yyyy/m/d">
                  <c:v>45680</c:v>
                </c:pt>
                <c:pt idx="1020" c:formatCode="yyyy/m/d">
                  <c:v>45681</c:v>
                </c:pt>
                <c:pt idx="1021" c:formatCode="yyyy/m/d">
                  <c:v>45684</c:v>
                </c:pt>
                <c:pt idx="1022" c:formatCode="yyyy/m/d">
                  <c:v>45691</c:v>
                </c:pt>
                <c:pt idx="1023" c:formatCode="yyyy/m/d">
                  <c:v>45692</c:v>
                </c:pt>
                <c:pt idx="1024" c:formatCode="yyyy/m/d">
                  <c:v>45693</c:v>
                </c:pt>
                <c:pt idx="1025" c:formatCode="yyyy/m/d">
                  <c:v>45694</c:v>
                </c:pt>
                <c:pt idx="1026" c:formatCode="yyyy/m/d">
                  <c:v>45695</c:v>
                </c:pt>
                <c:pt idx="1027" c:formatCode="yyyy/m/d">
                  <c:v>45698</c:v>
                </c:pt>
                <c:pt idx="1028" c:formatCode="yyyy/m/d">
                  <c:v>45699</c:v>
                </c:pt>
                <c:pt idx="1029" c:formatCode="yyyy/m/d">
                  <c:v>45700</c:v>
                </c:pt>
                <c:pt idx="1030" c:formatCode="yyyy/m/d">
                  <c:v>45701</c:v>
                </c:pt>
                <c:pt idx="1031" c:formatCode="yyyy/m/d">
                  <c:v>45702</c:v>
                </c:pt>
                <c:pt idx="1032" c:formatCode="yyyy/m/d">
                  <c:v>45705</c:v>
                </c:pt>
                <c:pt idx="1033" c:formatCode="yyyy/m/d">
                  <c:v>45706</c:v>
                </c:pt>
                <c:pt idx="1034" c:formatCode="yyyy/m/d">
                  <c:v>45707</c:v>
                </c:pt>
                <c:pt idx="1035" c:formatCode="yyyy/m/d">
                  <c:v>45708</c:v>
                </c:pt>
                <c:pt idx="1036" c:formatCode="yyyy/m/d">
                  <c:v>45709</c:v>
                </c:pt>
                <c:pt idx="1037" c:formatCode="yyyy/m/d">
                  <c:v>45712</c:v>
                </c:pt>
                <c:pt idx="1038" c:formatCode="yyyy/m/d">
                  <c:v>45713</c:v>
                </c:pt>
                <c:pt idx="1039" c:formatCode="yyyy/m/d">
                  <c:v>45714</c:v>
                </c:pt>
                <c:pt idx="1040" c:formatCode="yyyy/m/d">
                  <c:v>45715</c:v>
                </c:pt>
                <c:pt idx="1041" c:formatCode="yyyy/m/d">
                  <c:v>45716</c:v>
                </c:pt>
                <c:pt idx="1042" c:formatCode="yyyy/m/d">
                  <c:v>45719</c:v>
                </c:pt>
                <c:pt idx="1043" c:formatCode="yyyy/m/d">
                  <c:v>45720</c:v>
                </c:pt>
                <c:pt idx="1044" c:formatCode="yyyy/m/d">
                  <c:v>45721</c:v>
                </c:pt>
                <c:pt idx="1045" c:formatCode="yyyy/m/d">
                  <c:v>45722</c:v>
                </c:pt>
                <c:pt idx="1046" c:formatCode="yyyy/m/d">
                  <c:v>45723</c:v>
                </c:pt>
                <c:pt idx="1047" c:formatCode="yyyy/m/d">
                  <c:v>45726</c:v>
                </c:pt>
                <c:pt idx="1048" c:formatCode="yyyy/m/d">
                  <c:v>45727</c:v>
                </c:pt>
                <c:pt idx="1049" c:formatCode="yyyy/m/d">
                  <c:v>45728</c:v>
                </c:pt>
                <c:pt idx="1050" c:formatCode="yyyy/m/d">
                  <c:v>45729</c:v>
                </c:pt>
                <c:pt idx="1051" c:formatCode="yyyy/m/d">
                  <c:v>45730</c:v>
                </c:pt>
                <c:pt idx="1052" c:formatCode="yyyy/m/d">
                  <c:v>45733</c:v>
                </c:pt>
                <c:pt idx="1053" c:formatCode="yyyy/m/d">
                  <c:v>45734</c:v>
                </c:pt>
                <c:pt idx="1054" c:formatCode="yyyy/m/d">
                  <c:v>45735</c:v>
                </c:pt>
                <c:pt idx="1055" c:formatCode="yyyy/m/d">
                  <c:v>45736</c:v>
                </c:pt>
                <c:pt idx="1056" c:formatCode="yyyy/m/d">
                  <c:v>45737</c:v>
                </c:pt>
                <c:pt idx="1057" c:formatCode="yyyy/m/d">
                  <c:v>45740</c:v>
                </c:pt>
                <c:pt idx="1058" c:formatCode="yyyy/m/d">
                  <c:v>45741</c:v>
                </c:pt>
                <c:pt idx="1059" c:formatCode="yyyy/m/d">
                  <c:v>45742</c:v>
                </c:pt>
                <c:pt idx="1060" c:formatCode="yyyy/m/d">
                  <c:v>45743</c:v>
                </c:pt>
                <c:pt idx="1061" c:formatCode="yyyy/m/d">
                  <c:v>45744</c:v>
                </c:pt>
                <c:pt idx="1062" c:formatCode="yyyy/m/d">
                  <c:v>45747</c:v>
                </c:pt>
                <c:pt idx="1063" c:formatCode="yyyy/m/d">
                  <c:v>45748</c:v>
                </c:pt>
                <c:pt idx="1064" c:formatCode="yyyy/m/d">
                  <c:v>45749</c:v>
                </c:pt>
                <c:pt idx="1065" c:formatCode="yyyy/m/d">
                  <c:v>45750</c:v>
                </c:pt>
                <c:pt idx="1066" c:formatCode="yyyy/m/d">
                  <c:v>45754</c:v>
                </c:pt>
                <c:pt idx="1067" c:formatCode="yyyy/m/d">
                  <c:v>45755</c:v>
                </c:pt>
                <c:pt idx="1068" c:formatCode="yyyy/m/d">
                  <c:v>45756</c:v>
                </c:pt>
                <c:pt idx="1069" c:formatCode="yyyy/m/d">
                  <c:v>45757</c:v>
                </c:pt>
                <c:pt idx="1070" c:formatCode="yyyy/m/d">
                  <c:v>45758</c:v>
                </c:pt>
                <c:pt idx="1071" c:formatCode="yyyy/m/d">
                  <c:v>45761</c:v>
                </c:pt>
                <c:pt idx="1072" c:formatCode="yyyy/m/d">
                  <c:v>45762</c:v>
                </c:pt>
                <c:pt idx="1073" c:formatCode="yyyy/m/d">
                  <c:v>45763</c:v>
                </c:pt>
                <c:pt idx="1074" c:formatCode="yyyy/m/d">
                  <c:v>45764</c:v>
                </c:pt>
                <c:pt idx="1075" c:formatCode="yyyy/m/d">
                  <c:v>45765</c:v>
                </c:pt>
                <c:pt idx="1076" c:formatCode="yyyy/m/d">
                  <c:v>45768</c:v>
                </c:pt>
                <c:pt idx="1077" c:formatCode="yyyy/m/d">
                  <c:v>45769</c:v>
                </c:pt>
                <c:pt idx="1078" c:formatCode="yyyy/m/d">
                  <c:v>45770</c:v>
                </c:pt>
                <c:pt idx="1079" c:formatCode="yyyy/m/d">
                  <c:v>45771</c:v>
                </c:pt>
                <c:pt idx="1080" c:formatCode="yyyy/m/d">
                  <c:v>45772</c:v>
                </c:pt>
                <c:pt idx="1081" c:formatCode="yyyy/m/d">
                  <c:v>45775</c:v>
                </c:pt>
                <c:pt idx="1082" c:formatCode="yyyy/m/d">
                  <c:v>45776</c:v>
                </c:pt>
                <c:pt idx="1083" c:formatCode="yyyy/m/d">
                  <c:v>45777</c:v>
                </c:pt>
                <c:pt idx="1084" c:formatCode="yyyy/m/d">
                  <c:v>45779</c:v>
                </c:pt>
                <c:pt idx="1085" c:formatCode="yyyy/m/d">
                  <c:v>45782</c:v>
                </c:pt>
                <c:pt idx="1086" c:formatCode="yyyy/m/d">
                  <c:v>45783</c:v>
                </c:pt>
                <c:pt idx="1087" c:formatCode="yyyy/m/d">
                  <c:v>45784</c:v>
                </c:pt>
                <c:pt idx="1088" c:formatCode="yyyy/m/d">
                  <c:v>45785</c:v>
                </c:pt>
                <c:pt idx="1089" c:formatCode="yyyy/m/d">
                  <c:v>45786</c:v>
                </c:pt>
                <c:pt idx="1090" c:formatCode="yyyy/m/d">
                  <c:v>45789</c:v>
                </c:pt>
                <c:pt idx="1091" c:formatCode="yyyy/m/d">
                  <c:v>45790</c:v>
                </c:pt>
                <c:pt idx="1092" c:formatCode="yyyy/m/d">
                  <c:v>45791</c:v>
                </c:pt>
                <c:pt idx="1093" c:formatCode="yyyy/m/d">
                  <c:v>45792</c:v>
                </c:pt>
                <c:pt idx="1094" c:formatCode="yyyy/m/d">
                  <c:v>45793</c:v>
                </c:pt>
                <c:pt idx="1095" c:formatCode="yyyy/m/d">
                  <c:v>45796</c:v>
                </c:pt>
                <c:pt idx="1096" c:formatCode="yyyy/m/d">
                  <c:v>45797</c:v>
                </c:pt>
                <c:pt idx="1097" c:formatCode="yyyy/m/d">
                  <c:v>45798</c:v>
                </c:pt>
                <c:pt idx="1098" c:formatCode="yyyy/m/d">
                  <c:v>45799</c:v>
                </c:pt>
                <c:pt idx="1099" c:formatCode="yyyy/m/d">
                  <c:v>45800</c:v>
                </c:pt>
                <c:pt idx="1100" c:formatCode="yyyy/m/d">
                  <c:v>45803</c:v>
                </c:pt>
                <c:pt idx="1101" c:formatCode="yyyy/m/d">
                  <c:v>45804</c:v>
                </c:pt>
                <c:pt idx="1102" c:formatCode="yyyy/m/d">
                  <c:v>45805</c:v>
                </c:pt>
                <c:pt idx="1103" c:formatCode="yyyy/m/d">
                  <c:v>45806</c:v>
                </c:pt>
                <c:pt idx="1104" c:formatCode="yyyy/m/d">
                  <c:v>45807</c:v>
                </c:pt>
                <c:pt idx="1105" c:formatCode="yyyy/m/d">
                  <c:v>45810</c:v>
                </c:pt>
                <c:pt idx="1106" c:formatCode="yyyy/m/d">
                  <c:v>45811</c:v>
                </c:pt>
                <c:pt idx="1107" c:formatCode="yyyy/m/d">
                  <c:v>45812</c:v>
                </c:pt>
                <c:pt idx="1108" c:formatCode="yyyy/m/d">
                  <c:v>45813</c:v>
                </c:pt>
                <c:pt idx="1109" c:formatCode="yyyy/m/d">
                  <c:v>45814</c:v>
                </c:pt>
                <c:pt idx="1110" c:formatCode="yyyy/m/d">
                  <c:v>45817</c:v>
                </c:pt>
                <c:pt idx="1111" c:formatCode="yyyy/m/d">
                  <c:v>45818</c:v>
                </c:pt>
                <c:pt idx="1112" c:formatCode="yyyy/m/d">
                  <c:v>45819</c:v>
                </c:pt>
                <c:pt idx="1113" c:formatCode="yyyy/m/d">
                  <c:v>45820</c:v>
                </c:pt>
                <c:pt idx="1114" c:formatCode="yyyy/m/d">
                  <c:v>45821</c:v>
                </c:pt>
                <c:pt idx="1115" c:formatCode="yyyy/m/d">
                  <c:v>45824</c:v>
                </c:pt>
                <c:pt idx="1116" c:formatCode="yyyy/m/d">
                  <c:v>45825</c:v>
                </c:pt>
                <c:pt idx="1117" c:formatCode="yyyy/m/d">
                  <c:v>45826</c:v>
                </c:pt>
                <c:pt idx="1118" c:formatCode="yyyy/m/d">
                  <c:v>45827</c:v>
                </c:pt>
                <c:pt idx="1119" c:formatCode="yyyy/m/d">
                  <c:v>45828</c:v>
                </c:pt>
                <c:pt idx="1120" c:formatCode="yyyy/m/d">
                  <c:v>45831</c:v>
                </c:pt>
                <c:pt idx="1121" c:formatCode="yyyy/m/d">
                  <c:v>45832</c:v>
                </c:pt>
                <c:pt idx="1122" c:formatCode="yyyy/m/d">
                  <c:v>45833</c:v>
                </c:pt>
                <c:pt idx="1123" c:formatCode="yyyy/m/d">
                  <c:v>45834</c:v>
                </c:pt>
                <c:pt idx="1124" c:formatCode="yyyy/m/d">
                  <c:v>45835</c:v>
                </c:pt>
                <c:pt idx="1125" c:formatCode="yyyy/m/d">
                  <c:v>45838</c:v>
                </c:pt>
                <c:pt idx="1126" c:formatCode="yyyy/m/d">
                  <c:v>45839</c:v>
                </c:pt>
                <c:pt idx="1127" c:formatCode="yyyy/m/d">
                  <c:v>45840</c:v>
                </c:pt>
                <c:pt idx="1128" c:formatCode="yyyy/m/d">
                  <c:v>45841</c:v>
                </c:pt>
                <c:pt idx="1129" c:formatCode="yyyy/m/d">
                  <c:v>45842</c:v>
                </c:pt>
                <c:pt idx="1130" c:formatCode="yyyy/m/d">
                  <c:v>45845</c:v>
                </c:pt>
                <c:pt idx="1131" c:formatCode="yyyy/m/d">
                  <c:v>45846</c:v>
                </c:pt>
                <c:pt idx="1132" c:formatCode="yyyy/m/d">
                  <c:v>45847</c:v>
                </c:pt>
                <c:pt idx="1133" c:formatCode="yyyy/m/d">
                  <c:v>45848</c:v>
                </c:pt>
                <c:pt idx="1134" c:formatCode="yyyy/m/d">
                  <c:v>45849</c:v>
                </c:pt>
                <c:pt idx="1135" c:formatCode="yyyy/m/d">
                  <c:v>45852</c:v>
                </c:pt>
                <c:pt idx="1136" c:formatCode="yyyy/m/d">
                  <c:v>45853</c:v>
                </c:pt>
                <c:pt idx="1137" c:formatCode="yyyy/m/d">
                  <c:v>45854</c:v>
                </c:pt>
                <c:pt idx="1138" c:formatCode="yyyy/m/d">
                  <c:v>45855</c:v>
                </c:pt>
                <c:pt idx="1139" c:formatCode="yyyy/m/d">
                  <c:v>45856</c:v>
                </c:pt>
                <c:pt idx="1140" c:formatCode="yyyy/m/d">
                  <c:v>45859</c:v>
                </c:pt>
                <c:pt idx="1141" c:formatCode="yyyy/m/d">
                  <c:v>45860</c:v>
                </c:pt>
                <c:pt idx="1142" c:formatCode="yyyy/m/d">
                  <c:v>45861</c:v>
                </c:pt>
                <c:pt idx="1143" c:formatCode="yyyy/m/d">
                  <c:v>45862</c:v>
                </c:pt>
                <c:pt idx="1144" c:formatCode="yyyy/m/d">
                  <c:v>45863</c:v>
                </c:pt>
                <c:pt idx="1145" c:formatCode="yyyy/m/d">
                  <c:v>45866</c:v>
                </c:pt>
                <c:pt idx="1146" c:formatCode="yyyy/m/d">
                  <c:v>45867</c:v>
                </c:pt>
                <c:pt idx="1147" c:formatCode="yyyy/m/d">
                  <c:v>45868</c:v>
                </c:pt>
                <c:pt idx="1148" c:formatCode="yyyy/m/d">
                  <c:v>45869</c:v>
                </c:pt>
                <c:pt idx="1149" c:formatCode="yyyy/m/d">
                  <c:v>45870</c:v>
                </c:pt>
                <c:pt idx="1150" c:formatCode="yyyy/m/d">
                  <c:v>45873</c:v>
                </c:pt>
                <c:pt idx="1151" c:formatCode="yyyy/m/d">
                  <c:v>45874</c:v>
                </c:pt>
                <c:pt idx="1152" c:formatCode="yyyy/m/d">
                  <c:v>45875</c:v>
                </c:pt>
                <c:pt idx="1153" c:formatCode="yyyy/m/d">
                  <c:v>45876</c:v>
                </c:pt>
                <c:pt idx="1154" c:formatCode="yyyy/m/d">
                  <c:v>45877</c:v>
                </c:pt>
                <c:pt idx="1155" c:formatCode="yyyy/m/d">
                  <c:v>45880</c:v>
                </c:pt>
                <c:pt idx="1156" c:formatCode="yyyy/m/d">
                  <c:v>45881</c:v>
                </c:pt>
                <c:pt idx="1157" c:formatCode="yyyy/m/d">
                  <c:v>45882</c:v>
                </c:pt>
                <c:pt idx="1158" c:formatCode="yyyy/m/d">
                  <c:v>45883</c:v>
                </c:pt>
                <c:pt idx="1159" c:formatCode="yyyy/m/d">
                  <c:v>45884</c:v>
                </c:pt>
                <c:pt idx="1160" c:formatCode="yyyy/m/d">
                  <c:v>45887</c:v>
                </c:pt>
                <c:pt idx="1161" c:formatCode="yyyy/m/d">
                  <c:v>45888</c:v>
                </c:pt>
                <c:pt idx="1162" c:formatCode="yyyy/m/d">
                  <c:v>45889</c:v>
                </c:pt>
                <c:pt idx="1163" c:formatCode="yyyy/m/d">
                  <c:v>45890</c:v>
                </c:pt>
                <c:pt idx="1164" c:formatCode="yyyy/m/d">
                  <c:v>45891</c:v>
                </c:pt>
                <c:pt idx="1165" c:formatCode="yyyy/m/d">
                  <c:v>45894</c:v>
                </c:pt>
                <c:pt idx="1166" c:formatCode="yyyy/m/d">
                  <c:v>45895</c:v>
                </c:pt>
                <c:pt idx="1167" c:formatCode="yyyy/m/d">
                  <c:v>45896</c:v>
                </c:pt>
                <c:pt idx="1168" c:formatCode="yyyy/m/d">
                  <c:v>45897</c:v>
                </c:pt>
                <c:pt idx="1169" c:formatCode="yyyy/m/d">
                  <c:v>45898</c:v>
                </c:pt>
                <c:pt idx="1170" c:formatCode="yyyy/m/d">
                  <c:v>45901</c:v>
                </c:pt>
                <c:pt idx="1171" c:formatCode="yyyy/m/d">
                  <c:v>45902</c:v>
                </c:pt>
                <c:pt idx="1172" c:formatCode="yyyy/m/d">
                  <c:v>45903</c:v>
                </c:pt>
                <c:pt idx="1173" c:formatCode="yyyy/m/d">
                  <c:v>45904</c:v>
                </c:pt>
                <c:pt idx="1174" c:formatCode="yyyy/m/d">
                  <c:v>45905</c:v>
                </c:pt>
                <c:pt idx="1175" c:formatCode="yyyy/m/d">
                  <c:v>45908</c:v>
                </c:pt>
                <c:pt idx="1176" c:formatCode="yyyy/m/d">
                  <c:v>45909</c:v>
                </c:pt>
                <c:pt idx="1177" c:formatCode="yyyy/m/d">
                  <c:v>45910</c:v>
                </c:pt>
                <c:pt idx="1178" c:formatCode="yyyy/m/d">
                  <c:v>45911</c:v>
                </c:pt>
                <c:pt idx="1179" c:formatCode="yyyy/m/d">
                  <c:v>45912</c:v>
                </c:pt>
                <c:pt idx="1180" c:formatCode="yyyy/m/d">
                  <c:v>45915</c:v>
                </c:pt>
                <c:pt idx="1181" c:formatCode="yyyy/m/d">
                  <c:v>45916</c:v>
                </c:pt>
                <c:pt idx="1182" c:formatCode="yyyy/m/d">
                  <c:v>45917</c:v>
                </c:pt>
                <c:pt idx="1183" c:formatCode="yyyy/m/d">
                  <c:v>45918</c:v>
                </c:pt>
                <c:pt idx="1184" c:formatCode="yyyy/m/d">
                  <c:v>45919</c:v>
                </c:pt>
                <c:pt idx="1185" c:formatCode="yyyy/m/d">
                  <c:v>45922</c:v>
                </c:pt>
                <c:pt idx="1186" c:formatCode="yyyy/m/d">
                  <c:v>45923</c:v>
                </c:pt>
                <c:pt idx="1187" c:formatCode="yyyy/m/d">
                  <c:v>45924</c:v>
                </c:pt>
                <c:pt idx="1188" c:formatCode="yyyy/m/d">
                  <c:v>45925</c:v>
                </c:pt>
                <c:pt idx="1189" c:formatCode="yyyy/m/d">
                  <c:v>45926</c:v>
                </c:pt>
                <c:pt idx="1190" c:formatCode="yyyy/m/d">
                  <c:v>45929</c:v>
                </c:pt>
                <c:pt idx="1191" c:formatCode="yyyy/m/d">
                  <c:v>45930</c:v>
                </c:pt>
                <c:pt idx="1192" c:formatCode="yyyy/m/d">
                  <c:v>45931</c:v>
                </c:pt>
                <c:pt idx="1193" c:formatCode="yyyy/m/d">
                  <c:v>45932</c:v>
                </c:pt>
                <c:pt idx="1194" c:formatCode="yyyy/m/d">
                  <c:v>45933</c:v>
                </c:pt>
                <c:pt idx="1195" c:formatCode="yyyy/m/d">
                  <c:v>45936</c:v>
                </c:pt>
                <c:pt idx="1196" c:formatCode="yyyy/m/d">
                  <c:v>45937</c:v>
                </c:pt>
                <c:pt idx="1197" c:formatCode="yyyy/m/d">
                  <c:v>45938</c:v>
                </c:pt>
                <c:pt idx="1198" c:formatCode="yyyy/m/d">
                  <c:v>45939</c:v>
                </c:pt>
                <c:pt idx="1199" c:formatCode="yyyy/m/d">
                  <c:v>45940</c:v>
                </c:pt>
                <c:pt idx="1200" c:formatCode="yyyy/m/d">
                  <c:v>45943</c:v>
                </c:pt>
                <c:pt idx="1201" c:formatCode="yyyy/m/d">
                  <c:v>45944</c:v>
                </c:pt>
                <c:pt idx="1202" c:formatCode="yyyy/m/d">
                  <c:v>45945</c:v>
                </c:pt>
                <c:pt idx="1203" c:formatCode="yyyy/m/d">
                  <c:v>45946</c:v>
                </c:pt>
                <c:pt idx="1204" c:formatCode="yyyy/m/d">
                  <c:v>45947</c:v>
                </c:pt>
                <c:pt idx="1205" c:formatCode="yyyy/m/d">
                  <c:v>45950</c:v>
                </c:pt>
                <c:pt idx="1206" c:formatCode="yyyy/m/d">
                  <c:v>45951</c:v>
                </c:pt>
                <c:pt idx="1207" c:formatCode="yyyy/m/d">
                  <c:v>45952</c:v>
                </c:pt>
                <c:pt idx="1208" c:formatCode="yyyy/m/d">
                  <c:v>45953</c:v>
                </c:pt>
                <c:pt idx="1209" c:formatCode="yyyy/m/d">
                  <c:v>45954</c:v>
                </c:pt>
                <c:pt idx="1210" c:formatCode="yyyy/m/d">
                  <c:v>45957</c:v>
                </c:pt>
                <c:pt idx="1211" c:formatCode="yyyy/m/d">
                  <c:v>45958</c:v>
                </c:pt>
                <c:pt idx="1212" c:formatCode="yyyy/m/d">
                  <c:v>45959</c:v>
                </c:pt>
                <c:pt idx="1213" c:formatCode="yyyy/m/d">
                  <c:v>45960</c:v>
                </c:pt>
                <c:pt idx="1214" c:formatCode="yyyy/m/d">
                  <c:v>45961</c:v>
                </c:pt>
                <c:pt idx="1215" c:formatCode="yyyy/m/d">
                  <c:v>45964</c:v>
                </c:pt>
                <c:pt idx="1216" c:formatCode="yyyy/m/d">
                  <c:v>45965</c:v>
                </c:pt>
                <c:pt idx="1217" c:formatCode="yyyy/m/d">
                  <c:v>45966</c:v>
                </c:pt>
                <c:pt idx="1218" c:formatCode="yyyy/m/d">
                  <c:v>45967</c:v>
                </c:pt>
                <c:pt idx="1219" c:formatCode="yyyy/m/d">
                  <c:v>45968</c:v>
                </c:pt>
                <c:pt idx="1220" c:formatCode="yyyy/m/d">
                  <c:v>45971</c:v>
                </c:pt>
                <c:pt idx="1221" c:formatCode="yyyy/m/d">
                  <c:v>45972</c:v>
                </c:pt>
                <c:pt idx="1222" c:formatCode="yyyy/m/d">
                  <c:v>45973</c:v>
                </c:pt>
                <c:pt idx="1223" c:formatCode="yyyy/m/d">
                  <c:v>45974</c:v>
                </c:pt>
                <c:pt idx="1224" c:formatCode="yyyy/m/d">
                  <c:v>45975</c:v>
                </c:pt>
                <c:pt idx="1225" c:formatCode="yyyy/m/d">
                  <c:v>45978</c:v>
                </c:pt>
                <c:pt idx="1226" c:formatCode="yyyy/m/d">
                  <c:v>45979</c:v>
                </c:pt>
                <c:pt idx="1227" c:formatCode="yyyy/m/d">
                  <c:v>45980</c:v>
                </c:pt>
                <c:pt idx="1228" c:formatCode="yyyy/m/d">
                  <c:v>45981</c:v>
                </c:pt>
                <c:pt idx="1229" c:formatCode="yyyy/m/d">
                  <c:v>45982</c:v>
                </c:pt>
                <c:pt idx="1230" c:formatCode="yyyy/m/d">
                  <c:v>45985</c:v>
                </c:pt>
                <c:pt idx="1231" c:formatCode="yyyy/m/d">
                  <c:v>45986</c:v>
                </c:pt>
                <c:pt idx="1232" c:formatCode="yyyy/m/d">
                  <c:v>45987</c:v>
                </c:pt>
                <c:pt idx="1233" c:formatCode="yyyy/m/d">
                  <c:v>45988</c:v>
                </c:pt>
                <c:pt idx="1234" c:formatCode="yyyy/m/d">
                  <c:v>45989</c:v>
                </c:pt>
                <c:pt idx="1235" c:formatCode="yyyy/m/d">
                  <c:v>45992</c:v>
                </c:pt>
                <c:pt idx="1236" c:formatCode="yyyy/m/d">
                  <c:v>45993</c:v>
                </c:pt>
                <c:pt idx="1237" c:formatCode="yyyy/m/d">
                  <c:v>45994</c:v>
                </c:pt>
                <c:pt idx="1238" c:formatCode="yyyy/m/d">
                  <c:v>45995</c:v>
                </c:pt>
                <c:pt idx="1239" c:formatCode="yyyy/m/d">
                  <c:v>45996</c:v>
                </c:pt>
                <c:pt idx="1240" c:formatCode="yyyy/m/d">
                  <c:v>45999</c:v>
                </c:pt>
                <c:pt idx="1241" c:formatCode="yyyy/m/d">
                  <c:v>46000</c:v>
                </c:pt>
                <c:pt idx="1242" c:formatCode="yyyy/m/d">
                  <c:v>46001</c:v>
                </c:pt>
                <c:pt idx="1243" c:formatCode="yyyy/m/d">
                  <c:v>46002</c:v>
                </c:pt>
                <c:pt idx="1244" c:formatCode="yyyy/m/d">
                  <c:v>46003</c:v>
                </c:pt>
                <c:pt idx="1245" c:formatCode="yyyy/m/d">
                  <c:v>46006</c:v>
                </c:pt>
                <c:pt idx="1246" c:formatCode="yyyy/m/d">
                  <c:v>46007</c:v>
                </c:pt>
                <c:pt idx="1247" c:formatCode="yyyy/m/d">
                  <c:v>46008</c:v>
                </c:pt>
                <c:pt idx="1248" c:formatCode="yyyy/m/d">
                  <c:v>46009</c:v>
                </c:pt>
                <c:pt idx="1249" c:formatCode="yyyy/m/d">
                  <c:v>46010</c:v>
                </c:pt>
                <c:pt idx="1250" c:formatCode="yyyy/m/d">
                  <c:v>46013</c:v>
                </c:pt>
                <c:pt idx="1251" c:formatCode="yyyy/m/d">
                  <c:v>46014</c:v>
                </c:pt>
                <c:pt idx="1252" c:formatCode="yyyy/m/d">
                  <c:v>46015</c:v>
                </c:pt>
                <c:pt idx="1253" c:formatCode="yyyy/m/d">
                  <c:v>46016</c:v>
                </c:pt>
                <c:pt idx="1254" c:formatCode="yyyy/m/d">
                  <c:v>46017</c:v>
                </c:pt>
                <c:pt idx="1255" c:formatCode="yyyy/m/d">
                  <c:v>46020</c:v>
                </c:pt>
                <c:pt idx="1256" c:formatCode="yyyy/m/d">
                  <c:v>46021</c:v>
                </c:pt>
                <c:pt idx="1257" c:formatCode="yyyy/m/d">
                  <c:v>46022</c:v>
                </c:pt>
                <c:pt idx="1258" c:formatCode="yyyy/m/d">
                  <c:v>46024</c:v>
                </c:pt>
                <c:pt idx="1259" c:formatCode="yyyy/m/d">
                  <c:v>46027</c:v>
                </c:pt>
                <c:pt idx="1260" c:formatCode="yyyy/m/d">
                  <c:v>46028</c:v>
                </c:pt>
                <c:pt idx="1261" c:formatCode="yyyy/m/d">
                  <c:v>46029</c:v>
                </c:pt>
                <c:pt idx="1262" c:formatCode="yyyy/m/d">
                  <c:v>46030</c:v>
                </c:pt>
                <c:pt idx="1263" c:formatCode="yyyy/m/d">
                  <c:v>46031</c:v>
                </c:pt>
                <c:pt idx="1264" c:formatCode="yyyy/m/d">
                  <c:v>46034</c:v>
                </c:pt>
                <c:pt idx="1265" c:formatCode="yyyy/m/d">
                  <c:v>46035</c:v>
                </c:pt>
                <c:pt idx="1266" c:formatCode="yyyy/m/d">
                  <c:v>46036</c:v>
                </c:pt>
                <c:pt idx="1267" c:formatCode="yyyy/m/d">
                  <c:v>46037</c:v>
                </c:pt>
                <c:pt idx="1268" c:formatCode="yyyy/m/d">
                  <c:v>46038</c:v>
                </c:pt>
                <c:pt idx="1269" c:formatCode="yyyy/m/d">
                  <c:v>46041</c:v>
                </c:pt>
                <c:pt idx="1270" c:formatCode="yyyy/m/d">
                  <c:v>46042</c:v>
                </c:pt>
                <c:pt idx="1271" c:formatCode="yyyy/m/d">
                  <c:v>46043</c:v>
                </c:pt>
                <c:pt idx="1272" c:formatCode="yyyy/m/d">
                  <c:v>46044</c:v>
                </c:pt>
                <c:pt idx="1273" c:formatCode="yyyy/m/d">
                  <c:v>46045</c:v>
                </c:pt>
                <c:pt idx="1274" c:formatCode="yyyy/m/d">
                  <c:v>46048</c:v>
                </c:pt>
                <c:pt idx="1275" c:formatCode="yyyy/m/d">
                  <c:v>46049</c:v>
                </c:pt>
                <c:pt idx="1276" c:formatCode="yyyy/m/d">
                  <c:v>46050</c:v>
                </c:pt>
                <c:pt idx="1277" c:formatCode="yyyy/m/d">
                  <c:v>46051</c:v>
                </c:pt>
                <c:pt idx="1278" c:formatCode="yyyy/m/d">
                  <c:v>46052</c:v>
                </c:pt>
                <c:pt idx="1279" c:formatCode="yyyy/m/d">
                  <c:v>46055</c:v>
                </c:pt>
                <c:pt idx="1280" c:formatCode="yyyy/m/d">
                  <c:v>46056</c:v>
                </c:pt>
                <c:pt idx="1281" c:formatCode="yyyy/m/d">
                  <c:v>46057</c:v>
                </c:pt>
                <c:pt idx="1282" c:formatCode="yyyy/m/d">
                  <c:v>46058</c:v>
                </c:pt>
                <c:pt idx="1283" c:formatCode="yyyy/m/d">
                  <c:v>46059</c:v>
                </c:pt>
                <c:pt idx="1284" c:formatCode="yyyy/m/d">
                  <c:v>46062</c:v>
                </c:pt>
                <c:pt idx="1285" c:formatCode="yyyy/m/d">
                  <c:v>46063</c:v>
                </c:pt>
                <c:pt idx="1286" c:formatCode="yyyy/m/d">
                  <c:v>46064</c:v>
                </c:pt>
                <c:pt idx="1287" c:formatCode="yyyy/m/d">
                  <c:v>46065</c:v>
                </c:pt>
                <c:pt idx="1288" c:formatCode="yyyy/m/d">
                  <c:v>46066</c:v>
                </c:pt>
                <c:pt idx="1289" c:formatCode="yyyy/m/d">
                  <c:v>46076</c:v>
                </c:pt>
                <c:pt idx="1290" c:formatCode="yyyy/m/d">
                  <c:v>46077</c:v>
                </c:pt>
                <c:pt idx="1291" c:formatCode="yyyy/m/d">
                  <c:v>46078</c:v>
                </c:pt>
                <c:pt idx="1292" c:formatCode="yyyy/m/d">
                  <c:v>46079</c:v>
                </c:pt>
                <c:pt idx="1293" c:formatCode="yyyy/m/d">
                  <c:v>46080</c:v>
                </c:pt>
                <c:pt idx="1294" c:formatCode="yyyy/m/d">
                  <c:v>46083</c:v>
                </c:pt>
                <c:pt idx="1295" c:formatCode="yyyy/m/d">
                  <c:v>46084</c:v>
                </c:pt>
                <c:pt idx="1296" c:formatCode="yyyy/m/d">
                  <c:v>46085</c:v>
                </c:pt>
                <c:pt idx="1297" c:formatCode="yyyy/m/d">
                  <c:v>46086</c:v>
                </c:pt>
                <c:pt idx="1298" c:formatCode="yyyy/m/d">
                  <c:v>46087</c:v>
                </c:pt>
                <c:pt idx="1299" c:formatCode="yyyy/m/d">
                  <c:v>46090</c:v>
                </c:pt>
                <c:pt idx="1300" c:formatCode="yyyy/m/d">
                  <c:v>46091</c:v>
                </c:pt>
                <c:pt idx="1301" c:formatCode="yyyy/m/d">
                  <c:v>46092</c:v>
                </c:pt>
                <c:pt idx="1302" c:formatCode="yyyy/m/d">
                  <c:v>46093</c:v>
                </c:pt>
                <c:pt idx="1303" c:formatCode="yyyy/m/d">
                  <c:v>46094</c:v>
                </c:pt>
                <c:pt idx="1304" c:formatCode="yyyy/m/d">
                  <c:v>46097</c:v>
                </c:pt>
                <c:pt idx="1305" c:formatCode="yyyy/m/d">
                  <c:v>46098</c:v>
                </c:pt>
                <c:pt idx="1306" c:formatCode="yyyy/m/d">
                  <c:v>46099</c:v>
                </c:pt>
                <c:pt idx="1307" c:formatCode="yyyy/m/d">
                  <c:v>46100</c:v>
                </c:pt>
                <c:pt idx="1308" c:formatCode="yyyy/m/d">
                  <c:v>46101</c:v>
                </c:pt>
                <c:pt idx="1309" c:formatCode="yyyy/m/d">
                  <c:v>46104</c:v>
                </c:pt>
                <c:pt idx="1310" c:formatCode="yyyy/m/d">
                  <c:v>46105</c:v>
                </c:pt>
                <c:pt idx="1311" c:formatCode="yyyy/m/d">
                  <c:v>46106</c:v>
                </c:pt>
                <c:pt idx="1312" c:formatCode="yyyy/m/d">
                  <c:v>46107</c:v>
                </c:pt>
                <c:pt idx="1313" c:formatCode="yyyy/m/d">
                  <c:v>46108</c:v>
                </c:pt>
                <c:pt idx="1314" c:formatCode="yyyy/m/d">
                  <c:v>46111</c:v>
                </c:pt>
                <c:pt idx="1315" c:formatCode="yyyy/m/d">
                  <c:v>46112</c:v>
                </c:pt>
                <c:pt idx="1316" c:formatCode="yyyy/m/d">
                  <c:v>46113</c:v>
                </c:pt>
                <c:pt idx="1317" c:formatCode="yyyy/m/d">
                  <c:v>46114</c:v>
                </c:pt>
                <c:pt idx="1318" c:formatCode="yyyy/m/d">
                  <c:v>46115</c:v>
                </c:pt>
                <c:pt idx="1319" c:formatCode="yyyy/m/d">
                  <c:v>46119</c:v>
                </c:pt>
                <c:pt idx="1320" c:formatCode="yyyy/m/d">
                  <c:v>46120</c:v>
                </c:pt>
                <c:pt idx="1321" c:formatCode="yyyy/m/d">
                  <c:v>46121</c:v>
                </c:pt>
                <c:pt idx="1322" c:formatCode="yyyy/m/d">
                  <c:v>46122</c:v>
                </c:pt>
                <c:pt idx="1323" c:formatCode="yyyy/m/d">
                  <c:v>46125</c:v>
                </c:pt>
                <c:pt idx="1324" c:formatCode="yyyy/m/d">
                  <c:v>46126</c:v>
                </c:pt>
                <c:pt idx="1325" c:formatCode="yyyy/m/d">
                  <c:v>46127</c:v>
                </c:pt>
                <c:pt idx="1326" c:formatCode="yyyy/m/d">
                  <c:v>46128</c:v>
                </c:pt>
                <c:pt idx="1327" c:formatCode="yyyy/m/d">
                  <c:v>46129</c:v>
                </c:pt>
                <c:pt idx="1328" c:formatCode="yyyy/m/d">
                  <c:v>46132</c:v>
                </c:pt>
                <c:pt idx="1329" c:formatCode="yyyy/m/d">
                  <c:v>46133</c:v>
                </c:pt>
                <c:pt idx="1330" c:formatCode="yyyy/m/d">
                  <c:v>46134</c:v>
                </c:pt>
                <c:pt idx="1331" c:formatCode="yyyy/m/d">
                  <c:v>46135</c:v>
                </c:pt>
                <c:pt idx="1332" c:formatCode="yyyy/m/d">
                  <c:v>46136</c:v>
                </c:pt>
                <c:pt idx="1333" c:formatCode="yyyy/m/d">
                  <c:v>46139</c:v>
                </c:pt>
                <c:pt idx="1334" c:formatCode="yyyy/m/d">
                  <c:v>46140</c:v>
                </c:pt>
                <c:pt idx="1335" c:formatCode="yyyy/m/d">
                  <c:v>46141</c:v>
                </c:pt>
                <c:pt idx="1336" c:formatCode="yyyy/m/d">
                  <c:v>46142</c:v>
                </c:pt>
                <c:pt idx="1337" c:formatCode="yyyy/m/d">
                  <c:v>46146</c:v>
                </c:pt>
                <c:pt idx="1338" c:formatCode="yyyy/m/d">
                  <c:v>46147</c:v>
                </c:pt>
                <c:pt idx="1339" c:formatCode="yyyy/m/d">
                  <c:v>46148</c:v>
                </c:pt>
                <c:pt idx="1340" c:formatCode="yyyy/m/d">
                  <c:v>46149</c:v>
                </c:pt>
                <c:pt idx="1341" c:formatCode="yyyy/m/d">
                  <c:v>46150</c:v>
                </c:pt>
                <c:pt idx="1342" c:formatCode="yyyy/m/d">
                  <c:v>46153</c:v>
                </c:pt>
                <c:pt idx="1343" c:formatCode="yyyy/m/d">
                  <c:v>46154</c:v>
                </c:pt>
                <c:pt idx="1344" c:formatCode="yyyy/m/d">
                  <c:v>46155</c:v>
                </c:pt>
                <c:pt idx="1345" c:formatCode="yyyy/m/d">
                  <c:v>46156</c:v>
                </c:pt>
                <c:pt idx="1346" c:formatCode="yyyy/m/d">
                  <c:v>46157</c:v>
                </c:pt>
                <c:pt idx="1347" c:formatCode="yyyy/m/d">
                  <c:v>46160</c:v>
                </c:pt>
                <c:pt idx="1348" c:formatCode="yyyy/m/d">
                  <c:v>46161</c:v>
                </c:pt>
                <c:pt idx="1349" c:formatCode="yyyy/m/d">
                  <c:v>46162</c:v>
                </c:pt>
                <c:pt idx="1350" c:formatCode="yyyy/m/d">
                  <c:v>46163</c:v>
                </c:pt>
                <c:pt idx="1351" c:formatCode="yyyy/m/d">
                  <c:v>46164</c:v>
                </c:pt>
                <c:pt idx="1352" c:formatCode="yyyy/m/d">
                  <c:v>46167</c:v>
                </c:pt>
                <c:pt idx="1353" c:formatCode="yyyy/m/d">
                  <c:v>46168</c:v>
                </c:pt>
                <c:pt idx="1354" c:formatCode="yyyy/m/d">
                  <c:v>46169</c:v>
                </c:pt>
                <c:pt idx="1355" c:formatCode="yyyy/m/d">
                  <c:v>46170</c:v>
                </c:pt>
                <c:pt idx="1356" c:formatCode="yyyy/m/d">
                  <c:v>46171</c:v>
                </c:pt>
                <c:pt idx="1357" c:formatCode="yyyy/m/d">
                  <c:v>46174</c:v>
                </c:pt>
              </c:numCache>
            </c:numRef>
          </c:cat>
          <c:val>
            <c:numRef>
              <c:f>DRAM!$N$1245:$N$3000</c:f>
              <c:numCache>
                <c:formatCode>0.00%</c:formatCode>
                <c:ptCount val="1756"/>
                <c:pt idx="0">
                  <c:v>0</c:v>
                </c:pt>
                <c:pt idx="1">
                  <c:v>0</c:v>
                </c:pt>
                <c:pt idx="2">
                  <c:v>0</c:v>
                </c:pt>
                <c:pt idx="3">
                  <c:v>0</c:v>
                </c:pt>
                <c:pt idx="4">
                  <c:v>0</c:v>
                </c:pt>
                <c:pt idx="5">
                  <c:v>0</c:v>
                </c:pt>
                <c:pt idx="6">
                  <c:v>-0.0101156069364162</c:v>
                </c:pt>
                <c:pt idx="7">
                  <c:v>0</c:v>
                </c:pt>
                <c:pt idx="8">
                  <c:v>0</c:v>
                </c:pt>
                <c:pt idx="9">
                  <c:v>0.0072992700729928</c:v>
                </c:pt>
                <c:pt idx="10">
                  <c:v>0</c:v>
                </c:pt>
                <c:pt idx="11">
                  <c:v>0.0043478260869565</c:v>
                </c:pt>
                <c:pt idx="12">
                  <c:v>0</c:v>
                </c:pt>
                <c:pt idx="13">
                  <c:v>0</c:v>
                </c:pt>
                <c:pt idx="14">
                  <c:v>0.00144300144300158</c:v>
                </c:pt>
                <c:pt idx="15">
                  <c:v>0</c:v>
                </c:pt>
                <c:pt idx="16">
                  <c:v>0.015850144092219</c:v>
                </c:pt>
                <c:pt idx="17">
                  <c:v>0.00283687943262412</c:v>
                </c:pt>
                <c:pt idx="18">
                  <c:v>0.0212164073550212</c:v>
                </c:pt>
                <c:pt idx="19">
                  <c:v>0.0207756232686982</c:v>
                </c:pt>
                <c:pt idx="20">
                  <c:v>0.00407055630936237</c:v>
                </c:pt>
                <c:pt idx="21">
                  <c:v>0.00270270270270268</c:v>
                </c:pt>
                <c:pt idx="22">
                  <c:v>0</c:v>
                </c:pt>
                <c:pt idx="23">
                  <c:v>0.00269541778975757</c:v>
                </c:pt>
                <c:pt idx="24">
                  <c:v>0</c:v>
                </c:pt>
                <c:pt idx="25">
                  <c:v>0</c:v>
                </c:pt>
                <c:pt idx="26">
                  <c:v>0.00403225806451601</c:v>
                </c:pt>
                <c:pt idx="27">
                  <c:v>0</c:v>
                </c:pt>
                <c:pt idx="28">
                  <c:v>0.00401606425702816</c:v>
                </c:pt>
                <c:pt idx="29">
                  <c:v>0.044</c:v>
                </c:pt>
                <c:pt idx="30">
                  <c:v>0.0191570881226053</c:v>
                </c:pt>
                <c:pt idx="31">
                  <c:v>0.0213032581453634</c:v>
                </c:pt>
                <c:pt idx="32">
                  <c:v>0.0184049079754602</c:v>
                </c:pt>
                <c:pt idx="33">
                  <c:v>0.0120481927710843</c:v>
                </c:pt>
                <c:pt idx="34">
                  <c:v>0.0178571428571428</c:v>
                </c:pt>
                <c:pt idx="35">
                  <c:v>0.0175438596491226</c:v>
                </c:pt>
                <c:pt idx="36">
                  <c:v>0.00574712643678166</c:v>
                </c:pt>
                <c:pt idx="37">
                  <c:v>0.0114285714285713</c:v>
                </c:pt>
                <c:pt idx="38">
                  <c:v>0</c:v>
                </c:pt>
                <c:pt idx="39">
                  <c:v>0</c:v>
                </c:pt>
                <c:pt idx="40">
                  <c:v>0</c:v>
                </c:pt>
                <c:pt idx="41">
                  <c:v>0</c:v>
                </c:pt>
                <c:pt idx="42">
                  <c:v>0</c:v>
                </c:pt>
                <c:pt idx="43">
                  <c:v>0.0112994350282485</c:v>
                </c:pt>
                <c:pt idx="44">
                  <c:v>0</c:v>
                </c:pt>
                <c:pt idx="45">
                  <c:v>0.005586592178771</c:v>
                </c:pt>
                <c:pt idx="46">
                  <c:v>0</c:v>
                </c:pt>
                <c:pt idx="47">
                  <c:v>-0.0111111111111111</c:v>
                </c:pt>
                <c:pt idx="48">
                  <c:v>-0.0112359550561797</c:v>
                </c:pt>
                <c:pt idx="49">
                  <c:v>-0.00568181818181823</c:v>
                </c:pt>
                <c:pt idx="50">
                  <c:v>-0.00571428571428578</c:v>
                </c:pt>
                <c:pt idx="51">
                  <c:v>-0.0114942528735632</c:v>
                </c:pt>
                <c:pt idx="52">
                  <c:v>0</c:v>
                </c:pt>
                <c:pt idx="53">
                  <c:v>0</c:v>
                </c:pt>
                <c:pt idx="54">
                  <c:v>-0.00581395348837199</c:v>
                </c:pt>
                <c:pt idx="55">
                  <c:v>-0.00584795321637432</c:v>
                </c:pt>
                <c:pt idx="56">
                  <c:v>-0.00352941176470578</c:v>
                </c:pt>
                <c:pt idx="57">
                  <c:v>-0.00590318772136966</c:v>
                </c:pt>
                <c:pt idx="58">
                  <c:v>-0.00237529691211391</c:v>
                </c:pt>
                <c:pt idx="59">
                  <c:v>-0.00595238095238104</c:v>
                </c:pt>
                <c:pt idx="60">
                  <c:v>0</c:v>
                </c:pt>
                <c:pt idx="61">
                  <c:v>0.0359281437125749</c:v>
                </c:pt>
                <c:pt idx="62">
                  <c:v>0.0115606936416184</c:v>
                </c:pt>
                <c:pt idx="63">
                  <c:v>0</c:v>
                </c:pt>
                <c:pt idx="64">
                  <c:v>-0.00571428571428578</c:v>
                </c:pt>
                <c:pt idx="65">
                  <c:v>0</c:v>
                </c:pt>
                <c:pt idx="66">
                  <c:v>0.00574712643678166</c:v>
                </c:pt>
                <c:pt idx="67">
                  <c:v>0</c:v>
                </c:pt>
                <c:pt idx="68">
                  <c:v>0</c:v>
                </c:pt>
                <c:pt idx="69">
                  <c:v>0.00228571428571422</c:v>
                </c:pt>
                <c:pt idx="70">
                  <c:v>0.00342075256556451</c:v>
                </c:pt>
                <c:pt idx="71">
                  <c:v>0</c:v>
                </c:pt>
                <c:pt idx="72">
                  <c:v>0</c:v>
                </c:pt>
                <c:pt idx="73">
                  <c:v>0.00113636363636371</c:v>
                </c:pt>
                <c:pt idx="74">
                  <c:v>0.0102156640181612</c:v>
                </c:pt>
                <c:pt idx="75">
                  <c:v>0.0393258426966292</c:v>
                </c:pt>
                <c:pt idx="76">
                  <c:v>0.00540540540540557</c:v>
                </c:pt>
                <c:pt idx="77">
                  <c:v>0.00172043010752687</c:v>
                </c:pt>
                <c:pt idx="78">
                  <c:v>-0.0055817947617004</c:v>
                </c:pt>
                <c:pt idx="79">
                  <c:v>0</c:v>
                </c:pt>
                <c:pt idx="80">
                  <c:v>0</c:v>
                </c:pt>
                <c:pt idx="81">
                  <c:v>0</c:v>
                </c:pt>
                <c:pt idx="82">
                  <c:v>0</c:v>
                </c:pt>
                <c:pt idx="83">
                  <c:v>-0.00561312607944731</c:v>
                </c:pt>
                <c:pt idx="84">
                  <c:v>0</c:v>
                </c:pt>
                <c:pt idx="85">
                  <c:v>0</c:v>
                </c:pt>
                <c:pt idx="86">
                  <c:v>-0.010855405992184</c:v>
                </c:pt>
                <c:pt idx="87">
                  <c:v>-0.0105355575065847</c:v>
                </c:pt>
                <c:pt idx="88">
                  <c:v>-0.0110913930789707</c:v>
                </c:pt>
                <c:pt idx="89">
                  <c:v>-0.00538358008075368</c:v>
                </c:pt>
                <c:pt idx="90">
                  <c:v>-0.00338294993234112</c:v>
                </c:pt>
                <c:pt idx="91">
                  <c:v>0</c:v>
                </c:pt>
                <c:pt idx="92">
                  <c:v>-0.00792034396922359</c:v>
                </c:pt>
                <c:pt idx="93">
                  <c:v>-0.00593065693430672</c:v>
                </c:pt>
                <c:pt idx="94">
                  <c:v>-0.00596603946764562</c:v>
                </c:pt>
                <c:pt idx="95">
                  <c:v>0</c:v>
                </c:pt>
                <c:pt idx="96">
                  <c:v>0.0055401662049861</c:v>
                </c:pt>
                <c:pt idx="97">
                  <c:v>0.00573921028466495</c:v>
                </c:pt>
                <c:pt idx="98">
                  <c:v>0.0100433690938142</c:v>
                </c:pt>
                <c:pt idx="99">
                  <c:v>0.00564971751412435</c:v>
                </c:pt>
                <c:pt idx="100">
                  <c:v>0.00561797752808979</c:v>
                </c:pt>
                <c:pt idx="101">
                  <c:v>0.00223463687150849</c:v>
                </c:pt>
                <c:pt idx="102">
                  <c:v>0.00222965440356737</c:v>
                </c:pt>
                <c:pt idx="103">
                  <c:v>-0.00444938820912133</c:v>
                </c:pt>
                <c:pt idx="104">
                  <c:v>-0.00558659217877078</c:v>
                </c:pt>
                <c:pt idx="105">
                  <c:v>0</c:v>
                </c:pt>
                <c:pt idx="106">
                  <c:v>0.00561797752808979</c:v>
                </c:pt>
                <c:pt idx="107">
                  <c:v>0.00223463687150849</c:v>
                </c:pt>
                <c:pt idx="108">
                  <c:v>0.00222965440356737</c:v>
                </c:pt>
                <c:pt idx="109">
                  <c:v>0</c:v>
                </c:pt>
                <c:pt idx="110">
                  <c:v>-0.00111234705228025</c:v>
                </c:pt>
                <c:pt idx="111">
                  <c:v>0.00556792873051215</c:v>
                </c:pt>
                <c:pt idx="112">
                  <c:v>0.00221483942414191</c:v>
                </c:pt>
                <c:pt idx="113">
                  <c:v>0.00552486187845291</c:v>
                </c:pt>
                <c:pt idx="114">
                  <c:v>-0.00153846153846149</c:v>
                </c:pt>
                <c:pt idx="115">
                  <c:v>-0.00066035659256003</c:v>
                </c:pt>
                <c:pt idx="116">
                  <c:v>0.00594713656387658</c:v>
                </c:pt>
                <c:pt idx="117">
                  <c:v>0.00722574994525926</c:v>
                </c:pt>
                <c:pt idx="118">
                  <c:v>-0.00217391304347825</c:v>
                </c:pt>
                <c:pt idx="119">
                  <c:v>-0.00108932461873634</c:v>
                </c:pt>
                <c:pt idx="120">
                  <c:v>0</c:v>
                </c:pt>
                <c:pt idx="121">
                  <c:v>0</c:v>
                </c:pt>
                <c:pt idx="122">
                  <c:v>0</c:v>
                </c:pt>
                <c:pt idx="123">
                  <c:v>0</c:v>
                </c:pt>
                <c:pt idx="124">
                  <c:v>0</c:v>
                </c:pt>
                <c:pt idx="125">
                  <c:v>0.00327153762268262</c:v>
                </c:pt>
                <c:pt idx="126">
                  <c:v>0</c:v>
                </c:pt>
                <c:pt idx="127">
                  <c:v>0</c:v>
                </c:pt>
                <c:pt idx="128">
                  <c:v>0</c:v>
                </c:pt>
                <c:pt idx="129">
                  <c:v>-0.00217391304347825</c:v>
                </c:pt>
                <c:pt idx="130">
                  <c:v>0</c:v>
                </c:pt>
                <c:pt idx="131">
                  <c:v>0.00544662309368205</c:v>
                </c:pt>
                <c:pt idx="132">
                  <c:v>0</c:v>
                </c:pt>
                <c:pt idx="133">
                  <c:v>-0.00866738894907915</c:v>
                </c:pt>
                <c:pt idx="134">
                  <c:v>-0.00546448087431706</c:v>
                </c:pt>
                <c:pt idx="135">
                  <c:v>-0.00549450549450536</c:v>
                </c:pt>
                <c:pt idx="136">
                  <c:v>-0.00331491712707199</c:v>
                </c:pt>
                <c:pt idx="137">
                  <c:v>0</c:v>
                </c:pt>
                <c:pt idx="138">
                  <c:v>-0.00221729490022171</c:v>
                </c:pt>
                <c:pt idx="139">
                  <c:v>0</c:v>
                </c:pt>
                <c:pt idx="140">
                  <c:v>-0.00555555555555565</c:v>
                </c:pt>
                <c:pt idx="141">
                  <c:v>-0.00558659217877078</c:v>
                </c:pt>
                <c:pt idx="142">
                  <c:v>-0.00561797752809001</c:v>
                </c:pt>
                <c:pt idx="143">
                  <c:v>0.0158192090395481</c:v>
                </c:pt>
                <c:pt idx="144">
                  <c:v>-0.00222469410456061</c:v>
                </c:pt>
                <c:pt idx="145">
                  <c:v>-0.00111482720178369</c:v>
                </c:pt>
                <c:pt idx="146">
                  <c:v>-0.00625000000000009</c:v>
                </c:pt>
                <c:pt idx="147">
                  <c:v>-0.00247079964061103</c:v>
                </c:pt>
                <c:pt idx="148">
                  <c:v>-0.0261202431884709</c:v>
                </c:pt>
                <c:pt idx="149">
                  <c:v>-0.016184971098266</c:v>
                </c:pt>
                <c:pt idx="150">
                  <c:v>-0.00376028202115164</c:v>
                </c:pt>
                <c:pt idx="151">
                  <c:v>-0.00330266572304794</c:v>
                </c:pt>
                <c:pt idx="152">
                  <c:v>-0.000473372781065073</c:v>
                </c:pt>
                <c:pt idx="153">
                  <c:v>-0.00213118636040721</c:v>
                </c:pt>
                <c:pt idx="154">
                  <c:v>-0.000237304224015245</c:v>
                </c:pt>
                <c:pt idx="155">
                  <c:v>-0.00617137431758841</c:v>
                </c:pt>
                <c:pt idx="156">
                  <c:v>-0.0195844279914019</c:v>
                </c:pt>
                <c:pt idx="157">
                  <c:v>-0.00633373934226567</c:v>
                </c:pt>
                <c:pt idx="158">
                  <c:v>-0.00343221377788661</c:v>
                </c:pt>
                <c:pt idx="159">
                  <c:v>-0.00344403444034447</c:v>
                </c:pt>
                <c:pt idx="160">
                  <c:v>-0.0148111577388299</c:v>
                </c:pt>
                <c:pt idx="161">
                  <c:v>-0.0120270608869958</c:v>
                </c:pt>
                <c:pt idx="162">
                  <c:v>-0.00989094598021811</c:v>
                </c:pt>
                <c:pt idx="163">
                  <c:v>-0.00384221311475408</c:v>
                </c:pt>
                <c:pt idx="164">
                  <c:v>-0.00642838776034971</c:v>
                </c:pt>
                <c:pt idx="165">
                  <c:v>-0.0142339544513457</c:v>
                </c:pt>
                <c:pt idx="166">
                  <c:v>-0.00236282488842221</c:v>
                </c:pt>
                <c:pt idx="167">
                  <c:v>-0.000263157894736854</c:v>
                </c:pt>
                <c:pt idx="168">
                  <c:v>-0.00236904448539088</c:v>
                </c:pt>
                <c:pt idx="169">
                  <c:v>-0.00211081794195256</c:v>
                </c:pt>
                <c:pt idx="170">
                  <c:v>-0.00449497620306716</c:v>
                </c:pt>
                <c:pt idx="171">
                  <c:v>-0.00239043824701202</c:v>
                </c:pt>
                <c:pt idx="172">
                  <c:v>-0.00266240681576135</c:v>
                </c:pt>
                <c:pt idx="173">
                  <c:v>-0.00293646556326754</c:v>
                </c:pt>
                <c:pt idx="174">
                  <c:v>-0.00240963855421683</c:v>
                </c:pt>
                <c:pt idx="175">
                  <c:v>-0.000536768652710573</c:v>
                </c:pt>
                <c:pt idx="176">
                  <c:v>0</c:v>
                </c:pt>
                <c:pt idx="177">
                  <c:v>-0.000268528464017259</c:v>
                </c:pt>
                <c:pt idx="178">
                  <c:v>-0.000268600590921264</c:v>
                </c:pt>
                <c:pt idx="179">
                  <c:v>-0.000806018269747466</c:v>
                </c:pt>
                <c:pt idx="180">
                  <c:v>-0.0051089002420005</c:v>
                </c:pt>
                <c:pt idx="181">
                  <c:v>-0.00243243243243252</c:v>
                </c:pt>
                <c:pt idx="182">
                  <c:v>-0.000541858574911847</c:v>
                </c:pt>
                <c:pt idx="183">
                  <c:v>-0.000542152344808922</c:v>
                </c:pt>
                <c:pt idx="184">
                  <c:v>-0.0081366965012204</c:v>
                </c:pt>
                <c:pt idx="185">
                  <c:v>-0.00273448181569602</c:v>
                </c:pt>
                <c:pt idx="186">
                  <c:v>0</c:v>
                </c:pt>
                <c:pt idx="187">
                  <c:v>0</c:v>
                </c:pt>
                <c:pt idx="188">
                  <c:v>-0.000274197970934975</c:v>
                </c:pt>
                <c:pt idx="189">
                  <c:v>-0.00274273176083373</c:v>
                </c:pt>
                <c:pt idx="190">
                  <c:v>-0.00302530253025302</c:v>
                </c:pt>
                <c:pt idx="191">
                  <c:v>-0.00303448275862073</c:v>
                </c:pt>
                <c:pt idx="192">
                  <c:v>-0.000276701715550609</c:v>
                </c:pt>
                <c:pt idx="193">
                  <c:v>-0.00276778300581226</c:v>
                </c:pt>
                <c:pt idx="194">
                  <c:v>-0.00471829031362758</c:v>
                </c:pt>
                <c:pt idx="195">
                  <c:v>-0.0111544896820971</c:v>
                </c:pt>
                <c:pt idx="196">
                  <c:v>-0.00338409475465318</c:v>
                </c:pt>
                <c:pt idx="197">
                  <c:v>-0.00679117147707975</c:v>
                </c:pt>
                <c:pt idx="198">
                  <c:v>-0.00455840455840439</c:v>
                </c:pt>
                <c:pt idx="199">
                  <c:v>-0.00114481969089864</c:v>
                </c:pt>
                <c:pt idx="200">
                  <c:v>-0.00487106017191985</c:v>
                </c:pt>
                <c:pt idx="201">
                  <c:v>-0.00230348401957958</c:v>
                </c:pt>
                <c:pt idx="202">
                  <c:v>-0.00115440115440113</c:v>
                </c:pt>
                <c:pt idx="203">
                  <c:v>-0.0106905518636232</c:v>
                </c:pt>
                <c:pt idx="204">
                  <c:v>-0.00584112149532712</c:v>
                </c:pt>
                <c:pt idx="205">
                  <c:v>-0.0114571092831961</c:v>
                </c:pt>
                <c:pt idx="206">
                  <c:v>-0.00832095096582464</c:v>
                </c:pt>
                <c:pt idx="207">
                  <c:v>-0.0104884626910399</c:v>
                </c:pt>
                <c:pt idx="208">
                  <c:v>-0.00666262870987289</c:v>
                </c:pt>
                <c:pt idx="209">
                  <c:v>-0.00152439024390238</c:v>
                </c:pt>
                <c:pt idx="210">
                  <c:v>-0.00122137404580158</c:v>
                </c:pt>
                <c:pt idx="211">
                  <c:v>0</c:v>
                </c:pt>
                <c:pt idx="212">
                  <c:v>-0.00122286762457968</c:v>
                </c:pt>
                <c:pt idx="213">
                  <c:v>-0.0137741046831956</c:v>
                </c:pt>
                <c:pt idx="214">
                  <c:v>-0.00682805710738665</c:v>
                </c:pt>
                <c:pt idx="215">
                  <c:v>-0.00249999999999995</c:v>
                </c:pt>
                <c:pt idx="216">
                  <c:v>-0.00187969924812037</c:v>
                </c:pt>
                <c:pt idx="217">
                  <c:v>-0.00156936597614565</c:v>
                </c:pt>
                <c:pt idx="218">
                  <c:v>-0.00220056585979256</c:v>
                </c:pt>
                <c:pt idx="219">
                  <c:v>-0.00031505986137359</c:v>
                </c:pt>
                <c:pt idx="220">
                  <c:v>-0.000945477466120392</c:v>
                </c:pt>
                <c:pt idx="221">
                  <c:v>-0.000630914826498352</c:v>
                </c:pt>
                <c:pt idx="222">
                  <c:v>0.00631313131313127</c:v>
                </c:pt>
                <c:pt idx="223">
                  <c:v>0.00815558343789213</c:v>
                </c:pt>
                <c:pt idx="224">
                  <c:v>0.000933416303671386</c:v>
                </c:pt>
                <c:pt idx="225">
                  <c:v>0</c:v>
                </c:pt>
                <c:pt idx="226">
                  <c:v>0.00279763755051277</c:v>
                </c:pt>
                <c:pt idx="227">
                  <c:v>0.00898946063236195</c:v>
                </c:pt>
                <c:pt idx="228">
                  <c:v>0.00983102918586787</c:v>
                </c:pt>
                <c:pt idx="229">
                  <c:v>0.00425920292059634</c:v>
                </c:pt>
                <c:pt idx="230">
                  <c:v>0.00757346258709468</c:v>
                </c:pt>
                <c:pt idx="231">
                  <c:v>0</c:v>
                </c:pt>
                <c:pt idx="232">
                  <c:v>-0.00631389055923026</c:v>
                </c:pt>
                <c:pt idx="233">
                  <c:v>-0.00393343419062042</c:v>
                </c:pt>
                <c:pt idx="234">
                  <c:v>-0.00303766707168884</c:v>
                </c:pt>
                <c:pt idx="235">
                  <c:v>-0.000609384521633172</c:v>
                </c:pt>
                <c:pt idx="236">
                  <c:v>0</c:v>
                </c:pt>
                <c:pt idx="237">
                  <c:v>0</c:v>
                </c:pt>
                <c:pt idx="238">
                  <c:v>0.016158536585366</c:v>
                </c:pt>
                <c:pt idx="239">
                  <c:v>0.00450045004500432</c:v>
                </c:pt>
                <c:pt idx="240">
                  <c:v>0.0146356033452808</c:v>
                </c:pt>
                <c:pt idx="241">
                  <c:v>0.0217839269944069</c:v>
                </c:pt>
                <c:pt idx="242">
                  <c:v>0.0109478536444827</c:v>
                </c:pt>
                <c:pt idx="243">
                  <c:v>0.0088344257623254</c:v>
                </c:pt>
                <c:pt idx="244">
                  <c:v>0.00395480225988698</c:v>
                </c:pt>
                <c:pt idx="245">
                  <c:v>0.00844119302194724</c:v>
                </c:pt>
                <c:pt idx="246">
                  <c:v>0.0027901785714286</c:v>
                </c:pt>
                <c:pt idx="247">
                  <c:v>0.00556483027267674</c:v>
                </c:pt>
                <c:pt idx="248">
                  <c:v>0.0124515771997786</c:v>
                </c:pt>
                <c:pt idx="249">
                  <c:v>-0.00300628587045637</c:v>
                </c:pt>
                <c:pt idx="250">
                  <c:v>-0.00328947368421051</c:v>
                </c:pt>
                <c:pt idx="251">
                  <c:v>-0.00137513751375151</c:v>
                </c:pt>
                <c:pt idx="252">
                  <c:v>0.00853759294960077</c:v>
                </c:pt>
                <c:pt idx="253">
                  <c:v>0.0103768432550519</c:v>
                </c:pt>
                <c:pt idx="254">
                  <c:v>0.00351351351351359</c:v>
                </c:pt>
                <c:pt idx="255">
                  <c:v>0</c:v>
                </c:pt>
                <c:pt idx="256">
                  <c:v>0.00134661998384056</c:v>
                </c:pt>
                <c:pt idx="257">
                  <c:v>0.000537923614846836</c:v>
                </c:pt>
                <c:pt idx="258">
                  <c:v>0.0024193548387097</c:v>
                </c:pt>
                <c:pt idx="259">
                  <c:v>0</c:v>
                </c:pt>
                <c:pt idx="260">
                  <c:v>0.000536336819522587</c:v>
                </c:pt>
                <c:pt idx="261">
                  <c:v>0.00294827124095409</c:v>
                </c:pt>
                <c:pt idx="262">
                  <c:v>0.00187065740245851</c:v>
                </c:pt>
                <c:pt idx="263">
                  <c:v>0.00106695118698319</c:v>
                </c:pt>
                <c:pt idx="264">
                  <c:v>-0.00159872102318148</c:v>
                </c:pt>
                <c:pt idx="265">
                  <c:v>-0.0008006405124098</c:v>
                </c:pt>
                <c:pt idx="266">
                  <c:v>0.000801282051281937</c:v>
                </c:pt>
                <c:pt idx="267">
                  <c:v>0.000533760341606682</c:v>
                </c:pt>
                <c:pt idx="268">
                  <c:v>0</c:v>
                </c:pt>
                <c:pt idx="269">
                  <c:v>0.00293411576420377</c:v>
                </c:pt>
                <c:pt idx="270">
                  <c:v>0.000531914893617147</c:v>
                </c:pt>
                <c:pt idx="271">
                  <c:v>0.00425305688463573</c:v>
                </c:pt>
                <c:pt idx="272">
                  <c:v>0.00476442562202228</c:v>
                </c:pt>
                <c:pt idx="273">
                  <c:v>0.00105374077976816</c:v>
                </c:pt>
                <c:pt idx="274">
                  <c:v>0.00578947368421057</c:v>
                </c:pt>
                <c:pt idx="275">
                  <c:v>0.00706436420722145</c:v>
                </c:pt>
                <c:pt idx="276">
                  <c:v>0.00285788516497787</c:v>
                </c:pt>
                <c:pt idx="277">
                  <c:v>0.00103626943005186</c:v>
                </c:pt>
                <c:pt idx="278">
                  <c:v>0.000776397515527938</c:v>
                </c:pt>
                <c:pt idx="279">
                  <c:v>0.00801655029738813</c:v>
                </c:pt>
                <c:pt idx="280">
                  <c:v>0.0023088763468444</c:v>
                </c:pt>
                <c:pt idx="281">
                  <c:v>0.00563091886357814</c:v>
                </c:pt>
                <c:pt idx="282">
                  <c:v>0</c:v>
                </c:pt>
                <c:pt idx="283">
                  <c:v>0.00458131840162901</c:v>
                </c:pt>
                <c:pt idx="284">
                  <c:v>0.000506713959969485</c:v>
                </c:pt>
                <c:pt idx="285">
                  <c:v>0</c:v>
                </c:pt>
                <c:pt idx="286">
                  <c:v>-0.00455811597872879</c:v>
                </c:pt>
                <c:pt idx="287">
                  <c:v>0</c:v>
                </c:pt>
                <c:pt idx="288">
                  <c:v>0</c:v>
                </c:pt>
                <c:pt idx="289">
                  <c:v>-0.00228949376748921</c:v>
                </c:pt>
                <c:pt idx="290">
                  <c:v>-0.00229474757776649</c:v>
                </c:pt>
                <c:pt idx="291">
                  <c:v>-0.00230002555583952</c:v>
                </c:pt>
                <c:pt idx="292">
                  <c:v>-0.00332991803278682</c:v>
                </c:pt>
                <c:pt idx="293">
                  <c:v>0.00128501670521719</c:v>
                </c:pt>
                <c:pt idx="294">
                  <c:v>-0.000770020533880977</c:v>
                </c:pt>
                <c:pt idx="295">
                  <c:v>0</c:v>
                </c:pt>
                <c:pt idx="296">
                  <c:v>-0.000513742614949853</c:v>
                </c:pt>
                <c:pt idx="297">
                  <c:v>-0.000514006682086898</c:v>
                </c:pt>
                <c:pt idx="298">
                  <c:v>-0.0120853689894573</c:v>
                </c:pt>
                <c:pt idx="299">
                  <c:v>-0.00208224882873509</c:v>
                </c:pt>
                <c:pt idx="300">
                  <c:v>-0.00104329681794468</c:v>
                </c:pt>
                <c:pt idx="301">
                  <c:v>-0.00182767624020885</c:v>
                </c:pt>
                <c:pt idx="302">
                  <c:v>-0.00156944807742609</c:v>
                </c:pt>
                <c:pt idx="303">
                  <c:v>-0.00157191511658372</c:v>
                </c:pt>
                <c:pt idx="304">
                  <c:v>-0.00734715297822097</c:v>
                </c:pt>
                <c:pt idx="305">
                  <c:v>-0.00211472376420829</c:v>
                </c:pt>
                <c:pt idx="306">
                  <c:v>-0.000264900662251599</c:v>
                </c:pt>
                <c:pt idx="307">
                  <c:v>-0.001589825119237</c:v>
                </c:pt>
                <c:pt idx="308">
                  <c:v>0</c:v>
                </c:pt>
                <c:pt idx="309">
                  <c:v>-0.00530785562632685</c:v>
                </c:pt>
                <c:pt idx="310">
                  <c:v>-0.000533617929562524</c:v>
                </c:pt>
                <c:pt idx="311">
                  <c:v>-0.00266951414842498</c:v>
                </c:pt>
                <c:pt idx="312">
                  <c:v>-0.00508565310492504</c:v>
                </c:pt>
                <c:pt idx="313">
                  <c:v>-0.00968523002421307</c:v>
                </c:pt>
                <c:pt idx="314">
                  <c:v>-0.000814995925020434</c:v>
                </c:pt>
                <c:pt idx="315">
                  <c:v>-0.00190320826536161</c:v>
                </c:pt>
                <c:pt idx="316">
                  <c:v>-0.00572051212203761</c:v>
                </c:pt>
                <c:pt idx="317">
                  <c:v>-0.00465753424657533</c:v>
                </c:pt>
                <c:pt idx="318">
                  <c:v>-0.0013762730525736</c:v>
                </c:pt>
                <c:pt idx="319">
                  <c:v>-0.00468577728776187</c:v>
                </c:pt>
                <c:pt idx="320">
                  <c:v>-0.0011077263915813</c:v>
                </c:pt>
                <c:pt idx="321">
                  <c:v>-0.00194067091766015</c:v>
                </c:pt>
                <c:pt idx="322">
                  <c:v>-0.00416666666666665</c:v>
                </c:pt>
                <c:pt idx="323">
                  <c:v>-0.00808926080892602</c:v>
                </c:pt>
                <c:pt idx="324">
                  <c:v>-0.0022497187851519</c:v>
                </c:pt>
                <c:pt idx="325">
                  <c:v>-0.00338218714768879</c:v>
                </c:pt>
                <c:pt idx="326">
                  <c:v>-0.000565610859728616</c:v>
                </c:pt>
                <c:pt idx="327">
                  <c:v>-0.00594227504244482</c:v>
                </c:pt>
                <c:pt idx="328">
                  <c:v>-0.0122402504981497</c:v>
                </c:pt>
                <c:pt idx="329">
                  <c:v>-0.00172910662824211</c:v>
                </c:pt>
                <c:pt idx="330">
                  <c:v>-0.00115473441108549</c:v>
                </c:pt>
                <c:pt idx="331">
                  <c:v>-0.000289017341040476</c:v>
                </c:pt>
                <c:pt idx="332">
                  <c:v>-0.000289100896212702</c:v>
                </c:pt>
                <c:pt idx="333">
                  <c:v>-0.00260266049739744</c:v>
                </c:pt>
                <c:pt idx="334">
                  <c:v>0</c:v>
                </c:pt>
                <c:pt idx="335">
                  <c:v>-0.00347926935343579</c:v>
                </c:pt>
                <c:pt idx="336">
                  <c:v>-0.00116380564445739</c:v>
                </c:pt>
                <c:pt idx="337">
                  <c:v>0</c:v>
                </c:pt>
                <c:pt idx="338">
                  <c:v>-0.00174774249927168</c:v>
                </c:pt>
                <c:pt idx="339">
                  <c:v>0</c:v>
                </c:pt>
                <c:pt idx="340">
                  <c:v>-0.00116720163408224</c:v>
                </c:pt>
                <c:pt idx="341">
                  <c:v>-0.00350569675723045</c:v>
                </c:pt>
                <c:pt idx="342">
                  <c:v>0</c:v>
                </c:pt>
                <c:pt idx="343">
                  <c:v>-0.00175901495162711</c:v>
                </c:pt>
                <c:pt idx="344">
                  <c:v>-0.00117474302496334</c:v>
                </c:pt>
                <c:pt idx="345">
                  <c:v>0</c:v>
                </c:pt>
                <c:pt idx="346">
                  <c:v>-0.0017641870038223</c:v>
                </c:pt>
                <c:pt idx="347">
                  <c:v>-0.000294550810014726</c:v>
                </c:pt>
                <c:pt idx="348">
                  <c:v>0</c:v>
                </c:pt>
                <c:pt idx="349">
                  <c:v>-0.00206246317030057</c:v>
                </c:pt>
                <c:pt idx="350">
                  <c:v>-0.000590493061706554</c:v>
                </c:pt>
                <c:pt idx="351">
                  <c:v>-0.00295420974889216</c:v>
                </c:pt>
                <c:pt idx="352">
                  <c:v>-0.000296296296296239</c:v>
                </c:pt>
                <c:pt idx="353">
                  <c:v>0.00533491404860698</c:v>
                </c:pt>
                <c:pt idx="354">
                  <c:v>0.007370283018868</c:v>
                </c:pt>
                <c:pt idx="355">
                  <c:v>0.00526777875329243</c:v>
                </c:pt>
                <c:pt idx="356">
                  <c:v>-0.000873362445414916</c:v>
                </c:pt>
                <c:pt idx="357">
                  <c:v>-0.00029137529137524</c:v>
                </c:pt>
                <c:pt idx="358">
                  <c:v>-0.000582920431361211</c:v>
                </c:pt>
                <c:pt idx="359">
                  <c:v>-0.000583260425780052</c:v>
                </c:pt>
                <c:pt idx="360">
                  <c:v>-0.00145900204260285</c:v>
                </c:pt>
                <c:pt idx="361">
                  <c:v>0</c:v>
                </c:pt>
                <c:pt idx="362">
                  <c:v>0</c:v>
                </c:pt>
                <c:pt idx="363">
                  <c:v>-0.00847457627118653</c:v>
                </c:pt>
                <c:pt idx="364">
                  <c:v>-0.00265251989389914</c:v>
                </c:pt>
                <c:pt idx="365">
                  <c:v>-0.0132978723404256</c:v>
                </c:pt>
                <c:pt idx="366">
                  <c:v>-0.00928421683138669</c:v>
                </c:pt>
                <c:pt idx="367">
                  <c:v>-0.00211608222490922</c:v>
                </c:pt>
                <c:pt idx="368">
                  <c:v>-0.00242350802787039</c:v>
                </c:pt>
                <c:pt idx="369">
                  <c:v>-0.00303674460977843</c:v>
                </c:pt>
                <c:pt idx="370">
                  <c:v>-0.00243679561376786</c:v>
                </c:pt>
                <c:pt idx="371">
                  <c:v>-0.00152671755725187</c:v>
                </c:pt>
                <c:pt idx="372">
                  <c:v>-0.000917431192660634</c:v>
                </c:pt>
                <c:pt idx="373">
                  <c:v>0</c:v>
                </c:pt>
                <c:pt idx="374">
                  <c:v>-0.000918273645546419</c:v>
                </c:pt>
                <c:pt idx="375">
                  <c:v>-0.00398284313725483</c:v>
                </c:pt>
                <c:pt idx="376">
                  <c:v>-0.00645955090741313</c:v>
                </c:pt>
                <c:pt idx="377">
                  <c:v>-0.00712074303405574</c:v>
                </c:pt>
                <c:pt idx="378">
                  <c:v>-0.00717181166198932</c:v>
                </c:pt>
                <c:pt idx="379">
                  <c:v>-0.00722361809045236</c:v>
                </c:pt>
                <c:pt idx="380">
                  <c:v>-0.00695982284087326</c:v>
                </c:pt>
                <c:pt idx="381">
                  <c:v>-0.00764574705320153</c:v>
                </c:pt>
                <c:pt idx="382">
                  <c:v>-0.00834670947030502</c:v>
                </c:pt>
                <c:pt idx="383">
                  <c:v>-0.00194237617351889</c:v>
                </c:pt>
                <c:pt idx="384">
                  <c:v>-0.00356795329224779</c:v>
                </c:pt>
                <c:pt idx="385">
                  <c:v>-0.0169270833333334</c:v>
                </c:pt>
                <c:pt idx="386">
                  <c:v>-0.0129139072847683</c:v>
                </c:pt>
                <c:pt idx="387">
                  <c:v>-0.00335457900033542</c:v>
                </c:pt>
                <c:pt idx="388">
                  <c:v>-0.0050488051161226</c:v>
                </c:pt>
                <c:pt idx="389">
                  <c:v>-0.00101488497970237</c:v>
                </c:pt>
                <c:pt idx="390">
                  <c:v>-0.00101591601760909</c:v>
                </c:pt>
                <c:pt idx="391">
                  <c:v>-0.00305084745762718</c:v>
                </c:pt>
                <c:pt idx="392">
                  <c:v>-0.00272016320979263</c:v>
                </c:pt>
                <c:pt idx="393">
                  <c:v>-0.00170473917490621</c:v>
                </c:pt>
                <c:pt idx="394">
                  <c:v>-0.00409836065573765</c:v>
                </c:pt>
                <c:pt idx="395">
                  <c:v>-0.00205761316872421</c:v>
                </c:pt>
                <c:pt idx="396">
                  <c:v>-0.000343642611683959</c:v>
                </c:pt>
                <c:pt idx="397">
                  <c:v>-0.00721897559298723</c:v>
                </c:pt>
                <c:pt idx="398">
                  <c:v>-0.00554016620498621</c:v>
                </c:pt>
                <c:pt idx="399">
                  <c:v>-0.0114902506963788</c:v>
                </c:pt>
                <c:pt idx="400">
                  <c:v>-0.00810144417048264</c:v>
                </c:pt>
                <c:pt idx="401">
                  <c:v>-0.00142045454545459</c:v>
                </c:pt>
                <c:pt idx="402">
                  <c:v>-0.00924608819345651</c:v>
                </c:pt>
                <c:pt idx="403">
                  <c:v>-0.0129217516152189</c:v>
                </c:pt>
                <c:pt idx="404">
                  <c:v>-0.00581818181818183</c:v>
                </c:pt>
                <c:pt idx="405">
                  <c:v>-0.00475493782004388</c:v>
                </c:pt>
                <c:pt idx="406">
                  <c:v>-0.0110253583241456</c:v>
                </c:pt>
                <c:pt idx="407">
                  <c:v>-0.00222965440356737</c:v>
                </c:pt>
                <c:pt idx="408">
                  <c:v>-0.00595903165735567</c:v>
                </c:pt>
                <c:pt idx="409">
                  <c:v>-0.00112401648557514</c:v>
                </c:pt>
                <c:pt idx="410">
                  <c:v>-0.00862715678919734</c:v>
                </c:pt>
                <c:pt idx="411">
                  <c:v>-0.0075671585319711</c:v>
                </c:pt>
                <c:pt idx="412">
                  <c:v>-0.00533739992375148</c:v>
                </c:pt>
                <c:pt idx="413">
                  <c:v>-0.00574932924492144</c:v>
                </c:pt>
                <c:pt idx="414">
                  <c:v>-0.00115651503469527</c:v>
                </c:pt>
                <c:pt idx="415">
                  <c:v>-0.00617522192203779</c:v>
                </c:pt>
                <c:pt idx="416">
                  <c:v>-0.00466019417475727</c:v>
                </c:pt>
                <c:pt idx="417">
                  <c:v>0.00156067108856806</c:v>
                </c:pt>
                <c:pt idx="418">
                  <c:v>-0.00389559797428918</c:v>
                </c:pt>
                <c:pt idx="419">
                  <c:v>-0.00391083300743045</c:v>
                </c:pt>
                <c:pt idx="420">
                  <c:v>-0.00549666274047911</c:v>
                </c:pt>
                <c:pt idx="421">
                  <c:v>-0.00276352151598902</c:v>
                </c:pt>
                <c:pt idx="422">
                  <c:v>-0.00435471100554219</c:v>
                </c:pt>
                <c:pt idx="423">
                  <c:v>-0.00198807157057668</c:v>
                </c:pt>
                <c:pt idx="424">
                  <c:v>0</c:v>
                </c:pt>
                <c:pt idx="425">
                  <c:v>-0.00677290836653388</c:v>
                </c:pt>
                <c:pt idx="426">
                  <c:v>-0.00601684717208173</c:v>
                </c:pt>
                <c:pt idx="427">
                  <c:v>0</c:v>
                </c:pt>
                <c:pt idx="428">
                  <c:v>0.00847457627118642</c:v>
                </c:pt>
                <c:pt idx="429">
                  <c:v>0</c:v>
                </c:pt>
                <c:pt idx="430">
                  <c:v>0</c:v>
                </c:pt>
                <c:pt idx="431">
                  <c:v>0</c:v>
                </c:pt>
                <c:pt idx="432">
                  <c:v>-0.000800320128051313</c:v>
                </c:pt>
                <c:pt idx="433">
                  <c:v>-0.000400480576691953</c:v>
                </c:pt>
                <c:pt idx="434">
                  <c:v>-0.00240384615384603</c:v>
                </c:pt>
                <c:pt idx="435">
                  <c:v>-0.00160642570281122</c:v>
                </c:pt>
                <c:pt idx="436">
                  <c:v>-0.00201126307321009</c:v>
                </c:pt>
                <c:pt idx="437">
                  <c:v>-0.0048367593712213</c:v>
                </c:pt>
                <c:pt idx="438">
                  <c:v>-0.000405022276225186</c:v>
                </c:pt>
                <c:pt idx="439">
                  <c:v>0</c:v>
                </c:pt>
                <c:pt idx="440">
                  <c:v>-0.000405186385737388</c:v>
                </c:pt>
                <c:pt idx="441">
                  <c:v>-0.000405350628293388</c:v>
                </c:pt>
                <c:pt idx="442">
                  <c:v>0</c:v>
                </c:pt>
                <c:pt idx="443">
                  <c:v>-0.00446066504460674</c:v>
                </c:pt>
                <c:pt idx="444">
                  <c:v>-0.00122199592668026</c:v>
                </c:pt>
                <c:pt idx="445">
                  <c:v>-0.00203915171288738</c:v>
                </c:pt>
                <c:pt idx="446">
                  <c:v>-0.00286064568859834</c:v>
                </c:pt>
                <c:pt idx="447">
                  <c:v>-0.00204918032786883</c:v>
                </c:pt>
                <c:pt idx="448">
                  <c:v>-0.00616016427104726</c:v>
                </c:pt>
                <c:pt idx="449">
                  <c:v>-0.00371900826446281</c:v>
                </c:pt>
                <c:pt idx="450">
                  <c:v>-0.00207382828701774</c:v>
                </c:pt>
                <c:pt idx="451">
                  <c:v>-0.00290939318370742</c:v>
                </c:pt>
                <c:pt idx="452">
                  <c:v>-0.0125052105043767</c:v>
                </c:pt>
                <c:pt idx="453">
                  <c:v>-0.00970873786407778</c:v>
                </c:pt>
                <c:pt idx="454">
                  <c:v>-0.00767263427109988</c:v>
                </c:pt>
                <c:pt idx="455">
                  <c:v>-0.0103092783505154</c:v>
                </c:pt>
                <c:pt idx="456">
                  <c:v>-0.0160590277777778</c:v>
                </c:pt>
                <c:pt idx="457">
                  <c:v>-0.0158800176444641</c:v>
                </c:pt>
                <c:pt idx="458">
                  <c:v>-0.00179291797400272</c:v>
                </c:pt>
                <c:pt idx="459">
                  <c:v>-0.00224517287831161</c:v>
                </c:pt>
                <c:pt idx="460">
                  <c:v>-0.00900090009000898</c:v>
                </c:pt>
                <c:pt idx="461">
                  <c:v>-0.0072661217075386</c:v>
                </c:pt>
                <c:pt idx="462">
                  <c:v>-0.00686184812442825</c:v>
                </c:pt>
                <c:pt idx="463">
                  <c:v>0</c:v>
                </c:pt>
                <c:pt idx="464">
                  <c:v>-0.00184246890833717</c:v>
                </c:pt>
                <c:pt idx="465">
                  <c:v>-0.000461467466543519</c:v>
                </c:pt>
                <c:pt idx="466">
                  <c:v>-0.000923361034164238</c:v>
                </c:pt>
                <c:pt idx="467">
                  <c:v>0</c:v>
                </c:pt>
                <c:pt idx="468">
                  <c:v>0</c:v>
                </c:pt>
                <c:pt idx="469">
                  <c:v>0</c:v>
                </c:pt>
                <c:pt idx="470">
                  <c:v>0</c:v>
                </c:pt>
                <c:pt idx="471">
                  <c:v>-0.00231053604436249</c:v>
                </c:pt>
                <c:pt idx="472">
                  <c:v>-0.000463177396943015</c:v>
                </c:pt>
                <c:pt idx="473">
                  <c:v>-0.00370713623725671</c:v>
                </c:pt>
                <c:pt idx="474">
                  <c:v>-0.0116279069767441</c:v>
                </c:pt>
                <c:pt idx="475">
                  <c:v>-0.00282352941176456</c:v>
                </c:pt>
                <c:pt idx="476">
                  <c:v>-0.00377536573855597</c:v>
                </c:pt>
                <c:pt idx="477">
                  <c:v>-0.00284225485551881</c:v>
                </c:pt>
                <c:pt idx="478">
                  <c:v>-0.00190023752969126</c:v>
                </c:pt>
                <c:pt idx="479">
                  <c:v>-0.000951927653498275</c:v>
                </c:pt>
                <c:pt idx="480">
                  <c:v>-0.00190566936636494</c:v>
                </c:pt>
                <c:pt idx="481">
                  <c:v>-0.00095465393794758</c:v>
                </c:pt>
                <c:pt idx="482">
                  <c:v>-0.001911132345915</c:v>
                </c:pt>
                <c:pt idx="483">
                  <c:v>-0.00382958353279084</c:v>
                </c:pt>
                <c:pt idx="484">
                  <c:v>-0.00288322921672257</c:v>
                </c:pt>
                <c:pt idx="485">
                  <c:v>-0.00289156626506037</c:v>
                </c:pt>
                <c:pt idx="486">
                  <c:v>-0.00531657805703245</c:v>
                </c:pt>
                <c:pt idx="487">
                  <c:v>-0.00194363459669578</c:v>
                </c:pt>
                <c:pt idx="488">
                  <c:v>-0.00194741966893863</c:v>
                </c:pt>
                <c:pt idx="489">
                  <c:v>0</c:v>
                </c:pt>
                <c:pt idx="490">
                  <c:v>-0.00341463414634136</c:v>
                </c:pt>
                <c:pt idx="491">
                  <c:v>-0.00146842878120412</c:v>
                </c:pt>
                <c:pt idx="492">
                  <c:v>0</c:v>
                </c:pt>
                <c:pt idx="493">
                  <c:v>0</c:v>
                </c:pt>
                <c:pt idx="494">
                  <c:v>-0.00343137254901971</c:v>
                </c:pt>
                <c:pt idx="495">
                  <c:v>-0.00196753566158392</c:v>
                </c:pt>
                <c:pt idx="496">
                  <c:v>-0.00147856086742248</c:v>
                </c:pt>
                <c:pt idx="497">
                  <c:v>0</c:v>
                </c:pt>
                <c:pt idx="498">
                  <c:v>0</c:v>
                </c:pt>
                <c:pt idx="499">
                  <c:v>-0.00888450148075015</c:v>
                </c:pt>
                <c:pt idx="500">
                  <c:v>0</c:v>
                </c:pt>
                <c:pt idx="501">
                  <c:v>-0.00199203187250996</c:v>
                </c:pt>
                <c:pt idx="502">
                  <c:v>0</c:v>
                </c:pt>
                <c:pt idx="503">
                  <c:v>-0.000499001996007942</c:v>
                </c:pt>
                <c:pt idx="504">
                  <c:v>0</c:v>
                </c:pt>
                <c:pt idx="505">
                  <c:v>0</c:v>
                </c:pt>
                <c:pt idx="506">
                  <c:v>-0.00149775336994518</c:v>
                </c:pt>
                <c:pt idx="507">
                  <c:v>-0.00649999999999995</c:v>
                </c:pt>
                <c:pt idx="508">
                  <c:v>-0.0100654252642174</c:v>
                </c:pt>
                <c:pt idx="509">
                  <c:v>-0.00711743772241991</c:v>
                </c:pt>
                <c:pt idx="510">
                  <c:v>-0.00614439324116745</c:v>
                </c:pt>
                <c:pt idx="511">
                  <c:v>-0.00206079340546106</c:v>
                </c:pt>
                <c:pt idx="512">
                  <c:v>-0.00671140939597326</c:v>
                </c:pt>
                <c:pt idx="513">
                  <c:v>-0.00259875259875253</c:v>
                </c:pt>
                <c:pt idx="514">
                  <c:v>-0.00781657113079737</c:v>
                </c:pt>
                <c:pt idx="515">
                  <c:v>-0.00735294117647056</c:v>
                </c:pt>
                <c:pt idx="516">
                  <c:v>-0.00476190476190474</c:v>
                </c:pt>
                <c:pt idx="517">
                  <c:v>-0.00797448165869208</c:v>
                </c:pt>
                <c:pt idx="518">
                  <c:v>-0.00321543408360125</c:v>
                </c:pt>
                <c:pt idx="519">
                  <c:v>-0.00322580645161286</c:v>
                </c:pt>
                <c:pt idx="520">
                  <c:v>-0.00161812297734631</c:v>
                </c:pt>
                <c:pt idx="521">
                  <c:v>0</c:v>
                </c:pt>
                <c:pt idx="522">
                  <c:v>-0.00108049702863322</c:v>
                </c:pt>
                <c:pt idx="523">
                  <c:v>-0.00865332612222824</c:v>
                </c:pt>
                <c:pt idx="524">
                  <c:v>-0.00163666121112926</c:v>
                </c:pt>
                <c:pt idx="525">
                  <c:v>-0.00163934426229517</c:v>
                </c:pt>
                <c:pt idx="526">
                  <c:v>-0.00164203612479463</c:v>
                </c:pt>
                <c:pt idx="527">
                  <c:v>-0.00274122807017552</c:v>
                </c:pt>
                <c:pt idx="528">
                  <c:v>0</c:v>
                </c:pt>
                <c:pt idx="529">
                  <c:v>0</c:v>
                </c:pt>
                <c:pt idx="530">
                  <c:v>0</c:v>
                </c:pt>
                <c:pt idx="531">
                  <c:v>0</c:v>
                </c:pt>
                <c:pt idx="532">
                  <c:v>0</c:v>
                </c:pt>
                <c:pt idx="533">
                  <c:v>0</c:v>
                </c:pt>
                <c:pt idx="534">
                  <c:v>-0.000549752611324839</c:v>
                </c:pt>
                <c:pt idx="535">
                  <c:v>0</c:v>
                </c:pt>
                <c:pt idx="536">
                  <c:v>-0.00110011001100108</c:v>
                </c:pt>
                <c:pt idx="537">
                  <c:v>-0.00550660792951541</c:v>
                </c:pt>
                <c:pt idx="538">
                  <c:v>0</c:v>
                </c:pt>
                <c:pt idx="539">
                  <c:v>-0.0110741971207088</c:v>
                </c:pt>
                <c:pt idx="540">
                  <c:v>-0.0078387458006719</c:v>
                </c:pt>
                <c:pt idx="541">
                  <c:v>-0.00507900677200912</c:v>
                </c:pt>
                <c:pt idx="542">
                  <c:v>-0.00680657969370391</c:v>
                </c:pt>
                <c:pt idx="543">
                  <c:v>-0.0057110222729867</c:v>
                </c:pt>
                <c:pt idx="544">
                  <c:v>-0.00402067777139581</c:v>
                </c:pt>
                <c:pt idx="545">
                  <c:v>-0.00461361014994233</c:v>
                </c:pt>
                <c:pt idx="546">
                  <c:v>-0.00173812282734642</c:v>
                </c:pt>
                <c:pt idx="547">
                  <c:v>-0.00348229831688918</c:v>
                </c:pt>
                <c:pt idx="548">
                  <c:v>0</c:v>
                </c:pt>
                <c:pt idx="549">
                  <c:v>-0.00174723354688422</c:v>
                </c:pt>
                <c:pt idx="550">
                  <c:v>-0.00291715285880978</c:v>
                </c:pt>
                <c:pt idx="551">
                  <c:v>-0.00351082504388534</c:v>
                </c:pt>
                <c:pt idx="552">
                  <c:v>-0.00234879624192597</c:v>
                </c:pt>
                <c:pt idx="553">
                  <c:v>-0.0035314891112419</c:v>
                </c:pt>
                <c:pt idx="554">
                  <c:v>-0.00118133490844652</c:v>
                </c:pt>
                <c:pt idx="555">
                  <c:v>0</c:v>
                </c:pt>
                <c:pt idx="556">
                  <c:v>-0.00295683027794214</c:v>
                </c:pt>
                <c:pt idx="557">
                  <c:v>-0.00533807829181487</c:v>
                </c:pt>
                <c:pt idx="558">
                  <c:v>-0.00178890876565307</c:v>
                </c:pt>
                <c:pt idx="559">
                  <c:v>0</c:v>
                </c:pt>
                <c:pt idx="560">
                  <c:v>-0.00657108721624844</c:v>
                </c:pt>
                <c:pt idx="561">
                  <c:v>-0.00420926037282032</c:v>
                </c:pt>
                <c:pt idx="562">
                  <c:v>0</c:v>
                </c:pt>
                <c:pt idx="563">
                  <c:v>-0.00181159420289845</c:v>
                </c:pt>
                <c:pt idx="564">
                  <c:v>-0.001814882032668</c:v>
                </c:pt>
                <c:pt idx="565">
                  <c:v>-0.00242424242424244</c:v>
                </c:pt>
                <c:pt idx="566">
                  <c:v>-0.00364520048602679</c:v>
                </c:pt>
                <c:pt idx="567">
                  <c:v>-0.00182926829268282</c:v>
                </c:pt>
                <c:pt idx="568">
                  <c:v>-0.00183262064752598</c:v>
                </c:pt>
                <c:pt idx="569">
                  <c:v>-0.000611995104039087</c:v>
                </c:pt>
                <c:pt idx="570">
                  <c:v>0</c:v>
                </c:pt>
                <c:pt idx="571">
                  <c:v>-0.00183710961420702</c:v>
                </c:pt>
                <c:pt idx="572">
                  <c:v>0</c:v>
                </c:pt>
                <c:pt idx="573">
                  <c:v>0</c:v>
                </c:pt>
                <c:pt idx="574">
                  <c:v>0</c:v>
                </c:pt>
                <c:pt idx="575">
                  <c:v>-0.000613496932515223</c:v>
                </c:pt>
                <c:pt idx="576">
                  <c:v>-0.00429711479435235</c:v>
                </c:pt>
                <c:pt idx="577">
                  <c:v>-0.00246609124537611</c:v>
                </c:pt>
                <c:pt idx="578">
                  <c:v>0</c:v>
                </c:pt>
                <c:pt idx="579">
                  <c:v>0</c:v>
                </c:pt>
                <c:pt idx="580">
                  <c:v>0</c:v>
                </c:pt>
                <c:pt idx="581">
                  <c:v>0</c:v>
                </c:pt>
                <c:pt idx="582">
                  <c:v>0</c:v>
                </c:pt>
                <c:pt idx="583">
                  <c:v>-0.000618046971569863</c:v>
                </c:pt>
                <c:pt idx="584">
                  <c:v>0</c:v>
                </c:pt>
                <c:pt idx="585">
                  <c:v>-0.00494743351886207</c:v>
                </c:pt>
                <c:pt idx="586">
                  <c:v>-0.0018645121193287</c:v>
                </c:pt>
                <c:pt idx="587">
                  <c:v>-0.00186799501868007</c:v>
                </c:pt>
                <c:pt idx="588">
                  <c:v>-0.00374298190892075</c:v>
                </c:pt>
                <c:pt idx="589">
                  <c:v>-0.00876643706950531</c:v>
                </c:pt>
                <c:pt idx="590">
                  <c:v>-0.00189513581806688</c:v>
                </c:pt>
                <c:pt idx="591">
                  <c:v>-0.00189873417721531</c:v>
                </c:pt>
                <c:pt idx="592">
                  <c:v>-0.00126823081800886</c:v>
                </c:pt>
                <c:pt idx="593">
                  <c:v>-0.00253968253968251</c:v>
                </c:pt>
                <c:pt idx="594">
                  <c:v>-0.00127307447485681</c:v>
                </c:pt>
                <c:pt idx="595">
                  <c:v>-0.00127469725940088</c:v>
                </c:pt>
                <c:pt idx="596">
                  <c:v>-0.00829610721123164</c:v>
                </c:pt>
                <c:pt idx="597">
                  <c:v>-0.0070785070785071</c:v>
                </c:pt>
                <c:pt idx="598">
                  <c:v>-0.00453661697990915</c:v>
                </c:pt>
                <c:pt idx="599">
                  <c:v>-0.00195312500000011</c:v>
                </c:pt>
                <c:pt idx="600">
                  <c:v>-0.00195694716242656</c:v>
                </c:pt>
                <c:pt idx="601">
                  <c:v>-0.00130718954248366</c:v>
                </c:pt>
                <c:pt idx="602">
                  <c:v>-0.00261780104712039</c:v>
                </c:pt>
                <c:pt idx="603">
                  <c:v>0</c:v>
                </c:pt>
                <c:pt idx="604">
                  <c:v>0</c:v>
                </c:pt>
                <c:pt idx="605">
                  <c:v>-0.00262467191601046</c:v>
                </c:pt>
                <c:pt idx="606">
                  <c:v>-0.00131578947368416</c:v>
                </c:pt>
                <c:pt idx="607">
                  <c:v>0.00197628458498023</c:v>
                </c:pt>
                <c:pt idx="608">
                  <c:v>-0.000657462195923664</c:v>
                </c:pt>
                <c:pt idx="609">
                  <c:v>0</c:v>
                </c:pt>
                <c:pt idx="610">
                  <c:v>0</c:v>
                </c:pt>
                <c:pt idx="611">
                  <c:v>0</c:v>
                </c:pt>
                <c:pt idx="612">
                  <c:v>-0.00131578947368416</c:v>
                </c:pt>
                <c:pt idx="613">
                  <c:v>0</c:v>
                </c:pt>
                <c:pt idx="614">
                  <c:v>-0.000658761528326779</c:v>
                </c:pt>
                <c:pt idx="615">
                  <c:v>-0.000659195781146926</c:v>
                </c:pt>
                <c:pt idx="616">
                  <c:v>-0.00197889182058053</c:v>
                </c:pt>
                <c:pt idx="617">
                  <c:v>0</c:v>
                </c:pt>
                <c:pt idx="618">
                  <c:v>-0.00132187706543296</c:v>
                </c:pt>
                <c:pt idx="619">
                  <c:v>-0.00132362673726005</c:v>
                </c:pt>
                <c:pt idx="620">
                  <c:v>-0.000662690523525411</c:v>
                </c:pt>
                <c:pt idx="621">
                  <c:v>-0.000663129973474841</c:v>
                </c:pt>
                <c:pt idx="622">
                  <c:v>-0.00265428002654278</c:v>
                </c:pt>
                <c:pt idx="623">
                  <c:v>-0.00199600798403188</c:v>
                </c:pt>
                <c:pt idx="624">
                  <c:v>-0.0013333333333333</c:v>
                </c:pt>
                <c:pt idx="625">
                  <c:v>-0.00133511348464621</c:v>
                </c:pt>
                <c:pt idx="626">
                  <c:v>-0.00200534759358284</c:v>
                </c:pt>
                <c:pt idx="627">
                  <c:v>0</c:v>
                </c:pt>
                <c:pt idx="628">
                  <c:v>-0.00133958472873408</c:v>
                </c:pt>
                <c:pt idx="629">
                  <c:v>-0.00134138162307174</c:v>
                </c:pt>
                <c:pt idx="630">
                  <c:v>-0.00201477501678982</c:v>
                </c:pt>
                <c:pt idx="631">
                  <c:v>0</c:v>
                </c:pt>
                <c:pt idx="632">
                  <c:v>-0.000672947510094168</c:v>
                </c:pt>
                <c:pt idx="633">
                  <c:v>-0.00134680134680132</c:v>
                </c:pt>
                <c:pt idx="634">
                  <c:v>0</c:v>
                </c:pt>
                <c:pt idx="635">
                  <c:v>0</c:v>
                </c:pt>
                <c:pt idx="636">
                  <c:v>-0.0020229265003372</c:v>
                </c:pt>
                <c:pt idx="637">
                  <c:v>-0.00270270270270268</c:v>
                </c:pt>
                <c:pt idx="638">
                  <c:v>-0.000677506775067727</c:v>
                </c:pt>
                <c:pt idx="639">
                  <c:v>-0.00338983050847463</c:v>
                </c:pt>
                <c:pt idx="640">
                  <c:v>-0.00272108843537411</c:v>
                </c:pt>
                <c:pt idx="641">
                  <c:v>-0.000682128240109048</c:v>
                </c:pt>
                <c:pt idx="642">
                  <c:v>-0.0034129692832765</c:v>
                </c:pt>
                <c:pt idx="643">
                  <c:v>0</c:v>
                </c:pt>
                <c:pt idx="644">
                  <c:v>-0.00273972602739725</c:v>
                </c:pt>
                <c:pt idx="645">
                  <c:v>-0.00274725274725274</c:v>
                </c:pt>
                <c:pt idx="646">
                  <c:v>-0.00206611570247928</c:v>
                </c:pt>
                <c:pt idx="647">
                  <c:v>-0.00138026224982746</c:v>
                </c:pt>
                <c:pt idx="648">
                  <c:v>-0.00138217000691088</c:v>
                </c:pt>
                <c:pt idx="649">
                  <c:v>-0.000692041522491471</c:v>
                </c:pt>
                <c:pt idx="650">
                  <c:v>-0.000692520775623207</c:v>
                </c:pt>
                <c:pt idx="651">
                  <c:v>0</c:v>
                </c:pt>
                <c:pt idx="652">
                  <c:v>0</c:v>
                </c:pt>
                <c:pt idx="653">
                  <c:v>0</c:v>
                </c:pt>
                <c:pt idx="654">
                  <c:v>-0.00346500346500356</c:v>
                </c:pt>
                <c:pt idx="655">
                  <c:v>-0.00208623087621684</c:v>
                </c:pt>
                <c:pt idx="656">
                  <c:v>-0.00348432055749137</c:v>
                </c:pt>
                <c:pt idx="657">
                  <c:v>-0.00139860139860137</c:v>
                </c:pt>
                <c:pt idx="658">
                  <c:v>-0.00350140056022397</c:v>
                </c:pt>
                <c:pt idx="659">
                  <c:v>-0.00210822206605765</c:v>
                </c:pt>
                <c:pt idx="660">
                  <c:v>-0.00352112676056326</c:v>
                </c:pt>
                <c:pt idx="661">
                  <c:v>-0.00141342756183749</c:v>
                </c:pt>
                <c:pt idx="662">
                  <c:v>-0.00283085633404101</c:v>
                </c:pt>
                <c:pt idx="663">
                  <c:v>-0.000709723207948931</c:v>
                </c:pt>
                <c:pt idx="664">
                  <c:v>-0.00142045454545459</c:v>
                </c:pt>
                <c:pt idx="665">
                  <c:v>0</c:v>
                </c:pt>
                <c:pt idx="666">
                  <c:v>-0.000711237553342792</c:v>
                </c:pt>
                <c:pt idx="667">
                  <c:v>-0.00142348754448396</c:v>
                </c:pt>
                <c:pt idx="668">
                  <c:v>-0.000712758374911027</c:v>
                </c:pt>
                <c:pt idx="669">
                  <c:v>-0.00142653352353783</c:v>
                </c:pt>
                <c:pt idx="670">
                  <c:v>-0.00142857142857145</c:v>
                </c:pt>
                <c:pt idx="671">
                  <c:v>-0.00214592274678105</c:v>
                </c:pt>
                <c:pt idx="672">
                  <c:v>0</c:v>
                </c:pt>
                <c:pt idx="673">
                  <c:v>0.000716845878136141</c:v>
                </c:pt>
                <c:pt idx="674">
                  <c:v>0.00286532951289398</c:v>
                </c:pt>
                <c:pt idx="675">
                  <c:v>0.00357142857142856</c:v>
                </c:pt>
                <c:pt idx="676">
                  <c:v>0.0106761565836297</c:v>
                </c:pt>
                <c:pt idx="677">
                  <c:v>0.00704225352112675</c:v>
                </c:pt>
                <c:pt idx="678">
                  <c:v>0.00559440559440549</c:v>
                </c:pt>
                <c:pt idx="679">
                  <c:v>-0.00208623087621684</c:v>
                </c:pt>
                <c:pt idx="680">
                  <c:v>0</c:v>
                </c:pt>
                <c:pt idx="681">
                  <c:v>0.00209059233449471</c:v>
                </c:pt>
                <c:pt idx="682">
                  <c:v>0</c:v>
                </c:pt>
                <c:pt idx="683">
                  <c:v>0.00139082058414464</c:v>
                </c:pt>
                <c:pt idx="684">
                  <c:v>0.00208333333333344</c:v>
                </c:pt>
                <c:pt idx="685">
                  <c:v>0.00485100485100487</c:v>
                </c:pt>
                <c:pt idx="686">
                  <c:v>0</c:v>
                </c:pt>
                <c:pt idx="687">
                  <c:v>0.00344827586206908</c:v>
                </c:pt>
                <c:pt idx="688">
                  <c:v>-0.000687285223367806</c:v>
                </c:pt>
                <c:pt idx="689">
                  <c:v>0.00275103163686374</c:v>
                </c:pt>
                <c:pt idx="690">
                  <c:v>0</c:v>
                </c:pt>
                <c:pt idx="691">
                  <c:v>0.00685871056241427</c:v>
                </c:pt>
                <c:pt idx="692">
                  <c:v>0.00136239782016356</c:v>
                </c:pt>
                <c:pt idx="693">
                  <c:v>0</c:v>
                </c:pt>
                <c:pt idx="694">
                  <c:v>0.00544217687074822</c:v>
                </c:pt>
                <c:pt idx="695">
                  <c:v>0.0047361299052775</c:v>
                </c:pt>
                <c:pt idx="696">
                  <c:v>0.0067340067340067</c:v>
                </c:pt>
                <c:pt idx="697">
                  <c:v>0.00668896321070211</c:v>
                </c:pt>
                <c:pt idx="698">
                  <c:v>0.00332225913621276</c:v>
                </c:pt>
                <c:pt idx="699">
                  <c:v>-0.00132450331125833</c:v>
                </c:pt>
                <c:pt idx="700">
                  <c:v>0</c:v>
                </c:pt>
                <c:pt idx="701">
                  <c:v>0</c:v>
                </c:pt>
                <c:pt idx="702">
                  <c:v>0.00132625994694968</c:v>
                </c:pt>
                <c:pt idx="703">
                  <c:v>0.000662251655629165</c:v>
                </c:pt>
                <c:pt idx="704">
                  <c:v>0.00595632031767046</c:v>
                </c:pt>
                <c:pt idx="705">
                  <c:v>0</c:v>
                </c:pt>
                <c:pt idx="706">
                  <c:v>0.00789473684210518</c:v>
                </c:pt>
                <c:pt idx="707">
                  <c:v>0.00652741514360322</c:v>
                </c:pt>
                <c:pt idx="708">
                  <c:v>0</c:v>
                </c:pt>
                <c:pt idx="709">
                  <c:v>0.00324254215304798</c:v>
                </c:pt>
                <c:pt idx="710">
                  <c:v>0</c:v>
                </c:pt>
                <c:pt idx="711">
                  <c:v>-0.00129282482223658</c:v>
                </c:pt>
                <c:pt idx="712">
                  <c:v>0.00129449838187701</c:v>
                </c:pt>
                <c:pt idx="713">
                  <c:v>0.00517129928894633</c:v>
                </c:pt>
                <c:pt idx="714">
                  <c:v>0</c:v>
                </c:pt>
                <c:pt idx="715">
                  <c:v>0.00128617363344041</c:v>
                </c:pt>
                <c:pt idx="716">
                  <c:v>0</c:v>
                </c:pt>
                <c:pt idx="717">
                  <c:v>0</c:v>
                </c:pt>
                <c:pt idx="718">
                  <c:v>0</c:v>
                </c:pt>
                <c:pt idx="719">
                  <c:v>0</c:v>
                </c:pt>
                <c:pt idx="720">
                  <c:v>-0.00192678227360299</c:v>
                </c:pt>
                <c:pt idx="721">
                  <c:v>-0.00128700128700132</c:v>
                </c:pt>
                <c:pt idx="722">
                  <c:v>0.000644329896907214</c:v>
                </c:pt>
                <c:pt idx="723">
                  <c:v>-0.00128783000643917</c:v>
                </c:pt>
                <c:pt idx="724">
                  <c:v>0.000644745325596441</c:v>
                </c:pt>
                <c:pt idx="725">
                  <c:v>0.00128865979381443</c:v>
                </c:pt>
                <c:pt idx="726">
                  <c:v>0.00128700128700121</c:v>
                </c:pt>
                <c:pt idx="727">
                  <c:v>0.00192802056555252</c:v>
                </c:pt>
                <c:pt idx="728">
                  <c:v>0</c:v>
                </c:pt>
                <c:pt idx="729">
                  <c:v>0</c:v>
                </c:pt>
                <c:pt idx="730">
                  <c:v>0.00962155227710082</c:v>
                </c:pt>
                <c:pt idx="731">
                  <c:v>0.00508259212198214</c:v>
                </c:pt>
                <c:pt idx="732">
                  <c:v>0.00189633375474085</c:v>
                </c:pt>
                <c:pt idx="733">
                  <c:v>0.00315457413249209</c:v>
                </c:pt>
                <c:pt idx="734">
                  <c:v>0.00377358490566038</c:v>
                </c:pt>
                <c:pt idx="735">
                  <c:v>0.00501253132832091</c:v>
                </c:pt>
                <c:pt idx="736">
                  <c:v>0</c:v>
                </c:pt>
                <c:pt idx="737">
                  <c:v>0.00311720698254359</c:v>
                </c:pt>
                <c:pt idx="738">
                  <c:v>0.00186451211932881</c:v>
                </c:pt>
                <c:pt idx="739">
                  <c:v>-0.00124069478908184</c:v>
                </c:pt>
                <c:pt idx="740">
                  <c:v>-0.00372670807453412</c:v>
                </c:pt>
                <c:pt idx="741">
                  <c:v>-0.000623441396508828</c:v>
                </c:pt>
                <c:pt idx="742">
                  <c:v>0</c:v>
                </c:pt>
                <c:pt idx="743">
                  <c:v>-0.00124766063630688</c:v>
                </c:pt>
                <c:pt idx="744">
                  <c:v>0</c:v>
                </c:pt>
                <c:pt idx="745">
                  <c:v>0.00124921923797627</c:v>
                </c:pt>
                <c:pt idx="746">
                  <c:v>0.00374298190892075</c:v>
                </c:pt>
                <c:pt idx="747">
                  <c:v>0.000621504039776344</c:v>
                </c:pt>
                <c:pt idx="748">
                  <c:v>0</c:v>
                </c:pt>
                <c:pt idx="749">
                  <c:v>0.00186335403726701</c:v>
                </c:pt>
                <c:pt idx="750">
                  <c:v>0</c:v>
                </c:pt>
                <c:pt idx="751">
                  <c:v>0</c:v>
                </c:pt>
                <c:pt idx="752">
                  <c:v>0.00495970241785493</c:v>
                </c:pt>
                <c:pt idx="753">
                  <c:v>0.00308451573103019</c:v>
                </c:pt>
                <c:pt idx="754">
                  <c:v>0.00307503075030757</c:v>
                </c:pt>
                <c:pt idx="755">
                  <c:v>0.009196811771919</c:v>
                </c:pt>
                <c:pt idx="756">
                  <c:v>0.00668286755771574</c:v>
                </c:pt>
                <c:pt idx="757">
                  <c:v>0.00422450211225089</c:v>
                </c:pt>
                <c:pt idx="758">
                  <c:v>0.00841346153846145</c:v>
                </c:pt>
                <c:pt idx="759">
                  <c:v>0.00297973778307514</c:v>
                </c:pt>
                <c:pt idx="760">
                  <c:v>0.00118835412953056</c:v>
                </c:pt>
                <c:pt idx="761">
                  <c:v>0</c:v>
                </c:pt>
                <c:pt idx="762">
                  <c:v>0.0136498516320473</c:v>
                </c:pt>
                <c:pt idx="763">
                  <c:v>0.0181498829039815</c:v>
                </c:pt>
                <c:pt idx="764">
                  <c:v>0.00977573317998837</c:v>
                </c:pt>
                <c:pt idx="765">
                  <c:v>0.0142369020501139</c:v>
                </c:pt>
                <c:pt idx="766">
                  <c:v>0.00280741156653574</c:v>
                </c:pt>
                <c:pt idx="767">
                  <c:v>0</c:v>
                </c:pt>
                <c:pt idx="768">
                  <c:v>0</c:v>
                </c:pt>
                <c:pt idx="769">
                  <c:v>0.00167973124300103</c:v>
                </c:pt>
                <c:pt idx="770">
                  <c:v>0.00335382895472325</c:v>
                </c:pt>
                <c:pt idx="771">
                  <c:v>0</c:v>
                </c:pt>
                <c:pt idx="772">
                  <c:v>0</c:v>
                </c:pt>
                <c:pt idx="773">
                  <c:v>0</c:v>
                </c:pt>
                <c:pt idx="774">
                  <c:v>0.00167130919220071</c:v>
                </c:pt>
                <c:pt idx="775">
                  <c:v>0.00444938820912122</c:v>
                </c:pt>
                <c:pt idx="776">
                  <c:v>0.0044296788482836</c:v>
                </c:pt>
                <c:pt idx="777">
                  <c:v>0.00385887541345098</c:v>
                </c:pt>
                <c:pt idx="778">
                  <c:v>0.00164744645799009</c:v>
                </c:pt>
                <c:pt idx="779">
                  <c:v>0</c:v>
                </c:pt>
                <c:pt idx="780">
                  <c:v>0</c:v>
                </c:pt>
                <c:pt idx="781">
                  <c:v>0.00274122807017529</c:v>
                </c:pt>
                <c:pt idx="782">
                  <c:v>0</c:v>
                </c:pt>
                <c:pt idx="783">
                  <c:v>0.00109349371241119</c:v>
                </c:pt>
                <c:pt idx="784">
                  <c:v>-0.00163844893500809</c:v>
                </c:pt>
                <c:pt idx="785">
                  <c:v>0</c:v>
                </c:pt>
                <c:pt idx="786">
                  <c:v>0</c:v>
                </c:pt>
                <c:pt idx="787">
                  <c:v>0.00164113785557984</c:v>
                </c:pt>
                <c:pt idx="788">
                  <c:v>-0.00163844893500809</c:v>
                </c:pt>
                <c:pt idx="789">
                  <c:v>-0.000547045951860059</c:v>
                </c:pt>
                <c:pt idx="790">
                  <c:v>0</c:v>
                </c:pt>
                <c:pt idx="791">
                  <c:v>-0.00492610837438423</c:v>
                </c:pt>
                <c:pt idx="792">
                  <c:v>-0.00165016501650173</c:v>
                </c:pt>
                <c:pt idx="793">
                  <c:v>-0.00220385674931134</c:v>
                </c:pt>
                <c:pt idx="794">
                  <c:v>-0.00110436223081167</c:v>
                </c:pt>
                <c:pt idx="795">
                  <c:v>-0.00110558319513543</c:v>
                </c:pt>
                <c:pt idx="796">
                  <c:v>0</c:v>
                </c:pt>
                <c:pt idx="797">
                  <c:v>-0.000553403431101218</c:v>
                </c:pt>
                <c:pt idx="798">
                  <c:v>-0.00110741971207085</c:v>
                </c:pt>
                <c:pt idx="799">
                  <c:v>-0.00443458980044342</c:v>
                </c:pt>
                <c:pt idx="800">
                  <c:v>-0.00111358574610243</c:v>
                </c:pt>
                <c:pt idx="801">
                  <c:v>-0.00278706800445938</c:v>
                </c:pt>
                <c:pt idx="802">
                  <c:v>-0.00279485746226937</c:v>
                </c:pt>
                <c:pt idx="803">
                  <c:v>-0.0011210762331838</c:v>
                </c:pt>
                <c:pt idx="804">
                  <c:v>-0.00280583613916952</c:v>
                </c:pt>
                <c:pt idx="805">
                  <c:v>-0.00225098480585251</c:v>
                </c:pt>
                <c:pt idx="806">
                  <c:v>-0.00169204737732653</c:v>
                </c:pt>
                <c:pt idx="807">
                  <c:v>-0.000564971751412457</c:v>
                </c:pt>
                <c:pt idx="808">
                  <c:v>0</c:v>
                </c:pt>
                <c:pt idx="809">
                  <c:v>0</c:v>
                </c:pt>
                <c:pt idx="810">
                  <c:v>0</c:v>
                </c:pt>
                <c:pt idx="811">
                  <c:v>-0.00113058224985862</c:v>
                </c:pt>
                <c:pt idx="812">
                  <c:v>0</c:v>
                </c:pt>
                <c:pt idx="813">
                  <c:v>0</c:v>
                </c:pt>
                <c:pt idx="814">
                  <c:v>0.00226372382569329</c:v>
                </c:pt>
                <c:pt idx="815">
                  <c:v>0</c:v>
                </c:pt>
                <c:pt idx="816">
                  <c:v>0.00564652738565785</c:v>
                </c:pt>
                <c:pt idx="817">
                  <c:v>0.00280741156653574</c:v>
                </c:pt>
                <c:pt idx="818">
                  <c:v>0.0078387458006719</c:v>
                </c:pt>
                <c:pt idx="819">
                  <c:v>0.00277777777777777</c:v>
                </c:pt>
                <c:pt idx="820">
                  <c:v>0</c:v>
                </c:pt>
                <c:pt idx="821">
                  <c:v>-0.000554016620498587</c:v>
                </c:pt>
                <c:pt idx="822">
                  <c:v>0.000554323725055372</c:v>
                </c:pt>
                <c:pt idx="823">
                  <c:v>0</c:v>
                </c:pt>
                <c:pt idx="824">
                  <c:v>-0.00166204986149576</c:v>
                </c:pt>
                <c:pt idx="825">
                  <c:v>-0.00110987791342954</c:v>
                </c:pt>
                <c:pt idx="826">
                  <c:v>-0.0033333333333333</c:v>
                </c:pt>
                <c:pt idx="827">
                  <c:v>-0.00111482720178369</c:v>
                </c:pt>
                <c:pt idx="828">
                  <c:v>-0.000558035714285809</c:v>
                </c:pt>
                <c:pt idx="829">
                  <c:v>-0.00167504187604683</c:v>
                </c:pt>
                <c:pt idx="830">
                  <c:v>-0.00167785234899331</c:v>
                </c:pt>
                <c:pt idx="831">
                  <c:v>-0.0011204481792717</c:v>
                </c:pt>
                <c:pt idx="832">
                  <c:v>-0.00112170499158726</c:v>
                </c:pt>
                <c:pt idx="833">
                  <c:v>-0.000561482313307105</c:v>
                </c:pt>
                <c:pt idx="834">
                  <c:v>0</c:v>
                </c:pt>
                <c:pt idx="835">
                  <c:v>-0.00168539325842698</c:v>
                </c:pt>
                <c:pt idx="836">
                  <c:v>-0.000562746201463127</c:v>
                </c:pt>
                <c:pt idx="837">
                  <c:v>-0.00168918918918926</c:v>
                </c:pt>
                <c:pt idx="838">
                  <c:v>-0.00225606316976878</c:v>
                </c:pt>
                <c:pt idx="839">
                  <c:v>-0.00169587337478794</c:v>
                </c:pt>
                <c:pt idx="840">
                  <c:v>-0.0016987542468857</c:v>
                </c:pt>
                <c:pt idx="841">
                  <c:v>-0.00113442994895063</c:v>
                </c:pt>
                <c:pt idx="842">
                  <c:v>-0.00170357751277672</c:v>
                </c:pt>
                <c:pt idx="843">
                  <c:v>-0.00455062571103526</c:v>
                </c:pt>
                <c:pt idx="844">
                  <c:v>-0.00114285714285711</c:v>
                </c:pt>
                <c:pt idx="845">
                  <c:v>-0.00228832951945079</c:v>
                </c:pt>
                <c:pt idx="846">
                  <c:v>-0.00344036697247707</c:v>
                </c:pt>
                <c:pt idx="847">
                  <c:v>-0.0046029919447641</c:v>
                </c:pt>
                <c:pt idx="848">
                  <c:v>-0.000578034682080841</c:v>
                </c:pt>
                <c:pt idx="849">
                  <c:v>-0.00173510699826496</c:v>
                </c:pt>
                <c:pt idx="850">
                  <c:v>0</c:v>
                </c:pt>
                <c:pt idx="851">
                  <c:v>-0.00115874855156428</c:v>
                </c:pt>
                <c:pt idx="852">
                  <c:v>-0.00232018561484915</c:v>
                </c:pt>
                <c:pt idx="853">
                  <c:v>0</c:v>
                </c:pt>
                <c:pt idx="854">
                  <c:v>-0.00290697674418594</c:v>
                </c:pt>
                <c:pt idx="855">
                  <c:v>-0.000583090379008833</c:v>
                </c:pt>
                <c:pt idx="856">
                  <c:v>0</c:v>
                </c:pt>
                <c:pt idx="857">
                  <c:v>0</c:v>
                </c:pt>
                <c:pt idx="858">
                  <c:v>-0.000583430571761911</c:v>
                </c:pt>
                <c:pt idx="859">
                  <c:v>-0.00116754232340921</c:v>
                </c:pt>
                <c:pt idx="860">
                  <c:v>-0.00233781414377554</c:v>
                </c:pt>
                <c:pt idx="861">
                  <c:v>-0.00234329232571762</c:v>
                </c:pt>
                <c:pt idx="862">
                  <c:v>0</c:v>
                </c:pt>
                <c:pt idx="863">
                  <c:v>0</c:v>
                </c:pt>
                <c:pt idx="864">
                  <c:v>0.00352319436288906</c:v>
                </c:pt>
                <c:pt idx="865">
                  <c:v>0</c:v>
                </c:pt>
                <c:pt idx="866">
                  <c:v>-0.00175541252194267</c:v>
                </c:pt>
                <c:pt idx="867">
                  <c:v>0.00879249706916774</c:v>
                </c:pt>
                <c:pt idx="868">
                  <c:v>0.00639163277164423</c:v>
                </c:pt>
                <c:pt idx="869">
                  <c:v>0.00230946882217098</c:v>
                </c:pt>
                <c:pt idx="870">
                  <c:v>0.00460829493087567</c:v>
                </c:pt>
                <c:pt idx="871">
                  <c:v>0.00114678899082565</c:v>
                </c:pt>
                <c:pt idx="872">
                  <c:v>0.00114547537227949</c:v>
                </c:pt>
                <c:pt idx="873">
                  <c:v>0.00343249427917613</c:v>
                </c:pt>
                <c:pt idx="874">
                  <c:v>0.00171037628278214</c:v>
                </c:pt>
                <c:pt idx="875">
                  <c:v>0.0113830392714855</c:v>
                </c:pt>
                <c:pt idx="876">
                  <c:v>0.012380416432189</c:v>
                </c:pt>
                <c:pt idx="877">
                  <c:v>0.00611450806003333</c:v>
                </c:pt>
                <c:pt idx="878">
                  <c:v>0.00441988950276251</c:v>
                </c:pt>
                <c:pt idx="879">
                  <c:v>0</c:v>
                </c:pt>
                <c:pt idx="880">
                  <c:v>0.0027502750275028</c:v>
                </c:pt>
                <c:pt idx="881">
                  <c:v>0.0038398244651674</c:v>
                </c:pt>
                <c:pt idx="882">
                  <c:v>0</c:v>
                </c:pt>
                <c:pt idx="883">
                  <c:v>0</c:v>
                </c:pt>
                <c:pt idx="884">
                  <c:v>0</c:v>
                </c:pt>
                <c:pt idx="885">
                  <c:v>0.000546448087431539</c:v>
                </c:pt>
                <c:pt idx="886">
                  <c:v>0</c:v>
                </c:pt>
                <c:pt idx="887">
                  <c:v>0.00109229929000554</c:v>
                </c:pt>
                <c:pt idx="888">
                  <c:v>0</c:v>
                </c:pt>
                <c:pt idx="889">
                  <c:v>0.00109110747408625</c:v>
                </c:pt>
                <c:pt idx="890">
                  <c:v>0</c:v>
                </c:pt>
                <c:pt idx="891">
                  <c:v>0.000544959128065514</c:v>
                </c:pt>
                <c:pt idx="892">
                  <c:v>-0.00163398692810468</c:v>
                </c:pt>
                <c:pt idx="893">
                  <c:v>-0.00163666121112926</c:v>
                </c:pt>
                <c:pt idx="894">
                  <c:v>0</c:v>
                </c:pt>
                <c:pt idx="895">
                  <c:v>0</c:v>
                </c:pt>
                <c:pt idx="896">
                  <c:v>0</c:v>
                </c:pt>
                <c:pt idx="897">
                  <c:v>0</c:v>
                </c:pt>
                <c:pt idx="898">
                  <c:v>0</c:v>
                </c:pt>
                <c:pt idx="899">
                  <c:v>-0.000546448087431761</c:v>
                </c:pt>
                <c:pt idx="900">
                  <c:v>0</c:v>
                </c:pt>
                <c:pt idx="901">
                  <c:v>0</c:v>
                </c:pt>
                <c:pt idx="902">
                  <c:v>0</c:v>
                </c:pt>
                <c:pt idx="903">
                  <c:v>-0.00164024056861667</c:v>
                </c:pt>
                <c:pt idx="904">
                  <c:v>-0.000547645125958396</c:v>
                </c:pt>
                <c:pt idx="905">
                  <c:v>0</c:v>
                </c:pt>
                <c:pt idx="906">
                  <c:v>-0.000547945205479405</c:v>
                </c:pt>
                <c:pt idx="907">
                  <c:v>-0.000548245614035103</c:v>
                </c:pt>
                <c:pt idx="908">
                  <c:v>-0.00164563905650017</c:v>
                </c:pt>
                <c:pt idx="909">
                  <c:v>-0.00659340659340657</c:v>
                </c:pt>
                <c:pt idx="910">
                  <c:v>-0.00553097345132747</c:v>
                </c:pt>
                <c:pt idx="911">
                  <c:v>-0.00166852057842048</c:v>
                </c:pt>
                <c:pt idx="912">
                  <c:v>-0.00389972144846795</c:v>
                </c:pt>
                <c:pt idx="913">
                  <c:v>-0.00447427293064873</c:v>
                </c:pt>
                <c:pt idx="914">
                  <c:v>-0.00393258426966303</c:v>
                </c:pt>
                <c:pt idx="915">
                  <c:v>-0.00169204737732653</c:v>
                </c:pt>
                <c:pt idx="916">
                  <c:v>-0.00112994350282491</c:v>
                </c:pt>
                <c:pt idx="917">
                  <c:v>-0.00169683257918563</c:v>
                </c:pt>
                <c:pt idx="918">
                  <c:v>0</c:v>
                </c:pt>
                <c:pt idx="919">
                  <c:v>0</c:v>
                </c:pt>
                <c:pt idx="920">
                  <c:v>-0.00283286118980164</c:v>
                </c:pt>
                <c:pt idx="921">
                  <c:v>-0.00284090909090917</c:v>
                </c:pt>
                <c:pt idx="922">
                  <c:v>-0.0011396011396011</c:v>
                </c:pt>
                <c:pt idx="923">
                  <c:v>-0.0028522532800912</c:v>
                </c:pt>
                <c:pt idx="924">
                  <c:v>-0.00171624713958807</c:v>
                </c:pt>
                <c:pt idx="925">
                  <c:v>-0.00286532951289409</c:v>
                </c:pt>
                <c:pt idx="926">
                  <c:v>-0.00114942528735629</c:v>
                </c:pt>
                <c:pt idx="927">
                  <c:v>-0.0046029919447641</c:v>
                </c:pt>
                <c:pt idx="928">
                  <c:v>-0.00289017341040454</c:v>
                </c:pt>
                <c:pt idx="929">
                  <c:v>-0.00289855072463774</c:v>
                </c:pt>
                <c:pt idx="930">
                  <c:v>0</c:v>
                </c:pt>
                <c:pt idx="931">
                  <c:v>-0.00116279069767444</c:v>
                </c:pt>
                <c:pt idx="932">
                  <c:v>-0.00174621653084972</c:v>
                </c:pt>
                <c:pt idx="933">
                  <c:v>0</c:v>
                </c:pt>
                <c:pt idx="934">
                  <c:v>0</c:v>
                </c:pt>
                <c:pt idx="935">
                  <c:v>-0.00116618075801744</c:v>
                </c:pt>
                <c:pt idx="936">
                  <c:v>-0.00758902510215997</c:v>
                </c:pt>
                <c:pt idx="937">
                  <c:v>-0.00294117647058822</c:v>
                </c:pt>
                <c:pt idx="938">
                  <c:v>0</c:v>
                </c:pt>
                <c:pt idx="939">
                  <c:v>-0.0041297935103245</c:v>
                </c:pt>
                <c:pt idx="940">
                  <c:v>-0.00177725118483407</c:v>
                </c:pt>
                <c:pt idx="941">
                  <c:v>-0.00118694362017802</c:v>
                </c:pt>
                <c:pt idx="942">
                  <c:v>-0.00178253119429594</c:v>
                </c:pt>
                <c:pt idx="943">
                  <c:v>0</c:v>
                </c:pt>
                <c:pt idx="944">
                  <c:v>-0.00595238095238093</c:v>
                </c:pt>
                <c:pt idx="945">
                  <c:v>-0.00299401197604787</c:v>
                </c:pt>
                <c:pt idx="946">
                  <c:v>-0.00600600600600598</c:v>
                </c:pt>
                <c:pt idx="947">
                  <c:v>-0.00302114803625386</c:v>
                </c:pt>
                <c:pt idx="948">
                  <c:v>-0.00727272727272732</c:v>
                </c:pt>
                <c:pt idx="949">
                  <c:v>-0.00183150183150171</c:v>
                </c:pt>
                <c:pt idx="950">
                  <c:v>-0.00122324159021403</c:v>
                </c:pt>
                <c:pt idx="951">
                  <c:v>0</c:v>
                </c:pt>
                <c:pt idx="952">
                  <c:v>0</c:v>
                </c:pt>
                <c:pt idx="953">
                  <c:v>-0.00489895897121861</c:v>
                </c:pt>
                <c:pt idx="954">
                  <c:v>-0.00123076923076926</c:v>
                </c:pt>
                <c:pt idx="955">
                  <c:v>-0.00184842883548975</c:v>
                </c:pt>
                <c:pt idx="956">
                  <c:v>-0.00308641975308654</c:v>
                </c:pt>
                <c:pt idx="957">
                  <c:v>-0.00123839009287929</c:v>
                </c:pt>
                <c:pt idx="958">
                  <c:v>-0.00185988840669549</c:v>
                </c:pt>
                <c:pt idx="959">
                  <c:v>0</c:v>
                </c:pt>
                <c:pt idx="960">
                  <c:v>0</c:v>
                </c:pt>
                <c:pt idx="961">
                  <c:v>0</c:v>
                </c:pt>
                <c:pt idx="962">
                  <c:v>-0.00124223602484475</c:v>
                </c:pt>
                <c:pt idx="963">
                  <c:v>-0.00497512437810943</c:v>
                </c:pt>
                <c:pt idx="964">
                  <c:v>-0.00749999999999995</c:v>
                </c:pt>
                <c:pt idx="965">
                  <c:v>0</c:v>
                </c:pt>
                <c:pt idx="966">
                  <c:v>-0.00314861460957183</c:v>
                </c:pt>
                <c:pt idx="967">
                  <c:v>-0.00189513581806688</c:v>
                </c:pt>
                <c:pt idx="968">
                  <c:v>-0.00632911392405067</c:v>
                </c:pt>
                <c:pt idx="969">
                  <c:v>-0.00127388535031847</c:v>
                </c:pt>
                <c:pt idx="970">
                  <c:v>-0.00191326530612257</c:v>
                </c:pt>
                <c:pt idx="971">
                  <c:v>-0.00127795527156549</c:v>
                </c:pt>
                <c:pt idx="972">
                  <c:v>-0.00191938579654505</c:v>
                </c:pt>
                <c:pt idx="973">
                  <c:v>0</c:v>
                </c:pt>
                <c:pt idx="974">
                  <c:v>-0.00128205128205128</c:v>
                </c:pt>
                <c:pt idx="975">
                  <c:v>-0.00513478818998714</c:v>
                </c:pt>
                <c:pt idx="976">
                  <c:v>-0.00322580645161297</c:v>
                </c:pt>
                <c:pt idx="977">
                  <c:v>-0.00453074433656953</c:v>
                </c:pt>
                <c:pt idx="978">
                  <c:v>-0.00325097529258789</c:v>
                </c:pt>
                <c:pt idx="979">
                  <c:v>-0.00195694716242656</c:v>
                </c:pt>
                <c:pt idx="980">
                  <c:v>-0.00130718954248366</c:v>
                </c:pt>
                <c:pt idx="981">
                  <c:v>-0.00654450261780104</c:v>
                </c:pt>
                <c:pt idx="982">
                  <c:v>-0.00658761528326746</c:v>
                </c:pt>
                <c:pt idx="983">
                  <c:v>-0.00198938992042452</c:v>
                </c:pt>
                <c:pt idx="984">
                  <c:v>-0.00465116279069766</c:v>
                </c:pt>
                <c:pt idx="985">
                  <c:v>-0.00667556742323094</c:v>
                </c:pt>
                <c:pt idx="986">
                  <c:v>-0.00873655913978488</c:v>
                </c:pt>
                <c:pt idx="987">
                  <c:v>-0.00338983050847463</c:v>
                </c:pt>
                <c:pt idx="988">
                  <c:v>-0.00340136054421758</c:v>
                </c:pt>
                <c:pt idx="989">
                  <c:v>-0.00136518771331062</c:v>
                </c:pt>
                <c:pt idx="990">
                  <c:v>0</c:v>
                </c:pt>
                <c:pt idx="991">
                  <c:v>0</c:v>
                </c:pt>
                <c:pt idx="992">
                  <c:v>-0.00205058099794952</c:v>
                </c:pt>
                <c:pt idx="993">
                  <c:v>-0.00136986301369868</c:v>
                </c:pt>
                <c:pt idx="994">
                  <c:v>0</c:v>
                </c:pt>
                <c:pt idx="995">
                  <c:v>-0.000685871056241405</c:v>
                </c:pt>
                <c:pt idx="996">
                  <c:v>-0.000686341798215584</c:v>
                </c:pt>
                <c:pt idx="997">
                  <c:v>0.00549450549450547</c:v>
                </c:pt>
                <c:pt idx="998">
                  <c:v>0.00136612021857929</c:v>
                </c:pt>
                <c:pt idx="999">
                  <c:v>0</c:v>
                </c:pt>
                <c:pt idx="1000">
                  <c:v>-0.000682128240109048</c:v>
                </c:pt>
                <c:pt idx="1001">
                  <c:v>-0.000682593856655367</c:v>
                </c:pt>
                <c:pt idx="1002">
                  <c:v>0</c:v>
                </c:pt>
                <c:pt idx="1003">
                  <c:v>0</c:v>
                </c:pt>
                <c:pt idx="1004">
                  <c:v>0</c:v>
                </c:pt>
                <c:pt idx="1005">
                  <c:v>0</c:v>
                </c:pt>
                <c:pt idx="1006">
                  <c:v>-0.00136612021857918</c:v>
                </c:pt>
                <c:pt idx="1007">
                  <c:v>0</c:v>
                </c:pt>
                <c:pt idx="1008">
                  <c:v>0.00478796169630646</c:v>
                </c:pt>
                <c:pt idx="1009">
                  <c:v>0</c:v>
                </c:pt>
                <c:pt idx="1010">
                  <c:v>0</c:v>
                </c:pt>
                <c:pt idx="1011">
                  <c:v>0</c:v>
                </c:pt>
                <c:pt idx="1012">
                  <c:v>-0.00340367597004776</c:v>
                </c:pt>
                <c:pt idx="1013">
                  <c:v>0</c:v>
                </c:pt>
                <c:pt idx="1014">
                  <c:v>0</c:v>
                </c:pt>
                <c:pt idx="1015">
                  <c:v>0</c:v>
                </c:pt>
                <c:pt idx="1016">
                  <c:v>-0.00204918032786883</c:v>
                </c:pt>
                <c:pt idx="1017">
                  <c:v>0</c:v>
                </c:pt>
                <c:pt idx="1018">
                  <c:v>-0.00136892539356603</c:v>
                </c:pt>
                <c:pt idx="1019">
                  <c:v>-0.00137080191912264</c:v>
                </c:pt>
                <c:pt idx="1020">
                  <c:v>-0.000686341798215584</c:v>
                </c:pt>
                <c:pt idx="1021">
                  <c:v>0.00137362637362637</c:v>
                </c:pt>
                <c:pt idx="1022">
                  <c:v>0</c:v>
                </c:pt>
                <c:pt idx="1023">
                  <c:v>0</c:v>
                </c:pt>
                <c:pt idx="1024">
                  <c:v>-0.00342935528120702</c:v>
                </c:pt>
                <c:pt idx="1025">
                  <c:v>-0.00137646249139711</c:v>
                </c:pt>
                <c:pt idx="1026">
                  <c:v>0</c:v>
                </c:pt>
                <c:pt idx="1027">
                  <c:v>0</c:v>
                </c:pt>
                <c:pt idx="1028">
                  <c:v>0</c:v>
                </c:pt>
                <c:pt idx="1029">
                  <c:v>-0.00137835975189526</c:v>
                </c:pt>
                <c:pt idx="1030">
                  <c:v>0</c:v>
                </c:pt>
                <c:pt idx="1031">
                  <c:v>0</c:v>
                </c:pt>
                <c:pt idx="1032">
                  <c:v>0</c:v>
                </c:pt>
                <c:pt idx="1033">
                  <c:v>0</c:v>
                </c:pt>
                <c:pt idx="1034">
                  <c:v>0.00138026224982757</c:v>
                </c:pt>
                <c:pt idx="1035">
                  <c:v>0</c:v>
                </c:pt>
                <c:pt idx="1036">
                  <c:v>0</c:v>
                </c:pt>
                <c:pt idx="1037">
                  <c:v>-0.00137835975189526</c:v>
                </c:pt>
                <c:pt idx="1038">
                  <c:v>-0.00138026224982746</c:v>
                </c:pt>
                <c:pt idx="1039">
                  <c:v>-0.000691085003455494</c:v>
                </c:pt>
                <c:pt idx="1040">
                  <c:v>0</c:v>
                </c:pt>
                <c:pt idx="1041">
                  <c:v>0</c:v>
                </c:pt>
                <c:pt idx="1042">
                  <c:v>-0.000691562932226719</c:v>
                </c:pt>
                <c:pt idx="1043">
                  <c:v>0</c:v>
                </c:pt>
                <c:pt idx="1044">
                  <c:v>0</c:v>
                </c:pt>
                <c:pt idx="1045">
                  <c:v>-0.000692041522491471</c:v>
                </c:pt>
                <c:pt idx="1046">
                  <c:v>-0.00138504155124652</c:v>
                </c:pt>
                <c:pt idx="1047">
                  <c:v>0.00485436893203883</c:v>
                </c:pt>
                <c:pt idx="1048">
                  <c:v>0.00345065562456859</c:v>
                </c:pt>
                <c:pt idx="1049">
                  <c:v>0.00481430536451177</c:v>
                </c:pt>
                <c:pt idx="1050">
                  <c:v>0.00342231348391508</c:v>
                </c:pt>
                <c:pt idx="1051">
                  <c:v>0.00613915416098232</c:v>
                </c:pt>
                <c:pt idx="1052">
                  <c:v>0.00338983050847452</c:v>
                </c:pt>
                <c:pt idx="1053">
                  <c:v>0.00405405405405412</c:v>
                </c:pt>
                <c:pt idx="1054">
                  <c:v>0.00605652759084796</c:v>
                </c:pt>
                <c:pt idx="1055">
                  <c:v>0.00334448160535117</c:v>
                </c:pt>
                <c:pt idx="1056">
                  <c:v>0.0166666666666666</c:v>
                </c:pt>
                <c:pt idx="1057">
                  <c:v>0.0137704918032788</c:v>
                </c:pt>
                <c:pt idx="1058">
                  <c:v>0.00970245795601543</c:v>
                </c:pt>
                <c:pt idx="1059">
                  <c:v>0.0121716848174247</c:v>
                </c:pt>
                <c:pt idx="1060">
                  <c:v>0.018987341772152</c:v>
                </c:pt>
                <c:pt idx="1061">
                  <c:v>0.00931677018633525</c:v>
                </c:pt>
                <c:pt idx="1062">
                  <c:v>0.00492307692307703</c:v>
                </c:pt>
                <c:pt idx="1063">
                  <c:v>0.0079608083282301</c:v>
                </c:pt>
                <c:pt idx="1064">
                  <c:v>0.00243013365735112</c:v>
                </c:pt>
                <c:pt idx="1065">
                  <c:v>0.00181818181818194</c:v>
                </c:pt>
                <c:pt idx="1066">
                  <c:v>-0.000604960677555999</c:v>
                </c:pt>
                <c:pt idx="1067">
                  <c:v>-0.00121065375302665</c:v>
                </c:pt>
                <c:pt idx="1068">
                  <c:v>-0.00181818181818172</c:v>
                </c:pt>
                <c:pt idx="1069">
                  <c:v>0.00303582270795388</c:v>
                </c:pt>
                <c:pt idx="1070">
                  <c:v>0.00726392251815988</c:v>
                </c:pt>
                <c:pt idx="1071">
                  <c:v>0.00120192307692313</c:v>
                </c:pt>
                <c:pt idx="1072">
                  <c:v>0.00420168067226889</c:v>
                </c:pt>
                <c:pt idx="1073">
                  <c:v>0</c:v>
                </c:pt>
                <c:pt idx="1074">
                  <c:v>0.0101613867304244</c:v>
                </c:pt>
                <c:pt idx="1075">
                  <c:v>0.00591715976331364</c:v>
                </c:pt>
                <c:pt idx="1076">
                  <c:v>0.00294117647058822</c:v>
                </c:pt>
                <c:pt idx="1077">
                  <c:v>0.00879765395894427</c:v>
                </c:pt>
                <c:pt idx="1078">
                  <c:v>0</c:v>
                </c:pt>
                <c:pt idx="1079">
                  <c:v>0.0122093023255814</c:v>
                </c:pt>
                <c:pt idx="1080">
                  <c:v>0.00402067777139559</c:v>
                </c:pt>
                <c:pt idx="1081">
                  <c:v>0.00286041189931341</c:v>
                </c:pt>
                <c:pt idx="1082">
                  <c:v>0.0290929834569311</c:v>
                </c:pt>
                <c:pt idx="1083">
                  <c:v>0.00942350332594222</c:v>
                </c:pt>
                <c:pt idx="1084">
                  <c:v>0.0120812740252609</c:v>
                </c:pt>
                <c:pt idx="1085">
                  <c:v>0.00596852957135119</c:v>
                </c:pt>
                <c:pt idx="1086">
                  <c:v>0.0199568500539373</c:v>
                </c:pt>
                <c:pt idx="1087">
                  <c:v>0.0163934426229508</c:v>
                </c:pt>
                <c:pt idx="1088">
                  <c:v>0.022372528616025</c:v>
                </c:pt>
                <c:pt idx="1089">
                  <c:v>0.0249363867684478</c:v>
                </c:pt>
                <c:pt idx="1090">
                  <c:v>0.0248262164846078</c:v>
                </c:pt>
                <c:pt idx="1091">
                  <c:v>0.0198643410852712</c:v>
                </c:pt>
                <c:pt idx="1092">
                  <c:v>0.0114014251781474</c:v>
                </c:pt>
                <c:pt idx="1093">
                  <c:v>0.00422733677782983</c:v>
                </c:pt>
                <c:pt idx="1094">
                  <c:v>0</c:v>
                </c:pt>
                <c:pt idx="1095">
                  <c:v>0</c:v>
                </c:pt>
                <c:pt idx="1096">
                  <c:v>0.0112254443405051</c:v>
                </c:pt>
                <c:pt idx="1097">
                  <c:v>0.00832562442183171</c:v>
                </c:pt>
                <c:pt idx="1098">
                  <c:v>0.025229357798165</c:v>
                </c:pt>
                <c:pt idx="1099">
                  <c:v>0.033109619686801</c:v>
                </c:pt>
                <c:pt idx="1100">
                  <c:v>0.0333477695972282</c:v>
                </c:pt>
                <c:pt idx="1101">
                  <c:v>0.0310142497904442</c:v>
                </c:pt>
                <c:pt idx="1102">
                  <c:v>0.0357723577235773</c:v>
                </c:pt>
                <c:pt idx="1103">
                  <c:v>0.0400313971742543</c:v>
                </c:pt>
                <c:pt idx="1104">
                  <c:v>0.030566037735849</c:v>
                </c:pt>
                <c:pt idx="1105">
                  <c:v>0.0190406444525815</c:v>
                </c:pt>
                <c:pt idx="1106">
                  <c:v>0.0255120373697448</c:v>
                </c:pt>
                <c:pt idx="1107">
                  <c:v>0.0381920112123335</c:v>
                </c:pt>
                <c:pt idx="1108">
                  <c:v>0.031724603442457</c:v>
                </c:pt>
                <c:pt idx="1109">
                  <c:v>0.0140660778541053</c:v>
                </c:pt>
                <c:pt idx="1110">
                  <c:v>0.0461290322580645</c:v>
                </c:pt>
                <c:pt idx="1111">
                  <c:v>0.0218933086648165</c:v>
                </c:pt>
                <c:pt idx="1112">
                  <c:v>0.0322872661436331</c:v>
                </c:pt>
                <c:pt idx="1113">
                  <c:v>0.0236772873428821</c:v>
                </c:pt>
                <c:pt idx="1114">
                  <c:v>0.0779554540262708</c:v>
                </c:pt>
                <c:pt idx="1115">
                  <c:v>0.0641059602649008</c:v>
                </c:pt>
                <c:pt idx="1116">
                  <c:v>0.041075429424944</c:v>
                </c:pt>
                <c:pt idx="1117">
                  <c:v>0.093974175035868</c:v>
                </c:pt>
                <c:pt idx="1118">
                  <c:v>0.0675409836065575</c:v>
                </c:pt>
                <c:pt idx="1119">
                  <c:v>0.0544635544635546</c:v>
                </c:pt>
                <c:pt idx="1120">
                  <c:v>0.00970873786407767</c:v>
                </c:pt>
                <c:pt idx="1121">
                  <c:v>-0.00865384615384612</c:v>
                </c:pt>
                <c:pt idx="1122">
                  <c:v>-0.000387972841901174</c:v>
                </c:pt>
                <c:pt idx="1123">
                  <c:v>-0.0102852707160878</c:v>
                </c:pt>
                <c:pt idx="1124">
                  <c:v>-0.0049019607843136</c:v>
                </c:pt>
                <c:pt idx="1125">
                  <c:v>0</c:v>
                </c:pt>
                <c:pt idx="1126">
                  <c:v>-0.000394088669950721</c:v>
                </c:pt>
                <c:pt idx="1127">
                  <c:v>-0.00295683027794214</c:v>
                </c:pt>
                <c:pt idx="1128">
                  <c:v>-0.00395413206801098</c:v>
                </c:pt>
                <c:pt idx="1129">
                  <c:v>-0.00258038904327107</c:v>
                </c:pt>
                <c:pt idx="1130">
                  <c:v>-0.000995024875622086</c:v>
                </c:pt>
                <c:pt idx="1131">
                  <c:v>-0.00338645418326677</c:v>
                </c:pt>
                <c:pt idx="1132">
                  <c:v>-0.00659604237457534</c:v>
                </c:pt>
                <c:pt idx="1133">
                  <c:v>0.00100603621730389</c:v>
                </c:pt>
                <c:pt idx="1134">
                  <c:v>-0.00140703517587937</c:v>
                </c:pt>
                <c:pt idx="1135">
                  <c:v>-0.00161030595813205</c:v>
                </c:pt>
                <c:pt idx="1136">
                  <c:v>0.0127016129032258</c:v>
                </c:pt>
                <c:pt idx="1137">
                  <c:v>0.0123432211825603</c:v>
                </c:pt>
                <c:pt idx="1138">
                  <c:v>0.00943952802359882</c:v>
                </c:pt>
                <c:pt idx="1139">
                  <c:v>0.0118838885641925</c:v>
                </c:pt>
                <c:pt idx="1140">
                  <c:v>0.00173276857912974</c:v>
                </c:pt>
                <c:pt idx="1141">
                  <c:v>0.00249855852392855</c:v>
                </c:pt>
                <c:pt idx="1142">
                  <c:v>0.00115030674846639</c:v>
                </c:pt>
                <c:pt idx="1143">
                  <c:v>-0.00517043278437379</c:v>
                </c:pt>
                <c:pt idx="1144">
                  <c:v>-0.0138594802694899</c:v>
                </c:pt>
                <c:pt idx="1145">
                  <c:v>-0.00195198126097984</c:v>
                </c:pt>
                <c:pt idx="1146">
                  <c:v>0.000977899471934274</c:v>
                </c:pt>
                <c:pt idx="1147">
                  <c:v>0.000976944118796341</c:v>
                </c:pt>
                <c:pt idx="1148">
                  <c:v>-0.00624634003513569</c:v>
                </c:pt>
                <c:pt idx="1149">
                  <c:v>-0.0115890787664507</c:v>
                </c:pt>
                <c:pt idx="1150">
                  <c:v>-0.0025834658187599</c:v>
                </c:pt>
                <c:pt idx="1151">
                  <c:v>-0.00378561466427574</c:v>
                </c:pt>
                <c:pt idx="1152">
                  <c:v>-0.002</c:v>
                </c:pt>
                <c:pt idx="1153">
                  <c:v>-0.00521042084168333</c:v>
                </c:pt>
                <c:pt idx="1154">
                  <c:v>-0.000604351329572927</c:v>
                </c:pt>
                <c:pt idx="1155">
                  <c:v>-0.00100786131828257</c:v>
                </c:pt>
                <c:pt idx="1156">
                  <c:v>-0.00544794188861986</c:v>
                </c:pt>
                <c:pt idx="1157">
                  <c:v>-0.00446337999594248</c:v>
                </c:pt>
                <c:pt idx="1158">
                  <c:v>-0.00061137151008761</c:v>
                </c:pt>
                <c:pt idx="1159">
                  <c:v>-0.000407830342577409</c:v>
                </c:pt>
                <c:pt idx="1160">
                  <c:v>-0.000611995104039198</c:v>
                </c:pt>
                <c:pt idx="1161">
                  <c:v>-0.0010206164523372</c:v>
                </c:pt>
                <c:pt idx="1162">
                  <c:v>-0.00061299550469962</c:v>
                </c:pt>
                <c:pt idx="1163">
                  <c:v>-0.00736045798405227</c:v>
                </c:pt>
                <c:pt idx="1164">
                  <c:v>0</c:v>
                </c:pt>
                <c:pt idx="1165">
                  <c:v>0</c:v>
                </c:pt>
                <c:pt idx="1166">
                  <c:v>0.00329557157569527</c:v>
                </c:pt>
                <c:pt idx="1167">
                  <c:v>0.000821186614658131</c:v>
                </c:pt>
                <c:pt idx="1168">
                  <c:v>0</c:v>
                </c:pt>
                <c:pt idx="1169">
                  <c:v>-0.00328205128205128</c:v>
                </c:pt>
                <c:pt idx="1170">
                  <c:v>-0.000411607326610386</c:v>
                </c:pt>
                <c:pt idx="1171">
                  <c:v>0.0043236565781346</c:v>
                </c:pt>
                <c:pt idx="1172">
                  <c:v>0.00369003690036895</c:v>
                </c:pt>
                <c:pt idx="1173">
                  <c:v>0.0100081699346406</c:v>
                </c:pt>
                <c:pt idx="1174">
                  <c:v>0.00424671385237607</c:v>
                </c:pt>
                <c:pt idx="1175">
                  <c:v>0.00724929520741036</c:v>
                </c:pt>
                <c:pt idx="1176">
                  <c:v>0.0111955217912836</c:v>
                </c:pt>
                <c:pt idx="1177">
                  <c:v>0.0104784499802293</c:v>
                </c:pt>
                <c:pt idx="1178">
                  <c:v>0.0121306984934455</c:v>
                </c:pt>
                <c:pt idx="1179">
                  <c:v>0.013531799729364</c:v>
                </c:pt>
                <c:pt idx="1180">
                  <c:v>0.0173564753004003</c:v>
                </c:pt>
                <c:pt idx="1181">
                  <c:v>0.0181852268466443</c:v>
                </c:pt>
                <c:pt idx="1182">
                  <c:v>0.0244890443748849</c:v>
                </c:pt>
                <c:pt idx="1183">
                  <c:v>0.014018691588785</c:v>
                </c:pt>
                <c:pt idx="1184">
                  <c:v>0.0202056008507621</c:v>
                </c:pt>
                <c:pt idx="1185">
                  <c:v>0.0194579569145239</c:v>
                </c:pt>
                <c:pt idx="1186">
                  <c:v>0.0134628493524198</c:v>
                </c:pt>
                <c:pt idx="1187">
                  <c:v>0.0144610728098202</c:v>
                </c:pt>
                <c:pt idx="1188">
                  <c:v>0.0228741919443063</c:v>
                </c:pt>
                <c:pt idx="1189">
                  <c:v>0.0181494085237401</c:v>
                </c:pt>
                <c:pt idx="1190">
                  <c:v>0.0106636956867736</c:v>
                </c:pt>
                <c:pt idx="1191">
                  <c:v>0.00141732283464568</c:v>
                </c:pt>
                <c:pt idx="1192">
                  <c:v>0.00141531687372232</c:v>
                </c:pt>
                <c:pt idx="1193">
                  <c:v>0.0119346733668342</c:v>
                </c:pt>
                <c:pt idx="1194">
                  <c:v>0.00869025450031047</c:v>
                </c:pt>
                <c:pt idx="1195">
                  <c:v>0</c:v>
                </c:pt>
                <c:pt idx="1196">
                  <c:v>0.00676923076923064</c:v>
                </c:pt>
                <c:pt idx="1197">
                  <c:v>0.00611246943765287</c:v>
                </c:pt>
                <c:pt idx="1198">
                  <c:v>0.0252126366950183</c:v>
                </c:pt>
                <c:pt idx="1199">
                  <c:v>0.0157037037037038</c:v>
                </c:pt>
                <c:pt idx="1200">
                  <c:v>0.0215869311551924</c:v>
                </c:pt>
                <c:pt idx="1201">
                  <c:v>0.00785265562535709</c:v>
                </c:pt>
                <c:pt idx="1202">
                  <c:v>0.0226661000141664</c:v>
                </c:pt>
                <c:pt idx="1203">
                  <c:v>0.0484831694140462</c:v>
                </c:pt>
                <c:pt idx="1204">
                  <c:v>0.0467697185889815</c:v>
                </c:pt>
                <c:pt idx="1205">
                  <c:v>0.000126214817619541</c:v>
                </c:pt>
                <c:pt idx="1206">
                  <c:v>0.000883392226148416</c:v>
                </c:pt>
                <c:pt idx="1207">
                  <c:v>0.017400075652503</c:v>
                </c:pt>
                <c:pt idx="1208">
                  <c:v>0.0306109802949559</c:v>
                </c:pt>
                <c:pt idx="1209">
                  <c:v>0.0197210197210196</c:v>
                </c:pt>
                <c:pt idx="1210">
                  <c:v>0.0160377358490564</c:v>
                </c:pt>
                <c:pt idx="1211">
                  <c:v>0.0577994428969362</c:v>
                </c:pt>
                <c:pt idx="1212">
                  <c:v>0.0448760149220977</c:v>
                </c:pt>
                <c:pt idx="1213">
                  <c:v>0.0378032132731281</c:v>
                </c:pt>
                <c:pt idx="1214">
                  <c:v>0.0197308509561873</c:v>
                </c:pt>
                <c:pt idx="1215">
                  <c:v>0.0156777138321096</c:v>
                </c:pt>
                <c:pt idx="1216">
                  <c:v>0.0383939038686987</c:v>
                </c:pt>
                <c:pt idx="1217">
                  <c:v>0.041584344717283</c:v>
                </c:pt>
                <c:pt idx="1218">
                  <c:v>0.0290849968385873</c:v>
                </c:pt>
                <c:pt idx="1219">
                  <c:v>0.0156236285438427</c:v>
                </c:pt>
                <c:pt idx="1220">
                  <c:v>0.011753521735373</c:v>
                </c:pt>
                <c:pt idx="1221">
                  <c:v>0.0128128470146065</c:v>
                </c:pt>
                <c:pt idx="1222">
                  <c:v>0.0271569536982375</c:v>
                </c:pt>
                <c:pt idx="1223">
                  <c:v>0.00878561458247806</c:v>
                </c:pt>
                <c:pt idx="1224">
                  <c:v>0.020918118183298</c:v>
                </c:pt>
                <c:pt idx="1225">
                  <c:v>0.0170613090967073</c:v>
                </c:pt>
                <c:pt idx="1226">
                  <c:v>0</c:v>
                </c:pt>
                <c:pt idx="1227">
                  <c:v>0.00501685349220038</c:v>
                </c:pt>
                <c:pt idx="1228">
                  <c:v>0.0368146010451602</c:v>
                </c:pt>
                <c:pt idx="1229">
                  <c:v>0.0241480478447305</c:v>
                </c:pt>
                <c:pt idx="1230">
                  <c:v>0.039371235492875</c:v>
                </c:pt>
                <c:pt idx="1231">
                  <c:v>0.0267844522968197</c:v>
                </c:pt>
                <c:pt idx="1232">
                  <c:v>0.026498726684562</c:v>
                </c:pt>
                <c:pt idx="1233">
                  <c:v>0.0345313128603997</c:v>
                </c:pt>
                <c:pt idx="1234">
                  <c:v>0.0305269298075053</c:v>
                </c:pt>
                <c:pt idx="1235">
                  <c:v>0.0260377358490567</c:v>
                </c:pt>
                <c:pt idx="1236">
                  <c:v>0.0122594090964816</c:v>
                </c:pt>
                <c:pt idx="1237">
                  <c:v>0.0130192563885188</c:v>
                </c:pt>
                <c:pt idx="1238">
                  <c:v>0.0127921573315801</c:v>
                </c:pt>
                <c:pt idx="1239">
                  <c:v>0.0063152924511598</c:v>
                </c:pt>
                <c:pt idx="1240">
                  <c:v>0.000821114369501386</c:v>
                </c:pt>
                <c:pt idx="1241">
                  <c:v>0</c:v>
                </c:pt>
                <c:pt idx="1242">
                  <c:v>0.0106657290201593</c:v>
                </c:pt>
                <c:pt idx="1243">
                  <c:v>0.0321233909312306</c:v>
                </c:pt>
                <c:pt idx="1244">
                  <c:v>0.0449438202247192</c:v>
                </c:pt>
                <c:pt idx="1245">
                  <c:v>0.021505376344086</c:v>
                </c:pt>
                <c:pt idx="1246">
                  <c:v>0.0210526315789472</c:v>
                </c:pt>
                <c:pt idx="1247">
                  <c:v>0.0237113402061857</c:v>
                </c:pt>
                <c:pt idx="1248">
                  <c:v>0.0221550855991943</c:v>
                </c:pt>
                <c:pt idx="1249">
                  <c:v>0.0206896551724136</c:v>
                </c:pt>
                <c:pt idx="1250">
                  <c:v>0.0262548262548263</c:v>
                </c:pt>
                <c:pt idx="1251">
                  <c:v>0.0228555304740408</c:v>
                </c:pt>
                <c:pt idx="1252">
                  <c:v>0.0222988505747126</c:v>
                </c:pt>
                <c:pt idx="1253">
                  <c:v>0.0220823026759613</c:v>
                </c:pt>
                <c:pt idx="1254">
                  <c:v>0.0180850127607146</c:v>
                </c:pt>
                <c:pt idx="1255">
                  <c:v>0.00522971863249344</c:v>
                </c:pt>
                <c:pt idx="1256">
                  <c:v>0.0209820276893973</c:v>
                </c:pt>
                <c:pt idx="1257">
                  <c:v>0.0184030994693845</c:v>
                </c:pt>
                <c:pt idx="1258">
                  <c:v>0.0129429764710747</c:v>
                </c:pt>
                <c:pt idx="1259">
                  <c:v>0.0198807968647943</c:v>
                </c:pt>
                <c:pt idx="1260">
                  <c:v>0.00412280350638428</c:v>
                </c:pt>
                <c:pt idx="1261">
                  <c:v>0.0127959818225305</c:v>
                </c:pt>
                <c:pt idx="1262">
                  <c:v>0.0317628999881923</c:v>
                </c:pt>
                <c:pt idx="1263">
                  <c:v>0.023155565728237</c:v>
                </c:pt>
                <c:pt idx="1264">
                  <c:v>0.0146526975131427</c:v>
                </c:pt>
                <c:pt idx="1265">
                  <c:v>0.023627544646138</c:v>
                </c:pt>
                <c:pt idx="1266">
                  <c:v>0.0179488099938974</c:v>
                </c:pt>
                <c:pt idx="1267">
                  <c:v>0.00504284656345888</c:v>
                </c:pt>
                <c:pt idx="1268">
                  <c:v>0.0135087719298246</c:v>
                </c:pt>
                <c:pt idx="1269">
                  <c:v>0.0212913276787259</c:v>
                </c:pt>
                <c:pt idx="1270">
                  <c:v>0.0195593220338983</c:v>
                </c:pt>
                <c:pt idx="1271">
                  <c:v>0.00741430328822679</c:v>
                </c:pt>
                <c:pt idx="1272">
                  <c:v>0</c:v>
                </c:pt>
                <c:pt idx="1273">
                  <c:v>0.0132013201320131</c:v>
                </c:pt>
                <c:pt idx="1274">
                  <c:v>0.00651465798045603</c:v>
                </c:pt>
                <c:pt idx="1275">
                  <c:v>0</c:v>
                </c:pt>
                <c:pt idx="1276">
                  <c:v>-0.00129449838187701</c:v>
                </c:pt>
                <c:pt idx="1277">
                  <c:v>0</c:v>
                </c:pt>
                <c:pt idx="1278">
                  <c:v>-0.00324044069993512</c:v>
                </c:pt>
                <c:pt idx="1279">
                  <c:v>0.00455136540962275</c:v>
                </c:pt>
                <c:pt idx="1280">
                  <c:v>-0.000647249190938504</c:v>
                </c:pt>
                <c:pt idx="1281">
                  <c:v>-0.000647668393782386</c:v>
                </c:pt>
                <c:pt idx="1282">
                  <c:v>-0.000648088139987069</c:v>
                </c:pt>
                <c:pt idx="1283">
                  <c:v>0.00518806744487676</c:v>
                </c:pt>
                <c:pt idx="1284">
                  <c:v>-0.00322580645161297</c:v>
                </c:pt>
                <c:pt idx="1285">
                  <c:v>0.00647249190938526</c:v>
                </c:pt>
                <c:pt idx="1286">
                  <c:v>0.00771704180064314</c:v>
                </c:pt>
                <c:pt idx="1287">
                  <c:v>0</c:v>
                </c:pt>
                <c:pt idx="1288">
                  <c:v>0.00191448627951485</c:v>
                </c:pt>
                <c:pt idx="1289">
                  <c:v>0.00318471337579629</c:v>
                </c:pt>
                <c:pt idx="1290">
                  <c:v>0.0126984126984127</c:v>
                </c:pt>
                <c:pt idx="1291">
                  <c:v>0.0137931034482761</c:v>
                </c:pt>
                <c:pt idx="1292">
                  <c:v>0.0142238713667284</c:v>
                </c:pt>
                <c:pt idx="1293">
                  <c:v>0.00304878048780499</c:v>
                </c:pt>
                <c:pt idx="1294">
                  <c:v>0.00364741641337396</c:v>
                </c:pt>
                <c:pt idx="1295">
                  <c:v>0</c:v>
                </c:pt>
                <c:pt idx="1296">
                  <c:v>-0.00121138703815893</c:v>
                </c:pt>
                <c:pt idx="1297">
                  <c:v>0.00424499696785929</c:v>
                </c:pt>
                <c:pt idx="1298">
                  <c:v>0.0060386473429952</c:v>
                </c:pt>
                <c:pt idx="1299">
                  <c:v>-0.00060024009603854</c:v>
                </c:pt>
                <c:pt idx="1300">
                  <c:v>-0.00060060060060052</c:v>
                </c:pt>
                <c:pt idx="1301">
                  <c:v>0.00360576923076916</c:v>
                </c:pt>
                <c:pt idx="1302">
                  <c:v>0.00598802395209597</c:v>
                </c:pt>
                <c:pt idx="1303">
                  <c:v>0</c:v>
                </c:pt>
                <c:pt idx="1304">
                  <c:v>-0.000595238095238204</c:v>
                </c:pt>
                <c:pt idx="1305">
                  <c:v>0.00893388921977389</c:v>
                </c:pt>
                <c:pt idx="1306">
                  <c:v>0.00649350649350655</c:v>
                </c:pt>
                <c:pt idx="1307">
                  <c:v>0</c:v>
                </c:pt>
                <c:pt idx="1308">
                  <c:v>0</c:v>
                </c:pt>
                <c:pt idx="1309">
                  <c:v>-0.00293255131964809</c:v>
                </c:pt>
                <c:pt idx="1310">
                  <c:v>0</c:v>
                </c:pt>
                <c:pt idx="1311">
                  <c:v>0</c:v>
                </c:pt>
                <c:pt idx="1312">
                  <c:v>0</c:v>
                </c:pt>
                <c:pt idx="1313">
                  <c:v>0</c:v>
                </c:pt>
                <c:pt idx="1314">
                  <c:v>0</c:v>
                </c:pt>
                <c:pt idx="1315">
                  <c:v>-0.00117647058823522</c:v>
                </c:pt>
                <c:pt idx="1316">
                  <c:v>0</c:v>
                </c:pt>
                <c:pt idx="1317">
                  <c:v>-0.00883392226148427</c:v>
                </c:pt>
                <c:pt idx="1318">
                  <c:v>-0.00178253119429572</c:v>
                </c:pt>
                <c:pt idx="1319">
                  <c:v>-0.00119047619047619</c:v>
                </c:pt>
                <c:pt idx="1320">
                  <c:v>0</c:v>
                </c:pt>
                <c:pt idx="1321">
                  <c:v>-0.00178784266984511</c:v>
                </c:pt>
                <c:pt idx="1322">
                  <c:v>-0.0029850746268657</c:v>
                </c:pt>
                <c:pt idx="1323">
                  <c:v>0</c:v>
                </c:pt>
                <c:pt idx="1324">
                  <c:v>0</c:v>
                </c:pt>
                <c:pt idx="1325">
                  <c:v>-0.00598802395209563</c:v>
                </c:pt>
                <c:pt idx="1326">
                  <c:v>-0.00301204819277112</c:v>
                </c:pt>
                <c:pt idx="1327">
                  <c:v>-0.00302114803625386</c:v>
                </c:pt>
                <c:pt idx="1328">
                  <c:v>0</c:v>
                </c:pt>
                <c:pt idx="1329">
                  <c:v>0</c:v>
                </c:pt>
                <c:pt idx="1330">
                  <c:v>-0.0060606060606061</c:v>
                </c:pt>
                <c:pt idx="1331">
                  <c:v>-0.00609756097560965</c:v>
                </c:pt>
                <c:pt idx="1332">
                  <c:v>-0.00306748466257678</c:v>
                </c:pt>
                <c:pt idx="1333">
                  <c:v>0</c:v>
                </c:pt>
                <c:pt idx="1334">
                  <c:v>0</c:v>
                </c:pt>
                <c:pt idx="1335">
                  <c:v>-0.000615384615384684</c:v>
                </c:pt>
                <c:pt idx="1336">
                  <c:v>0</c:v>
                </c:pt>
                <c:pt idx="1337">
                  <c:v>-0.00246305418719206</c:v>
                </c:pt>
                <c:pt idx="1338">
                  <c:v>0</c:v>
                </c:pt>
                <c:pt idx="1339">
                  <c:v>-0.0123456790123456</c:v>
                </c:pt>
                <c:pt idx="1340">
                  <c:v>0</c:v>
                </c:pt>
                <c:pt idx="1341">
                  <c:v>0.00312500000000004</c:v>
                </c:pt>
                <c:pt idx="1342">
                  <c:v>0.00623052959501535</c:v>
                </c:pt>
                <c:pt idx="1343">
                  <c:v>0</c:v>
                </c:pt>
                <c:pt idx="1344">
                  <c:v>-0.00309597523219796</c:v>
                </c:pt>
                <c:pt idx="1345">
                  <c:v>-0.00621118012422373</c:v>
                </c:pt>
                <c:pt idx="1346">
                  <c:v>0</c:v>
                </c:pt>
                <c:pt idx="1347">
                  <c:v>0</c:v>
                </c:pt>
                <c:pt idx="1348">
                  <c:v>0</c:v>
                </c:pt>
                <c:pt idx="1349">
                  <c:v>0.0125</c:v>
                </c:pt>
                <c:pt idx="1350">
                  <c:v>0.0154320987654322</c:v>
                </c:pt>
                <c:pt idx="1351">
                  <c:v>0.0121580547112461</c:v>
                </c:pt>
                <c:pt idx="1352">
                  <c:v>0.00600600600600609</c:v>
                </c:pt>
                <c:pt idx="1353">
                  <c:v>0.00298507462686581</c:v>
                </c:pt>
                <c:pt idx="1354">
                  <c:v>0</c:v>
                </c:pt>
                <c:pt idx="1355">
                  <c:v>0.00595238095238093</c:v>
                </c:pt>
                <c:pt idx="1356">
                  <c:v>0.00887573964497057</c:v>
                </c:pt>
                <c:pt idx="1357">
                  <c:v>0.0117302052785924</c:v>
                </c:pt>
              </c:numCache>
            </c:numRef>
          </c:val>
        </c:ser>
        <c:dLbls>
          <c:showLegendKey val="0"/>
          <c:showVal val="0"/>
          <c:showCatName val="0"/>
          <c:showSerName val="0"/>
          <c:showPercent val="0"/>
          <c:showBubbleSize val="0"/>
        </c:dLbls>
        <c:gapWidth val="150"/>
        <c:axId val="2119890176"/>
        <c:axId val="1859407168"/>
      </c:barChart>
      <c:dateAx>
        <c:axId val="2119890176"/>
        <c:scaling>
          <c:orientation val="minMax"/>
        </c:scaling>
        <c:delete val="0"/>
        <c:axPos val="b"/>
        <c:majorGridlines>
          <c:spPr>
            <a:ln w="12700" cap="flat" cmpd="sng" algn="ctr">
              <a:solidFill>
                <a:schemeClr val="tx1">
                  <a:tint val="75000"/>
                </a:schemeClr>
              </a:solidFill>
              <a:prstDash val="dash"/>
              <a:round/>
            </a:ln>
          </c:spPr>
        </c:majorGridlines>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859407168"/>
        <c:crosses val="autoZero"/>
        <c:auto val="1"/>
        <c:lblOffset val="100"/>
        <c:baseTimeUnit val="days"/>
        <c:majorUnit val="3"/>
        <c:majorTimeUnit val="months"/>
      </c:dateAx>
      <c:valAx>
        <c:axId val="1859407168"/>
        <c:scaling>
          <c:orientation val="minMax"/>
        </c:scaling>
        <c:delete val="0"/>
        <c:axPos val="l"/>
        <c:majorGridlines>
          <c:spPr>
            <a:ln w="12700" cap="flat" cmpd="sng" algn="ctr">
              <a:solidFill>
                <a:schemeClr val="tx1">
                  <a:tint val="75000"/>
                </a:schemeClr>
              </a:solidFill>
              <a:prstDash val="dash"/>
              <a:round/>
            </a:ln>
          </c:spPr>
        </c:majorGridlines>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119890176"/>
        <c:crosses val="autoZero"/>
        <c:crossBetween val="between"/>
      </c:valAx>
      <c:spPr>
        <a:noFill/>
        <a:ln w="25400">
          <a:noFill/>
        </a:ln>
      </c:spPr>
    </c:plotArea>
    <c:plotVisOnly val="1"/>
    <c:dispBlanksAs val="gap"/>
    <c:showDLblsOverMax val="0"/>
    <c:extLst>
      <c:ext uri="{0b15fc19-7d7d-44ad-8c2d-2c3a37ce22c3}">
        <chartProps xmlns="https://web.wps.cn/et/2018/main" chartId="{9fd9970a-b44f-43a2-ba1c-2938ef4e00f6}"/>
      </c:ext>
    </c:extLst>
  </c:chart>
  <c:spPr>
    <a:ln w="3175" cap="flat" cmpd="sng" algn="ctr">
      <a:solidFill>
        <a:srgbClr val="FFFFFF"/>
      </a:solidFill>
      <a:prstDash val="solid"/>
      <a:round/>
    </a:ln>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Server DDR5 DRAM Module Contract Price &amp; MoM</a:t>
            </a:r>
            <a:endParaRPr lang="en-US"/>
          </a:p>
        </c:rich>
      </c:tx>
      <c:layout/>
      <c:overlay val="0"/>
    </c:title>
    <c:autoTitleDeleted val="0"/>
    <c:plotArea>
      <c:layout>
        <c:manualLayout>
          <c:layoutTarget val="inner"/>
          <c:xMode val="edge"/>
          <c:yMode val="edge"/>
          <c:x val="0.0904552009946125"/>
          <c:y val="0.152666929133858"/>
          <c:w val="0.820866473269789"/>
          <c:h val="0.573783858267716"/>
        </c:manualLayout>
      </c:layout>
      <c:barChart>
        <c:barDir val="col"/>
        <c:grouping val="clustered"/>
        <c:varyColors val="0"/>
        <c:ser>
          <c:idx val="2"/>
          <c:order val="1"/>
          <c:tx>
            <c:strRef>
              <c:f>DRAM!$DT$28</c:f>
              <c:strCache>
                <c:ptCount val="1"/>
                <c:pt idx="0">
                  <c:v>DDR5 64GB RDIMM</c:v>
                </c:pt>
              </c:strCache>
            </c:strRef>
          </c:tx>
          <c:spPr>
            <a:solidFill>
              <a:srgbClr val="FFC000"/>
            </a:solidFill>
          </c:spPr>
          <c:invertIfNegative val="0"/>
          <c:dLbls>
            <c:delete val="1"/>
          </c:dLbls>
          <c:cat>
            <c:numRef>
              <c:f>DRAM!$CA$111:$CA$150</c:f>
              <c:numCache>
                <c:formatCode>yyyy/m/d</c:formatCode>
                <c:ptCount val="40"/>
                <c:pt idx="0" c:formatCode="yyyy/m/d">
                  <c:v>45046</c:v>
                </c:pt>
                <c:pt idx="1" c:formatCode="yyyy/m/d">
                  <c:v>45077</c:v>
                </c:pt>
                <c:pt idx="2" c:formatCode="yyyy/m/d">
                  <c:v>45107</c:v>
                </c:pt>
                <c:pt idx="3" c:formatCode="yyyy/m/d">
                  <c:v>45138</c:v>
                </c:pt>
                <c:pt idx="4" c:formatCode="yyyy/m/d">
                  <c:v>45169</c:v>
                </c:pt>
                <c:pt idx="5" c:formatCode="yyyy/m/d">
                  <c:v>45199</c:v>
                </c:pt>
                <c:pt idx="6" c:formatCode="yyyy/m/d">
                  <c:v>45230</c:v>
                </c:pt>
                <c:pt idx="7" c:formatCode="yyyy/m/d">
                  <c:v>45260</c:v>
                </c:pt>
                <c:pt idx="8" c:formatCode="yyyy/m/d">
                  <c:v>45291</c:v>
                </c:pt>
                <c:pt idx="9" c:formatCode="yyyy/m/d">
                  <c:v>45322</c:v>
                </c:pt>
                <c:pt idx="10" c:formatCode="yyyy/m/d">
                  <c:v>45351</c:v>
                </c:pt>
                <c:pt idx="11" c:formatCode="yyyy/m/d">
                  <c:v>45382</c:v>
                </c:pt>
                <c:pt idx="12" c:formatCode="yyyy/m/d">
                  <c:v>45412</c:v>
                </c:pt>
                <c:pt idx="13" c:formatCode="yyyy/m/d">
                  <c:v>45443</c:v>
                </c:pt>
                <c:pt idx="14" c:formatCode="yyyy/m/d">
                  <c:v>45473</c:v>
                </c:pt>
                <c:pt idx="15" c:formatCode="yyyy/m/d">
                  <c:v>45504</c:v>
                </c:pt>
                <c:pt idx="16" c:formatCode="yyyy/m/d">
                  <c:v>45535</c:v>
                </c:pt>
                <c:pt idx="17" c:formatCode="yyyy/m/d">
                  <c:v>45565</c:v>
                </c:pt>
                <c:pt idx="18" c:formatCode="yyyy/m/d">
                  <c:v>45596</c:v>
                </c:pt>
                <c:pt idx="19" c:formatCode="yyyy/m/d">
                  <c:v>45626</c:v>
                </c:pt>
                <c:pt idx="20" c:formatCode="yyyy/m/d">
                  <c:v>45657</c:v>
                </c:pt>
                <c:pt idx="21" c:formatCode="yyyy/m/d">
                  <c:v>45688</c:v>
                </c:pt>
                <c:pt idx="22" c:formatCode="yyyy/m/d">
                  <c:v>45716</c:v>
                </c:pt>
                <c:pt idx="23" c:formatCode="yyyy/m/d">
                  <c:v>45747</c:v>
                </c:pt>
                <c:pt idx="24" c:formatCode="yyyy/m/d">
                  <c:v>45777</c:v>
                </c:pt>
                <c:pt idx="25" c:formatCode="yyyy/m/d">
                  <c:v>45808</c:v>
                </c:pt>
                <c:pt idx="26" c:formatCode="yyyy/m/d">
                  <c:v>45838</c:v>
                </c:pt>
                <c:pt idx="27" c:formatCode="yyyy/m/d">
                  <c:v>45869</c:v>
                </c:pt>
                <c:pt idx="28" c:formatCode="yyyy/m/d">
                  <c:v>45900</c:v>
                </c:pt>
                <c:pt idx="29" c:formatCode="yyyy/m/d">
                  <c:v>45930</c:v>
                </c:pt>
                <c:pt idx="30" c:formatCode="yyyy/m/d">
                  <c:v>45961</c:v>
                </c:pt>
                <c:pt idx="31" c:formatCode="yyyy/m/d">
                  <c:v>45991</c:v>
                </c:pt>
                <c:pt idx="32" c:formatCode="yyyy/m/d">
                  <c:v>46022</c:v>
                </c:pt>
                <c:pt idx="33" c:formatCode="yyyy/m/d">
                  <c:v>46053</c:v>
                </c:pt>
                <c:pt idx="34" c:formatCode="yyyy/m/d">
                  <c:v>46081</c:v>
                </c:pt>
                <c:pt idx="35" c:formatCode="yyyy/m/d">
                  <c:v>46112</c:v>
                </c:pt>
                <c:pt idx="36" c:formatCode="yyyy/m/d">
                  <c:v>46142</c:v>
                </c:pt>
                <c:pt idx="37" c:formatCode="yyyy/m/d">
                  <c:v>46173</c:v>
                </c:pt>
              </c:numCache>
            </c:numRef>
          </c:cat>
          <c:val>
            <c:numRef>
              <c:f>DRAM!$DT$111:$DT$150</c:f>
              <c:numCache>
                <c:formatCode>_(* #,##0.0_);_(* \(#,##0.0\);_(* "-"??_);_(@_)</c:formatCode>
                <c:ptCount val="40"/>
                <c:pt idx="0">
                  <c:v>2.48252945127622</c:v>
                </c:pt>
                <c:pt idx="1">
                  <c:v>2.40234375</c:v>
                </c:pt>
                <c:pt idx="2">
                  <c:v>2.322265625</c:v>
                </c:pt>
                <c:pt idx="3">
                  <c:v>2.30625</c:v>
                </c:pt>
                <c:pt idx="4">
                  <c:v>2.30625</c:v>
                </c:pt>
                <c:pt idx="5">
                  <c:v>2.30625</c:v>
                </c:pt>
                <c:pt idx="6">
                  <c:v>2.33828125</c:v>
                </c:pt>
                <c:pt idx="7">
                  <c:v>2.3703125</c:v>
                </c:pt>
                <c:pt idx="8">
                  <c:v>2.450390625</c:v>
                </c:pt>
                <c:pt idx="9">
                  <c:v>2.72265625</c:v>
                </c:pt>
                <c:pt idx="10">
                  <c:v>2.834765625</c:v>
                </c:pt>
                <c:pt idx="11">
                  <c:v>3.04296875</c:v>
                </c:pt>
                <c:pt idx="12">
                  <c:v>3.36328125</c:v>
                </c:pt>
                <c:pt idx="13">
                  <c:v>3.6159375</c:v>
                </c:pt>
                <c:pt idx="14">
                  <c:v>3.695234375</c:v>
                </c:pt>
                <c:pt idx="15">
                  <c:v>4.02421875</c:v>
                </c:pt>
                <c:pt idx="16">
                  <c:v>4.2609375</c:v>
                </c:pt>
                <c:pt idx="17">
                  <c:v>4.286953125</c:v>
                </c:pt>
                <c:pt idx="18">
                  <c:v>4.453125</c:v>
                </c:pt>
                <c:pt idx="19">
                  <c:v>4.453125</c:v>
                </c:pt>
                <c:pt idx="20">
                  <c:v>4.421875</c:v>
                </c:pt>
                <c:pt idx="21">
                  <c:v>4.265625</c:v>
                </c:pt>
                <c:pt idx="22">
                  <c:v>4.140625</c:v>
                </c:pt>
                <c:pt idx="23">
                  <c:v>4.0625</c:v>
                </c:pt>
                <c:pt idx="24">
                  <c:v>4.0625</c:v>
                </c:pt>
                <c:pt idx="25">
                  <c:v>4.140625</c:v>
                </c:pt>
                <c:pt idx="26">
                  <c:v>4.140625</c:v>
                </c:pt>
                <c:pt idx="27">
                  <c:v>4.1875</c:v>
                </c:pt>
                <c:pt idx="28">
                  <c:v>4.21875</c:v>
                </c:pt>
                <c:pt idx="29">
                  <c:v>4.25</c:v>
                </c:pt>
                <c:pt idx="30">
                  <c:v>5.28125</c:v>
                </c:pt>
                <c:pt idx="31">
                  <c:v>6.640625</c:v>
                </c:pt>
                <c:pt idx="32">
                  <c:v>8</c:v>
                </c:pt>
                <c:pt idx="33">
                  <c:v>12.609375</c:v>
                </c:pt>
                <c:pt idx="34">
                  <c:v>12.953125</c:v>
                </c:pt>
                <c:pt idx="35">
                  <c:v>13.296875</c:v>
                </c:pt>
                <c:pt idx="36">
                  <c:v>19.109375</c:v>
                </c:pt>
                <c:pt idx="37">
                  <c:v>19.765625</c:v>
                </c:pt>
              </c:numCache>
            </c:numRef>
          </c:val>
        </c:ser>
        <c:dLbls>
          <c:showLegendKey val="0"/>
          <c:showVal val="0"/>
          <c:showCatName val="0"/>
          <c:showSerName val="0"/>
          <c:showPercent val="0"/>
          <c:showBubbleSize val="0"/>
        </c:dLbls>
        <c:gapWidth val="66"/>
        <c:axId val="177450304"/>
        <c:axId val="206057648"/>
        <c:extLst>
          <c:ext xmlns:c15="http://schemas.microsoft.com/office/drawing/2012/chart" uri="{02D57815-91ED-43cb-92C2-25804820EDAC}">
            <c15:filteredBarSeries>
              <c15:ser>
                <c:idx val="0"/>
                <c:order val="0"/>
                <c:tx>
                  <c:strRef>
                    <c:extLst>
                      <c:ext uri="{02D57815-91ED-43cb-92C2-25804820EDAC}">
                        <c15:formulaRef>
                          <c15:sqref>DRAM!$DS$28</c15:sqref>
                        </c15:formulaRef>
                      </c:ext>
                    </c:extLst>
                    <c:strCache>
                      <c:ptCount val="1"/>
                      <c:pt idx="0">
                        <c:v>DDR5 32GB RDIMM</c:v>
                      </c:pt>
                    </c:strCache>
                  </c:strRef>
                </c:tx>
                <c:invertIfNegative val="0"/>
                <c:dLbls>
                  <c:delete val="1"/>
                </c:dLbls>
                <c:cat>
                  <c:numRef>
                    <c:extLst>
                      <c:ext uri="{02D57815-91ED-43cb-92C2-25804820EDAC}">
                        <c15:fullRef>
                          <c15:sqref/>
                        </c15:fullRef>
                        <c15:formulaRef>
                          <c15:sqref>DRAM!$CA$111:$CA$150</c15:sqref>
                        </c15:formulaRef>
                      </c:ext>
                    </c:extLst>
                    <c:numCache>
                      <c:formatCode>yyyy/m/d</c:formatCode>
                      <c:ptCount val="40"/>
                      <c:pt idx="0" c:formatCode="yyyy/m/d">
                        <c:v>45046</c:v>
                      </c:pt>
                      <c:pt idx="1" c:formatCode="yyyy/m/d">
                        <c:v>45077</c:v>
                      </c:pt>
                      <c:pt idx="2" c:formatCode="yyyy/m/d">
                        <c:v>45107</c:v>
                      </c:pt>
                      <c:pt idx="3" c:formatCode="yyyy/m/d">
                        <c:v>45138</c:v>
                      </c:pt>
                      <c:pt idx="4" c:formatCode="yyyy/m/d">
                        <c:v>45169</c:v>
                      </c:pt>
                      <c:pt idx="5" c:formatCode="yyyy/m/d">
                        <c:v>45199</c:v>
                      </c:pt>
                      <c:pt idx="6" c:formatCode="yyyy/m/d">
                        <c:v>45230</c:v>
                      </c:pt>
                      <c:pt idx="7" c:formatCode="yyyy/m/d">
                        <c:v>45260</c:v>
                      </c:pt>
                      <c:pt idx="8" c:formatCode="yyyy/m/d">
                        <c:v>45291</c:v>
                      </c:pt>
                      <c:pt idx="9" c:formatCode="yyyy/m/d">
                        <c:v>45322</c:v>
                      </c:pt>
                      <c:pt idx="10" c:formatCode="yyyy/m/d">
                        <c:v>45351</c:v>
                      </c:pt>
                      <c:pt idx="11" c:formatCode="yyyy/m/d">
                        <c:v>45382</c:v>
                      </c:pt>
                      <c:pt idx="12" c:formatCode="yyyy/m/d">
                        <c:v>45412</c:v>
                      </c:pt>
                      <c:pt idx="13" c:formatCode="yyyy/m/d">
                        <c:v>45443</c:v>
                      </c:pt>
                      <c:pt idx="14" c:formatCode="yyyy/m/d">
                        <c:v>45473</c:v>
                      </c:pt>
                      <c:pt idx="15" c:formatCode="yyyy/m/d">
                        <c:v>45504</c:v>
                      </c:pt>
                      <c:pt idx="16" c:formatCode="yyyy/m/d">
                        <c:v>45535</c:v>
                      </c:pt>
                      <c:pt idx="17" c:formatCode="yyyy/m/d">
                        <c:v>45565</c:v>
                      </c:pt>
                      <c:pt idx="18" c:formatCode="yyyy/m/d">
                        <c:v>45596</c:v>
                      </c:pt>
                      <c:pt idx="19" c:formatCode="yyyy/m/d">
                        <c:v>45626</c:v>
                      </c:pt>
                      <c:pt idx="20" c:formatCode="yyyy/m/d">
                        <c:v>45657</c:v>
                      </c:pt>
                      <c:pt idx="21" c:formatCode="yyyy/m/d">
                        <c:v>45688</c:v>
                      </c:pt>
                      <c:pt idx="22" c:formatCode="yyyy/m/d">
                        <c:v>45716</c:v>
                      </c:pt>
                      <c:pt idx="23" c:formatCode="yyyy/m/d">
                        <c:v>45747</c:v>
                      </c:pt>
                      <c:pt idx="24" c:formatCode="yyyy/m/d">
                        <c:v>45777</c:v>
                      </c:pt>
                      <c:pt idx="25" c:formatCode="yyyy/m/d">
                        <c:v>45808</c:v>
                      </c:pt>
                      <c:pt idx="26" c:formatCode="yyyy/m/d">
                        <c:v>45838</c:v>
                      </c:pt>
                      <c:pt idx="27" c:formatCode="yyyy/m/d">
                        <c:v>45869</c:v>
                      </c:pt>
                      <c:pt idx="28" c:formatCode="yyyy/m/d">
                        <c:v>45900</c:v>
                      </c:pt>
                      <c:pt idx="29" c:formatCode="yyyy/m/d">
                        <c:v>45930</c:v>
                      </c:pt>
                      <c:pt idx="30" c:formatCode="yyyy/m/d">
                        <c:v>45961</c:v>
                      </c:pt>
                      <c:pt idx="31" c:formatCode="yyyy/m/d">
                        <c:v>45991</c:v>
                      </c:pt>
                      <c:pt idx="32" c:formatCode="yyyy/m/d">
                        <c:v>46022</c:v>
                      </c:pt>
                      <c:pt idx="33" c:formatCode="yyyy/m/d">
                        <c:v>46053</c:v>
                      </c:pt>
                      <c:pt idx="34" c:formatCode="yyyy/m/d">
                        <c:v>46081</c:v>
                      </c:pt>
                      <c:pt idx="35" c:formatCode="yyyy/m/d">
                        <c:v>46112</c:v>
                      </c:pt>
                      <c:pt idx="36" c:formatCode="yyyy/m/d">
                        <c:v>46142</c:v>
                      </c:pt>
                      <c:pt idx="37" c:formatCode="yyyy/m/d">
                        <c:v>46173</c:v>
                      </c:pt>
                    </c:numCache>
                  </c:numRef>
                </c:cat>
                <c:val>
                  <c:numRef>
                    <c:extLst>
                      <c:ext uri="{02D57815-91ED-43cb-92C2-25804820EDAC}">
                        <c15:formulaRef>
                          <c15:sqref>DRAM!$DS$111:$DS$150</c15:sqref>
                        </c15:formulaRef>
                      </c:ext>
                    </c:extLst>
                    <c:numCache>
                      <c:formatCode>_(* #,##0.0_);_(* \(#,##0.0\);_(* "-"??_);_(@_)</c:formatCode>
                      <c:ptCount val="40"/>
                      <c:pt idx="0">
                        <c:v>2.65860359667999</c:v>
                      </c:pt>
                      <c:pt idx="1">
                        <c:v>2.59453125</c:v>
                      </c:pt>
                      <c:pt idx="2">
                        <c:v>2.4984375</c:v>
                      </c:pt>
                      <c:pt idx="3">
                        <c:v>2.46640625</c:v>
                      </c:pt>
                      <c:pt idx="4">
                        <c:v>2.46640625</c:v>
                      </c:pt>
                      <c:pt idx="5">
                        <c:v>2.46640625</c:v>
                      </c:pt>
                      <c:pt idx="6">
                        <c:v>2.4984375</c:v>
                      </c:pt>
                      <c:pt idx="7">
                        <c:v>2.5465625</c:v>
                      </c:pt>
                      <c:pt idx="8">
                        <c:v>2.65859375</c:v>
                      </c:pt>
                      <c:pt idx="9">
                        <c:v>2.81875</c:v>
                      </c:pt>
                      <c:pt idx="10">
                        <c:v>2.91484375</c:v>
                      </c:pt>
                      <c:pt idx="11">
                        <c:v>3.04296875</c:v>
                      </c:pt>
                      <c:pt idx="12">
                        <c:v>3.36328125</c:v>
                      </c:pt>
                      <c:pt idx="13">
                        <c:v>3.64765625</c:v>
                      </c:pt>
                      <c:pt idx="14">
                        <c:v>3.7428125</c:v>
                      </c:pt>
                      <c:pt idx="15">
                        <c:v>3.9965625</c:v>
                      </c:pt>
                      <c:pt idx="16">
                        <c:v>4.21859375</c:v>
                      </c:pt>
                      <c:pt idx="17">
                        <c:v>4.28203125</c:v>
                      </c:pt>
                      <c:pt idx="18">
                        <c:v>4.396875</c:v>
                      </c:pt>
                      <c:pt idx="19">
                        <c:v>4.396875</c:v>
                      </c:pt>
                      <c:pt idx="20">
                        <c:v>4.396875</c:v>
                      </c:pt>
                      <c:pt idx="21">
                        <c:v>4.27125</c:v>
                      </c:pt>
                      <c:pt idx="22">
                        <c:v>4.0625</c:v>
                      </c:pt>
                      <c:pt idx="23">
                        <c:v>3.96875</c:v>
                      </c:pt>
                      <c:pt idx="24">
                        <c:v>3.96875</c:v>
                      </c:pt>
                      <c:pt idx="25">
                        <c:v>4.1875</c:v>
                      </c:pt>
                      <c:pt idx="26">
                        <c:v>4.1875</c:v>
                      </c:pt>
                      <c:pt idx="27">
                        <c:v>4.375</c:v>
                      </c:pt>
                      <c:pt idx="28">
                        <c:v>4.46875</c:v>
                      </c:pt>
                      <c:pt idx="29">
                        <c:v>4.5625</c:v>
                      </c:pt>
                      <c:pt idx="30">
                        <c:v>5.625</c:v>
                      </c:pt>
                      <c:pt idx="31">
                        <c:v>7.03125</c:v>
                      </c:pt>
                      <c:pt idx="32">
                        <c:v>8.4375</c:v>
                      </c:pt>
                      <c:pt idx="33">
                        <c:v>13.34375</c:v>
                      </c:pt>
                      <c:pt idx="34">
                        <c:v>13.71875</c:v>
                      </c:pt>
                      <c:pt idx="35">
                        <c:v>14.09375</c:v>
                      </c:pt>
                      <c:pt idx="36">
                        <c:v>20.25</c:v>
                      </c:pt>
                      <c:pt idx="37">
                        <c:v>20.90625</c:v>
                      </c:pt>
                    </c:numCache>
                  </c:numRef>
                </c:val>
              </c15:ser>
            </c15:filteredBarSeries>
          </c:ext>
        </c:extLst>
      </c:barChart>
      <c:lineChart>
        <c:grouping val="standard"/>
        <c:varyColors val="0"/>
        <c:ser>
          <c:idx val="3"/>
          <c:order val="3"/>
          <c:tx>
            <c:strRef>
              <c:f>DRAM!$DL$25</c:f>
              <c:strCache>
                <c:ptCount val="1"/>
                <c:pt idx="0">
                  <c:v>64GB MoM</c:v>
                </c:pt>
              </c:strCache>
            </c:strRef>
          </c:tx>
          <c:spPr>
            <a:ln w="12700" cap="rnd" cmpd="sng" algn="ctr">
              <a:solidFill>
                <a:schemeClr val="accent2"/>
              </a:solidFill>
              <a:prstDash val="solid"/>
              <a:round/>
            </a:ln>
          </c:spPr>
          <c:marker>
            <c:symbol val="x"/>
            <c:size val="3"/>
            <c:spPr>
              <a:noFill/>
              <a:ln w="12700" cap="flat" cmpd="sng" algn="ctr">
                <a:solidFill>
                  <a:schemeClr val="accent2"/>
                </a:solidFill>
                <a:prstDash val="solid"/>
                <a:round/>
              </a:ln>
            </c:spPr>
          </c:marker>
          <c:dLbls>
            <c:delete val="1"/>
          </c:dLbls>
          <c:cat>
            <c:numRef>
              <c:f>DRAM!$CA$111:$CA$150</c:f>
              <c:numCache>
                <c:formatCode>yyyy/m/d</c:formatCode>
                <c:ptCount val="40"/>
                <c:pt idx="0" c:formatCode="yyyy/m/d">
                  <c:v>45046</c:v>
                </c:pt>
                <c:pt idx="1" c:formatCode="yyyy/m/d">
                  <c:v>45077</c:v>
                </c:pt>
                <c:pt idx="2" c:formatCode="yyyy/m/d">
                  <c:v>45107</c:v>
                </c:pt>
                <c:pt idx="3" c:formatCode="yyyy/m/d">
                  <c:v>45138</c:v>
                </c:pt>
                <c:pt idx="4" c:formatCode="yyyy/m/d">
                  <c:v>45169</c:v>
                </c:pt>
                <c:pt idx="5" c:formatCode="yyyy/m/d">
                  <c:v>45199</c:v>
                </c:pt>
                <c:pt idx="6" c:formatCode="yyyy/m/d">
                  <c:v>45230</c:v>
                </c:pt>
                <c:pt idx="7" c:formatCode="yyyy/m/d">
                  <c:v>45260</c:v>
                </c:pt>
                <c:pt idx="8" c:formatCode="yyyy/m/d">
                  <c:v>45291</c:v>
                </c:pt>
                <c:pt idx="9" c:formatCode="yyyy/m/d">
                  <c:v>45322</c:v>
                </c:pt>
                <c:pt idx="10" c:formatCode="yyyy/m/d">
                  <c:v>45351</c:v>
                </c:pt>
                <c:pt idx="11" c:formatCode="yyyy/m/d">
                  <c:v>45382</c:v>
                </c:pt>
                <c:pt idx="12" c:formatCode="yyyy/m/d">
                  <c:v>45412</c:v>
                </c:pt>
                <c:pt idx="13" c:formatCode="yyyy/m/d">
                  <c:v>45443</c:v>
                </c:pt>
                <c:pt idx="14" c:formatCode="yyyy/m/d">
                  <c:v>45473</c:v>
                </c:pt>
                <c:pt idx="15" c:formatCode="yyyy/m/d">
                  <c:v>45504</c:v>
                </c:pt>
                <c:pt idx="16" c:formatCode="yyyy/m/d">
                  <c:v>45535</c:v>
                </c:pt>
                <c:pt idx="17" c:formatCode="yyyy/m/d">
                  <c:v>45565</c:v>
                </c:pt>
                <c:pt idx="18" c:formatCode="yyyy/m/d">
                  <c:v>45596</c:v>
                </c:pt>
                <c:pt idx="19" c:formatCode="yyyy/m/d">
                  <c:v>45626</c:v>
                </c:pt>
                <c:pt idx="20" c:formatCode="yyyy/m/d">
                  <c:v>45657</c:v>
                </c:pt>
                <c:pt idx="21" c:formatCode="yyyy/m/d">
                  <c:v>45688</c:v>
                </c:pt>
                <c:pt idx="22" c:formatCode="yyyy/m/d">
                  <c:v>45716</c:v>
                </c:pt>
                <c:pt idx="23" c:formatCode="yyyy/m/d">
                  <c:v>45747</c:v>
                </c:pt>
                <c:pt idx="24" c:formatCode="yyyy/m/d">
                  <c:v>45777</c:v>
                </c:pt>
                <c:pt idx="25" c:formatCode="yyyy/m/d">
                  <c:v>45808</c:v>
                </c:pt>
                <c:pt idx="26" c:formatCode="yyyy/m/d">
                  <c:v>45838</c:v>
                </c:pt>
                <c:pt idx="27" c:formatCode="yyyy/m/d">
                  <c:v>45869</c:v>
                </c:pt>
                <c:pt idx="28" c:formatCode="yyyy/m/d">
                  <c:v>45900</c:v>
                </c:pt>
                <c:pt idx="29" c:formatCode="yyyy/m/d">
                  <c:v>45930</c:v>
                </c:pt>
                <c:pt idx="30" c:formatCode="yyyy/m/d">
                  <c:v>45961</c:v>
                </c:pt>
                <c:pt idx="31" c:formatCode="yyyy/m/d">
                  <c:v>45991</c:v>
                </c:pt>
                <c:pt idx="32" c:formatCode="yyyy/m/d">
                  <c:v>46022</c:v>
                </c:pt>
                <c:pt idx="33" c:formatCode="yyyy/m/d">
                  <c:v>46053</c:v>
                </c:pt>
                <c:pt idx="34" c:formatCode="yyyy/m/d">
                  <c:v>46081</c:v>
                </c:pt>
                <c:pt idx="35" c:formatCode="yyyy/m/d">
                  <c:v>46112</c:v>
                </c:pt>
                <c:pt idx="36" c:formatCode="yyyy/m/d">
                  <c:v>46142</c:v>
                </c:pt>
                <c:pt idx="37" c:formatCode="yyyy/m/d">
                  <c:v>46173</c:v>
                </c:pt>
              </c:numCache>
            </c:numRef>
          </c:cat>
          <c:val>
            <c:numRef>
              <c:f>DRAM!$DL$111:$DL$150</c:f>
              <c:numCache>
                <c:formatCode>0.0%</c:formatCode>
                <c:ptCount val="40"/>
                <c:pt idx="1">
                  <c:v>-0.0323</c:v>
                </c:pt>
                <c:pt idx="2">
                  <c:v>-0.0333333333333333</c:v>
                </c:pt>
                <c:pt idx="3">
                  <c:v>-0.00689655172413794</c:v>
                </c:pt>
                <c:pt idx="4">
                  <c:v>0</c:v>
                </c:pt>
                <c:pt idx="5">
                  <c:v>0</c:v>
                </c:pt>
                <c:pt idx="6">
                  <c:v>0.0138888888888891</c:v>
                </c:pt>
                <c:pt idx="7">
                  <c:v>0.0136986301369861</c:v>
                </c:pt>
                <c:pt idx="8">
                  <c:v>0.0337837837837838</c:v>
                </c:pt>
                <c:pt idx="9">
                  <c:v>0.111111111111111</c:v>
                </c:pt>
                <c:pt idx="10">
                  <c:v>0.0411764705882354</c:v>
                </c:pt>
                <c:pt idx="11">
                  <c:v>0.0734463276836157</c:v>
                </c:pt>
                <c:pt idx="12">
                  <c:v>0.105263157894737</c:v>
                </c:pt>
                <c:pt idx="13">
                  <c:v>0.0751219512195123</c:v>
                </c:pt>
                <c:pt idx="14">
                  <c:v>0.0219298245614035</c:v>
                </c:pt>
                <c:pt idx="15">
                  <c:v>0.0890293663713821</c:v>
                </c:pt>
                <c:pt idx="16">
                  <c:v>0.0588235294117647</c:v>
                </c:pt>
                <c:pt idx="17">
                  <c:v>0.00610561056105619</c:v>
                </c:pt>
                <c:pt idx="18">
                  <c:v>0.0387622327920836</c:v>
                </c:pt>
                <c:pt idx="19">
                  <c:v>0</c:v>
                </c:pt>
                <c:pt idx="20">
                  <c:v>-0.00701754385964914</c:v>
                </c:pt>
                <c:pt idx="21">
                  <c:v>-0.0353356890459364</c:v>
                </c:pt>
                <c:pt idx="22">
                  <c:v>-0.0293040293040293</c:v>
                </c:pt>
                <c:pt idx="23">
                  <c:v>-0.0188679245283019</c:v>
                </c:pt>
                <c:pt idx="24">
                  <c:v>0</c:v>
                </c:pt>
                <c:pt idx="25">
                  <c:v>0.0192307692307692</c:v>
                </c:pt>
                <c:pt idx="26">
                  <c:v>0</c:v>
                </c:pt>
                <c:pt idx="27">
                  <c:v>0.0113207547169811</c:v>
                </c:pt>
                <c:pt idx="28">
                  <c:v>0.00746268656716409</c:v>
                </c:pt>
                <c:pt idx="29">
                  <c:v>0.00740740740740731</c:v>
                </c:pt>
                <c:pt idx="30">
                  <c:v>0.242647058823529</c:v>
                </c:pt>
                <c:pt idx="31">
                  <c:v>0.257396449704142</c:v>
                </c:pt>
                <c:pt idx="32">
                  <c:v>0.204705882352941</c:v>
                </c:pt>
                <c:pt idx="33">
                  <c:v>0.576171875</c:v>
                </c:pt>
                <c:pt idx="34">
                  <c:v>0.0272614622057001</c:v>
                </c:pt>
                <c:pt idx="35">
                  <c:v>0.0265379975874547</c:v>
                </c:pt>
                <c:pt idx="36">
                  <c:v>0.437132784958872</c:v>
                </c:pt>
                <c:pt idx="37">
                  <c:v>0.0343417825020442</c:v>
                </c:pt>
              </c:numCache>
            </c:numRef>
          </c:val>
          <c:smooth val="0"/>
        </c:ser>
        <c:dLbls>
          <c:showLegendKey val="0"/>
          <c:showVal val="0"/>
          <c:showCatName val="0"/>
          <c:showSerName val="0"/>
          <c:showPercent val="0"/>
          <c:showBubbleSize val="0"/>
        </c:dLbls>
        <c:marker val="1"/>
        <c:smooth val="0"/>
        <c:axId val="177253104"/>
        <c:axId val="206075120"/>
        <c:extLst>
          <c:ext xmlns:c15="http://schemas.microsoft.com/office/drawing/2012/chart" uri="{02D57815-91ED-43cb-92C2-25804820EDAC}">
            <c15:filteredLineSeries>
              <c15:ser>
                <c:idx val="1"/>
                <c:order val="2"/>
                <c:tx>
                  <c:strRef>
                    <c:extLst>
                      <c:ext uri="{02D57815-91ED-43cb-92C2-25804820EDAC}">
                        <c15:formulaRef>
                          <c15:sqref>DRAM!$DK$25</c15:sqref>
                        </c15:formulaRef>
                      </c:ext>
                    </c:extLst>
                    <c:strCache>
                      <c:ptCount val="1"/>
                      <c:pt idx="0">
                        <c:v>32GB MoM</c:v>
                      </c:pt>
                    </c:strCache>
                  </c:strRef>
                </c:tx>
                <c:spPr>
                  <a:ln w="12700" cap="rnd" cmpd="sng" algn="ctr">
                    <a:solidFill>
                      <a:schemeClr val="accent3"/>
                    </a:solidFill>
                    <a:prstDash val="solid"/>
                    <a:round/>
                  </a:ln>
                </c:spPr>
                <c:marker>
                  <c:symbol val="triangle"/>
                  <c:size val="5"/>
                  <c:spPr>
                    <a:solidFill>
                      <a:schemeClr val="accent3"/>
                    </a:solidFill>
                    <a:ln w="12700" cap="flat" cmpd="sng" algn="ctr">
                      <a:solidFill>
                        <a:schemeClr val="accent3"/>
                      </a:solidFill>
                      <a:prstDash val="solid"/>
                      <a:round/>
                    </a:ln>
                  </c:spPr>
                </c:marker>
                <c:dLbls>
                  <c:delete val="1"/>
                </c:dLbls>
                <c:cat>
                  <c:numRef>
                    <c:extLst>
                      <c:ext uri="{02D57815-91ED-43cb-92C2-25804820EDAC}">
                        <c15:fullRef>
                          <c15:sqref/>
                        </c15:fullRef>
                        <c15:formulaRef>
                          <c15:sqref>DRAM!$CA$111:$CA$150</c15:sqref>
                        </c15:formulaRef>
                      </c:ext>
                    </c:extLst>
                    <c:numCache>
                      <c:formatCode>yyyy/m/d</c:formatCode>
                      <c:ptCount val="40"/>
                      <c:pt idx="0" c:formatCode="yyyy/m/d">
                        <c:v>45046</c:v>
                      </c:pt>
                      <c:pt idx="1" c:formatCode="yyyy/m/d">
                        <c:v>45077</c:v>
                      </c:pt>
                      <c:pt idx="2" c:formatCode="yyyy/m/d">
                        <c:v>45107</c:v>
                      </c:pt>
                      <c:pt idx="3" c:formatCode="yyyy/m/d">
                        <c:v>45138</c:v>
                      </c:pt>
                      <c:pt idx="4" c:formatCode="yyyy/m/d">
                        <c:v>45169</c:v>
                      </c:pt>
                      <c:pt idx="5" c:formatCode="yyyy/m/d">
                        <c:v>45199</c:v>
                      </c:pt>
                      <c:pt idx="6" c:formatCode="yyyy/m/d">
                        <c:v>45230</c:v>
                      </c:pt>
                      <c:pt idx="7" c:formatCode="yyyy/m/d">
                        <c:v>45260</c:v>
                      </c:pt>
                      <c:pt idx="8" c:formatCode="yyyy/m/d">
                        <c:v>45291</c:v>
                      </c:pt>
                      <c:pt idx="9" c:formatCode="yyyy/m/d">
                        <c:v>45322</c:v>
                      </c:pt>
                      <c:pt idx="10" c:formatCode="yyyy/m/d">
                        <c:v>45351</c:v>
                      </c:pt>
                      <c:pt idx="11" c:formatCode="yyyy/m/d">
                        <c:v>45382</c:v>
                      </c:pt>
                      <c:pt idx="12" c:formatCode="yyyy/m/d">
                        <c:v>45412</c:v>
                      </c:pt>
                      <c:pt idx="13" c:formatCode="yyyy/m/d">
                        <c:v>45443</c:v>
                      </c:pt>
                      <c:pt idx="14" c:formatCode="yyyy/m/d">
                        <c:v>45473</c:v>
                      </c:pt>
                      <c:pt idx="15" c:formatCode="yyyy/m/d">
                        <c:v>45504</c:v>
                      </c:pt>
                      <c:pt idx="16" c:formatCode="yyyy/m/d">
                        <c:v>45535</c:v>
                      </c:pt>
                      <c:pt idx="17" c:formatCode="yyyy/m/d">
                        <c:v>45565</c:v>
                      </c:pt>
                      <c:pt idx="18" c:formatCode="yyyy/m/d">
                        <c:v>45596</c:v>
                      </c:pt>
                      <c:pt idx="19" c:formatCode="yyyy/m/d">
                        <c:v>45626</c:v>
                      </c:pt>
                      <c:pt idx="20" c:formatCode="yyyy/m/d">
                        <c:v>45657</c:v>
                      </c:pt>
                      <c:pt idx="21" c:formatCode="yyyy/m/d">
                        <c:v>45688</c:v>
                      </c:pt>
                      <c:pt idx="22" c:formatCode="yyyy/m/d">
                        <c:v>45716</c:v>
                      </c:pt>
                      <c:pt idx="23" c:formatCode="yyyy/m/d">
                        <c:v>45747</c:v>
                      </c:pt>
                      <c:pt idx="24" c:formatCode="yyyy/m/d">
                        <c:v>45777</c:v>
                      </c:pt>
                      <c:pt idx="25" c:formatCode="yyyy/m/d">
                        <c:v>45808</c:v>
                      </c:pt>
                      <c:pt idx="26" c:formatCode="yyyy/m/d">
                        <c:v>45838</c:v>
                      </c:pt>
                      <c:pt idx="27" c:formatCode="yyyy/m/d">
                        <c:v>45869</c:v>
                      </c:pt>
                      <c:pt idx="28" c:formatCode="yyyy/m/d">
                        <c:v>45900</c:v>
                      </c:pt>
                      <c:pt idx="29" c:formatCode="yyyy/m/d">
                        <c:v>45930</c:v>
                      </c:pt>
                      <c:pt idx="30" c:formatCode="yyyy/m/d">
                        <c:v>45961</c:v>
                      </c:pt>
                      <c:pt idx="31" c:formatCode="yyyy/m/d">
                        <c:v>45991</c:v>
                      </c:pt>
                      <c:pt idx="32" c:formatCode="yyyy/m/d">
                        <c:v>46022</c:v>
                      </c:pt>
                      <c:pt idx="33" c:formatCode="yyyy/m/d">
                        <c:v>46053</c:v>
                      </c:pt>
                      <c:pt idx="34" c:formatCode="yyyy/m/d">
                        <c:v>46081</c:v>
                      </c:pt>
                      <c:pt idx="35" c:formatCode="yyyy/m/d">
                        <c:v>46112</c:v>
                      </c:pt>
                      <c:pt idx="36" c:formatCode="yyyy/m/d">
                        <c:v>46142</c:v>
                      </c:pt>
                      <c:pt idx="37" c:formatCode="yyyy/m/d">
                        <c:v>46173</c:v>
                      </c:pt>
                    </c:numCache>
                  </c:numRef>
                </c:cat>
                <c:val>
                  <c:numRef>
                    <c:extLst>
                      <c:ext uri="{02D57815-91ED-43cb-92C2-25804820EDAC}">
                        <c15:formulaRef>
                          <c15:sqref>DRAM!$DK$111:$DK$150</c15:sqref>
                        </c15:formulaRef>
                      </c:ext>
                    </c:extLst>
                    <c:numCache>
                      <c:formatCode>0.0%</c:formatCode>
                      <c:ptCount val="40"/>
                      <c:pt idx="1">
                        <c:v>-0.0323</c:v>
                      </c:pt>
                      <c:pt idx="2">
                        <c:v>-0.0370370370370371</c:v>
                      </c:pt>
                      <c:pt idx="3">
                        <c:v>-0.0128205128205129</c:v>
                      </c:pt>
                      <c:pt idx="4">
                        <c:v>0</c:v>
                      </c:pt>
                      <c:pt idx="5">
                        <c:v>0</c:v>
                      </c:pt>
                      <c:pt idx="6">
                        <c:v>0.0129870129870131</c:v>
                      </c:pt>
                      <c:pt idx="7">
                        <c:v>0.0192620387742339</c:v>
                      </c:pt>
                      <c:pt idx="8">
                        <c:v>0.0439931279911645</c:v>
                      </c:pt>
                      <c:pt idx="9">
                        <c:v>0.0602409638554218</c:v>
                      </c:pt>
                      <c:pt idx="10">
                        <c:v>0.0340909090909092</c:v>
                      </c:pt>
                      <c:pt idx="11">
                        <c:v>0.0439560439560438</c:v>
                      </c:pt>
                      <c:pt idx="12">
                        <c:v>0.105263157894737</c:v>
                      </c:pt>
                      <c:pt idx="13">
                        <c:v>0.0845528455284552</c:v>
                      </c:pt>
                      <c:pt idx="14">
                        <c:v>0.0260869565217392</c:v>
                      </c:pt>
                      <c:pt idx="15">
                        <c:v>0.0677966101694913</c:v>
                      </c:pt>
                      <c:pt idx="16">
                        <c:v>0.0555555555555556</c:v>
                      </c:pt>
                      <c:pt idx="17">
                        <c:v>0.0150375939849625</c:v>
                      </c:pt>
                      <c:pt idx="18">
                        <c:v>0.0268199233716473</c:v>
                      </c:pt>
                      <c:pt idx="19">
                        <c:v>0</c:v>
                      </c:pt>
                      <c:pt idx="20">
                        <c:v>0</c:v>
                      </c:pt>
                      <c:pt idx="21">
                        <c:v>-0.0285714285714285</c:v>
                      </c:pt>
                      <c:pt idx="22">
                        <c:v>-0.0488732806555459</c:v>
                      </c:pt>
                      <c:pt idx="23">
                        <c:v>-0.0230769230769231</c:v>
                      </c:pt>
                      <c:pt idx="24">
                        <c:v>0</c:v>
                      </c:pt>
                      <c:pt idx="25">
                        <c:v>0.0551181102362204</c:v>
                      </c:pt>
                      <c:pt idx="26">
                        <c:v>0</c:v>
                      </c:pt>
                      <c:pt idx="27">
                        <c:v>0.044776119402985</c:v>
                      </c:pt>
                      <c:pt idx="28">
                        <c:v>0.0214285714285714</c:v>
                      </c:pt>
                      <c:pt idx="29">
                        <c:v>0.020979020979021</c:v>
                      </c:pt>
                      <c:pt idx="30">
                        <c:v>0.232876712328767</c:v>
                      </c:pt>
                      <c:pt idx="31">
                        <c:v>0.25</c:v>
                      </c:pt>
                      <c:pt idx="32">
                        <c:v>0.2</c:v>
                      </c:pt>
                      <c:pt idx="33">
                        <c:v>0.581481481481481</c:v>
                      </c:pt>
                      <c:pt idx="34">
                        <c:v>0.0281030444964872</c:v>
                      </c:pt>
                      <c:pt idx="35">
                        <c:v>0.0273348519362187</c:v>
                      </c:pt>
                      <c:pt idx="36">
                        <c:v>0.436807095343681</c:v>
                      </c:pt>
                      <c:pt idx="37">
                        <c:v>0.0324074074074074</c:v>
                      </c:pt>
                    </c:numCache>
                  </c:numRef>
                </c:val>
                <c:smooth val="0"/>
              </c15:ser>
            </c15:filteredLineSeries>
          </c:ext>
        </c:extLst>
      </c:lineChart>
      <c:dateAx>
        <c:axId val="177450304"/>
        <c:scaling>
          <c:orientation val="minMax"/>
        </c:scaling>
        <c:delete val="0"/>
        <c:axPos val="b"/>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57648"/>
        <c:crosses val="autoZero"/>
        <c:auto val="0"/>
        <c:lblOffset val="100"/>
        <c:baseTimeUnit val="months"/>
        <c:majorUnit val="1"/>
        <c:majorTimeUnit val="months"/>
      </c:dateAx>
      <c:valAx>
        <c:axId val="206057648"/>
        <c:scaling>
          <c:orientation val="minMax"/>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US$/GB</a:t>
                </a:r>
                <a:endParaRPr lang="en-US"/>
              </a:p>
            </c:rich>
          </c:tx>
          <c:layout/>
          <c:overlay val="0"/>
        </c:title>
        <c:numFmt formatCode="#,##0.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450304"/>
        <c:crosses val="autoZero"/>
        <c:crossBetween val="between"/>
      </c:valAx>
      <c:dateAx>
        <c:axId val="177253104"/>
        <c:scaling>
          <c:orientation val="minMax"/>
        </c:scaling>
        <c:delete val="1"/>
        <c:axPos val="b"/>
        <c:numFmt formatCode="m/d/yyyy" sourceLinked="1"/>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75120"/>
        <c:crosses val="autoZero"/>
        <c:auto val="1"/>
        <c:lblOffset val="100"/>
        <c:baseTimeUnit val="months"/>
      </c:dateAx>
      <c:valAx>
        <c:axId val="206075120"/>
        <c:scaling>
          <c:orientation val="minMax"/>
        </c:scaling>
        <c:delete val="0"/>
        <c:axPos val="r"/>
        <c:majorGridlines>
          <c:spPr>
            <a:ln w="12700" cap="flat" cmpd="sng" algn="ctr">
              <a:solidFill>
                <a:schemeClr val="bg1">
                  <a:lumMod val="85000"/>
                </a:schemeClr>
              </a:solidFill>
              <a:prstDash val="solid"/>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MoM</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253104"/>
        <c:crosses val="max"/>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e921a2a0-b408-47ac-ba4c-319aaffdb622}"/>
      </c:ext>
    </c:extLst>
  </c:chart>
  <c:spPr>
    <a:solidFill>
      <a:srgbClr val="FFFFFF"/>
    </a:solidFill>
    <a:ln w="25400" cap="flat" cmpd="sng" algn="ctr">
      <a:solidFill>
        <a:srgbClr xmlns:mc="http://schemas.openxmlformats.org/markup-compatibility/2006" xmlns:a14="http://schemas.microsoft.com/office/drawing/2010/main" val="FFFFFF" mc:Ignorable="a14" a14:legacySpreadsheetColorIndex="9"/>
      </a:solidFill>
      <a:prstDash val="solid"/>
      <a:round/>
      <a:headEnd type="none" w="med" len="med"/>
      <a:tailEnd type="none" w="med" len="med"/>
    </a:ln>
    <a:effectLst/>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Server DRAM Module (DDR5 vs. DDR4 32GB </a:t>
            </a:r>
            <a:r>
              <a:rPr lang="en-US" sz="1000" b="1" i="0" u="none" strike="noStrike" baseline="0">
                <a:effectLst/>
              </a:rPr>
              <a:t>RDIMM</a:t>
            </a:r>
            <a:r>
              <a:rPr lang="en-US"/>
              <a:t>) Contract Price</a:t>
            </a:r>
            <a:endParaRPr lang="en-US"/>
          </a:p>
        </c:rich>
      </c:tx>
      <c:layout/>
      <c:overlay val="0"/>
    </c:title>
    <c:autoTitleDeleted val="0"/>
    <c:plotArea>
      <c:layout>
        <c:manualLayout>
          <c:layoutTarget val="inner"/>
          <c:xMode val="edge"/>
          <c:yMode val="edge"/>
          <c:x val="0.167813392794927"/>
          <c:y val="0.184549356223176"/>
          <c:w val="0.655014633126611"/>
          <c:h val="0.572372342942111"/>
        </c:manualLayout>
      </c:layout>
      <c:barChart>
        <c:barDir val="col"/>
        <c:grouping val="clustered"/>
        <c:varyColors val="0"/>
        <c:ser>
          <c:idx val="0"/>
          <c:order val="0"/>
          <c:tx>
            <c:strRef>
              <c:f>DRAM!$CB$25</c:f>
              <c:strCache>
                <c:ptCount val="1"/>
                <c:pt idx="0">
                  <c:v>DDR5</c:v>
                </c:pt>
              </c:strCache>
            </c:strRef>
          </c:tx>
          <c:invertIfNegative val="0"/>
          <c:dLbls>
            <c:delete val="1"/>
          </c:dLbls>
          <c:cat>
            <c:numRef>
              <c:f>DRAM!$CA$111:$CA$200</c:f>
              <c:numCache>
                <c:formatCode>yyyy/m/d</c:formatCode>
                <c:ptCount val="90"/>
                <c:pt idx="0" c:formatCode="yyyy/m/d">
                  <c:v>45046</c:v>
                </c:pt>
                <c:pt idx="1" c:formatCode="yyyy/m/d">
                  <c:v>45077</c:v>
                </c:pt>
                <c:pt idx="2" c:formatCode="yyyy/m/d">
                  <c:v>45107</c:v>
                </c:pt>
                <c:pt idx="3" c:formatCode="yyyy/m/d">
                  <c:v>45138</c:v>
                </c:pt>
                <c:pt idx="4" c:formatCode="yyyy/m/d">
                  <c:v>45169</c:v>
                </c:pt>
                <c:pt idx="5" c:formatCode="yyyy/m/d">
                  <c:v>45199</c:v>
                </c:pt>
                <c:pt idx="6" c:formatCode="yyyy/m/d">
                  <c:v>45230</c:v>
                </c:pt>
                <c:pt idx="7" c:formatCode="yyyy/m/d">
                  <c:v>45260</c:v>
                </c:pt>
                <c:pt idx="8" c:formatCode="yyyy/m/d">
                  <c:v>45291</c:v>
                </c:pt>
                <c:pt idx="9" c:formatCode="yyyy/m/d">
                  <c:v>45322</c:v>
                </c:pt>
                <c:pt idx="10" c:formatCode="yyyy/m/d">
                  <c:v>45351</c:v>
                </c:pt>
                <c:pt idx="11" c:formatCode="yyyy/m/d">
                  <c:v>45382</c:v>
                </c:pt>
                <c:pt idx="12" c:formatCode="yyyy/m/d">
                  <c:v>45412</c:v>
                </c:pt>
                <c:pt idx="13" c:formatCode="yyyy/m/d">
                  <c:v>45443</c:v>
                </c:pt>
                <c:pt idx="14" c:formatCode="yyyy/m/d">
                  <c:v>45473</c:v>
                </c:pt>
                <c:pt idx="15" c:formatCode="yyyy/m/d">
                  <c:v>45504</c:v>
                </c:pt>
                <c:pt idx="16" c:formatCode="yyyy/m/d">
                  <c:v>45535</c:v>
                </c:pt>
                <c:pt idx="17" c:formatCode="yyyy/m/d">
                  <c:v>45565</c:v>
                </c:pt>
                <c:pt idx="18" c:formatCode="yyyy/m/d">
                  <c:v>45596</c:v>
                </c:pt>
                <c:pt idx="19" c:formatCode="yyyy/m/d">
                  <c:v>45626</c:v>
                </c:pt>
                <c:pt idx="20" c:formatCode="yyyy/m/d">
                  <c:v>45657</c:v>
                </c:pt>
                <c:pt idx="21" c:formatCode="yyyy/m/d">
                  <c:v>45688</c:v>
                </c:pt>
                <c:pt idx="22" c:formatCode="yyyy/m/d">
                  <c:v>45716</c:v>
                </c:pt>
                <c:pt idx="23" c:formatCode="yyyy/m/d">
                  <c:v>45747</c:v>
                </c:pt>
                <c:pt idx="24" c:formatCode="yyyy/m/d">
                  <c:v>45777</c:v>
                </c:pt>
                <c:pt idx="25" c:formatCode="yyyy/m/d">
                  <c:v>45808</c:v>
                </c:pt>
                <c:pt idx="26" c:formatCode="yyyy/m/d">
                  <c:v>45838</c:v>
                </c:pt>
                <c:pt idx="27" c:formatCode="yyyy/m/d">
                  <c:v>45869</c:v>
                </c:pt>
                <c:pt idx="28" c:formatCode="yyyy/m/d">
                  <c:v>45900</c:v>
                </c:pt>
                <c:pt idx="29" c:formatCode="yyyy/m/d">
                  <c:v>45930</c:v>
                </c:pt>
                <c:pt idx="30" c:formatCode="yyyy/m/d">
                  <c:v>45961</c:v>
                </c:pt>
                <c:pt idx="31" c:formatCode="yyyy/m/d">
                  <c:v>45991</c:v>
                </c:pt>
                <c:pt idx="32" c:formatCode="yyyy/m/d">
                  <c:v>46022</c:v>
                </c:pt>
                <c:pt idx="33" c:formatCode="yyyy/m/d">
                  <c:v>46053</c:v>
                </c:pt>
                <c:pt idx="34" c:formatCode="yyyy/m/d">
                  <c:v>46081</c:v>
                </c:pt>
                <c:pt idx="35" c:formatCode="yyyy/m/d">
                  <c:v>46112</c:v>
                </c:pt>
                <c:pt idx="36" c:formatCode="yyyy/m/d">
                  <c:v>46142</c:v>
                </c:pt>
                <c:pt idx="37" c:formatCode="yyyy/m/d">
                  <c:v>46173</c:v>
                </c:pt>
              </c:numCache>
            </c:numRef>
          </c:cat>
          <c:val>
            <c:numRef>
              <c:f>DRAM!$CO$111:$CO$200</c:f>
              <c:numCache>
                <c:formatCode>#,##0.00</c:formatCode>
                <c:ptCount val="90"/>
                <c:pt idx="0">
                  <c:v>85.0753150937596</c:v>
                </c:pt>
                <c:pt idx="1">
                  <c:v>83.025</c:v>
                </c:pt>
                <c:pt idx="2">
                  <c:v>79.95</c:v>
                </c:pt>
                <c:pt idx="3">
                  <c:v>78.925</c:v>
                </c:pt>
                <c:pt idx="4">
                  <c:v>78.925</c:v>
                </c:pt>
                <c:pt idx="5">
                  <c:v>78.925</c:v>
                </c:pt>
                <c:pt idx="6">
                  <c:v>79.95</c:v>
                </c:pt>
                <c:pt idx="7">
                  <c:v>81.49</c:v>
                </c:pt>
                <c:pt idx="8">
                  <c:v>85.075</c:v>
                </c:pt>
                <c:pt idx="9">
                  <c:v>90.2</c:v>
                </c:pt>
                <c:pt idx="10">
                  <c:v>93.275</c:v>
                </c:pt>
                <c:pt idx="11">
                  <c:v>97.375</c:v>
                </c:pt>
                <c:pt idx="12">
                  <c:v>107.625</c:v>
                </c:pt>
                <c:pt idx="13">
                  <c:v>116.725</c:v>
                </c:pt>
                <c:pt idx="14">
                  <c:v>119.77</c:v>
                </c:pt>
                <c:pt idx="15">
                  <c:v>127.89</c:v>
                </c:pt>
                <c:pt idx="16">
                  <c:v>134.995</c:v>
                </c:pt>
                <c:pt idx="17">
                  <c:v>137.025</c:v>
                </c:pt>
                <c:pt idx="18">
                  <c:v>140.7</c:v>
                </c:pt>
                <c:pt idx="19">
                  <c:v>140.7</c:v>
                </c:pt>
                <c:pt idx="20">
                  <c:v>140.7</c:v>
                </c:pt>
                <c:pt idx="21">
                  <c:v>136.68</c:v>
                </c:pt>
                <c:pt idx="22">
                  <c:v>130</c:v>
                </c:pt>
                <c:pt idx="23">
                  <c:v>127</c:v>
                </c:pt>
                <c:pt idx="24">
                  <c:v>127</c:v>
                </c:pt>
                <c:pt idx="25">
                  <c:v>134</c:v>
                </c:pt>
                <c:pt idx="26">
                  <c:v>134</c:v>
                </c:pt>
                <c:pt idx="27">
                  <c:v>140</c:v>
                </c:pt>
                <c:pt idx="28">
                  <c:v>143</c:v>
                </c:pt>
                <c:pt idx="29">
                  <c:v>146</c:v>
                </c:pt>
                <c:pt idx="30">
                  <c:v>180</c:v>
                </c:pt>
                <c:pt idx="31">
                  <c:v>225</c:v>
                </c:pt>
                <c:pt idx="32">
                  <c:v>270</c:v>
                </c:pt>
                <c:pt idx="33">
                  <c:v>427</c:v>
                </c:pt>
                <c:pt idx="34">
                  <c:v>439</c:v>
                </c:pt>
                <c:pt idx="35">
                  <c:v>451</c:v>
                </c:pt>
                <c:pt idx="36">
                  <c:v>648</c:v>
                </c:pt>
                <c:pt idx="37">
                  <c:v>669</c:v>
                </c:pt>
              </c:numCache>
            </c:numRef>
          </c:val>
        </c:ser>
        <c:ser>
          <c:idx val="2"/>
          <c:order val="2"/>
          <c:tx>
            <c:strRef>
              <c:f>DRAM!$CC$25</c:f>
              <c:strCache>
                <c:ptCount val="1"/>
                <c:pt idx="0">
                  <c:v>DDR4</c:v>
                </c:pt>
              </c:strCache>
            </c:strRef>
          </c:tx>
          <c:invertIfNegative val="0"/>
          <c:dLbls>
            <c:delete val="1"/>
          </c:dLbls>
          <c:cat>
            <c:numRef>
              <c:f>DRAM!$CA$111:$CA$200</c:f>
              <c:numCache>
                <c:formatCode>yyyy/m/d</c:formatCode>
                <c:ptCount val="90"/>
                <c:pt idx="0" c:formatCode="yyyy/m/d">
                  <c:v>45046</c:v>
                </c:pt>
                <c:pt idx="1" c:formatCode="yyyy/m/d">
                  <c:v>45077</c:v>
                </c:pt>
                <c:pt idx="2" c:formatCode="yyyy/m/d">
                  <c:v>45107</c:v>
                </c:pt>
                <c:pt idx="3" c:formatCode="yyyy/m/d">
                  <c:v>45138</c:v>
                </c:pt>
                <c:pt idx="4" c:formatCode="yyyy/m/d">
                  <c:v>45169</c:v>
                </c:pt>
                <c:pt idx="5" c:formatCode="yyyy/m/d">
                  <c:v>45199</c:v>
                </c:pt>
                <c:pt idx="6" c:formatCode="yyyy/m/d">
                  <c:v>45230</c:v>
                </c:pt>
                <c:pt idx="7" c:formatCode="yyyy/m/d">
                  <c:v>45260</c:v>
                </c:pt>
                <c:pt idx="8" c:formatCode="yyyy/m/d">
                  <c:v>45291</c:v>
                </c:pt>
                <c:pt idx="9" c:formatCode="yyyy/m/d">
                  <c:v>45322</c:v>
                </c:pt>
                <c:pt idx="10" c:formatCode="yyyy/m/d">
                  <c:v>45351</c:v>
                </c:pt>
                <c:pt idx="11" c:formatCode="yyyy/m/d">
                  <c:v>45382</c:v>
                </c:pt>
                <c:pt idx="12" c:formatCode="yyyy/m/d">
                  <c:v>45412</c:v>
                </c:pt>
                <c:pt idx="13" c:formatCode="yyyy/m/d">
                  <c:v>45443</c:v>
                </c:pt>
                <c:pt idx="14" c:formatCode="yyyy/m/d">
                  <c:v>45473</c:v>
                </c:pt>
                <c:pt idx="15" c:formatCode="yyyy/m/d">
                  <c:v>45504</c:v>
                </c:pt>
                <c:pt idx="16" c:formatCode="yyyy/m/d">
                  <c:v>45535</c:v>
                </c:pt>
                <c:pt idx="17" c:formatCode="yyyy/m/d">
                  <c:v>45565</c:v>
                </c:pt>
                <c:pt idx="18" c:formatCode="yyyy/m/d">
                  <c:v>45596</c:v>
                </c:pt>
                <c:pt idx="19" c:formatCode="yyyy/m/d">
                  <c:v>45626</c:v>
                </c:pt>
                <c:pt idx="20" c:formatCode="yyyy/m/d">
                  <c:v>45657</c:v>
                </c:pt>
                <c:pt idx="21" c:formatCode="yyyy/m/d">
                  <c:v>45688</c:v>
                </c:pt>
                <c:pt idx="22" c:formatCode="yyyy/m/d">
                  <c:v>45716</c:v>
                </c:pt>
                <c:pt idx="23" c:formatCode="yyyy/m/d">
                  <c:v>45747</c:v>
                </c:pt>
                <c:pt idx="24" c:formatCode="yyyy/m/d">
                  <c:v>45777</c:v>
                </c:pt>
                <c:pt idx="25" c:formatCode="yyyy/m/d">
                  <c:v>45808</c:v>
                </c:pt>
                <c:pt idx="26" c:formatCode="yyyy/m/d">
                  <c:v>45838</c:v>
                </c:pt>
                <c:pt idx="27" c:formatCode="yyyy/m/d">
                  <c:v>45869</c:v>
                </c:pt>
                <c:pt idx="28" c:formatCode="yyyy/m/d">
                  <c:v>45900</c:v>
                </c:pt>
                <c:pt idx="29" c:formatCode="yyyy/m/d">
                  <c:v>45930</c:v>
                </c:pt>
                <c:pt idx="30" c:formatCode="yyyy/m/d">
                  <c:v>45961</c:v>
                </c:pt>
                <c:pt idx="31" c:formatCode="yyyy/m/d">
                  <c:v>45991</c:v>
                </c:pt>
                <c:pt idx="32" c:formatCode="yyyy/m/d">
                  <c:v>46022</c:v>
                </c:pt>
                <c:pt idx="33" c:formatCode="yyyy/m/d">
                  <c:v>46053</c:v>
                </c:pt>
                <c:pt idx="34" c:formatCode="yyyy/m/d">
                  <c:v>46081</c:v>
                </c:pt>
                <c:pt idx="35" c:formatCode="yyyy/m/d">
                  <c:v>46112</c:v>
                </c:pt>
                <c:pt idx="36" c:formatCode="yyyy/m/d">
                  <c:v>46142</c:v>
                </c:pt>
                <c:pt idx="37" c:formatCode="yyyy/m/d">
                  <c:v>46173</c:v>
                </c:pt>
              </c:numCache>
            </c:numRef>
          </c:cat>
          <c:val>
            <c:numRef>
              <c:f>DRAM!$CE$111:$CE$200</c:f>
              <c:numCache>
                <c:formatCode>#,##0.00</c:formatCode>
                <c:ptCount val="90"/>
                <c:pt idx="0">
                  <c:v>54</c:v>
                </c:pt>
                <c:pt idx="1">
                  <c:v>51</c:v>
                </c:pt>
                <c:pt idx="2">
                  <c:v>49.5</c:v>
                </c:pt>
                <c:pt idx="3">
                  <c:v>48</c:v>
                </c:pt>
                <c:pt idx="4">
                  <c:v>47.5</c:v>
                </c:pt>
                <c:pt idx="5">
                  <c:v>47.5</c:v>
                </c:pt>
                <c:pt idx="6">
                  <c:v>50</c:v>
                </c:pt>
                <c:pt idx="7">
                  <c:v>51</c:v>
                </c:pt>
                <c:pt idx="8">
                  <c:v>57</c:v>
                </c:pt>
                <c:pt idx="9">
                  <c:v>62</c:v>
                </c:pt>
                <c:pt idx="10">
                  <c:v>63.5</c:v>
                </c:pt>
                <c:pt idx="11">
                  <c:v>68</c:v>
                </c:pt>
                <c:pt idx="12">
                  <c:v>75</c:v>
                </c:pt>
                <c:pt idx="13">
                  <c:v>80</c:v>
                </c:pt>
                <c:pt idx="14">
                  <c:v>83</c:v>
                </c:pt>
                <c:pt idx="15">
                  <c:v>87</c:v>
                </c:pt>
                <c:pt idx="16">
                  <c:v>90</c:v>
                </c:pt>
                <c:pt idx="17">
                  <c:v>90</c:v>
                </c:pt>
                <c:pt idx="18">
                  <c:v>90</c:v>
                </c:pt>
                <c:pt idx="19">
                  <c:v>80</c:v>
                </c:pt>
                <c:pt idx="20">
                  <c:v>78</c:v>
                </c:pt>
                <c:pt idx="21">
                  <c:v>73</c:v>
                </c:pt>
                <c:pt idx="22">
                  <c:v>69</c:v>
                </c:pt>
                <c:pt idx="23">
                  <c:v>69</c:v>
                </c:pt>
                <c:pt idx="24">
                  <c:v>74</c:v>
                </c:pt>
                <c:pt idx="25">
                  <c:v>85</c:v>
                </c:pt>
                <c:pt idx="26">
                  <c:v>130</c:v>
                </c:pt>
                <c:pt idx="27">
                  <c:v>132</c:v>
                </c:pt>
                <c:pt idx="28">
                  <c:v>135</c:v>
                </c:pt>
                <c:pt idx="29">
                  <c:v>138</c:v>
                </c:pt>
                <c:pt idx="30">
                  <c:v>175</c:v>
                </c:pt>
                <c:pt idx="31">
                  <c:v>219</c:v>
                </c:pt>
                <c:pt idx="32">
                  <c:v>263</c:v>
                </c:pt>
                <c:pt idx="33">
                  <c:v>432</c:v>
                </c:pt>
                <c:pt idx="34">
                  <c:v>432</c:v>
                </c:pt>
                <c:pt idx="35">
                  <c:v>432</c:v>
                </c:pt>
                <c:pt idx="36">
                  <c:v>660</c:v>
                </c:pt>
                <c:pt idx="37">
                  <c:v>660</c:v>
                </c:pt>
              </c:numCache>
            </c:numRef>
          </c:val>
        </c:ser>
        <c:dLbls>
          <c:showLegendKey val="0"/>
          <c:showVal val="0"/>
          <c:showCatName val="0"/>
          <c:showSerName val="0"/>
          <c:showPercent val="0"/>
          <c:showBubbleSize val="0"/>
        </c:dLbls>
        <c:gapWidth val="66"/>
        <c:axId val="177450304"/>
        <c:axId val="206057648"/>
      </c:barChart>
      <c:lineChart>
        <c:grouping val="standard"/>
        <c:varyColors val="0"/>
        <c:ser>
          <c:idx val="1"/>
          <c:order val="1"/>
          <c:tx>
            <c:strRef>
              <c:f>"Premium"</c:f>
              <c:strCache>
                <c:ptCount val="1"/>
                <c:pt idx="0">
                  <c:v>Premium</c:v>
                </c:pt>
              </c:strCache>
            </c:strRef>
          </c:tx>
          <c:marker>
            <c:symbol val="square"/>
            <c:size val="3"/>
          </c:marker>
          <c:dLbls>
            <c:delete val="1"/>
          </c:dLbls>
          <c:val>
            <c:numRef>
              <c:f>DRAM!$CU$111:$CU$200</c:f>
              <c:numCache>
                <c:formatCode>0%</c:formatCode>
                <c:ptCount val="90"/>
                <c:pt idx="0">
                  <c:v>0.575468798032585</c:v>
                </c:pt>
                <c:pt idx="1">
                  <c:v>0.627941176470588</c:v>
                </c:pt>
                <c:pt idx="2">
                  <c:v>0.615151515151515</c:v>
                </c:pt>
                <c:pt idx="3">
                  <c:v>0.644270833333333</c:v>
                </c:pt>
                <c:pt idx="4">
                  <c:v>0.661578947368421</c:v>
                </c:pt>
                <c:pt idx="5">
                  <c:v>0.661578947368421</c:v>
                </c:pt>
                <c:pt idx="6">
                  <c:v>0.599</c:v>
                </c:pt>
                <c:pt idx="7">
                  <c:v>0.597843137254902</c:v>
                </c:pt>
                <c:pt idx="8">
                  <c:v>0.492543859649123</c:v>
                </c:pt>
                <c:pt idx="9">
                  <c:v>0.454838709677419</c:v>
                </c:pt>
                <c:pt idx="10">
                  <c:v>0.468897637795276</c:v>
                </c:pt>
                <c:pt idx="11">
                  <c:v>0.431985294117647</c:v>
                </c:pt>
                <c:pt idx="12">
                  <c:v>0.435</c:v>
                </c:pt>
                <c:pt idx="13">
                  <c:v>0.4590625</c:v>
                </c:pt>
                <c:pt idx="14">
                  <c:v>0.443012048192771</c:v>
                </c:pt>
                <c:pt idx="15">
                  <c:v>0.47</c:v>
                </c:pt>
                <c:pt idx="16">
                  <c:v>0.499944444444445</c:v>
                </c:pt>
                <c:pt idx="17">
                  <c:v>0.5225</c:v>
                </c:pt>
                <c:pt idx="18">
                  <c:v>0.563333333333333</c:v>
                </c:pt>
                <c:pt idx="19">
                  <c:v>0.75875</c:v>
                </c:pt>
                <c:pt idx="20">
                  <c:v>0.803846153846154</c:v>
                </c:pt>
                <c:pt idx="21">
                  <c:v>0.872328767123288</c:v>
                </c:pt>
                <c:pt idx="22">
                  <c:v>0.884057971014493</c:v>
                </c:pt>
                <c:pt idx="23">
                  <c:v>0.840579710144927</c:v>
                </c:pt>
                <c:pt idx="24">
                  <c:v>0.716216216216216</c:v>
                </c:pt>
                <c:pt idx="25">
                  <c:v>0.576470588235294</c:v>
                </c:pt>
                <c:pt idx="26">
                  <c:v>0.0307692307692307</c:v>
                </c:pt>
                <c:pt idx="27">
                  <c:v>0.0606060606060606</c:v>
                </c:pt>
                <c:pt idx="28">
                  <c:v>0.0592592592592593</c:v>
                </c:pt>
                <c:pt idx="29">
                  <c:v>0.0579710144927537</c:v>
                </c:pt>
                <c:pt idx="30">
                  <c:v>0.0285714285714285</c:v>
                </c:pt>
                <c:pt idx="31">
                  <c:v>0.0273972602739727</c:v>
                </c:pt>
                <c:pt idx="32">
                  <c:v>0.0266159695817489</c:v>
                </c:pt>
                <c:pt idx="33">
                  <c:v>-0.0115740740740741</c:v>
                </c:pt>
                <c:pt idx="34">
                  <c:v>0.0162037037037037</c:v>
                </c:pt>
                <c:pt idx="35">
                  <c:v>0.0439814814814814</c:v>
                </c:pt>
                <c:pt idx="36">
                  <c:v>-0.0181818181818182</c:v>
                </c:pt>
                <c:pt idx="37">
                  <c:v>0.0136363636363637</c:v>
                </c:pt>
              </c:numCache>
            </c:numRef>
          </c:val>
          <c:smooth val="0"/>
        </c:ser>
        <c:dLbls>
          <c:showLegendKey val="0"/>
          <c:showVal val="0"/>
          <c:showCatName val="0"/>
          <c:showSerName val="0"/>
          <c:showPercent val="0"/>
          <c:showBubbleSize val="0"/>
        </c:dLbls>
        <c:marker val="1"/>
        <c:smooth val="0"/>
        <c:axId val="177253104"/>
        <c:axId val="206075120"/>
      </c:lineChart>
      <c:dateAx>
        <c:axId val="177450304"/>
        <c:scaling>
          <c:orientation val="minMax"/>
        </c:scaling>
        <c:delete val="0"/>
        <c:axPos val="b"/>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57648"/>
        <c:crosses val="autoZero"/>
        <c:auto val="0"/>
        <c:lblOffset val="100"/>
        <c:baseTimeUnit val="months"/>
      </c:dateAx>
      <c:valAx>
        <c:axId val="206057648"/>
        <c:scaling>
          <c:orientation val="minMax"/>
        </c:scaling>
        <c:delete val="0"/>
        <c:axPos val="l"/>
        <c:majorGridlines>
          <c:spPr>
            <a:ln w="12700" cap="flat" cmpd="sng" algn="ctr">
              <a:solidFill>
                <a:schemeClr val="bg1">
                  <a:lumMod val="85000"/>
                </a:schemeClr>
              </a:solidFill>
              <a:prstDash val="solid"/>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450304"/>
        <c:crosses val="autoZero"/>
        <c:crossBetween val="between"/>
      </c:valAx>
      <c:catAx>
        <c:axId val="177253104"/>
        <c:scaling>
          <c:orientation val="minMax"/>
        </c:scaling>
        <c:delete val="1"/>
        <c:axPos val="b"/>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75120"/>
        <c:crosses val="autoZero"/>
        <c:auto val="1"/>
        <c:lblAlgn val="ctr"/>
        <c:lblOffset val="100"/>
        <c:noMultiLvlLbl val="0"/>
      </c:catAx>
      <c:valAx>
        <c:axId val="206075120"/>
        <c:scaling>
          <c:orientation val="minMax"/>
        </c:scaling>
        <c:delete val="0"/>
        <c:axPos val="r"/>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Premium of DDR5 over DDR4</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253104"/>
        <c:crosses val="max"/>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f5cc3668-639d-451a-910d-9380fd2f26df}"/>
      </c:ext>
    </c:extLst>
  </c:chart>
  <c:spPr>
    <a:solidFill>
      <a:srgbClr val="FFFFFF"/>
    </a:solidFill>
    <a:ln w="25400" cap="flat" cmpd="sng" algn="ctr">
      <a:solidFill>
        <a:srgbClr xmlns:mc="http://schemas.openxmlformats.org/markup-compatibility/2006" xmlns:a14="http://schemas.microsoft.com/office/drawing/2010/main" val="FFFFFF" mc:Ignorable="a14" a14:legacySpreadsheetColorIndex="9"/>
      </a:solidFill>
      <a:prstDash val="solid"/>
      <a:round/>
      <a:headEnd type="none" w="med" len="med"/>
      <a:tailEnd type="none" w="med" len="med"/>
    </a:ln>
    <a:effectLst/>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Mobile DRAM Package (Discrete </a:t>
            </a:r>
            <a:r>
              <a:rPr lang="en-US" sz="1000" b="1" i="0" u="none" strike="noStrike" baseline="0">
                <a:effectLst/>
              </a:rPr>
              <a:t>LPDDR4X 8GB</a:t>
            </a:r>
            <a:r>
              <a:rPr lang="en-US"/>
              <a:t>) Contract Price &amp; QoQ  </a:t>
            </a:r>
            <a:endParaRPr lang="en-US"/>
          </a:p>
        </c:rich>
      </c:tx>
      <c:layout>
        <c:manualLayout>
          <c:xMode val="edge"/>
          <c:yMode val="edge"/>
          <c:x val="0.141994841208979"/>
          <c:y val="0.0274509818048985"/>
        </c:manualLayout>
      </c:layout>
      <c:overlay val="0"/>
    </c:title>
    <c:autoTitleDeleted val="0"/>
    <c:plotArea>
      <c:layout>
        <c:manualLayout>
          <c:layoutTarget val="inner"/>
          <c:xMode val="edge"/>
          <c:yMode val="edge"/>
          <c:x val="0.134848791025016"/>
          <c:y val="0.215543040345399"/>
          <c:w val="0.691452512020068"/>
          <c:h val="0.562365862808071"/>
        </c:manualLayout>
      </c:layout>
      <c:barChart>
        <c:barDir val="col"/>
        <c:grouping val="clustered"/>
        <c:varyColors val="0"/>
        <c:ser>
          <c:idx val="0"/>
          <c:order val="0"/>
          <c:tx>
            <c:strRef>
              <c:f>DRAM!$EA$25</c:f>
              <c:strCache>
                <c:ptCount val="1"/>
                <c:pt idx="0">
                  <c:v>Price</c:v>
                </c:pt>
              </c:strCache>
            </c:strRef>
          </c:tx>
          <c:spPr>
            <a:ln w="12700">
              <a:solidFill>
                <a:srgbClr val="000000"/>
              </a:solidFill>
              <a:prstDash val="solid"/>
            </a:ln>
          </c:spPr>
          <c:invertIfNegative val="0"/>
          <c:dLbls>
            <c:delete val="1"/>
          </c:dLbls>
          <c:cat>
            <c:strRef>
              <c:f>DRAM!$EA$35:$EA$64</c:f>
              <c:strCache>
                <c:ptCount val="30"/>
                <c:pt idx="0" c:formatCode="yyyy/m/d">
                  <c:v>1Q19</c:v>
                </c:pt>
                <c:pt idx="1" c:formatCode="yyyy/m/d">
                  <c:v>2Q19</c:v>
                </c:pt>
                <c:pt idx="2" c:formatCode="yyyy/m/d">
                  <c:v>3Q19</c:v>
                </c:pt>
                <c:pt idx="3" c:formatCode="yyyy/m/d">
                  <c:v>4Q19</c:v>
                </c:pt>
                <c:pt idx="4" c:formatCode="yyyy/m/d">
                  <c:v>1Q20</c:v>
                </c:pt>
                <c:pt idx="5" c:formatCode="yyyy/m/d">
                  <c:v>2Q20</c:v>
                </c:pt>
                <c:pt idx="6" c:formatCode="yyyy/m/d">
                  <c:v>3Q20</c:v>
                </c:pt>
                <c:pt idx="7" c:formatCode="yyyy/m/d">
                  <c:v>4Q20</c:v>
                </c:pt>
                <c:pt idx="8" c:formatCode="yyyy/m/d">
                  <c:v>1Q21</c:v>
                </c:pt>
                <c:pt idx="9" c:formatCode="yyyy/m/d">
                  <c:v>2Q21</c:v>
                </c:pt>
                <c:pt idx="10" c:formatCode="yyyy/m/d">
                  <c:v>3Q21</c:v>
                </c:pt>
                <c:pt idx="11" c:formatCode="yyyy/m/d">
                  <c:v>4Q21</c:v>
                </c:pt>
                <c:pt idx="12" c:formatCode="yyyy/m/d">
                  <c:v>1Q22</c:v>
                </c:pt>
                <c:pt idx="13" c:formatCode="yyyy/m/d">
                  <c:v>2Q22</c:v>
                </c:pt>
                <c:pt idx="14" c:formatCode="yyyy/m/d">
                  <c:v>3Q22</c:v>
                </c:pt>
                <c:pt idx="15" c:formatCode="yyyy/m/d">
                  <c:v>4Q22</c:v>
                </c:pt>
                <c:pt idx="16" c:formatCode="yyyy/m/d">
                  <c:v>1Q23</c:v>
                </c:pt>
                <c:pt idx="17" c:formatCode="yyyy/m/d">
                  <c:v>2Q23</c:v>
                </c:pt>
                <c:pt idx="18" c:formatCode="yyyy/m/d">
                  <c:v>3Q23</c:v>
                </c:pt>
                <c:pt idx="19" c:formatCode="yyyy/m/d">
                  <c:v>4Q23</c:v>
                </c:pt>
                <c:pt idx="20" c:formatCode="yyyy/m/d">
                  <c:v>1Q24</c:v>
                </c:pt>
                <c:pt idx="21" c:formatCode="yyyy/m/d">
                  <c:v>2Q24</c:v>
                </c:pt>
                <c:pt idx="22" c:formatCode="yyyy/m/d">
                  <c:v>3Q24</c:v>
                </c:pt>
                <c:pt idx="23" c:formatCode="yyyy/m/d">
                  <c:v>4Q24</c:v>
                </c:pt>
                <c:pt idx="24" c:formatCode="yyyy/m/d">
                  <c:v>1Q25</c:v>
                </c:pt>
                <c:pt idx="25" c:formatCode="yyyy/m/d">
                  <c:v>2Q25</c:v>
                </c:pt>
                <c:pt idx="26" c:formatCode="yyyy/m/d">
                  <c:v>3Q25</c:v>
                </c:pt>
                <c:pt idx="27" c:formatCode="yyyy/m/d">
                  <c:v>4Q25</c:v>
                </c:pt>
                <c:pt idx="28" c:formatCode="yyyy/m/d">
                  <c:v>1Q26</c:v>
                </c:pt>
                <c:pt idx="29" c:formatCode="yyyy/m/d">
                  <c:v>2Q26</c:v>
                </c:pt>
              </c:strCache>
            </c:strRef>
          </c:cat>
          <c:val>
            <c:numRef>
              <c:f>DRAM!$EE$35:$EE$64</c:f>
              <c:numCache>
                <c:formatCode>0.0</c:formatCode>
                <c:ptCount val="30"/>
                <c:pt idx="0">
                  <c:v>50</c:v>
                </c:pt>
                <c:pt idx="1">
                  <c:v>42.9</c:v>
                </c:pt>
                <c:pt idx="2">
                  <c:v>36.1</c:v>
                </c:pt>
                <c:pt idx="3">
                  <c:v>32.8</c:v>
                </c:pt>
                <c:pt idx="4">
                  <c:v>31.6</c:v>
                </c:pt>
                <c:pt idx="5">
                  <c:v>32.3</c:v>
                </c:pt>
                <c:pt idx="6">
                  <c:v>29.5</c:v>
                </c:pt>
                <c:pt idx="7">
                  <c:v>27.6</c:v>
                </c:pt>
                <c:pt idx="8">
                  <c:v>28</c:v>
                </c:pt>
                <c:pt idx="9">
                  <c:v>30.2</c:v>
                </c:pt>
                <c:pt idx="10">
                  <c:v>31.8</c:v>
                </c:pt>
                <c:pt idx="11">
                  <c:v>30.0653594771242</c:v>
                </c:pt>
                <c:pt idx="12">
                  <c:v>27.6595744680851</c:v>
                </c:pt>
                <c:pt idx="13">
                  <c:v>27.212389380531</c:v>
                </c:pt>
                <c:pt idx="14">
                  <c:v>24.6882793017456</c:v>
                </c:pt>
                <c:pt idx="15">
                  <c:v>18.3417085427136</c:v>
                </c:pt>
                <c:pt idx="16">
                  <c:v>14.6699266503667</c:v>
                </c:pt>
                <c:pt idx="17">
                  <c:v>12.037037037037</c:v>
                </c:pt>
                <c:pt idx="18">
                  <c:v>11.6140051238258</c:v>
                </c:pt>
                <c:pt idx="19">
                  <c:v>13.6327817178881</c:v>
                </c:pt>
                <c:pt idx="20">
                  <c:v>17.3148148148148</c:v>
                </c:pt>
                <c:pt idx="21">
                  <c:v>18.8</c:v>
                </c:pt>
                <c:pt idx="22">
                  <c:v>18.34451901566</c:v>
                </c:pt>
                <c:pt idx="23">
                  <c:v>15.7033805888768</c:v>
                </c:pt>
                <c:pt idx="24">
                  <c:v>14.5052833813641</c:v>
                </c:pt>
                <c:pt idx="25">
                  <c:v>15.0877192982456</c:v>
                </c:pt>
                <c:pt idx="26">
                  <c:v>20.8815028901734</c:v>
                </c:pt>
                <c:pt idx="27">
                  <c:v>31.4666666666667</c:v>
                </c:pt>
                <c:pt idx="28">
                  <c:v>49.44670937682</c:v>
                </c:pt>
                <c:pt idx="29">
                  <c:v>84.9</c:v>
                </c:pt>
              </c:numCache>
            </c:numRef>
          </c:val>
        </c:ser>
        <c:dLbls>
          <c:showLegendKey val="0"/>
          <c:showVal val="0"/>
          <c:showCatName val="0"/>
          <c:showSerName val="0"/>
          <c:showPercent val="0"/>
          <c:showBubbleSize val="0"/>
        </c:dLbls>
        <c:gapWidth val="66"/>
        <c:axId val="177450304"/>
        <c:axId val="206057648"/>
      </c:barChart>
      <c:lineChart>
        <c:grouping val="standard"/>
        <c:varyColors val="0"/>
        <c:ser>
          <c:idx val="1"/>
          <c:order val="1"/>
          <c:tx>
            <c:strRef>
              <c:f>DRAM!$EJ$26</c:f>
              <c:strCache>
                <c:ptCount val="1"/>
                <c:pt idx="0">
                  <c:v>QoQ</c:v>
                </c:pt>
              </c:strCache>
            </c:strRef>
          </c:tx>
          <c:spPr>
            <a:ln w="12700" cap="rnd" cmpd="sng" algn="ctr">
              <a:solidFill>
                <a:srgbClr val="000000"/>
              </a:solidFill>
              <a:prstDash val="solid"/>
              <a:round/>
            </a:ln>
          </c:spPr>
          <c:marker>
            <c:symbol val="square"/>
            <c:size val="3"/>
          </c:marker>
          <c:dLbls>
            <c:delete val="1"/>
          </c:dLbls>
          <c:val>
            <c:numRef>
              <c:f>DRAM!$EM$35:$EM$64</c:f>
              <c:numCache>
                <c:formatCode>0%</c:formatCode>
                <c:ptCount val="30"/>
                <c:pt idx="0">
                  <c:v>-0.118165784832452</c:v>
                </c:pt>
                <c:pt idx="1">
                  <c:v>-0.142</c:v>
                </c:pt>
                <c:pt idx="2">
                  <c:v>-0.158508158508158</c:v>
                </c:pt>
                <c:pt idx="3">
                  <c:v>-0.0914127423822716</c:v>
                </c:pt>
                <c:pt idx="4">
                  <c:v>-0.0365853658536585</c:v>
                </c:pt>
                <c:pt idx="5">
                  <c:v>0.0221518987341771</c:v>
                </c:pt>
                <c:pt idx="6">
                  <c:v>-0.0866873065015479</c:v>
                </c:pt>
                <c:pt idx="7">
                  <c:v>-0.0644067796610169</c:v>
                </c:pt>
                <c:pt idx="8">
                  <c:v>0.0144927536231882</c:v>
                </c:pt>
                <c:pt idx="9">
                  <c:v>0.0785714285714285</c:v>
                </c:pt>
                <c:pt idx="10">
                  <c:v>0.0529801324503312</c:v>
                </c:pt>
                <c:pt idx="11">
                  <c:v>-0.0545484441155918</c:v>
                </c:pt>
                <c:pt idx="12" c:formatCode="0.0%">
                  <c:v>-0.080018501387604</c:v>
                </c:pt>
                <c:pt idx="13" c:formatCode="0.0%">
                  <c:v>-0.0161674608577264</c:v>
                </c:pt>
                <c:pt idx="14" c:formatCode="0.0%">
                  <c:v>-0.0927559150903231</c:v>
                </c:pt>
                <c:pt idx="15" c:formatCode="0.0%">
                  <c:v>-0.257068169128471</c:v>
                </c:pt>
                <c:pt idx="16" c:formatCode="0.0%">
                  <c:v>-0.200187560706032</c:v>
                </c:pt>
                <c:pt idx="17" c:formatCode="0.0%">
                  <c:v>-0.179475308641975</c:v>
                </c:pt>
                <c:pt idx="18" c:formatCode="0.0%">
                  <c:v>-0.0351441897129343</c:v>
                </c:pt>
                <c:pt idx="19" c:formatCode="0.0%">
                  <c:v>0.173822602326983</c:v>
                </c:pt>
                <c:pt idx="20" c:formatCode="0.0%">
                  <c:v>0.270086705202312</c:v>
                </c:pt>
                <c:pt idx="21" c:formatCode="0.0%">
                  <c:v>0.0857754010695189</c:v>
                </c:pt>
                <c:pt idx="22" c:formatCode="0.0%">
                  <c:v>-0.0242277119329813</c:v>
                </c:pt>
                <c:pt idx="23" c:formatCode="0.0%">
                  <c:v>-0.143974253264888</c:v>
                </c:pt>
                <c:pt idx="24" c:formatCode="0.0%">
                  <c:v>-0.0762954957839684</c:v>
                </c:pt>
                <c:pt idx="25" c:formatCode="0.0%">
                  <c:v>0.0401533635413036</c:v>
                </c:pt>
                <c:pt idx="26" c:formatCode="0.0%">
                  <c:v>0.384006586906843</c:v>
                </c:pt>
                <c:pt idx="27" c:formatCode="0.0%">
                  <c:v>0.506915801614763</c:v>
                </c:pt>
                <c:pt idx="28" c:formatCode="0.0%">
                  <c:v>0.571399662398942</c:v>
                </c:pt>
                <c:pt idx="29" c:formatCode="0.0%">
                  <c:v>0.717</c:v>
                </c:pt>
              </c:numCache>
            </c:numRef>
          </c:val>
          <c:smooth val="0"/>
        </c:ser>
        <c:dLbls>
          <c:showLegendKey val="0"/>
          <c:showVal val="0"/>
          <c:showCatName val="0"/>
          <c:showSerName val="0"/>
          <c:showPercent val="0"/>
          <c:showBubbleSize val="0"/>
        </c:dLbls>
        <c:marker val="1"/>
        <c:smooth val="0"/>
        <c:axId val="177253104"/>
        <c:axId val="206075120"/>
      </c:lineChart>
      <c:catAx>
        <c:axId val="177450304"/>
        <c:scaling>
          <c:orientation val="minMax"/>
        </c:scaling>
        <c:delete val="0"/>
        <c:axPos val="b"/>
        <c:majorGridlines>
          <c:spPr>
            <a:ln w="12700" cap="flat" cmpd="sng" algn="ctr">
              <a:solidFill>
                <a:schemeClr val="tx1">
                  <a:tint val="75000"/>
                </a:schemeClr>
              </a:solidFill>
              <a:prstDash val="dash"/>
              <a:round/>
            </a:ln>
          </c:spPr>
        </c:majorGridlines>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57648"/>
        <c:crosses val="autoZero"/>
        <c:auto val="1"/>
        <c:lblAlgn val="ctr"/>
        <c:lblOffset val="100"/>
        <c:tickMarkSkip val="4"/>
        <c:noMultiLvlLbl val="0"/>
      </c:catAx>
      <c:valAx>
        <c:axId val="206057648"/>
        <c:scaling>
          <c:orientation val="minMax"/>
        </c:scaling>
        <c:delete val="0"/>
        <c:axPos val="l"/>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450304"/>
        <c:crosses val="autoZero"/>
        <c:crossBetween val="between"/>
      </c:valAx>
      <c:catAx>
        <c:axId val="177253104"/>
        <c:scaling>
          <c:orientation val="minMax"/>
        </c:scaling>
        <c:delete val="1"/>
        <c:axPos val="b"/>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75120"/>
        <c:crosses val="autoZero"/>
        <c:auto val="1"/>
        <c:lblAlgn val="ctr"/>
        <c:lblOffset val="100"/>
        <c:noMultiLvlLbl val="0"/>
      </c:catAx>
      <c:valAx>
        <c:axId val="206075120"/>
        <c:scaling>
          <c:orientation val="minMax"/>
        </c:scaling>
        <c:delete val="0"/>
        <c:axPos val="r"/>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QoQ</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253104"/>
        <c:crosses val="max"/>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06377e7d-2551-4f8a-bc86-88a92beba366}"/>
      </c:ext>
    </c:extLst>
  </c:chart>
  <c:spPr>
    <a:solidFill>
      <a:srgbClr val="FFFFFF"/>
    </a:solidFill>
    <a:ln w="25400" cap="flat" cmpd="sng" algn="ctr">
      <a:solidFill>
        <a:srgbClr val="FFFFFF"/>
      </a:solidFill>
      <a:prstDash val="solid"/>
      <a:round/>
    </a:ln>
    <a:effectLst/>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Server DRAM Module (DDR5 vs. DDR4 64GB </a:t>
            </a:r>
            <a:r>
              <a:rPr lang="en-US" sz="1000" b="1" i="0" u="none" strike="noStrike" baseline="0">
                <a:effectLst/>
              </a:rPr>
              <a:t>RDIMM</a:t>
            </a:r>
            <a:r>
              <a:rPr lang="en-US"/>
              <a:t>) Contract Price</a:t>
            </a:r>
            <a:endParaRPr lang="en-US"/>
          </a:p>
        </c:rich>
      </c:tx>
      <c:layout/>
      <c:overlay val="0"/>
    </c:title>
    <c:autoTitleDeleted val="0"/>
    <c:plotArea>
      <c:layout>
        <c:manualLayout>
          <c:layoutTarget val="inner"/>
          <c:xMode val="edge"/>
          <c:yMode val="edge"/>
          <c:x val="0.171936076359459"/>
          <c:y val="0.184549293856479"/>
          <c:w val="0.633534626464615"/>
          <c:h val="0.572372487454805"/>
        </c:manualLayout>
      </c:layout>
      <c:barChart>
        <c:barDir val="col"/>
        <c:grouping val="clustered"/>
        <c:varyColors val="0"/>
        <c:ser>
          <c:idx val="0"/>
          <c:order val="0"/>
          <c:tx>
            <c:strRef>
              <c:f>DRAM!$CB$25</c:f>
              <c:strCache>
                <c:ptCount val="1"/>
                <c:pt idx="0">
                  <c:v>DDR5</c:v>
                </c:pt>
              </c:strCache>
            </c:strRef>
          </c:tx>
          <c:invertIfNegative val="0"/>
          <c:dLbls>
            <c:delete val="1"/>
          </c:dLbls>
          <c:cat>
            <c:numRef>
              <c:f>DRAM!$CA$111:$CA$200</c:f>
              <c:numCache>
                <c:formatCode>yyyy/m/d</c:formatCode>
                <c:ptCount val="90"/>
                <c:pt idx="0" c:formatCode="yyyy/m/d">
                  <c:v>45046</c:v>
                </c:pt>
                <c:pt idx="1" c:formatCode="yyyy/m/d">
                  <c:v>45077</c:v>
                </c:pt>
                <c:pt idx="2" c:formatCode="yyyy/m/d">
                  <c:v>45107</c:v>
                </c:pt>
                <c:pt idx="3" c:formatCode="yyyy/m/d">
                  <c:v>45138</c:v>
                </c:pt>
                <c:pt idx="4" c:formatCode="yyyy/m/d">
                  <c:v>45169</c:v>
                </c:pt>
                <c:pt idx="5" c:formatCode="yyyy/m/d">
                  <c:v>45199</c:v>
                </c:pt>
                <c:pt idx="6" c:formatCode="yyyy/m/d">
                  <c:v>45230</c:v>
                </c:pt>
                <c:pt idx="7" c:formatCode="yyyy/m/d">
                  <c:v>45260</c:v>
                </c:pt>
                <c:pt idx="8" c:formatCode="yyyy/m/d">
                  <c:v>45291</c:v>
                </c:pt>
                <c:pt idx="9" c:formatCode="yyyy/m/d">
                  <c:v>45322</c:v>
                </c:pt>
                <c:pt idx="10" c:formatCode="yyyy/m/d">
                  <c:v>45351</c:v>
                </c:pt>
                <c:pt idx="11" c:formatCode="yyyy/m/d">
                  <c:v>45382</c:v>
                </c:pt>
                <c:pt idx="12" c:formatCode="yyyy/m/d">
                  <c:v>45412</c:v>
                </c:pt>
                <c:pt idx="13" c:formatCode="yyyy/m/d">
                  <c:v>45443</c:v>
                </c:pt>
                <c:pt idx="14" c:formatCode="yyyy/m/d">
                  <c:v>45473</c:v>
                </c:pt>
                <c:pt idx="15" c:formatCode="yyyy/m/d">
                  <c:v>45504</c:v>
                </c:pt>
                <c:pt idx="16" c:formatCode="yyyy/m/d">
                  <c:v>45535</c:v>
                </c:pt>
                <c:pt idx="17" c:formatCode="yyyy/m/d">
                  <c:v>45565</c:v>
                </c:pt>
                <c:pt idx="18" c:formatCode="yyyy/m/d">
                  <c:v>45596</c:v>
                </c:pt>
                <c:pt idx="19" c:formatCode="yyyy/m/d">
                  <c:v>45626</c:v>
                </c:pt>
                <c:pt idx="20" c:formatCode="yyyy/m/d">
                  <c:v>45657</c:v>
                </c:pt>
                <c:pt idx="21" c:formatCode="yyyy/m/d">
                  <c:v>45688</c:v>
                </c:pt>
                <c:pt idx="22" c:formatCode="yyyy/m/d">
                  <c:v>45716</c:v>
                </c:pt>
                <c:pt idx="23" c:formatCode="yyyy/m/d">
                  <c:v>45747</c:v>
                </c:pt>
                <c:pt idx="24" c:formatCode="yyyy/m/d">
                  <c:v>45777</c:v>
                </c:pt>
                <c:pt idx="25" c:formatCode="yyyy/m/d">
                  <c:v>45808</c:v>
                </c:pt>
                <c:pt idx="26" c:formatCode="yyyy/m/d">
                  <c:v>45838</c:v>
                </c:pt>
                <c:pt idx="27" c:formatCode="yyyy/m/d">
                  <c:v>45869</c:v>
                </c:pt>
                <c:pt idx="28" c:formatCode="yyyy/m/d">
                  <c:v>45900</c:v>
                </c:pt>
                <c:pt idx="29" c:formatCode="yyyy/m/d">
                  <c:v>45930</c:v>
                </c:pt>
                <c:pt idx="30" c:formatCode="yyyy/m/d">
                  <c:v>45961</c:v>
                </c:pt>
                <c:pt idx="31" c:formatCode="yyyy/m/d">
                  <c:v>45991</c:v>
                </c:pt>
                <c:pt idx="32" c:formatCode="yyyy/m/d">
                  <c:v>46022</c:v>
                </c:pt>
                <c:pt idx="33" c:formatCode="yyyy/m/d">
                  <c:v>46053</c:v>
                </c:pt>
                <c:pt idx="34" c:formatCode="yyyy/m/d">
                  <c:v>46081</c:v>
                </c:pt>
                <c:pt idx="35" c:formatCode="yyyy/m/d">
                  <c:v>46112</c:v>
                </c:pt>
                <c:pt idx="36" c:formatCode="yyyy/m/d">
                  <c:v>46142</c:v>
                </c:pt>
                <c:pt idx="37" c:formatCode="yyyy/m/d">
                  <c:v>46173</c:v>
                </c:pt>
              </c:numCache>
            </c:numRef>
          </c:cat>
          <c:val>
            <c:numRef>
              <c:f>DRAM!$CP$111:$CP$200</c:f>
              <c:numCache>
                <c:formatCode>#,##0.00</c:formatCode>
                <c:ptCount val="90"/>
                <c:pt idx="0">
                  <c:v>158.881884881678</c:v>
                </c:pt>
                <c:pt idx="1">
                  <c:v>153.75</c:v>
                </c:pt>
                <c:pt idx="2">
                  <c:v>148.625</c:v>
                </c:pt>
                <c:pt idx="3">
                  <c:v>147.6</c:v>
                </c:pt>
                <c:pt idx="4">
                  <c:v>147.6</c:v>
                </c:pt>
                <c:pt idx="5">
                  <c:v>147.6</c:v>
                </c:pt>
                <c:pt idx="6">
                  <c:v>149.65</c:v>
                </c:pt>
                <c:pt idx="7">
                  <c:v>151.7</c:v>
                </c:pt>
                <c:pt idx="8">
                  <c:v>156.825</c:v>
                </c:pt>
                <c:pt idx="9">
                  <c:v>174.25</c:v>
                </c:pt>
                <c:pt idx="10">
                  <c:v>181.425</c:v>
                </c:pt>
                <c:pt idx="11">
                  <c:v>194.75</c:v>
                </c:pt>
                <c:pt idx="12">
                  <c:v>215.25</c:v>
                </c:pt>
                <c:pt idx="13">
                  <c:v>231.42</c:v>
                </c:pt>
                <c:pt idx="14">
                  <c:v>236.495</c:v>
                </c:pt>
                <c:pt idx="15">
                  <c:v>257.55</c:v>
                </c:pt>
                <c:pt idx="16">
                  <c:v>272.7</c:v>
                </c:pt>
                <c:pt idx="17">
                  <c:v>274.365</c:v>
                </c:pt>
                <c:pt idx="18">
                  <c:v>285</c:v>
                </c:pt>
                <c:pt idx="19">
                  <c:v>285</c:v>
                </c:pt>
                <c:pt idx="20">
                  <c:v>283</c:v>
                </c:pt>
                <c:pt idx="21">
                  <c:v>273</c:v>
                </c:pt>
                <c:pt idx="22">
                  <c:v>265</c:v>
                </c:pt>
                <c:pt idx="23">
                  <c:v>260</c:v>
                </c:pt>
                <c:pt idx="24">
                  <c:v>260</c:v>
                </c:pt>
                <c:pt idx="25">
                  <c:v>265</c:v>
                </c:pt>
                <c:pt idx="26">
                  <c:v>265</c:v>
                </c:pt>
                <c:pt idx="27">
                  <c:v>268</c:v>
                </c:pt>
                <c:pt idx="28">
                  <c:v>270</c:v>
                </c:pt>
                <c:pt idx="29">
                  <c:v>272</c:v>
                </c:pt>
                <c:pt idx="30">
                  <c:v>338</c:v>
                </c:pt>
                <c:pt idx="31">
                  <c:v>425</c:v>
                </c:pt>
                <c:pt idx="32">
                  <c:v>512</c:v>
                </c:pt>
                <c:pt idx="33">
                  <c:v>807</c:v>
                </c:pt>
                <c:pt idx="34">
                  <c:v>829</c:v>
                </c:pt>
                <c:pt idx="35">
                  <c:v>851</c:v>
                </c:pt>
                <c:pt idx="36">
                  <c:v>1223</c:v>
                </c:pt>
                <c:pt idx="37">
                  <c:v>1265</c:v>
                </c:pt>
              </c:numCache>
            </c:numRef>
          </c:val>
        </c:ser>
        <c:ser>
          <c:idx val="2"/>
          <c:order val="2"/>
          <c:tx>
            <c:strRef>
              <c:f>DRAM!$CC$25</c:f>
              <c:strCache>
                <c:ptCount val="1"/>
                <c:pt idx="0">
                  <c:v>DDR4</c:v>
                </c:pt>
              </c:strCache>
            </c:strRef>
          </c:tx>
          <c:invertIfNegative val="0"/>
          <c:dLbls>
            <c:delete val="1"/>
          </c:dLbls>
          <c:cat>
            <c:numRef>
              <c:f>DRAM!$CA$111:$CA$200</c:f>
              <c:numCache>
                <c:formatCode>yyyy/m/d</c:formatCode>
                <c:ptCount val="90"/>
                <c:pt idx="0" c:formatCode="yyyy/m/d">
                  <c:v>45046</c:v>
                </c:pt>
                <c:pt idx="1" c:formatCode="yyyy/m/d">
                  <c:v>45077</c:v>
                </c:pt>
                <c:pt idx="2" c:formatCode="yyyy/m/d">
                  <c:v>45107</c:v>
                </c:pt>
                <c:pt idx="3" c:formatCode="yyyy/m/d">
                  <c:v>45138</c:v>
                </c:pt>
                <c:pt idx="4" c:formatCode="yyyy/m/d">
                  <c:v>45169</c:v>
                </c:pt>
                <c:pt idx="5" c:formatCode="yyyy/m/d">
                  <c:v>45199</c:v>
                </c:pt>
                <c:pt idx="6" c:formatCode="yyyy/m/d">
                  <c:v>45230</c:v>
                </c:pt>
                <c:pt idx="7" c:formatCode="yyyy/m/d">
                  <c:v>45260</c:v>
                </c:pt>
                <c:pt idx="8" c:formatCode="yyyy/m/d">
                  <c:v>45291</c:v>
                </c:pt>
                <c:pt idx="9" c:formatCode="yyyy/m/d">
                  <c:v>45322</c:v>
                </c:pt>
                <c:pt idx="10" c:formatCode="yyyy/m/d">
                  <c:v>45351</c:v>
                </c:pt>
                <c:pt idx="11" c:formatCode="yyyy/m/d">
                  <c:v>45382</c:v>
                </c:pt>
                <c:pt idx="12" c:formatCode="yyyy/m/d">
                  <c:v>45412</c:v>
                </c:pt>
                <c:pt idx="13" c:formatCode="yyyy/m/d">
                  <c:v>45443</c:v>
                </c:pt>
                <c:pt idx="14" c:formatCode="yyyy/m/d">
                  <c:v>45473</c:v>
                </c:pt>
                <c:pt idx="15" c:formatCode="yyyy/m/d">
                  <c:v>45504</c:v>
                </c:pt>
                <c:pt idx="16" c:formatCode="yyyy/m/d">
                  <c:v>45535</c:v>
                </c:pt>
                <c:pt idx="17" c:formatCode="yyyy/m/d">
                  <c:v>45565</c:v>
                </c:pt>
                <c:pt idx="18" c:formatCode="yyyy/m/d">
                  <c:v>45596</c:v>
                </c:pt>
                <c:pt idx="19" c:formatCode="yyyy/m/d">
                  <c:v>45626</c:v>
                </c:pt>
                <c:pt idx="20" c:formatCode="yyyy/m/d">
                  <c:v>45657</c:v>
                </c:pt>
                <c:pt idx="21" c:formatCode="yyyy/m/d">
                  <c:v>45688</c:v>
                </c:pt>
                <c:pt idx="22" c:formatCode="yyyy/m/d">
                  <c:v>45716</c:v>
                </c:pt>
                <c:pt idx="23" c:formatCode="yyyy/m/d">
                  <c:v>45747</c:v>
                </c:pt>
                <c:pt idx="24" c:formatCode="yyyy/m/d">
                  <c:v>45777</c:v>
                </c:pt>
                <c:pt idx="25" c:formatCode="yyyy/m/d">
                  <c:v>45808</c:v>
                </c:pt>
                <c:pt idx="26" c:formatCode="yyyy/m/d">
                  <c:v>45838</c:v>
                </c:pt>
                <c:pt idx="27" c:formatCode="yyyy/m/d">
                  <c:v>45869</c:v>
                </c:pt>
                <c:pt idx="28" c:formatCode="yyyy/m/d">
                  <c:v>45900</c:v>
                </c:pt>
                <c:pt idx="29" c:formatCode="yyyy/m/d">
                  <c:v>45930</c:v>
                </c:pt>
                <c:pt idx="30" c:formatCode="yyyy/m/d">
                  <c:v>45961</c:v>
                </c:pt>
                <c:pt idx="31" c:formatCode="yyyy/m/d">
                  <c:v>45991</c:v>
                </c:pt>
                <c:pt idx="32" c:formatCode="yyyy/m/d">
                  <c:v>46022</c:v>
                </c:pt>
                <c:pt idx="33" c:formatCode="yyyy/m/d">
                  <c:v>46053</c:v>
                </c:pt>
                <c:pt idx="34" c:formatCode="yyyy/m/d">
                  <c:v>46081</c:v>
                </c:pt>
                <c:pt idx="35" c:formatCode="yyyy/m/d">
                  <c:v>46112</c:v>
                </c:pt>
                <c:pt idx="36" c:formatCode="yyyy/m/d">
                  <c:v>46142</c:v>
                </c:pt>
                <c:pt idx="37" c:formatCode="yyyy/m/d">
                  <c:v>46173</c:v>
                </c:pt>
              </c:numCache>
            </c:numRef>
          </c:cat>
          <c:val>
            <c:numRef>
              <c:f>DRAM!$CF$111:$CF$200</c:f>
              <c:numCache>
                <c:formatCode>#,##0.00</c:formatCode>
                <c:ptCount val="90"/>
                <c:pt idx="0">
                  <c:v>109</c:v>
                </c:pt>
                <c:pt idx="1">
                  <c:v>103</c:v>
                </c:pt>
                <c:pt idx="2">
                  <c:v>100</c:v>
                </c:pt>
                <c:pt idx="3">
                  <c:v>96</c:v>
                </c:pt>
                <c:pt idx="4">
                  <c:v>94</c:v>
                </c:pt>
                <c:pt idx="5">
                  <c:v>94</c:v>
                </c:pt>
                <c:pt idx="6">
                  <c:v>100</c:v>
                </c:pt>
                <c:pt idx="7">
                  <c:v>103</c:v>
                </c:pt>
                <c:pt idx="8">
                  <c:v>113</c:v>
                </c:pt>
                <c:pt idx="9">
                  <c:v>124</c:v>
                </c:pt>
                <c:pt idx="10">
                  <c:v>127</c:v>
                </c:pt>
                <c:pt idx="11">
                  <c:v>136</c:v>
                </c:pt>
                <c:pt idx="12">
                  <c:v>150</c:v>
                </c:pt>
                <c:pt idx="13">
                  <c:v>160</c:v>
                </c:pt>
                <c:pt idx="14">
                  <c:v>161.85</c:v>
                </c:pt>
                <c:pt idx="15">
                  <c:v>170.52</c:v>
                </c:pt>
                <c:pt idx="16">
                  <c:v>174</c:v>
                </c:pt>
                <c:pt idx="17">
                  <c:v>174</c:v>
                </c:pt>
                <c:pt idx="18">
                  <c:v>174</c:v>
                </c:pt>
                <c:pt idx="19">
                  <c:v>155</c:v>
                </c:pt>
                <c:pt idx="20">
                  <c:v>150</c:v>
                </c:pt>
                <c:pt idx="21">
                  <c:v>145</c:v>
                </c:pt>
                <c:pt idx="22">
                  <c:v>140</c:v>
                </c:pt>
                <c:pt idx="23">
                  <c:v>140</c:v>
                </c:pt>
                <c:pt idx="24">
                  <c:v>145</c:v>
                </c:pt>
                <c:pt idx="25">
                  <c:v>170</c:v>
                </c:pt>
                <c:pt idx="26">
                  <c:v>210</c:v>
                </c:pt>
                <c:pt idx="27">
                  <c:v>225</c:v>
                </c:pt>
                <c:pt idx="28">
                  <c:v>230</c:v>
                </c:pt>
                <c:pt idx="29">
                  <c:v>235</c:v>
                </c:pt>
                <c:pt idx="30">
                  <c:v>300</c:v>
                </c:pt>
                <c:pt idx="31">
                  <c:v>374</c:v>
                </c:pt>
                <c:pt idx="32">
                  <c:v>448</c:v>
                </c:pt>
                <c:pt idx="33">
                  <c:v>738</c:v>
                </c:pt>
                <c:pt idx="34">
                  <c:v>738</c:v>
                </c:pt>
                <c:pt idx="35">
                  <c:v>738</c:v>
                </c:pt>
                <c:pt idx="36">
                  <c:v>1127</c:v>
                </c:pt>
                <c:pt idx="37">
                  <c:v>1127</c:v>
                </c:pt>
              </c:numCache>
            </c:numRef>
          </c:val>
        </c:ser>
        <c:dLbls>
          <c:showLegendKey val="0"/>
          <c:showVal val="0"/>
          <c:showCatName val="0"/>
          <c:showSerName val="0"/>
          <c:showPercent val="0"/>
          <c:showBubbleSize val="0"/>
        </c:dLbls>
        <c:gapWidth val="66"/>
        <c:axId val="177450304"/>
        <c:axId val="206057648"/>
      </c:barChart>
      <c:lineChart>
        <c:grouping val="standard"/>
        <c:varyColors val="0"/>
        <c:ser>
          <c:idx val="1"/>
          <c:order val="1"/>
          <c:tx>
            <c:strRef>
              <c:f>"Premium"</c:f>
              <c:strCache>
                <c:ptCount val="1"/>
                <c:pt idx="0">
                  <c:v>Premium</c:v>
                </c:pt>
              </c:strCache>
            </c:strRef>
          </c:tx>
          <c:marker>
            <c:symbol val="square"/>
            <c:size val="3"/>
          </c:marker>
          <c:dLbls>
            <c:delete val="1"/>
          </c:dLbls>
          <c:val>
            <c:numRef>
              <c:f>DRAM!$CV$111:$CV$200</c:f>
              <c:numCache>
                <c:formatCode>0%</c:formatCode>
                <c:ptCount val="90"/>
                <c:pt idx="0">
                  <c:v>0.457631971391543</c:v>
                </c:pt>
                <c:pt idx="1">
                  <c:v>0.492718446601942</c:v>
                </c:pt>
                <c:pt idx="2">
                  <c:v>0.48625</c:v>
                </c:pt>
                <c:pt idx="3">
                  <c:v>0.5375</c:v>
                </c:pt>
                <c:pt idx="4">
                  <c:v>0.570212765957447</c:v>
                </c:pt>
                <c:pt idx="5">
                  <c:v>0.570212765957447</c:v>
                </c:pt>
                <c:pt idx="6">
                  <c:v>0.4965</c:v>
                </c:pt>
                <c:pt idx="7">
                  <c:v>0.472815533980582</c:v>
                </c:pt>
                <c:pt idx="8">
                  <c:v>0.387831858407079</c:v>
                </c:pt>
                <c:pt idx="9">
                  <c:v>0.405241935483871</c:v>
                </c:pt>
                <c:pt idx="10">
                  <c:v>0.428543307086614</c:v>
                </c:pt>
                <c:pt idx="11">
                  <c:v>0.431985294117647</c:v>
                </c:pt>
                <c:pt idx="12">
                  <c:v>0.435</c:v>
                </c:pt>
                <c:pt idx="13">
                  <c:v>0.446375</c:v>
                </c:pt>
                <c:pt idx="14">
                  <c:v>0.461198640716713</c:v>
                </c:pt>
                <c:pt idx="15">
                  <c:v>0.510380014074595</c:v>
                </c:pt>
                <c:pt idx="16">
                  <c:v>0.567241379310345</c:v>
                </c:pt>
                <c:pt idx="17">
                  <c:v>0.576810344827586</c:v>
                </c:pt>
                <c:pt idx="18">
                  <c:v>0.637931034482759</c:v>
                </c:pt>
                <c:pt idx="19">
                  <c:v>0.838709677419355</c:v>
                </c:pt>
                <c:pt idx="20">
                  <c:v>0.886666666666667</c:v>
                </c:pt>
                <c:pt idx="21">
                  <c:v>0.882758620689655</c:v>
                </c:pt>
                <c:pt idx="22">
                  <c:v>0.892857142857143</c:v>
                </c:pt>
                <c:pt idx="23">
                  <c:v>0.857142857142857</c:v>
                </c:pt>
                <c:pt idx="24">
                  <c:v>0.793103448275862</c:v>
                </c:pt>
                <c:pt idx="25">
                  <c:v>0.558823529411765</c:v>
                </c:pt>
                <c:pt idx="26">
                  <c:v>0.261904761904762</c:v>
                </c:pt>
                <c:pt idx="27">
                  <c:v>0.191111111111111</c:v>
                </c:pt>
                <c:pt idx="28">
                  <c:v>0.173913043478261</c:v>
                </c:pt>
                <c:pt idx="29">
                  <c:v>0.157446808510638</c:v>
                </c:pt>
                <c:pt idx="30">
                  <c:v>0.126666666666667</c:v>
                </c:pt>
                <c:pt idx="31">
                  <c:v>0.136363636363636</c:v>
                </c:pt>
                <c:pt idx="32">
                  <c:v>0.142857142857143</c:v>
                </c:pt>
                <c:pt idx="33">
                  <c:v>0.0934959349593496</c:v>
                </c:pt>
                <c:pt idx="34">
                  <c:v>0.123306233062331</c:v>
                </c:pt>
                <c:pt idx="35">
                  <c:v>0.153116531165312</c:v>
                </c:pt>
                <c:pt idx="36">
                  <c:v>0.0851818988464952</c:v>
                </c:pt>
                <c:pt idx="37">
                  <c:v>0.122448979591837</c:v>
                </c:pt>
              </c:numCache>
            </c:numRef>
          </c:val>
          <c:smooth val="0"/>
        </c:ser>
        <c:dLbls>
          <c:showLegendKey val="0"/>
          <c:showVal val="0"/>
          <c:showCatName val="0"/>
          <c:showSerName val="0"/>
          <c:showPercent val="0"/>
          <c:showBubbleSize val="0"/>
        </c:dLbls>
        <c:marker val="1"/>
        <c:smooth val="0"/>
        <c:axId val="177253104"/>
        <c:axId val="206075120"/>
      </c:lineChart>
      <c:dateAx>
        <c:axId val="177450304"/>
        <c:scaling>
          <c:orientation val="minMax"/>
        </c:scaling>
        <c:delete val="0"/>
        <c:axPos val="b"/>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57648"/>
        <c:crosses val="autoZero"/>
        <c:auto val="0"/>
        <c:lblOffset val="100"/>
        <c:baseTimeUnit val="months"/>
      </c:dateAx>
      <c:valAx>
        <c:axId val="206057648"/>
        <c:scaling>
          <c:orientation val="minMax"/>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450304"/>
        <c:crosses val="autoZero"/>
        <c:crossBetween val="between"/>
      </c:valAx>
      <c:catAx>
        <c:axId val="177253104"/>
        <c:scaling>
          <c:orientation val="minMax"/>
        </c:scaling>
        <c:delete val="1"/>
        <c:axPos val="b"/>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75120"/>
        <c:crosses val="autoZero"/>
        <c:auto val="1"/>
        <c:lblAlgn val="ctr"/>
        <c:lblOffset val="100"/>
        <c:noMultiLvlLbl val="0"/>
      </c:catAx>
      <c:valAx>
        <c:axId val="206075120"/>
        <c:scaling>
          <c:orientation val="minMax"/>
        </c:scaling>
        <c:delete val="0"/>
        <c:axPos val="r"/>
        <c:majorGridlines>
          <c:spPr>
            <a:ln w="12700" cap="flat" cmpd="sng" algn="ctr">
              <a:solidFill>
                <a:schemeClr val="bg1">
                  <a:lumMod val="85000"/>
                </a:schemeClr>
              </a:solidFill>
              <a:prstDash val="solid"/>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Premium of DDR5 over DDR4</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253104"/>
        <c:crosses val="max"/>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8114900f-4e30-4e36-8ae7-4406549627e4}"/>
      </c:ext>
    </c:extLst>
  </c:chart>
  <c:spPr>
    <a:solidFill>
      <a:srgbClr val="FFFFFF"/>
    </a:solidFill>
    <a:ln w="25400" cap="flat" cmpd="sng" algn="ctr">
      <a:solidFill>
        <a:srgbClr xmlns:mc="http://schemas.openxmlformats.org/markup-compatibility/2006" xmlns:a14="http://schemas.microsoft.com/office/drawing/2010/main" val="FFFFFF" mc:Ignorable="a14" a14:legacySpreadsheetColorIndex="9"/>
      </a:solidFill>
      <a:prstDash val="solid"/>
      <a:round/>
      <a:headEnd type="none" w="med" len="med"/>
      <a:tailEnd type="none" w="med" len="med"/>
    </a:ln>
    <a:effectLst/>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Mobile DRAM Package (Discrete </a:t>
            </a:r>
            <a:r>
              <a:rPr lang="en-US" sz="1000" b="1" i="0" u="none" strike="noStrike" baseline="0">
                <a:effectLst/>
              </a:rPr>
              <a:t>LPDDR5(X) 12GB</a:t>
            </a:r>
            <a:r>
              <a:rPr lang="en-US"/>
              <a:t>) Contract Price &amp; QoQ  </a:t>
            </a:r>
            <a:endParaRPr lang="en-US"/>
          </a:p>
        </c:rich>
      </c:tx>
      <c:layout>
        <c:manualLayout>
          <c:xMode val="edge"/>
          <c:yMode val="edge"/>
          <c:x val="0.141994841208979"/>
          <c:y val="0.0274509818048985"/>
        </c:manualLayout>
      </c:layout>
      <c:overlay val="0"/>
    </c:title>
    <c:autoTitleDeleted val="0"/>
    <c:plotArea>
      <c:layout>
        <c:manualLayout>
          <c:layoutTarget val="inner"/>
          <c:xMode val="edge"/>
          <c:yMode val="edge"/>
          <c:x val="0.134848791025016"/>
          <c:y val="0.206687719552688"/>
          <c:w val="0.691452512020068"/>
          <c:h val="0.571221183600783"/>
        </c:manualLayout>
      </c:layout>
      <c:barChart>
        <c:barDir val="col"/>
        <c:grouping val="clustered"/>
        <c:varyColors val="0"/>
        <c:ser>
          <c:idx val="0"/>
          <c:order val="0"/>
          <c:tx>
            <c:strRef>
              <c:f>DRAM!$EA$25</c:f>
              <c:strCache>
                <c:ptCount val="1"/>
                <c:pt idx="0">
                  <c:v>Price</c:v>
                </c:pt>
              </c:strCache>
            </c:strRef>
          </c:tx>
          <c:spPr>
            <a:ln>
              <a:solidFill>
                <a:schemeClr val="tx1"/>
              </a:solidFill>
            </a:ln>
          </c:spPr>
          <c:invertIfNegative val="0"/>
          <c:dLbls>
            <c:delete val="1"/>
          </c:dLbls>
          <c:cat>
            <c:strRef>
              <c:f>DRAM!$EA$47:$EA$64</c:f>
              <c:strCache>
                <c:ptCount val="18"/>
                <c:pt idx="0" c:formatCode="yyyy/m/d">
                  <c:v>1Q22</c:v>
                </c:pt>
                <c:pt idx="1" c:formatCode="yyyy/m/d">
                  <c:v>2Q22</c:v>
                </c:pt>
                <c:pt idx="2" c:formatCode="yyyy/m/d">
                  <c:v>3Q22</c:v>
                </c:pt>
                <c:pt idx="3" c:formatCode="yyyy/m/d">
                  <c:v>4Q22</c:v>
                </c:pt>
                <c:pt idx="4" c:formatCode="yyyy/m/d">
                  <c:v>1Q23</c:v>
                </c:pt>
                <c:pt idx="5" c:formatCode="yyyy/m/d">
                  <c:v>2Q23</c:v>
                </c:pt>
                <c:pt idx="6" c:formatCode="yyyy/m/d">
                  <c:v>3Q23</c:v>
                </c:pt>
                <c:pt idx="7" c:formatCode="yyyy/m/d">
                  <c:v>4Q23</c:v>
                </c:pt>
                <c:pt idx="8" c:formatCode="yyyy/m/d">
                  <c:v>1Q24</c:v>
                </c:pt>
                <c:pt idx="9" c:formatCode="yyyy/m/d">
                  <c:v>2Q24</c:v>
                </c:pt>
                <c:pt idx="10" c:formatCode="yyyy/m/d">
                  <c:v>3Q24</c:v>
                </c:pt>
                <c:pt idx="11" c:formatCode="yyyy/m/d">
                  <c:v>4Q24</c:v>
                </c:pt>
                <c:pt idx="12" c:formatCode="yyyy/m/d">
                  <c:v>1Q25</c:v>
                </c:pt>
                <c:pt idx="13" c:formatCode="yyyy/m/d">
                  <c:v>2Q25</c:v>
                </c:pt>
                <c:pt idx="14" c:formatCode="yyyy/m/d">
                  <c:v>3Q25</c:v>
                </c:pt>
                <c:pt idx="15" c:formatCode="yyyy/m/d">
                  <c:v>4Q25</c:v>
                </c:pt>
                <c:pt idx="16" c:formatCode="yyyy/m/d">
                  <c:v>1Q26</c:v>
                </c:pt>
                <c:pt idx="17" c:formatCode="yyyy/m/d">
                  <c:v>2Q26</c:v>
                </c:pt>
              </c:strCache>
            </c:strRef>
          </c:cat>
          <c:val>
            <c:numRef>
              <c:f>DRAM!$ED$47:$ED$64</c:f>
              <c:numCache>
                <c:formatCode>0.0</c:formatCode>
                <c:ptCount val="18"/>
                <c:pt idx="0">
                  <c:v>42.6</c:v>
                </c:pt>
                <c:pt idx="1">
                  <c:v>42.2</c:v>
                </c:pt>
                <c:pt idx="2">
                  <c:v>38.3863080684597</c:v>
                </c:pt>
                <c:pt idx="3">
                  <c:v>28.8672350791717</c:v>
                </c:pt>
                <c:pt idx="4">
                  <c:v>23.7349397590361</c:v>
                </c:pt>
                <c:pt idx="5">
                  <c:v>19.6955280685062</c:v>
                </c:pt>
                <c:pt idx="6">
                  <c:v>20.6521739130435</c:v>
                </c:pt>
                <c:pt idx="7">
                  <c:v>24.7395833333333</c:v>
                </c:pt>
                <c:pt idx="8">
                  <c:v>28.4259259259259</c:v>
                </c:pt>
                <c:pt idx="9">
                  <c:v>30.0934579439252</c:v>
                </c:pt>
                <c:pt idx="10">
                  <c:v>29.8924731182796</c:v>
                </c:pt>
                <c:pt idx="11">
                  <c:v>27.8008298755187</c:v>
                </c:pt>
                <c:pt idx="12">
                  <c:v>26.8767377201112</c:v>
                </c:pt>
                <c:pt idx="13">
                  <c:v>28.9335664335664</c:v>
                </c:pt>
                <c:pt idx="14">
                  <c:v>33.0021291696238</c:v>
                </c:pt>
                <c:pt idx="15">
                  <c:v>47.9704797047971</c:v>
                </c:pt>
                <c:pt idx="16">
                  <c:v>76.0821309655938</c:v>
                </c:pt>
                <c:pt idx="17">
                  <c:v>137.1</c:v>
                </c:pt>
              </c:numCache>
            </c:numRef>
          </c:val>
        </c:ser>
        <c:dLbls>
          <c:showLegendKey val="0"/>
          <c:showVal val="0"/>
          <c:showCatName val="0"/>
          <c:showSerName val="0"/>
          <c:showPercent val="0"/>
          <c:showBubbleSize val="0"/>
        </c:dLbls>
        <c:gapWidth val="66"/>
        <c:axId val="177450304"/>
        <c:axId val="206057648"/>
      </c:barChart>
      <c:lineChart>
        <c:grouping val="standard"/>
        <c:varyColors val="0"/>
        <c:ser>
          <c:idx val="1"/>
          <c:order val="1"/>
          <c:tx>
            <c:strRef>
              <c:f>DRAM!$EJ$26</c:f>
              <c:strCache>
                <c:ptCount val="1"/>
                <c:pt idx="0">
                  <c:v>QoQ</c:v>
                </c:pt>
              </c:strCache>
            </c:strRef>
          </c:tx>
          <c:spPr>
            <a:ln w="12700" cap="rnd" cmpd="sng" algn="ctr">
              <a:solidFill>
                <a:schemeClr val="accent2"/>
              </a:solidFill>
              <a:prstDash val="solid"/>
              <a:round/>
            </a:ln>
          </c:spPr>
          <c:marker>
            <c:symbol val="square"/>
            <c:size val="3"/>
          </c:marker>
          <c:dLbls>
            <c:delete val="1"/>
          </c:dLbls>
          <c:val>
            <c:numRef>
              <c:f>DRAM!$EL$47:$EL$64</c:f>
              <c:numCache>
                <c:formatCode>0.0%</c:formatCode>
                <c:ptCount val="18"/>
                <c:pt idx="0">
                  <c:v>-0.077</c:v>
                </c:pt>
                <c:pt idx="1">
                  <c:v>-0.00938967136150226</c:v>
                </c:pt>
                <c:pt idx="2">
                  <c:v>-0.0903718467189656</c:v>
                </c:pt>
                <c:pt idx="3">
                  <c:v>-0.247980946026672</c:v>
                </c:pt>
                <c:pt idx="4">
                  <c:v>-0.177789639570942</c:v>
                </c:pt>
                <c:pt idx="5">
                  <c:v>-0.170188411326897</c:v>
                </c:pt>
                <c:pt idx="6">
                  <c:v>0.0485717286284395</c:v>
                </c:pt>
                <c:pt idx="7">
                  <c:v>0.197916666666667</c:v>
                </c:pt>
                <c:pt idx="8">
                  <c:v>0.149005847953216</c:v>
                </c:pt>
                <c:pt idx="9">
                  <c:v>0.0586623641511157</c:v>
                </c:pt>
                <c:pt idx="10">
                  <c:v>-0.00667868830561669</c:v>
                </c:pt>
                <c:pt idx="11">
                  <c:v>-0.069972237977253</c:v>
                </c:pt>
                <c:pt idx="12">
                  <c:v>-0.0332397327542086</c:v>
                </c:pt>
                <c:pt idx="13">
                  <c:v>0.0765282131661442</c:v>
                </c:pt>
                <c:pt idx="14">
                  <c:v>0.140617394865549</c:v>
                </c:pt>
                <c:pt idx="15">
                  <c:v>0.453557116216323</c:v>
                </c:pt>
                <c:pt idx="16">
                  <c:v>0.586019807051993</c:v>
                </c:pt>
                <c:pt idx="17">
                  <c:v>0.802</c:v>
                </c:pt>
              </c:numCache>
            </c:numRef>
          </c:val>
          <c:smooth val="0"/>
        </c:ser>
        <c:dLbls>
          <c:showLegendKey val="0"/>
          <c:showVal val="0"/>
          <c:showCatName val="0"/>
          <c:showSerName val="0"/>
          <c:showPercent val="0"/>
          <c:showBubbleSize val="0"/>
        </c:dLbls>
        <c:marker val="1"/>
        <c:smooth val="0"/>
        <c:axId val="177253104"/>
        <c:axId val="206075120"/>
      </c:lineChart>
      <c:catAx>
        <c:axId val="177450304"/>
        <c:scaling>
          <c:orientation val="minMax"/>
        </c:scaling>
        <c:delete val="0"/>
        <c:axPos val="b"/>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57648"/>
        <c:crosses val="autoZero"/>
        <c:auto val="1"/>
        <c:lblAlgn val="ctr"/>
        <c:lblOffset val="100"/>
        <c:tickLblSkip val="1"/>
        <c:noMultiLvlLbl val="0"/>
      </c:catAx>
      <c:valAx>
        <c:axId val="206057648"/>
        <c:scaling>
          <c:orientation val="minMax"/>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450304"/>
        <c:crosses val="autoZero"/>
        <c:crossBetween val="between"/>
      </c:valAx>
      <c:catAx>
        <c:axId val="177253104"/>
        <c:scaling>
          <c:orientation val="minMax"/>
        </c:scaling>
        <c:delete val="1"/>
        <c:axPos val="b"/>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75120"/>
        <c:crosses val="autoZero"/>
        <c:auto val="1"/>
        <c:lblAlgn val="ctr"/>
        <c:lblOffset val="100"/>
        <c:noMultiLvlLbl val="0"/>
      </c:catAx>
      <c:valAx>
        <c:axId val="206075120"/>
        <c:scaling>
          <c:orientation val="minMax"/>
        </c:scaling>
        <c:delete val="0"/>
        <c:axPos val="r"/>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QoQ</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253104"/>
        <c:crosses val="max"/>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6a595292-9426-4424-a6fb-b680c06f2458}"/>
      </c:ext>
    </c:extLst>
  </c:chart>
  <c:spPr>
    <a:solidFill>
      <a:srgbClr val="FFFFFF"/>
    </a:solidFill>
    <a:ln w="25400" cap="flat" cmpd="sng" algn="ctr">
      <a:solidFill>
        <a:srgbClr val="FFFFFF"/>
      </a:solidFill>
      <a:prstDash val="solid"/>
      <a:round/>
    </a:ln>
    <a:effectLst/>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960" b="1" i="0" u="none" strike="noStrike" kern="1200" baseline="0">
                <a:solidFill>
                  <a:schemeClr val="tx1"/>
                </a:solidFill>
                <a:latin typeface="Arial" panose="020B0604020202090204"/>
                <a:ea typeface="Arial" panose="020B0604020202090204"/>
                <a:cs typeface="Arial" panose="020B0604020202090204"/>
              </a:defRPr>
            </a:pPr>
            <a:r>
              <a:rPr lang="en-US"/>
              <a:t>PC DRAM Chip (DDR5 16Gb) Spot &amp; Contract Price</a:t>
            </a:r>
            <a:endParaRPr lang="en-US"/>
          </a:p>
        </c:rich>
      </c:tx>
      <c:layout/>
      <c:overlay val="1"/>
    </c:title>
    <c:autoTitleDeleted val="0"/>
    <c:plotArea>
      <c:layout>
        <c:manualLayout>
          <c:layoutTarget val="inner"/>
          <c:xMode val="edge"/>
          <c:yMode val="edge"/>
          <c:x val="0.0783673365589036"/>
          <c:y val="0.134160166598893"/>
          <c:w val="0.88874325731287"/>
          <c:h val="0.56200422827656"/>
        </c:manualLayout>
      </c:layout>
      <c:areaChart>
        <c:grouping val="stacked"/>
        <c:varyColors val="0"/>
        <c:ser>
          <c:idx val="2"/>
          <c:order val="0"/>
          <c:tx>
            <c:strRef>
              <c:f>"Spot vs. Contract"</c:f>
              <c:strCache>
                <c:ptCount val="1"/>
                <c:pt idx="0">
                  <c:v>Spot vs. Contract</c:v>
                </c:pt>
              </c:strCache>
            </c:strRef>
          </c:tx>
          <c:spPr>
            <a:solidFill>
              <a:schemeClr val="accent1"/>
            </a:solidFill>
          </c:spPr>
          <c:dLbls>
            <c:delete val="1"/>
          </c:dLbls>
          <c:val>
            <c:numRef>
              <c:f>{0.00667838312829505,0.0149384885764499,0.0413005272407732,0.0588752196836555,0.0632688927943761,0.0764499121265376,0.0852372583479788,0.0984182776801406,0.107205623901582,0.115992970123023,0.124780316344464,0.142355008787346,0.151142355008787,0.168717047451669,0.169595782073814,0.178383128295255,0.17908611599297,0.187170474516696,0.170740103270224,0.178657487091222,0.190361445783133,0.190877796901893,0.191910499139415,0.192254733218589,0.192254733218589,0.192254733218589,0.192254733218589,0.192254733218589,0.192254733218589,0.192254733218589,0.192254733218589,0.192254733218589,0.186230636833047,0.186230636833047,0.186230636833047,0.178829604130809,0.178829604130809,0.178829604130809,0.178829604130809,0.178829604130809,0.178829604130809,0.181927710843374,0.18382099827883,0.185197934595525,0.185197934595525,0.185197934595525,0.185197934595525,0.185197934595525,0.167641996557659,0.169363166953528,0.174010327022375,0.174354561101549,0.174354561101549,0.174698795180723,0.176247848537005,0.176247848537005,0.166953528399312,0.167469879518072,0.168674698795181,0.0446153846153847,0.0446153846153847,0.0446153846153847,0.0481538461538462,0.0492307692307692,0.05,0.05,0.05,0.05,0.05,0.05,0.0493846153846154,0.0332307692307692,0.0256923076923077,0.0183076923076924,0.0107692307692309,-0.00461538461538469,-0.00769230769230766,-0.00769230769230766,-0.00769230769230766,-0.00769230769230766,-0.00769230769230766,-0.0115384615384616,-0.0192307692307693,-0.0187692307692308,-0.0187692307692308,-0.0187692307692308,-0.0187692307692308,-0.0181538461538462,-0.0175384615384615,-0.0175384615384615,-0.0175384615384615,-0.0175384615384615,-0.0175384615384615,-0.0175384615384615,-0.0167692307692308,-0.0167692307692308,-0.0167692307692308,-0.0167692307692308,-0.0167692307692308,-0.0167692307692308,-0.0167692307692308,-0.0167692307692308,-0.0175384615384615,-0.0175384615384615,-0.0175384615384615,-0.0175384615384615,-0.0146153846153846,-0.0135384615384615,-0.0135384615384615,-0.0107692307692309,-0.00861538461538458,-0.00784615384615384,-0.00646153846153841,0.00184615384615383,0.00461538461538469,0.00492307692307703,0.00661538461538469,0.00676923076923064,0.0070769230769232,-0.0387665198237884,-0.0368575624082231,-0.00646108663729805,-0.00587371512481649,-0.00323054331864892,-0.00220264317180607,-0.00220264317180607,-0.00220264317180607,0.0198237885462555,0.0290748898678415,0.0348017621145376,0.0402349486049927,0.0441997063142439,0.0572687224669604,0.0602055800293686,0.0602055800293686,0.0602055800293686,0.064610866372981,0.064610866372981,0.0772393538913363,0.0772393538913363,0.0772393538913363,0.0759177679882526,0.0759177679882526,0.0691629955947137,0.0691629955947137,0.0691629955947137,0.0691629955947137,0.0691629955947137,0.0687224669603523,0.0687224669603523,0.0687224669603523,0.0650513950073421,0.064610866372981,0.0644640234948606,0.0641703377386198,0.0641703377386198,0.0647577092511014,0.0650513950073421,0.0650513950073421,0.0669603524229077,0.0684287812041116,0.07136563876652,0.07136563876652,0.0784140969162996,0.0784140969162996,0.0798825256975038,0.0812041116005875,0.0856093979441996,0.0925110132158591,0.103083700440529,0.1071953010279,0.118208516886931,0.123348017621145,0.127459618208517,0.130690161527166,0.137591776798825,0.13935389133627,0.160205580029369,0.167400881057269,0.181938325991189,0.209985315712188,0.222466960352423,0.22511013215859,0.233627019089574,0.162106703146375,0.188372093023256,0.202462380300958,0.208891928864569,0.211901504787962,0.217510259917921,0.231190150478796,0.243912448700411,0.245280437756498,0.260601915184679,0.282489740082079,0.298221614227086,0.299589603283174,0.326949384404925,0.326949384404925,0.314090287277702,0.305061559507524,0.299863201094391,0.304240766073872,0.306976744186047,0.309575923392613,0.309986320109439,0.318057455540356,0.321203830369357,0.321614227086183,0.32202462380301,0.313269493844049,0.310533515731874,0.304924760601915,0.301367989056088,0.300957592339261,0.300136798905609,0.299863201094391,0.299452804377565,0.300547195622435,0.297127222982216,0.30984952120383,0.309986320109439,0.312585499316006,0.312585499316006,0.30984952120383,0.278133333333333,0.2832,0.2872,0.288,0.289066666666667,0.290266666666667,0.290266666666667,0.291066666666667,0.291333333333333,0.291466666666667,0.2888,0.284266666666667,0.282666666666667,0.282666666666667,0.282666666666667,0.282666666666667,0.282666666666667,0.282666666666667,0.282666666666667,0.282666666666667,0.282666666666667,0.278133333333333,0.278933333333333,0.278933333333333,0.278933333333333,0.281066666666667,0.286533333333333,0.286533333333333,0.286666666666667,0.286666666666667,0.286666666666667,0.286666666666667,0.286666666666667,0.286666666666667,0.286666666666667,0.277733333333333,0.274266666666667,0.273333333333333,0.273333333333333,0.277733333333333,0.277733333333333,0.277733333333333,0.2644,0.187153652392947,0.182619647355164,0.179345088161209,0.175314861460957,0.173803526448363,0.168765743073048,0.168765743073048,0.16712846347607,0.166876574307305,0.166750629722922,0.166750629722922,0.166750629722922,0.162846347607053,0.161335012594458,0.156549118387909,0.155793450881612,0.154911838790932,0.154785894206549,0.154282115869018,0.152015113350126,0.151259445843829,0.148488664987406,0.148488664987406,0.140680100755668,0.13816120906801,0.135642317380352,0.134130982367758,0.133627204030227,0.131360201511335,0.133501259445844,0.13551637279597,0.137027707808564,0.137027707808564,0.137531486146096,0.138539042821159,0.141813602015113,0.142065491183879,0.140680100755668,0.140680100755668,0.137783375314861,0.103052503052503,0.103052503052503,0.103052503052503,0.103663003663004,0.103052503052503,0.103052503052503,0.0992673992673994,0.0990231990231991,0.0974358974358975,0.0941391941391942,0.0941391941391942,0.0941391941391942,0.0926739926739928,0.0926739926739928,0.0909645909645911,0.0897435897435899,0.084859584859585,0.0844932844932844,0.0840048840048842,0.0840048840048842,0.0840048840048842,0.0840048840048842,0.0842490842490844,0.0842490842490844,0.0842490842490844,0.0842490842490844,0.0842490842490844,0.0842490842490844,0.0813186813186815,0.0769230769230771,0.0744810744810747,0.0744810744810747,0.0744810744810747,0.0661782661782662,0.0648351648351648,0.0612942612942613,0.0584859584859585,0.0584859584859585,0.0538461538461539,0.0538461538461539,0.0533577533577536,0.0532356532356533,0.0532356532356533,0.052991452991453,0.0528693528693529,0.0526251526251527,0.0522588522588523,0.0518925518925519,0.051770451770452,0.0515262515262516,0.0514041514041514,0.0511599511599512,0.0511599511599512,0.0503052503052503,0.0456654456654457,0.0448107448107449,0.0440781440781441,0.0417582417582418,0.0113553113553113,-0.00525030525030512,-0.0152625152625152,-0.0175824175824176,-0.0181929181929181,-0.0211233211233212,-0.0218559218559219,-0.0218559218559219,-0.0188034188034188,-0.0188034188034188,-0.0188034188034188,-0.0102564102564102,-0.0133089133089133,-0.0145299145299145,-0.0217338217338217,-0.0257631257631257,-0.0278388278388279,-0.0293040293040292,-0.0313797313797314,-0.0317460317460317,-0.0326007326007325,-0.0326007326007325,-0.0354090354090353,-0.0354090354090353,-0.0354090354090353,-0.0357753357753356,-0.0362637362637362,-0.036996336996337,-0.039072039072039,-0.0411477411477411,-0.0418803418803417,-0.0427350427350427,-0.0467643467643467,-0.05006105006105,-0.0525030525030524,-0.0533577533577533,-0.0561660561660561,-0.0601953601953601,-0.0692307692307691,-0.0699633699633699,-0.0721611721611721,-0.0747252747252747,-0.0777777777777777,-0.0777777777777777,-0.0792429792429792,-0.0813186813186813,-0.0818070818070818,-0.0855921855921855,-0.0864468864468864,-0.0875457875457875,-0.0881562881562881,-0.0888888888888889,-0.0979242979242979,-0.0984126984126983,-0.0998778998778999,-0.1003663003663,-0.100854700854701,-0.0993894993894993,-0.0993894993894993,-0.0993894993894993,-0.0993894993894993,-0.1003663003663,-0.102686202686203,-0.102686202686203,-0.103663003663004,-0.112332112332112,-0.119536019536019,-0.0142270861833105,-0.014500683994528,-0.015047879616963,-0.015047879616963,-0.015047879616963,-0.015047879616963,-0.0166894664842681,-0.0175102599179205,-0.0218878248974007,-0.0251709986320109,-0.0272229822161423,-0.0283173734610123,-0.0326949384404924,-0.0343365253077975,-0.0343365253077975,-0.0348837209302325,-0.0348837209302325,-0.0461012311901504,-0.0466484268125854,-0.0471956224350205,-0.0471956224350205,-0.0497948016415869,-0.0522571819425445,-0.0375521557719055,-0.0385257301808067,-0.0385257301808067,-0.0390820584144647,-0.0458970792767733,-0.0527121001390821,-0.0534075104311544,-0.0543810848400557,-0.0559109874826148,-0.0559109874826148,-0.0575799721835883,-0.0575799721835883,-0.0585535465924896,-0.0585535465924896,-0.0585535465924896,-0.0611961057023644,-0.0611961057023644,-0.0663421418636996,-0.0663421418636996,-0.0680111265646732,-0.0694019471488179,-0.0720445062586927,-0.0819310344827586,-0.0897931034482758,-0.0951724137931035,-0.0977931034482759,-0.0993103448275862,-0.1,-0.1,-0.103034482758621,-0.103034482758621,-0.104689655172414,-0.107310344827586,-0.107310344827586,-0.115172413793103,-0.116689655172414,-0.119862068965517,-0.121379310344828,-0.123034482758621,-0.123448275862069,-0.123862068965517,-0.123862068965517,0.0586666666666666,0.0489999999999999,0.0330000000000001,0.0296666666666667,0.0265,0.02,0.0188333333333335,0.0183333333333333,0.0178333333333334,0.0165,0.000333333333333297,-0.00283333333333335,-0.00649999999999995,-0.00716666666666665,-0.00783333333333325,-0.00783333333333325,-0.00800000000000001,-0.00800000000000001,-0.0086666666666666,-0.00900000000000001,-0.00900000000000001,-0.0096666666666666,0.158284600389864,0.157894736842105,0.157504873294347,0.15458089668616,0.14327485380117,0.139571150097466,0.135672514619883,0.131968810916179,0.125146198830409,0.12280701754386,0.12046783625731,0.117543859649123,0.0984405458089668,0.0863547758284602,0.0729044834307992,0.20109649122807,0.195833333333334,0.195175438596491,0.173245614035088,0.173245614035088,0.17171052631579,0.151315789473684,0.137938596491228,0.132894736842105,0.116008771929825,0.113377192982456,0.113377192982456,0.104824561403509,0.0734649122807018,0.0651315789473685,0.0407894736842107,0.0392543859649124,0.0166666666666668,0.00964912280701768,0.00526315789473686,0.00307017543859645,0.1335,0.1285,0.121,0.1135,0.1125,0.0985,0.0867500000000001,0.08125,0.0762499999999999,0.073,0.0629999999999999,0.0585,0.0549999999999999,0.0475000000000001,0.04,0.0269999999999999,0.022,0.00800000000000001,-0.004,-0.0115,-0.013,0.0405333333333333,0.0325333333333333,0.0271999999999999,0.0202666666666667,0.0138666666666667,0.0114666666666667,0.00826666666666664,0.00746666666666673,0.0066666666666666,0.00426666666666664,-0.000533333333333275,-0.0026666666666666,-0.00639999999999996,-0.0079999999999999,-0.0165333333333333,-0.0207999999999999,-0.0224,-0.0245333333333334,-0.0325333333333333,-0.0357333333333333,-0.0376,-0.0397333333333333,0.0854984894259818,0.0854984894259818,0.0809667673716012,0.066465256797583,0.0561933534743202,0.0410876132930513,0.0350453172205438,0.0332326283987916,0.0290030211480363,0.0277945619335347,0.0235649546827794,0.0126888217522658,0.00543806646525669,-0.0102719033232629,-0.0135951661631419,-0.0247734138972809,-0.0283987915407855,-0.0456193353474321,-0.0507552870090635,0.0639455782312925,0.0564625850340137,0.0517006802721089,0.0428571428571429,0.0306122448979591,0.0238095238095237,0.0224489795918368,0.0346938775510204,0.0544217687074831,0.109183673469388,0.143197278911565,0.201360544217687,0.212244897959184,0.22312925170068,0.270748299319728,0.270748299319728,0.256122448979592,0.246258503401361,0.239115646258503,0.236734693877551,0.235714285714286,0.235714285714286,0.235714285714286,0.23469387755102,0.235714285714286,0.235714285714286,0.237074829931973,0.237074829931973,0.230272108843537,0.218707482993197,0.216666666666667,0.209863945578231,0.206462585034014,0.205102040816327,0.199659863945578,0.198299319727891,0.196258503401361,0.19047619047619,0.189455782312925,0.18265306122449,0.180272108843538,0.177891156462585,0.162244897959184,0.156462585034014,0.154081632653061,0.150680272108844,0.146258503401361,0.142857142857143,0.131632653061224,0.12687074829932,0.123469387755102,0.112244897959184,0.108843537414966,0.106462585034014,0.104421768707483,0.103061224489796,0.102040816326531,0.101020408163265,0.0986394557823129,0.0976190476190475,0.0894557823129252,0.08843537414966,0.0874149659863945,0.0850340136054422,0.0826530612244898,0.128113879003559,0.112811387900356,0.109252669039146,0.100711743772242,0.095017793594306,0.0864768683274022,0.0914590747330961,0.0914590747330961,0.090035587188612,0.090035587188612,0.0864768683274022,0.0736654804270462,0.0665480427046263,0.0640569395017794,0.0558718861209964,0.0523131672597863,0.0462633451957295,0.0402135231316727,0.0345195729537366,0.0327402135231316,0.0295373665480425,0.0284697508896798,0.0259786476868327,0.0249110320284698,0.0238434163701067,0.0213523131672597,0.0202846975088968,0.0188612099644128,0.0153024911032029,0.0131672597864769,0.00818505338078301,0.00711743772241991,0.00711743772241991,0.00249110320284696,-0.00249110320284707,-0.00604982206405691,-0.00604982206405691,-0.0131672597864768,-0.0188612099644128,-0.0202846975088967,-0.0220640569395018,-0.0224199288256228,-0.0224199288256228,-0.0224199288256228,-0.0224199288256228,-0.0231316725978647,-0.0277580071174377,-0.0277580071174377,-0.0249110320284697,-0.0256227758007118,-0.0188612099644128,-0.00960854092526697,0.0188612099644128,0.0569395017793595,0.0736654804270462,0.0736654804270462,0.0758007117437722,0.0772241992882563,0.0772241992882563,0.0772241992882563,0.0772241992882563,0.0775800711743773,0.0782918149466192,0.0782918149466192,0.0782918149466192,0.0782918149466192,0.0669014084507042,0.073943661971831,0.0820422535211267,0.101056338028169,0.108098591549296,0.112676056338028,0.120774647887324,0.126760563380282,0.13274647887324,0.150352112676056,0.172535211267606,0.177112676056338,0.179577464788732,0.18556338028169,0.189084507042254,0.189084507042254,0.208802816901408,0.194444444444444,0.210763888888889,0.196875,0.189930555555556,0.185069444444445,0.185069444444445,0.185069444444445,0.185069444444445,0.185069444444445,0.185069444444445,0.178125,0.173611111111111,0.151736111111111,0.151736111111111,0.151736111111111,0.151736111111111,0.160763888888889,0.164236111111111,0.186458333333333,0.189930555555556,0.172448979591837,0.196258503401361,0.200680272108843,0.211904761904762,0.211904761904762,0.218707482993197,0.227891156462585,0.22891156462585,0.224489795918367,0.223469387755102,0.216666666666667,0.21530612244898,0.204081632653061,0.199659863945578,0.197278911564626,0.194897959183673,0.19047619047619,0.19047619047619,0.19047619047619,0.19047619047619,0.19047619047619,0.19047619047619,0.094224924012158,0.104255319148936,0.105471124620061,0.105471124620061,0.105471124620061,0.0993920972644378,0.0902735562310031,0.0881458966565349,0.0829787234042554,0.0738601823708207,0.064741641337386,0.0577507598784195,0.0556231003039513,0.0537993920972644,0.0486322188449848,0.0465045592705167,0.0416413373860183,0.0386018237082066,0.0364741641337387,0.0234042553191489,0.0161094224924012,0.00911854103343468,-0.000906344410876114,-0.00694864048338373,-0.00906344410876136,-0.011178247734139,-0.015105740181269,-0.0190332326283988,-0.027190332326284,-0.0293051359516616,-0.0347432024169185,-0.0441087613293051,-0.051963746223565,-0.0561933534743202,-0.0583081570996979,-0.0592145015105741,-0.0601208459214501,-0.0607250755287009,-0.065558912386707,-0.0676737160120846,-0.0697885196374622,-0.0761329305135953,-0.0761329305135953,-0.0776435045317221,-0.0776435045317221,-0.0791540785498489,-0.0854984894259818,-0.0867069486404833,-0.0954682779456193,-0.0978851963746223,-0.0987915407854985,-0.103021148036254,-0.120543806646526,-0.124773413897281,-0.131117824773414,-0.137462235649547,-0.138972809667674,-0.145619335347432,-0.148036253776435,-0.152870090634441,-0.155287009063444,-0.159516616314199,-0.114376996805112,-0.117571884984025,-0.120127795527156,-0.133546325878594,-0.13482428115016,-0.137380191693291,-0.139936102236422,-0.142492012779553,-0.145047923322684,-0.145047923322684,-0.147603833865815,-0.147923322683706,-0.147923322683706,-0.147923322683706,-0.150798722044728,-0.155591054313099,-0.155591054313099,-0.156549520766773,-0.156869009584665,-0.159744408945687,-0.160063897763578,-0.162939297124601,-0.163258785942492,-0.163258785942492,-0.166134185303514,-0.166453674121406,-0.166453674121406,-0.167092651757188,-0.167092651757188,-0.167092651757188,-0.167092651757188,-0.175399361022364,-0.177955271565495,-0.178594249201278,-0.181150159744409,-0.184025559105431,-0.189456869009585,-0.189456869009585,-0.192012779552716,-0.190095846645367,-0.180191693290735,-0.173801916932907,-0.173801916932907,-0.173801916932907,-0.162939297124601,-0.143130990415336,-0.118849840255591,-0.103194888178914,-0.100319488817891,-0.0878594249201278,-0.0773162939297125,-0.0654952076677316,-0.0591054313099042,-0.0591054313099042,-0.0591054313099042,-0.0517571884984025,-0.0517571884984025,-0.0517571884984025,-0.0517571884984025,-0.0543130990415335,-0.0543130990415335,-0.0543130990415335,-0.0543130990415335,-0.0565495207667732,-0.0565495207667732,-0.0565495207667732,0.0361403508771929,0.0361403508771929,0.0361403508771929,0.0361403508771929,0.0361403508771929,0.0385964912280701,0.0385964912280701,0.0361403508771929,0.0308771929824561,0.0256140350877192,0.0192982456140349,0.0175438596491226,0.016842105263158,0.0157894736842106,0.0157894736842106,0.0133333333333332,0.0122807017543858,0.00701754385964914,0.00666666666666682,0.00070175438596487,0.000350877192982324,-0.000350877192982435,-0.000350877192982435,-0.000350877192982435,-0.00140350877192985,-0.00140350877192985,-0.00210526315789483,-0.0028070175438597,-0.00947368421052641,-0.011578947368421,-0.011578947368421,-0.0150877192982457,-0.015438596491228,-0.015438596491228,-0.0171929824561403,-0.0185964912280702,-0.0252631578947369,-0.0252631578947369,-0.0263157894736843,-0.0277192982456141,-0.0280701754385965,-0.0280701754385965,-0.0266666666666667,-0.011578947368421,0.00491228070175431,0.0140350877192983,0.0368421052631578,0.0428070175438595,0.0428070175438595,0.0438596491228069,0.0498245614035087,0.0596491228070175,0.128070175438596,0.164210526315789,0.188070175438596,0.190877192982456,0.192982456140351,0.198245614035088,0.205263157894737,0.210526315789474,0.210526315789474,0.210526315789474,0.214035087719298,0.214035087719298,0.153333333333333,0.153333333333333,0.153333333333333,0.153333333333333,0.153333333333333,0.153333333333333,0.141666666666667,0.141666666666667,0.141666666666667,0.15,0.15,0.155,0.155,0.155,0.156666666666667,0.156666666666667,0.175,0.178333333333333,0.203333333333333,0.228333333333333,0.233333333333333,0.236666666666667,0.236666666666667,0.24,0.24,0.24,0.245,0.245,0.25,0.305,0.33,0.358333333333333,0.383333333333334,0.4,0.425,0.45,0.458333333333333,0.475,0.475,0.475,0.475,0.475,0.475,0.491666666666666,0.491666666666666,0.5,0.5,0.483333333333333,0.466666666666667,0.458333333333333,0.45,0.433333333333333,0.433333333333333,0.433333333333333,0.425,0.416666666666667,0.411666666666667,0.403333333333333,0.4,0.0986842105263157,0.0986842105263157,0.138157894736842,0.151315789473684,0.151315789473684,0.144736842105263,0.144736842105263,0.151315789473684,0.151315789473684,0.151315789473684,0.153947368421053,0.157894736842105,0.157894736842105,0.157894736842105,0.15921052631579,0.171052631578948,0.217105263157895,0.223684210526316,0.225789473684211,0.218947368421053,0.218947368421053,0.218947368421053,0.218947368421053,0.218947368421053,0.212105263157895,0.212105263157895,0.212105263157895,0.198947368421053,0.186315789473684,0.173157894736842,0.166842105263158,0.162894736842105,0.162894736842105,0.153684210526316,0.146842105263158,0.14,0.14,0.146315789473684,0.152894736842105,0.164473684210526,0.171052631578948,0.177631578947368,0.180263157894737,0.182894736842105,0.177631578947368,0.171052631578948,0.171052631578948,0.177631578947368,0.180263157894737,0.182894736842105,0.182894736842105,0.181578947368421,0.188157894736842,0.190789473684211,0.197368421052632,0.195526315789474,0.194736842105263,0.201842105263158,0.210526315789474,0.207894736842105,0.206578947368421,0.206578947368421,0.118292682926829,0.118292682926829,0.118292682926829,0.118292682926829,0.121951219512195,0.121951219512195,0.121951219512195,0.121951219512195,0.119512195121951,0.119512195121951,0.125609756097561,0.125609756097561,0.115853658536585,0.109756097560976,0.103658536585366,0.1,0.1,0.0975609756097562,0.0975609756097562,0.0914634146341464,0.0853658536585367,0.0792682926829269,0.0963414634146342,0.0939024390243903,0.0926829268292686,0.0858536585365854,0.0831707317073171,0.0548780487804879,0.0378048780487805,0.0339024390243903,0.0304878048780488,0.03,0.0278048780487807,0.0275609756097561,0.0212195121951222,0.00121951219512217,-0.0051219512195122,-0.00853658536585344,-0.011951219512195,-0.0265853658536584,-0.0382926829268292,-0.0478048780487804,-0.0514634146341463,-0.057560975609756,-0.0709756097560974,-0.073170731707317,-0.0734146341463414,-0.0756097560975609,-0.0775609756097561,-0.0817073170731706,-0.0839024390243902,-0.0863414634146341,-0.0890243902439024,-0.0912195121951219,-0.0917073170731706,-0.0917073170731706,-0.0919512195121951,-0.0921951219512195,-0.0929268292682927,-0.097560975609756,-0.0997560975609756,-0.100243902439024,-0.100731707317073,-0.108048780487805,-0.0169811320754717,-0.0169811320754717,-0.0169811320754717,-0.0172506738544475,-0.0199460916442048,-0.022911051212938,-0.0258760107816712,-0.0261455525606469,-0.0288409703504042,-0.033423180592992,-0.0442048517520216,-0.0474393530997305,-0.0539083557951483,-0.0582210242587601,-0.059299191374663,-0.0638814016172508,-0.0660377358490566,-0.0671159029649596,-0.077088948787062,-0.0824797843665769}</c:f>
              <c:numCache>
                <c:formatCode>General</c:formatCode>
                <c:ptCount val="1205"/>
                <c:pt idx="0">
                  <c:v>0.00667838312829505</c:v>
                </c:pt>
                <c:pt idx="1">
                  <c:v>0.0149384885764499</c:v>
                </c:pt>
                <c:pt idx="2">
                  <c:v>0.0413005272407732</c:v>
                </c:pt>
                <c:pt idx="3">
                  <c:v>0.0588752196836555</c:v>
                </c:pt>
                <c:pt idx="4">
                  <c:v>0.0632688927943761</c:v>
                </c:pt>
                <c:pt idx="5">
                  <c:v>0.0764499121265376</c:v>
                </c:pt>
                <c:pt idx="6">
                  <c:v>0.0852372583479788</c:v>
                </c:pt>
                <c:pt idx="7">
                  <c:v>0.0984182776801406</c:v>
                </c:pt>
                <c:pt idx="8">
                  <c:v>0.107205623901582</c:v>
                </c:pt>
                <c:pt idx="9">
                  <c:v>0.115992970123023</c:v>
                </c:pt>
                <c:pt idx="10">
                  <c:v>0.124780316344464</c:v>
                </c:pt>
                <c:pt idx="11">
                  <c:v>0.142355008787346</c:v>
                </c:pt>
                <c:pt idx="12">
                  <c:v>0.151142355008787</c:v>
                </c:pt>
                <c:pt idx="13">
                  <c:v>0.168717047451669</c:v>
                </c:pt>
                <c:pt idx="14">
                  <c:v>0.169595782073814</c:v>
                </c:pt>
                <c:pt idx="15">
                  <c:v>0.178383128295255</c:v>
                </c:pt>
                <c:pt idx="16">
                  <c:v>0.17908611599297</c:v>
                </c:pt>
                <c:pt idx="17">
                  <c:v>0.187170474516696</c:v>
                </c:pt>
                <c:pt idx="18">
                  <c:v>0.170740103270224</c:v>
                </c:pt>
                <c:pt idx="19">
                  <c:v>0.178657487091222</c:v>
                </c:pt>
                <c:pt idx="20">
                  <c:v>0.190361445783133</c:v>
                </c:pt>
                <c:pt idx="21">
                  <c:v>0.190877796901893</c:v>
                </c:pt>
                <c:pt idx="22">
                  <c:v>0.191910499139415</c:v>
                </c:pt>
                <c:pt idx="23">
                  <c:v>0.192254733218589</c:v>
                </c:pt>
                <c:pt idx="24">
                  <c:v>0.192254733218589</c:v>
                </c:pt>
                <c:pt idx="25">
                  <c:v>0.192254733218589</c:v>
                </c:pt>
                <c:pt idx="26">
                  <c:v>0.192254733218589</c:v>
                </c:pt>
                <c:pt idx="27">
                  <c:v>0.192254733218589</c:v>
                </c:pt>
                <c:pt idx="28">
                  <c:v>0.192254733218589</c:v>
                </c:pt>
                <c:pt idx="29">
                  <c:v>0.192254733218589</c:v>
                </c:pt>
                <c:pt idx="30">
                  <c:v>0.192254733218589</c:v>
                </c:pt>
                <c:pt idx="31">
                  <c:v>0.192254733218589</c:v>
                </c:pt>
                <c:pt idx="32">
                  <c:v>0.186230636833047</c:v>
                </c:pt>
                <c:pt idx="33">
                  <c:v>0.186230636833047</c:v>
                </c:pt>
                <c:pt idx="34">
                  <c:v>0.186230636833047</c:v>
                </c:pt>
                <c:pt idx="35">
                  <c:v>0.178829604130809</c:v>
                </c:pt>
                <c:pt idx="36">
                  <c:v>0.178829604130809</c:v>
                </c:pt>
                <c:pt idx="37">
                  <c:v>0.178829604130809</c:v>
                </c:pt>
                <c:pt idx="38">
                  <c:v>0.178829604130809</c:v>
                </c:pt>
                <c:pt idx="39">
                  <c:v>0.178829604130809</c:v>
                </c:pt>
                <c:pt idx="40">
                  <c:v>0.178829604130809</c:v>
                </c:pt>
                <c:pt idx="41">
                  <c:v>0.181927710843374</c:v>
                </c:pt>
                <c:pt idx="42">
                  <c:v>0.18382099827883</c:v>
                </c:pt>
                <c:pt idx="43">
                  <c:v>0.185197934595525</c:v>
                </c:pt>
                <c:pt idx="44">
                  <c:v>0.185197934595525</c:v>
                </c:pt>
                <c:pt idx="45">
                  <c:v>0.185197934595525</c:v>
                </c:pt>
                <c:pt idx="46">
                  <c:v>0.185197934595525</c:v>
                </c:pt>
                <c:pt idx="47">
                  <c:v>0.185197934595525</c:v>
                </c:pt>
                <c:pt idx="48">
                  <c:v>0.167641996557659</c:v>
                </c:pt>
                <c:pt idx="49">
                  <c:v>0.169363166953528</c:v>
                </c:pt>
                <c:pt idx="50">
                  <c:v>0.174010327022375</c:v>
                </c:pt>
                <c:pt idx="51">
                  <c:v>0.174354561101549</c:v>
                </c:pt>
                <c:pt idx="52">
                  <c:v>0.174354561101549</c:v>
                </c:pt>
                <c:pt idx="53">
                  <c:v>0.174698795180723</c:v>
                </c:pt>
                <c:pt idx="54">
                  <c:v>0.176247848537005</c:v>
                </c:pt>
                <c:pt idx="55">
                  <c:v>0.176247848537005</c:v>
                </c:pt>
                <c:pt idx="56">
                  <c:v>0.166953528399312</c:v>
                </c:pt>
                <c:pt idx="57">
                  <c:v>0.167469879518072</c:v>
                </c:pt>
                <c:pt idx="58">
                  <c:v>0.168674698795181</c:v>
                </c:pt>
                <c:pt idx="59">
                  <c:v>0.0446153846153847</c:v>
                </c:pt>
                <c:pt idx="60">
                  <c:v>0.0446153846153847</c:v>
                </c:pt>
                <c:pt idx="61">
                  <c:v>0.0446153846153847</c:v>
                </c:pt>
                <c:pt idx="62">
                  <c:v>0.0481538461538462</c:v>
                </c:pt>
                <c:pt idx="63">
                  <c:v>0.0492307692307692</c:v>
                </c:pt>
                <c:pt idx="64">
                  <c:v>0.05</c:v>
                </c:pt>
                <c:pt idx="65">
                  <c:v>0.05</c:v>
                </c:pt>
                <c:pt idx="66">
                  <c:v>0.05</c:v>
                </c:pt>
                <c:pt idx="67">
                  <c:v>0.05</c:v>
                </c:pt>
                <c:pt idx="68">
                  <c:v>0.05</c:v>
                </c:pt>
                <c:pt idx="69">
                  <c:v>0.05</c:v>
                </c:pt>
                <c:pt idx="70">
                  <c:v>0.0493846153846154</c:v>
                </c:pt>
                <c:pt idx="71">
                  <c:v>0.0332307692307692</c:v>
                </c:pt>
                <c:pt idx="72">
                  <c:v>0.0256923076923077</c:v>
                </c:pt>
                <c:pt idx="73">
                  <c:v>0.0183076923076924</c:v>
                </c:pt>
                <c:pt idx="74">
                  <c:v>0.0107692307692309</c:v>
                </c:pt>
                <c:pt idx="75">
                  <c:v>-0.00461538461538469</c:v>
                </c:pt>
                <c:pt idx="76">
                  <c:v>-0.00769230769230766</c:v>
                </c:pt>
                <c:pt idx="77">
                  <c:v>-0.00769230769230766</c:v>
                </c:pt>
                <c:pt idx="78">
                  <c:v>-0.00769230769230766</c:v>
                </c:pt>
                <c:pt idx="79">
                  <c:v>-0.00769230769230766</c:v>
                </c:pt>
                <c:pt idx="80">
                  <c:v>-0.00769230769230766</c:v>
                </c:pt>
                <c:pt idx="81">
                  <c:v>-0.0115384615384616</c:v>
                </c:pt>
                <c:pt idx="82">
                  <c:v>-0.0192307692307693</c:v>
                </c:pt>
                <c:pt idx="83">
                  <c:v>-0.0187692307692308</c:v>
                </c:pt>
                <c:pt idx="84">
                  <c:v>-0.0187692307692308</c:v>
                </c:pt>
                <c:pt idx="85">
                  <c:v>-0.0187692307692308</c:v>
                </c:pt>
                <c:pt idx="86">
                  <c:v>-0.0187692307692308</c:v>
                </c:pt>
                <c:pt idx="87">
                  <c:v>-0.0181538461538462</c:v>
                </c:pt>
                <c:pt idx="88">
                  <c:v>-0.0175384615384615</c:v>
                </c:pt>
                <c:pt idx="89">
                  <c:v>-0.0175384615384615</c:v>
                </c:pt>
                <c:pt idx="90">
                  <c:v>-0.0175384615384615</c:v>
                </c:pt>
                <c:pt idx="91">
                  <c:v>-0.0175384615384615</c:v>
                </c:pt>
                <c:pt idx="92">
                  <c:v>-0.0175384615384615</c:v>
                </c:pt>
                <c:pt idx="93">
                  <c:v>-0.0175384615384615</c:v>
                </c:pt>
                <c:pt idx="94">
                  <c:v>-0.0167692307692308</c:v>
                </c:pt>
                <c:pt idx="95">
                  <c:v>-0.0167692307692308</c:v>
                </c:pt>
                <c:pt idx="96">
                  <c:v>-0.0167692307692308</c:v>
                </c:pt>
                <c:pt idx="97">
                  <c:v>-0.0167692307692308</c:v>
                </c:pt>
                <c:pt idx="98">
                  <c:v>-0.0167692307692308</c:v>
                </c:pt>
                <c:pt idx="99">
                  <c:v>-0.0167692307692308</c:v>
                </c:pt>
                <c:pt idx="100">
                  <c:v>-0.0167692307692308</c:v>
                </c:pt>
                <c:pt idx="101">
                  <c:v>-0.0167692307692308</c:v>
                </c:pt>
                <c:pt idx="102">
                  <c:v>-0.0175384615384615</c:v>
                </c:pt>
                <c:pt idx="103">
                  <c:v>-0.0175384615384615</c:v>
                </c:pt>
                <c:pt idx="104">
                  <c:v>-0.0175384615384615</c:v>
                </c:pt>
                <c:pt idx="105">
                  <c:v>-0.0175384615384615</c:v>
                </c:pt>
                <c:pt idx="106">
                  <c:v>-0.0146153846153846</c:v>
                </c:pt>
                <c:pt idx="107">
                  <c:v>-0.0135384615384615</c:v>
                </c:pt>
                <c:pt idx="108">
                  <c:v>-0.0135384615384615</c:v>
                </c:pt>
                <c:pt idx="109">
                  <c:v>-0.0107692307692309</c:v>
                </c:pt>
                <c:pt idx="110">
                  <c:v>-0.00861538461538458</c:v>
                </c:pt>
                <c:pt idx="111">
                  <c:v>-0.00784615384615384</c:v>
                </c:pt>
                <c:pt idx="112">
                  <c:v>-0.00646153846153841</c:v>
                </c:pt>
                <c:pt idx="113">
                  <c:v>0.00184615384615383</c:v>
                </c:pt>
                <c:pt idx="114">
                  <c:v>0.00461538461538469</c:v>
                </c:pt>
                <c:pt idx="115">
                  <c:v>0.00492307692307703</c:v>
                </c:pt>
                <c:pt idx="116">
                  <c:v>0.00661538461538469</c:v>
                </c:pt>
                <c:pt idx="117">
                  <c:v>0.00676923076923064</c:v>
                </c:pt>
                <c:pt idx="118">
                  <c:v>0.0070769230769232</c:v>
                </c:pt>
                <c:pt idx="119">
                  <c:v>-0.0387665198237884</c:v>
                </c:pt>
                <c:pt idx="120">
                  <c:v>-0.0368575624082231</c:v>
                </c:pt>
                <c:pt idx="121">
                  <c:v>-0.00646108663729805</c:v>
                </c:pt>
                <c:pt idx="122">
                  <c:v>-0.00587371512481649</c:v>
                </c:pt>
                <c:pt idx="123">
                  <c:v>-0.00323054331864892</c:v>
                </c:pt>
                <c:pt idx="124">
                  <c:v>-0.00220264317180607</c:v>
                </c:pt>
                <c:pt idx="125">
                  <c:v>-0.00220264317180607</c:v>
                </c:pt>
                <c:pt idx="126">
                  <c:v>-0.00220264317180607</c:v>
                </c:pt>
                <c:pt idx="127">
                  <c:v>0.0198237885462555</c:v>
                </c:pt>
                <c:pt idx="128">
                  <c:v>0.0290748898678415</c:v>
                </c:pt>
                <c:pt idx="129">
                  <c:v>0.0348017621145376</c:v>
                </c:pt>
                <c:pt idx="130">
                  <c:v>0.0402349486049927</c:v>
                </c:pt>
                <c:pt idx="131">
                  <c:v>0.0441997063142439</c:v>
                </c:pt>
                <c:pt idx="132">
                  <c:v>0.0572687224669604</c:v>
                </c:pt>
                <c:pt idx="133">
                  <c:v>0.0602055800293686</c:v>
                </c:pt>
                <c:pt idx="134">
                  <c:v>0.0602055800293686</c:v>
                </c:pt>
                <c:pt idx="135">
                  <c:v>0.0602055800293686</c:v>
                </c:pt>
                <c:pt idx="136">
                  <c:v>0.064610866372981</c:v>
                </c:pt>
                <c:pt idx="137">
                  <c:v>0.064610866372981</c:v>
                </c:pt>
                <c:pt idx="138">
                  <c:v>0.0772393538913363</c:v>
                </c:pt>
                <c:pt idx="139">
                  <c:v>0.0772393538913363</c:v>
                </c:pt>
                <c:pt idx="140">
                  <c:v>0.0772393538913363</c:v>
                </c:pt>
                <c:pt idx="141">
                  <c:v>0.0759177679882526</c:v>
                </c:pt>
                <c:pt idx="142">
                  <c:v>0.0759177679882526</c:v>
                </c:pt>
                <c:pt idx="143">
                  <c:v>0.0691629955947137</c:v>
                </c:pt>
                <c:pt idx="144">
                  <c:v>0.0691629955947137</c:v>
                </c:pt>
                <c:pt idx="145">
                  <c:v>0.0691629955947137</c:v>
                </c:pt>
                <c:pt idx="146">
                  <c:v>0.0691629955947137</c:v>
                </c:pt>
                <c:pt idx="147">
                  <c:v>0.0691629955947137</c:v>
                </c:pt>
                <c:pt idx="148">
                  <c:v>0.0687224669603523</c:v>
                </c:pt>
                <c:pt idx="149">
                  <c:v>0.0687224669603523</c:v>
                </c:pt>
                <c:pt idx="150">
                  <c:v>0.0687224669603523</c:v>
                </c:pt>
                <c:pt idx="151">
                  <c:v>0.0650513950073421</c:v>
                </c:pt>
                <c:pt idx="152">
                  <c:v>0.064610866372981</c:v>
                </c:pt>
                <c:pt idx="153">
                  <c:v>0.0644640234948606</c:v>
                </c:pt>
                <c:pt idx="154">
                  <c:v>0.0641703377386198</c:v>
                </c:pt>
                <c:pt idx="155">
                  <c:v>0.0641703377386198</c:v>
                </c:pt>
                <c:pt idx="156">
                  <c:v>0.0647577092511014</c:v>
                </c:pt>
                <c:pt idx="157">
                  <c:v>0.0650513950073421</c:v>
                </c:pt>
                <c:pt idx="158">
                  <c:v>0.0650513950073421</c:v>
                </c:pt>
                <c:pt idx="159">
                  <c:v>0.0669603524229077</c:v>
                </c:pt>
                <c:pt idx="160">
                  <c:v>0.0684287812041116</c:v>
                </c:pt>
                <c:pt idx="161">
                  <c:v>0.07136563876652</c:v>
                </c:pt>
                <c:pt idx="162">
                  <c:v>0.07136563876652</c:v>
                </c:pt>
                <c:pt idx="163">
                  <c:v>0.0784140969162996</c:v>
                </c:pt>
                <c:pt idx="164">
                  <c:v>0.0784140969162996</c:v>
                </c:pt>
                <c:pt idx="165">
                  <c:v>0.0798825256975038</c:v>
                </c:pt>
                <c:pt idx="166">
                  <c:v>0.0812041116005875</c:v>
                </c:pt>
                <c:pt idx="167">
                  <c:v>0.0856093979441996</c:v>
                </c:pt>
                <c:pt idx="168">
                  <c:v>0.0925110132158591</c:v>
                </c:pt>
                <c:pt idx="169">
                  <c:v>0.103083700440529</c:v>
                </c:pt>
                <c:pt idx="170">
                  <c:v>0.1071953010279</c:v>
                </c:pt>
                <c:pt idx="171">
                  <c:v>0.118208516886931</c:v>
                </c:pt>
                <c:pt idx="172">
                  <c:v>0.123348017621145</c:v>
                </c:pt>
                <c:pt idx="173">
                  <c:v>0.127459618208517</c:v>
                </c:pt>
                <c:pt idx="174">
                  <c:v>0.130690161527166</c:v>
                </c:pt>
                <c:pt idx="175">
                  <c:v>0.137591776798825</c:v>
                </c:pt>
                <c:pt idx="176">
                  <c:v>0.13935389133627</c:v>
                </c:pt>
                <c:pt idx="177">
                  <c:v>0.160205580029369</c:v>
                </c:pt>
                <c:pt idx="178">
                  <c:v>0.167400881057269</c:v>
                </c:pt>
                <c:pt idx="179">
                  <c:v>0.181938325991189</c:v>
                </c:pt>
                <c:pt idx="180">
                  <c:v>0.209985315712188</c:v>
                </c:pt>
                <c:pt idx="181">
                  <c:v>0.222466960352423</c:v>
                </c:pt>
                <c:pt idx="182">
                  <c:v>0.22511013215859</c:v>
                </c:pt>
                <c:pt idx="183">
                  <c:v>0.233627019089574</c:v>
                </c:pt>
                <c:pt idx="184">
                  <c:v>0.162106703146375</c:v>
                </c:pt>
                <c:pt idx="185">
                  <c:v>0.188372093023256</c:v>
                </c:pt>
                <c:pt idx="186">
                  <c:v>0.202462380300958</c:v>
                </c:pt>
                <c:pt idx="187">
                  <c:v>0.208891928864569</c:v>
                </c:pt>
                <c:pt idx="188">
                  <c:v>0.211901504787962</c:v>
                </c:pt>
                <c:pt idx="189">
                  <c:v>0.217510259917921</c:v>
                </c:pt>
                <c:pt idx="190">
                  <c:v>0.231190150478796</c:v>
                </c:pt>
                <c:pt idx="191">
                  <c:v>0.243912448700411</c:v>
                </c:pt>
                <c:pt idx="192">
                  <c:v>0.245280437756498</c:v>
                </c:pt>
                <c:pt idx="193">
                  <c:v>0.260601915184679</c:v>
                </c:pt>
                <c:pt idx="194">
                  <c:v>0.282489740082079</c:v>
                </c:pt>
                <c:pt idx="195">
                  <c:v>0.298221614227086</c:v>
                </c:pt>
                <c:pt idx="196">
                  <c:v>0.299589603283174</c:v>
                </c:pt>
                <c:pt idx="197">
                  <c:v>0.326949384404925</c:v>
                </c:pt>
                <c:pt idx="198">
                  <c:v>0.326949384404925</c:v>
                </c:pt>
                <c:pt idx="199">
                  <c:v>0.314090287277702</c:v>
                </c:pt>
                <c:pt idx="200">
                  <c:v>0.305061559507524</c:v>
                </c:pt>
                <c:pt idx="201">
                  <c:v>0.299863201094391</c:v>
                </c:pt>
                <c:pt idx="202">
                  <c:v>0.304240766073872</c:v>
                </c:pt>
                <c:pt idx="203">
                  <c:v>0.306976744186047</c:v>
                </c:pt>
                <c:pt idx="204">
                  <c:v>0.309575923392613</c:v>
                </c:pt>
                <c:pt idx="205">
                  <c:v>0.309986320109439</c:v>
                </c:pt>
                <c:pt idx="206">
                  <c:v>0.318057455540356</c:v>
                </c:pt>
                <c:pt idx="207">
                  <c:v>0.321203830369357</c:v>
                </c:pt>
                <c:pt idx="208">
                  <c:v>0.321614227086183</c:v>
                </c:pt>
                <c:pt idx="209">
                  <c:v>0.32202462380301</c:v>
                </c:pt>
                <c:pt idx="210">
                  <c:v>0.313269493844049</c:v>
                </c:pt>
                <c:pt idx="211">
                  <c:v>0.310533515731874</c:v>
                </c:pt>
                <c:pt idx="212">
                  <c:v>0.304924760601915</c:v>
                </c:pt>
                <c:pt idx="213">
                  <c:v>0.301367989056088</c:v>
                </c:pt>
                <c:pt idx="214">
                  <c:v>0.300957592339261</c:v>
                </c:pt>
                <c:pt idx="215">
                  <c:v>0.300136798905609</c:v>
                </c:pt>
                <c:pt idx="216">
                  <c:v>0.299863201094391</c:v>
                </c:pt>
                <c:pt idx="217">
                  <c:v>0.299452804377565</c:v>
                </c:pt>
                <c:pt idx="218">
                  <c:v>0.300547195622435</c:v>
                </c:pt>
                <c:pt idx="219">
                  <c:v>0.297127222982216</c:v>
                </c:pt>
                <c:pt idx="220">
                  <c:v>0.30984952120383</c:v>
                </c:pt>
                <c:pt idx="221">
                  <c:v>0.309986320109439</c:v>
                </c:pt>
                <c:pt idx="222">
                  <c:v>0.312585499316006</c:v>
                </c:pt>
                <c:pt idx="223">
                  <c:v>0.312585499316006</c:v>
                </c:pt>
                <c:pt idx="224">
                  <c:v>0.30984952120383</c:v>
                </c:pt>
                <c:pt idx="225">
                  <c:v>0.278133333333333</c:v>
                </c:pt>
                <c:pt idx="226">
                  <c:v>0.2832</c:v>
                </c:pt>
                <c:pt idx="227">
                  <c:v>0.2872</c:v>
                </c:pt>
                <c:pt idx="228">
                  <c:v>0.288</c:v>
                </c:pt>
                <c:pt idx="229">
                  <c:v>0.289066666666667</c:v>
                </c:pt>
                <c:pt idx="230">
                  <c:v>0.290266666666667</c:v>
                </c:pt>
                <c:pt idx="231">
                  <c:v>0.290266666666667</c:v>
                </c:pt>
                <c:pt idx="232">
                  <c:v>0.291066666666667</c:v>
                </c:pt>
                <c:pt idx="233">
                  <c:v>0.291333333333333</c:v>
                </c:pt>
                <c:pt idx="234">
                  <c:v>0.291466666666667</c:v>
                </c:pt>
                <c:pt idx="235">
                  <c:v>0.2888</c:v>
                </c:pt>
                <c:pt idx="236">
                  <c:v>0.284266666666667</c:v>
                </c:pt>
                <c:pt idx="237">
                  <c:v>0.282666666666667</c:v>
                </c:pt>
                <c:pt idx="238">
                  <c:v>0.282666666666667</c:v>
                </c:pt>
                <c:pt idx="239">
                  <c:v>0.282666666666667</c:v>
                </c:pt>
                <c:pt idx="240">
                  <c:v>0.282666666666667</c:v>
                </c:pt>
                <c:pt idx="241">
                  <c:v>0.282666666666667</c:v>
                </c:pt>
                <c:pt idx="242">
                  <c:v>0.282666666666667</c:v>
                </c:pt>
                <c:pt idx="243">
                  <c:v>0.282666666666667</c:v>
                </c:pt>
                <c:pt idx="244">
                  <c:v>0.282666666666667</c:v>
                </c:pt>
                <c:pt idx="245">
                  <c:v>0.282666666666667</c:v>
                </c:pt>
                <c:pt idx="246">
                  <c:v>0.278133333333333</c:v>
                </c:pt>
                <c:pt idx="247">
                  <c:v>0.278933333333333</c:v>
                </c:pt>
                <c:pt idx="248">
                  <c:v>0.278933333333333</c:v>
                </c:pt>
                <c:pt idx="249">
                  <c:v>0.278933333333333</c:v>
                </c:pt>
                <c:pt idx="250">
                  <c:v>0.281066666666667</c:v>
                </c:pt>
                <c:pt idx="251">
                  <c:v>0.286533333333333</c:v>
                </c:pt>
                <c:pt idx="252">
                  <c:v>0.286533333333333</c:v>
                </c:pt>
                <c:pt idx="253">
                  <c:v>0.286666666666667</c:v>
                </c:pt>
                <c:pt idx="254">
                  <c:v>0.286666666666667</c:v>
                </c:pt>
                <c:pt idx="255">
                  <c:v>0.286666666666667</c:v>
                </c:pt>
                <c:pt idx="256">
                  <c:v>0.286666666666667</c:v>
                </c:pt>
                <c:pt idx="257">
                  <c:v>0.286666666666667</c:v>
                </c:pt>
                <c:pt idx="258">
                  <c:v>0.286666666666667</c:v>
                </c:pt>
                <c:pt idx="259">
                  <c:v>0.286666666666667</c:v>
                </c:pt>
                <c:pt idx="260">
                  <c:v>0.277733333333333</c:v>
                </c:pt>
                <c:pt idx="261">
                  <c:v>0.274266666666667</c:v>
                </c:pt>
                <c:pt idx="262">
                  <c:v>0.273333333333333</c:v>
                </c:pt>
                <c:pt idx="263">
                  <c:v>0.273333333333333</c:v>
                </c:pt>
                <c:pt idx="264">
                  <c:v>0.277733333333333</c:v>
                </c:pt>
                <c:pt idx="265">
                  <c:v>0.277733333333333</c:v>
                </c:pt>
                <c:pt idx="266">
                  <c:v>0.277733333333333</c:v>
                </c:pt>
                <c:pt idx="267">
                  <c:v>0.2644</c:v>
                </c:pt>
                <c:pt idx="268">
                  <c:v>0.187153652392947</c:v>
                </c:pt>
                <c:pt idx="269">
                  <c:v>0.182619647355164</c:v>
                </c:pt>
                <c:pt idx="270">
                  <c:v>0.179345088161209</c:v>
                </c:pt>
                <c:pt idx="271">
                  <c:v>0.175314861460957</c:v>
                </c:pt>
                <c:pt idx="272">
                  <c:v>0.173803526448363</c:v>
                </c:pt>
                <c:pt idx="273">
                  <c:v>0.168765743073048</c:v>
                </c:pt>
                <c:pt idx="274">
                  <c:v>0.168765743073048</c:v>
                </c:pt>
                <c:pt idx="275">
                  <c:v>0.16712846347607</c:v>
                </c:pt>
                <c:pt idx="276">
                  <c:v>0.166876574307305</c:v>
                </c:pt>
                <c:pt idx="277">
                  <c:v>0.166750629722922</c:v>
                </c:pt>
                <c:pt idx="278">
                  <c:v>0.166750629722922</c:v>
                </c:pt>
                <c:pt idx="279">
                  <c:v>0.166750629722922</c:v>
                </c:pt>
                <c:pt idx="280">
                  <c:v>0.162846347607053</c:v>
                </c:pt>
                <c:pt idx="281">
                  <c:v>0.161335012594458</c:v>
                </c:pt>
                <c:pt idx="282">
                  <c:v>0.156549118387909</c:v>
                </c:pt>
                <c:pt idx="283">
                  <c:v>0.155793450881612</c:v>
                </c:pt>
                <c:pt idx="284">
                  <c:v>0.154911838790932</c:v>
                </c:pt>
                <c:pt idx="285">
                  <c:v>0.154785894206549</c:v>
                </c:pt>
                <c:pt idx="286">
                  <c:v>0.154282115869018</c:v>
                </c:pt>
                <c:pt idx="287">
                  <c:v>0.152015113350126</c:v>
                </c:pt>
                <c:pt idx="288">
                  <c:v>0.151259445843829</c:v>
                </c:pt>
                <c:pt idx="289">
                  <c:v>0.148488664987406</c:v>
                </c:pt>
                <c:pt idx="290">
                  <c:v>0.148488664987406</c:v>
                </c:pt>
                <c:pt idx="291">
                  <c:v>0.140680100755668</c:v>
                </c:pt>
                <c:pt idx="292">
                  <c:v>0.13816120906801</c:v>
                </c:pt>
                <c:pt idx="293">
                  <c:v>0.135642317380352</c:v>
                </c:pt>
                <c:pt idx="294">
                  <c:v>0.134130982367758</c:v>
                </c:pt>
                <c:pt idx="295">
                  <c:v>0.133627204030227</c:v>
                </c:pt>
                <c:pt idx="296">
                  <c:v>0.131360201511335</c:v>
                </c:pt>
                <c:pt idx="297">
                  <c:v>0.133501259445844</c:v>
                </c:pt>
                <c:pt idx="298">
                  <c:v>0.13551637279597</c:v>
                </c:pt>
                <c:pt idx="299">
                  <c:v>0.137027707808564</c:v>
                </c:pt>
                <c:pt idx="300">
                  <c:v>0.137027707808564</c:v>
                </c:pt>
                <c:pt idx="301">
                  <c:v>0.137531486146096</c:v>
                </c:pt>
                <c:pt idx="302">
                  <c:v>0.138539042821159</c:v>
                </c:pt>
                <c:pt idx="303">
                  <c:v>0.141813602015113</c:v>
                </c:pt>
                <c:pt idx="304">
                  <c:v>0.142065491183879</c:v>
                </c:pt>
                <c:pt idx="305">
                  <c:v>0.140680100755668</c:v>
                </c:pt>
                <c:pt idx="306">
                  <c:v>0.140680100755668</c:v>
                </c:pt>
                <c:pt idx="307">
                  <c:v>0.137783375314861</c:v>
                </c:pt>
                <c:pt idx="308">
                  <c:v>0.103052503052503</c:v>
                </c:pt>
                <c:pt idx="309">
                  <c:v>0.103052503052503</c:v>
                </c:pt>
                <c:pt idx="310">
                  <c:v>0.103052503052503</c:v>
                </c:pt>
                <c:pt idx="311">
                  <c:v>0.103663003663004</c:v>
                </c:pt>
                <c:pt idx="312">
                  <c:v>0.103052503052503</c:v>
                </c:pt>
                <c:pt idx="313">
                  <c:v>0.103052503052503</c:v>
                </c:pt>
                <c:pt idx="314">
                  <c:v>0.0992673992673994</c:v>
                </c:pt>
                <c:pt idx="315">
                  <c:v>0.0990231990231991</c:v>
                </c:pt>
                <c:pt idx="316">
                  <c:v>0.0974358974358975</c:v>
                </c:pt>
                <c:pt idx="317">
                  <c:v>0.0941391941391942</c:v>
                </c:pt>
                <c:pt idx="318">
                  <c:v>0.0941391941391942</c:v>
                </c:pt>
                <c:pt idx="319">
                  <c:v>0.0941391941391942</c:v>
                </c:pt>
                <c:pt idx="320">
                  <c:v>0.0926739926739928</c:v>
                </c:pt>
                <c:pt idx="321">
                  <c:v>0.0926739926739928</c:v>
                </c:pt>
                <c:pt idx="322">
                  <c:v>0.0909645909645911</c:v>
                </c:pt>
                <c:pt idx="323">
                  <c:v>0.0897435897435899</c:v>
                </c:pt>
                <c:pt idx="324">
                  <c:v>0.084859584859585</c:v>
                </c:pt>
                <c:pt idx="325">
                  <c:v>0.0844932844932844</c:v>
                </c:pt>
                <c:pt idx="326">
                  <c:v>0.0840048840048842</c:v>
                </c:pt>
                <c:pt idx="327">
                  <c:v>0.0840048840048842</c:v>
                </c:pt>
                <c:pt idx="328">
                  <c:v>0.0840048840048842</c:v>
                </c:pt>
                <c:pt idx="329">
                  <c:v>0.0840048840048842</c:v>
                </c:pt>
                <c:pt idx="330">
                  <c:v>0.0842490842490844</c:v>
                </c:pt>
                <c:pt idx="331">
                  <c:v>0.0842490842490844</c:v>
                </c:pt>
                <c:pt idx="332">
                  <c:v>0.0842490842490844</c:v>
                </c:pt>
                <c:pt idx="333">
                  <c:v>0.0842490842490844</c:v>
                </c:pt>
                <c:pt idx="334">
                  <c:v>0.0842490842490844</c:v>
                </c:pt>
                <c:pt idx="335">
                  <c:v>0.0842490842490844</c:v>
                </c:pt>
                <c:pt idx="336">
                  <c:v>0.0813186813186815</c:v>
                </c:pt>
                <c:pt idx="337">
                  <c:v>0.0769230769230771</c:v>
                </c:pt>
                <c:pt idx="338">
                  <c:v>0.0744810744810747</c:v>
                </c:pt>
                <c:pt idx="339">
                  <c:v>0.0744810744810747</c:v>
                </c:pt>
                <c:pt idx="340">
                  <c:v>0.0744810744810747</c:v>
                </c:pt>
                <c:pt idx="341">
                  <c:v>0.0661782661782662</c:v>
                </c:pt>
                <c:pt idx="342">
                  <c:v>0.0648351648351648</c:v>
                </c:pt>
                <c:pt idx="343">
                  <c:v>0.0612942612942613</c:v>
                </c:pt>
                <c:pt idx="344">
                  <c:v>0.0584859584859585</c:v>
                </c:pt>
                <c:pt idx="345">
                  <c:v>0.0584859584859585</c:v>
                </c:pt>
                <c:pt idx="346">
                  <c:v>0.0538461538461539</c:v>
                </c:pt>
                <c:pt idx="347">
                  <c:v>0.0538461538461539</c:v>
                </c:pt>
                <c:pt idx="348">
                  <c:v>0.0533577533577536</c:v>
                </c:pt>
                <c:pt idx="349">
                  <c:v>0.0532356532356533</c:v>
                </c:pt>
                <c:pt idx="350">
                  <c:v>0.0532356532356533</c:v>
                </c:pt>
                <c:pt idx="351">
                  <c:v>0.052991452991453</c:v>
                </c:pt>
                <c:pt idx="352">
                  <c:v>0.0528693528693529</c:v>
                </c:pt>
                <c:pt idx="353">
                  <c:v>0.0526251526251527</c:v>
                </c:pt>
                <c:pt idx="354">
                  <c:v>0.0522588522588523</c:v>
                </c:pt>
                <c:pt idx="355">
                  <c:v>0.0518925518925519</c:v>
                </c:pt>
                <c:pt idx="356">
                  <c:v>0.051770451770452</c:v>
                </c:pt>
                <c:pt idx="357">
                  <c:v>0.0515262515262516</c:v>
                </c:pt>
                <c:pt idx="358">
                  <c:v>0.0514041514041514</c:v>
                </c:pt>
                <c:pt idx="359">
                  <c:v>0.0511599511599512</c:v>
                </c:pt>
                <c:pt idx="360">
                  <c:v>0.0511599511599512</c:v>
                </c:pt>
                <c:pt idx="361">
                  <c:v>0.0503052503052503</c:v>
                </c:pt>
                <c:pt idx="362">
                  <c:v>0.0456654456654457</c:v>
                </c:pt>
                <c:pt idx="363">
                  <c:v>0.0448107448107449</c:v>
                </c:pt>
                <c:pt idx="364">
                  <c:v>0.0440781440781441</c:v>
                </c:pt>
                <c:pt idx="365">
                  <c:v>0.0417582417582418</c:v>
                </c:pt>
                <c:pt idx="366">
                  <c:v>0.0113553113553113</c:v>
                </c:pt>
                <c:pt idx="367">
                  <c:v>-0.00525030525030512</c:v>
                </c:pt>
                <c:pt idx="368">
                  <c:v>-0.0152625152625152</c:v>
                </c:pt>
                <c:pt idx="369">
                  <c:v>-0.0175824175824176</c:v>
                </c:pt>
                <c:pt idx="370">
                  <c:v>-0.0181929181929181</c:v>
                </c:pt>
                <c:pt idx="371">
                  <c:v>-0.0211233211233212</c:v>
                </c:pt>
                <c:pt idx="372">
                  <c:v>-0.0218559218559219</c:v>
                </c:pt>
                <c:pt idx="373">
                  <c:v>-0.0218559218559219</c:v>
                </c:pt>
                <c:pt idx="374">
                  <c:v>-0.0188034188034188</c:v>
                </c:pt>
                <c:pt idx="375">
                  <c:v>-0.0188034188034188</c:v>
                </c:pt>
                <c:pt idx="376">
                  <c:v>-0.0188034188034188</c:v>
                </c:pt>
                <c:pt idx="377">
                  <c:v>-0.0102564102564102</c:v>
                </c:pt>
                <c:pt idx="378">
                  <c:v>-0.0133089133089133</c:v>
                </c:pt>
                <c:pt idx="379">
                  <c:v>-0.0145299145299145</c:v>
                </c:pt>
                <c:pt idx="380">
                  <c:v>-0.0217338217338217</c:v>
                </c:pt>
                <c:pt idx="381">
                  <c:v>-0.0257631257631257</c:v>
                </c:pt>
                <c:pt idx="382">
                  <c:v>-0.0278388278388279</c:v>
                </c:pt>
                <c:pt idx="383">
                  <c:v>-0.0293040293040292</c:v>
                </c:pt>
                <c:pt idx="384">
                  <c:v>-0.0313797313797314</c:v>
                </c:pt>
                <c:pt idx="385">
                  <c:v>-0.0317460317460317</c:v>
                </c:pt>
                <c:pt idx="386">
                  <c:v>-0.0326007326007325</c:v>
                </c:pt>
                <c:pt idx="387">
                  <c:v>-0.0326007326007325</c:v>
                </c:pt>
                <c:pt idx="388">
                  <c:v>-0.0354090354090353</c:v>
                </c:pt>
                <c:pt idx="389">
                  <c:v>-0.0354090354090353</c:v>
                </c:pt>
                <c:pt idx="390">
                  <c:v>-0.0354090354090353</c:v>
                </c:pt>
                <c:pt idx="391">
                  <c:v>-0.0357753357753356</c:v>
                </c:pt>
                <c:pt idx="392">
                  <c:v>-0.0362637362637362</c:v>
                </c:pt>
                <c:pt idx="393">
                  <c:v>-0.036996336996337</c:v>
                </c:pt>
                <c:pt idx="394">
                  <c:v>-0.039072039072039</c:v>
                </c:pt>
                <c:pt idx="395">
                  <c:v>-0.0411477411477411</c:v>
                </c:pt>
                <c:pt idx="396">
                  <c:v>-0.0418803418803417</c:v>
                </c:pt>
                <c:pt idx="397">
                  <c:v>-0.0427350427350427</c:v>
                </c:pt>
                <c:pt idx="398">
                  <c:v>-0.0467643467643467</c:v>
                </c:pt>
                <c:pt idx="399">
                  <c:v>-0.05006105006105</c:v>
                </c:pt>
                <c:pt idx="400">
                  <c:v>-0.0525030525030524</c:v>
                </c:pt>
                <c:pt idx="401">
                  <c:v>-0.0533577533577533</c:v>
                </c:pt>
                <c:pt idx="402">
                  <c:v>-0.0561660561660561</c:v>
                </c:pt>
                <c:pt idx="403">
                  <c:v>-0.0601953601953601</c:v>
                </c:pt>
                <c:pt idx="404">
                  <c:v>-0.0692307692307691</c:v>
                </c:pt>
                <c:pt idx="405">
                  <c:v>-0.0699633699633699</c:v>
                </c:pt>
                <c:pt idx="406">
                  <c:v>-0.0721611721611721</c:v>
                </c:pt>
                <c:pt idx="407">
                  <c:v>-0.0747252747252747</c:v>
                </c:pt>
                <c:pt idx="408">
                  <c:v>-0.0777777777777777</c:v>
                </c:pt>
                <c:pt idx="409">
                  <c:v>-0.0777777777777777</c:v>
                </c:pt>
                <c:pt idx="410">
                  <c:v>-0.0792429792429792</c:v>
                </c:pt>
                <c:pt idx="411">
                  <c:v>-0.0813186813186813</c:v>
                </c:pt>
                <c:pt idx="412">
                  <c:v>-0.0818070818070818</c:v>
                </c:pt>
                <c:pt idx="413">
                  <c:v>-0.0855921855921855</c:v>
                </c:pt>
                <c:pt idx="414">
                  <c:v>-0.0864468864468864</c:v>
                </c:pt>
                <c:pt idx="415">
                  <c:v>-0.0875457875457875</c:v>
                </c:pt>
                <c:pt idx="416">
                  <c:v>-0.0881562881562881</c:v>
                </c:pt>
                <c:pt idx="417">
                  <c:v>-0.0888888888888889</c:v>
                </c:pt>
                <c:pt idx="418">
                  <c:v>-0.0979242979242979</c:v>
                </c:pt>
                <c:pt idx="419">
                  <c:v>-0.0984126984126983</c:v>
                </c:pt>
                <c:pt idx="420">
                  <c:v>-0.0998778998778999</c:v>
                </c:pt>
                <c:pt idx="421">
                  <c:v>-0.1003663003663</c:v>
                </c:pt>
                <c:pt idx="422">
                  <c:v>-0.100854700854701</c:v>
                </c:pt>
                <c:pt idx="423">
                  <c:v>-0.0993894993894993</c:v>
                </c:pt>
                <c:pt idx="424">
                  <c:v>-0.0993894993894993</c:v>
                </c:pt>
                <c:pt idx="425">
                  <c:v>-0.0993894993894993</c:v>
                </c:pt>
                <c:pt idx="426">
                  <c:v>-0.0993894993894993</c:v>
                </c:pt>
                <c:pt idx="427">
                  <c:v>-0.1003663003663</c:v>
                </c:pt>
                <c:pt idx="428">
                  <c:v>-0.102686202686203</c:v>
                </c:pt>
                <c:pt idx="429">
                  <c:v>-0.102686202686203</c:v>
                </c:pt>
                <c:pt idx="430">
                  <c:v>-0.103663003663004</c:v>
                </c:pt>
                <c:pt idx="431">
                  <c:v>-0.112332112332112</c:v>
                </c:pt>
                <c:pt idx="432">
                  <c:v>-0.119536019536019</c:v>
                </c:pt>
                <c:pt idx="433">
                  <c:v>-0.0142270861833105</c:v>
                </c:pt>
                <c:pt idx="434">
                  <c:v>-0.014500683994528</c:v>
                </c:pt>
                <c:pt idx="435">
                  <c:v>-0.015047879616963</c:v>
                </c:pt>
                <c:pt idx="436">
                  <c:v>-0.015047879616963</c:v>
                </c:pt>
                <c:pt idx="437">
                  <c:v>-0.015047879616963</c:v>
                </c:pt>
                <c:pt idx="438">
                  <c:v>-0.015047879616963</c:v>
                </c:pt>
                <c:pt idx="439">
                  <c:v>-0.0166894664842681</c:v>
                </c:pt>
                <c:pt idx="440">
                  <c:v>-0.0175102599179205</c:v>
                </c:pt>
                <c:pt idx="441">
                  <c:v>-0.0218878248974007</c:v>
                </c:pt>
                <c:pt idx="442">
                  <c:v>-0.0251709986320109</c:v>
                </c:pt>
                <c:pt idx="443">
                  <c:v>-0.0272229822161423</c:v>
                </c:pt>
                <c:pt idx="444">
                  <c:v>-0.0283173734610123</c:v>
                </c:pt>
                <c:pt idx="445">
                  <c:v>-0.0326949384404924</c:v>
                </c:pt>
                <c:pt idx="446">
                  <c:v>-0.0343365253077975</c:v>
                </c:pt>
                <c:pt idx="447">
                  <c:v>-0.0343365253077975</c:v>
                </c:pt>
                <c:pt idx="448">
                  <c:v>-0.0348837209302325</c:v>
                </c:pt>
                <c:pt idx="449">
                  <c:v>-0.0348837209302325</c:v>
                </c:pt>
                <c:pt idx="450">
                  <c:v>-0.0461012311901504</c:v>
                </c:pt>
                <c:pt idx="451">
                  <c:v>-0.0466484268125854</c:v>
                </c:pt>
                <c:pt idx="452">
                  <c:v>-0.0471956224350205</c:v>
                </c:pt>
                <c:pt idx="453">
                  <c:v>-0.0471956224350205</c:v>
                </c:pt>
                <c:pt idx="454">
                  <c:v>-0.0497948016415869</c:v>
                </c:pt>
                <c:pt idx="455">
                  <c:v>-0.0522571819425445</c:v>
                </c:pt>
                <c:pt idx="456">
                  <c:v>-0.0375521557719055</c:v>
                </c:pt>
                <c:pt idx="457">
                  <c:v>-0.0385257301808067</c:v>
                </c:pt>
                <c:pt idx="458">
                  <c:v>-0.0385257301808067</c:v>
                </c:pt>
                <c:pt idx="459">
                  <c:v>-0.0390820584144647</c:v>
                </c:pt>
                <c:pt idx="460">
                  <c:v>-0.0458970792767733</c:v>
                </c:pt>
                <c:pt idx="461">
                  <c:v>-0.0527121001390821</c:v>
                </c:pt>
                <c:pt idx="462">
                  <c:v>-0.0534075104311544</c:v>
                </c:pt>
                <c:pt idx="463">
                  <c:v>-0.0543810848400557</c:v>
                </c:pt>
                <c:pt idx="464">
                  <c:v>-0.0559109874826148</c:v>
                </c:pt>
                <c:pt idx="465">
                  <c:v>-0.0559109874826148</c:v>
                </c:pt>
                <c:pt idx="466">
                  <c:v>-0.0575799721835883</c:v>
                </c:pt>
                <c:pt idx="467">
                  <c:v>-0.0575799721835883</c:v>
                </c:pt>
                <c:pt idx="468">
                  <c:v>-0.0585535465924896</c:v>
                </c:pt>
                <c:pt idx="469">
                  <c:v>-0.0585535465924896</c:v>
                </c:pt>
                <c:pt idx="470">
                  <c:v>-0.0585535465924896</c:v>
                </c:pt>
                <c:pt idx="471">
                  <c:v>-0.0611961057023644</c:v>
                </c:pt>
                <c:pt idx="472">
                  <c:v>-0.0611961057023644</c:v>
                </c:pt>
                <c:pt idx="473">
                  <c:v>-0.0663421418636996</c:v>
                </c:pt>
                <c:pt idx="474">
                  <c:v>-0.0663421418636996</c:v>
                </c:pt>
                <c:pt idx="475">
                  <c:v>-0.0680111265646732</c:v>
                </c:pt>
                <c:pt idx="476">
                  <c:v>-0.0694019471488179</c:v>
                </c:pt>
                <c:pt idx="477">
                  <c:v>-0.0720445062586927</c:v>
                </c:pt>
                <c:pt idx="478">
                  <c:v>-0.0819310344827586</c:v>
                </c:pt>
                <c:pt idx="479">
                  <c:v>-0.0897931034482758</c:v>
                </c:pt>
                <c:pt idx="480">
                  <c:v>-0.0951724137931035</c:v>
                </c:pt>
                <c:pt idx="481">
                  <c:v>-0.0977931034482759</c:v>
                </c:pt>
                <c:pt idx="482">
                  <c:v>-0.0993103448275862</c:v>
                </c:pt>
                <c:pt idx="483">
                  <c:v>-0.1</c:v>
                </c:pt>
                <c:pt idx="484">
                  <c:v>-0.1</c:v>
                </c:pt>
                <c:pt idx="485">
                  <c:v>-0.103034482758621</c:v>
                </c:pt>
                <c:pt idx="486">
                  <c:v>-0.103034482758621</c:v>
                </c:pt>
                <c:pt idx="487">
                  <c:v>-0.104689655172414</c:v>
                </c:pt>
                <c:pt idx="488">
                  <c:v>-0.107310344827586</c:v>
                </c:pt>
                <c:pt idx="489">
                  <c:v>-0.107310344827586</c:v>
                </c:pt>
                <c:pt idx="490">
                  <c:v>-0.115172413793103</c:v>
                </c:pt>
                <c:pt idx="491">
                  <c:v>-0.116689655172414</c:v>
                </c:pt>
                <c:pt idx="492">
                  <c:v>-0.119862068965517</c:v>
                </c:pt>
                <c:pt idx="493">
                  <c:v>-0.121379310344828</c:v>
                </c:pt>
                <c:pt idx="494">
                  <c:v>-0.123034482758621</c:v>
                </c:pt>
                <c:pt idx="495">
                  <c:v>-0.123448275862069</c:v>
                </c:pt>
                <c:pt idx="496">
                  <c:v>-0.123862068965517</c:v>
                </c:pt>
                <c:pt idx="497">
                  <c:v>-0.123862068965517</c:v>
                </c:pt>
                <c:pt idx="498">
                  <c:v>0.0586666666666666</c:v>
                </c:pt>
                <c:pt idx="499">
                  <c:v>0.0489999999999999</c:v>
                </c:pt>
                <c:pt idx="500">
                  <c:v>0.0330000000000001</c:v>
                </c:pt>
                <c:pt idx="501">
                  <c:v>0.0296666666666667</c:v>
                </c:pt>
                <c:pt idx="502">
                  <c:v>0.0265</c:v>
                </c:pt>
                <c:pt idx="503">
                  <c:v>0.02</c:v>
                </c:pt>
                <c:pt idx="504">
                  <c:v>0.0188333333333335</c:v>
                </c:pt>
                <c:pt idx="505">
                  <c:v>0.0183333333333333</c:v>
                </c:pt>
                <c:pt idx="506">
                  <c:v>0.0178333333333334</c:v>
                </c:pt>
                <c:pt idx="507">
                  <c:v>0.0165</c:v>
                </c:pt>
                <c:pt idx="508">
                  <c:v>0.000333333333333297</c:v>
                </c:pt>
                <c:pt idx="509">
                  <c:v>-0.00283333333333335</c:v>
                </c:pt>
                <c:pt idx="510">
                  <c:v>-0.00649999999999995</c:v>
                </c:pt>
                <c:pt idx="511">
                  <c:v>-0.00716666666666665</c:v>
                </c:pt>
                <c:pt idx="512">
                  <c:v>-0.00783333333333325</c:v>
                </c:pt>
                <c:pt idx="513">
                  <c:v>-0.00783333333333325</c:v>
                </c:pt>
                <c:pt idx="514">
                  <c:v>-0.00800000000000001</c:v>
                </c:pt>
                <c:pt idx="515">
                  <c:v>-0.00800000000000001</c:v>
                </c:pt>
                <c:pt idx="516">
                  <c:v>-0.0086666666666666</c:v>
                </c:pt>
                <c:pt idx="517">
                  <c:v>-0.00900000000000001</c:v>
                </c:pt>
                <c:pt idx="518">
                  <c:v>-0.00900000000000001</c:v>
                </c:pt>
                <c:pt idx="519">
                  <c:v>-0.0096666666666666</c:v>
                </c:pt>
                <c:pt idx="520">
                  <c:v>0.158284600389864</c:v>
                </c:pt>
                <c:pt idx="521">
                  <c:v>0.157894736842105</c:v>
                </c:pt>
                <c:pt idx="522">
                  <c:v>0.157504873294347</c:v>
                </c:pt>
                <c:pt idx="523">
                  <c:v>0.15458089668616</c:v>
                </c:pt>
                <c:pt idx="524">
                  <c:v>0.14327485380117</c:v>
                </c:pt>
                <c:pt idx="525">
                  <c:v>0.139571150097466</c:v>
                </c:pt>
                <c:pt idx="526">
                  <c:v>0.135672514619883</c:v>
                </c:pt>
                <c:pt idx="527">
                  <c:v>0.131968810916179</c:v>
                </c:pt>
                <c:pt idx="528">
                  <c:v>0.125146198830409</c:v>
                </c:pt>
                <c:pt idx="529">
                  <c:v>0.12280701754386</c:v>
                </c:pt>
                <c:pt idx="530">
                  <c:v>0.12046783625731</c:v>
                </c:pt>
                <c:pt idx="531">
                  <c:v>0.117543859649123</c:v>
                </c:pt>
                <c:pt idx="532">
                  <c:v>0.0984405458089668</c:v>
                </c:pt>
                <c:pt idx="533">
                  <c:v>0.0863547758284602</c:v>
                </c:pt>
                <c:pt idx="534">
                  <c:v>0.0729044834307992</c:v>
                </c:pt>
                <c:pt idx="535">
                  <c:v>0.20109649122807</c:v>
                </c:pt>
                <c:pt idx="536">
                  <c:v>0.195833333333334</c:v>
                </c:pt>
                <c:pt idx="537">
                  <c:v>0.195175438596491</c:v>
                </c:pt>
                <c:pt idx="538">
                  <c:v>0.173245614035088</c:v>
                </c:pt>
                <c:pt idx="539">
                  <c:v>0.173245614035088</c:v>
                </c:pt>
                <c:pt idx="540">
                  <c:v>0.17171052631579</c:v>
                </c:pt>
                <c:pt idx="541">
                  <c:v>0.151315789473684</c:v>
                </c:pt>
                <c:pt idx="542">
                  <c:v>0.137938596491228</c:v>
                </c:pt>
                <c:pt idx="543">
                  <c:v>0.132894736842105</c:v>
                </c:pt>
                <c:pt idx="544">
                  <c:v>0.116008771929825</c:v>
                </c:pt>
                <c:pt idx="545">
                  <c:v>0.113377192982456</c:v>
                </c:pt>
                <c:pt idx="546">
                  <c:v>0.113377192982456</c:v>
                </c:pt>
                <c:pt idx="547">
                  <c:v>0.104824561403509</c:v>
                </c:pt>
                <c:pt idx="548">
                  <c:v>0.0734649122807018</c:v>
                </c:pt>
                <c:pt idx="549">
                  <c:v>0.0651315789473685</c:v>
                </c:pt>
                <c:pt idx="550">
                  <c:v>0.0407894736842107</c:v>
                </c:pt>
                <c:pt idx="551">
                  <c:v>0.0392543859649124</c:v>
                </c:pt>
                <c:pt idx="552">
                  <c:v>0.0166666666666668</c:v>
                </c:pt>
                <c:pt idx="553">
                  <c:v>0.00964912280701768</c:v>
                </c:pt>
                <c:pt idx="554">
                  <c:v>0.00526315789473686</c:v>
                </c:pt>
                <c:pt idx="555">
                  <c:v>0.00307017543859645</c:v>
                </c:pt>
                <c:pt idx="556">
                  <c:v>0.1335</c:v>
                </c:pt>
                <c:pt idx="557">
                  <c:v>0.1285</c:v>
                </c:pt>
                <c:pt idx="558">
                  <c:v>0.121</c:v>
                </c:pt>
                <c:pt idx="559">
                  <c:v>0.1135</c:v>
                </c:pt>
                <c:pt idx="560">
                  <c:v>0.1125</c:v>
                </c:pt>
                <c:pt idx="561">
                  <c:v>0.0985</c:v>
                </c:pt>
                <c:pt idx="562">
                  <c:v>0.0867500000000001</c:v>
                </c:pt>
                <c:pt idx="563">
                  <c:v>0.08125</c:v>
                </c:pt>
                <c:pt idx="564">
                  <c:v>0.0762499999999999</c:v>
                </c:pt>
                <c:pt idx="565">
                  <c:v>0.073</c:v>
                </c:pt>
                <c:pt idx="566">
                  <c:v>0.0629999999999999</c:v>
                </c:pt>
                <c:pt idx="567">
                  <c:v>0.0585</c:v>
                </c:pt>
                <c:pt idx="568">
                  <c:v>0.0549999999999999</c:v>
                </c:pt>
                <c:pt idx="569">
                  <c:v>0.0475000000000001</c:v>
                </c:pt>
                <c:pt idx="570">
                  <c:v>0.04</c:v>
                </c:pt>
                <c:pt idx="571">
                  <c:v>0.0269999999999999</c:v>
                </c:pt>
                <c:pt idx="572">
                  <c:v>0.022</c:v>
                </c:pt>
                <c:pt idx="573">
                  <c:v>0.00800000000000001</c:v>
                </c:pt>
                <c:pt idx="574">
                  <c:v>-0.004</c:v>
                </c:pt>
                <c:pt idx="575">
                  <c:v>-0.0115</c:v>
                </c:pt>
                <c:pt idx="576">
                  <c:v>-0.013</c:v>
                </c:pt>
                <c:pt idx="577">
                  <c:v>0.0405333333333333</c:v>
                </c:pt>
                <c:pt idx="578">
                  <c:v>0.0325333333333333</c:v>
                </c:pt>
                <c:pt idx="579">
                  <c:v>0.0271999999999999</c:v>
                </c:pt>
                <c:pt idx="580">
                  <c:v>0.0202666666666667</c:v>
                </c:pt>
                <c:pt idx="581">
                  <c:v>0.0138666666666667</c:v>
                </c:pt>
                <c:pt idx="582">
                  <c:v>0.0114666666666667</c:v>
                </c:pt>
                <c:pt idx="583">
                  <c:v>0.00826666666666664</c:v>
                </c:pt>
                <c:pt idx="584">
                  <c:v>0.00746666666666673</c:v>
                </c:pt>
                <c:pt idx="585">
                  <c:v>0.0066666666666666</c:v>
                </c:pt>
                <c:pt idx="586">
                  <c:v>0.00426666666666664</c:v>
                </c:pt>
                <c:pt idx="587">
                  <c:v>-0.000533333333333275</c:v>
                </c:pt>
                <c:pt idx="588">
                  <c:v>-0.0026666666666666</c:v>
                </c:pt>
                <c:pt idx="589">
                  <c:v>-0.00639999999999996</c:v>
                </c:pt>
                <c:pt idx="590">
                  <c:v>-0.0079999999999999</c:v>
                </c:pt>
                <c:pt idx="591">
                  <c:v>-0.0165333333333333</c:v>
                </c:pt>
                <c:pt idx="592">
                  <c:v>-0.0207999999999999</c:v>
                </c:pt>
                <c:pt idx="593">
                  <c:v>-0.0224</c:v>
                </c:pt>
                <c:pt idx="594">
                  <c:v>-0.0245333333333334</c:v>
                </c:pt>
                <c:pt idx="595">
                  <c:v>-0.0325333333333333</c:v>
                </c:pt>
                <c:pt idx="596">
                  <c:v>-0.0357333333333333</c:v>
                </c:pt>
                <c:pt idx="597">
                  <c:v>-0.0376</c:v>
                </c:pt>
                <c:pt idx="598">
                  <c:v>-0.0397333333333333</c:v>
                </c:pt>
                <c:pt idx="599">
                  <c:v>0.0854984894259818</c:v>
                </c:pt>
                <c:pt idx="600">
                  <c:v>0.0854984894259818</c:v>
                </c:pt>
                <c:pt idx="601">
                  <c:v>0.0809667673716012</c:v>
                </c:pt>
                <c:pt idx="602">
                  <c:v>0.066465256797583</c:v>
                </c:pt>
                <c:pt idx="603">
                  <c:v>0.0561933534743202</c:v>
                </c:pt>
                <c:pt idx="604">
                  <c:v>0.0410876132930513</c:v>
                </c:pt>
                <c:pt idx="605">
                  <c:v>0.0350453172205438</c:v>
                </c:pt>
                <c:pt idx="606">
                  <c:v>0.0332326283987916</c:v>
                </c:pt>
                <c:pt idx="607">
                  <c:v>0.0290030211480363</c:v>
                </c:pt>
                <c:pt idx="608">
                  <c:v>0.0277945619335347</c:v>
                </c:pt>
                <c:pt idx="609">
                  <c:v>0.0235649546827794</c:v>
                </c:pt>
                <c:pt idx="610">
                  <c:v>0.0126888217522658</c:v>
                </c:pt>
                <c:pt idx="611">
                  <c:v>0.00543806646525669</c:v>
                </c:pt>
                <c:pt idx="612">
                  <c:v>-0.0102719033232629</c:v>
                </c:pt>
                <c:pt idx="613">
                  <c:v>-0.0135951661631419</c:v>
                </c:pt>
                <c:pt idx="614">
                  <c:v>-0.0247734138972809</c:v>
                </c:pt>
                <c:pt idx="615">
                  <c:v>-0.0283987915407855</c:v>
                </c:pt>
                <c:pt idx="616">
                  <c:v>-0.0456193353474321</c:v>
                </c:pt>
                <c:pt idx="617">
                  <c:v>-0.0507552870090635</c:v>
                </c:pt>
                <c:pt idx="618">
                  <c:v>0.0639455782312925</c:v>
                </c:pt>
                <c:pt idx="619">
                  <c:v>0.0564625850340137</c:v>
                </c:pt>
                <c:pt idx="620">
                  <c:v>0.0517006802721089</c:v>
                </c:pt>
                <c:pt idx="621">
                  <c:v>0.0428571428571429</c:v>
                </c:pt>
                <c:pt idx="622">
                  <c:v>0.0306122448979591</c:v>
                </c:pt>
                <c:pt idx="623">
                  <c:v>0.0238095238095237</c:v>
                </c:pt>
                <c:pt idx="624">
                  <c:v>0.0224489795918368</c:v>
                </c:pt>
                <c:pt idx="625">
                  <c:v>0.0346938775510204</c:v>
                </c:pt>
                <c:pt idx="626">
                  <c:v>0.0544217687074831</c:v>
                </c:pt>
                <c:pt idx="627">
                  <c:v>0.109183673469388</c:v>
                </c:pt>
                <c:pt idx="628">
                  <c:v>0.143197278911565</c:v>
                </c:pt>
                <c:pt idx="629">
                  <c:v>0.201360544217687</c:v>
                </c:pt>
                <c:pt idx="630">
                  <c:v>0.212244897959184</c:v>
                </c:pt>
                <c:pt idx="631">
                  <c:v>0.22312925170068</c:v>
                </c:pt>
                <c:pt idx="632">
                  <c:v>0.270748299319728</c:v>
                </c:pt>
                <c:pt idx="633">
                  <c:v>0.270748299319728</c:v>
                </c:pt>
                <c:pt idx="634">
                  <c:v>0.256122448979592</c:v>
                </c:pt>
                <c:pt idx="635">
                  <c:v>0.246258503401361</c:v>
                </c:pt>
                <c:pt idx="636">
                  <c:v>0.239115646258503</c:v>
                </c:pt>
                <c:pt idx="637">
                  <c:v>0.236734693877551</c:v>
                </c:pt>
                <c:pt idx="638">
                  <c:v>0.235714285714286</c:v>
                </c:pt>
                <c:pt idx="639">
                  <c:v>0.235714285714286</c:v>
                </c:pt>
                <c:pt idx="640">
                  <c:v>0.235714285714286</c:v>
                </c:pt>
                <c:pt idx="641">
                  <c:v>0.23469387755102</c:v>
                </c:pt>
                <c:pt idx="642">
                  <c:v>0.235714285714286</c:v>
                </c:pt>
                <c:pt idx="643">
                  <c:v>0.235714285714286</c:v>
                </c:pt>
                <c:pt idx="644">
                  <c:v>0.237074829931973</c:v>
                </c:pt>
                <c:pt idx="645">
                  <c:v>0.237074829931973</c:v>
                </c:pt>
                <c:pt idx="646">
                  <c:v>0.230272108843537</c:v>
                </c:pt>
                <c:pt idx="647">
                  <c:v>0.218707482993197</c:v>
                </c:pt>
                <c:pt idx="648">
                  <c:v>0.216666666666667</c:v>
                </c:pt>
                <c:pt idx="649">
                  <c:v>0.209863945578231</c:v>
                </c:pt>
                <c:pt idx="650">
                  <c:v>0.206462585034014</c:v>
                </c:pt>
                <c:pt idx="651">
                  <c:v>0.205102040816327</c:v>
                </c:pt>
                <c:pt idx="652">
                  <c:v>0.199659863945578</c:v>
                </c:pt>
                <c:pt idx="653">
                  <c:v>0.198299319727891</c:v>
                </c:pt>
                <c:pt idx="654">
                  <c:v>0.196258503401361</c:v>
                </c:pt>
                <c:pt idx="655">
                  <c:v>0.19047619047619</c:v>
                </c:pt>
                <c:pt idx="656">
                  <c:v>0.189455782312925</c:v>
                </c:pt>
                <c:pt idx="657">
                  <c:v>0.18265306122449</c:v>
                </c:pt>
                <c:pt idx="658">
                  <c:v>0.180272108843538</c:v>
                </c:pt>
                <c:pt idx="659">
                  <c:v>0.177891156462585</c:v>
                </c:pt>
                <c:pt idx="660">
                  <c:v>0.162244897959184</c:v>
                </c:pt>
                <c:pt idx="661">
                  <c:v>0.156462585034014</c:v>
                </c:pt>
                <c:pt idx="662">
                  <c:v>0.154081632653061</c:v>
                </c:pt>
                <c:pt idx="663">
                  <c:v>0.150680272108844</c:v>
                </c:pt>
                <c:pt idx="664">
                  <c:v>0.146258503401361</c:v>
                </c:pt>
                <c:pt idx="665">
                  <c:v>0.142857142857143</c:v>
                </c:pt>
                <c:pt idx="666">
                  <c:v>0.131632653061224</c:v>
                </c:pt>
                <c:pt idx="667">
                  <c:v>0.12687074829932</c:v>
                </c:pt>
                <c:pt idx="668">
                  <c:v>0.123469387755102</c:v>
                </c:pt>
                <c:pt idx="669">
                  <c:v>0.112244897959184</c:v>
                </c:pt>
                <c:pt idx="670">
                  <c:v>0.108843537414966</c:v>
                </c:pt>
                <c:pt idx="671">
                  <c:v>0.106462585034014</c:v>
                </c:pt>
                <c:pt idx="672">
                  <c:v>0.104421768707483</c:v>
                </c:pt>
                <c:pt idx="673">
                  <c:v>0.103061224489796</c:v>
                </c:pt>
                <c:pt idx="674">
                  <c:v>0.102040816326531</c:v>
                </c:pt>
                <c:pt idx="675">
                  <c:v>0.101020408163265</c:v>
                </c:pt>
                <c:pt idx="676">
                  <c:v>0.0986394557823129</c:v>
                </c:pt>
                <c:pt idx="677">
                  <c:v>0.0976190476190475</c:v>
                </c:pt>
                <c:pt idx="678">
                  <c:v>0.0894557823129252</c:v>
                </c:pt>
                <c:pt idx="679">
                  <c:v>0.08843537414966</c:v>
                </c:pt>
                <c:pt idx="680">
                  <c:v>0.0874149659863945</c:v>
                </c:pt>
                <c:pt idx="681">
                  <c:v>0.0850340136054422</c:v>
                </c:pt>
                <c:pt idx="682">
                  <c:v>0.0826530612244898</c:v>
                </c:pt>
                <c:pt idx="683">
                  <c:v>0.128113879003559</c:v>
                </c:pt>
                <c:pt idx="684">
                  <c:v>0.112811387900356</c:v>
                </c:pt>
                <c:pt idx="685">
                  <c:v>0.109252669039146</c:v>
                </c:pt>
                <c:pt idx="686">
                  <c:v>0.100711743772242</c:v>
                </c:pt>
                <c:pt idx="687">
                  <c:v>0.095017793594306</c:v>
                </c:pt>
                <c:pt idx="688">
                  <c:v>0.0864768683274022</c:v>
                </c:pt>
                <c:pt idx="689">
                  <c:v>0.0914590747330961</c:v>
                </c:pt>
                <c:pt idx="690">
                  <c:v>0.0914590747330961</c:v>
                </c:pt>
                <c:pt idx="691">
                  <c:v>0.090035587188612</c:v>
                </c:pt>
                <c:pt idx="692">
                  <c:v>0.090035587188612</c:v>
                </c:pt>
                <c:pt idx="693">
                  <c:v>0.0864768683274022</c:v>
                </c:pt>
                <c:pt idx="694">
                  <c:v>0.0736654804270462</c:v>
                </c:pt>
                <c:pt idx="695">
                  <c:v>0.0665480427046263</c:v>
                </c:pt>
                <c:pt idx="696">
                  <c:v>0.0640569395017794</c:v>
                </c:pt>
                <c:pt idx="697">
                  <c:v>0.0558718861209964</c:v>
                </c:pt>
                <c:pt idx="698">
                  <c:v>0.0523131672597863</c:v>
                </c:pt>
                <c:pt idx="699">
                  <c:v>0.0462633451957295</c:v>
                </c:pt>
                <c:pt idx="700">
                  <c:v>0.0402135231316727</c:v>
                </c:pt>
                <c:pt idx="701">
                  <c:v>0.0345195729537366</c:v>
                </c:pt>
                <c:pt idx="702">
                  <c:v>0.0327402135231316</c:v>
                </c:pt>
                <c:pt idx="703">
                  <c:v>0.0295373665480425</c:v>
                </c:pt>
                <c:pt idx="704">
                  <c:v>0.0284697508896798</c:v>
                </c:pt>
                <c:pt idx="705">
                  <c:v>0.0259786476868327</c:v>
                </c:pt>
                <c:pt idx="706">
                  <c:v>0.0249110320284698</c:v>
                </c:pt>
                <c:pt idx="707">
                  <c:v>0.0238434163701067</c:v>
                </c:pt>
                <c:pt idx="708">
                  <c:v>0.0213523131672597</c:v>
                </c:pt>
                <c:pt idx="709">
                  <c:v>0.0202846975088968</c:v>
                </c:pt>
                <c:pt idx="710">
                  <c:v>0.0188612099644128</c:v>
                </c:pt>
                <c:pt idx="711">
                  <c:v>0.0153024911032029</c:v>
                </c:pt>
                <c:pt idx="712">
                  <c:v>0.0131672597864769</c:v>
                </c:pt>
                <c:pt idx="713">
                  <c:v>0.00818505338078301</c:v>
                </c:pt>
                <c:pt idx="714">
                  <c:v>0.00711743772241991</c:v>
                </c:pt>
                <c:pt idx="715">
                  <c:v>0.00711743772241991</c:v>
                </c:pt>
                <c:pt idx="716">
                  <c:v>0.00249110320284696</c:v>
                </c:pt>
                <c:pt idx="717">
                  <c:v>-0.00249110320284707</c:v>
                </c:pt>
                <c:pt idx="718">
                  <c:v>-0.00604982206405691</c:v>
                </c:pt>
                <c:pt idx="719">
                  <c:v>-0.00604982206405691</c:v>
                </c:pt>
                <c:pt idx="720">
                  <c:v>-0.0131672597864768</c:v>
                </c:pt>
                <c:pt idx="721">
                  <c:v>-0.0188612099644128</c:v>
                </c:pt>
                <c:pt idx="722">
                  <c:v>-0.0202846975088967</c:v>
                </c:pt>
                <c:pt idx="723">
                  <c:v>-0.0220640569395018</c:v>
                </c:pt>
                <c:pt idx="724">
                  <c:v>-0.0224199288256228</c:v>
                </c:pt>
                <c:pt idx="725">
                  <c:v>-0.0224199288256228</c:v>
                </c:pt>
                <c:pt idx="726">
                  <c:v>-0.0224199288256228</c:v>
                </c:pt>
                <c:pt idx="727">
                  <c:v>-0.0224199288256228</c:v>
                </c:pt>
                <c:pt idx="728">
                  <c:v>-0.0231316725978647</c:v>
                </c:pt>
                <c:pt idx="729">
                  <c:v>-0.0277580071174377</c:v>
                </c:pt>
                <c:pt idx="730">
                  <c:v>-0.0277580071174377</c:v>
                </c:pt>
                <c:pt idx="731">
                  <c:v>-0.0249110320284697</c:v>
                </c:pt>
                <c:pt idx="732">
                  <c:v>-0.0256227758007118</c:v>
                </c:pt>
                <c:pt idx="733">
                  <c:v>-0.0188612099644128</c:v>
                </c:pt>
                <c:pt idx="734">
                  <c:v>-0.00960854092526697</c:v>
                </c:pt>
                <c:pt idx="735">
                  <c:v>0.0188612099644128</c:v>
                </c:pt>
                <c:pt idx="736">
                  <c:v>0.0569395017793595</c:v>
                </c:pt>
                <c:pt idx="737">
                  <c:v>0.0736654804270462</c:v>
                </c:pt>
                <c:pt idx="738">
                  <c:v>0.0736654804270462</c:v>
                </c:pt>
                <c:pt idx="739">
                  <c:v>0.0758007117437722</c:v>
                </c:pt>
                <c:pt idx="740">
                  <c:v>0.0772241992882563</c:v>
                </c:pt>
                <c:pt idx="741">
                  <c:v>0.0772241992882563</c:v>
                </c:pt>
                <c:pt idx="742">
                  <c:v>0.0772241992882563</c:v>
                </c:pt>
                <c:pt idx="743">
                  <c:v>0.0772241992882563</c:v>
                </c:pt>
                <c:pt idx="744">
                  <c:v>0.0775800711743773</c:v>
                </c:pt>
                <c:pt idx="745">
                  <c:v>0.0782918149466192</c:v>
                </c:pt>
                <c:pt idx="746">
                  <c:v>0.0782918149466192</c:v>
                </c:pt>
                <c:pt idx="747">
                  <c:v>0.0782918149466192</c:v>
                </c:pt>
                <c:pt idx="748">
                  <c:v>0.0782918149466192</c:v>
                </c:pt>
                <c:pt idx="749">
                  <c:v>0.0669014084507042</c:v>
                </c:pt>
                <c:pt idx="750">
                  <c:v>0.073943661971831</c:v>
                </c:pt>
                <c:pt idx="751">
                  <c:v>0.0820422535211267</c:v>
                </c:pt>
                <c:pt idx="752">
                  <c:v>0.101056338028169</c:v>
                </c:pt>
                <c:pt idx="753">
                  <c:v>0.108098591549296</c:v>
                </c:pt>
                <c:pt idx="754">
                  <c:v>0.112676056338028</c:v>
                </c:pt>
                <c:pt idx="755">
                  <c:v>0.120774647887324</c:v>
                </c:pt>
                <c:pt idx="756">
                  <c:v>0.126760563380282</c:v>
                </c:pt>
                <c:pt idx="757">
                  <c:v>0.13274647887324</c:v>
                </c:pt>
                <c:pt idx="758">
                  <c:v>0.150352112676056</c:v>
                </c:pt>
                <c:pt idx="759">
                  <c:v>0.172535211267606</c:v>
                </c:pt>
                <c:pt idx="760">
                  <c:v>0.177112676056338</c:v>
                </c:pt>
                <c:pt idx="761">
                  <c:v>0.179577464788732</c:v>
                </c:pt>
                <c:pt idx="762">
                  <c:v>0.18556338028169</c:v>
                </c:pt>
                <c:pt idx="763">
                  <c:v>0.189084507042254</c:v>
                </c:pt>
                <c:pt idx="764">
                  <c:v>0.189084507042254</c:v>
                </c:pt>
                <c:pt idx="765">
                  <c:v>0.208802816901408</c:v>
                </c:pt>
                <c:pt idx="766">
                  <c:v>0.194444444444444</c:v>
                </c:pt>
                <c:pt idx="767">
                  <c:v>0.210763888888889</c:v>
                </c:pt>
                <c:pt idx="768">
                  <c:v>0.196875</c:v>
                </c:pt>
                <c:pt idx="769">
                  <c:v>0.189930555555556</c:v>
                </c:pt>
                <c:pt idx="770">
                  <c:v>0.185069444444445</c:v>
                </c:pt>
                <c:pt idx="771">
                  <c:v>0.185069444444445</c:v>
                </c:pt>
                <c:pt idx="772">
                  <c:v>0.185069444444445</c:v>
                </c:pt>
                <c:pt idx="773">
                  <c:v>0.185069444444445</c:v>
                </c:pt>
                <c:pt idx="774">
                  <c:v>0.185069444444445</c:v>
                </c:pt>
                <c:pt idx="775">
                  <c:v>0.185069444444445</c:v>
                </c:pt>
                <c:pt idx="776">
                  <c:v>0.178125</c:v>
                </c:pt>
                <c:pt idx="777">
                  <c:v>0.173611111111111</c:v>
                </c:pt>
                <c:pt idx="778">
                  <c:v>0.151736111111111</c:v>
                </c:pt>
                <c:pt idx="779">
                  <c:v>0.151736111111111</c:v>
                </c:pt>
                <c:pt idx="780">
                  <c:v>0.151736111111111</c:v>
                </c:pt>
                <c:pt idx="781">
                  <c:v>0.151736111111111</c:v>
                </c:pt>
                <c:pt idx="782">
                  <c:v>0.160763888888889</c:v>
                </c:pt>
                <c:pt idx="783">
                  <c:v>0.164236111111111</c:v>
                </c:pt>
                <c:pt idx="784">
                  <c:v>0.186458333333333</c:v>
                </c:pt>
                <c:pt idx="785">
                  <c:v>0.189930555555556</c:v>
                </c:pt>
                <c:pt idx="786">
                  <c:v>0.172448979591837</c:v>
                </c:pt>
                <c:pt idx="787">
                  <c:v>0.196258503401361</c:v>
                </c:pt>
                <c:pt idx="788">
                  <c:v>0.200680272108843</c:v>
                </c:pt>
                <c:pt idx="789">
                  <c:v>0.211904761904762</c:v>
                </c:pt>
                <c:pt idx="790">
                  <c:v>0.211904761904762</c:v>
                </c:pt>
                <c:pt idx="791">
                  <c:v>0.218707482993197</c:v>
                </c:pt>
                <c:pt idx="792">
                  <c:v>0.227891156462585</c:v>
                </c:pt>
                <c:pt idx="793">
                  <c:v>0.22891156462585</c:v>
                </c:pt>
                <c:pt idx="794">
                  <c:v>0.224489795918367</c:v>
                </c:pt>
                <c:pt idx="795">
                  <c:v>0.223469387755102</c:v>
                </c:pt>
                <c:pt idx="796">
                  <c:v>0.216666666666667</c:v>
                </c:pt>
                <c:pt idx="797">
                  <c:v>0.21530612244898</c:v>
                </c:pt>
                <c:pt idx="798">
                  <c:v>0.204081632653061</c:v>
                </c:pt>
                <c:pt idx="799">
                  <c:v>0.199659863945578</c:v>
                </c:pt>
                <c:pt idx="800">
                  <c:v>0.197278911564626</c:v>
                </c:pt>
                <c:pt idx="801">
                  <c:v>0.194897959183673</c:v>
                </c:pt>
                <c:pt idx="802">
                  <c:v>0.19047619047619</c:v>
                </c:pt>
                <c:pt idx="803">
                  <c:v>0.19047619047619</c:v>
                </c:pt>
                <c:pt idx="804">
                  <c:v>0.19047619047619</c:v>
                </c:pt>
                <c:pt idx="805">
                  <c:v>0.19047619047619</c:v>
                </c:pt>
                <c:pt idx="806">
                  <c:v>0.19047619047619</c:v>
                </c:pt>
                <c:pt idx="807">
                  <c:v>0.19047619047619</c:v>
                </c:pt>
                <c:pt idx="808">
                  <c:v>0.094224924012158</c:v>
                </c:pt>
                <c:pt idx="809">
                  <c:v>0.104255319148936</c:v>
                </c:pt>
                <c:pt idx="810">
                  <c:v>0.105471124620061</c:v>
                </c:pt>
                <c:pt idx="811">
                  <c:v>0.105471124620061</c:v>
                </c:pt>
                <c:pt idx="812">
                  <c:v>0.105471124620061</c:v>
                </c:pt>
                <c:pt idx="813">
                  <c:v>0.0993920972644378</c:v>
                </c:pt>
                <c:pt idx="814">
                  <c:v>0.0902735562310031</c:v>
                </c:pt>
                <c:pt idx="815">
                  <c:v>0.0881458966565349</c:v>
                </c:pt>
                <c:pt idx="816">
                  <c:v>0.0829787234042554</c:v>
                </c:pt>
                <c:pt idx="817">
                  <c:v>0.0738601823708207</c:v>
                </c:pt>
                <c:pt idx="818">
                  <c:v>0.064741641337386</c:v>
                </c:pt>
                <c:pt idx="819">
                  <c:v>0.0577507598784195</c:v>
                </c:pt>
                <c:pt idx="820">
                  <c:v>0.0556231003039513</c:v>
                </c:pt>
                <c:pt idx="821">
                  <c:v>0.0537993920972644</c:v>
                </c:pt>
                <c:pt idx="822">
                  <c:v>0.0486322188449848</c:v>
                </c:pt>
                <c:pt idx="823">
                  <c:v>0.0465045592705167</c:v>
                </c:pt>
                <c:pt idx="824">
                  <c:v>0.0416413373860183</c:v>
                </c:pt>
                <c:pt idx="825">
                  <c:v>0.0386018237082066</c:v>
                </c:pt>
                <c:pt idx="826">
                  <c:v>0.0364741641337387</c:v>
                </c:pt>
                <c:pt idx="827">
                  <c:v>0.0234042553191489</c:v>
                </c:pt>
                <c:pt idx="828">
                  <c:v>0.0161094224924012</c:v>
                </c:pt>
                <c:pt idx="829">
                  <c:v>0.00911854103343468</c:v>
                </c:pt>
                <c:pt idx="830">
                  <c:v>-0.000906344410876114</c:v>
                </c:pt>
                <c:pt idx="831">
                  <c:v>-0.00694864048338373</c:v>
                </c:pt>
                <c:pt idx="832">
                  <c:v>-0.00906344410876136</c:v>
                </c:pt>
                <c:pt idx="833">
                  <c:v>-0.011178247734139</c:v>
                </c:pt>
                <c:pt idx="834">
                  <c:v>-0.015105740181269</c:v>
                </c:pt>
                <c:pt idx="835">
                  <c:v>-0.0190332326283988</c:v>
                </c:pt>
                <c:pt idx="836">
                  <c:v>-0.027190332326284</c:v>
                </c:pt>
                <c:pt idx="837">
                  <c:v>-0.0293051359516616</c:v>
                </c:pt>
                <c:pt idx="838">
                  <c:v>-0.0347432024169185</c:v>
                </c:pt>
                <c:pt idx="839">
                  <c:v>-0.0441087613293051</c:v>
                </c:pt>
                <c:pt idx="840">
                  <c:v>-0.051963746223565</c:v>
                </c:pt>
                <c:pt idx="841">
                  <c:v>-0.0561933534743202</c:v>
                </c:pt>
                <c:pt idx="842">
                  <c:v>-0.0583081570996979</c:v>
                </c:pt>
                <c:pt idx="843">
                  <c:v>-0.0592145015105741</c:v>
                </c:pt>
                <c:pt idx="844">
                  <c:v>-0.0601208459214501</c:v>
                </c:pt>
                <c:pt idx="845">
                  <c:v>-0.0607250755287009</c:v>
                </c:pt>
                <c:pt idx="846">
                  <c:v>-0.065558912386707</c:v>
                </c:pt>
                <c:pt idx="847">
                  <c:v>-0.0676737160120846</c:v>
                </c:pt>
                <c:pt idx="848">
                  <c:v>-0.0697885196374622</c:v>
                </c:pt>
                <c:pt idx="849">
                  <c:v>-0.0761329305135953</c:v>
                </c:pt>
                <c:pt idx="850">
                  <c:v>-0.0761329305135953</c:v>
                </c:pt>
                <c:pt idx="851">
                  <c:v>-0.0776435045317221</c:v>
                </c:pt>
                <c:pt idx="852">
                  <c:v>-0.0776435045317221</c:v>
                </c:pt>
                <c:pt idx="853">
                  <c:v>-0.0791540785498489</c:v>
                </c:pt>
                <c:pt idx="854">
                  <c:v>-0.0854984894259818</c:v>
                </c:pt>
                <c:pt idx="855">
                  <c:v>-0.0867069486404833</c:v>
                </c:pt>
                <c:pt idx="856">
                  <c:v>-0.0954682779456193</c:v>
                </c:pt>
                <c:pt idx="857">
                  <c:v>-0.0978851963746223</c:v>
                </c:pt>
                <c:pt idx="858">
                  <c:v>-0.0987915407854985</c:v>
                </c:pt>
                <c:pt idx="859">
                  <c:v>-0.103021148036254</c:v>
                </c:pt>
                <c:pt idx="860">
                  <c:v>-0.120543806646526</c:v>
                </c:pt>
                <c:pt idx="861">
                  <c:v>-0.124773413897281</c:v>
                </c:pt>
                <c:pt idx="862">
                  <c:v>-0.131117824773414</c:v>
                </c:pt>
                <c:pt idx="863">
                  <c:v>-0.137462235649547</c:v>
                </c:pt>
                <c:pt idx="864">
                  <c:v>-0.138972809667674</c:v>
                </c:pt>
                <c:pt idx="865">
                  <c:v>-0.145619335347432</c:v>
                </c:pt>
                <c:pt idx="866">
                  <c:v>-0.148036253776435</c:v>
                </c:pt>
                <c:pt idx="867">
                  <c:v>-0.152870090634441</c:v>
                </c:pt>
                <c:pt idx="868">
                  <c:v>-0.155287009063444</c:v>
                </c:pt>
                <c:pt idx="869">
                  <c:v>-0.159516616314199</c:v>
                </c:pt>
                <c:pt idx="870">
                  <c:v>-0.114376996805112</c:v>
                </c:pt>
                <c:pt idx="871">
                  <c:v>-0.117571884984025</c:v>
                </c:pt>
                <c:pt idx="872">
                  <c:v>-0.120127795527156</c:v>
                </c:pt>
                <c:pt idx="873">
                  <c:v>-0.133546325878594</c:v>
                </c:pt>
                <c:pt idx="874">
                  <c:v>-0.13482428115016</c:v>
                </c:pt>
                <c:pt idx="875">
                  <c:v>-0.137380191693291</c:v>
                </c:pt>
                <c:pt idx="876">
                  <c:v>-0.139936102236422</c:v>
                </c:pt>
                <c:pt idx="877">
                  <c:v>-0.142492012779553</c:v>
                </c:pt>
                <c:pt idx="878">
                  <c:v>-0.145047923322684</c:v>
                </c:pt>
                <c:pt idx="879">
                  <c:v>-0.145047923322684</c:v>
                </c:pt>
                <c:pt idx="880">
                  <c:v>-0.147603833865815</c:v>
                </c:pt>
                <c:pt idx="881">
                  <c:v>-0.147923322683706</c:v>
                </c:pt>
                <c:pt idx="882">
                  <c:v>-0.147923322683706</c:v>
                </c:pt>
                <c:pt idx="883">
                  <c:v>-0.147923322683706</c:v>
                </c:pt>
                <c:pt idx="884">
                  <c:v>-0.150798722044728</c:v>
                </c:pt>
                <c:pt idx="885">
                  <c:v>-0.155591054313099</c:v>
                </c:pt>
                <c:pt idx="886">
                  <c:v>-0.155591054313099</c:v>
                </c:pt>
                <c:pt idx="887">
                  <c:v>-0.156549520766773</c:v>
                </c:pt>
                <c:pt idx="888">
                  <c:v>-0.156869009584665</c:v>
                </c:pt>
                <c:pt idx="889">
                  <c:v>-0.159744408945687</c:v>
                </c:pt>
                <c:pt idx="890">
                  <c:v>-0.160063897763578</c:v>
                </c:pt>
                <c:pt idx="891">
                  <c:v>-0.162939297124601</c:v>
                </c:pt>
                <c:pt idx="892">
                  <c:v>-0.163258785942492</c:v>
                </c:pt>
                <c:pt idx="893">
                  <c:v>-0.163258785942492</c:v>
                </c:pt>
                <c:pt idx="894">
                  <c:v>-0.166134185303514</c:v>
                </c:pt>
                <c:pt idx="895">
                  <c:v>-0.166453674121406</c:v>
                </c:pt>
                <c:pt idx="896">
                  <c:v>-0.166453674121406</c:v>
                </c:pt>
                <c:pt idx="897">
                  <c:v>-0.167092651757188</c:v>
                </c:pt>
                <c:pt idx="898">
                  <c:v>-0.167092651757188</c:v>
                </c:pt>
                <c:pt idx="899">
                  <c:v>-0.167092651757188</c:v>
                </c:pt>
                <c:pt idx="900">
                  <c:v>-0.167092651757188</c:v>
                </c:pt>
                <c:pt idx="901">
                  <c:v>-0.175399361022364</c:v>
                </c:pt>
                <c:pt idx="902">
                  <c:v>-0.177955271565495</c:v>
                </c:pt>
                <c:pt idx="903">
                  <c:v>-0.178594249201278</c:v>
                </c:pt>
                <c:pt idx="904">
                  <c:v>-0.181150159744409</c:v>
                </c:pt>
                <c:pt idx="905">
                  <c:v>-0.184025559105431</c:v>
                </c:pt>
                <c:pt idx="906">
                  <c:v>-0.189456869009585</c:v>
                </c:pt>
                <c:pt idx="907">
                  <c:v>-0.189456869009585</c:v>
                </c:pt>
                <c:pt idx="908">
                  <c:v>-0.192012779552716</c:v>
                </c:pt>
                <c:pt idx="909">
                  <c:v>-0.190095846645367</c:v>
                </c:pt>
                <c:pt idx="910">
                  <c:v>-0.180191693290735</c:v>
                </c:pt>
                <c:pt idx="911">
                  <c:v>-0.173801916932907</c:v>
                </c:pt>
                <c:pt idx="912">
                  <c:v>-0.173801916932907</c:v>
                </c:pt>
                <c:pt idx="913">
                  <c:v>-0.173801916932907</c:v>
                </c:pt>
                <c:pt idx="914">
                  <c:v>-0.162939297124601</c:v>
                </c:pt>
                <c:pt idx="915">
                  <c:v>-0.143130990415336</c:v>
                </c:pt>
                <c:pt idx="916">
                  <c:v>-0.118849840255591</c:v>
                </c:pt>
                <c:pt idx="917">
                  <c:v>-0.103194888178914</c:v>
                </c:pt>
                <c:pt idx="918">
                  <c:v>-0.100319488817891</c:v>
                </c:pt>
                <c:pt idx="919">
                  <c:v>-0.0878594249201278</c:v>
                </c:pt>
                <c:pt idx="920">
                  <c:v>-0.0773162939297125</c:v>
                </c:pt>
                <c:pt idx="921">
                  <c:v>-0.0654952076677316</c:v>
                </c:pt>
                <c:pt idx="922">
                  <c:v>-0.0591054313099042</c:v>
                </c:pt>
                <c:pt idx="923">
                  <c:v>-0.0591054313099042</c:v>
                </c:pt>
                <c:pt idx="924">
                  <c:v>-0.0591054313099042</c:v>
                </c:pt>
                <c:pt idx="925">
                  <c:v>-0.0517571884984025</c:v>
                </c:pt>
                <c:pt idx="926">
                  <c:v>-0.0517571884984025</c:v>
                </c:pt>
                <c:pt idx="927">
                  <c:v>-0.0517571884984025</c:v>
                </c:pt>
                <c:pt idx="928">
                  <c:v>-0.0517571884984025</c:v>
                </c:pt>
                <c:pt idx="929">
                  <c:v>-0.0543130990415335</c:v>
                </c:pt>
                <c:pt idx="930">
                  <c:v>-0.0543130990415335</c:v>
                </c:pt>
                <c:pt idx="931">
                  <c:v>-0.0543130990415335</c:v>
                </c:pt>
                <c:pt idx="932">
                  <c:v>-0.0543130990415335</c:v>
                </c:pt>
                <c:pt idx="933">
                  <c:v>-0.0565495207667732</c:v>
                </c:pt>
                <c:pt idx="934">
                  <c:v>-0.0565495207667732</c:v>
                </c:pt>
                <c:pt idx="935">
                  <c:v>-0.0565495207667732</c:v>
                </c:pt>
                <c:pt idx="936">
                  <c:v>0.0361403508771929</c:v>
                </c:pt>
                <c:pt idx="937">
                  <c:v>0.0361403508771929</c:v>
                </c:pt>
                <c:pt idx="938">
                  <c:v>0.0361403508771929</c:v>
                </c:pt>
                <c:pt idx="939">
                  <c:v>0.0361403508771929</c:v>
                </c:pt>
                <c:pt idx="940">
                  <c:v>0.0361403508771929</c:v>
                </c:pt>
                <c:pt idx="941">
                  <c:v>0.0385964912280701</c:v>
                </c:pt>
                <c:pt idx="942">
                  <c:v>0.0385964912280701</c:v>
                </c:pt>
                <c:pt idx="943">
                  <c:v>0.0361403508771929</c:v>
                </c:pt>
                <c:pt idx="944">
                  <c:v>0.0308771929824561</c:v>
                </c:pt>
                <c:pt idx="945">
                  <c:v>0.0256140350877192</c:v>
                </c:pt>
                <c:pt idx="946">
                  <c:v>0.0192982456140349</c:v>
                </c:pt>
                <c:pt idx="947">
                  <c:v>0.0175438596491226</c:v>
                </c:pt>
                <c:pt idx="948">
                  <c:v>0.016842105263158</c:v>
                </c:pt>
                <c:pt idx="949">
                  <c:v>0.0157894736842106</c:v>
                </c:pt>
                <c:pt idx="950">
                  <c:v>0.0157894736842106</c:v>
                </c:pt>
                <c:pt idx="951">
                  <c:v>0.0133333333333332</c:v>
                </c:pt>
                <c:pt idx="952">
                  <c:v>0.0122807017543858</c:v>
                </c:pt>
                <c:pt idx="953">
                  <c:v>0.00701754385964914</c:v>
                </c:pt>
                <c:pt idx="954">
                  <c:v>0.00666666666666682</c:v>
                </c:pt>
                <c:pt idx="955">
                  <c:v>0.00070175438596487</c:v>
                </c:pt>
                <c:pt idx="956">
                  <c:v>0.000350877192982324</c:v>
                </c:pt>
                <c:pt idx="957">
                  <c:v>-0.000350877192982435</c:v>
                </c:pt>
                <c:pt idx="958">
                  <c:v>-0.000350877192982435</c:v>
                </c:pt>
                <c:pt idx="959">
                  <c:v>-0.000350877192982435</c:v>
                </c:pt>
                <c:pt idx="960">
                  <c:v>-0.00140350877192985</c:v>
                </c:pt>
                <c:pt idx="961">
                  <c:v>-0.00140350877192985</c:v>
                </c:pt>
                <c:pt idx="962">
                  <c:v>-0.00210526315789483</c:v>
                </c:pt>
                <c:pt idx="963">
                  <c:v>-0.0028070175438597</c:v>
                </c:pt>
                <c:pt idx="964">
                  <c:v>-0.00947368421052641</c:v>
                </c:pt>
                <c:pt idx="965">
                  <c:v>-0.011578947368421</c:v>
                </c:pt>
                <c:pt idx="966">
                  <c:v>-0.011578947368421</c:v>
                </c:pt>
                <c:pt idx="967">
                  <c:v>-0.0150877192982457</c:v>
                </c:pt>
                <c:pt idx="968">
                  <c:v>-0.015438596491228</c:v>
                </c:pt>
                <c:pt idx="969">
                  <c:v>-0.015438596491228</c:v>
                </c:pt>
                <c:pt idx="970">
                  <c:v>-0.0171929824561403</c:v>
                </c:pt>
                <c:pt idx="971">
                  <c:v>-0.0185964912280702</c:v>
                </c:pt>
                <c:pt idx="972">
                  <c:v>-0.0252631578947369</c:v>
                </c:pt>
                <c:pt idx="973">
                  <c:v>-0.0252631578947369</c:v>
                </c:pt>
                <c:pt idx="974">
                  <c:v>-0.0263157894736843</c:v>
                </c:pt>
                <c:pt idx="975">
                  <c:v>-0.0277192982456141</c:v>
                </c:pt>
                <c:pt idx="976">
                  <c:v>-0.0280701754385965</c:v>
                </c:pt>
                <c:pt idx="977">
                  <c:v>-0.0280701754385965</c:v>
                </c:pt>
                <c:pt idx="978">
                  <c:v>-0.0266666666666667</c:v>
                </c:pt>
                <c:pt idx="979">
                  <c:v>-0.011578947368421</c:v>
                </c:pt>
                <c:pt idx="980">
                  <c:v>0.00491228070175431</c:v>
                </c:pt>
                <c:pt idx="981">
                  <c:v>0.0140350877192983</c:v>
                </c:pt>
                <c:pt idx="982">
                  <c:v>0.0368421052631578</c:v>
                </c:pt>
                <c:pt idx="983">
                  <c:v>0.0428070175438595</c:v>
                </c:pt>
                <c:pt idx="984">
                  <c:v>0.0428070175438595</c:v>
                </c:pt>
                <c:pt idx="985">
                  <c:v>0.0438596491228069</c:v>
                </c:pt>
                <c:pt idx="986">
                  <c:v>0.0498245614035087</c:v>
                </c:pt>
                <c:pt idx="987">
                  <c:v>0.0596491228070175</c:v>
                </c:pt>
                <c:pt idx="988">
                  <c:v>0.128070175438596</c:v>
                </c:pt>
                <c:pt idx="989">
                  <c:v>0.164210526315789</c:v>
                </c:pt>
                <c:pt idx="990">
                  <c:v>0.188070175438596</c:v>
                </c:pt>
                <c:pt idx="991">
                  <c:v>0.190877192982456</c:v>
                </c:pt>
                <c:pt idx="992">
                  <c:v>0.192982456140351</c:v>
                </c:pt>
                <c:pt idx="993">
                  <c:v>0.198245614035088</c:v>
                </c:pt>
                <c:pt idx="994">
                  <c:v>0.205263157894737</c:v>
                </c:pt>
                <c:pt idx="995">
                  <c:v>0.210526315789474</c:v>
                </c:pt>
                <c:pt idx="996">
                  <c:v>0.210526315789474</c:v>
                </c:pt>
                <c:pt idx="997">
                  <c:v>0.210526315789474</c:v>
                </c:pt>
                <c:pt idx="998">
                  <c:v>0.214035087719298</c:v>
                </c:pt>
                <c:pt idx="999">
                  <c:v>0.214035087719298</c:v>
                </c:pt>
                <c:pt idx="1000">
                  <c:v>0.153333333333333</c:v>
                </c:pt>
                <c:pt idx="1001">
                  <c:v>0.153333333333333</c:v>
                </c:pt>
                <c:pt idx="1002">
                  <c:v>0.153333333333333</c:v>
                </c:pt>
                <c:pt idx="1003">
                  <c:v>0.153333333333333</c:v>
                </c:pt>
                <c:pt idx="1004">
                  <c:v>0.153333333333333</c:v>
                </c:pt>
                <c:pt idx="1005">
                  <c:v>0.153333333333333</c:v>
                </c:pt>
                <c:pt idx="1006">
                  <c:v>0.141666666666667</c:v>
                </c:pt>
                <c:pt idx="1007">
                  <c:v>0.141666666666667</c:v>
                </c:pt>
                <c:pt idx="1008">
                  <c:v>0.141666666666667</c:v>
                </c:pt>
                <c:pt idx="1009">
                  <c:v>0.15</c:v>
                </c:pt>
                <c:pt idx="1010">
                  <c:v>0.15</c:v>
                </c:pt>
                <c:pt idx="1011">
                  <c:v>0.155</c:v>
                </c:pt>
                <c:pt idx="1012">
                  <c:v>0.155</c:v>
                </c:pt>
                <c:pt idx="1013">
                  <c:v>0.155</c:v>
                </c:pt>
                <c:pt idx="1014">
                  <c:v>0.156666666666667</c:v>
                </c:pt>
                <c:pt idx="1015">
                  <c:v>0.156666666666667</c:v>
                </c:pt>
                <c:pt idx="1016">
                  <c:v>0.175</c:v>
                </c:pt>
                <c:pt idx="1017">
                  <c:v>0.178333333333333</c:v>
                </c:pt>
                <c:pt idx="1018">
                  <c:v>0.203333333333333</c:v>
                </c:pt>
                <c:pt idx="1019">
                  <c:v>0.228333333333333</c:v>
                </c:pt>
                <c:pt idx="1020">
                  <c:v>0.233333333333333</c:v>
                </c:pt>
                <c:pt idx="1021">
                  <c:v>0.236666666666667</c:v>
                </c:pt>
                <c:pt idx="1022">
                  <c:v>0.236666666666667</c:v>
                </c:pt>
                <c:pt idx="1023">
                  <c:v>0.24</c:v>
                </c:pt>
                <c:pt idx="1024">
                  <c:v>0.24</c:v>
                </c:pt>
                <c:pt idx="1025">
                  <c:v>0.24</c:v>
                </c:pt>
                <c:pt idx="1026">
                  <c:v>0.245</c:v>
                </c:pt>
                <c:pt idx="1027">
                  <c:v>0.245</c:v>
                </c:pt>
                <c:pt idx="1028">
                  <c:v>0.25</c:v>
                </c:pt>
                <c:pt idx="1029">
                  <c:v>0.305</c:v>
                </c:pt>
                <c:pt idx="1030">
                  <c:v>0.33</c:v>
                </c:pt>
                <c:pt idx="1031">
                  <c:v>0.358333333333333</c:v>
                </c:pt>
                <c:pt idx="1032">
                  <c:v>0.383333333333334</c:v>
                </c:pt>
                <c:pt idx="1033">
                  <c:v>0.4</c:v>
                </c:pt>
                <c:pt idx="1034">
                  <c:v>0.425</c:v>
                </c:pt>
                <c:pt idx="1035">
                  <c:v>0.45</c:v>
                </c:pt>
                <c:pt idx="1036">
                  <c:v>0.458333333333333</c:v>
                </c:pt>
                <c:pt idx="1037">
                  <c:v>0.475</c:v>
                </c:pt>
                <c:pt idx="1038">
                  <c:v>0.475</c:v>
                </c:pt>
                <c:pt idx="1039">
                  <c:v>0.475</c:v>
                </c:pt>
                <c:pt idx="1040">
                  <c:v>0.475</c:v>
                </c:pt>
                <c:pt idx="1041">
                  <c:v>0.475</c:v>
                </c:pt>
                <c:pt idx="1042">
                  <c:v>0.475</c:v>
                </c:pt>
                <c:pt idx="1043">
                  <c:v>0.491666666666666</c:v>
                </c:pt>
                <c:pt idx="1044">
                  <c:v>0.491666666666666</c:v>
                </c:pt>
                <c:pt idx="1045">
                  <c:v>0.5</c:v>
                </c:pt>
                <c:pt idx="1046">
                  <c:v>0.5</c:v>
                </c:pt>
                <c:pt idx="1047">
                  <c:v>0.483333333333333</c:v>
                </c:pt>
                <c:pt idx="1048">
                  <c:v>0.466666666666667</c:v>
                </c:pt>
                <c:pt idx="1049">
                  <c:v>0.458333333333333</c:v>
                </c:pt>
                <c:pt idx="1050">
                  <c:v>0.45</c:v>
                </c:pt>
                <c:pt idx="1051">
                  <c:v>0.433333333333333</c:v>
                </c:pt>
                <c:pt idx="1052">
                  <c:v>0.433333333333333</c:v>
                </c:pt>
                <c:pt idx="1053">
                  <c:v>0.433333333333333</c:v>
                </c:pt>
                <c:pt idx="1054">
                  <c:v>0.425</c:v>
                </c:pt>
                <c:pt idx="1055">
                  <c:v>0.416666666666667</c:v>
                </c:pt>
                <c:pt idx="1056">
                  <c:v>0.411666666666667</c:v>
                </c:pt>
                <c:pt idx="1057">
                  <c:v>0.403333333333333</c:v>
                </c:pt>
                <c:pt idx="1058">
                  <c:v>0.4</c:v>
                </c:pt>
                <c:pt idx="1059">
                  <c:v>0.0986842105263157</c:v>
                </c:pt>
                <c:pt idx="1060">
                  <c:v>0.0986842105263157</c:v>
                </c:pt>
                <c:pt idx="1061">
                  <c:v>0.138157894736842</c:v>
                </c:pt>
                <c:pt idx="1062">
                  <c:v>0.151315789473684</c:v>
                </c:pt>
                <c:pt idx="1063">
                  <c:v>0.151315789473684</c:v>
                </c:pt>
                <c:pt idx="1064">
                  <c:v>0.144736842105263</c:v>
                </c:pt>
                <c:pt idx="1065">
                  <c:v>0.144736842105263</c:v>
                </c:pt>
                <c:pt idx="1066">
                  <c:v>0.151315789473684</c:v>
                </c:pt>
                <c:pt idx="1067">
                  <c:v>0.151315789473684</c:v>
                </c:pt>
                <c:pt idx="1068">
                  <c:v>0.151315789473684</c:v>
                </c:pt>
                <c:pt idx="1069">
                  <c:v>0.153947368421053</c:v>
                </c:pt>
                <c:pt idx="1070">
                  <c:v>0.157894736842105</c:v>
                </c:pt>
                <c:pt idx="1071">
                  <c:v>0.157894736842105</c:v>
                </c:pt>
                <c:pt idx="1072">
                  <c:v>0.157894736842105</c:v>
                </c:pt>
                <c:pt idx="1073">
                  <c:v>0.15921052631579</c:v>
                </c:pt>
                <c:pt idx="1074">
                  <c:v>0.171052631578948</c:v>
                </c:pt>
                <c:pt idx="1075">
                  <c:v>0.217105263157895</c:v>
                </c:pt>
                <c:pt idx="1076">
                  <c:v>0.223684210526316</c:v>
                </c:pt>
                <c:pt idx="1077">
                  <c:v>0.225789473684211</c:v>
                </c:pt>
                <c:pt idx="1078">
                  <c:v>0.218947368421053</c:v>
                </c:pt>
                <c:pt idx="1079">
                  <c:v>0.218947368421053</c:v>
                </c:pt>
                <c:pt idx="1080">
                  <c:v>0.218947368421053</c:v>
                </c:pt>
                <c:pt idx="1081">
                  <c:v>0.218947368421053</c:v>
                </c:pt>
                <c:pt idx="1082">
                  <c:v>0.218947368421053</c:v>
                </c:pt>
                <c:pt idx="1083">
                  <c:v>0.212105263157895</c:v>
                </c:pt>
                <c:pt idx="1084">
                  <c:v>0.212105263157895</c:v>
                </c:pt>
                <c:pt idx="1085">
                  <c:v>0.212105263157895</c:v>
                </c:pt>
                <c:pt idx="1086">
                  <c:v>0.198947368421053</c:v>
                </c:pt>
                <c:pt idx="1087">
                  <c:v>0.186315789473684</c:v>
                </c:pt>
                <c:pt idx="1088">
                  <c:v>0.173157894736842</c:v>
                </c:pt>
                <c:pt idx="1089">
                  <c:v>0.166842105263158</c:v>
                </c:pt>
                <c:pt idx="1090">
                  <c:v>0.162894736842105</c:v>
                </c:pt>
                <c:pt idx="1091">
                  <c:v>0.162894736842105</c:v>
                </c:pt>
                <c:pt idx="1092">
                  <c:v>0.153684210526316</c:v>
                </c:pt>
                <c:pt idx="1093">
                  <c:v>0.146842105263158</c:v>
                </c:pt>
                <c:pt idx="1094">
                  <c:v>0.14</c:v>
                </c:pt>
                <c:pt idx="1095">
                  <c:v>0.14</c:v>
                </c:pt>
                <c:pt idx="1096">
                  <c:v>0.146315789473684</c:v>
                </c:pt>
                <c:pt idx="1097">
                  <c:v>0.152894736842105</c:v>
                </c:pt>
                <c:pt idx="1098">
                  <c:v>0.164473684210526</c:v>
                </c:pt>
                <c:pt idx="1099">
                  <c:v>0.171052631578948</c:v>
                </c:pt>
                <c:pt idx="1100">
                  <c:v>0.177631578947368</c:v>
                </c:pt>
                <c:pt idx="1101">
                  <c:v>0.180263157894737</c:v>
                </c:pt>
                <c:pt idx="1102">
                  <c:v>0.182894736842105</c:v>
                </c:pt>
                <c:pt idx="1103">
                  <c:v>0.177631578947368</c:v>
                </c:pt>
                <c:pt idx="1104">
                  <c:v>0.171052631578948</c:v>
                </c:pt>
                <c:pt idx="1105">
                  <c:v>0.171052631578948</c:v>
                </c:pt>
                <c:pt idx="1106">
                  <c:v>0.177631578947368</c:v>
                </c:pt>
                <c:pt idx="1107">
                  <c:v>0.180263157894737</c:v>
                </c:pt>
                <c:pt idx="1108">
                  <c:v>0.182894736842105</c:v>
                </c:pt>
                <c:pt idx="1109">
                  <c:v>0.182894736842105</c:v>
                </c:pt>
                <c:pt idx="1110">
                  <c:v>0.181578947368421</c:v>
                </c:pt>
                <c:pt idx="1111">
                  <c:v>0.188157894736842</c:v>
                </c:pt>
                <c:pt idx="1112">
                  <c:v>0.190789473684211</c:v>
                </c:pt>
                <c:pt idx="1113">
                  <c:v>0.197368421052632</c:v>
                </c:pt>
                <c:pt idx="1114">
                  <c:v>0.195526315789474</c:v>
                </c:pt>
                <c:pt idx="1115">
                  <c:v>0.194736842105263</c:v>
                </c:pt>
                <c:pt idx="1116">
                  <c:v>0.201842105263158</c:v>
                </c:pt>
                <c:pt idx="1117">
                  <c:v>0.210526315789474</c:v>
                </c:pt>
                <c:pt idx="1118">
                  <c:v>0.207894736842105</c:v>
                </c:pt>
                <c:pt idx="1119">
                  <c:v>0.206578947368421</c:v>
                </c:pt>
                <c:pt idx="1120">
                  <c:v>0.206578947368421</c:v>
                </c:pt>
                <c:pt idx="1121">
                  <c:v>0.118292682926829</c:v>
                </c:pt>
                <c:pt idx="1122">
                  <c:v>0.118292682926829</c:v>
                </c:pt>
                <c:pt idx="1123">
                  <c:v>0.118292682926829</c:v>
                </c:pt>
                <c:pt idx="1124">
                  <c:v>0.118292682926829</c:v>
                </c:pt>
                <c:pt idx="1125">
                  <c:v>0.121951219512195</c:v>
                </c:pt>
                <c:pt idx="1126">
                  <c:v>0.121951219512195</c:v>
                </c:pt>
                <c:pt idx="1127">
                  <c:v>0.121951219512195</c:v>
                </c:pt>
                <c:pt idx="1128">
                  <c:v>0.121951219512195</c:v>
                </c:pt>
                <c:pt idx="1129">
                  <c:v>0.119512195121951</c:v>
                </c:pt>
                <c:pt idx="1130">
                  <c:v>0.119512195121951</c:v>
                </c:pt>
                <c:pt idx="1131">
                  <c:v>0.125609756097561</c:v>
                </c:pt>
                <c:pt idx="1132">
                  <c:v>0.125609756097561</c:v>
                </c:pt>
                <c:pt idx="1133">
                  <c:v>0.115853658536585</c:v>
                </c:pt>
                <c:pt idx="1134">
                  <c:v>0.109756097560976</c:v>
                </c:pt>
                <c:pt idx="1135">
                  <c:v>0.103658536585366</c:v>
                </c:pt>
                <c:pt idx="1136">
                  <c:v>0.1</c:v>
                </c:pt>
                <c:pt idx="1137">
                  <c:v>0.1</c:v>
                </c:pt>
                <c:pt idx="1138">
                  <c:v>0.0975609756097562</c:v>
                </c:pt>
                <c:pt idx="1139">
                  <c:v>0.0975609756097562</c:v>
                </c:pt>
                <c:pt idx="1140">
                  <c:v>0.0914634146341464</c:v>
                </c:pt>
                <c:pt idx="1141">
                  <c:v>0.0853658536585367</c:v>
                </c:pt>
                <c:pt idx="1142">
                  <c:v>0.0792682926829269</c:v>
                </c:pt>
                <c:pt idx="1143">
                  <c:v>0.0963414634146342</c:v>
                </c:pt>
                <c:pt idx="1144">
                  <c:v>0.0939024390243903</c:v>
                </c:pt>
                <c:pt idx="1145">
                  <c:v>0.0926829268292686</c:v>
                </c:pt>
                <c:pt idx="1146">
                  <c:v>0.0858536585365854</c:v>
                </c:pt>
                <c:pt idx="1147">
                  <c:v>0.0831707317073171</c:v>
                </c:pt>
                <c:pt idx="1148">
                  <c:v>0.0548780487804879</c:v>
                </c:pt>
                <c:pt idx="1149">
                  <c:v>0.0378048780487805</c:v>
                </c:pt>
                <c:pt idx="1150">
                  <c:v>0.0339024390243903</c:v>
                </c:pt>
                <c:pt idx="1151">
                  <c:v>0.0304878048780488</c:v>
                </c:pt>
                <c:pt idx="1152">
                  <c:v>0.03</c:v>
                </c:pt>
                <c:pt idx="1153">
                  <c:v>0.0278048780487807</c:v>
                </c:pt>
                <c:pt idx="1154">
                  <c:v>0.0275609756097561</c:v>
                </c:pt>
                <c:pt idx="1155">
                  <c:v>0.0212195121951222</c:v>
                </c:pt>
                <c:pt idx="1156">
                  <c:v>0.00121951219512217</c:v>
                </c:pt>
                <c:pt idx="1157">
                  <c:v>-0.0051219512195122</c:v>
                </c:pt>
                <c:pt idx="1158">
                  <c:v>-0.00853658536585344</c:v>
                </c:pt>
                <c:pt idx="1159">
                  <c:v>-0.011951219512195</c:v>
                </c:pt>
                <c:pt idx="1160">
                  <c:v>-0.0265853658536584</c:v>
                </c:pt>
                <c:pt idx="1161">
                  <c:v>-0.0382926829268292</c:v>
                </c:pt>
                <c:pt idx="1162">
                  <c:v>-0.0478048780487804</c:v>
                </c:pt>
                <c:pt idx="1163">
                  <c:v>-0.0514634146341463</c:v>
                </c:pt>
                <c:pt idx="1164">
                  <c:v>-0.057560975609756</c:v>
                </c:pt>
                <c:pt idx="1165">
                  <c:v>-0.0709756097560974</c:v>
                </c:pt>
                <c:pt idx="1166">
                  <c:v>-0.073170731707317</c:v>
                </c:pt>
                <c:pt idx="1167">
                  <c:v>-0.0734146341463414</c:v>
                </c:pt>
                <c:pt idx="1168">
                  <c:v>-0.0756097560975609</c:v>
                </c:pt>
                <c:pt idx="1169">
                  <c:v>-0.0775609756097561</c:v>
                </c:pt>
                <c:pt idx="1170">
                  <c:v>-0.0817073170731706</c:v>
                </c:pt>
                <c:pt idx="1171">
                  <c:v>-0.0839024390243902</c:v>
                </c:pt>
                <c:pt idx="1172">
                  <c:v>-0.0863414634146341</c:v>
                </c:pt>
                <c:pt idx="1173">
                  <c:v>-0.0890243902439024</c:v>
                </c:pt>
                <c:pt idx="1174">
                  <c:v>-0.0912195121951219</c:v>
                </c:pt>
                <c:pt idx="1175">
                  <c:v>-0.0917073170731706</c:v>
                </c:pt>
                <c:pt idx="1176">
                  <c:v>-0.0917073170731706</c:v>
                </c:pt>
                <c:pt idx="1177">
                  <c:v>-0.0919512195121951</c:v>
                </c:pt>
                <c:pt idx="1178">
                  <c:v>-0.0921951219512195</c:v>
                </c:pt>
                <c:pt idx="1179">
                  <c:v>-0.0929268292682927</c:v>
                </c:pt>
                <c:pt idx="1180">
                  <c:v>-0.097560975609756</c:v>
                </c:pt>
                <c:pt idx="1181">
                  <c:v>-0.0997560975609756</c:v>
                </c:pt>
                <c:pt idx="1182">
                  <c:v>-0.100243902439024</c:v>
                </c:pt>
                <c:pt idx="1183">
                  <c:v>-0.100731707317073</c:v>
                </c:pt>
                <c:pt idx="1184">
                  <c:v>-0.108048780487805</c:v>
                </c:pt>
                <c:pt idx="1185">
                  <c:v>-0.0169811320754717</c:v>
                </c:pt>
                <c:pt idx="1186">
                  <c:v>-0.0169811320754717</c:v>
                </c:pt>
                <c:pt idx="1187">
                  <c:v>-0.0169811320754717</c:v>
                </c:pt>
                <c:pt idx="1188">
                  <c:v>-0.0172506738544475</c:v>
                </c:pt>
                <c:pt idx="1189">
                  <c:v>-0.0199460916442048</c:v>
                </c:pt>
                <c:pt idx="1190">
                  <c:v>-0.022911051212938</c:v>
                </c:pt>
                <c:pt idx="1191">
                  <c:v>-0.0258760107816712</c:v>
                </c:pt>
                <c:pt idx="1192">
                  <c:v>-0.0261455525606469</c:v>
                </c:pt>
                <c:pt idx="1193">
                  <c:v>-0.0288409703504042</c:v>
                </c:pt>
                <c:pt idx="1194">
                  <c:v>-0.033423180592992</c:v>
                </c:pt>
                <c:pt idx="1195">
                  <c:v>-0.0442048517520216</c:v>
                </c:pt>
                <c:pt idx="1196">
                  <c:v>-0.0474393530997305</c:v>
                </c:pt>
                <c:pt idx="1197">
                  <c:v>-0.0539083557951483</c:v>
                </c:pt>
                <c:pt idx="1198">
                  <c:v>-0.0582210242587601</c:v>
                </c:pt>
                <c:pt idx="1199">
                  <c:v>-0.059299191374663</c:v>
                </c:pt>
                <c:pt idx="1200">
                  <c:v>-0.0638814016172508</c:v>
                </c:pt>
                <c:pt idx="1201">
                  <c:v>-0.0660377358490566</c:v>
                </c:pt>
                <c:pt idx="1202">
                  <c:v>-0.0671159029649596</c:v>
                </c:pt>
                <c:pt idx="1203">
                  <c:v>-0.077088948787062</c:v>
                </c:pt>
                <c:pt idx="1204">
                  <c:v>-0.0824797843665769</c:v>
                </c:pt>
              </c:numCache>
            </c:numRef>
          </c:val>
        </c:ser>
        <c:dLbls>
          <c:showLegendKey val="0"/>
          <c:showVal val="0"/>
          <c:showCatName val="0"/>
          <c:showSerName val="0"/>
          <c:showPercent val="0"/>
          <c:showBubbleSize val="0"/>
        </c:dLbls>
        <c:axId val="1502781071"/>
        <c:axId val="1307237183"/>
      </c:areaChart>
      <c:lineChart>
        <c:grouping val="standard"/>
        <c:varyColors val="0"/>
        <c:ser>
          <c:idx val="0"/>
          <c:order val="1"/>
          <c:tx>
            <c:strRef>
              <c:f>DRAM!$L$27</c:f>
              <c:strCache>
                <c:ptCount val="1"/>
                <c:pt idx="0">
                  <c:v>Spot</c:v>
                </c:pt>
              </c:strCache>
            </c:strRef>
          </c:tx>
          <c:marker>
            <c:symbol val="none"/>
          </c:marker>
          <c:dLbls>
            <c:delete val="1"/>
          </c:dLbls>
          <c:cat>
            <c:numRef>
              <c:f>DRAM!$E$1748:$E$3000</c:f>
              <c:numCache>
                <c:formatCode>yyyy/m/d</c:formatCode>
                <c:ptCount val="1253"/>
                <c:pt idx="0" c:formatCode="yyyy/m/d">
                  <c:v>44929</c:v>
                </c:pt>
                <c:pt idx="1" c:formatCode="yyyy/m/d">
                  <c:v>44930</c:v>
                </c:pt>
                <c:pt idx="2" c:formatCode="yyyy/m/d">
                  <c:v>44931</c:v>
                </c:pt>
                <c:pt idx="3" c:formatCode="yyyy/m/d">
                  <c:v>44932</c:v>
                </c:pt>
                <c:pt idx="4" c:formatCode="yyyy/m/d">
                  <c:v>44935</c:v>
                </c:pt>
                <c:pt idx="5" c:formatCode="yyyy/m/d">
                  <c:v>44936</c:v>
                </c:pt>
                <c:pt idx="6" c:formatCode="yyyy/m/d">
                  <c:v>44937</c:v>
                </c:pt>
                <c:pt idx="7" c:formatCode="yyyy/m/d">
                  <c:v>44938</c:v>
                </c:pt>
                <c:pt idx="8" c:formatCode="yyyy/m/d">
                  <c:v>44939</c:v>
                </c:pt>
                <c:pt idx="9" c:formatCode="yyyy/m/d">
                  <c:v>44942</c:v>
                </c:pt>
                <c:pt idx="10" c:formatCode="yyyy/m/d">
                  <c:v>44943</c:v>
                </c:pt>
                <c:pt idx="11" c:formatCode="yyyy/m/d">
                  <c:v>44944</c:v>
                </c:pt>
                <c:pt idx="12" c:formatCode="yyyy/m/d">
                  <c:v>44945</c:v>
                </c:pt>
                <c:pt idx="13" c:formatCode="yyyy/m/d">
                  <c:v>44946</c:v>
                </c:pt>
                <c:pt idx="14" c:formatCode="yyyy/m/d">
                  <c:v>44956</c:v>
                </c:pt>
                <c:pt idx="15" c:formatCode="yyyy/m/d">
                  <c:v>44957</c:v>
                </c:pt>
                <c:pt idx="16" c:formatCode="yyyy/m/d">
                  <c:v>44958</c:v>
                </c:pt>
                <c:pt idx="17" c:formatCode="yyyy/m/d">
                  <c:v>44959</c:v>
                </c:pt>
                <c:pt idx="18" c:formatCode="yyyy/m/d">
                  <c:v>44960</c:v>
                </c:pt>
                <c:pt idx="19" c:formatCode="yyyy/m/d">
                  <c:v>44963</c:v>
                </c:pt>
                <c:pt idx="20" c:formatCode="yyyy/m/d">
                  <c:v>44964</c:v>
                </c:pt>
                <c:pt idx="21" c:formatCode="yyyy/m/d">
                  <c:v>44965</c:v>
                </c:pt>
                <c:pt idx="22" c:formatCode="yyyy/m/d">
                  <c:v>44966</c:v>
                </c:pt>
                <c:pt idx="23" c:formatCode="yyyy/m/d">
                  <c:v>44967</c:v>
                </c:pt>
                <c:pt idx="24" c:formatCode="yyyy/m/d">
                  <c:v>44970</c:v>
                </c:pt>
                <c:pt idx="25" c:formatCode="yyyy/m/d">
                  <c:v>44971</c:v>
                </c:pt>
                <c:pt idx="26" c:formatCode="yyyy/m/d">
                  <c:v>44972</c:v>
                </c:pt>
                <c:pt idx="27" c:formatCode="yyyy/m/d">
                  <c:v>44973</c:v>
                </c:pt>
                <c:pt idx="28" c:formatCode="yyyy/m/d">
                  <c:v>44974</c:v>
                </c:pt>
                <c:pt idx="29" c:formatCode="yyyy/m/d">
                  <c:v>44977</c:v>
                </c:pt>
                <c:pt idx="30" c:formatCode="yyyy/m/d">
                  <c:v>44978</c:v>
                </c:pt>
                <c:pt idx="31" c:formatCode="yyyy/m/d">
                  <c:v>44979</c:v>
                </c:pt>
                <c:pt idx="32" c:formatCode="yyyy/m/d">
                  <c:v>44980</c:v>
                </c:pt>
                <c:pt idx="33" c:formatCode="yyyy/m/d">
                  <c:v>44981</c:v>
                </c:pt>
                <c:pt idx="34" c:formatCode="yyyy/m/d">
                  <c:v>44984</c:v>
                </c:pt>
                <c:pt idx="35" c:formatCode="yyyy/m/d">
                  <c:v>44985</c:v>
                </c:pt>
                <c:pt idx="36" c:formatCode="yyyy/m/d">
                  <c:v>44986</c:v>
                </c:pt>
                <c:pt idx="37" c:formatCode="yyyy/m/d">
                  <c:v>44987</c:v>
                </c:pt>
                <c:pt idx="38" c:formatCode="yyyy/m/d">
                  <c:v>44988</c:v>
                </c:pt>
                <c:pt idx="39" c:formatCode="yyyy/m/d">
                  <c:v>44991</c:v>
                </c:pt>
                <c:pt idx="40" c:formatCode="yyyy/m/d">
                  <c:v>44992</c:v>
                </c:pt>
                <c:pt idx="41" c:formatCode="yyyy/m/d">
                  <c:v>44993</c:v>
                </c:pt>
                <c:pt idx="42" c:formatCode="yyyy/m/d">
                  <c:v>44994</c:v>
                </c:pt>
                <c:pt idx="43" c:formatCode="yyyy/m/d">
                  <c:v>44995</c:v>
                </c:pt>
                <c:pt idx="44" c:formatCode="yyyy/m/d">
                  <c:v>44998</c:v>
                </c:pt>
                <c:pt idx="45" c:formatCode="yyyy/m/d">
                  <c:v>44999</c:v>
                </c:pt>
                <c:pt idx="46" c:formatCode="yyyy/m/d">
                  <c:v>45000</c:v>
                </c:pt>
                <c:pt idx="47" c:formatCode="yyyy/m/d">
                  <c:v>45001</c:v>
                </c:pt>
                <c:pt idx="48" c:formatCode="yyyy/m/d">
                  <c:v>45002</c:v>
                </c:pt>
                <c:pt idx="49" c:formatCode="yyyy/m/d">
                  <c:v>45005</c:v>
                </c:pt>
                <c:pt idx="50" c:formatCode="yyyy/m/d">
                  <c:v>45006</c:v>
                </c:pt>
                <c:pt idx="51" c:formatCode="yyyy/m/d">
                  <c:v>45007</c:v>
                </c:pt>
                <c:pt idx="52" c:formatCode="yyyy/m/d">
                  <c:v>45008</c:v>
                </c:pt>
                <c:pt idx="53" c:formatCode="yyyy/m/d">
                  <c:v>45009</c:v>
                </c:pt>
                <c:pt idx="54" c:formatCode="yyyy/m/d">
                  <c:v>45012</c:v>
                </c:pt>
                <c:pt idx="55" c:formatCode="yyyy/m/d">
                  <c:v>45013</c:v>
                </c:pt>
                <c:pt idx="56" c:formatCode="yyyy/m/d">
                  <c:v>45014</c:v>
                </c:pt>
                <c:pt idx="57" c:formatCode="yyyy/m/d">
                  <c:v>45015</c:v>
                </c:pt>
                <c:pt idx="58" c:formatCode="yyyy/m/d">
                  <c:v>45016</c:v>
                </c:pt>
                <c:pt idx="59" c:formatCode="yyyy/m/d">
                  <c:v>45019</c:v>
                </c:pt>
                <c:pt idx="60" c:formatCode="yyyy/m/d">
                  <c:v>45020</c:v>
                </c:pt>
                <c:pt idx="61" c:formatCode="yyyy/m/d">
                  <c:v>45022</c:v>
                </c:pt>
                <c:pt idx="62" c:formatCode="yyyy/m/d">
                  <c:v>45023</c:v>
                </c:pt>
                <c:pt idx="63" c:formatCode="yyyy/m/d">
                  <c:v>45026</c:v>
                </c:pt>
                <c:pt idx="64" c:formatCode="yyyy/m/d">
                  <c:v>45027</c:v>
                </c:pt>
                <c:pt idx="65" c:formatCode="yyyy/m/d">
                  <c:v>45028</c:v>
                </c:pt>
                <c:pt idx="66" c:formatCode="yyyy/m/d">
                  <c:v>45029</c:v>
                </c:pt>
                <c:pt idx="67" c:formatCode="yyyy/m/d">
                  <c:v>45030</c:v>
                </c:pt>
                <c:pt idx="68" c:formatCode="yyyy/m/d">
                  <c:v>45033</c:v>
                </c:pt>
                <c:pt idx="69" c:formatCode="yyyy/m/d">
                  <c:v>45034</c:v>
                </c:pt>
                <c:pt idx="70" c:formatCode="yyyy/m/d">
                  <c:v>45035</c:v>
                </c:pt>
                <c:pt idx="71" c:formatCode="yyyy/m/d">
                  <c:v>45036</c:v>
                </c:pt>
                <c:pt idx="72" c:formatCode="yyyy/m/d">
                  <c:v>45037</c:v>
                </c:pt>
                <c:pt idx="73" c:formatCode="yyyy/m/d">
                  <c:v>45040</c:v>
                </c:pt>
                <c:pt idx="74" c:formatCode="yyyy/m/d">
                  <c:v>45041</c:v>
                </c:pt>
                <c:pt idx="75" c:formatCode="yyyy/m/d">
                  <c:v>45042</c:v>
                </c:pt>
                <c:pt idx="76" c:formatCode="yyyy/m/d">
                  <c:v>45043</c:v>
                </c:pt>
                <c:pt idx="77" c:formatCode="yyyy/m/d">
                  <c:v>45044</c:v>
                </c:pt>
                <c:pt idx="78" c:formatCode="yyyy/m/d">
                  <c:v>45047</c:v>
                </c:pt>
                <c:pt idx="79" c:formatCode="yyyy/m/d">
                  <c:v>45049</c:v>
                </c:pt>
                <c:pt idx="80" c:formatCode="yyyy/m/d">
                  <c:v>45050</c:v>
                </c:pt>
                <c:pt idx="81" c:formatCode="yyyy/m/d">
                  <c:v>45051</c:v>
                </c:pt>
                <c:pt idx="82" c:formatCode="yyyy/m/d">
                  <c:v>45054</c:v>
                </c:pt>
                <c:pt idx="83" c:formatCode="yyyy/m/d">
                  <c:v>45055</c:v>
                </c:pt>
                <c:pt idx="84" c:formatCode="yyyy/m/d">
                  <c:v>45056</c:v>
                </c:pt>
                <c:pt idx="85" c:formatCode="yyyy/m/d">
                  <c:v>45057</c:v>
                </c:pt>
                <c:pt idx="86" c:formatCode="yyyy/m/d">
                  <c:v>45058</c:v>
                </c:pt>
                <c:pt idx="87" c:formatCode="yyyy/m/d">
                  <c:v>45061</c:v>
                </c:pt>
                <c:pt idx="88" c:formatCode="yyyy/m/d">
                  <c:v>45062</c:v>
                </c:pt>
                <c:pt idx="89" c:formatCode="yyyy/m/d">
                  <c:v>45063</c:v>
                </c:pt>
                <c:pt idx="90" c:formatCode="yyyy/m/d">
                  <c:v>45064</c:v>
                </c:pt>
                <c:pt idx="91" c:formatCode="yyyy/m/d">
                  <c:v>45065</c:v>
                </c:pt>
                <c:pt idx="92" c:formatCode="yyyy/m/d">
                  <c:v>45068</c:v>
                </c:pt>
                <c:pt idx="93" c:formatCode="yyyy/m/d">
                  <c:v>45069</c:v>
                </c:pt>
                <c:pt idx="94" c:formatCode="yyyy/m/d">
                  <c:v>45070</c:v>
                </c:pt>
                <c:pt idx="95" c:formatCode="yyyy/m/d">
                  <c:v>45071</c:v>
                </c:pt>
                <c:pt idx="96" c:formatCode="yyyy/m/d">
                  <c:v>45072</c:v>
                </c:pt>
                <c:pt idx="97" c:formatCode="yyyy/m/d">
                  <c:v>45075</c:v>
                </c:pt>
                <c:pt idx="98" c:formatCode="yyyy/m/d">
                  <c:v>45076</c:v>
                </c:pt>
                <c:pt idx="99" c:formatCode="yyyy/m/d">
                  <c:v>45077</c:v>
                </c:pt>
                <c:pt idx="100" c:formatCode="yyyy/m/d">
                  <c:v>45078</c:v>
                </c:pt>
                <c:pt idx="101" c:formatCode="yyyy/m/d">
                  <c:v>45079</c:v>
                </c:pt>
                <c:pt idx="102" c:formatCode="yyyy/m/d">
                  <c:v>45082</c:v>
                </c:pt>
                <c:pt idx="103" c:formatCode="yyyy/m/d">
                  <c:v>45083</c:v>
                </c:pt>
                <c:pt idx="104" c:formatCode="yyyy/m/d">
                  <c:v>45084</c:v>
                </c:pt>
                <c:pt idx="105" c:formatCode="yyyy/m/d">
                  <c:v>45085</c:v>
                </c:pt>
                <c:pt idx="106" c:formatCode="yyyy/m/d">
                  <c:v>45086</c:v>
                </c:pt>
                <c:pt idx="107" c:formatCode="yyyy/m/d">
                  <c:v>45089</c:v>
                </c:pt>
                <c:pt idx="108" c:formatCode="yyyy/m/d">
                  <c:v>45090</c:v>
                </c:pt>
                <c:pt idx="109" c:formatCode="yyyy/m/d">
                  <c:v>45091</c:v>
                </c:pt>
                <c:pt idx="110" c:formatCode="yyyy/m/d">
                  <c:v>45092</c:v>
                </c:pt>
                <c:pt idx="111" c:formatCode="yyyy/m/d">
                  <c:v>45093</c:v>
                </c:pt>
                <c:pt idx="112" c:formatCode="yyyy/m/d">
                  <c:v>45096</c:v>
                </c:pt>
                <c:pt idx="113" c:formatCode="yyyy/m/d">
                  <c:v>45097</c:v>
                </c:pt>
                <c:pt idx="114" c:formatCode="yyyy/m/d">
                  <c:v>45098</c:v>
                </c:pt>
                <c:pt idx="115" c:formatCode="yyyy/m/d">
                  <c:v>45103</c:v>
                </c:pt>
                <c:pt idx="116" c:formatCode="yyyy/m/d">
                  <c:v>45104</c:v>
                </c:pt>
                <c:pt idx="117" c:formatCode="yyyy/m/d">
                  <c:v>45105</c:v>
                </c:pt>
                <c:pt idx="118" c:formatCode="yyyy/m/d">
                  <c:v>45106</c:v>
                </c:pt>
                <c:pt idx="119" c:formatCode="yyyy/m/d">
                  <c:v>45107</c:v>
                </c:pt>
                <c:pt idx="120" c:formatCode="yyyy/m/d">
                  <c:v>45110</c:v>
                </c:pt>
                <c:pt idx="121" c:formatCode="yyyy/m/d">
                  <c:v>45111</c:v>
                </c:pt>
                <c:pt idx="122" c:formatCode="yyyy/m/d">
                  <c:v>45112</c:v>
                </c:pt>
                <c:pt idx="123" c:formatCode="yyyy/m/d">
                  <c:v>45113</c:v>
                </c:pt>
                <c:pt idx="124" c:formatCode="yyyy/m/d">
                  <c:v>45114</c:v>
                </c:pt>
                <c:pt idx="125" c:formatCode="yyyy/m/d">
                  <c:v>45117</c:v>
                </c:pt>
                <c:pt idx="126" c:formatCode="yyyy/m/d">
                  <c:v>45118</c:v>
                </c:pt>
                <c:pt idx="127" c:formatCode="yyyy/m/d">
                  <c:v>45119</c:v>
                </c:pt>
                <c:pt idx="128" c:formatCode="yyyy/m/d">
                  <c:v>45120</c:v>
                </c:pt>
                <c:pt idx="129" c:formatCode="yyyy/m/d">
                  <c:v>45121</c:v>
                </c:pt>
                <c:pt idx="130" c:formatCode="yyyy/m/d">
                  <c:v>45124</c:v>
                </c:pt>
                <c:pt idx="131" c:formatCode="yyyy/m/d">
                  <c:v>45125</c:v>
                </c:pt>
                <c:pt idx="132" c:formatCode="yyyy/m/d">
                  <c:v>45126</c:v>
                </c:pt>
                <c:pt idx="133" c:formatCode="yyyy/m/d">
                  <c:v>45127</c:v>
                </c:pt>
                <c:pt idx="134" c:formatCode="yyyy/m/d">
                  <c:v>45128</c:v>
                </c:pt>
                <c:pt idx="135" c:formatCode="yyyy/m/d">
                  <c:v>45131</c:v>
                </c:pt>
                <c:pt idx="136" c:formatCode="yyyy/m/d">
                  <c:v>45132</c:v>
                </c:pt>
                <c:pt idx="137" c:formatCode="yyyy/m/d">
                  <c:v>45133</c:v>
                </c:pt>
                <c:pt idx="138" c:formatCode="yyyy/m/d">
                  <c:v>45134</c:v>
                </c:pt>
                <c:pt idx="139" c:formatCode="yyyy/m/d">
                  <c:v>45135</c:v>
                </c:pt>
                <c:pt idx="140" c:formatCode="yyyy/m/d">
                  <c:v>45138</c:v>
                </c:pt>
                <c:pt idx="141" c:formatCode="yyyy/m/d">
                  <c:v>45139</c:v>
                </c:pt>
                <c:pt idx="142" c:formatCode="yyyy/m/d">
                  <c:v>45140</c:v>
                </c:pt>
                <c:pt idx="143" c:formatCode="yyyy/m/d">
                  <c:v>45141</c:v>
                </c:pt>
                <c:pt idx="144" c:formatCode="yyyy/m/d">
                  <c:v>45142</c:v>
                </c:pt>
                <c:pt idx="145" c:formatCode="yyyy/m/d">
                  <c:v>45145</c:v>
                </c:pt>
                <c:pt idx="146" c:formatCode="yyyy/m/d">
                  <c:v>45146</c:v>
                </c:pt>
                <c:pt idx="147" c:formatCode="yyyy/m/d">
                  <c:v>45147</c:v>
                </c:pt>
                <c:pt idx="148" c:formatCode="yyyy/m/d">
                  <c:v>45148</c:v>
                </c:pt>
                <c:pt idx="149" c:formatCode="yyyy/m/d">
                  <c:v>45149</c:v>
                </c:pt>
                <c:pt idx="150" c:formatCode="yyyy/m/d">
                  <c:v>45152</c:v>
                </c:pt>
                <c:pt idx="151" c:formatCode="yyyy/m/d">
                  <c:v>45153</c:v>
                </c:pt>
                <c:pt idx="152" c:formatCode="yyyy/m/d">
                  <c:v>45154</c:v>
                </c:pt>
                <c:pt idx="153" c:formatCode="yyyy/m/d">
                  <c:v>45155</c:v>
                </c:pt>
                <c:pt idx="154" c:formatCode="yyyy/m/d">
                  <c:v>45156</c:v>
                </c:pt>
                <c:pt idx="155" c:formatCode="yyyy/m/d">
                  <c:v>45159</c:v>
                </c:pt>
                <c:pt idx="156" c:formatCode="yyyy/m/d">
                  <c:v>45160</c:v>
                </c:pt>
                <c:pt idx="157" c:formatCode="yyyy/m/d">
                  <c:v>45161</c:v>
                </c:pt>
                <c:pt idx="158" c:formatCode="yyyy/m/d">
                  <c:v>45162</c:v>
                </c:pt>
                <c:pt idx="159" c:formatCode="yyyy/m/d">
                  <c:v>45163</c:v>
                </c:pt>
                <c:pt idx="160" c:formatCode="yyyy/m/d">
                  <c:v>45166</c:v>
                </c:pt>
                <c:pt idx="161" c:formatCode="yyyy/m/d">
                  <c:v>45167</c:v>
                </c:pt>
                <c:pt idx="162" c:formatCode="yyyy/m/d">
                  <c:v>45168</c:v>
                </c:pt>
                <c:pt idx="163" c:formatCode="yyyy/m/d">
                  <c:v>45169</c:v>
                </c:pt>
                <c:pt idx="164" c:formatCode="yyyy/m/d">
                  <c:v>45170</c:v>
                </c:pt>
                <c:pt idx="165" c:formatCode="yyyy/m/d">
                  <c:v>45173</c:v>
                </c:pt>
                <c:pt idx="166" c:formatCode="yyyy/m/d">
                  <c:v>45174</c:v>
                </c:pt>
                <c:pt idx="167" c:formatCode="yyyy/m/d">
                  <c:v>45175</c:v>
                </c:pt>
                <c:pt idx="168" c:formatCode="yyyy/m/d">
                  <c:v>45176</c:v>
                </c:pt>
                <c:pt idx="169" c:formatCode="yyyy/m/d">
                  <c:v>45177</c:v>
                </c:pt>
                <c:pt idx="170" c:formatCode="yyyy/m/d">
                  <c:v>45180</c:v>
                </c:pt>
                <c:pt idx="171" c:formatCode="yyyy/m/d">
                  <c:v>45181</c:v>
                </c:pt>
                <c:pt idx="172" c:formatCode="yyyy/m/d">
                  <c:v>45182</c:v>
                </c:pt>
                <c:pt idx="173" c:formatCode="yyyy/m/d">
                  <c:v>45183</c:v>
                </c:pt>
                <c:pt idx="174" c:formatCode="yyyy/m/d">
                  <c:v>45184</c:v>
                </c:pt>
                <c:pt idx="175" c:formatCode="yyyy/m/d">
                  <c:v>45187</c:v>
                </c:pt>
                <c:pt idx="176" c:formatCode="yyyy/m/d">
                  <c:v>45188</c:v>
                </c:pt>
                <c:pt idx="177" c:formatCode="yyyy/m/d">
                  <c:v>45189</c:v>
                </c:pt>
                <c:pt idx="178" c:formatCode="yyyy/m/d">
                  <c:v>45190</c:v>
                </c:pt>
                <c:pt idx="179" c:formatCode="yyyy/m/d">
                  <c:v>45191</c:v>
                </c:pt>
                <c:pt idx="180" c:formatCode="yyyy/m/d">
                  <c:v>45194</c:v>
                </c:pt>
                <c:pt idx="181" c:formatCode="yyyy/m/d">
                  <c:v>45195</c:v>
                </c:pt>
                <c:pt idx="182" c:formatCode="yyyy/m/d">
                  <c:v>45196</c:v>
                </c:pt>
                <c:pt idx="183" c:formatCode="yyyy/m/d">
                  <c:v>45197</c:v>
                </c:pt>
                <c:pt idx="184" c:formatCode="yyyy/m/d">
                  <c:v>45201</c:v>
                </c:pt>
                <c:pt idx="185" c:formatCode="yyyy/m/d">
                  <c:v>45202</c:v>
                </c:pt>
                <c:pt idx="186" c:formatCode="yyyy/m/d">
                  <c:v>45203</c:v>
                </c:pt>
                <c:pt idx="187" c:formatCode="yyyy/m/d">
                  <c:v>45204</c:v>
                </c:pt>
                <c:pt idx="188" c:formatCode="yyyy/m/d">
                  <c:v>45205</c:v>
                </c:pt>
                <c:pt idx="189" c:formatCode="yyyy/m/d">
                  <c:v>45208</c:v>
                </c:pt>
                <c:pt idx="190" c:formatCode="yyyy/m/d">
                  <c:v>45209</c:v>
                </c:pt>
                <c:pt idx="191" c:formatCode="yyyy/m/d">
                  <c:v>45210</c:v>
                </c:pt>
                <c:pt idx="192" c:formatCode="yyyy/m/d">
                  <c:v>45211</c:v>
                </c:pt>
                <c:pt idx="193" c:formatCode="yyyy/m/d">
                  <c:v>45212</c:v>
                </c:pt>
                <c:pt idx="194" c:formatCode="yyyy/m/d">
                  <c:v>45215</c:v>
                </c:pt>
                <c:pt idx="195" c:formatCode="yyyy/m/d">
                  <c:v>45216</c:v>
                </c:pt>
                <c:pt idx="196" c:formatCode="yyyy/m/d">
                  <c:v>45217</c:v>
                </c:pt>
                <c:pt idx="197" c:formatCode="yyyy/m/d">
                  <c:v>45218</c:v>
                </c:pt>
                <c:pt idx="198" c:formatCode="yyyy/m/d">
                  <c:v>45219</c:v>
                </c:pt>
                <c:pt idx="199" c:formatCode="yyyy/m/d">
                  <c:v>45222</c:v>
                </c:pt>
                <c:pt idx="200" c:formatCode="yyyy/m/d">
                  <c:v>45223</c:v>
                </c:pt>
                <c:pt idx="201" c:formatCode="yyyy/m/d">
                  <c:v>45224</c:v>
                </c:pt>
                <c:pt idx="202" c:formatCode="yyyy/m/d">
                  <c:v>45225</c:v>
                </c:pt>
                <c:pt idx="203" c:formatCode="yyyy/m/d">
                  <c:v>45226</c:v>
                </c:pt>
                <c:pt idx="204" c:formatCode="yyyy/m/d">
                  <c:v>45229</c:v>
                </c:pt>
                <c:pt idx="205" c:formatCode="yyyy/m/d">
                  <c:v>45230</c:v>
                </c:pt>
                <c:pt idx="206" c:formatCode="yyyy/m/d">
                  <c:v>45231</c:v>
                </c:pt>
                <c:pt idx="207" c:formatCode="yyyy/m/d">
                  <c:v>45232</c:v>
                </c:pt>
                <c:pt idx="208" c:formatCode="yyyy/m/d">
                  <c:v>45233</c:v>
                </c:pt>
                <c:pt idx="209" c:formatCode="yyyy/m/d">
                  <c:v>45236</c:v>
                </c:pt>
                <c:pt idx="210" c:formatCode="yyyy/m/d">
                  <c:v>45237</c:v>
                </c:pt>
                <c:pt idx="211" c:formatCode="yyyy/m/d">
                  <c:v>45238</c:v>
                </c:pt>
                <c:pt idx="212" c:formatCode="yyyy/m/d">
                  <c:v>45239</c:v>
                </c:pt>
                <c:pt idx="213" c:formatCode="yyyy/m/d">
                  <c:v>45240</c:v>
                </c:pt>
                <c:pt idx="214" c:formatCode="yyyy/m/d">
                  <c:v>45243</c:v>
                </c:pt>
                <c:pt idx="215" c:formatCode="yyyy/m/d">
                  <c:v>45244</c:v>
                </c:pt>
                <c:pt idx="216" c:formatCode="yyyy/m/d">
                  <c:v>45245</c:v>
                </c:pt>
                <c:pt idx="217" c:formatCode="yyyy/m/d">
                  <c:v>45246</c:v>
                </c:pt>
                <c:pt idx="218" c:formatCode="yyyy/m/d">
                  <c:v>45247</c:v>
                </c:pt>
                <c:pt idx="219" c:formatCode="yyyy/m/d">
                  <c:v>45250</c:v>
                </c:pt>
                <c:pt idx="220" c:formatCode="yyyy/m/d">
                  <c:v>45251</c:v>
                </c:pt>
                <c:pt idx="221" c:formatCode="yyyy/m/d">
                  <c:v>45252</c:v>
                </c:pt>
                <c:pt idx="222" c:formatCode="yyyy/m/d">
                  <c:v>45253</c:v>
                </c:pt>
                <c:pt idx="223" c:formatCode="yyyy/m/d">
                  <c:v>45254</c:v>
                </c:pt>
                <c:pt idx="224" c:formatCode="yyyy/m/d">
                  <c:v>45257</c:v>
                </c:pt>
                <c:pt idx="225" c:formatCode="yyyy/m/d">
                  <c:v>45258</c:v>
                </c:pt>
                <c:pt idx="226" c:formatCode="yyyy/m/d">
                  <c:v>45259</c:v>
                </c:pt>
                <c:pt idx="227" c:formatCode="yyyy/m/d">
                  <c:v>45260</c:v>
                </c:pt>
                <c:pt idx="228" c:formatCode="yyyy/m/d">
                  <c:v>45261</c:v>
                </c:pt>
                <c:pt idx="229" c:formatCode="yyyy/m/d">
                  <c:v>45264</c:v>
                </c:pt>
                <c:pt idx="230" c:formatCode="yyyy/m/d">
                  <c:v>45265</c:v>
                </c:pt>
                <c:pt idx="231" c:formatCode="yyyy/m/d">
                  <c:v>45266</c:v>
                </c:pt>
                <c:pt idx="232" c:formatCode="yyyy/m/d">
                  <c:v>45267</c:v>
                </c:pt>
                <c:pt idx="233" c:formatCode="yyyy/m/d">
                  <c:v>45268</c:v>
                </c:pt>
                <c:pt idx="234" c:formatCode="yyyy/m/d">
                  <c:v>45271</c:v>
                </c:pt>
                <c:pt idx="235" c:formatCode="yyyy/m/d">
                  <c:v>45272</c:v>
                </c:pt>
                <c:pt idx="236" c:formatCode="yyyy/m/d">
                  <c:v>45273</c:v>
                </c:pt>
                <c:pt idx="237" c:formatCode="yyyy/m/d">
                  <c:v>45274</c:v>
                </c:pt>
                <c:pt idx="238" c:formatCode="yyyy/m/d">
                  <c:v>45275</c:v>
                </c:pt>
                <c:pt idx="239" c:formatCode="yyyy/m/d">
                  <c:v>45278</c:v>
                </c:pt>
                <c:pt idx="240" c:formatCode="yyyy/m/d">
                  <c:v>45279</c:v>
                </c:pt>
                <c:pt idx="241" c:formatCode="yyyy/m/d">
                  <c:v>45280</c:v>
                </c:pt>
                <c:pt idx="242" c:formatCode="yyyy/m/d">
                  <c:v>45281</c:v>
                </c:pt>
                <c:pt idx="243" c:formatCode="yyyy/m/d">
                  <c:v>45282</c:v>
                </c:pt>
                <c:pt idx="244" c:formatCode="yyyy/m/d">
                  <c:v>45285</c:v>
                </c:pt>
                <c:pt idx="245" c:formatCode="yyyy/m/d">
                  <c:v>45286</c:v>
                </c:pt>
                <c:pt idx="246" c:formatCode="yyyy/m/d">
                  <c:v>45287</c:v>
                </c:pt>
                <c:pt idx="247" c:formatCode="yyyy/m/d">
                  <c:v>45288</c:v>
                </c:pt>
                <c:pt idx="248" c:formatCode="yyyy/m/d">
                  <c:v>45289</c:v>
                </c:pt>
                <c:pt idx="249" c:formatCode="yyyy/m/d">
                  <c:v>45293</c:v>
                </c:pt>
                <c:pt idx="250" c:formatCode="yyyy/m/d">
                  <c:v>45294</c:v>
                </c:pt>
                <c:pt idx="251" c:formatCode="yyyy/m/d">
                  <c:v>45295</c:v>
                </c:pt>
                <c:pt idx="252" c:formatCode="yyyy/m/d">
                  <c:v>45296</c:v>
                </c:pt>
                <c:pt idx="253" c:formatCode="yyyy/m/d">
                  <c:v>45299</c:v>
                </c:pt>
                <c:pt idx="254" c:formatCode="yyyy/m/d">
                  <c:v>45300</c:v>
                </c:pt>
                <c:pt idx="255" c:formatCode="yyyy/m/d">
                  <c:v>45301</c:v>
                </c:pt>
                <c:pt idx="256" c:formatCode="yyyy/m/d">
                  <c:v>45302</c:v>
                </c:pt>
                <c:pt idx="257" c:formatCode="yyyy/m/d">
                  <c:v>45303</c:v>
                </c:pt>
                <c:pt idx="258" c:formatCode="yyyy/m/d">
                  <c:v>45306</c:v>
                </c:pt>
                <c:pt idx="259" c:formatCode="yyyy/m/d">
                  <c:v>45307</c:v>
                </c:pt>
                <c:pt idx="260" c:formatCode="yyyy/m/d">
                  <c:v>45308</c:v>
                </c:pt>
                <c:pt idx="261" c:formatCode="yyyy/m/d">
                  <c:v>45309</c:v>
                </c:pt>
                <c:pt idx="262" c:formatCode="yyyy/m/d">
                  <c:v>45310</c:v>
                </c:pt>
                <c:pt idx="263" c:formatCode="yyyy/m/d">
                  <c:v>45313</c:v>
                </c:pt>
                <c:pt idx="264" c:formatCode="yyyy/m/d">
                  <c:v>45314</c:v>
                </c:pt>
                <c:pt idx="265" c:formatCode="yyyy/m/d">
                  <c:v>45315</c:v>
                </c:pt>
                <c:pt idx="266" c:formatCode="yyyy/m/d">
                  <c:v>45316</c:v>
                </c:pt>
                <c:pt idx="267" c:formatCode="yyyy/m/d">
                  <c:v>45317</c:v>
                </c:pt>
                <c:pt idx="268" c:formatCode="yyyy/m/d">
                  <c:v>45320</c:v>
                </c:pt>
                <c:pt idx="269" c:formatCode="yyyy/m/d">
                  <c:v>45321</c:v>
                </c:pt>
                <c:pt idx="270" c:formatCode="yyyy/m/d">
                  <c:v>45322</c:v>
                </c:pt>
                <c:pt idx="271" c:formatCode="yyyy/m/d">
                  <c:v>45323</c:v>
                </c:pt>
                <c:pt idx="272" c:formatCode="yyyy/m/d">
                  <c:v>45324</c:v>
                </c:pt>
                <c:pt idx="273" c:formatCode="yyyy/m/d">
                  <c:v>45327</c:v>
                </c:pt>
                <c:pt idx="274" c:formatCode="yyyy/m/d">
                  <c:v>45328</c:v>
                </c:pt>
                <c:pt idx="275" c:formatCode="yyyy/m/d">
                  <c:v>45329</c:v>
                </c:pt>
                <c:pt idx="276" c:formatCode="yyyy/m/d">
                  <c:v>45330</c:v>
                </c:pt>
                <c:pt idx="277" c:formatCode="yyyy/m/d">
                  <c:v>45337</c:v>
                </c:pt>
                <c:pt idx="278" c:formatCode="yyyy/m/d">
                  <c:v>45338</c:v>
                </c:pt>
                <c:pt idx="279" c:formatCode="yyyy/m/d">
                  <c:v>45341</c:v>
                </c:pt>
                <c:pt idx="280" c:formatCode="yyyy/m/d">
                  <c:v>45342</c:v>
                </c:pt>
                <c:pt idx="281" c:formatCode="yyyy/m/d">
                  <c:v>45343</c:v>
                </c:pt>
                <c:pt idx="282" c:formatCode="yyyy/m/d">
                  <c:v>45344</c:v>
                </c:pt>
                <c:pt idx="283" c:formatCode="yyyy/m/d">
                  <c:v>45345</c:v>
                </c:pt>
                <c:pt idx="284" c:formatCode="yyyy/m/d">
                  <c:v>45348</c:v>
                </c:pt>
                <c:pt idx="285" c:formatCode="yyyy/m/d">
                  <c:v>45349</c:v>
                </c:pt>
                <c:pt idx="286" c:formatCode="yyyy/m/d">
                  <c:v>45350</c:v>
                </c:pt>
                <c:pt idx="287" c:formatCode="yyyy/m/d">
                  <c:v>45351</c:v>
                </c:pt>
                <c:pt idx="288" c:formatCode="yyyy/m/d">
                  <c:v>45352</c:v>
                </c:pt>
                <c:pt idx="289" c:formatCode="yyyy/m/d">
                  <c:v>45355</c:v>
                </c:pt>
                <c:pt idx="290" c:formatCode="yyyy/m/d">
                  <c:v>45356</c:v>
                </c:pt>
                <c:pt idx="291" c:formatCode="yyyy/m/d">
                  <c:v>45357</c:v>
                </c:pt>
                <c:pt idx="292" c:formatCode="yyyy/m/d">
                  <c:v>45358</c:v>
                </c:pt>
                <c:pt idx="293" c:formatCode="yyyy/m/d">
                  <c:v>45359</c:v>
                </c:pt>
                <c:pt idx="294" c:formatCode="yyyy/m/d">
                  <c:v>45362</c:v>
                </c:pt>
                <c:pt idx="295" c:formatCode="yyyy/m/d">
                  <c:v>45363</c:v>
                </c:pt>
                <c:pt idx="296" c:formatCode="yyyy/m/d">
                  <c:v>45364</c:v>
                </c:pt>
                <c:pt idx="297" c:formatCode="yyyy/m/d">
                  <c:v>45365</c:v>
                </c:pt>
                <c:pt idx="298" c:formatCode="yyyy/m/d">
                  <c:v>45366</c:v>
                </c:pt>
                <c:pt idx="299" c:formatCode="yyyy/m/d">
                  <c:v>45369</c:v>
                </c:pt>
                <c:pt idx="300" c:formatCode="yyyy/m/d">
                  <c:v>45370</c:v>
                </c:pt>
                <c:pt idx="301" c:formatCode="yyyy/m/d">
                  <c:v>45371</c:v>
                </c:pt>
                <c:pt idx="302" c:formatCode="yyyy/m/d">
                  <c:v>45372</c:v>
                </c:pt>
                <c:pt idx="303" c:formatCode="yyyy/m/d">
                  <c:v>45373</c:v>
                </c:pt>
                <c:pt idx="304" c:formatCode="yyyy/m/d">
                  <c:v>45376</c:v>
                </c:pt>
                <c:pt idx="305" c:formatCode="yyyy/m/d">
                  <c:v>45377</c:v>
                </c:pt>
                <c:pt idx="306" c:formatCode="yyyy/m/d">
                  <c:v>45378</c:v>
                </c:pt>
                <c:pt idx="307" c:formatCode="yyyy/m/d">
                  <c:v>45379</c:v>
                </c:pt>
                <c:pt idx="308" c:formatCode="yyyy/m/d">
                  <c:v>45380</c:v>
                </c:pt>
                <c:pt idx="309" c:formatCode="yyyy/m/d">
                  <c:v>45383</c:v>
                </c:pt>
                <c:pt idx="310" c:formatCode="yyyy/m/d">
                  <c:v>45384</c:v>
                </c:pt>
                <c:pt idx="311" c:formatCode="yyyy/m/d">
                  <c:v>45385</c:v>
                </c:pt>
                <c:pt idx="312" c:formatCode="yyyy/m/d">
                  <c:v>45390</c:v>
                </c:pt>
                <c:pt idx="313" c:formatCode="yyyy/m/d">
                  <c:v>45391</c:v>
                </c:pt>
                <c:pt idx="314" c:formatCode="yyyy/m/d">
                  <c:v>45392</c:v>
                </c:pt>
                <c:pt idx="315" c:formatCode="yyyy/m/d">
                  <c:v>45393</c:v>
                </c:pt>
                <c:pt idx="316" c:formatCode="yyyy/m/d">
                  <c:v>45394</c:v>
                </c:pt>
                <c:pt idx="317" c:formatCode="yyyy/m/d">
                  <c:v>45397</c:v>
                </c:pt>
                <c:pt idx="318" c:formatCode="yyyy/m/d">
                  <c:v>45398</c:v>
                </c:pt>
                <c:pt idx="319" c:formatCode="yyyy/m/d">
                  <c:v>45399</c:v>
                </c:pt>
                <c:pt idx="320" c:formatCode="yyyy/m/d">
                  <c:v>45400</c:v>
                </c:pt>
                <c:pt idx="321" c:formatCode="yyyy/m/d">
                  <c:v>45401</c:v>
                </c:pt>
                <c:pt idx="322" c:formatCode="yyyy/m/d">
                  <c:v>45404</c:v>
                </c:pt>
                <c:pt idx="323" c:formatCode="yyyy/m/d">
                  <c:v>45405</c:v>
                </c:pt>
                <c:pt idx="324" c:formatCode="yyyy/m/d">
                  <c:v>45406</c:v>
                </c:pt>
                <c:pt idx="325" c:formatCode="yyyy/m/d">
                  <c:v>45407</c:v>
                </c:pt>
                <c:pt idx="326" c:formatCode="yyyy/m/d">
                  <c:v>45408</c:v>
                </c:pt>
                <c:pt idx="327" c:formatCode="yyyy/m/d">
                  <c:v>45411</c:v>
                </c:pt>
                <c:pt idx="328" c:formatCode="yyyy/m/d">
                  <c:v>45412</c:v>
                </c:pt>
                <c:pt idx="329" c:formatCode="yyyy/m/d">
                  <c:v>45414</c:v>
                </c:pt>
                <c:pt idx="330" c:formatCode="yyyy/m/d">
                  <c:v>45415</c:v>
                </c:pt>
                <c:pt idx="331" c:formatCode="yyyy/m/d">
                  <c:v>45418</c:v>
                </c:pt>
                <c:pt idx="332" c:formatCode="yyyy/m/d">
                  <c:v>45419</c:v>
                </c:pt>
                <c:pt idx="333" c:formatCode="yyyy/m/d">
                  <c:v>45420</c:v>
                </c:pt>
                <c:pt idx="334" c:formatCode="yyyy/m/d">
                  <c:v>45421</c:v>
                </c:pt>
                <c:pt idx="335" c:formatCode="yyyy/m/d">
                  <c:v>45422</c:v>
                </c:pt>
                <c:pt idx="336" c:formatCode="yyyy/m/d">
                  <c:v>45425</c:v>
                </c:pt>
                <c:pt idx="337" c:formatCode="yyyy/m/d">
                  <c:v>45426</c:v>
                </c:pt>
                <c:pt idx="338" c:formatCode="yyyy/m/d">
                  <c:v>45427</c:v>
                </c:pt>
                <c:pt idx="339" c:formatCode="yyyy/m/d">
                  <c:v>45428</c:v>
                </c:pt>
                <c:pt idx="340" c:formatCode="yyyy/m/d">
                  <c:v>45429</c:v>
                </c:pt>
                <c:pt idx="341" c:formatCode="yyyy/m/d">
                  <c:v>45432</c:v>
                </c:pt>
                <c:pt idx="342" c:formatCode="yyyy/m/d">
                  <c:v>45433</c:v>
                </c:pt>
                <c:pt idx="343" c:formatCode="yyyy/m/d">
                  <c:v>45434</c:v>
                </c:pt>
                <c:pt idx="344" c:formatCode="yyyy/m/d">
                  <c:v>45435</c:v>
                </c:pt>
                <c:pt idx="345" c:formatCode="yyyy/m/d">
                  <c:v>45436</c:v>
                </c:pt>
                <c:pt idx="346" c:formatCode="yyyy/m/d">
                  <c:v>45439</c:v>
                </c:pt>
                <c:pt idx="347" c:formatCode="yyyy/m/d">
                  <c:v>45440</c:v>
                </c:pt>
                <c:pt idx="348" c:formatCode="yyyy/m/d">
                  <c:v>45441</c:v>
                </c:pt>
                <c:pt idx="349" c:formatCode="yyyy/m/d">
                  <c:v>45442</c:v>
                </c:pt>
                <c:pt idx="350" c:formatCode="yyyy/m/d">
                  <c:v>45443</c:v>
                </c:pt>
                <c:pt idx="351" c:formatCode="yyyy/m/d">
                  <c:v>45446</c:v>
                </c:pt>
                <c:pt idx="352" c:formatCode="yyyy/m/d">
                  <c:v>45447</c:v>
                </c:pt>
                <c:pt idx="353" c:formatCode="yyyy/m/d">
                  <c:v>45448</c:v>
                </c:pt>
                <c:pt idx="354" c:formatCode="yyyy/m/d">
                  <c:v>45449</c:v>
                </c:pt>
                <c:pt idx="355" c:formatCode="yyyy/m/d">
                  <c:v>45450</c:v>
                </c:pt>
                <c:pt idx="356" c:formatCode="yyyy/m/d">
                  <c:v>45454</c:v>
                </c:pt>
                <c:pt idx="357" c:formatCode="yyyy/m/d">
                  <c:v>45455</c:v>
                </c:pt>
                <c:pt idx="358" c:formatCode="yyyy/m/d">
                  <c:v>45456</c:v>
                </c:pt>
                <c:pt idx="359" c:formatCode="yyyy/m/d">
                  <c:v>45457</c:v>
                </c:pt>
                <c:pt idx="360" c:formatCode="yyyy/m/d">
                  <c:v>45460</c:v>
                </c:pt>
                <c:pt idx="361" c:formatCode="yyyy/m/d">
                  <c:v>45461</c:v>
                </c:pt>
                <c:pt idx="362" c:formatCode="yyyy/m/d">
                  <c:v>45462</c:v>
                </c:pt>
                <c:pt idx="363" c:formatCode="yyyy/m/d">
                  <c:v>45463</c:v>
                </c:pt>
                <c:pt idx="364" c:formatCode="yyyy/m/d">
                  <c:v>45464</c:v>
                </c:pt>
                <c:pt idx="365" c:formatCode="yyyy/m/d">
                  <c:v>45467</c:v>
                </c:pt>
                <c:pt idx="366" c:formatCode="yyyy/m/d">
                  <c:v>45468</c:v>
                </c:pt>
                <c:pt idx="367" c:formatCode="yyyy/m/d">
                  <c:v>45469</c:v>
                </c:pt>
                <c:pt idx="368" c:formatCode="yyyy/m/d">
                  <c:v>45470</c:v>
                </c:pt>
                <c:pt idx="369" c:formatCode="yyyy/m/d">
                  <c:v>45471</c:v>
                </c:pt>
                <c:pt idx="370" c:formatCode="yyyy/m/d">
                  <c:v>45474</c:v>
                </c:pt>
                <c:pt idx="371" c:formatCode="yyyy/m/d">
                  <c:v>45475</c:v>
                </c:pt>
                <c:pt idx="372" c:formatCode="yyyy/m/d">
                  <c:v>45476</c:v>
                </c:pt>
                <c:pt idx="373" c:formatCode="yyyy/m/d">
                  <c:v>45477</c:v>
                </c:pt>
                <c:pt idx="374" c:formatCode="yyyy/m/d">
                  <c:v>45478</c:v>
                </c:pt>
                <c:pt idx="375" c:formatCode="yyyy/m/d">
                  <c:v>45481</c:v>
                </c:pt>
                <c:pt idx="376" c:formatCode="yyyy/m/d">
                  <c:v>45482</c:v>
                </c:pt>
                <c:pt idx="377" c:formatCode="yyyy/m/d">
                  <c:v>45483</c:v>
                </c:pt>
                <c:pt idx="378" c:formatCode="yyyy/m/d">
                  <c:v>45484</c:v>
                </c:pt>
                <c:pt idx="379" c:formatCode="yyyy/m/d">
                  <c:v>45485</c:v>
                </c:pt>
                <c:pt idx="380" c:formatCode="yyyy/m/d">
                  <c:v>45488</c:v>
                </c:pt>
                <c:pt idx="381" c:formatCode="yyyy/m/d">
                  <c:v>45489</c:v>
                </c:pt>
                <c:pt idx="382" c:formatCode="yyyy/m/d">
                  <c:v>45490</c:v>
                </c:pt>
                <c:pt idx="383" c:formatCode="yyyy/m/d">
                  <c:v>45491</c:v>
                </c:pt>
                <c:pt idx="384" c:formatCode="yyyy/m/d">
                  <c:v>45492</c:v>
                </c:pt>
                <c:pt idx="385" c:formatCode="yyyy/m/d">
                  <c:v>45495</c:v>
                </c:pt>
                <c:pt idx="386" c:formatCode="yyyy/m/d">
                  <c:v>45496</c:v>
                </c:pt>
                <c:pt idx="387" c:formatCode="yyyy/m/d">
                  <c:v>45497</c:v>
                </c:pt>
                <c:pt idx="388" c:formatCode="yyyy/m/d">
                  <c:v>45498</c:v>
                </c:pt>
                <c:pt idx="389" c:formatCode="yyyy/m/d">
                  <c:v>45499</c:v>
                </c:pt>
                <c:pt idx="390" c:formatCode="yyyy/m/d">
                  <c:v>45502</c:v>
                </c:pt>
                <c:pt idx="391" c:formatCode="yyyy/m/d">
                  <c:v>45503</c:v>
                </c:pt>
                <c:pt idx="392" c:formatCode="yyyy/m/d">
                  <c:v>45504</c:v>
                </c:pt>
                <c:pt idx="393" c:formatCode="yyyy/m/d">
                  <c:v>45505</c:v>
                </c:pt>
                <c:pt idx="394" c:formatCode="yyyy/m/d">
                  <c:v>45506</c:v>
                </c:pt>
                <c:pt idx="395" c:formatCode="yyyy/m/d">
                  <c:v>45509</c:v>
                </c:pt>
                <c:pt idx="396" c:formatCode="yyyy/m/d">
                  <c:v>45510</c:v>
                </c:pt>
                <c:pt idx="397" c:formatCode="yyyy/m/d">
                  <c:v>45511</c:v>
                </c:pt>
                <c:pt idx="398" c:formatCode="yyyy/m/d">
                  <c:v>45512</c:v>
                </c:pt>
                <c:pt idx="399" c:formatCode="yyyy/m/d">
                  <c:v>45513</c:v>
                </c:pt>
                <c:pt idx="400" c:formatCode="yyyy/m/d">
                  <c:v>45516</c:v>
                </c:pt>
                <c:pt idx="401" c:formatCode="yyyy/m/d">
                  <c:v>45517</c:v>
                </c:pt>
                <c:pt idx="402" c:formatCode="yyyy/m/d">
                  <c:v>45518</c:v>
                </c:pt>
                <c:pt idx="403" c:formatCode="yyyy/m/d">
                  <c:v>45519</c:v>
                </c:pt>
                <c:pt idx="404" c:formatCode="yyyy/m/d">
                  <c:v>45520</c:v>
                </c:pt>
                <c:pt idx="405" c:formatCode="yyyy/m/d">
                  <c:v>45523</c:v>
                </c:pt>
                <c:pt idx="406" c:formatCode="yyyy/m/d">
                  <c:v>45524</c:v>
                </c:pt>
                <c:pt idx="407" c:formatCode="yyyy/m/d">
                  <c:v>45525</c:v>
                </c:pt>
                <c:pt idx="408" c:formatCode="yyyy/m/d">
                  <c:v>45526</c:v>
                </c:pt>
                <c:pt idx="409" c:formatCode="yyyy/m/d">
                  <c:v>45527</c:v>
                </c:pt>
                <c:pt idx="410" c:formatCode="yyyy/m/d">
                  <c:v>45530</c:v>
                </c:pt>
                <c:pt idx="411" c:formatCode="yyyy/m/d">
                  <c:v>45531</c:v>
                </c:pt>
                <c:pt idx="412" c:formatCode="yyyy/m/d">
                  <c:v>45532</c:v>
                </c:pt>
                <c:pt idx="413" c:formatCode="yyyy/m/d">
                  <c:v>45533</c:v>
                </c:pt>
                <c:pt idx="414" c:formatCode="yyyy/m/d">
                  <c:v>45534</c:v>
                </c:pt>
                <c:pt idx="415" c:formatCode="yyyy/m/d">
                  <c:v>45537</c:v>
                </c:pt>
                <c:pt idx="416" c:formatCode="yyyy/m/d">
                  <c:v>45538</c:v>
                </c:pt>
                <c:pt idx="417" c:formatCode="yyyy/m/d">
                  <c:v>45539</c:v>
                </c:pt>
                <c:pt idx="418" c:formatCode="yyyy/m/d">
                  <c:v>45540</c:v>
                </c:pt>
                <c:pt idx="419" c:formatCode="yyyy/m/d">
                  <c:v>45541</c:v>
                </c:pt>
                <c:pt idx="420" c:formatCode="yyyy/m/d">
                  <c:v>45544</c:v>
                </c:pt>
                <c:pt idx="421" c:formatCode="yyyy/m/d">
                  <c:v>45545</c:v>
                </c:pt>
                <c:pt idx="422" c:formatCode="yyyy/m/d">
                  <c:v>45546</c:v>
                </c:pt>
                <c:pt idx="423" c:formatCode="yyyy/m/d">
                  <c:v>45547</c:v>
                </c:pt>
                <c:pt idx="424" c:formatCode="yyyy/m/d">
                  <c:v>45548</c:v>
                </c:pt>
                <c:pt idx="425" c:formatCode="yyyy/m/d">
                  <c:v>45551</c:v>
                </c:pt>
                <c:pt idx="426" c:formatCode="yyyy/m/d">
                  <c:v>45553</c:v>
                </c:pt>
                <c:pt idx="427" c:formatCode="yyyy/m/d">
                  <c:v>45554</c:v>
                </c:pt>
                <c:pt idx="428" c:formatCode="yyyy/m/d">
                  <c:v>45555</c:v>
                </c:pt>
                <c:pt idx="429" c:formatCode="yyyy/m/d">
                  <c:v>45558</c:v>
                </c:pt>
                <c:pt idx="430" c:formatCode="yyyy/m/d">
                  <c:v>45559</c:v>
                </c:pt>
                <c:pt idx="431" c:formatCode="yyyy/m/d">
                  <c:v>45560</c:v>
                </c:pt>
                <c:pt idx="432" c:formatCode="yyyy/m/d">
                  <c:v>45561</c:v>
                </c:pt>
                <c:pt idx="433" c:formatCode="yyyy/m/d">
                  <c:v>45562</c:v>
                </c:pt>
                <c:pt idx="434" c:formatCode="yyyy/m/d">
                  <c:v>45565</c:v>
                </c:pt>
                <c:pt idx="435" c:formatCode="yyyy/m/d">
                  <c:v>45566</c:v>
                </c:pt>
                <c:pt idx="436" c:formatCode="yyyy/m/d">
                  <c:v>45567</c:v>
                </c:pt>
                <c:pt idx="437" c:formatCode="yyyy/m/d">
                  <c:v>45568</c:v>
                </c:pt>
                <c:pt idx="438" c:formatCode="yyyy/m/d">
                  <c:v>45569</c:v>
                </c:pt>
                <c:pt idx="439" c:formatCode="yyyy/m/d">
                  <c:v>45572</c:v>
                </c:pt>
                <c:pt idx="440" c:formatCode="yyyy/m/d">
                  <c:v>45573</c:v>
                </c:pt>
                <c:pt idx="441" c:formatCode="yyyy/m/d">
                  <c:v>45574</c:v>
                </c:pt>
                <c:pt idx="442" c:formatCode="yyyy/m/d">
                  <c:v>45575</c:v>
                </c:pt>
                <c:pt idx="443" c:formatCode="yyyy/m/d">
                  <c:v>45576</c:v>
                </c:pt>
                <c:pt idx="444" c:formatCode="yyyy/m/d">
                  <c:v>45579</c:v>
                </c:pt>
                <c:pt idx="445" c:formatCode="yyyy/m/d">
                  <c:v>45580</c:v>
                </c:pt>
                <c:pt idx="446" c:formatCode="yyyy/m/d">
                  <c:v>45581</c:v>
                </c:pt>
                <c:pt idx="447" c:formatCode="yyyy/m/d">
                  <c:v>45582</c:v>
                </c:pt>
                <c:pt idx="448" c:formatCode="yyyy/m/d">
                  <c:v>45583</c:v>
                </c:pt>
                <c:pt idx="449" c:formatCode="yyyy/m/d">
                  <c:v>45586</c:v>
                </c:pt>
                <c:pt idx="450" c:formatCode="yyyy/m/d">
                  <c:v>45587</c:v>
                </c:pt>
                <c:pt idx="451" c:formatCode="yyyy/m/d">
                  <c:v>45588</c:v>
                </c:pt>
                <c:pt idx="452" c:formatCode="yyyy/m/d">
                  <c:v>45589</c:v>
                </c:pt>
                <c:pt idx="453" c:formatCode="yyyy/m/d">
                  <c:v>45590</c:v>
                </c:pt>
                <c:pt idx="454" c:formatCode="yyyy/m/d">
                  <c:v>45593</c:v>
                </c:pt>
                <c:pt idx="455" c:formatCode="yyyy/m/d">
                  <c:v>45594</c:v>
                </c:pt>
                <c:pt idx="456" c:formatCode="yyyy/m/d">
                  <c:v>45595</c:v>
                </c:pt>
                <c:pt idx="457" c:formatCode="yyyy/m/d">
                  <c:v>45596</c:v>
                </c:pt>
                <c:pt idx="458" c:formatCode="yyyy/m/d">
                  <c:v>45597</c:v>
                </c:pt>
                <c:pt idx="459" c:formatCode="yyyy/m/d">
                  <c:v>45600</c:v>
                </c:pt>
                <c:pt idx="460" c:formatCode="yyyy/m/d">
                  <c:v>45601</c:v>
                </c:pt>
                <c:pt idx="461" c:formatCode="yyyy/m/d">
                  <c:v>45602</c:v>
                </c:pt>
                <c:pt idx="462" c:formatCode="yyyy/m/d">
                  <c:v>45603</c:v>
                </c:pt>
                <c:pt idx="463" c:formatCode="yyyy/m/d">
                  <c:v>45604</c:v>
                </c:pt>
                <c:pt idx="464" c:formatCode="yyyy/m/d">
                  <c:v>45607</c:v>
                </c:pt>
                <c:pt idx="465" c:formatCode="yyyy/m/d">
                  <c:v>45608</c:v>
                </c:pt>
                <c:pt idx="466" c:formatCode="yyyy/m/d">
                  <c:v>45609</c:v>
                </c:pt>
                <c:pt idx="467" c:formatCode="yyyy/m/d">
                  <c:v>45610</c:v>
                </c:pt>
                <c:pt idx="468" c:formatCode="yyyy/m/d">
                  <c:v>45611</c:v>
                </c:pt>
                <c:pt idx="469" c:formatCode="yyyy/m/d">
                  <c:v>45614</c:v>
                </c:pt>
                <c:pt idx="470" c:formatCode="yyyy/m/d">
                  <c:v>45615</c:v>
                </c:pt>
                <c:pt idx="471" c:formatCode="yyyy/m/d">
                  <c:v>45616</c:v>
                </c:pt>
                <c:pt idx="472" c:formatCode="yyyy/m/d">
                  <c:v>45617</c:v>
                </c:pt>
                <c:pt idx="473" c:formatCode="yyyy/m/d">
                  <c:v>45618</c:v>
                </c:pt>
                <c:pt idx="474" c:formatCode="yyyy/m/d">
                  <c:v>45621</c:v>
                </c:pt>
                <c:pt idx="475" c:formatCode="yyyy/m/d">
                  <c:v>45622</c:v>
                </c:pt>
                <c:pt idx="476" c:formatCode="yyyy/m/d">
                  <c:v>45623</c:v>
                </c:pt>
                <c:pt idx="477" c:formatCode="yyyy/m/d">
                  <c:v>45624</c:v>
                </c:pt>
                <c:pt idx="478" c:formatCode="yyyy/m/d">
                  <c:v>45625</c:v>
                </c:pt>
                <c:pt idx="479" c:formatCode="yyyy/m/d">
                  <c:v>45628</c:v>
                </c:pt>
                <c:pt idx="480" c:formatCode="yyyy/m/d">
                  <c:v>45629</c:v>
                </c:pt>
                <c:pt idx="481" c:formatCode="yyyy/m/d">
                  <c:v>45630</c:v>
                </c:pt>
                <c:pt idx="482" c:formatCode="yyyy/m/d">
                  <c:v>45631</c:v>
                </c:pt>
                <c:pt idx="483" c:formatCode="yyyy/m/d">
                  <c:v>45632</c:v>
                </c:pt>
                <c:pt idx="484" c:formatCode="yyyy/m/d">
                  <c:v>45635</c:v>
                </c:pt>
                <c:pt idx="485" c:formatCode="yyyy/m/d">
                  <c:v>45636</c:v>
                </c:pt>
                <c:pt idx="486" c:formatCode="yyyy/m/d">
                  <c:v>45637</c:v>
                </c:pt>
                <c:pt idx="487" c:formatCode="yyyy/m/d">
                  <c:v>45638</c:v>
                </c:pt>
                <c:pt idx="488" c:formatCode="yyyy/m/d">
                  <c:v>45639</c:v>
                </c:pt>
                <c:pt idx="489" c:formatCode="yyyy/m/d">
                  <c:v>45642</c:v>
                </c:pt>
                <c:pt idx="490" c:formatCode="yyyy/m/d">
                  <c:v>45643</c:v>
                </c:pt>
                <c:pt idx="491" c:formatCode="yyyy/m/d">
                  <c:v>45644</c:v>
                </c:pt>
                <c:pt idx="492" c:formatCode="yyyy/m/d">
                  <c:v>45645</c:v>
                </c:pt>
                <c:pt idx="493" c:formatCode="yyyy/m/d">
                  <c:v>45646</c:v>
                </c:pt>
                <c:pt idx="494" c:formatCode="yyyy/m/d">
                  <c:v>45649</c:v>
                </c:pt>
                <c:pt idx="495" c:formatCode="yyyy/m/d">
                  <c:v>45650</c:v>
                </c:pt>
                <c:pt idx="496" c:formatCode="yyyy/m/d">
                  <c:v>45651</c:v>
                </c:pt>
                <c:pt idx="497" c:formatCode="yyyy/m/d">
                  <c:v>45652</c:v>
                </c:pt>
                <c:pt idx="498" c:formatCode="yyyy/m/d">
                  <c:v>45653</c:v>
                </c:pt>
                <c:pt idx="499" c:formatCode="yyyy/m/d">
                  <c:v>45656</c:v>
                </c:pt>
                <c:pt idx="500" c:formatCode="yyyy/m/d">
                  <c:v>45657</c:v>
                </c:pt>
                <c:pt idx="501" c:formatCode="yyyy/m/d">
                  <c:v>45659</c:v>
                </c:pt>
                <c:pt idx="502" c:formatCode="yyyy/m/d">
                  <c:v>45660</c:v>
                </c:pt>
                <c:pt idx="503" c:formatCode="yyyy/m/d">
                  <c:v>45663</c:v>
                </c:pt>
                <c:pt idx="504" c:formatCode="yyyy/m/d">
                  <c:v>45664</c:v>
                </c:pt>
                <c:pt idx="505" c:formatCode="yyyy/m/d">
                  <c:v>45665</c:v>
                </c:pt>
                <c:pt idx="506" c:formatCode="yyyy/m/d">
                  <c:v>45666</c:v>
                </c:pt>
                <c:pt idx="507" c:formatCode="yyyy/m/d">
                  <c:v>45667</c:v>
                </c:pt>
                <c:pt idx="508" c:formatCode="yyyy/m/d">
                  <c:v>45670</c:v>
                </c:pt>
                <c:pt idx="509" c:formatCode="yyyy/m/d">
                  <c:v>45671</c:v>
                </c:pt>
                <c:pt idx="510" c:formatCode="yyyy/m/d">
                  <c:v>45672</c:v>
                </c:pt>
                <c:pt idx="511" c:formatCode="yyyy/m/d">
                  <c:v>45673</c:v>
                </c:pt>
                <c:pt idx="512" c:formatCode="yyyy/m/d">
                  <c:v>45674</c:v>
                </c:pt>
                <c:pt idx="513" c:formatCode="yyyy/m/d">
                  <c:v>45677</c:v>
                </c:pt>
                <c:pt idx="514" c:formatCode="yyyy/m/d">
                  <c:v>45678</c:v>
                </c:pt>
                <c:pt idx="515" c:formatCode="yyyy/m/d">
                  <c:v>45679</c:v>
                </c:pt>
                <c:pt idx="516" c:formatCode="yyyy/m/d">
                  <c:v>45680</c:v>
                </c:pt>
                <c:pt idx="517" c:formatCode="yyyy/m/d">
                  <c:v>45681</c:v>
                </c:pt>
                <c:pt idx="518" c:formatCode="yyyy/m/d">
                  <c:v>45684</c:v>
                </c:pt>
                <c:pt idx="519" c:formatCode="yyyy/m/d">
                  <c:v>45691</c:v>
                </c:pt>
                <c:pt idx="520" c:formatCode="yyyy/m/d">
                  <c:v>45692</c:v>
                </c:pt>
                <c:pt idx="521" c:formatCode="yyyy/m/d">
                  <c:v>45693</c:v>
                </c:pt>
                <c:pt idx="522" c:formatCode="yyyy/m/d">
                  <c:v>45694</c:v>
                </c:pt>
                <c:pt idx="523" c:formatCode="yyyy/m/d">
                  <c:v>45695</c:v>
                </c:pt>
                <c:pt idx="524" c:formatCode="yyyy/m/d">
                  <c:v>45698</c:v>
                </c:pt>
                <c:pt idx="525" c:formatCode="yyyy/m/d">
                  <c:v>45699</c:v>
                </c:pt>
                <c:pt idx="526" c:formatCode="yyyy/m/d">
                  <c:v>45700</c:v>
                </c:pt>
                <c:pt idx="527" c:formatCode="yyyy/m/d">
                  <c:v>45701</c:v>
                </c:pt>
                <c:pt idx="528" c:formatCode="yyyy/m/d">
                  <c:v>45702</c:v>
                </c:pt>
                <c:pt idx="529" c:formatCode="yyyy/m/d">
                  <c:v>45705</c:v>
                </c:pt>
                <c:pt idx="530" c:formatCode="yyyy/m/d">
                  <c:v>45706</c:v>
                </c:pt>
                <c:pt idx="531" c:formatCode="yyyy/m/d">
                  <c:v>45707</c:v>
                </c:pt>
                <c:pt idx="532" c:formatCode="yyyy/m/d">
                  <c:v>45708</c:v>
                </c:pt>
                <c:pt idx="533" c:formatCode="yyyy/m/d">
                  <c:v>45709</c:v>
                </c:pt>
                <c:pt idx="534" c:formatCode="yyyy/m/d">
                  <c:v>45712</c:v>
                </c:pt>
                <c:pt idx="535" c:formatCode="yyyy/m/d">
                  <c:v>45713</c:v>
                </c:pt>
                <c:pt idx="536" c:formatCode="yyyy/m/d">
                  <c:v>45714</c:v>
                </c:pt>
                <c:pt idx="537" c:formatCode="yyyy/m/d">
                  <c:v>45715</c:v>
                </c:pt>
                <c:pt idx="538" c:formatCode="yyyy/m/d">
                  <c:v>45716</c:v>
                </c:pt>
                <c:pt idx="539" c:formatCode="yyyy/m/d">
                  <c:v>45719</c:v>
                </c:pt>
                <c:pt idx="540" c:formatCode="yyyy/m/d">
                  <c:v>45720</c:v>
                </c:pt>
                <c:pt idx="541" c:formatCode="yyyy/m/d">
                  <c:v>45721</c:v>
                </c:pt>
                <c:pt idx="542" c:formatCode="yyyy/m/d">
                  <c:v>45722</c:v>
                </c:pt>
                <c:pt idx="543" c:formatCode="yyyy/m/d">
                  <c:v>45723</c:v>
                </c:pt>
                <c:pt idx="544" c:formatCode="yyyy/m/d">
                  <c:v>45726</c:v>
                </c:pt>
                <c:pt idx="545" c:formatCode="yyyy/m/d">
                  <c:v>45727</c:v>
                </c:pt>
                <c:pt idx="546" c:formatCode="yyyy/m/d">
                  <c:v>45728</c:v>
                </c:pt>
                <c:pt idx="547" c:formatCode="yyyy/m/d">
                  <c:v>45729</c:v>
                </c:pt>
                <c:pt idx="548" c:formatCode="yyyy/m/d">
                  <c:v>45730</c:v>
                </c:pt>
                <c:pt idx="549" c:formatCode="yyyy/m/d">
                  <c:v>45733</c:v>
                </c:pt>
                <c:pt idx="550" c:formatCode="yyyy/m/d">
                  <c:v>45734</c:v>
                </c:pt>
                <c:pt idx="551" c:formatCode="yyyy/m/d">
                  <c:v>45735</c:v>
                </c:pt>
                <c:pt idx="552" c:formatCode="yyyy/m/d">
                  <c:v>45736</c:v>
                </c:pt>
                <c:pt idx="553" c:formatCode="yyyy/m/d">
                  <c:v>45737</c:v>
                </c:pt>
                <c:pt idx="554" c:formatCode="yyyy/m/d">
                  <c:v>45740</c:v>
                </c:pt>
                <c:pt idx="555" c:formatCode="yyyy/m/d">
                  <c:v>45741</c:v>
                </c:pt>
                <c:pt idx="556" c:formatCode="yyyy/m/d">
                  <c:v>45742</c:v>
                </c:pt>
                <c:pt idx="557" c:formatCode="yyyy/m/d">
                  <c:v>45743</c:v>
                </c:pt>
                <c:pt idx="558" c:formatCode="yyyy/m/d">
                  <c:v>45744</c:v>
                </c:pt>
                <c:pt idx="559" c:formatCode="yyyy/m/d">
                  <c:v>45747</c:v>
                </c:pt>
                <c:pt idx="560" c:formatCode="yyyy/m/d">
                  <c:v>45748</c:v>
                </c:pt>
                <c:pt idx="561" c:formatCode="yyyy/m/d">
                  <c:v>45749</c:v>
                </c:pt>
                <c:pt idx="562" c:formatCode="yyyy/m/d">
                  <c:v>45750</c:v>
                </c:pt>
                <c:pt idx="563" c:formatCode="yyyy/m/d">
                  <c:v>45754</c:v>
                </c:pt>
                <c:pt idx="564" c:formatCode="yyyy/m/d">
                  <c:v>45755</c:v>
                </c:pt>
                <c:pt idx="565" c:formatCode="yyyy/m/d">
                  <c:v>45756</c:v>
                </c:pt>
                <c:pt idx="566" c:formatCode="yyyy/m/d">
                  <c:v>45757</c:v>
                </c:pt>
                <c:pt idx="567" c:formatCode="yyyy/m/d">
                  <c:v>45758</c:v>
                </c:pt>
                <c:pt idx="568" c:formatCode="yyyy/m/d">
                  <c:v>45761</c:v>
                </c:pt>
                <c:pt idx="569" c:formatCode="yyyy/m/d">
                  <c:v>45762</c:v>
                </c:pt>
                <c:pt idx="570" c:formatCode="yyyy/m/d">
                  <c:v>45763</c:v>
                </c:pt>
                <c:pt idx="571" c:formatCode="yyyy/m/d">
                  <c:v>45764</c:v>
                </c:pt>
                <c:pt idx="572" c:formatCode="yyyy/m/d">
                  <c:v>45765</c:v>
                </c:pt>
                <c:pt idx="573" c:formatCode="yyyy/m/d">
                  <c:v>45768</c:v>
                </c:pt>
                <c:pt idx="574" c:formatCode="yyyy/m/d">
                  <c:v>45769</c:v>
                </c:pt>
                <c:pt idx="575" c:formatCode="yyyy/m/d">
                  <c:v>45770</c:v>
                </c:pt>
                <c:pt idx="576" c:formatCode="yyyy/m/d">
                  <c:v>45771</c:v>
                </c:pt>
                <c:pt idx="577" c:formatCode="yyyy/m/d">
                  <c:v>45772</c:v>
                </c:pt>
                <c:pt idx="578" c:formatCode="yyyy/m/d">
                  <c:v>45775</c:v>
                </c:pt>
                <c:pt idx="579" c:formatCode="yyyy/m/d">
                  <c:v>45776</c:v>
                </c:pt>
                <c:pt idx="580" c:formatCode="yyyy/m/d">
                  <c:v>45777</c:v>
                </c:pt>
                <c:pt idx="581" c:formatCode="yyyy/m/d">
                  <c:v>45779</c:v>
                </c:pt>
                <c:pt idx="582" c:formatCode="yyyy/m/d">
                  <c:v>45782</c:v>
                </c:pt>
                <c:pt idx="583" c:formatCode="yyyy/m/d">
                  <c:v>45783</c:v>
                </c:pt>
                <c:pt idx="584" c:formatCode="yyyy/m/d">
                  <c:v>45784</c:v>
                </c:pt>
                <c:pt idx="585" c:formatCode="yyyy/m/d">
                  <c:v>45785</c:v>
                </c:pt>
                <c:pt idx="586" c:formatCode="yyyy/m/d">
                  <c:v>45786</c:v>
                </c:pt>
                <c:pt idx="587" c:formatCode="yyyy/m/d">
                  <c:v>45789</c:v>
                </c:pt>
                <c:pt idx="588" c:formatCode="yyyy/m/d">
                  <c:v>45790</c:v>
                </c:pt>
                <c:pt idx="589" c:formatCode="yyyy/m/d">
                  <c:v>45791</c:v>
                </c:pt>
                <c:pt idx="590" c:formatCode="yyyy/m/d">
                  <c:v>45792</c:v>
                </c:pt>
                <c:pt idx="591" c:formatCode="yyyy/m/d">
                  <c:v>45793</c:v>
                </c:pt>
                <c:pt idx="592" c:formatCode="yyyy/m/d">
                  <c:v>45796</c:v>
                </c:pt>
                <c:pt idx="593" c:formatCode="yyyy/m/d">
                  <c:v>45797</c:v>
                </c:pt>
                <c:pt idx="594" c:formatCode="yyyy/m/d">
                  <c:v>45798</c:v>
                </c:pt>
                <c:pt idx="595" c:formatCode="yyyy/m/d">
                  <c:v>45799</c:v>
                </c:pt>
                <c:pt idx="596" c:formatCode="yyyy/m/d">
                  <c:v>45800</c:v>
                </c:pt>
                <c:pt idx="597" c:formatCode="yyyy/m/d">
                  <c:v>45803</c:v>
                </c:pt>
                <c:pt idx="598" c:formatCode="yyyy/m/d">
                  <c:v>45804</c:v>
                </c:pt>
                <c:pt idx="599" c:formatCode="yyyy/m/d">
                  <c:v>45805</c:v>
                </c:pt>
                <c:pt idx="600" c:formatCode="yyyy/m/d">
                  <c:v>45806</c:v>
                </c:pt>
                <c:pt idx="601" c:formatCode="yyyy/m/d">
                  <c:v>45807</c:v>
                </c:pt>
                <c:pt idx="602" c:formatCode="yyyy/m/d">
                  <c:v>45810</c:v>
                </c:pt>
                <c:pt idx="603" c:formatCode="yyyy/m/d">
                  <c:v>45811</c:v>
                </c:pt>
                <c:pt idx="604" c:formatCode="yyyy/m/d">
                  <c:v>45812</c:v>
                </c:pt>
                <c:pt idx="605" c:formatCode="yyyy/m/d">
                  <c:v>45813</c:v>
                </c:pt>
                <c:pt idx="606" c:formatCode="yyyy/m/d">
                  <c:v>45814</c:v>
                </c:pt>
                <c:pt idx="607" c:formatCode="yyyy/m/d">
                  <c:v>45817</c:v>
                </c:pt>
                <c:pt idx="608" c:formatCode="yyyy/m/d">
                  <c:v>45818</c:v>
                </c:pt>
                <c:pt idx="609" c:formatCode="yyyy/m/d">
                  <c:v>45819</c:v>
                </c:pt>
                <c:pt idx="610" c:formatCode="yyyy/m/d">
                  <c:v>45820</c:v>
                </c:pt>
                <c:pt idx="611" c:formatCode="yyyy/m/d">
                  <c:v>45821</c:v>
                </c:pt>
                <c:pt idx="612" c:formatCode="yyyy/m/d">
                  <c:v>45824</c:v>
                </c:pt>
                <c:pt idx="613" c:formatCode="yyyy/m/d">
                  <c:v>45825</c:v>
                </c:pt>
                <c:pt idx="614" c:formatCode="yyyy/m/d">
                  <c:v>45826</c:v>
                </c:pt>
                <c:pt idx="615" c:formatCode="yyyy/m/d">
                  <c:v>45827</c:v>
                </c:pt>
                <c:pt idx="616" c:formatCode="yyyy/m/d">
                  <c:v>45828</c:v>
                </c:pt>
                <c:pt idx="617" c:formatCode="yyyy/m/d">
                  <c:v>45831</c:v>
                </c:pt>
                <c:pt idx="618" c:formatCode="yyyy/m/d">
                  <c:v>45832</c:v>
                </c:pt>
                <c:pt idx="619" c:formatCode="yyyy/m/d">
                  <c:v>45833</c:v>
                </c:pt>
                <c:pt idx="620" c:formatCode="yyyy/m/d">
                  <c:v>45834</c:v>
                </c:pt>
                <c:pt idx="621" c:formatCode="yyyy/m/d">
                  <c:v>45835</c:v>
                </c:pt>
                <c:pt idx="622" c:formatCode="yyyy/m/d">
                  <c:v>45838</c:v>
                </c:pt>
                <c:pt idx="623" c:formatCode="yyyy/m/d">
                  <c:v>45839</c:v>
                </c:pt>
                <c:pt idx="624" c:formatCode="yyyy/m/d">
                  <c:v>45840</c:v>
                </c:pt>
                <c:pt idx="625" c:formatCode="yyyy/m/d">
                  <c:v>45841</c:v>
                </c:pt>
                <c:pt idx="626" c:formatCode="yyyy/m/d">
                  <c:v>45842</c:v>
                </c:pt>
                <c:pt idx="627" c:formatCode="yyyy/m/d">
                  <c:v>45845</c:v>
                </c:pt>
                <c:pt idx="628" c:formatCode="yyyy/m/d">
                  <c:v>45846</c:v>
                </c:pt>
                <c:pt idx="629" c:formatCode="yyyy/m/d">
                  <c:v>45847</c:v>
                </c:pt>
                <c:pt idx="630" c:formatCode="yyyy/m/d">
                  <c:v>45848</c:v>
                </c:pt>
                <c:pt idx="631" c:formatCode="yyyy/m/d">
                  <c:v>45849</c:v>
                </c:pt>
                <c:pt idx="632" c:formatCode="yyyy/m/d">
                  <c:v>45852</c:v>
                </c:pt>
                <c:pt idx="633" c:formatCode="yyyy/m/d">
                  <c:v>45853</c:v>
                </c:pt>
                <c:pt idx="634" c:formatCode="yyyy/m/d">
                  <c:v>45854</c:v>
                </c:pt>
                <c:pt idx="635" c:formatCode="yyyy/m/d">
                  <c:v>45855</c:v>
                </c:pt>
                <c:pt idx="636" c:formatCode="yyyy/m/d">
                  <c:v>45856</c:v>
                </c:pt>
                <c:pt idx="637" c:formatCode="yyyy/m/d">
                  <c:v>45859</c:v>
                </c:pt>
                <c:pt idx="638" c:formatCode="yyyy/m/d">
                  <c:v>45860</c:v>
                </c:pt>
                <c:pt idx="639" c:formatCode="yyyy/m/d">
                  <c:v>45861</c:v>
                </c:pt>
                <c:pt idx="640" c:formatCode="yyyy/m/d">
                  <c:v>45862</c:v>
                </c:pt>
                <c:pt idx="641" c:formatCode="yyyy/m/d">
                  <c:v>45863</c:v>
                </c:pt>
                <c:pt idx="642" c:formatCode="yyyy/m/d">
                  <c:v>45866</c:v>
                </c:pt>
                <c:pt idx="643" c:formatCode="yyyy/m/d">
                  <c:v>45867</c:v>
                </c:pt>
                <c:pt idx="644" c:formatCode="yyyy/m/d">
                  <c:v>45868</c:v>
                </c:pt>
                <c:pt idx="645" c:formatCode="yyyy/m/d">
                  <c:v>45869</c:v>
                </c:pt>
                <c:pt idx="646" c:formatCode="yyyy/m/d">
                  <c:v>45870</c:v>
                </c:pt>
                <c:pt idx="647" c:formatCode="yyyy/m/d">
                  <c:v>45873</c:v>
                </c:pt>
                <c:pt idx="648" c:formatCode="yyyy/m/d">
                  <c:v>45874</c:v>
                </c:pt>
                <c:pt idx="649" c:formatCode="yyyy/m/d">
                  <c:v>45875</c:v>
                </c:pt>
                <c:pt idx="650" c:formatCode="yyyy/m/d">
                  <c:v>45876</c:v>
                </c:pt>
                <c:pt idx="651" c:formatCode="yyyy/m/d">
                  <c:v>45877</c:v>
                </c:pt>
                <c:pt idx="652" c:formatCode="yyyy/m/d">
                  <c:v>45880</c:v>
                </c:pt>
                <c:pt idx="653" c:formatCode="yyyy/m/d">
                  <c:v>45881</c:v>
                </c:pt>
                <c:pt idx="654" c:formatCode="yyyy/m/d">
                  <c:v>45882</c:v>
                </c:pt>
                <c:pt idx="655" c:formatCode="yyyy/m/d">
                  <c:v>45883</c:v>
                </c:pt>
                <c:pt idx="656" c:formatCode="yyyy/m/d">
                  <c:v>45884</c:v>
                </c:pt>
                <c:pt idx="657" c:formatCode="yyyy/m/d">
                  <c:v>45887</c:v>
                </c:pt>
                <c:pt idx="658" c:formatCode="yyyy/m/d">
                  <c:v>45888</c:v>
                </c:pt>
                <c:pt idx="659" c:formatCode="yyyy/m/d">
                  <c:v>45889</c:v>
                </c:pt>
                <c:pt idx="660" c:formatCode="yyyy/m/d">
                  <c:v>45890</c:v>
                </c:pt>
                <c:pt idx="661" c:formatCode="yyyy/m/d">
                  <c:v>45891</c:v>
                </c:pt>
                <c:pt idx="662" c:formatCode="yyyy/m/d">
                  <c:v>45894</c:v>
                </c:pt>
                <c:pt idx="663" c:formatCode="yyyy/m/d">
                  <c:v>45895</c:v>
                </c:pt>
                <c:pt idx="664" c:formatCode="yyyy/m/d">
                  <c:v>45896</c:v>
                </c:pt>
                <c:pt idx="665" c:formatCode="yyyy/m/d">
                  <c:v>45897</c:v>
                </c:pt>
                <c:pt idx="666" c:formatCode="yyyy/m/d">
                  <c:v>45898</c:v>
                </c:pt>
                <c:pt idx="667" c:formatCode="yyyy/m/d">
                  <c:v>45901</c:v>
                </c:pt>
                <c:pt idx="668" c:formatCode="yyyy/m/d">
                  <c:v>45902</c:v>
                </c:pt>
                <c:pt idx="669" c:formatCode="yyyy/m/d">
                  <c:v>45903</c:v>
                </c:pt>
                <c:pt idx="670" c:formatCode="yyyy/m/d">
                  <c:v>45904</c:v>
                </c:pt>
                <c:pt idx="671" c:formatCode="yyyy/m/d">
                  <c:v>45905</c:v>
                </c:pt>
                <c:pt idx="672" c:formatCode="yyyy/m/d">
                  <c:v>45908</c:v>
                </c:pt>
                <c:pt idx="673" c:formatCode="yyyy/m/d">
                  <c:v>45909</c:v>
                </c:pt>
                <c:pt idx="674" c:formatCode="yyyy/m/d">
                  <c:v>45910</c:v>
                </c:pt>
                <c:pt idx="675" c:formatCode="yyyy/m/d">
                  <c:v>45911</c:v>
                </c:pt>
                <c:pt idx="676" c:formatCode="yyyy/m/d">
                  <c:v>45912</c:v>
                </c:pt>
                <c:pt idx="677" c:formatCode="yyyy/m/d">
                  <c:v>45915</c:v>
                </c:pt>
                <c:pt idx="678" c:formatCode="yyyy/m/d">
                  <c:v>45916</c:v>
                </c:pt>
                <c:pt idx="679" c:formatCode="yyyy/m/d">
                  <c:v>45917</c:v>
                </c:pt>
                <c:pt idx="680" c:formatCode="yyyy/m/d">
                  <c:v>45918</c:v>
                </c:pt>
                <c:pt idx="681" c:formatCode="yyyy/m/d">
                  <c:v>45919</c:v>
                </c:pt>
                <c:pt idx="682" c:formatCode="yyyy/m/d">
                  <c:v>45922</c:v>
                </c:pt>
                <c:pt idx="683" c:formatCode="yyyy/m/d">
                  <c:v>45923</c:v>
                </c:pt>
                <c:pt idx="684" c:formatCode="yyyy/m/d">
                  <c:v>45924</c:v>
                </c:pt>
                <c:pt idx="685" c:formatCode="yyyy/m/d">
                  <c:v>45925</c:v>
                </c:pt>
                <c:pt idx="686" c:formatCode="yyyy/m/d">
                  <c:v>45926</c:v>
                </c:pt>
                <c:pt idx="687" c:formatCode="yyyy/m/d">
                  <c:v>45929</c:v>
                </c:pt>
                <c:pt idx="688" c:formatCode="yyyy/m/d">
                  <c:v>45930</c:v>
                </c:pt>
                <c:pt idx="689" c:formatCode="yyyy/m/d">
                  <c:v>45931</c:v>
                </c:pt>
                <c:pt idx="690" c:formatCode="yyyy/m/d">
                  <c:v>45932</c:v>
                </c:pt>
                <c:pt idx="691" c:formatCode="yyyy/m/d">
                  <c:v>45933</c:v>
                </c:pt>
                <c:pt idx="692" c:formatCode="yyyy/m/d">
                  <c:v>45936</c:v>
                </c:pt>
                <c:pt idx="693" c:formatCode="yyyy/m/d">
                  <c:v>45937</c:v>
                </c:pt>
                <c:pt idx="694" c:formatCode="yyyy/m/d">
                  <c:v>45938</c:v>
                </c:pt>
                <c:pt idx="695" c:formatCode="yyyy/m/d">
                  <c:v>45939</c:v>
                </c:pt>
                <c:pt idx="696" c:formatCode="yyyy/m/d">
                  <c:v>45940</c:v>
                </c:pt>
                <c:pt idx="697" c:formatCode="yyyy/m/d">
                  <c:v>45943</c:v>
                </c:pt>
                <c:pt idx="698" c:formatCode="yyyy/m/d">
                  <c:v>45944</c:v>
                </c:pt>
                <c:pt idx="699" c:formatCode="yyyy/m/d">
                  <c:v>45945</c:v>
                </c:pt>
                <c:pt idx="700" c:formatCode="yyyy/m/d">
                  <c:v>45946</c:v>
                </c:pt>
                <c:pt idx="701" c:formatCode="yyyy/m/d">
                  <c:v>45947</c:v>
                </c:pt>
                <c:pt idx="702" c:formatCode="yyyy/m/d">
                  <c:v>45950</c:v>
                </c:pt>
                <c:pt idx="703" c:formatCode="yyyy/m/d">
                  <c:v>45951</c:v>
                </c:pt>
                <c:pt idx="704" c:formatCode="yyyy/m/d">
                  <c:v>45952</c:v>
                </c:pt>
                <c:pt idx="705" c:formatCode="yyyy/m/d">
                  <c:v>45953</c:v>
                </c:pt>
                <c:pt idx="706" c:formatCode="yyyy/m/d">
                  <c:v>45954</c:v>
                </c:pt>
                <c:pt idx="707" c:formatCode="yyyy/m/d">
                  <c:v>45957</c:v>
                </c:pt>
                <c:pt idx="708" c:formatCode="yyyy/m/d">
                  <c:v>45958</c:v>
                </c:pt>
                <c:pt idx="709" c:formatCode="yyyy/m/d">
                  <c:v>45959</c:v>
                </c:pt>
                <c:pt idx="710" c:formatCode="yyyy/m/d">
                  <c:v>45960</c:v>
                </c:pt>
                <c:pt idx="711" c:formatCode="yyyy/m/d">
                  <c:v>45961</c:v>
                </c:pt>
                <c:pt idx="712" c:formatCode="yyyy/m/d">
                  <c:v>45964</c:v>
                </c:pt>
                <c:pt idx="713" c:formatCode="yyyy/m/d">
                  <c:v>45965</c:v>
                </c:pt>
                <c:pt idx="714" c:formatCode="yyyy/m/d">
                  <c:v>45966</c:v>
                </c:pt>
                <c:pt idx="715" c:formatCode="yyyy/m/d">
                  <c:v>45967</c:v>
                </c:pt>
                <c:pt idx="716" c:formatCode="yyyy/m/d">
                  <c:v>45968</c:v>
                </c:pt>
                <c:pt idx="717" c:formatCode="yyyy/m/d">
                  <c:v>45971</c:v>
                </c:pt>
                <c:pt idx="718" c:formatCode="yyyy/m/d">
                  <c:v>45972</c:v>
                </c:pt>
                <c:pt idx="719" c:formatCode="yyyy/m/d">
                  <c:v>45973</c:v>
                </c:pt>
                <c:pt idx="720" c:formatCode="yyyy/m/d">
                  <c:v>45974</c:v>
                </c:pt>
                <c:pt idx="721" c:formatCode="yyyy/m/d">
                  <c:v>45975</c:v>
                </c:pt>
                <c:pt idx="722" c:formatCode="yyyy/m/d">
                  <c:v>45978</c:v>
                </c:pt>
                <c:pt idx="723" c:formatCode="yyyy/m/d">
                  <c:v>45979</c:v>
                </c:pt>
                <c:pt idx="724" c:formatCode="yyyy/m/d">
                  <c:v>45980</c:v>
                </c:pt>
                <c:pt idx="725" c:formatCode="yyyy/m/d">
                  <c:v>45981</c:v>
                </c:pt>
                <c:pt idx="726" c:formatCode="yyyy/m/d">
                  <c:v>45982</c:v>
                </c:pt>
                <c:pt idx="727" c:formatCode="yyyy/m/d">
                  <c:v>45985</c:v>
                </c:pt>
                <c:pt idx="728" c:formatCode="yyyy/m/d">
                  <c:v>45986</c:v>
                </c:pt>
                <c:pt idx="729" c:formatCode="yyyy/m/d">
                  <c:v>45987</c:v>
                </c:pt>
                <c:pt idx="730" c:formatCode="yyyy/m/d">
                  <c:v>45988</c:v>
                </c:pt>
                <c:pt idx="731" c:formatCode="yyyy/m/d">
                  <c:v>45989</c:v>
                </c:pt>
                <c:pt idx="732" c:formatCode="yyyy/m/d">
                  <c:v>45992</c:v>
                </c:pt>
                <c:pt idx="733" c:formatCode="yyyy/m/d">
                  <c:v>45993</c:v>
                </c:pt>
                <c:pt idx="734" c:formatCode="yyyy/m/d">
                  <c:v>45994</c:v>
                </c:pt>
                <c:pt idx="735" c:formatCode="yyyy/m/d">
                  <c:v>45995</c:v>
                </c:pt>
                <c:pt idx="736" c:formatCode="yyyy/m/d">
                  <c:v>45996</c:v>
                </c:pt>
                <c:pt idx="737" c:formatCode="yyyy/m/d">
                  <c:v>45999</c:v>
                </c:pt>
                <c:pt idx="738" c:formatCode="yyyy/m/d">
                  <c:v>46000</c:v>
                </c:pt>
                <c:pt idx="739" c:formatCode="yyyy/m/d">
                  <c:v>46001</c:v>
                </c:pt>
                <c:pt idx="740" c:formatCode="yyyy/m/d">
                  <c:v>46002</c:v>
                </c:pt>
                <c:pt idx="741" c:formatCode="yyyy/m/d">
                  <c:v>46003</c:v>
                </c:pt>
                <c:pt idx="742" c:formatCode="yyyy/m/d">
                  <c:v>46006</c:v>
                </c:pt>
                <c:pt idx="743" c:formatCode="yyyy/m/d">
                  <c:v>46007</c:v>
                </c:pt>
                <c:pt idx="744" c:formatCode="yyyy/m/d">
                  <c:v>46008</c:v>
                </c:pt>
                <c:pt idx="745" c:formatCode="yyyy/m/d">
                  <c:v>46009</c:v>
                </c:pt>
                <c:pt idx="746" c:formatCode="yyyy/m/d">
                  <c:v>46010</c:v>
                </c:pt>
                <c:pt idx="747" c:formatCode="yyyy/m/d">
                  <c:v>46013</c:v>
                </c:pt>
                <c:pt idx="748" c:formatCode="yyyy/m/d">
                  <c:v>46014</c:v>
                </c:pt>
                <c:pt idx="749" c:formatCode="yyyy/m/d">
                  <c:v>46015</c:v>
                </c:pt>
                <c:pt idx="750" c:formatCode="yyyy/m/d">
                  <c:v>46016</c:v>
                </c:pt>
                <c:pt idx="751" c:formatCode="yyyy/m/d">
                  <c:v>46017</c:v>
                </c:pt>
                <c:pt idx="752" c:formatCode="yyyy/m/d">
                  <c:v>46020</c:v>
                </c:pt>
                <c:pt idx="753" c:formatCode="yyyy/m/d">
                  <c:v>46021</c:v>
                </c:pt>
                <c:pt idx="754" c:formatCode="yyyy/m/d">
                  <c:v>46022</c:v>
                </c:pt>
                <c:pt idx="755" c:formatCode="yyyy/m/d">
                  <c:v>46024</c:v>
                </c:pt>
                <c:pt idx="756" c:formatCode="yyyy/m/d">
                  <c:v>46027</c:v>
                </c:pt>
                <c:pt idx="757" c:formatCode="yyyy/m/d">
                  <c:v>46028</c:v>
                </c:pt>
                <c:pt idx="758" c:formatCode="yyyy/m/d">
                  <c:v>46029</c:v>
                </c:pt>
                <c:pt idx="759" c:formatCode="yyyy/m/d">
                  <c:v>46030</c:v>
                </c:pt>
                <c:pt idx="760" c:formatCode="yyyy/m/d">
                  <c:v>46031</c:v>
                </c:pt>
                <c:pt idx="761" c:formatCode="yyyy/m/d">
                  <c:v>46034</c:v>
                </c:pt>
                <c:pt idx="762" c:formatCode="yyyy/m/d">
                  <c:v>46035</c:v>
                </c:pt>
                <c:pt idx="763" c:formatCode="yyyy/m/d">
                  <c:v>46036</c:v>
                </c:pt>
                <c:pt idx="764" c:formatCode="yyyy/m/d">
                  <c:v>46037</c:v>
                </c:pt>
                <c:pt idx="765" c:formatCode="yyyy/m/d">
                  <c:v>46038</c:v>
                </c:pt>
                <c:pt idx="766" c:formatCode="yyyy/m/d">
                  <c:v>46041</c:v>
                </c:pt>
                <c:pt idx="767" c:formatCode="yyyy/m/d">
                  <c:v>46042</c:v>
                </c:pt>
                <c:pt idx="768" c:formatCode="yyyy/m/d">
                  <c:v>46043</c:v>
                </c:pt>
                <c:pt idx="769" c:formatCode="yyyy/m/d">
                  <c:v>46044</c:v>
                </c:pt>
                <c:pt idx="770" c:formatCode="yyyy/m/d">
                  <c:v>46045</c:v>
                </c:pt>
                <c:pt idx="771" c:formatCode="yyyy/m/d">
                  <c:v>46048</c:v>
                </c:pt>
                <c:pt idx="772" c:formatCode="yyyy/m/d">
                  <c:v>46049</c:v>
                </c:pt>
                <c:pt idx="773" c:formatCode="yyyy/m/d">
                  <c:v>46050</c:v>
                </c:pt>
                <c:pt idx="774" c:formatCode="yyyy/m/d">
                  <c:v>46051</c:v>
                </c:pt>
                <c:pt idx="775" c:formatCode="yyyy/m/d">
                  <c:v>46052</c:v>
                </c:pt>
                <c:pt idx="776" c:formatCode="yyyy/m/d">
                  <c:v>46055</c:v>
                </c:pt>
                <c:pt idx="777" c:formatCode="yyyy/m/d">
                  <c:v>46056</c:v>
                </c:pt>
                <c:pt idx="778" c:formatCode="yyyy/m/d">
                  <c:v>46057</c:v>
                </c:pt>
                <c:pt idx="779" c:formatCode="yyyy/m/d">
                  <c:v>46058</c:v>
                </c:pt>
                <c:pt idx="780" c:formatCode="yyyy/m/d">
                  <c:v>46059</c:v>
                </c:pt>
                <c:pt idx="781" c:formatCode="yyyy/m/d">
                  <c:v>46062</c:v>
                </c:pt>
                <c:pt idx="782" c:formatCode="yyyy/m/d">
                  <c:v>46063</c:v>
                </c:pt>
                <c:pt idx="783" c:formatCode="yyyy/m/d">
                  <c:v>46064</c:v>
                </c:pt>
                <c:pt idx="784" c:formatCode="yyyy/m/d">
                  <c:v>46065</c:v>
                </c:pt>
                <c:pt idx="785" c:formatCode="yyyy/m/d">
                  <c:v>46066</c:v>
                </c:pt>
                <c:pt idx="786" c:formatCode="yyyy/m/d">
                  <c:v>46076</c:v>
                </c:pt>
                <c:pt idx="787" c:formatCode="yyyy/m/d">
                  <c:v>46077</c:v>
                </c:pt>
                <c:pt idx="788" c:formatCode="yyyy/m/d">
                  <c:v>46078</c:v>
                </c:pt>
                <c:pt idx="789" c:formatCode="yyyy/m/d">
                  <c:v>46079</c:v>
                </c:pt>
                <c:pt idx="790" c:formatCode="yyyy/m/d">
                  <c:v>46080</c:v>
                </c:pt>
                <c:pt idx="791" c:formatCode="yyyy/m/d">
                  <c:v>46083</c:v>
                </c:pt>
                <c:pt idx="792" c:formatCode="yyyy/m/d">
                  <c:v>46084</c:v>
                </c:pt>
                <c:pt idx="793" c:formatCode="yyyy/m/d">
                  <c:v>46085</c:v>
                </c:pt>
                <c:pt idx="794" c:formatCode="yyyy/m/d">
                  <c:v>46086</c:v>
                </c:pt>
                <c:pt idx="795" c:formatCode="yyyy/m/d">
                  <c:v>46087</c:v>
                </c:pt>
                <c:pt idx="796" c:formatCode="yyyy/m/d">
                  <c:v>46090</c:v>
                </c:pt>
                <c:pt idx="797" c:formatCode="yyyy/m/d">
                  <c:v>46091</c:v>
                </c:pt>
                <c:pt idx="798" c:formatCode="yyyy/m/d">
                  <c:v>46092</c:v>
                </c:pt>
                <c:pt idx="799" c:formatCode="yyyy/m/d">
                  <c:v>46093</c:v>
                </c:pt>
                <c:pt idx="800" c:formatCode="yyyy/m/d">
                  <c:v>46094</c:v>
                </c:pt>
                <c:pt idx="801" c:formatCode="yyyy/m/d">
                  <c:v>46097</c:v>
                </c:pt>
                <c:pt idx="802" c:formatCode="yyyy/m/d">
                  <c:v>46098</c:v>
                </c:pt>
                <c:pt idx="803" c:formatCode="yyyy/m/d">
                  <c:v>46099</c:v>
                </c:pt>
                <c:pt idx="804" c:formatCode="yyyy/m/d">
                  <c:v>46100</c:v>
                </c:pt>
                <c:pt idx="805" c:formatCode="yyyy/m/d">
                  <c:v>46101</c:v>
                </c:pt>
                <c:pt idx="806" c:formatCode="yyyy/m/d">
                  <c:v>46104</c:v>
                </c:pt>
                <c:pt idx="807" c:formatCode="yyyy/m/d">
                  <c:v>46105</c:v>
                </c:pt>
                <c:pt idx="808" c:formatCode="yyyy/m/d">
                  <c:v>46106</c:v>
                </c:pt>
                <c:pt idx="809" c:formatCode="yyyy/m/d">
                  <c:v>46107</c:v>
                </c:pt>
                <c:pt idx="810" c:formatCode="yyyy/m/d">
                  <c:v>46108</c:v>
                </c:pt>
                <c:pt idx="811" c:formatCode="yyyy/m/d">
                  <c:v>46111</c:v>
                </c:pt>
                <c:pt idx="812" c:formatCode="yyyy/m/d">
                  <c:v>46112</c:v>
                </c:pt>
                <c:pt idx="813" c:formatCode="yyyy/m/d">
                  <c:v>46113</c:v>
                </c:pt>
                <c:pt idx="814" c:formatCode="yyyy/m/d">
                  <c:v>46114</c:v>
                </c:pt>
                <c:pt idx="815" c:formatCode="yyyy/m/d">
                  <c:v>46115</c:v>
                </c:pt>
                <c:pt idx="816" c:formatCode="yyyy/m/d">
                  <c:v>46119</c:v>
                </c:pt>
                <c:pt idx="817" c:formatCode="yyyy/m/d">
                  <c:v>46120</c:v>
                </c:pt>
                <c:pt idx="818" c:formatCode="yyyy/m/d">
                  <c:v>46121</c:v>
                </c:pt>
                <c:pt idx="819" c:formatCode="yyyy/m/d">
                  <c:v>46122</c:v>
                </c:pt>
                <c:pt idx="820" c:formatCode="yyyy/m/d">
                  <c:v>46125</c:v>
                </c:pt>
                <c:pt idx="821" c:formatCode="yyyy/m/d">
                  <c:v>46126</c:v>
                </c:pt>
                <c:pt idx="822" c:formatCode="yyyy/m/d">
                  <c:v>46127</c:v>
                </c:pt>
                <c:pt idx="823" c:formatCode="yyyy/m/d">
                  <c:v>46128</c:v>
                </c:pt>
                <c:pt idx="824" c:formatCode="yyyy/m/d">
                  <c:v>46129</c:v>
                </c:pt>
                <c:pt idx="825" c:formatCode="yyyy/m/d">
                  <c:v>46132</c:v>
                </c:pt>
                <c:pt idx="826" c:formatCode="yyyy/m/d">
                  <c:v>46133</c:v>
                </c:pt>
                <c:pt idx="827" c:formatCode="yyyy/m/d">
                  <c:v>46134</c:v>
                </c:pt>
                <c:pt idx="828" c:formatCode="yyyy/m/d">
                  <c:v>46135</c:v>
                </c:pt>
                <c:pt idx="829" c:formatCode="yyyy/m/d">
                  <c:v>46136</c:v>
                </c:pt>
                <c:pt idx="830" c:formatCode="yyyy/m/d">
                  <c:v>46139</c:v>
                </c:pt>
                <c:pt idx="831" c:formatCode="yyyy/m/d">
                  <c:v>46140</c:v>
                </c:pt>
                <c:pt idx="832" c:formatCode="yyyy/m/d">
                  <c:v>46141</c:v>
                </c:pt>
                <c:pt idx="833" c:formatCode="yyyy/m/d">
                  <c:v>46142</c:v>
                </c:pt>
                <c:pt idx="834" c:formatCode="yyyy/m/d">
                  <c:v>46146</c:v>
                </c:pt>
                <c:pt idx="835" c:formatCode="yyyy/m/d">
                  <c:v>46147</c:v>
                </c:pt>
                <c:pt idx="836" c:formatCode="yyyy/m/d">
                  <c:v>46148</c:v>
                </c:pt>
                <c:pt idx="837" c:formatCode="yyyy/m/d">
                  <c:v>46149</c:v>
                </c:pt>
                <c:pt idx="838" c:formatCode="yyyy/m/d">
                  <c:v>46150</c:v>
                </c:pt>
                <c:pt idx="839" c:formatCode="yyyy/m/d">
                  <c:v>46153</c:v>
                </c:pt>
                <c:pt idx="840" c:formatCode="yyyy/m/d">
                  <c:v>46154</c:v>
                </c:pt>
                <c:pt idx="841" c:formatCode="yyyy/m/d">
                  <c:v>46155</c:v>
                </c:pt>
                <c:pt idx="842" c:formatCode="yyyy/m/d">
                  <c:v>46156</c:v>
                </c:pt>
                <c:pt idx="843" c:formatCode="yyyy/m/d">
                  <c:v>46157</c:v>
                </c:pt>
                <c:pt idx="844" c:formatCode="yyyy/m/d">
                  <c:v>46160</c:v>
                </c:pt>
                <c:pt idx="845" c:formatCode="yyyy/m/d">
                  <c:v>46161</c:v>
                </c:pt>
                <c:pt idx="846" c:formatCode="yyyy/m/d">
                  <c:v>46162</c:v>
                </c:pt>
                <c:pt idx="847" c:formatCode="yyyy/m/d">
                  <c:v>46163</c:v>
                </c:pt>
                <c:pt idx="848" c:formatCode="yyyy/m/d">
                  <c:v>46164</c:v>
                </c:pt>
                <c:pt idx="849" c:formatCode="yyyy/m/d">
                  <c:v>46167</c:v>
                </c:pt>
                <c:pt idx="850" c:formatCode="yyyy/m/d">
                  <c:v>46168</c:v>
                </c:pt>
                <c:pt idx="851" c:formatCode="yyyy/m/d">
                  <c:v>46169</c:v>
                </c:pt>
                <c:pt idx="852" c:formatCode="yyyy/m/d">
                  <c:v>46170</c:v>
                </c:pt>
                <c:pt idx="853" c:formatCode="yyyy/m/d">
                  <c:v>46171</c:v>
                </c:pt>
                <c:pt idx="854" c:formatCode="yyyy/m/d">
                  <c:v>46174</c:v>
                </c:pt>
              </c:numCache>
            </c:numRef>
          </c:cat>
          <c:val>
            <c:numRef>
              <c:f>DRAM!$Z$1748:$Z$3000</c:f>
              <c:numCache>
                <c:formatCode>0.00</c:formatCode>
                <c:ptCount val="1253"/>
                <c:pt idx="0">
                  <c:v>5.367</c:v>
                </c:pt>
                <c:pt idx="1">
                  <c:v>5.36</c:v>
                </c:pt>
                <c:pt idx="2">
                  <c:v>5.35</c:v>
                </c:pt>
                <c:pt idx="3">
                  <c:v>5.347</c:v>
                </c:pt>
                <c:pt idx="4">
                  <c:v>5.343</c:v>
                </c:pt>
                <c:pt idx="5">
                  <c:v>5.34</c:v>
                </c:pt>
                <c:pt idx="6">
                  <c:v>5.333</c:v>
                </c:pt>
                <c:pt idx="7">
                  <c:v>5.283</c:v>
                </c:pt>
                <c:pt idx="8">
                  <c:v>5.237</c:v>
                </c:pt>
                <c:pt idx="9">
                  <c:v>5.217</c:v>
                </c:pt>
                <c:pt idx="10">
                  <c:v>5.183</c:v>
                </c:pt>
                <c:pt idx="11">
                  <c:v>5.16</c:v>
                </c:pt>
                <c:pt idx="12">
                  <c:v>5.133</c:v>
                </c:pt>
                <c:pt idx="13">
                  <c:v>5.127</c:v>
                </c:pt>
                <c:pt idx="14">
                  <c:v>5.113</c:v>
                </c:pt>
                <c:pt idx="15">
                  <c:v>5.09</c:v>
                </c:pt>
                <c:pt idx="16">
                  <c:v>5.08</c:v>
                </c:pt>
                <c:pt idx="17">
                  <c:v>5.063</c:v>
                </c:pt>
                <c:pt idx="18">
                  <c:v>5.05</c:v>
                </c:pt>
                <c:pt idx="19">
                  <c:v>5</c:v>
                </c:pt>
                <c:pt idx="20">
                  <c:v>4.919</c:v>
                </c:pt>
                <c:pt idx="21">
                  <c:v>4.873</c:v>
                </c:pt>
                <c:pt idx="22">
                  <c:v>4.8</c:v>
                </c:pt>
                <c:pt idx="23">
                  <c:v>4.767</c:v>
                </c:pt>
                <c:pt idx="24">
                  <c:v>4.717</c:v>
                </c:pt>
                <c:pt idx="25">
                  <c:v>4.677</c:v>
                </c:pt>
                <c:pt idx="26">
                  <c:v>4.641</c:v>
                </c:pt>
                <c:pt idx="27">
                  <c:v>4.63</c:v>
                </c:pt>
                <c:pt idx="28">
                  <c:v>4.626</c:v>
                </c:pt>
                <c:pt idx="29">
                  <c:v>4.621</c:v>
                </c:pt>
                <c:pt idx="30">
                  <c:v>4.588</c:v>
                </c:pt>
                <c:pt idx="31">
                  <c:v>4.549</c:v>
                </c:pt>
                <c:pt idx="32">
                  <c:v>4.527</c:v>
                </c:pt>
                <c:pt idx="33">
                  <c:v>4.495</c:v>
                </c:pt>
                <c:pt idx="34">
                  <c:v>4.459</c:v>
                </c:pt>
                <c:pt idx="35">
                  <c:v>4.434</c:v>
                </c:pt>
                <c:pt idx="36">
                  <c:v>4.406</c:v>
                </c:pt>
                <c:pt idx="37">
                  <c:v>4.384</c:v>
                </c:pt>
                <c:pt idx="38">
                  <c:v>4.365</c:v>
                </c:pt>
                <c:pt idx="39">
                  <c:v>4.354</c:v>
                </c:pt>
                <c:pt idx="40">
                  <c:v>4.312</c:v>
                </c:pt>
                <c:pt idx="41">
                  <c:v>4.298</c:v>
                </c:pt>
                <c:pt idx="42">
                  <c:v>4.263</c:v>
                </c:pt>
                <c:pt idx="43">
                  <c:v>4.227</c:v>
                </c:pt>
                <c:pt idx="44">
                  <c:v>4.204</c:v>
                </c:pt>
                <c:pt idx="45">
                  <c:v>4.195</c:v>
                </c:pt>
                <c:pt idx="46">
                  <c:v>4.188</c:v>
                </c:pt>
                <c:pt idx="47">
                  <c:v>4.186</c:v>
                </c:pt>
                <c:pt idx="48">
                  <c:v>4.16</c:v>
                </c:pt>
                <c:pt idx="49">
                  <c:v>4.148</c:v>
                </c:pt>
                <c:pt idx="50">
                  <c:v>4.141</c:v>
                </c:pt>
                <c:pt idx="51">
                  <c:v>4.13</c:v>
                </c:pt>
                <c:pt idx="52">
                  <c:v>4.119</c:v>
                </c:pt>
                <c:pt idx="53">
                  <c:v>4.114</c:v>
                </c:pt>
                <c:pt idx="54">
                  <c:v>4.114</c:v>
                </c:pt>
                <c:pt idx="55">
                  <c:v>4.069</c:v>
                </c:pt>
                <c:pt idx="56">
                  <c:v>4.044</c:v>
                </c:pt>
                <c:pt idx="57">
                  <c:v>3.994</c:v>
                </c:pt>
                <c:pt idx="58">
                  <c:v>3.963</c:v>
                </c:pt>
                <c:pt idx="59">
                  <c:v>3.96</c:v>
                </c:pt>
                <c:pt idx="60">
                  <c:v>3.95</c:v>
                </c:pt>
                <c:pt idx="61">
                  <c:v>3.924</c:v>
                </c:pt>
                <c:pt idx="62">
                  <c:v>3.921</c:v>
                </c:pt>
                <c:pt idx="63">
                  <c:v>3.921</c:v>
                </c:pt>
                <c:pt idx="64">
                  <c:v>3.921</c:v>
                </c:pt>
                <c:pt idx="65">
                  <c:v>3.918</c:v>
                </c:pt>
                <c:pt idx="66">
                  <c:v>3.918</c:v>
                </c:pt>
                <c:pt idx="67">
                  <c:v>3.918</c:v>
                </c:pt>
                <c:pt idx="68">
                  <c:v>3.918</c:v>
                </c:pt>
                <c:pt idx="69">
                  <c:v>3.918</c:v>
                </c:pt>
                <c:pt idx="70">
                  <c:v>3.918</c:v>
                </c:pt>
                <c:pt idx="71">
                  <c:v>3.918</c:v>
                </c:pt>
                <c:pt idx="72">
                  <c:v>3.918</c:v>
                </c:pt>
                <c:pt idx="73">
                  <c:v>3.934</c:v>
                </c:pt>
                <c:pt idx="74">
                  <c:v>3.934</c:v>
                </c:pt>
                <c:pt idx="75">
                  <c:v>3.934</c:v>
                </c:pt>
                <c:pt idx="76">
                  <c:v>3.953</c:v>
                </c:pt>
                <c:pt idx="77">
                  <c:v>3.953</c:v>
                </c:pt>
                <c:pt idx="78">
                  <c:v>3.961</c:v>
                </c:pt>
                <c:pt idx="79">
                  <c:v>3.961</c:v>
                </c:pt>
                <c:pt idx="80">
                  <c:v>3.996</c:v>
                </c:pt>
                <c:pt idx="81">
                  <c:v>4.035</c:v>
                </c:pt>
                <c:pt idx="82">
                  <c:v>4.061</c:v>
                </c:pt>
                <c:pt idx="83">
                  <c:v>4.086</c:v>
                </c:pt>
                <c:pt idx="84">
                  <c:v>4.114</c:v>
                </c:pt>
                <c:pt idx="85">
                  <c:v>4.144</c:v>
                </c:pt>
                <c:pt idx="86">
                  <c:v>4.18</c:v>
                </c:pt>
                <c:pt idx="87">
                  <c:v>4.213</c:v>
                </c:pt>
                <c:pt idx="88">
                  <c:v>4.237</c:v>
                </c:pt>
                <c:pt idx="89">
                  <c:v>4.257</c:v>
                </c:pt>
                <c:pt idx="90">
                  <c:v>4.25</c:v>
                </c:pt>
                <c:pt idx="91">
                  <c:v>4.243</c:v>
                </c:pt>
                <c:pt idx="92">
                  <c:v>4.239</c:v>
                </c:pt>
                <c:pt idx="93">
                  <c:v>4.237</c:v>
                </c:pt>
                <c:pt idx="94">
                  <c:v>4.229</c:v>
                </c:pt>
                <c:pt idx="95">
                  <c:v>4.214</c:v>
                </c:pt>
                <c:pt idx="96">
                  <c:v>4.209</c:v>
                </c:pt>
                <c:pt idx="97">
                  <c:v>4.2</c:v>
                </c:pt>
                <c:pt idx="98">
                  <c:v>4.197</c:v>
                </c:pt>
                <c:pt idx="99">
                  <c:v>4.191</c:v>
                </c:pt>
                <c:pt idx="100">
                  <c:v>4.191</c:v>
                </c:pt>
                <c:pt idx="101">
                  <c:v>4.189</c:v>
                </c:pt>
                <c:pt idx="102">
                  <c:v>4.186</c:v>
                </c:pt>
                <c:pt idx="103">
                  <c:v>4.171</c:v>
                </c:pt>
                <c:pt idx="104">
                  <c:v>4.167</c:v>
                </c:pt>
                <c:pt idx="105">
                  <c:v>4.164</c:v>
                </c:pt>
                <c:pt idx="106">
                  <c:v>4.157</c:v>
                </c:pt>
                <c:pt idx="107">
                  <c:v>4.153</c:v>
                </c:pt>
                <c:pt idx="108">
                  <c:v>4.153</c:v>
                </c:pt>
                <c:pt idx="109">
                  <c:v>4.15</c:v>
                </c:pt>
                <c:pt idx="110">
                  <c:v>4.15</c:v>
                </c:pt>
                <c:pt idx="111">
                  <c:v>4.147</c:v>
                </c:pt>
                <c:pt idx="112">
                  <c:v>4.143</c:v>
                </c:pt>
                <c:pt idx="113">
                  <c:v>4.143</c:v>
                </c:pt>
                <c:pt idx="114">
                  <c:v>4.141</c:v>
                </c:pt>
                <c:pt idx="115">
                  <c:v>4.141</c:v>
                </c:pt>
                <c:pt idx="116">
                  <c:v>4.141</c:v>
                </c:pt>
                <c:pt idx="117">
                  <c:v>4.141</c:v>
                </c:pt>
                <c:pt idx="118">
                  <c:v>4.141</c:v>
                </c:pt>
                <c:pt idx="119">
                  <c:v>4.134</c:v>
                </c:pt>
                <c:pt idx="120">
                  <c:v>4.13</c:v>
                </c:pt>
                <c:pt idx="121">
                  <c:v>4.116</c:v>
                </c:pt>
                <c:pt idx="122">
                  <c:v>4.11</c:v>
                </c:pt>
                <c:pt idx="123">
                  <c:v>4.104</c:v>
                </c:pt>
                <c:pt idx="124">
                  <c:v>4.098</c:v>
                </c:pt>
                <c:pt idx="125">
                  <c:v>4.093</c:v>
                </c:pt>
                <c:pt idx="126">
                  <c:v>4.069</c:v>
                </c:pt>
                <c:pt idx="127">
                  <c:v>4.054</c:v>
                </c:pt>
                <c:pt idx="128">
                  <c:v>4.046</c:v>
                </c:pt>
                <c:pt idx="129">
                  <c:v>4.046</c:v>
                </c:pt>
                <c:pt idx="130">
                  <c:v>4.046</c:v>
                </c:pt>
                <c:pt idx="131">
                  <c:v>4.046</c:v>
                </c:pt>
                <c:pt idx="132">
                  <c:v>4.043</c:v>
                </c:pt>
                <c:pt idx="133">
                  <c:v>4.043</c:v>
                </c:pt>
                <c:pt idx="134">
                  <c:v>4.043</c:v>
                </c:pt>
                <c:pt idx="135">
                  <c:v>4.043</c:v>
                </c:pt>
                <c:pt idx="136">
                  <c:v>4.043</c:v>
                </c:pt>
                <c:pt idx="137">
                  <c:v>4.042</c:v>
                </c:pt>
                <c:pt idx="138">
                  <c:v>4.042</c:v>
                </c:pt>
                <c:pt idx="139">
                  <c:v>4.042</c:v>
                </c:pt>
                <c:pt idx="140">
                  <c:v>4.04</c:v>
                </c:pt>
                <c:pt idx="141">
                  <c:v>4.05</c:v>
                </c:pt>
                <c:pt idx="142">
                  <c:v>4.05</c:v>
                </c:pt>
                <c:pt idx="143">
                  <c:v>4.048</c:v>
                </c:pt>
                <c:pt idx="144">
                  <c:v>4.058</c:v>
                </c:pt>
                <c:pt idx="145">
                  <c:v>4.055</c:v>
                </c:pt>
                <c:pt idx="146">
                  <c:v>4.053</c:v>
                </c:pt>
                <c:pt idx="147">
                  <c:v>4.05</c:v>
                </c:pt>
                <c:pt idx="148">
                  <c:v>4.047</c:v>
                </c:pt>
                <c:pt idx="149">
                  <c:v>3.987</c:v>
                </c:pt>
                <c:pt idx="150">
                  <c:v>3.957</c:v>
                </c:pt>
                <c:pt idx="151">
                  <c:v>3.933</c:v>
                </c:pt>
                <c:pt idx="152">
                  <c:v>3.913</c:v>
                </c:pt>
                <c:pt idx="153">
                  <c:v>3.903</c:v>
                </c:pt>
                <c:pt idx="154">
                  <c:v>3.883</c:v>
                </c:pt>
                <c:pt idx="155">
                  <c:v>3.88</c:v>
                </c:pt>
                <c:pt idx="156">
                  <c:v>3.904</c:v>
                </c:pt>
                <c:pt idx="157">
                  <c:v>3.907</c:v>
                </c:pt>
                <c:pt idx="158">
                  <c:v>3.907</c:v>
                </c:pt>
                <c:pt idx="159">
                  <c:v>3.914</c:v>
                </c:pt>
                <c:pt idx="160">
                  <c:v>3.95</c:v>
                </c:pt>
                <c:pt idx="161">
                  <c:v>3.95</c:v>
                </c:pt>
                <c:pt idx="162">
                  <c:v>3.95</c:v>
                </c:pt>
                <c:pt idx="163">
                  <c:v>3.963</c:v>
                </c:pt>
                <c:pt idx="164">
                  <c:v>3.963</c:v>
                </c:pt>
                <c:pt idx="165">
                  <c:v>3.97</c:v>
                </c:pt>
                <c:pt idx="166">
                  <c:v>3.97</c:v>
                </c:pt>
                <c:pt idx="167">
                  <c:v>3.98</c:v>
                </c:pt>
                <c:pt idx="168">
                  <c:v>3.98</c:v>
                </c:pt>
                <c:pt idx="169">
                  <c:v>3.993</c:v>
                </c:pt>
                <c:pt idx="170">
                  <c:v>3.993</c:v>
                </c:pt>
                <c:pt idx="171">
                  <c:v>4.02</c:v>
                </c:pt>
                <c:pt idx="172">
                  <c:v>4.033</c:v>
                </c:pt>
                <c:pt idx="173">
                  <c:v>4.04</c:v>
                </c:pt>
                <c:pt idx="174">
                  <c:v>4.05</c:v>
                </c:pt>
                <c:pt idx="175">
                  <c:v>4.083</c:v>
                </c:pt>
                <c:pt idx="176">
                  <c:v>4.083</c:v>
                </c:pt>
                <c:pt idx="177">
                  <c:v>4.1</c:v>
                </c:pt>
                <c:pt idx="178">
                  <c:v>4.1</c:v>
                </c:pt>
                <c:pt idx="179">
                  <c:v>4.123</c:v>
                </c:pt>
                <c:pt idx="180">
                  <c:v>4.13</c:v>
                </c:pt>
                <c:pt idx="181">
                  <c:v>4.133</c:v>
                </c:pt>
                <c:pt idx="182">
                  <c:v>4.127</c:v>
                </c:pt>
                <c:pt idx="183">
                  <c:v>4.127</c:v>
                </c:pt>
                <c:pt idx="184">
                  <c:v>4.123</c:v>
                </c:pt>
                <c:pt idx="185">
                  <c:v>4.123</c:v>
                </c:pt>
                <c:pt idx="186">
                  <c:v>4.13</c:v>
                </c:pt>
                <c:pt idx="187">
                  <c:v>4.14</c:v>
                </c:pt>
                <c:pt idx="188">
                  <c:v>4.157</c:v>
                </c:pt>
                <c:pt idx="189">
                  <c:v>4.16</c:v>
                </c:pt>
                <c:pt idx="190">
                  <c:v>4.167</c:v>
                </c:pt>
                <c:pt idx="191">
                  <c:v>4.17</c:v>
                </c:pt>
                <c:pt idx="192">
                  <c:v>4.17</c:v>
                </c:pt>
                <c:pt idx="193">
                  <c:v>4.17</c:v>
                </c:pt>
                <c:pt idx="194">
                  <c:v>4.16</c:v>
                </c:pt>
                <c:pt idx="195">
                  <c:v>4.15</c:v>
                </c:pt>
                <c:pt idx="196">
                  <c:v>4.15</c:v>
                </c:pt>
                <c:pt idx="197">
                  <c:v>4.15</c:v>
                </c:pt>
                <c:pt idx="198">
                  <c:v>4.143</c:v>
                </c:pt>
                <c:pt idx="199">
                  <c:v>4.14</c:v>
                </c:pt>
                <c:pt idx="200">
                  <c:v>4.14</c:v>
                </c:pt>
                <c:pt idx="201">
                  <c:v>4.14</c:v>
                </c:pt>
                <c:pt idx="202">
                  <c:v>4.14</c:v>
                </c:pt>
                <c:pt idx="203">
                  <c:v>4.14</c:v>
                </c:pt>
                <c:pt idx="204">
                  <c:v>4.143</c:v>
                </c:pt>
                <c:pt idx="205">
                  <c:v>4.15</c:v>
                </c:pt>
                <c:pt idx="206">
                  <c:v>4.15</c:v>
                </c:pt>
                <c:pt idx="207">
                  <c:v>4.15</c:v>
                </c:pt>
                <c:pt idx="208">
                  <c:v>4.143</c:v>
                </c:pt>
                <c:pt idx="209">
                  <c:v>4.133</c:v>
                </c:pt>
                <c:pt idx="210">
                  <c:v>4.133</c:v>
                </c:pt>
                <c:pt idx="211">
                  <c:v>4.127</c:v>
                </c:pt>
                <c:pt idx="212">
                  <c:v>4.12</c:v>
                </c:pt>
                <c:pt idx="213">
                  <c:v>4.12</c:v>
                </c:pt>
                <c:pt idx="214">
                  <c:v>4.117</c:v>
                </c:pt>
                <c:pt idx="215">
                  <c:v>4.117</c:v>
                </c:pt>
                <c:pt idx="216">
                  <c:v>4.133</c:v>
                </c:pt>
                <c:pt idx="217">
                  <c:v>4.143</c:v>
                </c:pt>
                <c:pt idx="218">
                  <c:v>4.153</c:v>
                </c:pt>
                <c:pt idx="219">
                  <c:v>4.153</c:v>
                </c:pt>
                <c:pt idx="220">
                  <c:v>4.153</c:v>
                </c:pt>
                <c:pt idx="221">
                  <c:v>4.16</c:v>
                </c:pt>
                <c:pt idx="222">
                  <c:v>4.173</c:v>
                </c:pt>
                <c:pt idx="223">
                  <c:v>4.18</c:v>
                </c:pt>
                <c:pt idx="224">
                  <c:v>4.197</c:v>
                </c:pt>
                <c:pt idx="225">
                  <c:v>4.197</c:v>
                </c:pt>
                <c:pt idx="226">
                  <c:v>4.213</c:v>
                </c:pt>
                <c:pt idx="227">
                  <c:v>4.217</c:v>
                </c:pt>
                <c:pt idx="228">
                  <c:v>4.217</c:v>
                </c:pt>
                <c:pt idx="229">
                  <c:v>4.22</c:v>
                </c:pt>
                <c:pt idx="230">
                  <c:v>4.225</c:v>
                </c:pt>
                <c:pt idx="231">
                  <c:v>4.229</c:v>
                </c:pt>
                <c:pt idx="232">
                  <c:v>4.233</c:v>
                </c:pt>
                <c:pt idx="233">
                  <c:v>4.236</c:v>
                </c:pt>
                <c:pt idx="234">
                  <c:v>4.236</c:v>
                </c:pt>
                <c:pt idx="235">
                  <c:v>4.236</c:v>
                </c:pt>
                <c:pt idx="236">
                  <c:v>4.239</c:v>
                </c:pt>
                <c:pt idx="237">
                  <c:v>4.239</c:v>
                </c:pt>
                <c:pt idx="238">
                  <c:v>4.233</c:v>
                </c:pt>
                <c:pt idx="239">
                  <c:v>4.233</c:v>
                </c:pt>
                <c:pt idx="240">
                  <c:v>4.221</c:v>
                </c:pt>
                <c:pt idx="241">
                  <c:v>4.221</c:v>
                </c:pt>
                <c:pt idx="242">
                  <c:v>4.221</c:v>
                </c:pt>
                <c:pt idx="243">
                  <c:v>4.225</c:v>
                </c:pt>
                <c:pt idx="244">
                  <c:v>4.229</c:v>
                </c:pt>
                <c:pt idx="245">
                  <c:v>4.229</c:v>
                </c:pt>
                <c:pt idx="246">
                  <c:v>4.24</c:v>
                </c:pt>
                <c:pt idx="247">
                  <c:v>4.243</c:v>
                </c:pt>
                <c:pt idx="248">
                  <c:v>4.247</c:v>
                </c:pt>
                <c:pt idx="249">
                  <c:v>4.25</c:v>
                </c:pt>
                <c:pt idx="250">
                  <c:v>4.253</c:v>
                </c:pt>
                <c:pt idx="251">
                  <c:v>4.253</c:v>
                </c:pt>
                <c:pt idx="252">
                  <c:v>4.26</c:v>
                </c:pt>
                <c:pt idx="253">
                  <c:v>4.281</c:v>
                </c:pt>
                <c:pt idx="254">
                  <c:v>4.284</c:v>
                </c:pt>
                <c:pt idx="255">
                  <c:v>4.288</c:v>
                </c:pt>
                <c:pt idx="256">
                  <c:v>4.288</c:v>
                </c:pt>
                <c:pt idx="257">
                  <c:v>4.291</c:v>
                </c:pt>
                <c:pt idx="258">
                  <c:v>4.291</c:v>
                </c:pt>
                <c:pt idx="259">
                  <c:v>4.305</c:v>
                </c:pt>
                <c:pt idx="260">
                  <c:v>4.364</c:v>
                </c:pt>
                <c:pt idx="261">
                  <c:v>4.4</c:v>
                </c:pt>
                <c:pt idx="262">
                  <c:v>4.433</c:v>
                </c:pt>
                <c:pt idx="263">
                  <c:v>4.45</c:v>
                </c:pt>
                <c:pt idx="264">
                  <c:v>4.467</c:v>
                </c:pt>
                <c:pt idx="265">
                  <c:v>4.493</c:v>
                </c:pt>
                <c:pt idx="266">
                  <c:v>4.517</c:v>
                </c:pt>
                <c:pt idx="267">
                  <c:v>4.533</c:v>
                </c:pt>
                <c:pt idx="268">
                  <c:v>4.55</c:v>
                </c:pt>
                <c:pt idx="269">
                  <c:v>4.567</c:v>
                </c:pt>
                <c:pt idx="270">
                  <c:v>4.597</c:v>
                </c:pt>
                <c:pt idx="271">
                  <c:v>4.607</c:v>
                </c:pt>
                <c:pt idx="272">
                  <c:v>4.623</c:v>
                </c:pt>
                <c:pt idx="273">
                  <c:v>4.63</c:v>
                </c:pt>
                <c:pt idx="274">
                  <c:v>4.64</c:v>
                </c:pt>
                <c:pt idx="275">
                  <c:v>4.643</c:v>
                </c:pt>
                <c:pt idx="276">
                  <c:v>4.647</c:v>
                </c:pt>
                <c:pt idx="277">
                  <c:v>4.653</c:v>
                </c:pt>
                <c:pt idx="278">
                  <c:v>4.66</c:v>
                </c:pt>
                <c:pt idx="279">
                  <c:v>4.667</c:v>
                </c:pt>
                <c:pt idx="280">
                  <c:v>4.693</c:v>
                </c:pt>
                <c:pt idx="281">
                  <c:v>4.707</c:v>
                </c:pt>
                <c:pt idx="282">
                  <c:v>4.713</c:v>
                </c:pt>
                <c:pt idx="283">
                  <c:v>4.717</c:v>
                </c:pt>
                <c:pt idx="284">
                  <c:v>4.717</c:v>
                </c:pt>
                <c:pt idx="285">
                  <c:v>4.717</c:v>
                </c:pt>
                <c:pt idx="286">
                  <c:v>4.713</c:v>
                </c:pt>
                <c:pt idx="287">
                  <c:v>4.713</c:v>
                </c:pt>
                <c:pt idx="288">
                  <c:v>4.713</c:v>
                </c:pt>
                <c:pt idx="289">
                  <c:v>4.713</c:v>
                </c:pt>
                <c:pt idx="290">
                  <c:v>4.713</c:v>
                </c:pt>
                <c:pt idx="291">
                  <c:v>4.71</c:v>
                </c:pt>
                <c:pt idx="292">
                  <c:v>4.71</c:v>
                </c:pt>
                <c:pt idx="293">
                  <c:v>4.71</c:v>
                </c:pt>
                <c:pt idx="294">
                  <c:v>4.707</c:v>
                </c:pt>
                <c:pt idx="295">
                  <c:v>4.707</c:v>
                </c:pt>
                <c:pt idx="296">
                  <c:v>4.703</c:v>
                </c:pt>
                <c:pt idx="297">
                  <c:v>4.703</c:v>
                </c:pt>
                <c:pt idx="298">
                  <c:v>4.703</c:v>
                </c:pt>
                <c:pt idx="299">
                  <c:v>4.703</c:v>
                </c:pt>
                <c:pt idx="300">
                  <c:v>4.697</c:v>
                </c:pt>
                <c:pt idx="301">
                  <c:v>4.693</c:v>
                </c:pt>
                <c:pt idx="302">
                  <c:v>4.693</c:v>
                </c:pt>
                <c:pt idx="303">
                  <c:v>4.693</c:v>
                </c:pt>
                <c:pt idx="304">
                  <c:v>4.693</c:v>
                </c:pt>
                <c:pt idx="305">
                  <c:v>4.693</c:v>
                </c:pt>
                <c:pt idx="306">
                  <c:v>4.692</c:v>
                </c:pt>
                <c:pt idx="307">
                  <c:v>4.692</c:v>
                </c:pt>
                <c:pt idx="308">
                  <c:v>4.692</c:v>
                </c:pt>
                <c:pt idx="309">
                  <c:v>4.692</c:v>
                </c:pt>
                <c:pt idx="310">
                  <c:v>4.69</c:v>
                </c:pt>
                <c:pt idx="311">
                  <c:v>4.698</c:v>
                </c:pt>
                <c:pt idx="312">
                  <c:v>4.705</c:v>
                </c:pt>
                <c:pt idx="313">
                  <c:v>4.722</c:v>
                </c:pt>
                <c:pt idx="314">
                  <c:v>4.733</c:v>
                </c:pt>
                <c:pt idx="315">
                  <c:v>4.743</c:v>
                </c:pt>
                <c:pt idx="316">
                  <c:v>4.743</c:v>
                </c:pt>
                <c:pt idx="317">
                  <c:v>4.743</c:v>
                </c:pt>
                <c:pt idx="318">
                  <c:v>4.743</c:v>
                </c:pt>
                <c:pt idx="319">
                  <c:v>4.743</c:v>
                </c:pt>
                <c:pt idx="320">
                  <c:v>4.773</c:v>
                </c:pt>
                <c:pt idx="321">
                  <c:v>4.79</c:v>
                </c:pt>
                <c:pt idx="322">
                  <c:v>4.823</c:v>
                </c:pt>
                <c:pt idx="323">
                  <c:v>4.85</c:v>
                </c:pt>
                <c:pt idx="324">
                  <c:v>4.85</c:v>
                </c:pt>
                <c:pt idx="325">
                  <c:v>4.883</c:v>
                </c:pt>
                <c:pt idx="326">
                  <c:v>4.883</c:v>
                </c:pt>
                <c:pt idx="327">
                  <c:v>4.893</c:v>
                </c:pt>
                <c:pt idx="328">
                  <c:v>4.9</c:v>
                </c:pt>
                <c:pt idx="329">
                  <c:v>4.903</c:v>
                </c:pt>
                <c:pt idx="330">
                  <c:v>4.903</c:v>
                </c:pt>
                <c:pt idx="331">
                  <c:v>4.917</c:v>
                </c:pt>
                <c:pt idx="332">
                  <c:v>4.923</c:v>
                </c:pt>
                <c:pt idx="333">
                  <c:v>4.927</c:v>
                </c:pt>
                <c:pt idx="334">
                  <c:v>4.927</c:v>
                </c:pt>
                <c:pt idx="335">
                  <c:v>4.927</c:v>
                </c:pt>
                <c:pt idx="336">
                  <c:v>4.933</c:v>
                </c:pt>
                <c:pt idx="337">
                  <c:v>4.927</c:v>
                </c:pt>
                <c:pt idx="338">
                  <c:v>4.923</c:v>
                </c:pt>
                <c:pt idx="339">
                  <c:v>4.917</c:v>
                </c:pt>
                <c:pt idx="340">
                  <c:v>4.893</c:v>
                </c:pt>
                <c:pt idx="341">
                  <c:v>4.88</c:v>
                </c:pt>
                <c:pt idx="342">
                  <c:v>4.867</c:v>
                </c:pt>
                <c:pt idx="343">
                  <c:v>4.857</c:v>
                </c:pt>
                <c:pt idx="344">
                  <c:v>4.853</c:v>
                </c:pt>
                <c:pt idx="345">
                  <c:v>4.85</c:v>
                </c:pt>
                <c:pt idx="346">
                  <c:v>4.85</c:v>
                </c:pt>
                <c:pt idx="347" c:formatCode="0.0000">
                  <c:v>4.847</c:v>
                </c:pt>
                <c:pt idx="348" c:formatCode="0.0000">
                  <c:v>4.847</c:v>
                </c:pt>
                <c:pt idx="349" c:formatCode="0.0000">
                  <c:v>4.847</c:v>
                </c:pt>
                <c:pt idx="350" c:formatCode="0.0000">
                  <c:v>4.84</c:v>
                </c:pt>
                <c:pt idx="351" c:formatCode="0.0000">
                  <c:v>4.84</c:v>
                </c:pt>
                <c:pt idx="352" c:formatCode="0.0000">
                  <c:v>4.84</c:v>
                </c:pt>
                <c:pt idx="353" c:formatCode="0.0000">
                  <c:v>4.84</c:v>
                </c:pt>
                <c:pt idx="354" c:formatCode="0.0000">
                  <c:v>4.84</c:v>
                </c:pt>
                <c:pt idx="355" c:formatCode="0.0000">
                  <c:v>4.84</c:v>
                </c:pt>
                <c:pt idx="356" c:formatCode="0.0000">
                  <c:v>4.84</c:v>
                </c:pt>
                <c:pt idx="357" c:formatCode="0.0000">
                  <c:v>4.84</c:v>
                </c:pt>
                <c:pt idx="358" c:formatCode="0.0000">
                  <c:v>4.833</c:v>
                </c:pt>
                <c:pt idx="359" c:formatCode="0.0000">
                  <c:v>4.833</c:v>
                </c:pt>
                <c:pt idx="360" c:formatCode="0.0000">
                  <c:v>4.833</c:v>
                </c:pt>
                <c:pt idx="361" c:formatCode="0.0000">
                  <c:v>4.83</c:v>
                </c:pt>
                <c:pt idx="362" c:formatCode="0.0000">
                  <c:v>4.827</c:v>
                </c:pt>
                <c:pt idx="363" c:formatCode="0.0000">
                  <c:v>4.827</c:v>
                </c:pt>
                <c:pt idx="364" c:formatCode="0.0000">
                  <c:v>4.85</c:v>
                </c:pt>
                <c:pt idx="365" c:formatCode="0.0000">
                  <c:v>4.85</c:v>
                </c:pt>
                <c:pt idx="366" c:formatCode="0.0000">
                  <c:v>4.867</c:v>
                </c:pt>
                <c:pt idx="367" c:formatCode="0.0000">
                  <c:v>4.877</c:v>
                </c:pt>
                <c:pt idx="368" c:formatCode="0.0000">
                  <c:v>4.877</c:v>
                </c:pt>
                <c:pt idx="369" c:formatCode="0.0000">
                  <c:v>4.877</c:v>
                </c:pt>
                <c:pt idx="370" c:formatCode="0.0000">
                  <c:v>4.883</c:v>
                </c:pt>
                <c:pt idx="371" c:formatCode="0.0000">
                  <c:v>4.883</c:v>
                </c:pt>
                <c:pt idx="372" c:formatCode="0.0000">
                  <c:v>4.91</c:v>
                </c:pt>
                <c:pt idx="373" c:formatCode="0.0000">
                  <c:v>4.917</c:v>
                </c:pt>
                <c:pt idx="374" c:formatCode="0.0000">
                  <c:v>4.917</c:v>
                </c:pt>
                <c:pt idx="375" c:formatCode="0.0000">
                  <c:v>4.917</c:v>
                </c:pt>
                <c:pt idx="376" c:formatCode="0.0000">
                  <c:v>4.94</c:v>
                </c:pt>
                <c:pt idx="377" c:formatCode="0.0000">
                  <c:v>4.963</c:v>
                </c:pt>
                <c:pt idx="378" c:formatCode="0.0000">
                  <c:v>4.967</c:v>
                </c:pt>
                <c:pt idx="379" c:formatCode="0.0000">
                  <c:v>4.97</c:v>
                </c:pt>
                <c:pt idx="380" c:formatCode="0.0000">
                  <c:v>4.983</c:v>
                </c:pt>
                <c:pt idx="381" c:formatCode="0.0000">
                  <c:v>4.99</c:v>
                </c:pt>
                <c:pt idx="382" c:formatCode="0.0000">
                  <c:v>4.99</c:v>
                </c:pt>
                <c:pt idx="383" c:formatCode="0.0000">
                  <c:v>5.01</c:v>
                </c:pt>
                <c:pt idx="384" c:formatCode="0.0000">
                  <c:v>5.033</c:v>
                </c:pt>
                <c:pt idx="385" c:formatCode="0.0000">
                  <c:v>5.05</c:v>
                </c:pt>
                <c:pt idx="386" c:formatCode="0.0000">
                  <c:v>5.06</c:v>
                </c:pt>
                <c:pt idx="387" c:formatCode="0.0000">
                  <c:v>5.067</c:v>
                </c:pt>
                <c:pt idx="388" c:formatCode="0.0000">
                  <c:v>5.083</c:v>
                </c:pt>
                <c:pt idx="389" c:formatCode="0.0000">
                  <c:v>5.1</c:v>
                </c:pt>
                <c:pt idx="390" c:formatCode="0.0000">
                  <c:v>5.103</c:v>
                </c:pt>
                <c:pt idx="391" c:formatCode="0.0000">
                  <c:v>5.12</c:v>
                </c:pt>
                <c:pt idx="392" c:formatCode="0.0000">
                  <c:v>5.137</c:v>
                </c:pt>
                <c:pt idx="393" c:formatCode="0.0000">
                  <c:v>5.143</c:v>
                </c:pt>
                <c:pt idx="394" c:formatCode="0.0000">
                  <c:v>5.15</c:v>
                </c:pt>
                <c:pt idx="395" c:formatCode="0.0000">
                  <c:v>5.153</c:v>
                </c:pt>
                <c:pt idx="396" c:formatCode="0.0000">
                  <c:v>5.167</c:v>
                </c:pt>
                <c:pt idx="397" c:formatCode="0.0000">
                  <c:v>5.167</c:v>
                </c:pt>
                <c:pt idx="398" c:formatCode="0.0000">
                  <c:v>5.167</c:v>
                </c:pt>
                <c:pt idx="399" c:formatCode="0.0000">
                  <c:v>5.167</c:v>
                </c:pt>
                <c:pt idx="400" c:formatCode="0.0000">
                  <c:v>5.167</c:v>
                </c:pt>
                <c:pt idx="401" c:formatCode="0.0000">
                  <c:v>5.157</c:v>
                </c:pt>
                <c:pt idx="402" c:formatCode="0.0000">
                  <c:v>5.15</c:v>
                </c:pt>
                <c:pt idx="403" c:formatCode="0.0000">
                  <c:v>5.147</c:v>
                </c:pt>
                <c:pt idx="404" c:formatCode="0.0000">
                  <c:v>5.143</c:v>
                </c:pt>
                <c:pt idx="405" c:formatCode="0.0000">
                  <c:v>5.143</c:v>
                </c:pt>
                <c:pt idx="406" c:formatCode="0.0000">
                  <c:v>5.14</c:v>
                </c:pt>
                <c:pt idx="407" c:formatCode="0.0000">
                  <c:v>5.14</c:v>
                </c:pt>
                <c:pt idx="408" c:formatCode="0.0000">
                  <c:v>5.137</c:v>
                </c:pt>
                <c:pt idx="409" c:formatCode="0.0000">
                  <c:v>5.137</c:v>
                </c:pt>
                <c:pt idx="410" c:formatCode="0.0000">
                  <c:v>5.13</c:v>
                </c:pt>
                <c:pt idx="411" c:formatCode="0.0000">
                  <c:v>5.127</c:v>
                </c:pt>
                <c:pt idx="412" c:formatCode="0.0000">
                  <c:v>5.113</c:v>
                </c:pt>
                <c:pt idx="413" c:formatCode="0.0000">
                  <c:v>5.109</c:v>
                </c:pt>
                <c:pt idx="414" c:formatCode="0.0000">
                  <c:v>5.109</c:v>
                </c:pt>
                <c:pt idx="415" c:formatCode="0.0000">
                  <c:v>5.099</c:v>
                </c:pt>
                <c:pt idx="416" c:formatCode="0.0000">
                  <c:v>5.095</c:v>
                </c:pt>
                <c:pt idx="417" c:formatCode="0.0000">
                  <c:v>5.088</c:v>
                </c:pt>
                <c:pt idx="418" c:formatCode="0.0000">
                  <c:v>5.064</c:v>
                </c:pt>
                <c:pt idx="419" c:formatCode="0.0000">
                  <c:v>5.058</c:v>
                </c:pt>
                <c:pt idx="420" c:formatCode="0.0000">
                  <c:v>5.054</c:v>
                </c:pt>
                <c:pt idx="421" c:formatCode="0.0000">
                  <c:v>5.044</c:v>
                </c:pt>
                <c:pt idx="422" c:formatCode="0.0000">
                  <c:v>4.985</c:v>
                </c:pt>
                <c:pt idx="423" c:formatCode="0.0000">
                  <c:v>4.951</c:v>
                </c:pt>
                <c:pt idx="424" c:formatCode="0.0000">
                  <c:v>4.937</c:v>
                </c:pt>
                <c:pt idx="425" c:formatCode="0.0000">
                  <c:v>4.933</c:v>
                </c:pt>
                <c:pt idx="426" c:formatCode="0.0000">
                  <c:v>4.93</c:v>
                </c:pt>
                <c:pt idx="427" c:formatCode="0.0000">
                  <c:v>4.927</c:v>
                </c:pt>
                <c:pt idx="428" c:formatCode="0.0000">
                  <c:v>4.927</c:v>
                </c:pt>
                <c:pt idx="429" c:formatCode="0.0000">
                  <c:v>4.973</c:v>
                </c:pt>
                <c:pt idx="430" c:formatCode="0.0000">
                  <c:v>4.985</c:v>
                </c:pt>
                <c:pt idx="431" c:formatCode="0.0000">
                  <c:v>4.985</c:v>
                </c:pt>
                <c:pt idx="432" c:formatCode="0.0000">
                  <c:v>4.978</c:v>
                </c:pt>
                <c:pt idx="433" c:formatCode="0.0000">
                  <c:v>4.967</c:v>
                </c:pt>
                <c:pt idx="434" c:formatCode="0.0000">
                  <c:v>4.967</c:v>
                </c:pt>
                <c:pt idx="435" c:formatCode="0.0000">
                  <c:v>4.954</c:v>
                </c:pt>
                <c:pt idx="436" c:formatCode="0.0000">
                  <c:v>4.952</c:v>
                </c:pt>
                <c:pt idx="437" c:formatCode="0.0000">
                  <c:v>4.952</c:v>
                </c:pt>
                <c:pt idx="438" c:formatCode="0.0000">
                  <c:v>4.95</c:v>
                </c:pt>
                <c:pt idx="439" c:formatCode="0.0000">
                  <c:v>4.949</c:v>
                </c:pt>
                <c:pt idx="440" c:formatCode="0.0000">
                  <c:v>4.948</c:v>
                </c:pt>
                <c:pt idx="441" c:formatCode="0.0000">
                  <c:v>4.948</c:v>
                </c:pt>
                <c:pt idx="442" c:formatCode="0.0000">
                  <c:v>4.948</c:v>
                </c:pt>
                <c:pt idx="443" c:formatCode="0.0000">
                  <c:v>4.912</c:v>
                </c:pt>
                <c:pt idx="444" c:formatCode="0.0000">
                  <c:v>4.894</c:v>
                </c:pt>
                <c:pt idx="445" c:formatCode="0.0000">
                  <c:v>4.894</c:v>
                </c:pt>
                <c:pt idx="446" c:formatCode="0.0000">
                  <c:v>4.894</c:v>
                </c:pt>
                <c:pt idx="447" c:formatCode="0.0000">
                  <c:v>4.877</c:v>
                </c:pt>
                <c:pt idx="448" c:formatCode="0.0000">
                  <c:v>4.877</c:v>
                </c:pt>
                <c:pt idx="449" c:formatCode="0.0000">
                  <c:v>4.859</c:v>
                </c:pt>
                <c:pt idx="450" c:formatCode="0.0000">
                  <c:v>4.841</c:v>
                </c:pt>
                <c:pt idx="451" c:formatCode="0.0000">
                  <c:v>4.806</c:v>
                </c:pt>
                <c:pt idx="452" c:formatCode="0.0000">
                  <c:v>4.804</c:v>
                </c:pt>
                <c:pt idx="453" c:formatCode="0.0000">
                  <c:v>4.78</c:v>
                </c:pt>
                <c:pt idx="454" c:formatCode="0.0000">
                  <c:v>4.769</c:v>
                </c:pt>
                <c:pt idx="455" c:formatCode="0.0000">
                  <c:v>4.758</c:v>
                </c:pt>
                <c:pt idx="456" c:formatCode="0.0000">
                  <c:v>4.751</c:v>
                </c:pt>
                <c:pt idx="457" c:formatCode="0.0000">
                  <c:v>4.746</c:v>
                </c:pt>
                <c:pt idx="458" c:formatCode="0.0000">
                  <c:v>4.775</c:v>
                </c:pt>
                <c:pt idx="459" c:formatCode="0.0000">
                  <c:v>4.79</c:v>
                </c:pt>
                <c:pt idx="460" c:formatCode="0.0000">
                  <c:v>4.79</c:v>
                </c:pt>
                <c:pt idx="461" c:formatCode="0.0000">
                  <c:v>4.793</c:v>
                </c:pt>
                <c:pt idx="462" c:formatCode="0.0000">
                  <c:v>4.804</c:v>
                </c:pt>
                <c:pt idx="463" c:formatCode="0.0000">
                  <c:v>4.804</c:v>
                </c:pt>
                <c:pt idx="464" c:formatCode="0.0000">
                  <c:v>4.804</c:v>
                </c:pt>
                <c:pt idx="465" c:formatCode="0.0000">
                  <c:v>4.801</c:v>
                </c:pt>
                <c:pt idx="466" c:formatCode="0.0000">
                  <c:v>4.797</c:v>
                </c:pt>
                <c:pt idx="467" c:formatCode="0.0000">
                  <c:v>4.797</c:v>
                </c:pt>
                <c:pt idx="468" c:formatCode="0.0000">
                  <c:v>4.797</c:v>
                </c:pt>
                <c:pt idx="469" c:formatCode="0.0000">
                  <c:v>4.794</c:v>
                </c:pt>
                <c:pt idx="470" c:formatCode="0.0000">
                  <c:v>4.794</c:v>
                </c:pt>
                <c:pt idx="471" c:formatCode="0.0000">
                  <c:v>4.794</c:v>
                </c:pt>
                <c:pt idx="472" c:formatCode="0.0000">
                  <c:v>4.79</c:v>
                </c:pt>
                <c:pt idx="473" c:formatCode="0.0000">
                  <c:v>4.783</c:v>
                </c:pt>
                <c:pt idx="474" c:formatCode="0.0000">
                  <c:v>4.779</c:v>
                </c:pt>
                <c:pt idx="475" c:formatCode="0.0000">
                  <c:v>4.776</c:v>
                </c:pt>
                <c:pt idx="476" c:formatCode="0.0000">
                  <c:v>4.769</c:v>
                </c:pt>
                <c:pt idx="477" c:formatCode="0.0000">
                  <c:v>4.757</c:v>
                </c:pt>
                <c:pt idx="478" c:formatCode="0.0000">
                  <c:v>4.757</c:v>
                </c:pt>
                <c:pt idx="479" c:formatCode="0.0000">
                  <c:v>4.757</c:v>
                </c:pt>
                <c:pt idx="480" c:formatCode="0.0000">
                  <c:v>4.757</c:v>
                </c:pt>
                <c:pt idx="481" c:formatCode="0.0000">
                  <c:v>4.757</c:v>
                </c:pt>
                <c:pt idx="482" c:formatCode="0.0000">
                  <c:v>4.757</c:v>
                </c:pt>
                <c:pt idx="483" c:formatCode="0.0000">
                  <c:v>4.754</c:v>
                </c:pt>
                <c:pt idx="484" c:formatCode="0.0000">
                  <c:v>4.75</c:v>
                </c:pt>
                <c:pt idx="485" c:formatCode="0.0000">
                  <c:v>4.743</c:v>
                </c:pt>
                <c:pt idx="486" c:formatCode="0.0000">
                  <c:v>4.739</c:v>
                </c:pt>
                <c:pt idx="487" c:formatCode="0.0000">
                  <c:v>4.736</c:v>
                </c:pt>
                <c:pt idx="488" c:formatCode="0.0000">
                  <c:v>4.732</c:v>
                </c:pt>
                <c:pt idx="489" c:formatCode="0.0000">
                  <c:v>4.729</c:v>
                </c:pt>
                <c:pt idx="490" c:formatCode="0.0000">
                  <c:v>4.711</c:v>
                </c:pt>
                <c:pt idx="491" c:formatCode="0.0000">
                  <c:v>4.707</c:v>
                </c:pt>
                <c:pt idx="492" c:formatCode="0.0000">
                  <c:v>4.696</c:v>
                </c:pt>
                <c:pt idx="493" c:formatCode="0.0000">
                  <c:v>4.696</c:v>
                </c:pt>
                <c:pt idx="494" c:formatCode="0.0000">
                  <c:v>4.693</c:v>
                </c:pt>
                <c:pt idx="495" c:formatCode="0.0000">
                  <c:v>4.689</c:v>
                </c:pt>
                <c:pt idx="496" c:formatCode="0.0000">
                  <c:v>4.686</c:v>
                </c:pt>
                <c:pt idx="497" c:formatCode="0.0000">
                  <c:v>4.686</c:v>
                </c:pt>
                <c:pt idx="498" c:formatCode="0.0000">
                  <c:v>4.686</c:v>
                </c:pt>
                <c:pt idx="499" c:formatCode="0.0000">
                  <c:v>4.686</c:v>
                </c:pt>
                <c:pt idx="500" c:formatCode="0.0000">
                  <c:v>4.686</c:v>
                </c:pt>
                <c:pt idx="501" c:formatCode="0.0000">
                  <c:v>4.682</c:v>
                </c:pt>
                <c:pt idx="502" c:formatCode="0.0000">
                  <c:v>4.682</c:v>
                </c:pt>
                <c:pt idx="503" c:formatCode="0.0000">
                  <c:v>4.68</c:v>
                </c:pt>
                <c:pt idx="504" c:formatCode="0.0000">
                  <c:v>4.679</c:v>
                </c:pt>
                <c:pt idx="505" c:formatCode="0.0000">
                  <c:v>4.679</c:v>
                </c:pt>
                <c:pt idx="506" c:formatCode="0.0000">
                  <c:v>4.679</c:v>
                </c:pt>
                <c:pt idx="507" c:formatCode="0.0000">
                  <c:v>4.679</c:v>
                </c:pt>
                <c:pt idx="508" c:formatCode="0.0000">
                  <c:v>4.679</c:v>
                </c:pt>
                <c:pt idx="509" c:formatCode="0.0000">
                  <c:v>4.679</c:v>
                </c:pt>
                <c:pt idx="510" c:formatCode="0.0000">
                  <c:v>4.684</c:v>
                </c:pt>
                <c:pt idx="511" c:formatCode="0.0000">
                  <c:v>4.684</c:v>
                </c:pt>
                <c:pt idx="512" c:formatCode="0.0000">
                  <c:v>4.671</c:v>
                </c:pt>
                <c:pt idx="513" c:formatCode="0.0000">
                  <c:v>4.666</c:v>
                </c:pt>
                <c:pt idx="514" c:formatCode="0.0000">
                  <c:v>4.663</c:v>
                </c:pt>
                <c:pt idx="515" c:formatCode="0.0000">
                  <c:v>4.661</c:v>
                </c:pt>
                <c:pt idx="516" c:formatCode="0.0000">
                  <c:v>4.695</c:v>
                </c:pt>
                <c:pt idx="517" c:formatCode="0.0000">
                  <c:v>4.695</c:v>
                </c:pt>
                <c:pt idx="518" c:formatCode="0.0000">
                  <c:v>4.689</c:v>
                </c:pt>
                <c:pt idx="519" c:formatCode="0.0000">
                  <c:v>4.696</c:v>
                </c:pt>
                <c:pt idx="520" c:formatCode="0.0000">
                  <c:v>4.696</c:v>
                </c:pt>
                <c:pt idx="521" c:formatCode="0.0000">
                  <c:v>4.696</c:v>
                </c:pt>
                <c:pt idx="522" c:formatCode="0.0000">
                  <c:v>4.707</c:v>
                </c:pt>
                <c:pt idx="523" c:formatCode="0.0000">
                  <c:v>4.707</c:v>
                </c:pt>
                <c:pt idx="524" c:formatCode="0.0000">
                  <c:v>4.707</c:v>
                </c:pt>
                <c:pt idx="525" c:formatCode="0.0000">
                  <c:v>4.725</c:v>
                </c:pt>
                <c:pt idx="526" c:formatCode="0.0000">
                  <c:v>4.75</c:v>
                </c:pt>
                <c:pt idx="527" c:formatCode="0.0000">
                  <c:v>4.761</c:v>
                </c:pt>
                <c:pt idx="528" c:formatCode="0.0000">
                  <c:v>4.773</c:v>
                </c:pt>
                <c:pt idx="529" c:formatCode="0.0000">
                  <c:v>4.781</c:v>
                </c:pt>
                <c:pt idx="530" c:formatCode="0.0000">
                  <c:v>4.787</c:v>
                </c:pt>
                <c:pt idx="531" c:formatCode="0.0000">
                  <c:v>4.787</c:v>
                </c:pt>
                <c:pt idx="532" c:formatCode="0.0000">
                  <c:v>4.797</c:v>
                </c:pt>
                <c:pt idx="533" c:formatCode="0.0000">
                  <c:v>4.809</c:v>
                </c:pt>
                <c:pt idx="534" c:formatCode="0.0000">
                  <c:v>4.822</c:v>
                </c:pt>
                <c:pt idx="535" c:formatCode="0.0000">
                  <c:v>4.831</c:v>
                </c:pt>
                <c:pt idx="536" c:formatCode="0.0000">
                  <c:v>4.837</c:v>
                </c:pt>
                <c:pt idx="537" c:formatCode="0.0000">
                  <c:v>4.889</c:v>
                </c:pt>
                <c:pt idx="538" c:formatCode="0.0000">
                  <c:v>4.9</c:v>
                </c:pt>
                <c:pt idx="539" c:formatCode="0.0000">
                  <c:v>4.929</c:v>
                </c:pt>
                <c:pt idx="540" c:formatCode="0.0000">
                  <c:v>4.931</c:v>
                </c:pt>
                <c:pt idx="541" c:formatCode="0.0000">
                  <c:v>4.943</c:v>
                </c:pt>
                <c:pt idx="542" c:formatCode="0.0000">
                  <c:v>4.957</c:v>
                </c:pt>
                <c:pt idx="543" c:formatCode="0.0000">
                  <c:v>5</c:v>
                </c:pt>
                <c:pt idx="544" c:formatCode="0.0000">
                  <c:v>5.025</c:v>
                </c:pt>
                <c:pt idx="545" c:formatCode="0.0000">
                  <c:v>5.038</c:v>
                </c:pt>
                <c:pt idx="546" c:formatCode="0.0000">
                  <c:v>5.053</c:v>
                </c:pt>
                <c:pt idx="547" c:formatCode="0.0000">
                  <c:v>5.068</c:v>
                </c:pt>
                <c:pt idx="548" c:formatCode="0.0000">
                  <c:v>5.078</c:v>
                </c:pt>
                <c:pt idx="549" c:formatCode="0.0000">
                  <c:v>5.088</c:v>
                </c:pt>
                <c:pt idx="550" c:formatCode="0.0000">
                  <c:v>5.113</c:v>
                </c:pt>
                <c:pt idx="551" c:formatCode="0.0000">
                  <c:v>5.113</c:v>
                </c:pt>
                <c:pt idx="552" c:formatCode="0.0000">
                  <c:v>5.138</c:v>
                </c:pt>
                <c:pt idx="553" c:formatCode="0.0000">
                  <c:v>5.163</c:v>
                </c:pt>
                <c:pt idx="554" c:formatCode="0.0000">
                  <c:v>5.188</c:v>
                </c:pt>
                <c:pt idx="555" c:formatCode="0.0000">
                  <c:v>5.213</c:v>
                </c:pt>
                <c:pt idx="556" c:formatCode="0.0000">
                  <c:v>5.238</c:v>
                </c:pt>
                <c:pt idx="557" c:formatCode="0.0000">
                  <c:v>5.288</c:v>
                </c:pt>
                <c:pt idx="558" c:formatCode="0.0000">
                  <c:v>5.3</c:v>
                </c:pt>
                <c:pt idx="559" c:formatCode="0.0000">
                  <c:v>5.32</c:v>
                </c:pt>
                <c:pt idx="560" c:formatCode="0.0000">
                  <c:v>5.334</c:v>
                </c:pt>
                <c:pt idx="561" c:formatCode="0.0000">
                  <c:v>5.342</c:v>
                </c:pt>
                <c:pt idx="562" c:formatCode="0.0000">
                  <c:v>5.343</c:v>
                </c:pt>
                <c:pt idx="563" c:formatCode="0.0000">
                  <c:v>5.343</c:v>
                </c:pt>
                <c:pt idx="564" c:formatCode="0.0000">
                  <c:v>5.343</c:v>
                </c:pt>
                <c:pt idx="565" c:formatCode="0.0000">
                  <c:v>5.304</c:v>
                </c:pt>
                <c:pt idx="566" c:formatCode="0.0000">
                  <c:v>5.304</c:v>
                </c:pt>
                <c:pt idx="567" c:formatCode="0.0000">
                  <c:v>5.312</c:v>
                </c:pt>
                <c:pt idx="568" c:formatCode="0.0000">
                  <c:v>5.316</c:v>
                </c:pt>
                <c:pt idx="569" c:formatCode="0.0000">
                  <c:v>5.33</c:v>
                </c:pt>
                <c:pt idx="570" c:formatCode="0.0000">
                  <c:v>5.34</c:v>
                </c:pt>
                <c:pt idx="571" c:formatCode="0.0000">
                  <c:v>5.36</c:v>
                </c:pt>
                <c:pt idx="572" c:formatCode="0.0000">
                  <c:v>5.4</c:v>
                </c:pt>
                <c:pt idx="573" c:formatCode="0.0000">
                  <c:v>5.44</c:v>
                </c:pt>
                <c:pt idx="574" c:formatCode="0.0000">
                  <c:v>5.48</c:v>
                </c:pt>
                <c:pt idx="575" c:formatCode="0.0000">
                  <c:v>5.52</c:v>
                </c:pt>
                <c:pt idx="576" c:formatCode="0.0000">
                  <c:v>5.544</c:v>
                </c:pt>
                <c:pt idx="577" c:formatCode="0.0000">
                  <c:v>5.54</c:v>
                </c:pt>
                <c:pt idx="578" c:formatCode="0.0000">
                  <c:v>5.526</c:v>
                </c:pt>
                <c:pt idx="579" c:formatCode="0.0000">
                  <c:v>5.526</c:v>
                </c:pt>
                <c:pt idx="580" c:formatCode="0.0000">
                  <c:v>5.524</c:v>
                </c:pt>
                <c:pt idx="581" c:formatCode="0.0000">
                  <c:v>5.524</c:v>
                </c:pt>
                <c:pt idx="582" c:formatCode="0.0000">
                  <c:v>5.524</c:v>
                </c:pt>
                <c:pt idx="583" c:formatCode="0.0000">
                  <c:v>5.524</c:v>
                </c:pt>
                <c:pt idx="584" c:formatCode="0.0000">
                  <c:v>5.524</c:v>
                </c:pt>
                <c:pt idx="585" c:formatCode="0.0000">
                  <c:v>5.524</c:v>
                </c:pt>
                <c:pt idx="586" c:formatCode="0.0000">
                  <c:v>5.524</c:v>
                </c:pt>
                <c:pt idx="587" c:formatCode="0.0000">
                  <c:v>5.522</c:v>
                </c:pt>
                <c:pt idx="588" c:formatCode="0.0000">
                  <c:v>5.522</c:v>
                </c:pt>
                <c:pt idx="589" c:formatCode="0.0000">
                  <c:v>5.507</c:v>
                </c:pt>
                <c:pt idx="590" c:formatCode="0.0000">
                  <c:v>5.499</c:v>
                </c:pt>
                <c:pt idx="591" c:formatCode="0.0000">
                  <c:v>5.491</c:v>
                </c:pt>
                <c:pt idx="592" c:formatCode="0.0000">
                  <c:v>5.489</c:v>
                </c:pt>
                <c:pt idx="593" c:formatCode="0.0000">
                  <c:v>5.489</c:v>
                </c:pt>
                <c:pt idx="594" c:formatCode="0.0000">
                  <c:v>5.489</c:v>
                </c:pt>
                <c:pt idx="595" c:formatCode="0.0000">
                  <c:v>5.489</c:v>
                </c:pt>
                <c:pt idx="596" c:formatCode="0.0000">
                  <c:v>5.489</c:v>
                </c:pt>
                <c:pt idx="597" c:formatCode="0.0000">
                  <c:v>5.511</c:v>
                </c:pt>
                <c:pt idx="598" c:formatCode="0.0000">
                  <c:v>5.511</c:v>
                </c:pt>
                <c:pt idx="599" c:formatCode="0.0000">
                  <c:v>5.548</c:v>
                </c:pt>
                <c:pt idx="600" c:formatCode="0.0000">
                  <c:v>5.561</c:v>
                </c:pt>
                <c:pt idx="601" c:formatCode="0.0000">
                  <c:v>5.561</c:v>
                </c:pt>
                <c:pt idx="602" c:formatCode="0.0000">
                  <c:v>5.561</c:v>
                </c:pt>
                <c:pt idx="603" c:formatCode="0.0000">
                  <c:v>5.561</c:v>
                </c:pt>
                <c:pt idx="604" c:formatCode="0.0000">
                  <c:v>5.574</c:v>
                </c:pt>
                <c:pt idx="605" c:formatCode="0.0000">
                  <c:v>5.624</c:v>
                </c:pt>
                <c:pt idx="606" c:formatCode="0.0000">
                  <c:v>5.643</c:v>
                </c:pt>
                <c:pt idx="607" c:formatCode="0.0000">
                  <c:v>5.711</c:v>
                </c:pt>
                <c:pt idx="608" c:formatCode="0.0000">
                  <c:v>5.782</c:v>
                </c:pt>
                <c:pt idx="609" c:formatCode="0.0000">
                  <c:v>5.782</c:v>
                </c:pt>
                <c:pt idx="610" c:formatCode="0.0000">
                  <c:v>5.782</c:v>
                </c:pt>
                <c:pt idx="611" c:formatCode="0.0000">
                  <c:v>5.854</c:v>
                </c:pt>
                <c:pt idx="612" c:formatCode="0.0000">
                  <c:v>5.901</c:v>
                </c:pt>
                <c:pt idx="613" c:formatCode="0.0000">
                  <c:v>5.901</c:v>
                </c:pt>
                <c:pt idx="614" c:formatCode="0.0000">
                  <c:v>5.901</c:v>
                </c:pt>
                <c:pt idx="615" c:formatCode="0.0000">
                  <c:v>5.947</c:v>
                </c:pt>
                <c:pt idx="616" c:formatCode="0.0000">
                  <c:v>6.014</c:v>
                </c:pt>
                <c:pt idx="617" c:formatCode="0.0000">
                  <c:v>6.014</c:v>
                </c:pt>
                <c:pt idx="618" c:formatCode="0.0000">
                  <c:v>6.053</c:v>
                </c:pt>
                <c:pt idx="619" c:formatCode="0.0000">
                  <c:v>6.053</c:v>
                </c:pt>
                <c:pt idx="620" c:formatCode="0.0000">
                  <c:v>6.047</c:v>
                </c:pt>
                <c:pt idx="621" c:formatCode="0.0000">
                  <c:v>6.062</c:v>
                </c:pt>
                <c:pt idx="622" c:formatCode="0.0000">
                  <c:v>6.078</c:v>
                </c:pt>
                <c:pt idx="623" c:formatCode="0.0000">
                  <c:v>6.078</c:v>
                </c:pt>
                <c:pt idx="624" c:formatCode="0.0000">
                  <c:v>6.095</c:v>
                </c:pt>
                <c:pt idx="625" c:formatCode="0.0000">
                  <c:v>6.095</c:v>
                </c:pt>
                <c:pt idx="626" c:formatCode="0.0000">
                  <c:v>6.095</c:v>
                </c:pt>
                <c:pt idx="627" c:formatCode="0.0000">
                  <c:v>6.095</c:v>
                </c:pt>
                <c:pt idx="628" c:formatCode="0.0000">
                  <c:v>6.079</c:v>
                </c:pt>
                <c:pt idx="629" c:formatCode="0.0000">
                  <c:v>6.072</c:v>
                </c:pt>
                <c:pt idx="630" c:formatCode="0.0000">
                  <c:v>6.066</c:v>
                </c:pt>
                <c:pt idx="631" c:formatCode="0.0000">
                  <c:v>6.066</c:v>
                </c:pt>
                <c:pt idx="632" c:formatCode="0.0000">
                  <c:v>6.066</c:v>
                </c:pt>
                <c:pt idx="633" c:formatCode="0.0000">
                  <c:v>6.063</c:v>
                </c:pt>
                <c:pt idx="634" c:formatCode="0.0000">
                  <c:v>6.063</c:v>
                </c:pt>
                <c:pt idx="635" c:formatCode="0.0000">
                  <c:v>6.109</c:v>
                </c:pt>
                <c:pt idx="636" c:formatCode="0.0000">
                  <c:v>6.109</c:v>
                </c:pt>
                <c:pt idx="637" c:formatCode="0.0000">
                  <c:v>6.186</c:v>
                </c:pt>
                <c:pt idx="638" c:formatCode="0.0000">
                  <c:v>6.202</c:v>
                </c:pt>
                <c:pt idx="639" c:formatCode="0.0000">
                  <c:v>6.202</c:v>
                </c:pt>
                <c:pt idx="640" c:formatCode="0.0000">
                  <c:v>6.168</c:v>
                </c:pt>
                <c:pt idx="641" c:formatCode="0.0000">
                  <c:v>6.1</c:v>
                </c:pt>
                <c:pt idx="642" c:formatCode="0.0000">
                  <c:v>6.097</c:v>
                </c:pt>
                <c:pt idx="643" c:formatCode="0.0000">
                  <c:v>6.097</c:v>
                </c:pt>
                <c:pt idx="644" c:formatCode="0.0000">
                  <c:v>6.117</c:v>
                </c:pt>
                <c:pt idx="645" c:formatCode="0.0000">
                  <c:v>6.14</c:v>
                </c:pt>
                <c:pt idx="646" c:formatCode="0.0000">
                  <c:v>6.167</c:v>
                </c:pt>
                <c:pt idx="647" c:formatCode="0.0000">
                  <c:v>6.167</c:v>
                </c:pt>
                <c:pt idx="648" c:formatCode="0.0000">
                  <c:v>6.16</c:v>
                </c:pt>
                <c:pt idx="649" c:formatCode="0.0000">
                  <c:v>6.16</c:v>
                </c:pt>
                <c:pt idx="650" c:formatCode="0.0000">
                  <c:v>6.16</c:v>
                </c:pt>
                <c:pt idx="651" c:formatCode="0.0000">
                  <c:v>6.193</c:v>
                </c:pt>
                <c:pt idx="652" c:formatCode="0.0000">
                  <c:v>6.2</c:v>
                </c:pt>
                <c:pt idx="653" c:formatCode="0.0000">
                  <c:v>6.183</c:v>
                </c:pt>
                <c:pt idx="654" c:formatCode="0.0000">
                  <c:v>6.183</c:v>
                </c:pt>
                <c:pt idx="655" c:formatCode="0.0000">
                  <c:v>6.167</c:v>
                </c:pt>
                <c:pt idx="656" c:formatCode="0.0000">
                  <c:v>6.167</c:v>
                </c:pt>
                <c:pt idx="657" c:formatCode="0.0000">
                  <c:v>6.167</c:v>
                </c:pt>
                <c:pt idx="658" c:formatCode="0.0000">
                  <c:v>6.143</c:v>
                </c:pt>
                <c:pt idx="659" c:formatCode="0.0000">
                  <c:v>6.117</c:v>
                </c:pt>
                <c:pt idx="660" c:formatCode="0.0000">
                  <c:v>6.083</c:v>
                </c:pt>
                <c:pt idx="661" c:formatCode="0.0000">
                  <c:v>6.047</c:v>
                </c:pt>
                <c:pt idx="662" c:formatCode="0.0000">
                  <c:v>6.033</c:v>
                </c:pt>
                <c:pt idx="663" c:formatCode="0.0000">
                  <c:v>5.987</c:v>
                </c:pt>
                <c:pt idx="664" c:formatCode="0.0000">
                  <c:v>6</c:v>
                </c:pt>
                <c:pt idx="665" c:formatCode="0.0000">
                  <c:v>6.017</c:v>
                </c:pt>
                <c:pt idx="666" c:formatCode="0.0000">
                  <c:v>6.017</c:v>
                </c:pt>
                <c:pt idx="667" c:formatCode="0.0000">
                  <c:v>6.02</c:v>
                </c:pt>
                <c:pt idx="668" c:formatCode="0.0000">
                  <c:v>6.05</c:v>
                </c:pt>
                <c:pt idx="669" c:formatCode="0.0000">
                  <c:v>6.05</c:v>
                </c:pt>
                <c:pt idx="670" c:formatCode="0.0000">
                  <c:v>6.05</c:v>
                </c:pt>
                <c:pt idx="671" c:formatCode="0.0000">
                  <c:v>6.05</c:v>
                </c:pt>
                <c:pt idx="672" c:formatCode="0.0000">
                  <c:v>6.05</c:v>
                </c:pt>
                <c:pt idx="673" c:formatCode="0.0000">
                  <c:v>6.05</c:v>
                </c:pt>
                <c:pt idx="674" c:formatCode="0.0000">
                  <c:v>6.067</c:v>
                </c:pt>
                <c:pt idx="675" c:formatCode="0.0000">
                  <c:v>6.133</c:v>
                </c:pt>
                <c:pt idx="676" c:formatCode="0.0000">
                  <c:v>6.2</c:v>
                </c:pt>
                <c:pt idx="677" c:formatCode="0.0000">
                  <c:v>6.216</c:v>
                </c:pt>
                <c:pt idx="678" c:formatCode="0.0000">
                  <c:v>6.263</c:v>
                </c:pt>
                <c:pt idx="679" c:formatCode="0.0000">
                  <c:v>6.516</c:v>
                </c:pt>
                <c:pt idx="680" c:formatCode="0.0000">
                  <c:v>6.727</c:v>
                </c:pt>
                <c:pt idx="681" c:formatCode="0.0000">
                  <c:v>6.844</c:v>
                </c:pt>
                <c:pt idx="682" c:formatCode="0.0000">
                  <c:v>6.927</c:v>
                </c:pt>
                <c:pt idx="683" c:formatCode="0.0000">
                  <c:v>7.009</c:v>
                </c:pt>
                <c:pt idx="684" c:formatCode="0.0000">
                  <c:v>7.19</c:v>
                </c:pt>
                <c:pt idx="685" c:formatCode="0.0000">
                  <c:v>7.411</c:v>
                </c:pt>
                <c:pt idx="686" c:formatCode="0.0000">
                  <c:v>7.475</c:v>
                </c:pt>
                <c:pt idx="687" c:formatCode="0.0000">
                  <c:v>7.535</c:v>
                </c:pt>
                <c:pt idx="688" c:formatCode="0.0000">
                  <c:v>7.676</c:v>
                </c:pt>
                <c:pt idx="689" c:formatCode="0.0000">
                  <c:v>7.878</c:v>
                </c:pt>
                <c:pt idx="690" c:formatCode="0.0000">
                  <c:v>8.022</c:v>
                </c:pt>
                <c:pt idx="691" c:formatCode="0.0000">
                  <c:v>8.129</c:v>
                </c:pt>
                <c:pt idx="692" c:formatCode="0.0000">
                  <c:v>8.129</c:v>
                </c:pt>
                <c:pt idx="693" c:formatCode="0.0000">
                  <c:v>8.242</c:v>
                </c:pt>
                <c:pt idx="694" c:formatCode="0.0000">
                  <c:v>8.328</c:v>
                </c:pt>
                <c:pt idx="695" c:formatCode="0.0000">
                  <c:v>8.473</c:v>
                </c:pt>
                <c:pt idx="696" c:formatCode="0.0000">
                  <c:v>8.577</c:v>
                </c:pt>
                <c:pt idx="697" c:formatCode="0.0000">
                  <c:v>8.867</c:v>
                </c:pt>
                <c:pt idx="698" c:formatCode="0.0000">
                  <c:v>9</c:v>
                </c:pt>
                <c:pt idx="699" c:formatCode="0.0000">
                  <c:v>9.367</c:v>
                </c:pt>
                <c:pt idx="700" c:formatCode="0.0000">
                  <c:v>9.786</c:v>
                </c:pt>
                <c:pt idx="701" c:formatCode="0.0000">
                  <c:v>10.343</c:v>
                </c:pt>
                <c:pt idx="702" c:formatCode="0.0000">
                  <c:v>10.457</c:v>
                </c:pt>
                <c:pt idx="703" c:formatCode="0.0000">
                  <c:v>10.743</c:v>
                </c:pt>
                <c:pt idx="704" c:formatCode="0.0000">
                  <c:v>11.267</c:v>
                </c:pt>
                <c:pt idx="705" c:formatCode="0.0000">
                  <c:v>11.867</c:v>
                </c:pt>
                <c:pt idx="706" c:formatCode="0.0000">
                  <c:v>12.615</c:v>
                </c:pt>
                <c:pt idx="707" c:formatCode="0.0000">
                  <c:v>13.3</c:v>
                </c:pt>
                <c:pt idx="708" c:formatCode="0.0000">
                  <c:v>14</c:v>
                </c:pt>
                <c:pt idx="709" c:formatCode="0.0000">
                  <c:v>14.654</c:v>
                </c:pt>
                <c:pt idx="710" c:formatCode="0.0000">
                  <c:v>15.215</c:v>
                </c:pt>
                <c:pt idx="711" c:formatCode="0.0000">
                  <c:v>15.488</c:v>
                </c:pt>
                <c:pt idx="712" c:formatCode="0.0000">
                  <c:v>15.563</c:v>
                </c:pt>
                <c:pt idx="713" c:formatCode="0.0000">
                  <c:v>16.125</c:v>
                </c:pt>
                <c:pt idx="714" c:formatCode="0.0000">
                  <c:v>17.319</c:v>
                </c:pt>
                <c:pt idx="715" c:formatCode="0.0000">
                  <c:v>19.156</c:v>
                </c:pt>
                <c:pt idx="716" c:formatCode="0.0000">
                  <c:v>20.938</c:v>
                </c:pt>
                <c:pt idx="717" c:formatCode="0.0000">
                  <c:v>22.1</c:v>
                </c:pt>
                <c:pt idx="718" c:formatCode="0.0000">
                  <c:v>23.038</c:v>
                </c:pt>
                <c:pt idx="719" c:formatCode="0.0000">
                  <c:v>23.819</c:v>
                </c:pt>
                <c:pt idx="720" c:formatCode="0.0000">
                  <c:v>24.131</c:v>
                </c:pt>
                <c:pt idx="721" c:formatCode="0.0000">
                  <c:v>24.505</c:v>
                </c:pt>
                <c:pt idx="722" c:formatCode="0.0000">
                  <c:v>24.767</c:v>
                </c:pt>
                <c:pt idx="723" c:formatCode="0.0000">
                  <c:v>24.833</c:v>
                </c:pt>
                <c:pt idx="724" c:formatCode="0.0000">
                  <c:v>24.833</c:v>
                </c:pt>
                <c:pt idx="725" c:formatCode="0.0000">
                  <c:v>25</c:v>
                </c:pt>
                <c:pt idx="726" c:formatCode="0.0000">
                  <c:v>25.1</c:v>
                </c:pt>
                <c:pt idx="727" c:formatCode="0.0000">
                  <c:v>25.767</c:v>
                </c:pt>
                <c:pt idx="728" c:formatCode="0.0000">
                  <c:v>26.167</c:v>
                </c:pt>
                <c:pt idx="729" c:formatCode="0.0000">
                  <c:v>26.833</c:v>
                </c:pt>
                <c:pt idx="730" c:formatCode="0.0000">
                  <c:v>27.167</c:v>
                </c:pt>
                <c:pt idx="731" c:formatCode="0.0000">
                  <c:v>27.167</c:v>
                </c:pt>
                <c:pt idx="732" c:formatCode="0.0000">
                  <c:v>27.2</c:v>
                </c:pt>
                <c:pt idx="733" c:formatCode="0.0000">
                  <c:v>27.2</c:v>
                </c:pt>
                <c:pt idx="734" c:formatCode="0.0000">
                  <c:v>27.2</c:v>
                </c:pt>
                <c:pt idx="735" c:formatCode="0.0000">
                  <c:v>26.933</c:v>
                </c:pt>
                <c:pt idx="736" c:formatCode="0.0000">
                  <c:v>26.333</c:v>
                </c:pt>
                <c:pt idx="737" c:formatCode="0.0000">
                  <c:v>26.333</c:v>
                </c:pt>
                <c:pt idx="738" c:formatCode="0.0000">
                  <c:v>26.333</c:v>
                </c:pt>
                <c:pt idx="739" c:formatCode="0.0000">
                  <c:v>26.267</c:v>
                </c:pt>
                <c:pt idx="740" c:formatCode="0.0000">
                  <c:v>26</c:v>
                </c:pt>
                <c:pt idx="741" c:formatCode="0.0000">
                  <c:v>26.167</c:v>
                </c:pt>
                <c:pt idx="742" c:formatCode="0.0000">
                  <c:v>26.267</c:v>
                </c:pt>
                <c:pt idx="743" c:formatCode="0.0000">
                  <c:v>26.333</c:v>
                </c:pt>
                <c:pt idx="744" c:formatCode="0.0000">
                  <c:v>26.367</c:v>
                </c:pt>
                <c:pt idx="745" c:formatCode="0.0000">
                  <c:v>26.4</c:v>
                </c:pt>
                <c:pt idx="746" c:formatCode="0.0000">
                  <c:v>26.433</c:v>
                </c:pt>
                <c:pt idx="747" c:formatCode="0.0000">
                  <c:v>26.733</c:v>
                </c:pt>
                <c:pt idx="748" c:formatCode="0.0000">
                  <c:v>26.767</c:v>
                </c:pt>
                <c:pt idx="749" c:formatCode="0.0000">
                  <c:v>27.333</c:v>
                </c:pt>
                <c:pt idx="750" c:formatCode="0.0000">
                  <c:v>27.5</c:v>
                </c:pt>
                <c:pt idx="751" c:formatCode="0.0000">
                  <c:v>27.833</c:v>
                </c:pt>
                <c:pt idx="752" c:formatCode="0.0000">
                  <c:v>28.226</c:v>
                </c:pt>
                <c:pt idx="753" c:formatCode="0.0000">
                  <c:v>28.581</c:v>
                </c:pt>
                <c:pt idx="754" c:formatCode="0.0000">
                  <c:v>29.131</c:v>
                </c:pt>
                <c:pt idx="755" c:formatCode="0.0000">
                  <c:v>29.803</c:v>
                </c:pt>
                <c:pt idx="756" c:formatCode="0.0000">
                  <c:v>30.544</c:v>
                </c:pt>
                <c:pt idx="757" c:formatCode="0.0000">
                  <c:v>31.074</c:v>
                </c:pt>
                <c:pt idx="758" c:formatCode="0.0000">
                  <c:v>31.475</c:v>
                </c:pt>
                <c:pt idx="759" c:formatCode="0.0000">
                  <c:v>31.656</c:v>
                </c:pt>
                <c:pt idx="760" c:formatCode="0.0000">
                  <c:v>31.781</c:v>
                </c:pt>
                <c:pt idx="761" c:formatCode="0.0000">
                  <c:v>32.5</c:v>
                </c:pt>
                <c:pt idx="762" c:formatCode="0.0000">
                  <c:v>33.406</c:v>
                </c:pt>
                <c:pt idx="763" c:formatCode="0.0000">
                  <c:v>34.075</c:v>
                </c:pt>
                <c:pt idx="764" c:formatCode="0.0000">
                  <c:v>34.5</c:v>
                </c:pt>
                <c:pt idx="765" c:formatCode="0.0000">
                  <c:v>35</c:v>
                </c:pt>
                <c:pt idx="766" c:formatCode="0.0000">
                  <c:v>35.333</c:v>
                </c:pt>
                <c:pt idx="767" c:formatCode="0.0000">
                  <c:v>36.333</c:v>
                </c:pt>
                <c:pt idx="768" c:formatCode="0.0000">
                  <c:v>36.667</c:v>
                </c:pt>
                <c:pt idx="769" c:formatCode="0.0000">
                  <c:v>36.667</c:v>
                </c:pt>
                <c:pt idx="770" c:formatCode="0.0000">
                  <c:v>36.667</c:v>
                </c:pt>
                <c:pt idx="771" c:formatCode="0.0000">
                  <c:v>36.667</c:v>
                </c:pt>
                <c:pt idx="772" c:formatCode="0.0000">
                  <c:v>36.6</c:v>
                </c:pt>
                <c:pt idx="773" c:formatCode="0.0000">
                  <c:v>36.6</c:v>
                </c:pt>
                <c:pt idx="774" c:formatCode="0.0000">
                  <c:v>36.533</c:v>
                </c:pt>
                <c:pt idx="775" c:formatCode="0.0000">
                  <c:v>37.167</c:v>
                </c:pt>
                <c:pt idx="776" c:formatCode="0.0000">
                  <c:v>38.167</c:v>
                </c:pt>
                <c:pt idx="777" c:formatCode="0.0000">
                  <c:v>38</c:v>
                </c:pt>
                <c:pt idx="778" c:formatCode="0.0000">
                  <c:v>37.967</c:v>
                </c:pt>
                <c:pt idx="779" c:formatCode="0.0000">
                  <c:v>37.933</c:v>
                </c:pt>
                <c:pt idx="780" c:formatCode="0.0000">
                  <c:v>38</c:v>
                </c:pt>
                <c:pt idx="781" c:formatCode="0.0000">
                  <c:v>37.833</c:v>
                </c:pt>
                <c:pt idx="782" c:formatCode="0.0000">
                  <c:v>38</c:v>
                </c:pt>
                <c:pt idx="783" c:formatCode="0.0000">
                  <c:v>38.033</c:v>
                </c:pt>
                <c:pt idx="784" c:formatCode="0.0000">
                  <c:v>38.033</c:v>
                </c:pt>
                <c:pt idx="785" c:formatCode="0.0000">
                  <c:v>38.067</c:v>
                </c:pt>
                <c:pt idx="786" c:formatCode="0.0000">
                  <c:v>38.1</c:v>
                </c:pt>
                <c:pt idx="787" c:formatCode="0.0000">
                  <c:v>38.167</c:v>
                </c:pt>
                <c:pt idx="788" c:formatCode="0.0000">
                  <c:v>38.667</c:v>
                </c:pt>
                <c:pt idx="789" c:formatCode="0.0000">
                  <c:v>39.333</c:v>
                </c:pt>
                <c:pt idx="790" c:formatCode="0.0000">
                  <c:v>39.5</c:v>
                </c:pt>
                <c:pt idx="791" c:formatCode="0.0000">
                  <c:v>39.333</c:v>
                </c:pt>
                <c:pt idx="792" c:formatCode="0.0000">
                  <c:v>39.167</c:v>
                </c:pt>
                <c:pt idx="793" c:formatCode="0.0000">
                  <c:v>39.2</c:v>
                </c:pt>
                <c:pt idx="794" c:formatCode="0.0000">
                  <c:v>39.5</c:v>
                </c:pt>
                <c:pt idx="795" c:formatCode="0.0000">
                  <c:v>39.667</c:v>
                </c:pt>
                <c:pt idx="796" c:formatCode="0.0000">
                  <c:v>39.683</c:v>
                </c:pt>
                <c:pt idx="797" c:formatCode="0.0000">
                  <c:v>39.683</c:v>
                </c:pt>
                <c:pt idx="798" c:formatCode="0.0000">
                  <c:v>39.567</c:v>
                </c:pt>
                <c:pt idx="799" c:formatCode="0.0000">
                  <c:v>39.167</c:v>
                </c:pt>
                <c:pt idx="800" c:formatCode="0.0000">
                  <c:v>39.333</c:v>
                </c:pt>
                <c:pt idx="801" c:formatCode="0.0000">
                  <c:v>39.5</c:v>
                </c:pt>
                <c:pt idx="802" c:formatCode="0.0000">
                  <c:v>39.667</c:v>
                </c:pt>
                <c:pt idx="803" c:formatCode="0.0000">
                  <c:v>39.833</c:v>
                </c:pt>
                <c:pt idx="804" c:formatCode="0.0000">
                  <c:v>39.833</c:v>
                </c:pt>
                <c:pt idx="805" c:formatCode="0.0000">
                  <c:v>39.167</c:v>
                </c:pt>
                <c:pt idx="806" c:formatCode="0.0000">
                  <c:v>38.667</c:v>
                </c:pt>
                <c:pt idx="807" c:formatCode="0.0000">
                  <c:v>38.167</c:v>
                </c:pt>
                <c:pt idx="808" c:formatCode="0.0000">
                  <c:v>38.167</c:v>
                </c:pt>
                <c:pt idx="809" c:formatCode="0.0000">
                  <c:v>37.82</c:v>
                </c:pt>
                <c:pt idx="810" c:formatCode="0.0000">
                  <c:v>37.458</c:v>
                </c:pt>
                <c:pt idx="811" c:formatCode="0.0000">
                  <c:v>37.458</c:v>
                </c:pt>
                <c:pt idx="812" c:formatCode="0.0000">
                  <c:v>37.426</c:v>
                </c:pt>
                <c:pt idx="813" c:formatCode="0.0000">
                  <c:v>37.067</c:v>
                </c:pt>
                <c:pt idx="814" c:formatCode="0.0000">
                  <c:v>37</c:v>
                </c:pt>
                <c:pt idx="815" c:formatCode="0.0000">
                  <c:v>37</c:v>
                </c:pt>
                <c:pt idx="816" c:formatCode="0.0000">
                  <c:v>37</c:v>
                </c:pt>
                <c:pt idx="817" c:formatCode="0.0000">
                  <c:v>37</c:v>
                </c:pt>
                <c:pt idx="818" c:formatCode="0.0000">
                  <c:v>37.027</c:v>
                </c:pt>
                <c:pt idx="819" c:formatCode="0.0000">
                  <c:v>37.033</c:v>
                </c:pt>
                <c:pt idx="820" c:formatCode="0.0000">
                  <c:v>37.1</c:v>
                </c:pt>
                <c:pt idx="821" c:formatCode="0.0000">
                  <c:v>37.2</c:v>
                </c:pt>
                <c:pt idx="822" c:formatCode="0.0000">
                  <c:v>37.433</c:v>
                </c:pt>
                <c:pt idx="823" c:formatCode="0.0000">
                  <c:v>37.7</c:v>
                </c:pt>
                <c:pt idx="824" c:formatCode="0.0000">
                  <c:v>38.5</c:v>
                </c:pt>
                <c:pt idx="825" c:formatCode="0.0000">
                  <c:v>38.667</c:v>
                </c:pt>
                <c:pt idx="826" c:formatCode="0.0000">
                  <c:v>38.833</c:v>
                </c:pt>
                <c:pt idx="827" c:formatCode="0.0000">
                  <c:v>38.833</c:v>
                </c:pt>
                <c:pt idx="828" c:formatCode="0.0000">
                  <c:v>38.667</c:v>
                </c:pt>
                <c:pt idx="829" c:formatCode="0.0000">
                  <c:v>38.5</c:v>
                </c:pt>
                <c:pt idx="830" c:formatCode="0.0000">
                  <c:v>38.433</c:v>
                </c:pt>
                <c:pt idx="831" c:formatCode="0.0000">
                  <c:v>38.5</c:v>
                </c:pt>
                <c:pt idx="832" c:formatCode="0.0000">
                  <c:v>38.867</c:v>
                </c:pt>
                <c:pt idx="833" c:formatCode="0.0000">
                  <c:v>39</c:v>
                </c:pt>
                <c:pt idx="834" c:formatCode="0.0000">
                  <c:v>38.833</c:v>
                </c:pt>
                <c:pt idx="835" c:formatCode="0.0000">
                  <c:v>38.833</c:v>
                </c:pt>
                <c:pt idx="836" c:formatCode="0.0000">
                  <c:v>38.833</c:v>
                </c:pt>
                <c:pt idx="837" c:formatCode="0.0000">
                  <c:v>39</c:v>
                </c:pt>
                <c:pt idx="838" c:formatCode="0.0000">
                  <c:v>39.833</c:v>
                </c:pt>
                <c:pt idx="839" c:formatCode="0.0000">
                  <c:v>40.2</c:v>
                </c:pt>
                <c:pt idx="840" c:formatCode="0.0000">
                  <c:v>40.267</c:v>
                </c:pt>
                <c:pt idx="841" c:formatCode="0.0000">
                  <c:v>40.367</c:v>
                </c:pt>
                <c:pt idx="842" c:formatCode="0.0000">
                  <c:v>40.7</c:v>
                </c:pt>
                <c:pt idx="843" c:formatCode="0.0000">
                  <c:v>41.167</c:v>
                </c:pt>
                <c:pt idx="844" c:formatCode="0.0000">
                  <c:v>41.267</c:v>
                </c:pt>
                <c:pt idx="845" c:formatCode="0.0000">
                  <c:v>41.1</c:v>
                </c:pt>
                <c:pt idx="846" c:formatCode="0.0000">
                  <c:v>41.167</c:v>
                </c:pt>
                <c:pt idx="847" c:formatCode="0.0000">
                  <c:v>41.333</c:v>
                </c:pt>
                <c:pt idx="848" c:formatCode="0.0000">
                  <c:v>41.5</c:v>
                </c:pt>
                <c:pt idx="849" c:formatCode="0.0000">
                  <c:v>41.667</c:v>
                </c:pt>
                <c:pt idx="850" c:formatCode="0.0000">
                  <c:v>41.667</c:v>
                </c:pt>
                <c:pt idx="851" c:formatCode="0.0000">
                  <c:v>41.667</c:v>
                </c:pt>
                <c:pt idx="852" c:formatCode="0.0000">
                  <c:v>41.833</c:v>
                </c:pt>
                <c:pt idx="853" c:formatCode="0.0000">
                  <c:v>41.9</c:v>
                </c:pt>
                <c:pt idx="854" c:formatCode="0.0000">
                  <c:v>42.267</c:v>
                </c:pt>
              </c:numCache>
            </c:numRef>
          </c:val>
          <c:smooth val="0"/>
        </c:ser>
        <c:ser>
          <c:idx val="1"/>
          <c:order val="2"/>
          <c:tx>
            <c:strRef>
              <c:f>DRAM!$M$28</c:f>
              <c:strCache>
                <c:ptCount val="1"/>
                <c:pt idx="0">
                  <c:v>Contract</c:v>
                </c:pt>
              </c:strCache>
            </c:strRef>
          </c:tx>
          <c:marker>
            <c:symbol val="none"/>
          </c:marker>
          <c:dLbls>
            <c:delete val="1"/>
          </c:dLbls>
          <c:cat>
            <c:numRef>
              <c:f>DRAM!$E$1748:$E$3000</c:f>
              <c:numCache>
                <c:formatCode>yyyy/m/d</c:formatCode>
                <c:ptCount val="1253"/>
                <c:pt idx="0" c:formatCode="yyyy/m/d">
                  <c:v>44929</c:v>
                </c:pt>
                <c:pt idx="1" c:formatCode="yyyy/m/d">
                  <c:v>44930</c:v>
                </c:pt>
                <c:pt idx="2" c:formatCode="yyyy/m/d">
                  <c:v>44931</c:v>
                </c:pt>
                <c:pt idx="3" c:formatCode="yyyy/m/d">
                  <c:v>44932</c:v>
                </c:pt>
                <c:pt idx="4" c:formatCode="yyyy/m/d">
                  <c:v>44935</c:v>
                </c:pt>
                <c:pt idx="5" c:formatCode="yyyy/m/d">
                  <c:v>44936</c:v>
                </c:pt>
                <c:pt idx="6" c:formatCode="yyyy/m/d">
                  <c:v>44937</c:v>
                </c:pt>
                <c:pt idx="7" c:formatCode="yyyy/m/d">
                  <c:v>44938</c:v>
                </c:pt>
                <c:pt idx="8" c:formatCode="yyyy/m/d">
                  <c:v>44939</c:v>
                </c:pt>
                <c:pt idx="9" c:formatCode="yyyy/m/d">
                  <c:v>44942</c:v>
                </c:pt>
                <c:pt idx="10" c:formatCode="yyyy/m/d">
                  <c:v>44943</c:v>
                </c:pt>
                <c:pt idx="11" c:formatCode="yyyy/m/d">
                  <c:v>44944</c:v>
                </c:pt>
                <c:pt idx="12" c:formatCode="yyyy/m/d">
                  <c:v>44945</c:v>
                </c:pt>
                <c:pt idx="13" c:formatCode="yyyy/m/d">
                  <c:v>44946</c:v>
                </c:pt>
                <c:pt idx="14" c:formatCode="yyyy/m/d">
                  <c:v>44956</c:v>
                </c:pt>
                <c:pt idx="15" c:formatCode="yyyy/m/d">
                  <c:v>44957</c:v>
                </c:pt>
                <c:pt idx="16" c:formatCode="yyyy/m/d">
                  <c:v>44958</c:v>
                </c:pt>
                <c:pt idx="17" c:formatCode="yyyy/m/d">
                  <c:v>44959</c:v>
                </c:pt>
                <c:pt idx="18" c:formatCode="yyyy/m/d">
                  <c:v>44960</c:v>
                </c:pt>
                <c:pt idx="19" c:formatCode="yyyy/m/d">
                  <c:v>44963</c:v>
                </c:pt>
                <c:pt idx="20" c:formatCode="yyyy/m/d">
                  <c:v>44964</c:v>
                </c:pt>
                <c:pt idx="21" c:formatCode="yyyy/m/d">
                  <c:v>44965</c:v>
                </c:pt>
                <c:pt idx="22" c:formatCode="yyyy/m/d">
                  <c:v>44966</c:v>
                </c:pt>
                <c:pt idx="23" c:formatCode="yyyy/m/d">
                  <c:v>44967</c:v>
                </c:pt>
                <c:pt idx="24" c:formatCode="yyyy/m/d">
                  <c:v>44970</c:v>
                </c:pt>
                <c:pt idx="25" c:formatCode="yyyy/m/d">
                  <c:v>44971</c:v>
                </c:pt>
                <c:pt idx="26" c:formatCode="yyyy/m/d">
                  <c:v>44972</c:v>
                </c:pt>
                <c:pt idx="27" c:formatCode="yyyy/m/d">
                  <c:v>44973</c:v>
                </c:pt>
                <c:pt idx="28" c:formatCode="yyyy/m/d">
                  <c:v>44974</c:v>
                </c:pt>
                <c:pt idx="29" c:formatCode="yyyy/m/d">
                  <c:v>44977</c:v>
                </c:pt>
                <c:pt idx="30" c:formatCode="yyyy/m/d">
                  <c:v>44978</c:v>
                </c:pt>
                <c:pt idx="31" c:formatCode="yyyy/m/d">
                  <c:v>44979</c:v>
                </c:pt>
                <c:pt idx="32" c:formatCode="yyyy/m/d">
                  <c:v>44980</c:v>
                </c:pt>
                <c:pt idx="33" c:formatCode="yyyy/m/d">
                  <c:v>44981</c:v>
                </c:pt>
                <c:pt idx="34" c:formatCode="yyyy/m/d">
                  <c:v>44984</c:v>
                </c:pt>
                <c:pt idx="35" c:formatCode="yyyy/m/d">
                  <c:v>44985</c:v>
                </c:pt>
                <c:pt idx="36" c:formatCode="yyyy/m/d">
                  <c:v>44986</c:v>
                </c:pt>
                <c:pt idx="37" c:formatCode="yyyy/m/d">
                  <c:v>44987</c:v>
                </c:pt>
                <c:pt idx="38" c:formatCode="yyyy/m/d">
                  <c:v>44988</c:v>
                </c:pt>
                <c:pt idx="39" c:formatCode="yyyy/m/d">
                  <c:v>44991</c:v>
                </c:pt>
                <c:pt idx="40" c:formatCode="yyyy/m/d">
                  <c:v>44992</c:v>
                </c:pt>
                <c:pt idx="41" c:formatCode="yyyy/m/d">
                  <c:v>44993</c:v>
                </c:pt>
                <c:pt idx="42" c:formatCode="yyyy/m/d">
                  <c:v>44994</c:v>
                </c:pt>
                <c:pt idx="43" c:formatCode="yyyy/m/d">
                  <c:v>44995</c:v>
                </c:pt>
                <c:pt idx="44" c:formatCode="yyyy/m/d">
                  <c:v>44998</c:v>
                </c:pt>
                <c:pt idx="45" c:formatCode="yyyy/m/d">
                  <c:v>44999</c:v>
                </c:pt>
                <c:pt idx="46" c:formatCode="yyyy/m/d">
                  <c:v>45000</c:v>
                </c:pt>
                <c:pt idx="47" c:formatCode="yyyy/m/d">
                  <c:v>45001</c:v>
                </c:pt>
                <c:pt idx="48" c:formatCode="yyyy/m/d">
                  <c:v>45002</c:v>
                </c:pt>
                <c:pt idx="49" c:formatCode="yyyy/m/d">
                  <c:v>45005</c:v>
                </c:pt>
                <c:pt idx="50" c:formatCode="yyyy/m/d">
                  <c:v>45006</c:v>
                </c:pt>
                <c:pt idx="51" c:formatCode="yyyy/m/d">
                  <c:v>45007</c:v>
                </c:pt>
                <c:pt idx="52" c:formatCode="yyyy/m/d">
                  <c:v>45008</c:v>
                </c:pt>
                <c:pt idx="53" c:formatCode="yyyy/m/d">
                  <c:v>45009</c:v>
                </c:pt>
                <c:pt idx="54" c:formatCode="yyyy/m/d">
                  <c:v>45012</c:v>
                </c:pt>
                <c:pt idx="55" c:formatCode="yyyy/m/d">
                  <c:v>45013</c:v>
                </c:pt>
                <c:pt idx="56" c:formatCode="yyyy/m/d">
                  <c:v>45014</c:v>
                </c:pt>
                <c:pt idx="57" c:formatCode="yyyy/m/d">
                  <c:v>45015</c:v>
                </c:pt>
                <c:pt idx="58" c:formatCode="yyyy/m/d">
                  <c:v>45016</c:v>
                </c:pt>
                <c:pt idx="59" c:formatCode="yyyy/m/d">
                  <c:v>45019</c:v>
                </c:pt>
                <c:pt idx="60" c:formatCode="yyyy/m/d">
                  <c:v>45020</c:v>
                </c:pt>
                <c:pt idx="61" c:formatCode="yyyy/m/d">
                  <c:v>45022</c:v>
                </c:pt>
                <c:pt idx="62" c:formatCode="yyyy/m/d">
                  <c:v>45023</c:v>
                </c:pt>
                <c:pt idx="63" c:formatCode="yyyy/m/d">
                  <c:v>45026</c:v>
                </c:pt>
                <c:pt idx="64" c:formatCode="yyyy/m/d">
                  <c:v>45027</c:v>
                </c:pt>
                <c:pt idx="65" c:formatCode="yyyy/m/d">
                  <c:v>45028</c:v>
                </c:pt>
                <c:pt idx="66" c:formatCode="yyyy/m/d">
                  <c:v>45029</c:v>
                </c:pt>
                <c:pt idx="67" c:formatCode="yyyy/m/d">
                  <c:v>45030</c:v>
                </c:pt>
                <c:pt idx="68" c:formatCode="yyyy/m/d">
                  <c:v>45033</c:v>
                </c:pt>
                <c:pt idx="69" c:formatCode="yyyy/m/d">
                  <c:v>45034</c:v>
                </c:pt>
                <c:pt idx="70" c:formatCode="yyyy/m/d">
                  <c:v>45035</c:v>
                </c:pt>
                <c:pt idx="71" c:formatCode="yyyy/m/d">
                  <c:v>45036</c:v>
                </c:pt>
                <c:pt idx="72" c:formatCode="yyyy/m/d">
                  <c:v>45037</c:v>
                </c:pt>
                <c:pt idx="73" c:formatCode="yyyy/m/d">
                  <c:v>45040</c:v>
                </c:pt>
                <c:pt idx="74" c:formatCode="yyyy/m/d">
                  <c:v>45041</c:v>
                </c:pt>
                <c:pt idx="75" c:formatCode="yyyy/m/d">
                  <c:v>45042</c:v>
                </c:pt>
                <c:pt idx="76" c:formatCode="yyyy/m/d">
                  <c:v>45043</c:v>
                </c:pt>
                <c:pt idx="77" c:formatCode="yyyy/m/d">
                  <c:v>45044</c:v>
                </c:pt>
                <c:pt idx="78" c:formatCode="yyyy/m/d">
                  <c:v>45047</c:v>
                </c:pt>
                <c:pt idx="79" c:formatCode="yyyy/m/d">
                  <c:v>45049</c:v>
                </c:pt>
                <c:pt idx="80" c:formatCode="yyyy/m/d">
                  <c:v>45050</c:v>
                </c:pt>
                <c:pt idx="81" c:formatCode="yyyy/m/d">
                  <c:v>45051</c:v>
                </c:pt>
                <c:pt idx="82" c:formatCode="yyyy/m/d">
                  <c:v>45054</c:v>
                </c:pt>
                <c:pt idx="83" c:formatCode="yyyy/m/d">
                  <c:v>45055</c:v>
                </c:pt>
                <c:pt idx="84" c:formatCode="yyyy/m/d">
                  <c:v>45056</c:v>
                </c:pt>
                <c:pt idx="85" c:formatCode="yyyy/m/d">
                  <c:v>45057</c:v>
                </c:pt>
                <c:pt idx="86" c:formatCode="yyyy/m/d">
                  <c:v>45058</c:v>
                </c:pt>
                <c:pt idx="87" c:formatCode="yyyy/m/d">
                  <c:v>45061</c:v>
                </c:pt>
                <c:pt idx="88" c:formatCode="yyyy/m/d">
                  <c:v>45062</c:v>
                </c:pt>
                <c:pt idx="89" c:formatCode="yyyy/m/d">
                  <c:v>45063</c:v>
                </c:pt>
                <c:pt idx="90" c:formatCode="yyyy/m/d">
                  <c:v>45064</c:v>
                </c:pt>
                <c:pt idx="91" c:formatCode="yyyy/m/d">
                  <c:v>45065</c:v>
                </c:pt>
                <c:pt idx="92" c:formatCode="yyyy/m/d">
                  <c:v>45068</c:v>
                </c:pt>
                <c:pt idx="93" c:formatCode="yyyy/m/d">
                  <c:v>45069</c:v>
                </c:pt>
                <c:pt idx="94" c:formatCode="yyyy/m/d">
                  <c:v>45070</c:v>
                </c:pt>
                <c:pt idx="95" c:formatCode="yyyy/m/d">
                  <c:v>45071</c:v>
                </c:pt>
                <c:pt idx="96" c:formatCode="yyyy/m/d">
                  <c:v>45072</c:v>
                </c:pt>
                <c:pt idx="97" c:formatCode="yyyy/m/d">
                  <c:v>45075</c:v>
                </c:pt>
                <c:pt idx="98" c:formatCode="yyyy/m/d">
                  <c:v>45076</c:v>
                </c:pt>
                <c:pt idx="99" c:formatCode="yyyy/m/d">
                  <c:v>45077</c:v>
                </c:pt>
                <c:pt idx="100" c:formatCode="yyyy/m/d">
                  <c:v>45078</c:v>
                </c:pt>
                <c:pt idx="101" c:formatCode="yyyy/m/d">
                  <c:v>45079</c:v>
                </c:pt>
                <c:pt idx="102" c:formatCode="yyyy/m/d">
                  <c:v>45082</c:v>
                </c:pt>
                <c:pt idx="103" c:formatCode="yyyy/m/d">
                  <c:v>45083</c:v>
                </c:pt>
                <c:pt idx="104" c:formatCode="yyyy/m/d">
                  <c:v>45084</c:v>
                </c:pt>
                <c:pt idx="105" c:formatCode="yyyy/m/d">
                  <c:v>45085</c:v>
                </c:pt>
                <c:pt idx="106" c:formatCode="yyyy/m/d">
                  <c:v>45086</c:v>
                </c:pt>
                <c:pt idx="107" c:formatCode="yyyy/m/d">
                  <c:v>45089</c:v>
                </c:pt>
                <c:pt idx="108" c:formatCode="yyyy/m/d">
                  <c:v>45090</c:v>
                </c:pt>
                <c:pt idx="109" c:formatCode="yyyy/m/d">
                  <c:v>45091</c:v>
                </c:pt>
                <c:pt idx="110" c:formatCode="yyyy/m/d">
                  <c:v>45092</c:v>
                </c:pt>
                <c:pt idx="111" c:formatCode="yyyy/m/d">
                  <c:v>45093</c:v>
                </c:pt>
                <c:pt idx="112" c:formatCode="yyyy/m/d">
                  <c:v>45096</c:v>
                </c:pt>
                <c:pt idx="113" c:formatCode="yyyy/m/d">
                  <c:v>45097</c:v>
                </c:pt>
                <c:pt idx="114" c:formatCode="yyyy/m/d">
                  <c:v>45098</c:v>
                </c:pt>
                <c:pt idx="115" c:formatCode="yyyy/m/d">
                  <c:v>45103</c:v>
                </c:pt>
                <c:pt idx="116" c:formatCode="yyyy/m/d">
                  <c:v>45104</c:v>
                </c:pt>
                <c:pt idx="117" c:formatCode="yyyy/m/d">
                  <c:v>45105</c:v>
                </c:pt>
                <c:pt idx="118" c:formatCode="yyyy/m/d">
                  <c:v>45106</c:v>
                </c:pt>
                <c:pt idx="119" c:formatCode="yyyy/m/d">
                  <c:v>45107</c:v>
                </c:pt>
                <c:pt idx="120" c:formatCode="yyyy/m/d">
                  <c:v>45110</c:v>
                </c:pt>
                <c:pt idx="121" c:formatCode="yyyy/m/d">
                  <c:v>45111</c:v>
                </c:pt>
                <c:pt idx="122" c:formatCode="yyyy/m/d">
                  <c:v>45112</c:v>
                </c:pt>
                <c:pt idx="123" c:formatCode="yyyy/m/d">
                  <c:v>45113</c:v>
                </c:pt>
                <c:pt idx="124" c:formatCode="yyyy/m/d">
                  <c:v>45114</c:v>
                </c:pt>
                <c:pt idx="125" c:formatCode="yyyy/m/d">
                  <c:v>45117</c:v>
                </c:pt>
                <c:pt idx="126" c:formatCode="yyyy/m/d">
                  <c:v>45118</c:v>
                </c:pt>
                <c:pt idx="127" c:formatCode="yyyy/m/d">
                  <c:v>45119</c:v>
                </c:pt>
                <c:pt idx="128" c:formatCode="yyyy/m/d">
                  <c:v>45120</c:v>
                </c:pt>
                <c:pt idx="129" c:formatCode="yyyy/m/d">
                  <c:v>45121</c:v>
                </c:pt>
                <c:pt idx="130" c:formatCode="yyyy/m/d">
                  <c:v>45124</c:v>
                </c:pt>
                <c:pt idx="131" c:formatCode="yyyy/m/d">
                  <c:v>45125</c:v>
                </c:pt>
                <c:pt idx="132" c:formatCode="yyyy/m/d">
                  <c:v>45126</c:v>
                </c:pt>
                <c:pt idx="133" c:formatCode="yyyy/m/d">
                  <c:v>45127</c:v>
                </c:pt>
                <c:pt idx="134" c:formatCode="yyyy/m/d">
                  <c:v>45128</c:v>
                </c:pt>
                <c:pt idx="135" c:formatCode="yyyy/m/d">
                  <c:v>45131</c:v>
                </c:pt>
                <c:pt idx="136" c:formatCode="yyyy/m/d">
                  <c:v>45132</c:v>
                </c:pt>
                <c:pt idx="137" c:formatCode="yyyy/m/d">
                  <c:v>45133</c:v>
                </c:pt>
                <c:pt idx="138" c:formatCode="yyyy/m/d">
                  <c:v>45134</c:v>
                </c:pt>
                <c:pt idx="139" c:formatCode="yyyy/m/d">
                  <c:v>45135</c:v>
                </c:pt>
                <c:pt idx="140" c:formatCode="yyyy/m/d">
                  <c:v>45138</c:v>
                </c:pt>
                <c:pt idx="141" c:formatCode="yyyy/m/d">
                  <c:v>45139</c:v>
                </c:pt>
                <c:pt idx="142" c:formatCode="yyyy/m/d">
                  <c:v>45140</c:v>
                </c:pt>
                <c:pt idx="143" c:formatCode="yyyy/m/d">
                  <c:v>45141</c:v>
                </c:pt>
                <c:pt idx="144" c:formatCode="yyyy/m/d">
                  <c:v>45142</c:v>
                </c:pt>
                <c:pt idx="145" c:formatCode="yyyy/m/d">
                  <c:v>45145</c:v>
                </c:pt>
                <c:pt idx="146" c:formatCode="yyyy/m/d">
                  <c:v>45146</c:v>
                </c:pt>
                <c:pt idx="147" c:formatCode="yyyy/m/d">
                  <c:v>45147</c:v>
                </c:pt>
                <c:pt idx="148" c:formatCode="yyyy/m/d">
                  <c:v>45148</c:v>
                </c:pt>
                <c:pt idx="149" c:formatCode="yyyy/m/d">
                  <c:v>45149</c:v>
                </c:pt>
                <c:pt idx="150" c:formatCode="yyyy/m/d">
                  <c:v>45152</c:v>
                </c:pt>
                <c:pt idx="151" c:formatCode="yyyy/m/d">
                  <c:v>45153</c:v>
                </c:pt>
                <c:pt idx="152" c:formatCode="yyyy/m/d">
                  <c:v>45154</c:v>
                </c:pt>
                <c:pt idx="153" c:formatCode="yyyy/m/d">
                  <c:v>45155</c:v>
                </c:pt>
                <c:pt idx="154" c:formatCode="yyyy/m/d">
                  <c:v>45156</c:v>
                </c:pt>
                <c:pt idx="155" c:formatCode="yyyy/m/d">
                  <c:v>45159</c:v>
                </c:pt>
                <c:pt idx="156" c:formatCode="yyyy/m/d">
                  <c:v>45160</c:v>
                </c:pt>
                <c:pt idx="157" c:formatCode="yyyy/m/d">
                  <c:v>45161</c:v>
                </c:pt>
                <c:pt idx="158" c:formatCode="yyyy/m/d">
                  <c:v>45162</c:v>
                </c:pt>
                <c:pt idx="159" c:formatCode="yyyy/m/d">
                  <c:v>45163</c:v>
                </c:pt>
                <c:pt idx="160" c:formatCode="yyyy/m/d">
                  <c:v>45166</c:v>
                </c:pt>
                <c:pt idx="161" c:formatCode="yyyy/m/d">
                  <c:v>45167</c:v>
                </c:pt>
                <c:pt idx="162" c:formatCode="yyyy/m/d">
                  <c:v>45168</c:v>
                </c:pt>
                <c:pt idx="163" c:formatCode="yyyy/m/d">
                  <c:v>45169</c:v>
                </c:pt>
                <c:pt idx="164" c:formatCode="yyyy/m/d">
                  <c:v>45170</c:v>
                </c:pt>
                <c:pt idx="165" c:formatCode="yyyy/m/d">
                  <c:v>45173</c:v>
                </c:pt>
                <c:pt idx="166" c:formatCode="yyyy/m/d">
                  <c:v>45174</c:v>
                </c:pt>
                <c:pt idx="167" c:formatCode="yyyy/m/d">
                  <c:v>45175</c:v>
                </c:pt>
                <c:pt idx="168" c:formatCode="yyyy/m/d">
                  <c:v>45176</c:v>
                </c:pt>
                <c:pt idx="169" c:formatCode="yyyy/m/d">
                  <c:v>45177</c:v>
                </c:pt>
                <c:pt idx="170" c:formatCode="yyyy/m/d">
                  <c:v>45180</c:v>
                </c:pt>
                <c:pt idx="171" c:formatCode="yyyy/m/d">
                  <c:v>45181</c:v>
                </c:pt>
                <c:pt idx="172" c:formatCode="yyyy/m/d">
                  <c:v>45182</c:v>
                </c:pt>
                <c:pt idx="173" c:formatCode="yyyy/m/d">
                  <c:v>45183</c:v>
                </c:pt>
                <c:pt idx="174" c:formatCode="yyyy/m/d">
                  <c:v>45184</c:v>
                </c:pt>
                <c:pt idx="175" c:formatCode="yyyy/m/d">
                  <c:v>45187</c:v>
                </c:pt>
                <c:pt idx="176" c:formatCode="yyyy/m/d">
                  <c:v>45188</c:v>
                </c:pt>
                <c:pt idx="177" c:formatCode="yyyy/m/d">
                  <c:v>45189</c:v>
                </c:pt>
                <c:pt idx="178" c:formatCode="yyyy/m/d">
                  <c:v>45190</c:v>
                </c:pt>
                <c:pt idx="179" c:formatCode="yyyy/m/d">
                  <c:v>45191</c:v>
                </c:pt>
                <c:pt idx="180" c:formatCode="yyyy/m/d">
                  <c:v>45194</c:v>
                </c:pt>
                <c:pt idx="181" c:formatCode="yyyy/m/d">
                  <c:v>45195</c:v>
                </c:pt>
                <c:pt idx="182" c:formatCode="yyyy/m/d">
                  <c:v>45196</c:v>
                </c:pt>
                <c:pt idx="183" c:formatCode="yyyy/m/d">
                  <c:v>45197</c:v>
                </c:pt>
                <c:pt idx="184" c:formatCode="yyyy/m/d">
                  <c:v>45201</c:v>
                </c:pt>
                <c:pt idx="185" c:formatCode="yyyy/m/d">
                  <c:v>45202</c:v>
                </c:pt>
                <c:pt idx="186" c:formatCode="yyyy/m/d">
                  <c:v>45203</c:v>
                </c:pt>
                <c:pt idx="187" c:formatCode="yyyy/m/d">
                  <c:v>45204</c:v>
                </c:pt>
                <c:pt idx="188" c:formatCode="yyyy/m/d">
                  <c:v>45205</c:v>
                </c:pt>
                <c:pt idx="189" c:formatCode="yyyy/m/d">
                  <c:v>45208</c:v>
                </c:pt>
                <c:pt idx="190" c:formatCode="yyyy/m/d">
                  <c:v>45209</c:v>
                </c:pt>
                <c:pt idx="191" c:formatCode="yyyy/m/d">
                  <c:v>45210</c:v>
                </c:pt>
                <c:pt idx="192" c:formatCode="yyyy/m/d">
                  <c:v>45211</c:v>
                </c:pt>
                <c:pt idx="193" c:formatCode="yyyy/m/d">
                  <c:v>45212</c:v>
                </c:pt>
                <c:pt idx="194" c:formatCode="yyyy/m/d">
                  <c:v>45215</c:v>
                </c:pt>
                <c:pt idx="195" c:formatCode="yyyy/m/d">
                  <c:v>45216</c:v>
                </c:pt>
                <c:pt idx="196" c:formatCode="yyyy/m/d">
                  <c:v>45217</c:v>
                </c:pt>
                <c:pt idx="197" c:formatCode="yyyy/m/d">
                  <c:v>45218</c:v>
                </c:pt>
                <c:pt idx="198" c:formatCode="yyyy/m/d">
                  <c:v>45219</c:v>
                </c:pt>
                <c:pt idx="199" c:formatCode="yyyy/m/d">
                  <c:v>45222</c:v>
                </c:pt>
                <c:pt idx="200" c:formatCode="yyyy/m/d">
                  <c:v>45223</c:v>
                </c:pt>
                <c:pt idx="201" c:formatCode="yyyy/m/d">
                  <c:v>45224</c:v>
                </c:pt>
                <c:pt idx="202" c:formatCode="yyyy/m/d">
                  <c:v>45225</c:v>
                </c:pt>
                <c:pt idx="203" c:formatCode="yyyy/m/d">
                  <c:v>45226</c:v>
                </c:pt>
                <c:pt idx="204" c:formatCode="yyyy/m/d">
                  <c:v>45229</c:v>
                </c:pt>
                <c:pt idx="205" c:formatCode="yyyy/m/d">
                  <c:v>45230</c:v>
                </c:pt>
                <c:pt idx="206" c:formatCode="yyyy/m/d">
                  <c:v>45231</c:v>
                </c:pt>
                <c:pt idx="207" c:formatCode="yyyy/m/d">
                  <c:v>45232</c:v>
                </c:pt>
                <c:pt idx="208" c:formatCode="yyyy/m/d">
                  <c:v>45233</c:v>
                </c:pt>
                <c:pt idx="209" c:formatCode="yyyy/m/d">
                  <c:v>45236</c:v>
                </c:pt>
                <c:pt idx="210" c:formatCode="yyyy/m/d">
                  <c:v>45237</c:v>
                </c:pt>
                <c:pt idx="211" c:formatCode="yyyy/m/d">
                  <c:v>45238</c:v>
                </c:pt>
                <c:pt idx="212" c:formatCode="yyyy/m/d">
                  <c:v>45239</c:v>
                </c:pt>
                <c:pt idx="213" c:formatCode="yyyy/m/d">
                  <c:v>45240</c:v>
                </c:pt>
                <c:pt idx="214" c:formatCode="yyyy/m/d">
                  <c:v>45243</c:v>
                </c:pt>
                <c:pt idx="215" c:formatCode="yyyy/m/d">
                  <c:v>45244</c:v>
                </c:pt>
                <c:pt idx="216" c:formatCode="yyyy/m/d">
                  <c:v>45245</c:v>
                </c:pt>
                <c:pt idx="217" c:formatCode="yyyy/m/d">
                  <c:v>45246</c:v>
                </c:pt>
                <c:pt idx="218" c:formatCode="yyyy/m/d">
                  <c:v>45247</c:v>
                </c:pt>
                <c:pt idx="219" c:formatCode="yyyy/m/d">
                  <c:v>45250</c:v>
                </c:pt>
                <c:pt idx="220" c:formatCode="yyyy/m/d">
                  <c:v>45251</c:v>
                </c:pt>
                <c:pt idx="221" c:formatCode="yyyy/m/d">
                  <c:v>45252</c:v>
                </c:pt>
                <c:pt idx="222" c:formatCode="yyyy/m/d">
                  <c:v>45253</c:v>
                </c:pt>
                <c:pt idx="223" c:formatCode="yyyy/m/d">
                  <c:v>45254</c:v>
                </c:pt>
                <c:pt idx="224" c:formatCode="yyyy/m/d">
                  <c:v>45257</c:v>
                </c:pt>
                <c:pt idx="225" c:formatCode="yyyy/m/d">
                  <c:v>45258</c:v>
                </c:pt>
                <c:pt idx="226" c:formatCode="yyyy/m/d">
                  <c:v>45259</c:v>
                </c:pt>
                <c:pt idx="227" c:formatCode="yyyy/m/d">
                  <c:v>45260</c:v>
                </c:pt>
                <c:pt idx="228" c:formatCode="yyyy/m/d">
                  <c:v>45261</c:v>
                </c:pt>
                <c:pt idx="229" c:formatCode="yyyy/m/d">
                  <c:v>45264</c:v>
                </c:pt>
                <c:pt idx="230" c:formatCode="yyyy/m/d">
                  <c:v>45265</c:v>
                </c:pt>
                <c:pt idx="231" c:formatCode="yyyy/m/d">
                  <c:v>45266</c:v>
                </c:pt>
                <c:pt idx="232" c:formatCode="yyyy/m/d">
                  <c:v>45267</c:v>
                </c:pt>
                <c:pt idx="233" c:formatCode="yyyy/m/d">
                  <c:v>45268</c:v>
                </c:pt>
                <c:pt idx="234" c:formatCode="yyyy/m/d">
                  <c:v>45271</c:v>
                </c:pt>
                <c:pt idx="235" c:formatCode="yyyy/m/d">
                  <c:v>45272</c:v>
                </c:pt>
                <c:pt idx="236" c:formatCode="yyyy/m/d">
                  <c:v>45273</c:v>
                </c:pt>
                <c:pt idx="237" c:formatCode="yyyy/m/d">
                  <c:v>45274</c:v>
                </c:pt>
                <c:pt idx="238" c:formatCode="yyyy/m/d">
                  <c:v>45275</c:v>
                </c:pt>
                <c:pt idx="239" c:formatCode="yyyy/m/d">
                  <c:v>45278</c:v>
                </c:pt>
                <c:pt idx="240" c:formatCode="yyyy/m/d">
                  <c:v>45279</c:v>
                </c:pt>
                <c:pt idx="241" c:formatCode="yyyy/m/d">
                  <c:v>45280</c:v>
                </c:pt>
                <c:pt idx="242" c:formatCode="yyyy/m/d">
                  <c:v>45281</c:v>
                </c:pt>
                <c:pt idx="243" c:formatCode="yyyy/m/d">
                  <c:v>45282</c:v>
                </c:pt>
                <c:pt idx="244" c:formatCode="yyyy/m/d">
                  <c:v>45285</c:v>
                </c:pt>
                <c:pt idx="245" c:formatCode="yyyy/m/d">
                  <c:v>45286</c:v>
                </c:pt>
                <c:pt idx="246" c:formatCode="yyyy/m/d">
                  <c:v>45287</c:v>
                </c:pt>
                <c:pt idx="247" c:formatCode="yyyy/m/d">
                  <c:v>45288</c:v>
                </c:pt>
                <c:pt idx="248" c:formatCode="yyyy/m/d">
                  <c:v>45289</c:v>
                </c:pt>
                <c:pt idx="249" c:formatCode="yyyy/m/d">
                  <c:v>45293</c:v>
                </c:pt>
                <c:pt idx="250" c:formatCode="yyyy/m/d">
                  <c:v>45294</c:v>
                </c:pt>
                <c:pt idx="251" c:formatCode="yyyy/m/d">
                  <c:v>45295</c:v>
                </c:pt>
                <c:pt idx="252" c:formatCode="yyyy/m/d">
                  <c:v>45296</c:v>
                </c:pt>
                <c:pt idx="253" c:formatCode="yyyy/m/d">
                  <c:v>45299</c:v>
                </c:pt>
                <c:pt idx="254" c:formatCode="yyyy/m/d">
                  <c:v>45300</c:v>
                </c:pt>
                <c:pt idx="255" c:formatCode="yyyy/m/d">
                  <c:v>45301</c:v>
                </c:pt>
                <c:pt idx="256" c:formatCode="yyyy/m/d">
                  <c:v>45302</c:v>
                </c:pt>
                <c:pt idx="257" c:formatCode="yyyy/m/d">
                  <c:v>45303</c:v>
                </c:pt>
                <c:pt idx="258" c:formatCode="yyyy/m/d">
                  <c:v>45306</c:v>
                </c:pt>
                <c:pt idx="259" c:formatCode="yyyy/m/d">
                  <c:v>45307</c:v>
                </c:pt>
                <c:pt idx="260" c:formatCode="yyyy/m/d">
                  <c:v>45308</c:v>
                </c:pt>
                <c:pt idx="261" c:formatCode="yyyy/m/d">
                  <c:v>45309</c:v>
                </c:pt>
                <c:pt idx="262" c:formatCode="yyyy/m/d">
                  <c:v>45310</c:v>
                </c:pt>
                <c:pt idx="263" c:formatCode="yyyy/m/d">
                  <c:v>45313</c:v>
                </c:pt>
                <c:pt idx="264" c:formatCode="yyyy/m/d">
                  <c:v>45314</c:v>
                </c:pt>
                <c:pt idx="265" c:formatCode="yyyy/m/d">
                  <c:v>45315</c:v>
                </c:pt>
                <c:pt idx="266" c:formatCode="yyyy/m/d">
                  <c:v>45316</c:v>
                </c:pt>
                <c:pt idx="267" c:formatCode="yyyy/m/d">
                  <c:v>45317</c:v>
                </c:pt>
                <c:pt idx="268" c:formatCode="yyyy/m/d">
                  <c:v>45320</c:v>
                </c:pt>
                <c:pt idx="269" c:formatCode="yyyy/m/d">
                  <c:v>45321</c:v>
                </c:pt>
                <c:pt idx="270" c:formatCode="yyyy/m/d">
                  <c:v>45322</c:v>
                </c:pt>
                <c:pt idx="271" c:formatCode="yyyy/m/d">
                  <c:v>45323</c:v>
                </c:pt>
                <c:pt idx="272" c:formatCode="yyyy/m/d">
                  <c:v>45324</c:v>
                </c:pt>
                <c:pt idx="273" c:formatCode="yyyy/m/d">
                  <c:v>45327</c:v>
                </c:pt>
                <c:pt idx="274" c:formatCode="yyyy/m/d">
                  <c:v>45328</c:v>
                </c:pt>
                <c:pt idx="275" c:formatCode="yyyy/m/d">
                  <c:v>45329</c:v>
                </c:pt>
                <c:pt idx="276" c:formatCode="yyyy/m/d">
                  <c:v>45330</c:v>
                </c:pt>
                <c:pt idx="277" c:formatCode="yyyy/m/d">
                  <c:v>45337</c:v>
                </c:pt>
                <c:pt idx="278" c:formatCode="yyyy/m/d">
                  <c:v>45338</c:v>
                </c:pt>
                <c:pt idx="279" c:formatCode="yyyy/m/d">
                  <c:v>45341</c:v>
                </c:pt>
                <c:pt idx="280" c:formatCode="yyyy/m/d">
                  <c:v>45342</c:v>
                </c:pt>
                <c:pt idx="281" c:formatCode="yyyy/m/d">
                  <c:v>45343</c:v>
                </c:pt>
                <c:pt idx="282" c:formatCode="yyyy/m/d">
                  <c:v>45344</c:v>
                </c:pt>
                <c:pt idx="283" c:formatCode="yyyy/m/d">
                  <c:v>45345</c:v>
                </c:pt>
                <c:pt idx="284" c:formatCode="yyyy/m/d">
                  <c:v>45348</c:v>
                </c:pt>
                <c:pt idx="285" c:formatCode="yyyy/m/d">
                  <c:v>45349</c:v>
                </c:pt>
                <c:pt idx="286" c:formatCode="yyyy/m/d">
                  <c:v>45350</c:v>
                </c:pt>
                <c:pt idx="287" c:formatCode="yyyy/m/d">
                  <c:v>45351</c:v>
                </c:pt>
                <c:pt idx="288" c:formatCode="yyyy/m/d">
                  <c:v>45352</c:v>
                </c:pt>
                <c:pt idx="289" c:formatCode="yyyy/m/d">
                  <c:v>45355</c:v>
                </c:pt>
                <c:pt idx="290" c:formatCode="yyyy/m/d">
                  <c:v>45356</c:v>
                </c:pt>
                <c:pt idx="291" c:formatCode="yyyy/m/d">
                  <c:v>45357</c:v>
                </c:pt>
                <c:pt idx="292" c:formatCode="yyyy/m/d">
                  <c:v>45358</c:v>
                </c:pt>
                <c:pt idx="293" c:formatCode="yyyy/m/d">
                  <c:v>45359</c:v>
                </c:pt>
                <c:pt idx="294" c:formatCode="yyyy/m/d">
                  <c:v>45362</c:v>
                </c:pt>
                <c:pt idx="295" c:formatCode="yyyy/m/d">
                  <c:v>45363</c:v>
                </c:pt>
                <c:pt idx="296" c:formatCode="yyyy/m/d">
                  <c:v>45364</c:v>
                </c:pt>
                <c:pt idx="297" c:formatCode="yyyy/m/d">
                  <c:v>45365</c:v>
                </c:pt>
                <c:pt idx="298" c:formatCode="yyyy/m/d">
                  <c:v>45366</c:v>
                </c:pt>
                <c:pt idx="299" c:formatCode="yyyy/m/d">
                  <c:v>45369</c:v>
                </c:pt>
                <c:pt idx="300" c:formatCode="yyyy/m/d">
                  <c:v>45370</c:v>
                </c:pt>
                <c:pt idx="301" c:formatCode="yyyy/m/d">
                  <c:v>45371</c:v>
                </c:pt>
                <c:pt idx="302" c:formatCode="yyyy/m/d">
                  <c:v>45372</c:v>
                </c:pt>
                <c:pt idx="303" c:formatCode="yyyy/m/d">
                  <c:v>45373</c:v>
                </c:pt>
                <c:pt idx="304" c:formatCode="yyyy/m/d">
                  <c:v>45376</c:v>
                </c:pt>
                <c:pt idx="305" c:formatCode="yyyy/m/d">
                  <c:v>45377</c:v>
                </c:pt>
                <c:pt idx="306" c:formatCode="yyyy/m/d">
                  <c:v>45378</c:v>
                </c:pt>
                <c:pt idx="307" c:formatCode="yyyy/m/d">
                  <c:v>45379</c:v>
                </c:pt>
                <c:pt idx="308" c:formatCode="yyyy/m/d">
                  <c:v>45380</c:v>
                </c:pt>
                <c:pt idx="309" c:formatCode="yyyy/m/d">
                  <c:v>45383</c:v>
                </c:pt>
                <c:pt idx="310" c:formatCode="yyyy/m/d">
                  <c:v>45384</c:v>
                </c:pt>
                <c:pt idx="311" c:formatCode="yyyy/m/d">
                  <c:v>45385</c:v>
                </c:pt>
                <c:pt idx="312" c:formatCode="yyyy/m/d">
                  <c:v>45390</c:v>
                </c:pt>
                <c:pt idx="313" c:formatCode="yyyy/m/d">
                  <c:v>45391</c:v>
                </c:pt>
                <c:pt idx="314" c:formatCode="yyyy/m/d">
                  <c:v>45392</c:v>
                </c:pt>
                <c:pt idx="315" c:formatCode="yyyy/m/d">
                  <c:v>45393</c:v>
                </c:pt>
                <c:pt idx="316" c:formatCode="yyyy/m/d">
                  <c:v>45394</c:v>
                </c:pt>
                <c:pt idx="317" c:formatCode="yyyy/m/d">
                  <c:v>45397</c:v>
                </c:pt>
                <c:pt idx="318" c:formatCode="yyyy/m/d">
                  <c:v>45398</c:v>
                </c:pt>
                <c:pt idx="319" c:formatCode="yyyy/m/d">
                  <c:v>45399</c:v>
                </c:pt>
                <c:pt idx="320" c:formatCode="yyyy/m/d">
                  <c:v>45400</c:v>
                </c:pt>
                <c:pt idx="321" c:formatCode="yyyy/m/d">
                  <c:v>45401</c:v>
                </c:pt>
                <c:pt idx="322" c:formatCode="yyyy/m/d">
                  <c:v>45404</c:v>
                </c:pt>
                <c:pt idx="323" c:formatCode="yyyy/m/d">
                  <c:v>45405</c:v>
                </c:pt>
                <c:pt idx="324" c:formatCode="yyyy/m/d">
                  <c:v>45406</c:v>
                </c:pt>
                <c:pt idx="325" c:formatCode="yyyy/m/d">
                  <c:v>45407</c:v>
                </c:pt>
                <c:pt idx="326" c:formatCode="yyyy/m/d">
                  <c:v>45408</c:v>
                </c:pt>
                <c:pt idx="327" c:formatCode="yyyy/m/d">
                  <c:v>45411</c:v>
                </c:pt>
                <c:pt idx="328" c:formatCode="yyyy/m/d">
                  <c:v>45412</c:v>
                </c:pt>
                <c:pt idx="329" c:formatCode="yyyy/m/d">
                  <c:v>45414</c:v>
                </c:pt>
                <c:pt idx="330" c:formatCode="yyyy/m/d">
                  <c:v>45415</c:v>
                </c:pt>
                <c:pt idx="331" c:formatCode="yyyy/m/d">
                  <c:v>45418</c:v>
                </c:pt>
                <c:pt idx="332" c:formatCode="yyyy/m/d">
                  <c:v>45419</c:v>
                </c:pt>
                <c:pt idx="333" c:formatCode="yyyy/m/d">
                  <c:v>45420</c:v>
                </c:pt>
                <c:pt idx="334" c:formatCode="yyyy/m/d">
                  <c:v>45421</c:v>
                </c:pt>
                <c:pt idx="335" c:formatCode="yyyy/m/d">
                  <c:v>45422</c:v>
                </c:pt>
                <c:pt idx="336" c:formatCode="yyyy/m/d">
                  <c:v>45425</c:v>
                </c:pt>
                <c:pt idx="337" c:formatCode="yyyy/m/d">
                  <c:v>45426</c:v>
                </c:pt>
                <c:pt idx="338" c:formatCode="yyyy/m/d">
                  <c:v>45427</c:v>
                </c:pt>
                <c:pt idx="339" c:formatCode="yyyy/m/d">
                  <c:v>45428</c:v>
                </c:pt>
                <c:pt idx="340" c:formatCode="yyyy/m/d">
                  <c:v>45429</c:v>
                </c:pt>
                <c:pt idx="341" c:formatCode="yyyy/m/d">
                  <c:v>45432</c:v>
                </c:pt>
                <c:pt idx="342" c:formatCode="yyyy/m/d">
                  <c:v>45433</c:v>
                </c:pt>
                <c:pt idx="343" c:formatCode="yyyy/m/d">
                  <c:v>45434</c:v>
                </c:pt>
                <c:pt idx="344" c:formatCode="yyyy/m/d">
                  <c:v>45435</c:v>
                </c:pt>
                <c:pt idx="345" c:formatCode="yyyy/m/d">
                  <c:v>45436</c:v>
                </c:pt>
                <c:pt idx="346" c:formatCode="yyyy/m/d">
                  <c:v>45439</c:v>
                </c:pt>
                <c:pt idx="347" c:formatCode="yyyy/m/d">
                  <c:v>45440</c:v>
                </c:pt>
                <c:pt idx="348" c:formatCode="yyyy/m/d">
                  <c:v>45441</c:v>
                </c:pt>
                <c:pt idx="349" c:formatCode="yyyy/m/d">
                  <c:v>45442</c:v>
                </c:pt>
                <c:pt idx="350" c:formatCode="yyyy/m/d">
                  <c:v>45443</c:v>
                </c:pt>
                <c:pt idx="351" c:formatCode="yyyy/m/d">
                  <c:v>45446</c:v>
                </c:pt>
                <c:pt idx="352" c:formatCode="yyyy/m/d">
                  <c:v>45447</c:v>
                </c:pt>
                <c:pt idx="353" c:formatCode="yyyy/m/d">
                  <c:v>45448</c:v>
                </c:pt>
                <c:pt idx="354" c:formatCode="yyyy/m/d">
                  <c:v>45449</c:v>
                </c:pt>
                <c:pt idx="355" c:formatCode="yyyy/m/d">
                  <c:v>45450</c:v>
                </c:pt>
                <c:pt idx="356" c:formatCode="yyyy/m/d">
                  <c:v>45454</c:v>
                </c:pt>
                <c:pt idx="357" c:formatCode="yyyy/m/d">
                  <c:v>45455</c:v>
                </c:pt>
                <c:pt idx="358" c:formatCode="yyyy/m/d">
                  <c:v>45456</c:v>
                </c:pt>
                <c:pt idx="359" c:formatCode="yyyy/m/d">
                  <c:v>45457</c:v>
                </c:pt>
                <c:pt idx="360" c:formatCode="yyyy/m/d">
                  <c:v>45460</c:v>
                </c:pt>
                <c:pt idx="361" c:formatCode="yyyy/m/d">
                  <c:v>45461</c:v>
                </c:pt>
                <c:pt idx="362" c:formatCode="yyyy/m/d">
                  <c:v>45462</c:v>
                </c:pt>
                <c:pt idx="363" c:formatCode="yyyy/m/d">
                  <c:v>45463</c:v>
                </c:pt>
                <c:pt idx="364" c:formatCode="yyyy/m/d">
                  <c:v>45464</c:v>
                </c:pt>
                <c:pt idx="365" c:formatCode="yyyy/m/d">
                  <c:v>45467</c:v>
                </c:pt>
                <c:pt idx="366" c:formatCode="yyyy/m/d">
                  <c:v>45468</c:v>
                </c:pt>
                <c:pt idx="367" c:formatCode="yyyy/m/d">
                  <c:v>45469</c:v>
                </c:pt>
                <c:pt idx="368" c:formatCode="yyyy/m/d">
                  <c:v>45470</c:v>
                </c:pt>
                <c:pt idx="369" c:formatCode="yyyy/m/d">
                  <c:v>45471</c:v>
                </c:pt>
                <c:pt idx="370" c:formatCode="yyyy/m/d">
                  <c:v>45474</c:v>
                </c:pt>
                <c:pt idx="371" c:formatCode="yyyy/m/d">
                  <c:v>45475</c:v>
                </c:pt>
                <c:pt idx="372" c:formatCode="yyyy/m/d">
                  <c:v>45476</c:v>
                </c:pt>
                <c:pt idx="373" c:formatCode="yyyy/m/d">
                  <c:v>45477</c:v>
                </c:pt>
                <c:pt idx="374" c:formatCode="yyyy/m/d">
                  <c:v>45478</c:v>
                </c:pt>
                <c:pt idx="375" c:formatCode="yyyy/m/d">
                  <c:v>45481</c:v>
                </c:pt>
                <c:pt idx="376" c:formatCode="yyyy/m/d">
                  <c:v>45482</c:v>
                </c:pt>
                <c:pt idx="377" c:formatCode="yyyy/m/d">
                  <c:v>45483</c:v>
                </c:pt>
                <c:pt idx="378" c:formatCode="yyyy/m/d">
                  <c:v>45484</c:v>
                </c:pt>
                <c:pt idx="379" c:formatCode="yyyy/m/d">
                  <c:v>45485</c:v>
                </c:pt>
                <c:pt idx="380" c:formatCode="yyyy/m/d">
                  <c:v>45488</c:v>
                </c:pt>
                <c:pt idx="381" c:formatCode="yyyy/m/d">
                  <c:v>45489</c:v>
                </c:pt>
                <c:pt idx="382" c:formatCode="yyyy/m/d">
                  <c:v>45490</c:v>
                </c:pt>
                <c:pt idx="383" c:formatCode="yyyy/m/d">
                  <c:v>45491</c:v>
                </c:pt>
                <c:pt idx="384" c:formatCode="yyyy/m/d">
                  <c:v>45492</c:v>
                </c:pt>
                <c:pt idx="385" c:formatCode="yyyy/m/d">
                  <c:v>45495</c:v>
                </c:pt>
                <c:pt idx="386" c:formatCode="yyyy/m/d">
                  <c:v>45496</c:v>
                </c:pt>
                <c:pt idx="387" c:formatCode="yyyy/m/d">
                  <c:v>45497</c:v>
                </c:pt>
                <c:pt idx="388" c:formatCode="yyyy/m/d">
                  <c:v>45498</c:v>
                </c:pt>
                <c:pt idx="389" c:formatCode="yyyy/m/d">
                  <c:v>45499</c:v>
                </c:pt>
                <c:pt idx="390" c:formatCode="yyyy/m/d">
                  <c:v>45502</c:v>
                </c:pt>
                <c:pt idx="391" c:formatCode="yyyy/m/d">
                  <c:v>45503</c:v>
                </c:pt>
                <c:pt idx="392" c:formatCode="yyyy/m/d">
                  <c:v>45504</c:v>
                </c:pt>
                <c:pt idx="393" c:formatCode="yyyy/m/d">
                  <c:v>45505</c:v>
                </c:pt>
                <c:pt idx="394" c:formatCode="yyyy/m/d">
                  <c:v>45506</c:v>
                </c:pt>
                <c:pt idx="395" c:formatCode="yyyy/m/d">
                  <c:v>45509</c:v>
                </c:pt>
                <c:pt idx="396" c:formatCode="yyyy/m/d">
                  <c:v>45510</c:v>
                </c:pt>
                <c:pt idx="397" c:formatCode="yyyy/m/d">
                  <c:v>45511</c:v>
                </c:pt>
                <c:pt idx="398" c:formatCode="yyyy/m/d">
                  <c:v>45512</c:v>
                </c:pt>
                <c:pt idx="399" c:formatCode="yyyy/m/d">
                  <c:v>45513</c:v>
                </c:pt>
                <c:pt idx="400" c:formatCode="yyyy/m/d">
                  <c:v>45516</c:v>
                </c:pt>
                <c:pt idx="401" c:formatCode="yyyy/m/d">
                  <c:v>45517</c:v>
                </c:pt>
                <c:pt idx="402" c:formatCode="yyyy/m/d">
                  <c:v>45518</c:v>
                </c:pt>
                <c:pt idx="403" c:formatCode="yyyy/m/d">
                  <c:v>45519</c:v>
                </c:pt>
                <c:pt idx="404" c:formatCode="yyyy/m/d">
                  <c:v>45520</c:v>
                </c:pt>
                <c:pt idx="405" c:formatCode="yyyy/m/d">
                  <c:v>45523</c:v>
                </c:pt>
                <c:pt idx="406" c:formatCode="yyyy/m/d">
                  <c:v>45524</c:v>
                </c:pt>
                <c:pt idx="407" c:formatCode="yyyy/m/d">
                  <c:v>45525</c:v>
                </c:pt>
                <c:pt idx="408" c:formatCode="yyyy/m/d">
                  <c:v>45526</c:v>
                </c:pt>
                <c:pt idx="409" c:formatCode="yyyy/m/d">
                  <c:v>45527</c:v>
                </c:pt>
                <c:pt idx="410" c:formatCode="yyyy/m/d">
                  <c:v>45530</c:v>
                </c:pt>
                <c:pt idx="411" c:formatCode="yyyy/m/d">
                  <c:v>45531</c:v>
                </c:pt>
                <c:pt idx="412" c:formatCode="yyyy/m/d">
                  <c:v>45532</c:v>
                </c:pt>
                <c:pt idx="413" c:formatCode="yyyy/m/d">
                  <c:v>45533</c:v>
                </c:pt>
                <c:pt idx="414" c:formatCode="yyyy/m/d">
                  <c:v>45534</c:v>
                </c:pt>
                <c:pt idx="415" c:formatCode="yyyy/m/d">
                  <c:v>45537</c:v>
                </c:pt>
                <c:pt idx="416" c:formatCode="yyyy/m/d">
                  <c:v>45538</c:v>
                </c:pt>
                <c:pt idx="417" c:formatCode="yyyy/m/d">
                  <c:v>45539</c:v>
                </c:pt>
                <c:pt idx="418" c:formatCode="yyyy/m/d">
                  <c:v>45540</c:v>
                </c:pt>
                <c:pt idx="419" c:formatCode="yyyy/m/d">
                  <c:v>45541</c:v>
                </c:pt>
                <c:pt idx="420" c:formatCode="yyyy/m/d">
                  <c:v>45544</c:v>
                </c:pt>
                <c:pt idx="421" c:formatCode="yyyy/m/d">
                  <c:v>45545</c:v>
                </c:pt>
                <c:pt idx="422" c:formatCode="yyyy/m/d">
                  <c:v>45546</c:v>
                </c:pt>
                <c:pt idx="423" c:formatCode="yyyy/m/d">
                  <c:v>45547</c:v>
                </c:pt>
                <c:pt idx="424" c:formatCode="yyyy/m/d">
                  <c:v>45548</c:v>
                </c:pt>
                <c:pt idx="425" c:formatCode="yyyy/m/d">
                  <c:v>45551</c:v>
                </c:pt>
                <c:pt idx="426" c:formatCode="yyyy/m/d">
                  <c:v>45553</c:v>
                </c:pt>
                <c:pt idx="427" c:formatCode="yyyy/m/d">
                  <c:v>45554</c:v>
                </c:pt>
                <c:pt idx="428" c:formatCode="yyyy/m/d">
                  <c:v>45555</c:v>
                </c:pt>
                <c:pt idx="429" c:formatCode="yyyy/m/d">
                  <c:v>45558</c:v>
                </c:pt>
                <c:pt idx="430" c:formatCode="yyyy/m/d">
                  <c:v>45559</c:v>
                </c:pt>
                <c:pt idx="431" c:formatCode="yyyy/m/d">
                  <c:v>45560</c:v>
                </c:pt>
                <c:pt idx="432" c:formatCode="yyyy/m/d">
                  <c:v>45561</c:v>
                </c:pt>
                <c:pt idx="433" c:formatCode="yyyy/m/d">
                  <c:v>45562</c:v>
                </c:pt>
                <c:pt idx="434" c:formatCode="yyyy/m/d">
                  <c:v>45565</c:v>
                </c:pt>
                <c:pt idx="435" c:formatCode="yyyy/m/d">
                  <c:v>45566</c:v>
                </c:pt>
                <c:pt idx="436" c:formatCode="yyyy/m/d">
                  <c:v>45567</c:v>
                </c:pt>
                <c:pt idx="437" c:formatCode="yyyy/m/d">
                  <c:v>45568</c:v>
                </c:pt>
                <c:pt idx="438" c:formatCode="yyyy/m/d">
                  <c:v>45569</c:v>
                </c:pt>
                <c:pt idx="439" c:formatCode="yyyy/m/d">
                  <c:v>45572</c:v>
                </c:pt>
                <c:pt idx="440" c:formatCode="yyyy/m/d">
                  <c:v>45573</c:v>
                </c:pt>
                <c:pt idx="441" c:formatCode="yyyy/m/d">
                  <c:v>45574</c:v>
                </c:pt>
                <c:pt idx="442" c:formatCode="yyyy/m/d">
                  <c:v>45575</c:v>
                </c:pt>
                <c:pt idx="443" c:formatCode="yyyy/m/d">
                  <c:v>45576</c:v>
                </c:pt>
                <c:pt idx="444" c:formatCode="yyyy/m/d">
                  <c:v>45579</c:v>
                </c:pt>
                <c:pt idx="445" c:formatCode="yyyy/m/d">
                  <c:v>45580</c:v>
                </c:pt>
                <c:pt idx="446" c:formatCode="yyyy/m/d">
                  <c:v>45581</c:v>
                </c:pt>
                <c:pt idx="447" c:formatCode="yyyy/m/d">
                  <c:v>45582</c:v>
                </c:pt>
                <c:pt idx="448" c:formatCode="yyyy/m/d">
                  <c:v>45583</c:v>
                </c:pt>
                <c:pt idx="449" c:formatCode="yyyy/m/d">
                  <c:v>45586</c:v>
                </c:pt>
                <c:pt idx="450" c:formatCode="yyyy/m/d">
                  <c:v>45587</c:v>
                </c:pt>
                <c:pt idx="451" c:formatCode="yyyy/m/d">
                  <c:v>45588</c:v>
                </c:pt>
                <c:pt idx="452" c:formatCode="yyyy/m/d">
                  <c:v>45589</c:v>
                </c:pt>
                <c:pt idx="453" c:formatCode="yyyy/m/d">
                  <c:v>45590</c:v>
                </c:pt>
                <c:pt idx="454" c:formatCode="yyyy/m/d">
                  <c:v>45593</c:v>
                </c:pt>
                <c:pt idx="455" c:formatCode="yyyy/m/d">
                  <c:v>45594</c:v>
                </c:pt>
                <c:pt idx="456" c:formatCode="yyyy/m/d">
                  <c:v>45595</c:v>
                </c:pt>
                <c:pt idx="457" c:formatCode="yyyy/m/d">
                  <c:v>45596</c:v>
                </c:pt>
                <c:pt idx="458" c:formatCode="yyyy/m/d">
                  <c:v>45597</c:v>
                </c:pt>
                <c:pt idx="459" c:formatCode="yyyy/m/d">
                  <c:v>45600</c:v>
                </c:pt>
                <c:pt idx="460" c:formatCode="yyyy/m/d">
                  <c:v>45601</c:v>
                </c:pt>
                <c:pt idx="461" c:formatCode="yyyy/m/d">
                  <c:v>45602</c:v>
                </c:pt>
                <c:pt idx="462" c:formatCode="yyyy/m/d">
                  <c:v>45603</c:v>
                </c:pt>
                <c:pt idx="463" c:formatCode="yyyy/m/d">
                  <c:v>45604</c:v>
                </c:pt>
                <c:pt idx="464" c:formatCode="yyyy/m/d">
                  <c:v>45607</c:v>
                </c:pt>
                <c:pt idx="465" c:formatCode="yyyy/m/d">
                  <c:v>45608</c:v>
                </c:pt>
                <c:pt idx="466" c:formatCode="yyyy/m/d">
                  <c:v>45609</c:v>
                </c:pt>
                <c:pt idx="467" c:formatCode="yyyy/m/d">
                  <c:v>45610</c:v>
                </c:pt>
                <c:pt idx="468" c:formatCode="yyyy/m/d">
                  <c:v>45611</c:v>
                </c:pt>
                <c:pt idx="469" c:formatCode="yyyy/m/d">
                  <c:v>45614</c:v>
                </c:pt>
                <c:pt idx="470" c:formatCode="yyyy/m/d">
                  <c:v>45615</c:v>
                </c:pt>
                <c:pt idx="471" c:formatCode="yyyy/m/d">
                  <c:v>45616</c:v>
                </c:pt>
                <c:pt idx="472" c:formatCode="yyyy/m/d">
                  <c:v>45617</c:v>
                </c:pt>
                <c:pt idx="473" c:formatCode="yyyy/m/d">
                  <c:v>45618</c:v>
                </c:pt>
                <c:pt idx="474" c:formatCode="yyyy/m/d">
                  <c:v>45621</c:v>
                </c:pt>
                <c:pt idx="475" c:formatCode="yyyy/m/d">
                  <c:v>45622</c:v>
                </c:pt>
                <c:pt idx="476" c:formatCode="yyyy/m/d">
                  <c:v>45623</c:v>
                </c:pt>
                <c:pt idx="477" c:formatCode="yyyy/m/d">
                  <c:v>45624</c:v>
                </c:pt>
                <c:pt idx="478" c:formatCode="yyyy/m/d">
                  <c:v>45625</c:v>
                </c:pt>
                <c:pt idx="479" c:formatCode="yyyy/m/d">
                  <c:v>45628</c:v>
                </c:pt>
                <c:pt idx="480" c:formatCode="yyyy/m/d">
                  <c:v>45629</c:v>
                </c:pt>
                <c:pt idx="481" c:formatCode="yyyy/m/d">
                  <c:v>45630</c:v>
                </c:pt>
                <c:pt idx="482" c:formatCode="yyyy/m/d">
                  <c:v>45631</c:v>
                </c:pt>
                <c:pt idx="483" c:formatCode="yyyy/m/d">
                  <c:v>45632</c:v>
                </c:pt>
                <c:pt idx="484" c:formatCode="yyyy/m/d">
                  <c:v>45635</c:v>
                </c:pt>
                <c:pt idx="485" c:formatCode="yyyy/m/d">
                  <c:v>45636</c:v>
                </c:pt>
                <c:pt idx="486" c:formatCode="yyyy/m/d">
                  <c:v>45637</c:v>
                </c:pt>
                <c:pt idx="487" c:formatCode="yyyy/m/d">
                  <c:v>45638</c:v>
                </c:pt>
                <c:pt idx="488" c:formatCode="yyyy/m/d">
                  <c:v>45639</c:v>
                </c:pt>
                <c:pt idx="489" c:formatCode="yyyy/m/d">
                  <c:v>45642</c:v>
                </c:pt>
                <c:pt idx="490" c:formatCode="yyyy/m/d">
                  <c:v>45643</c:v>
                </c:pt>
                <c:pt idx="491" c:formatCode="yyyy/m/d">
                  <c:v>45644</c:v>
                </c:pt>
                <c:pt idx="492" c:formatCode="yyyy/m/d">
                  <c:v>45645</c:v>
                </c:pt>
                <c:pt idx="493" c:formatCode="yyyy/m/d">
                  <c:v>45646</c:v>
                </c:pt>
                <c:pt idx="494" c:formatCode="yyyy/m/d">
                  <c:v>45649</c:v>
                </c:pt>
                <c:pt idx="495" c:formatCode="yyyy/m/d">
                  <c:v>45650</c:v>
                </c:pt>
                <c:pt idx="496" c:formatCode="yyyy/m/d">
                  <c:v>45651</c:v>
                </c:pt>
                <c:pt idx="497" c:formatCode="yyyy/m/d">
                  <c:v>45652</c:v>
                </c:pt>
                <c:pt idx="498" c:formatCode="yyyy/m/d">
                  <c:v>45653</c:v>
                </c:pt>
                <c:pt idx="499" c:formatCode="yyyy/m/d">
                  <c:v>45656</c:v>
                </c:pt>
                <c:pt idx="500" c:formatCode="yyyy/m/d">
                  <c:v>45657</c:v>
                </c:pt>
                <c:pt idx="501" c:formatCode="yyyy/m/d">
                  <c:v>45659</c:v>
                </c:pt>
                <c:pt idx="502" c:formatCode="yyyy/m/d">
                  <c:v>45660</c:v>
                </c:pt>
                <c:pt idx="503" c:formatCode="yyyy/m/d">
                  <c:v>45663</c:v>
                </c:pt>
                <c:pt idx="504" c:formatCode="yyyy/m/d">
                  <c:v>45664</c:v>
                </c:pt>
                <c:pt idx="505" c:formatCode="yyyy/m/d">
                  <c:v>45665</c:v>
                </c:pt>
                <c:pt idx="506" c:formatCode="yyyy/m/d">
                  <c:v>45666</c:v>
                </c:pt>
                <c:pt idx="507" c:formatCode="yyyy/m/d">
                  <c:v>45667</c:v>
                </c:pt>
                <c:pt idx="508" c:formatCode="yyyy/m/d">
                  <c:v>45670</c:v>
                </c:pt>
                <c:pt idx="509" c:formatCode="yyyy/m/d">
                  <c:v>45671</c:v>
                </c:pt>
                <c:pt idx="510" c:formatCode="yyyy/m/d">
                  <c:v>45672</c:v>
                </c:pt>
                <c:pt idx="511" c:formatCode="yyyy/m/d">
                  <c:v>45673</c:v>
                </c:pt>
                <c:pt idx="512" c:formatCode="yyyy/m/d">
                  <c:v>45674</c:v>
                </c:pt>
                <c:pt idx="513" c:formatCode="yyyy/m/d">
                  <c:v>45677</c:v>
                </c:pt>
                <c:pt idx="514" c:formatCode="yyyy/m/d">
                  <c:v>45678</c:v>
                </c:pt>
                <c:pt idx="515" c:formatCode="yyyy/m/d">
                  <c:v>45679</c:v>
                </c:pt>
                <c:pt idx="516" c:formatCode="yyyy/m/d">
                  <c:v>45680</c:v>
                </c:pt>
                <c:pt idx="517" c:formatCode="yyyy/m/d">
                  <c:v>45681</c:v>
                </c:pt>
                <c:pt idx="518" c:formatCode="yyyy/m/d">
                  <c:v>45684</c:v>
                </c:pt>
                <c:pt idx="519" c:formatCode="yyyy/m/d">
                  <c:v>45691</c:v>
                </c:pt>
                <c:pt idx="520" c:formatCode="yyyy/m/d">
                  <c:v>45692</c:v>
                </c:pt>
                <c:pt idx="521" c:formatCode="yyyy/m/d">
                  <c:v>45693</c:v>
                </c:pt>
                <c:pt idx="522" c:formatCode="yyyy/m/d">
                  <c:v>45694</c:v>
                </c:pt>
                <c:pt idx="523" c:formatCode="yyyy/m/d">
                  <c:v>45695</c:v>
                </c:pt>
                <c:pt idx="524" c:formatCode="yyyy/m/d">
                  <c:v>45698</c:v>
                </c:pt>
                <c:pt idx="525" c:formatCode="yyyy/m/d">
                  <c:v>45699</c:v>
                </c:pt>
                <c:pt idx="526" c:formatCode="yyyy/m/d">
                  <c:v>45700</c:v>
                </c:pt>
                <c:pt idx="527" c:formatCode="yyyy/m/d">
                  <c:v>45701</c:v>
                </c:pt>
                <c:pt idx="528" c:formatCode="yyyy/m/d">
                  <c:v>45702</c:v>
                </c:pt>
                <c:pt idx="529" c:formatCode="yyyy/m/d">
                  <c:v>45705</c:v>
                </c:pt>
                <c:pt idx="530" c:formatCode="yyyy/m/d">
                  <c:v>45706</c:v>
                </c:pt>
                <c:pt idx="531" c:formatCode="yyyy/m/d">
                  <c:v>45707</c:v>
                </c:pt>
                <c:pt idx="532" c:formatCode="yyyy/m/d">
                  <c:v>45708</c:v>
                </c:pt>
                <c:pt idx="533" c:formatCode="yyyy/m/d">
                  <c:v>45709</c:v>
                </c:pt>
                <c:pt idx="534" c:formatCode="yyyy/m/d">
                  <c:v>45712</c:v>
                </c:pt>
                <c:pt idx="535" c:formatCode="yyyy/m/d">
                  <c:v>45713</c:v>
                </c:pt>
                <c:pt idx="536" c:formatCode="yyyy/m/d">
                  <c:v>45714</c:v>
                </c:pt>
                <c:pt idx="537" c:formatCode="yyyy/m/d">
                  <c:v>45715</c:v>
                </c:pt>
                <c:pt idx="538" c:formatCode="yyyy/m/d">
                  <c:v>45716</c:v>
                </c:pt>
                <c:pt idx="539" c:formatCode="yyyy/m/d">
                  <c:v>45719</c:v>
                </c:pt>
                <c:pt idx="540" c:formatCode="yyyy/m/d">
                  <c:v>45720</c:v>
                </c:pt>
                <c:pt idx="541" c:formatCode="yyyy/m/d">
                  <c:v>45721</c:v>
                </c:pt>
                <c:pt idx="542" c:formatCode="yyyy/m/d">
                  <c:v>45722</c:v>
                </c:pt>
                <c:pt idx="543" c:formatCode="yyyy/m/d">
                  <c:v>45723</c:v>
                </c:pt>
                <c:pt idx="544" c:formatCode="yyyy/m/d">
                  <c:v>45726</c:v>
                </c:pt>
                <c:pt idx="545" c:formatCode="yyyy/m/d">
                  <c:v>45727</c:v>
                </c:pt>
                <c:pt idx="546" c:formatCode="yyyy/m/d">
                  <c:v>45728</c:v>
                </c:pt>
                <c:pt idx="547" c:formatCode="yyyy/m/d">
                  <c:v>45729</c:v>
                </c:pt>
                <c:pt idx="548" c:formatCode="yyyy/m/d">
                  <c:v>45730</c:v>
                </c:pt>
                <c:pt idx="549" c:formatCode="yyyy/m/d">
                  <c:v>45733</c:v>
                </c:pt>
                <c:pt idx="550" c:formatCode="yyyy/m/d">
                  <c:v>45734</c:v>
                </c:pt>
                <c:pt idx="551" c:formatCode="yyyy/m/d">
                  <c:v>45735</c:v>
                </c:pt>
                <c:pt idx="552" c:formatCode="yyyy/m/d">
                  <c:v>45736</c:v>
                </c:pt>
                <c:pt idx="553" c:formatCode="yyyy/m/d">
                  <c:v>45737</c:v>
                </c:pt>
                <c:pt idx="554" c:formatCode="yyyy/m/d">
                  <c:v>45740</c:v>
                </c:pt>
                <c:pt idx="555" c:formatCode="yyyy/m/d">
                  <c:v>45741</c:v>
                </c:pt>
                <c:pt idx="556" c:formatCode="yyyy/m/d">
                  <c:v>45742</c:v>
                </c:pt>
                <c:pt idx="557" c:formatCode="yyyy/m/d">
                  <c:v>45743</c:v>
                </c:pt>
                <c:pt idx="558" c:formatCode="yyyy/m/d">
                  <c:v>45744</c:v>
                </c:pt>
                <c:pt idx="559" c:formatCode="yyyy/m/d">
                  <c:v>45747</c:v>
                </c:pt>
                <c:pt idx="560" c:formatCode="yyyy/m/d">
                  <c:v>45748</c:v>
                </c:pt>
                <c:pt idx="561" c:formatCode="yyyy/m/d">
                  <c:v>45749</c:v>
                </c:pt>
                <c:pt idx="562" c:formatCode="yyyy/m/d">
                  <c:v>45750</c:v>
                </c:pt>
                <c:pt idx="563" c:formatCode="yyyy/m/d">
                  <c:v>45754</c:v>
                </c:pt>
                <c:pt idx="564" c:formatCode="yyyy/m/d">
                  <c:v>45755</c:v>
                </c:pt>
                <c:pt idx="565" c:formatCode="yyyy/m/d">
                  <c:v>45756</c:v>
                </c:pt>
                <c:pt idx="566" c:formatCode="yyyy/m/d">
                  <c:v>45757</c:v>
                </c:pt>
                <c:pt idx="567" c:formatCode="yyyy/m/d">
                  <c:v>45758</c:v>
                </c:pt>
                <c:pt idx="568" c:formatCode="yyyy/m/d">
                  <c:v>45761</c:v>
                </c:pt>
                <c:pt idx="569" c:formatCode="yyyy/m/d">
                  <c:v>45762</c:v>
                </c:pt>
                <c:pt idx="570" c:formatCode="yyyy/m/d">
                  <c:v>45763</c:v>
                </c:pt>
                <c:pt idx="571" c:formatCode="yyyy/m/d">
                  <c:v>45764</c:v>
                </c:pt>
                <c:pt idx="572" c:formatCode="yyyy/m/d">
                  <c:v>45765</c:v>
                </c:pt>
                <c:pt idx="573" c:formatCode="yyyy/m/d">
                  <c:v>45768</c:v>
                </c:pt>
                <c:pt idx="574" c:formatCode="yyyy/m/d">
                  <c:v>45769</c:v>
                </c:pt>
                <c:pt idx="575" c:formatCode="yyyy/m/d">
                  <c:v>45770</c:v>
                </c:pt>
                <c:pt idx="576" c:formatCode="yyyy/m/d">
                  <c:v>45771</c:v>
                </c:pt>
                <c:pt idx="577" c:formatCode="yyyy/m/d">
                  <c:v>45772</c:v>
                </c:pt>
                <c:pt idx="578" c:formatCode="yyyy/m/d">
                  <c:v>45775</c:v>
                </c:pt>
                <c:pt idx="579" c:formatCode="yyyy/m/d">
                  <c:v>45776</c:v>
                </c:pt>
                <c:pt idx="580" c:formatCode="yyyy/m/d">
                  <c:v>45777</c:v>
                </c:pt>
                <c:pt idx="581" c:formatCode="yyyy/m/d">
                  <c:v>45779</c:v>
                </c:pt>
                <c:pt idx="582" c:formatCode="yyyy/m/d">
                  <c:v>45782</c:v>
                </c:pt>
                <c:pt idx="583" c:formatCode="yyyy/m/d">
                  <c:v>45783</c:v>
                </c:pt>
                <c:pt idx="584" c:formatCode="yyyy/m/d">
                  <c:v>45784</c:v>
                </c:pt>
                <c:pt idx="585" c:formatCode="yyyy/m/d">
                  <c:v>45785</c:v>
                </c:pt>
                <c:pt idx="586" c:formatCode="yyyy/m/d">
                  <c:v>45786</c:v>
                </c:pt>
                <c:pt idx="587" c:formatCode="yyyy/m/d">
                  <c:v>45789</c:v>
                </c:pt>
                <c:pt idx="588" c:formatCode="yyyy/m/d">
                  <c:v>45790</c:v>
                </c:pt>
                <c:pt idx="589" c:formatCode="yyyy/m/d">
                  <c:v>45791</c:v>
                </c:pt>
                <c:pt idx="590" c:formatCode="yyyy/m/d">
                  <c:v>45792</c:v>
                </c:pt>
                <c:pt idx="591" c:formatCode="yyyy/m/d">
                  <c:v>45793</c:v>
                </c:pt>
                <c:pt idx="592" c:formatCode="yyyy/m/d">
                  <c:v>45796</c:v>
                </c:pt>
                <c:pt idx="593" c:formatCode="yyyy/m/d">
                  <c:v>45797</c:v>
                </c:pt>
                <c:pt idx="594" c:formatCode="yyyy/m/d">
                  <c:v>45798</c:v>
                </c:pt>
                <c:pt idx="595" c:formatCode="yyyy/m/d">
                  <c:v>45799</c:v>
                </c:pt>
                <c:pt idx="596" c:formatCode="yyyy/m/d">
                  <c:v>45800</c:v>
                </c:pt>
                <c:pt idx="597" c:formatCode="yyyy/m/d">
                  <c:v>45803</c:v>
                </c:pt>
                <c:pt idx="598" c:formatCode="yyyy/m/d">
                  <c:v>45804</c:v>
                </c:pt>
                <c:pt idx="599" c:formatCode="yyyy/m/d">
                  <c:v>45805</c:v>
                </c:pt>
                <c:pt idx="600" c:formatCode="yyyy/m/d">
                  <c:v>45806</c:v>
                </c:pt>
                <c:pt idx="601" c:formatCode="yyyy/m/d">
                  <c:v>45807</c:v>
                </c:pt>
                <c:pt idx="602" c:formatCode="yyyy/m/d">
                  <c:v>45810</c:v>
                </c:pt>
                <c:pt idx="603" c:formatCode="yyyy/m/d">
                  <c:v>45811</c:v>
                </c:pt>
                <c:pt idx="604" c:formatCode="yyyy/m/d">
                  <c:v>45812</c:v>
                </c:pt>
                <c:pt idx="605" c:formatCode="yyyy/m/d">
                  <c:v>45813</c:v>
                </c:pt>
                <c:pt idx="606" c:formatCode="yyyy/m/d">
                  <c:v>45814</c:v>
                </c:pt>
                <c:pt idx="607" c:formatCode="yyyy/m/d">
                  <c:v>45817</c:v>
                </c:pt>
                <c:pt idx="608" c:formatCode="yyyy/m/d">
                  <c:v>45818</c:v>
                </c:pt>
                <c:pt idx="609" c:formatCode="yyyy/m/d">
                  <c:v>45819</c:v>
                </c:pt>
                <c:pt idx="610" c:formatCode="yyyy/m/d">
                  <c:v>45820</c:v>
                </c:pt>
                <c:pt idx="611" c:formatCode="yyyy/m/d">
                  <c:v>45821</c:v>
                </c:pt>
                <c:pt idx="612" c:formatCode="yyyy/m/d">
                  <c:v>45824</c:v>
                </c:pt>
                <c:pt idx="613" c:formatCode="yyyy/m/d">
                  <c:v>45825</c:v>
                </c:pt>
                <c:pt idx="614" c:formatCode="yyyy/m/d">
                  <c:v>45826</c:v>
                </c:pt>
                <c:pt idx="615" c:formatCode="yyyy/m/d">
                  <c:v>45827</c:v>
                </c:pt>
                <c:pt idx="616" c:formatCode="yyyy/m/d">
                  <c:v>45828</c:v>
                </c:pt>
                <c:pt idx="617" c:formatCode="yyyy/m/d">
                  <c:v>45831</c:v>
                </c:pt>
                <c:pt idx="618" c:formatCode="yyyy/m/d">
                  <c:v>45832</c:v>
                </c:pt>
                <c:pt idx="619" c:formatCode="yyyy/m/d">
                  <c:v>45833</c:v>
                </c:pt>
                <c:pt idx="620" c:formatCode="yyyy/m/d">
                  <c:v>45834</c:v>
                </c:pt>
                <c:pt idx="621" c:formatCode="yyyy/m/d">
                  <c:v>45835</c:v>
                </c:pt>
                <c:pt idx="622" c:formatCode="yyyy/m/d">
                  <c:v>45838</c:v>
                </c:pt>
                <c:pt idx="623" c:formatCode="yyyy/m/d">
                  <c:v>45839</c:v>
                </c:pt>
                <c:pt idx="624" c:formatCode="yyyy/m/d">
                  <c:v>45840</c:v>
                </c:pt>
                <c:pt idx="625" c:formatCode="yyyy/m/d">
                  <c:v>45841</c:v>
                </c:pt>
                <c:pt idx="626" c:formatCode="yyyy/m/d">
                  <c:v>45842</c:v>
                </c:pt>
                <c:pt idx="627" c:formatCode="yyyy/m/d">
                  <c:v>45845</c:v>
                </c:pt>
                <c:pt idx="628" c:formatCode="yyyy/m/d">
                  <c:v>45846</c:v>
                </c:pt>
                <c:pt idx="629" c:formatCode="yyyy/m/d">
                  <c:v>45847</c:v>
                </c:pt>
                <c:pt idx="630" c:formatCode="yyyy/m/d">
                  <c:v>45848</c:v>
                </c:pt>
                <c:pt idx="631" c:formatCode="yyyy/m/d">
                  <c:v>45849</c:v>
                </c:pt>
                <c:pt idx="632" c:formatCode="yyyy/m/d">
                  <c:v>45852</c:v>
                </c:pt>
                <c:pt idx="633" c:formatCode="yyyy/m/d">
                  <c:v>45853</c:v>
                </c:pt>
                <c:pt idx="634" c:formatCode="yyyy/m/d">
                  <c:v>45854</c:v>
                </c:pt>
                <c:pt idx="635" c:formatCode="yyyy/m/d">
                  <c:v>45855</c:v>
                </c:pt>
                <c:pt idx="636" c:formatCode="yyyy/m/d">
                  <c:v>45856</c:v>
                </c:pt>
                <c:pt idx="637" c:formatCode="yyyy/m/d">
                  <c:v>45859</c:v>
                </c:pt>
                <c:pt idx="638" c:formatCode="yyyy/m/d">
                  <c:v>45860</c:v>
                </c:pt>
                <c:pt idx="639" c:formatCode="yyyy/m/d">
                  <c:v>45861</c:v>
                </c:pt>
                <c:pt idx="640" c:formatCode="yyyy/m/d">
                  <c:v>45862</c:v>
                </c:pt>
                <c:pt idx="641" c:formatCode="yyyy/m/d">
                  <c:v>45863</c:v>
                </c:pt>
                <c:pt idx="642" c:formatCode="yyyy/m/d">
                  <c:v>45866</c:v>
                </c:pt>
                <c:pt idx="643" c:formatCode="yyyy/m/d">
                  <c:v>45867</c:v>
                </c:pt>
                <c:pt idx="644" c:formatCode="yyyy/m/d">
                  <c:v>45868</c:v>
                </c:pt>
                <c:pt idx="645" c:formatCode="yyyy/m/d">
                  <c:v>45869</c:v>
                </c:pt>
                <c:pt idx="646" c:formatCode="yyyy/m/d">
                  <c:v>45870</c:v>
                </c:pt>
                <c:pt idx="647" c:formatCode="yyyy/m/d">
                  <c:v>45873</c:v>
                </c:pt>
                <c:pt idx="648" c:formatCode="yyyy/m/d">
                  <c:v>45874</c:v>
                </c:pt>
                <c:pt idx="649" c:formatCode="yyyy/m/d">
                  <c:v>45875</c:v>
                </c:pt>
                <c:pt idx="650" c:formatCode="yyyy/m/d">
                  <c:v>45876</c:v>
                </c:pt>
                <c:pt idx="651" c:formatCode="yyyy/m/d">
                  <c:v>45877</c:v>
                </c:pt>
                <c:pt idx="652" c:formatCode="yyyy/m/d">
                  <c:v>45880</c:v>
                </c:pt>
                <c:pt idx="653" c:formatCode="yyyy/m/d">
                  <c:v>45881</c:v>
                </c:pt>
                <c:pt idx="654" c:formatCode="yyyy/m/d">
                  <c:v>45882</c:v>
                </c:pt>
                <c:pt idx="655" c:formatCode="yyyy/m/d">
                  <c:v>45883</c:v>
                </c:pt>
                <c:pt idx="656" c:formatCode="yyyy/m/d">
                  <c:v>45884</c:v>
                </c:pt>
                <c:pt idx="657" c:formatCode="yyyy/m/d">
                  <c:v>45887</c:v>
                </c:pt>
                <c:pt idx="658" c:formatCode="yyyy/m/d">
                  <c:v>45888</c:v>
                </c:pt>
                <c:pt idx="659" c:formatCode="yyyy/m/d">
                  <c:v>45889</c:v>
                </c:pt>
                <c:pt idx="660" c:formatCode="yyyy/m/d">
                  <c:v>45890</c:v>
                </c:pt>
                <c:pt idx="661" c:formatCode="yyyy/m/d">
                  <c:v>45891</c:v>
                </c:pt>
                <c:pt idx="662" c:formatCode="yyyy/m/d">
                  <c:v>45894</c:v>
                </c:pt>
                <c:pt idx="663" c:formatCode="yyyy/m/d">
                  <c:v>45895</c:v>
                </c:pt>
                <c:pt idx="664" c:formatCode="yyyy/m/d">
                  <c:v>45896</c:v>
                </c:pt>
                <c:pt idx="665" c:formatCode="yyyy/m/d">
                  <c:v>45897</c:v>
                </c:pt>
                <c:pt idx="666" c:formatCode="yyyy/m/d">
                  <c:v>45898</c:v>
                </c:pt>
                <c:pt idx="667" c:formatCode="yyyy/m/d">
                  <c:v>45901</c:v>
                </c:pt>
                <c:pt idx="668" c:formatCode="yyyy/m/d">
                  <c:v>45902</c:v>
                </c:pt>
                <c:pt idx="669" c:formatCode="yyyy/m/d">
                  <c:v>45903</c:v>
                </c:pt>
                <c:pt idx="670" c:formatCode="yyyy/m/d">
                  <c:v>45904</c:v>
                </c:pt>
                <c:pt idx="671" c:formatCode="yyyy/m/d">
                  <c:v>45905</c:v>
                </c:pt>
                <c:pt idx="672" c:formatCode="yyyy/m/d">
                  <c:v>45908</c:v>
                </c:pt>
                <c:pt idx="673" c:formatCode="yyyy/m/d">
                  <c:v>45909</c:v>
                </c:pt>
                <c:pt idx="674" c:formatCode="yyyy/m/d">
                  <c:v>45910</c:v>
                </c:pt>
                <c:pt idx="675" c:formatCode="yyyy/m/d">
                  <c:v>45911</c:v>
                </c:pt>
                <c:pt idx="676" c:formatCode="yyyy/m/d">
                  <c:v>45912</c:v>
                </c:pt>
                <c:pt idx="677" c:formatCode="yyyy/m/d">
                  <c:v>45915</c:v>
                </c:pt>
                <c:pt idx="678" c:formatCode="yyyy/m/d">
                  <c:v>45916</c:v>
                </c:pt>
                <c:pt idx="679" c:formatCode="yyyy/m/d">
                  <c:v>45917</c:v>
                </c:pt>
                <c:pt idx="680" c:formatCode="yyyy/m/d">
                  <c:v>45918</c:v>
                </c:pt>
                <c:pt idx="681" c:formatCode="yyyy/m/d">
                  <c:v>45919</c:v>
                </c:pt>
                <c:pt idx="682" c:formatCode="yyyy/m/d">
                  <c:v>45922</c:v>
                </c:pt>
                <c:pt idx="683" c:formatCode="yyyy/m/d">
                  <c:v>45923</c:v>
                </c:pt>
                <c:pt idx="684" c:formatCode="yyyy/m/d">
                  <c:v>45924</c:v>
                </c:pt>
                <c:pt idx="685" c:formatCode="yyyy/m/d">
                  <c:v>45925</c:v>
                </c:pt>
                <c:pt idx="686" c:formatCode="yyyy/m/d">
                  <c:v>45926</c:v>
                </c:pt>
                <c:pt idx="687" c:formatCode="yyyy/m/d">
                  <c:v>45929</c:v>
                </c:pt>
                <c:pt idx="688" c:formatCode="yyyy/m/d">
                  <c:v>45930</c:v>
                </c:pt>
                <c:pt idx="689" c:formatCode="yyyy/m/d">
                  <c:v>45931</c:v>
                </c:pt>
                <c:pt idx="690" c:formatCode="yyyy/m/d">
                  <c:v>45932</c:v>
                </c:pt>
                <c:pt idx="691" c:formatCode="yyyy/m/d">
                  <c:v>45933</c:v>
                </c:pt>
                <c:pt idx="692" c:formatCode="yyyy/m/d">
                  <c:v>45936</c:v>
                </c:pt>
                <c:pt idx="693" c:formatCode="yyyy/m/d">
                  <c:v>45937</c:v>
                </c:pt>
                <c:pt idx="694" c:formatCode="yyyy/m/d">
                  <c:v>45938</c:v>
                </c:pt>
                <c:pt idx="695" c:formatCode="yyyy/m/d">
                  <c:v>45939</c:v>
                </c:pt>
                <c:pt idx="696" c:formatCode="yyyy/m/d">
                  <c:v>45940</c:v>
                </c:pt>
                <c:pt idx="697" c:formatCode="yyyy/m/d">
                  <c:v>45943</c:v>
                </c:pt>
                <c:pt idx="698" c:formatCode="yyyy/m/d">
                  <c:v>45944</c:v>
                </c:pt>
                <c:pt idx="699" c:formatCode="yyyy/m/d">
                  <c:v>45945</c:v>
                </c:pt>
                <c:pt idx="700" c:formatCode="yyyy/m/d">
                  <c:v>45946</c:v>
                </c:pt>
                <c:pt idx="701" c:formatCode="yyyy/m/d">
                  <c:v>45947</c:v>
                </c:pt>
                <c:pt idx="702" c:formatCode="yyyy/m/d">
                  <c:v>45950</c:v>
                </c:pt>
                <c:pt idx="703" c:formatCode="yyyy/m/d">
                  <c:v>45951</c:v>
                </c:pt>
                <c:pt idx="704" c:formatCode="yyyy/m/d">
                  <c:v>45952</c:v>
                </c:pt>
                <c:pt idx="705" c:formatCode="yyyy/m/d">
                  <c:v>45953</c:v>
                </c:pt>
                <c:pt idx="706" c:formatCode="yyyy/m/d">
                  <c:v>45954</c:v>
                </c:pt>
                <c:pt idx="707" c:formatCode="yyyy/m/d">
                  <c:v>45957</c:v>
                </c:pt>
                <c:pt idx="708" c:formatCode="yyyy/m/d">
                  <c:v>45958</c:v>
                </c:pt>
                <c:pt idx="709" c:formatCode="yyyy/m/d">
                  <c:v>45959</c:v>
                </c:pt>
                <c:pt idx="710" c:formatCode="yyyy/m/d">
                  <c:v>45960</c:v>
                </c:pt>
                <c:pt idx="711" c:formatCode="yyyy/m/d">
                  <c:v>45961</c:v>
                </c:pt>
                <c:pt idx="712" c:formatCode="yyyy/m/d">
                  <c:v>45964</c:v>
                </c:pt>
                <c:pt idx="713" c:formatCode="yyyy/m/d">
                  <c:v>45965</c:v>
                </c:pt>
                <c:pt idx="714" c:formatCode="yyyy/m/d">
                  <c:v>45966</c:v>
                </c:pt>
                <c:pt idx="715" c:formatCode="yyyy/m/d">
                  <c:v>45967</c:v>
                </c:pt>
                <c:pt idx="716" c:formatCode="yyyy/m/d">
                  <c:v>45968</c:v>
                </c:pt>
                <c:pt idx="717" c:formatCode="yyyy/m/d">
                  <c:v>45971</c:v>
                </c:pt>
                <c:pt idx="718" c:formatCode="yyyy/m/d">
                  <c:v>45972</c:v>
                </c:pt>
                <c:pt idx="719" c:formatCode="yyyy/m/d">
                  <c:v>45973</c:v>
                </c:pt>
                <c:pt idx="720" c:formatCode="yyyy/m/d">
                  <c:v>45974</c:v>
                </c:pt>
                <c:pt idx="721" c:formatCode="yyyy/m/d">
                  <c:v>45975</c:v>
                </c:pt>
                <c:pt idx="722" c:formatCode="yyyy/m/d">
                  <c:v>45978</c:v>
                </c:pt>
                <c:pt idx="723" c:formatCode="yyyy/m/d">
                  <c:v>45979</c:v>
                </c:pt>
                <c:pt idx="724" c:formatCode="yyyy/m/d">
                  <c:v>45980</c:v>
                </c:pt>
                <c:pt idx="725" c:formatCode="yyyy/m/d">
                  <c:v>45981</c:v>
                </c:pt>
                <c:pt idx="726" c:formatCode="yyyy/m/d">
                  <c:v>45982</c:v>
                </c:pt>
                <c:pt idx="727" c:formatCode="yyyy/m/d">
                  <c:v>45985</c:v>
                </c:pt>
                <c:pt idx="728" c:formatCode="yyyy/m/d">
                  <c:v>45986</c:v>
                </c:pt>
                <c:pt idx="729" c:formatCode="yyyy/m/d">
                  <c:v>45987</c:v>
                </c:pt>
                <c:pt idx="730" c:formatCode="yyyy/m/d">
                  <c:v>45988</c:v>
                </c:pt>
                <c:pt idx="731" c:formatCode="yyyy/m/d">
                  <c:v>45989</c:v>
                </c:pt>
                <c:pt idx="732" c:formatCode="yyyy/m/d">
                  <c:v>45992</c:v>
                </c:pt>
                <c:pt idx="733" c:formatCode="yyyy/m/d">
                  <c:v>45993</c:v>
                </c:pt>
                <c:pt idx="734" c:formatCode="yyyy/m/d">
                  <c:v>45994</c:v>
                </c:pt>
                <c:pt idx="735" c:formatCode="yyyy/m/d">
                  <c:v>45995</c:v>
                </c:pt>
                <c:pt idx="736" c:formatCode="yyyy/m/d">
                  <c:v>45996</c:v>
                </c:pt>
                <c:pt idx="737" c:formatCode="yyyy/m/d">
                  <c:v>45999</c:v>
                </c:pt>
                <c:pt idx="738" c:formatCode="yyyy/m/d">
                  <c:v>46000</c:v>
                </c:pt>
                <c:pt idx="739" c:formatCode="yyyy/m/d">
                  <c:v>46001</c:v>
                </c:pt>
                <c:pt idx="740" c:formatCode="yyyy/m/d">
                  <c:v>46002</c:v>
                </c:pt>
                <c:pt idx="741" c:formatCode="yyyy/m/d">
                  <c:v>46003</c:v>
                </c:pt>
                <c:pt idx="742" c:formatCode="yyyy/m/d">
                  <c:v>46006</c:v>
                </c:pt>
                <c:pt idx="743" c:formatCode="yyyy/m/d">
                  <c:v>46007</c:v>
                </c:pt>
                <c:pt idx="744" c:formatCode="yyyy/m/d">
                  <c:v>46008</c:v>
                </c:pt>
                <c:pt idx="745" c:formatCode="yyyy/m/d">
                  <c:v>46009</c:v>
                </c:pt>
                <c:pt idx="746" c:formatCode="yyyy/m/d">
                  <c:v>46010</c:v>
                </c:pt>
                <c:pt idx="747" c:formatCode="yyyy/m/d">
                  <c:v>46013</c:v>
                </c:pt>
                <c:pt idx="748" c:formatCode="yyyy/m/d">
                  <c:v>46014</c:v>
                </c:pt>
                <c:pt idx="749" c:formatCode="yyyy/m/d">
                  <c:v>46015</c:v>
                </c:pt>
                <c:pt idx="750" c:formatCode="yyyy/m/d">
                  <c:v>46016</c:v>
                </c:pt>
                <c:pt idx="751" c:formatCode="yyyy/m/d">
                  <c:v>46017</c:v>
                </c:pt>
                <c:pt idx="752" c:formatCode="yyyy/m/d">
                  <c:v>46020</c:v>
                </c:pt>
                <c:pt idx="753" c:formatCode="yyyy/m/d">
                  <c:v>46021</c:v>
                </c:pt>
                <c:pt idx="754" c:formatCode="yyyy/m/d">
                  <c:v>46022</c:v>
                </c:pt>
                <c:pt idx="755" c:formatCode="yyyy/m/d">
                  <c:v>46024</c:v>
                </c:pt>
                <c:pt idx="756" c:formatCode="yyyy/m/d">
                  <c:v>46027</c:v>
                </c:pt>
                <c:pt idx="757" c:formatCode="yyyy/m/d">
                  <c:v>46028</c:v>
                </c:pt>
                <c:pt idx="758" c:formatCode="yyyy/m/d">
                  <c:v>46029</c:v>
                </c:pt>
                <c:pt idx="759" c:formatCode="yyyy/m/d">
                  <c:v>46030</c:v>
                </c:pt>
                <c:pt idx="760" c:formatCode="yyyy/m/d">
                  <c:v>46031</c:v>
                </c:pt>
                <c:pt idx="761" c:formatCode="yyyy/m/d">
                  <c:v>46034</c:v>
                </c:pt>
                <c:pt idx="762" c:formatCode="yyyy/m/d">
                  <c:v>46035</c:v>
                </c:pt>
                <c:pt idx="763" c:formatCode="yyyy/m/d">
                  <c:v>46036</c:v>
                </c:pt>
                <c:pt idx="764" c:formatCode="yyyy/m/d">
                  <c:v>46037</c:v>
                </c:pt>
                <c:pt idx="765" c:formatCode="yyyy/m/d">
                  <c:v>46038</c:v>
                </c:pt>
                <c:pt idx="766" c:formatCode="yyyy/m/d">
                  <c:v>46041</c:v>
                </c:pt>
                <c:pt idx="767" c:formatCode="yyyy/m/d">
                  <c:v>46042</c:v>
                </c:pt>
                <c:pt idx="768" c:formatCode="yyyy/m/d">
                  <c:v>46043</c:v>
                </c:pt>
                <c:pt idx="769" c:formatCode="yyyy/m/d">
                  <c:v>46044</c:v>
                </c:pt>
                <c:pt idx="770" c:formatCode="yyyy/m/d">
                  <c:v>46045</c:v>
                </c:pt>
                <c:pt idx="771" c:formatCode="yyyy/m/d">
                  <c:v>46048</c:v>
                </c:pt>
                <c:pt idx="772" c:formatCode="yyyy/m/d">
                  <c:v>46049</c:v>
                </c:pt>
                <c:pt idx="773" c:formatCode="yyyy/m/d">
                  <c:v>46050</c:v>
                </c:pt>
                <c:pt idx="774" c:formatCode="yyyy/m/d">
                  <c:v>46051</c:v>
                </c:pt>
                <c:pt idx="775" c:formatCode="yyyy/m/d">
                  <c:v>46052</c:v>
                </c:pt>
                <c:pt idx="776" c:formatCode="yyyy/m/d">
                  <c:v>46055</c:v>
                </c:pt>
                <c:pt idx="777" c:formatCode="yyyy/m/d">
                  <c:v>46056</c:v>
                </c:pt>
                <c:pt idx="778" c:formatCode="yyyy/m/d">
                  <c:v>46057</c:v>
                </c:pt>
                <c:pt idx="779" c:formatCode="yyyy/m/d">
                  <c:v>46058</c:v>
                </c:pt>
                <c:pt idx="780" c:formatCode="yyyy/m/d">
                  <c:v>46059</c:v>
                </c:pt>
                <c:pt idx="781" c:formatCode="yyyy/m/d">
                  <c:v>46062</c:v>
                </c:pt>
                <c:pt idx="782" c:formatCode="yyyy/m/d">
                  <c:v>46063</c:v>
                </c:pt>
                <c:pt idx="783" c:formatCode="yyyy/m/d">
                  <c:v>46064</c:v>
                </c:pt>
                <c:pt idx="784" c:formatCode="yyyy/m/d">
                  <c:v>46065</c:v>
                </c:pt>
                <c:pt idx="785" c:formatCode="yyyy/m/d">
                  <c:v>46066</c:v>
                </c:pt>
                <c:pt idx="786" c:formatCode="yyyy/m/d">
                  <c:v>46076</c:v>
                </c:pt>
                <c:pt idx="787" c:formatCode="yyyy/m/d">
                  <c:v>46077</c:v>
                </c:pt>
                <c:pt idx="788" c:formatCode="yyyy/m/d">
                  <c:v>46078</c:v>
                </c:pt>
                <c:pt idx="789" c:formatCode="yyyy/m/d">
                  <c:v>46079</c:v>
                </c:pt>
                <c:pt idx="790" c:formatCode="yyyy/m/d">
                  <c:v>46080</c:v>
                </c:pt>
                <c:pt idx="791" c:formatCode="yyyy/m/d">
                  <c:v>46083</c:v>
                </c:pt>
                <c:pt idx="792" c:formatCode="yyyy/m/d">
                  <c:v>46084</c:v>
                </c:pt>
                <c:pt idx="793" c:formatCode="yyyy/m/d">
                  <c:v>46085</c:v>
                </c:pt>
                <c:pt idx="794" c:formatCode="yyyy/m/d">
                  <c:v>46086</c:v>
                </c:pt>
                <c:pt idx="795" c:formatCode="yyyy/m/d">
                  <c:v>46087</c:v>
                </c:pt>
                <c:pt idx="796" c:formatCode="yyyy/m/d">
                  <c:v>46090</c:v>
                </c:pt>
                <c:pt idx="797" c:formatCode="yyyy/m/d">
                  <c:v>46091</c:v>
                </c:pt>
                <c:pt idx="798" c:formatCode="yyyy/m/d">
                  <c:v>46092</c:v>
                </c:pt>
                <c:pt idx="799" c:formatCode="yyyy/m/d">
                  <c:v>46093</c:v>
                </c:pt>
                <c:pt idx="800" c:formatCode="yyyy/m/d">
                  <c:v>46094</c:v>
                </c:pt>
                <c:pt idx="801" c:formatCode="yyyy/m/d">
                  <c:v>46097</c:v>
                </c:pt>
                <c:pt idx="802" c:formatCode="yyyy/m/d">
                  <c:v>46098</c:v>
                </c:pt>
                <c:pt idx="803" c:formatCode="yyyy/m/d">
                  <c:v>46099</c:v>
                </c:pt>
                <c:pt idx="804" c:formatCode="yyyy/m/d">
                  <c:v>46100</c:v>
                </c:pt>
                <c:pt idx="805" c:formatCode="yyyy/m/d">
                  <c:v>46101</c:v>
                </c:pt>
                <c:pt idx="806" c:formatCode="yyyy/m/d">
                  <c:v>46104</c:v>
                </c:pt>
                <c:pt idx="807" c:formatCode="yyyy/m/d">
                  <c:v>46105</c:v>
                </c:pt>
                <c:pt idx="808" c:formatCode="yyyy/m/d">
                  <c:v>46106</c:v>
                </c:pt>
                <c:pt idx="809" c:formatCode="yyyy/m/d">
                  <c:v>46107</c:v>
                </c:pt>
                <c:pt idx="810" c:formatCode="yyyy/m/d">
                  <c:v>46108</c:v>
                </c:pt>
                <c:pt idx="811" c:formatCode="yyyy/m/d">
                  <c:v>46111</c:v>
                </c:pt>
                <c:pt idx="812" c:formatCode="yyyy/m/d">
                  <c:v>46112</c:v>
                </c:pt>
                <c:pt idx="813" c:formatCode="yyyy/m/d">
                  <c:v>46113</c:v>
                </c:pt>
                <c:pt idx="814" c:formatCode="yyyy/m/d">
                  <c:v>46114</c:v>
                </c:pt>
                <c:pt idx="815" c:formatCode="yyyy/m/d">
                  <c:v>46115</c:v>
                </c:pt>
                <c:pt idx="816" c:formatCode="yyyy/m/d">
                  <c:v>46119</c:v>
                </c:pt>
                <c:pt idx="817" c:formatCode="yyyy/m/d">
                  <c:v>46120</c:v>
                </c:pt>
                <c:pt idx="818" c:formatCode="yyyy/m/d">
                  <c:v>46121</c:v>
                </c:pt>
                <c:pt idx="819" c:formatCode="yyyy/m/d">
                  <c:v>46122</c:v>
                </c:pt>
                <c:pt idx="820" c:formatCode="yyyy/m/d">
                  <c:v>46125</c:v>
                </c:pt>
                <c:pt idx="821" c:formatCode="yyyy/m/d">
                  <c:v>46126</c:v>
                </c:pt>
                <c:pt idx="822" c:formatCode="yyyy/m/d">
                  <c:v>46127</c:v>
                </c:pt>
                <c:pt idx="823" c:formatCode="yyyy/m/d">
                  <c:v>46128</c:v>
                </c:pt>
                <c:pt idx="824" c:formatCode="yyyy/m/d">
                  <c:v>46129</c:v>
                </c:pt>
                <c:pt idx="825" c:formatCode="yyyy/m/d">
                  <c:v>46132</c:v>
                </c:pt>
                <c:pt idx="826" c:formatCode="yyyy/m/d">
                  <c:v>46133</c:v>
                </c:pt>
                <c:pt idx="827" c:formatCode="yyyy/m/d">
                  <c:v>46134</c:v>
                </c:pt>
                <c:pt idx="828" c:formatCode="yyyy/m/d">
                  <c:v>46135</c:v>
                </c:pt>
                <c:pt idx="829" c:formatCode="yyyy/m/d">
                  <c:v>46136</c:v>
                </c:pt>
                <c:pt idx="830" c:formatCode="yyyy/m/d">
                  <c:v>46139</c:v>
                </c:pt>
                <c:pt idx="831" c:formatCode="yyyy/m/d">
                  <c:v>46140</c:v>
                </c:pt>
                <c:pt idx="832" c:formatCode="yyyy/m/d">
                  <c:v>46141</c:v>
                </c:pt>
                <c:pt idx="833" c:formatCode="yyyy/m/d">
                  <c:v>46142</c:v>
                </c:pt>
                <c:pt idx="834" c:formatCode="yyyy/m/d">
                  <c:v>46146</c:v>
                </c:pt>
                <c:pt idx="835" c:formatCode="yyyy/m/d">
                  <c:v>46147</c:v>
                </c:pt>
                <c:pt idx="836" c:formatCode="yyyy/m/d">
                  <c:v>46148</c:v>
                </c:pt>
                <c:pt idx="837" c:formatCode="yyyy/m/d">
                  <c:v>46149</c:v>
                </c:pt>
                <c:pt idx="838" c:formatCode="yyyy/m/d">
                  <c:v>46150</c:v>
                </c:pt>
                <c:pt idx="839" c:formatCode="yyyy/m/d">
                  <c:v>46153</c:v>
                </c:pt>
                <c:pt idx="840" c:formatCode="yyyy/m/d">
                  <c:v>46154</c:v>
                </c:pt>
                <c:pt idx="841" c:formatCode="yyyy/m/d">
                  <c:v>46155</c:v>
                </c:pt>
                <c:pt idx="842" c:formatCode="yyyy/m/d">
                  <c:v>46156</c:v>
                </c:pt>
                <c:pt idx="843" c:formatCode="yyyy/m/d">
                  <c:v>46157</c:v>
                </c:pt>
                <c:pt idx="844" c:formatCode="yyyy/m/d">
                  <c:v>46160</c:v>
                </c:pt>
                <c:pt idx="845" c:formatCode="yyyy/m/d">
                  <c:v>46161</c:v>
                </c:pt>
                <c:pt idx="846" c:formatCode="yyyy/m/d">
                  <c:v>46162</c:v>
                </c:pt>
                <c:pt idx="847" c:formatCode="yyyy/m/d">
                  <c:v>46163</c:v>
                </c:pt>
                <c:pt idx="848" c:formatCode="yyyy/m/d">
                  <c:v>46164</c:v>
                </c:pt>
                <c:pt idx="849" c:formatCode="yyyy/m/d">
                  <c:v>46167</c:v>
                </c:pt>
                <c:pt idx="850" c:formatCode="yyyy/m/d">
                  <c:v>46168</c:v>
                </c:pt>
                <c:pt idx="851" c:formatCode="yyyy/m/d">
                  <c:v>46169</c:v>
                </c:pt>
                <c:pt idx="852" c:formatCode="yyyy/m/d">
                  <c:v>46170</c:v>
                </c:pt>
                <c:pt idx="853" c:formatCode="yyyy/m/d">
                  <c:v>46171</c:v>
                </c:pt>
                <c:pt idx="854" c:formatCode="yyyy/m/d">
                  <c:v>46174</c:v>
                </c:pt>
              </c:numCache>
            </c:numRef>
          </c:cat>
          <c:val>
            <c:numRef>
              <c:f>DRAM!$AA$1748:$AA$3000</c:f>
              <c:numCache>
                <c:formatCode>0.00</c:formatCode>
                <c:ptCount val="1253"/>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pt idx="26">
                  <c:v>4</c:v>
                </c:pt>
                <c:pt idx="27">
                  <c:v>4</c:v>
                </c:pt>
                <c:pt idx="28">
                  <c:v>4</c:v>
                </c:pt>
                <c:pt idx="29">
                  <c:v>4</c:v>
                </c:pt>
                <c:pt idx="30">
                  <c:v>4</c:v>
                </c:pt>
                <c:pt idx="31">
                  <c:v>4</c:v>
                </c:pt>
                <c:pt idx="32">
                  <c:v>4</c:v>
                </c:pt>
                <c:pt idx="33">
                  <c:v>4</c:v>
                </c:pt>
                <c:pt idx="34">
                  <c:v>4</c:v>
                </c:pt>
                <c:pt idx="35">
                  <c:v>4</c:v>
                </c:pt>
                <c:pt idx="36">
                  <c:v>4</c:v>
                </c:pt>
                <c:pt idx="37">
                  <c:v>4</c:v>
                </c:pt>
                <c:pt idx="38">
                  <c:v>4</c:v>
                </c:pt>
                <c:pt idx="39">
                  <c:v>4</c:v>
                </c:pt>
                <c:pt idx="40">
                  <c:v>4</c:v>
                </c:pt>
                <c:pt idx="41">
                  <c:v>4</c:v>
                </c:pt>
                <c:pt idx="42">
                  <c:v>4</c:v>
                </c:pt>
                <c:pt idx="43">
                  <c:v>4</c:v>
                </c:pt>
                <c:pt idx="44">
                  <c:v>4</c:v>
                </c:pt>
                <c:pt idx="45">
                  <c:v>4</c:v>
                </c:pt>
                <c:pt idx="46">
                  <c:v>4</c:v>
                </c:pt>
                <c:pt idx="47">
                  <c:v>4</c:v>
                </c:pt>
                <c:pt idx="48">
                  <c:v>4</c:v>
                </c:pt>
                <c:pt idx="49">
                  <c:v>4</c:v>
                </c:pt>
                <c:pt idx="50">
                  <c:v>4</c:v>
                </c:pt>
                <c:pt idx="51">
                  <c:v>4</c:v>
                </c:pt>
                <c:pt idx="52">
                  <c:v>4</c:v>
                </c:pt>
                <c:pt idx="53">
                  <c:v>4</c:v>
                </c:pt>
                <c:pt idx="54">
                  <c:v>4</c:v>
                </c:pt>
                <c:pt idx="55">
                  <c:v>4</c:v>
                </c:pt>
                <c:pt idx="56">
                  <c:v>4</c:v>
                </c:pt>
                <c:pt idx="57">
                  <c:v>4</c:v>
                </c:pt>
                <c:pt idx="58">
                  <c:v>4</c:v>
                </c:pt>
                <c:pt idx="59">
                  <c:v>3.17</c:v>
                </c:pt>
                <c:pt idx="60">
                  <c:v>3.17</c:v>
                </c:pt>
                <c:pt idx="61">
                  <c:v>3.17</c:v>
                </c:pt>
                <c:pt idx="62">
                  <c:v>3.17</c:v>
                </c:pt>
                <c:pt idx="63">
                  <c:v>3.17</c:v>
                </c:pt>
                <c:pt idx="64">
                  <c:v>3.17</c:v>
                </c:pt>
                <c:pt idx="65">
                  <c:v>3.17</c:v>
                </c:pt>
                <c:pt idx="66">
                  <c:v>3.17</c:v>
                </c:pt>
                <c:pt idx="67">
                  <c:v>3.17</c:v>
                </c:pt>
                <c:pt idx="68">
                  <c:v>3.17</c:v>
                </c:pt>
                <c:pt idx="69">
                  <c:v>3.17</c:v>
                </c:pt>
                <c:pt idx="70">
                  <c:v>3.17</c:v>
                </c:pt>
                <c:pt idx="71">
                  <c:v>3.17</c:v>
                </c:pt>
                <c:pt idx="72">
                  <c:v>3.17</c:v>
                </c:pt>
                <c:pt idx="73">
                  <c:v>3.17</c:v>
                </c:pt>
                <c:pt idx="74">
                  <c:v>3.17</c:v>
                </c:pt>
                <c:pt idx="75">
                  <c:v>3.17</c:v>
                </c:pt>
                <c:pt idx="76">
                  <c:v>3.17</c:v>
                </c:pt>
                <c:pt idx="77">
                  <c:v>3.17</c:v>
                </c:pt>
                <c:pt idx="78">
                  <c:v>3.17</c:v>
                </c:pt>
                <c:pt idx="79">
                  <c:v>3.17</c:v>
                </c:pt>
                <c:pt idx="80">
                  <c:v>3.17</c:v>
                </c:pt>
                <c:pt idx="81">
                  <c:v>3.17</c:v>
                </c:pt>
                <c:pt idx="82">
                  <c:v>3.17</c:v>
                </c:pt>
                <c:pt idx="83">
                  <c:v>3.17</c:v>
                </c:pt>
                <c:pt idx="84">
                  <c:v>3.17</c:v>
                </c:pt>
                <c:pt idx="85">
                  <c:v>3.17</c:v>
                </c:pt>
                <c:pt idx="86">
                  <c:v>3.17</c:v>
                </c:pt>
                <c:pt idx="87">
                  <c:v>3.17</c:v>
                </c:pt>
                <c:pt idx="88">
                  <c:v>3.17</c:v>
                </c:pt>
                <c:pt idx="89">
                  <c:v>3.17</c:v>
                </c:pt>
                <c:pt idx="90">
                  <c:v>3.17</c:v>
                </c:pt>
                <c:pt idx="91">
                  <c:v>3.17</c:v>
                </c:pt>
                <c:pt idx="92">
                  <c:v>3.17</c:v>
                </c:pt>
                <c:pt idx="93">
                  <c:v>3.17</c:v>
                </c:pt>
                <c:pt idx="94">
                  <c:v>3.17</c:v>
                </c:pt>
                <c:pt idx="95">
                  <c:v>3.17</c:v>
                </c:pt>
                <c:pt idx="96">
                  <c:v>3.17</c:v>
                </c:pt>
                <c:pt idx="97">
                  <c:v>3.17</c:v>
                </c:pt>
                <c:pt idx="98">
                  <c:v>3.17</c:v>
                </c:pt>
                <c:pt idx="99">
                  <c:v>3.17</c:v>
                </c:pt>
                <c:pt idx="100">
                  <c:v>3.17</c:v>
                </c:pt>
                <c:pt idx="101">
                  <c:v>3.17</c:v>
                </c:pt>
                <c:pt idx="102">
                  <c:v>3.17</c:v>
                </c:pt>
                <c:pt idx="103">
                  <c:v>3.17</c:v>
                </c:pt>
                <c:pt idx="104">
                  <c:v>3.17</c:v>
                </c:pt>
                <c:pt idx="105">
                  <c:v>3.17</c:v>
                </c:pt>
                <c:pt idx="106">
                  <c:v>3.17</c:v>
                </c:pt>
                <c:pt idx="107">
                  <c:v>3.17</c:v>
                </c:pt>
                <c:pt idx="108">
                  <c:v>3.17</c:v>
                </c:pt>
                <c:pt idx="109">
                  <c:v>3.17</c:v>
                </c:pt>
                <c:pt idx="110">
                  <c:v>3.17</c:v>
                </c:pt>
                <c:pt idx="111">
                  <c:v>3.17</c:v>
                </c:pt>
                <c:pt idx="112">
                  <c:v>3.17</c:v>
                </c:pt>
                <c:pt idx="113">
                  <c:v>3.17</c:v>
                </c:pt>
                <c:pt idx="114">
                  <c:v>3.17</c:v>
                </c:pt>
                <c:pt idx="115">
                  <c:v>3.17</c:v>
                </c:pt>
                <c:pt idx="116">
                  <c:v>3.17</c:v>
                </c:pt>
                <c:pt idx="117">
                  <c:v>3.17</c:v>
                </c:pt>
                <c:pt idx="118">
                  <c:v>3.17</c:v>
                </c:pt>
                <c:pt idx="119">
                  <c:v>3.17</c:v>
                </c:pt>
                <c:pt idx="120">
                  <c:v>3.17</c:v>
                </c:pt>
                <c:pt idx="121">
                  <c:v>3.17</c:v>
                </c:pt>
                <c:pt idx="122">
                  <c:v>3.17</c:v>
                </c:pt>
                <c:pt idx="123">
                  <c:v>3.17</c:v>
                </c:pt>
                <c:pt idx="124">
                  <c:v>3.17</c:v>
                </c:pt>
                <c:pt idx="125">
                  <c:v>3.17</c:v>
                </c:pt>
                <c:pt idx="126">
                  <c:v>3.17</c:v>
                </c:pt>
                <c:pt idx="127">
                  <c:v>3.17</c:v>
                </c:pt>
                <c:pt idx="128">
                  <c:v>3.17</c:v>
                </c:pt>
                <c:pt idx="129">
                  <c:v>3.17</c:v>
                </c:pt>
                <c:pt idx="130">
                  <c:v>3.17</c:v>
                </c:pt>
                <c:pt idx="131">
                  <c:v>3.17</c:v>
                </c:pt>
                <c:pt idx="132">
                  <c:v>3.17</c:v>
                </c:pt>
                <c:pt idx="133">
                  <c:v>3.17</c:v>
                </c:pt>
                <c:pt idx="134">
                  <c:v>3.17</c:v>
                </c:pt>
                <c:pt idx="135">
                  <c:v>3.17</c:v>
                </c:pt>
                <c:pt idx="136">
                  <c:v>3.17</c:v>
                </c:pt>
                <c:pt idx="137">
                  <c:v>3.17</c:v>
                </c:pt>
                <c:pt idx="138">
                  <c:v>3.17</c:v>
                </c:pt>
                <c:pt idx="139">
                  <c:v>3.17</c:v>
                </c:pt>
                <c:pt idx="140">
                  <c:v>3.17</c:v>
                </c:pt>
                <c:pt idx="141">
                  <c:v>3.4</c:v>
                </c:pt>
                <c:pt idx="142">
                  <c:v>3.4</c:v>
                </c:pt>
                <c:pt idx="143">
                  <c:v>3.4</c:v>
                </c:pt>
                <c:pt idx="144">
                  <c:v>3.4</c:v>
                </c:pt>
                <c:pt idx="145">
                  <c:v>3.4</c:v>
                </c:pt>
                <c:pt idx="146">
                  <c:v>3.4</c:v>
                </c:pt>
                <c:pt idx="147">
                  <c:v>3.4</c:v>
                </c:pt>
                <c:pt idx="148">
                  <c:v>3.4</c:v>
                </c:pt>
                <c:pt idx="149">
                  <c:v>3.4</c:v>
                </c:pt>
                <c:pt idx="150">
                  <c:v>3.4</c:v>
                </c:pt>
                <c:pt idx="151">
                  <c:v>3.4</c:v>
                </c:pt>
                <c:pt idx="152">
                  <c:v>3.4</c:v>
                </c:pt>
                <c:pt idx="153">
                  <c:v>3.4</c:v>
                </c:pt>
                <c:pt idx="154">
                  <c:v>3.4</c:v>
                </c:pt>
                <c:pt idx="155">
                  <c:v>3.4</c:v>
                </c:pt>
                <c:pt idx="156">
                  <c:v>3.4</c:v>
                </c:pt>
                <c:pt idx="157">
                  <c:v>3.4</c:v>
                </c:pt>
                <c:pt idx="158">
                  <c:v>3.4</c:v>
                </c:pt>
                <c:pt idx="159">
                  <c:v>3.4</c:v>
                </c:pt>
                <c:pt idx="160">
                  <c:v>3.4</c:v>
                </c:pt>
                <c:pt idx="161">
                  <c:v>3.4</c:v>
                </c:pt>
                <c:pt idx="162">
                  <c:v>3.4</c:v>
                </c:pt>
                <c:pt idx="163">
                  <c:v>3.4</c:v>
                </c:pt>
                <c:pt idx="164">
                  <c:v>3.4</c:v>
                </c:pt>
                <c:pt idx="165">
                  <c:v>3.4</c:v>
                </c:pt>
                <c:pt idx="166">
                  <c:v>3.4</c:v>
                </c:pt>
                <c:pt idx="167">
                  <c:v>3.4</c:v>
                </c:pt>
                <c:pt idx="168">
                  <c:v>3.4</c:v>
                </c:pt>
                <c:pt idx="169">
                  <c:v>3.4</c:v>
                </c:pt>
                <c:pt idx="170">
                  <c:v>3.4</c:v>
                </c:pt>
                <c:pt idx="171">
                  <c:v>3.4</c:v>
                </c:pt>
                <c:pt idx="172">
                  <c:v>3.4</c:v>
                </c:pt>
                <c:pt idx="173">
                  <c:v>3.4</c:v>
                </c:pt>
                <c:pt idx="174">
                  <c:v>3.4</c:v>
                </c:pt>
                <c:pt idx="175">
                  <c:v>3.4</c:v>
                </c:pt>
                <c:pt idx="176">
                  <c:v>3.4</c:v>
                </c:pt>
                <c:pt idx="177">
                  <c:v>3.4</c:v>
                </c:pt>
                <c:pt idx="178">
                  <c:v>3.4</c:v>
                </c:pt>
                <c:pt idx="179">
                  <c:v>3.4</c:v>
                </c:pt>
                <c:pt idx="180">
                  <c:v>3.4</c:v>
                </c:pt>
                <c:pt idx="181">
                  <c:v>3.4</c:v>
                </c:pt>
                <c:pt idx="182">
                  <c:v>3.4</c:v>
                </c:pt>
                <c:pt idx="183">
                  <c:v>3.4</c:v>
                </c:pt>
                <c:pt idx="184">
                  <c:v>3.8</c:v>
                </c:pt>
                <c:pt idx="185">
                  <c:v>3.8</c:v>
                </c:pt>
                <c:pt idx="186">
                  <c:v>3.8</c:v>
                </c:pt>
                <c:pt idx="187">
                  <c:v>3.8</c:v>
                </c:pt>
                <c:pt idx="188">
                  <c:v>3.8</c:v>
                </c:pt>
                <c:pt idx="189">
                  <c:v>3.8</c:v>
                </c:pt>
                <c:pt idx="190">
                  <c:v>3.8</c:v>
                </c:pt>
                <c:pt idx="191">
                  <c:v>3.8</c:v>
                </c:pt>
                <c:pt idx="192">
                  <c:v>3.8</c:v>
                </c:pt>
                <c:pt idx="193">
                  <c:v>3.8</c:v>
                </c:pt>
                <c:pt idx="194">
                  <c:v>3.8</c:v>
                </c:pt>
                <c:pt idx="195">
                  <c:v>3.8</c:v>
                </c:pt>
                <c:pt idx="196">
                  <c:v>3.8</c:v>
                </c:pt>
                <c:pt idx="197">
                  <c:v>3.8</c:v>
                </c:pt>
                <c:pt idx="198">
                  <c:v>3.8</c:v>
                </c:pt>
                <c:pt idx="199">
                  <c:v>3.8</c:v>
                </c:pt>
                <c:pt idx="200">
                  <c:v>3.8</c:v>
                </c:pt>
                <c:pt idx="201">
                  <c:v>3.8</c:v>
                </c:pt>
                <c:pt idx="202">
                  <c:v>3.8</c:v>
                </c:pt>
                <c:pt idx="203">
                  <c:v>3.8</c:v>
                </c:pt>
                <c:pt idx="204">
                  <c:v>3.8</c:v>
                </c:pt>
                <c:pt idx="205">
                  <c:v>3.8</c:v>
                </c:pt>
                <c:pt idx="206">
                  <c:v>3.9</c:v>
                </c:pt>
                <c:pt idx="207">
                  <c:v>3.9</c:v>
                </c:pt>
                <c:pt idx="208">
                  <c:v>3.9</c:v>
                </c:pt>
                <c:pt idx="209">
                  <c:v>3.9</c:v>
                </c:pt>
                <c:pt idx="210">
                  <c:v>3.9</c:v>
                </c:pt>
                <c:pt idx="211">
                  <c:v>3.9</c:v>
                </c:pt>
                <c:pt idx="212">
                  <c:v>3.9</c:v>
                </c:pt>
                <c:pt idx="213">
                  <c:v>3.9</c:v>
                </c:pt>
                <c:pt idx="214">
                  <c:v>3.9</c:v>
                </c:pt>
                <c:pt idx="215">
                  <c:v>3.9</c:v>
                </c:pt>
                <c:pt idx="216">
                  <c:v>3.9</c:v>
                </c:pt>
                <c:pt idx="217">
                  <c:v>3.9</c:v>
                </c:pt>
                <c:pt idx="218">
                  <c:v>3.9</c:v>
                </c:pt>
                <c:pt idx="219">
                  <c:v>3.9</c:v>
                </c:pt>
                <c:pt idx="220">
                  <c:v>3.9</c:v>
                </c:pt>
                <c:pt idx="221">
                  <c:v>3.9</c:v>
                </c:pt>
                <c:pt idx="222">
                  <c:v>3.9</c:v>
                </c:pt>
                <c:pt idx="223">
                  <c:v>3.9</c:v>
                </c:pt>
                <c:pt idx="224">
                  <c:v>3.9</c:v>
                </c:pt>
                <c:pt idx="225">
                  <c:v>3.9</c:v>
                </c:pt>
                <c:pt idx="226">
                  <c:v>3.9</c:v>
                </c:pt>
                <c:pt idx="227">
                  <c:v>3.9</c:v>
                </c:pt>
                <c:pt idx="228">
                  <c:v>4</c:v>
                </c:pt>
                <c:pt idx="229">
                  <c:v>4</c:v>
                </c:pt>
                <c:pt idx="230">
                  <c:v>4</c:v>
                </c:pt>
                <c:pt idx="231">
                  <c:v>4</c:v>
                </c:pt>
                <c:pt idx="232">
                  <c:v>4</c:v>
                </c:pt>
                <c:pt idx="233">
                  <c:v>4</c:v>
                </c:pt>
                <c:pt idx="234">
                  <c:v>4</c:v>
                </c:pt>
                <c:pt idx="235">
                  <c:v>4</c:v>
                </c:pt>
                <c:pt idx="236">
                  <c:v>4</c:v>
                </c:pt>
                <c:pt idx="237">
                  <c:v>4</c:v>
                </c:pt>
                <c:pt idx="238">
                  <c:v>4</c:v>
                </c:pt>
                <c:pt idx="239">
                  <c:v>4</c:v>
                </c:pt>
                <c:pt idx="240">
                  <c:v>4</c:v>
                </c:pt>
                <c:pt idx="241">
                  <c:v>4</c:v>
                </c:pt>
                <c:pt idx="242">
                  <c:v>4</c:v>
                </c:pt>
                <c:pt idx="243">
                  <c:v>4</c:v>
                </c:pt>
                <c:pt idx="244">
                  <c:v>4</c:v>
                </c:pt>
                <c:pt idx="245">
                  <c:v>4</c:v>
                </c:pt>
                <c:pt idx="246">
                  <c:v>4</c:v>
                </c:pt>
                <c:pt idx="247">
                  <c:v>4</c:v>
                </c:pt>
                <c:pt idx="248">
                  <c:v>4</c:v>
                </c:pt>
                <c:pt idx="249">
                  <c:v>4.1</c:v>
                </c:pt>
                <c:pt idx="250">
                  <c:v>4.1</c:v>
                </c:pt>
                <c:pt idx="251">
                  <c:v>4.1</c:v>
                </c:pt>
                <c:pt idx="252">
                  <c:v>4.1</c:v>
                </c:pt>
                <c:pt idx="253">
                  <c:v>4.1</c:v>
                </c:pt>
                <c:pt idx="254">
                  <c:v>4.1</c:v>
                </c:pt>
                <c:pt idx="255">
                  <c:v>4.1</c:v>
                </c:pt>
                <c:pt idx="256">
                  <c:v>4.1</c:v>
                </c:pt>
                <c:pt idx="257">
                  <c:v>4.1</c:v>
                </c:pt>
                <c:pt idx="258">
                  <c:v>4.1</c:v>
                </c:pt>
                <c:pt idx="259">
                  <c:v>4.1</c:v>
                </c:pt>
                <c:pt idx="260">
                  <c:v>4.1</c:v>
                </c:pt>
                <c:pt idx="261">
                  <c:v>4.1</c:v>
                </c:pt>
                <c:pt idx="262">
                  <c:v>4.1</c:v>
                </c:pt>
                <c:pt idx="263">
                  <c:v>4.1</c:v>
                </c:pt>
                <c:pt idx="264">
                  <c:v>4.1</c:v>
                </c:pt>
                <c:pt idx="265">
                  <c:v>4.1</c:v>
                </c:pt>
                <c:pt idx="266">
                  <c:v>4.1</c:v>
                </c:pt>
                <c:pt idx="267">
                  <c:v>4.1</c:v>
                </c:pt>
                <c:pt idx="268">
                  <c:v>4.1</c:v>
                </c:pt>
                <c:pt idx="269">
                  <c:v>4.1</c:v>
                </c:pt>
                <c:pt idx="270">
                  <c:v>4.1</c:v>
                </c:pt>
                <c:pt idx="271">
                  <c:v>4.1</c:v>
                </c:pt>
                <c:pt idx="272">
                  <c:v>4.1</c:v>
                </c:pt>
                <c:pt idx="273">
                  <c:v>4.1</c:v>
                </c:pt>
                <c:pt idx="274">
                  <c:v>4.1</c:v>
                </c:pt>
                <c:pt idx="275">
                  <c:v>4.1</c:v>
                </c:pt>
                <c:pt idx="276">
                  <c:v>4.1</c:v>
                </c:pt>
                <c:pt idx="277">
                  <c:v>4.1</c:v>
                </c:pt>
                <c:pt idx="278">
                  <c:v>4.1</c:v>
                </c:pt>
                <c:pt idx="279">
                  <c:v>4.1</c:v>
                </c:pt>
                <c:pt idx="280">
                  <c:v>4.1</c:v>
                </c:pt>
                <c:pt idx="281">
                  <c:v>4.1</c:v>
                </c:pt>
                <c:pt idx="282">
                  <c:v>4.1</c:v>
                </c:pt>
                <c:pt idx="283">
                  <c:v>4.1</c:v>
                </c:pt>
                <c:pt idx="284">
                  <c:v>4.1</c:v>
                </c:pt>
                <c:pt idx="285">
                  <c:v>4.1</c:v>
                </c:pt>
                <c:pt idx="286">
                  <c:v>4.1</c:v>
                </c:pt>
                <c:pt idx="287">
                  <c:v>4.1</c:v>
                </c:pt>
                <c:pt idx="288">
                  <c:v>4.1</c:v>
                </c:pt>
                <c:pt idx="289">
                  <c:v>4.1</c:v>
                </c:pt>
                <c:pt idx="290">
                  <c:v>4.1</c:v>
                </c:pt>
                <c:pt idx="291">
                  <c:v>4.1</c:v>
                </c:pt>
                <c:pt idx="292">
                  <c:v>4.1</c:v>
                </c:pt>
                <c:pt idx="293">
                  <c:v>4.1</c:v>
                </c:pt>
                <c:pt idx="294">
                  <c:v>4.1</c:v>
                </c:pt>
                <c:pt idx="295">
                  <c:v>4.1</c:v>
                </c:pt>
                <c:pt idx="296">
                  <c:v>4.1</c:v>
                </c:pt>
                <c:pt idx="297">
                  <c:v>4.1</c:v>
                </c:pt>
                <c:pt idx="298">
                  <c:v>4.1</c:v>
                </c:pt>
                <c:pt idx="299">
                  <c:v>4.1</c:v>
                </c:pt>
                <c:pt idx="300">
                  <c:v>4.1</c:v>
                </c:pt>
                <c:pt idx="301">
                  <c:v>4.1</c:v>
                </c:pt>
                <c:pt idx="302">
                  <c:v>4.1</c:v>
                </c:pt>
                <c:pt idx="303">
                  <c:v>4.1</c:v>
                </c:pt>
                <c:pt idx="304">
                  <c:v>4.1</c:v>
                </c:pt>
                <c:pt idx="305">
                  <c:v>4.1</c:v>
                </c:pt>
                <c:pt idx="306">
                  <c:v>4.1</c:v>
                </c:pt>
                <c:pt idx="307">
                  <c:v>4.1</c:v>
                </c:pt>
                <c:pt idx="308">
                  <c:v>4.1</c:v>
                </c:pt>
                <c:pt idx="309">
                  <c:v>4.65</c:v>
                </c:pt>
                <c:pt idx="310">
                  <c:v>4.65</c:v>
                </c:pt>
                <c:pt idx="311">
                  <c:v>4.65</c:v>
                </c:pt>
                <c:pt idx="312">
                  <c:v>4.65</c:v>
                </c:pt>
                <c:pt idx="313">
                  <c:v>4.65</c:v>
                </c:pt>
                <c:pt idx="314">
                  <c:v>4.65</c:v>
                </c:pt>
                <c:pt idx="315">
                  <c:v>4.65</c:v>
                </c:pt>
                <c:pt idx="316">
                  <c:v>4.65</c:v>
                </c:pt>
                <c:pt idx="317">
                  <c:v>4.65</c:v>
                </c:pt>
                <c:pt idx="318">
                  <c:v>4.65</c:v>
                </c:pt>
                <c:pt idx="319">
                  <c:v>4.65</c:v>
                </c:pt>
                <c:pt idx="320">
                  <c:v>4.65</c:v>
                </c:pt>
                <c:pt idx="321">
                  <c:v>4.65</c:v>
                </c:pt>
                <c:pt idx="322">
                  <c:v>4.65</c:v>
                </c:pt>
                <c:pt idx="323">
                  <c:v>4.65</c:v>
                </c:pt>
                <c:pt idx="324">
                  <c:v>4.65</c:v>
                </c:pt>
                <c:pt idx="325">
                  <c:v>4.65</c:v>
                </c:pt>
                <c:pt idx="326">
                  <c:v>4.65</c:v>
                </c:pt>
                <c:pt idx="327">
                  <c:v>4.65</c:v>
                </c:pt>
                <c:pt idx="328">
                  <c:v>4.65</c:v>
                </c:pt>
                <c:pt idx="329">
                  <c:v>4.65</c:v>
                </c:pt>
                <c:pt idx="330">
                  <c:v>4.65</c:v>
                </c:pt>
                <c:pt idx="331">
                  <c:v>4.65</c:v>
                </c:pt>
                <c:pt idx="332">
                  <c:v>4.65</c:v>
                </c:pt>
                <c:pt idx="333">
                  <c:v>4.65</c:v>
                </c:pt>
                <c:pt idx="334">
                  <c:v>4.65</c:v>
                </c:pt>
                <c:pt idx="335">
                  <c:v>4.65</c:v>
                </c:pt>
                <c:pt idx="336">
                  <c:v>4.65</c:v>
                </c:pt>
                <c:pt idx="337">
                  <c:v>4.65</c:v>
                </c:pt>
                <c:pt idx="338">
                  <c:v>4.65</c:v>
                </c:pt>
                <c:pt idx="339">
                  <c:v>4.65</c:v>
                </c:pt>
                <c:pt idx="340">
                  <c:v>4.65</c:v>
                </c:pt>
                <c:pt idx="341">
                  <c:v>4.65</c:v>
                </c:pt>
                <c:pt idx="342">
                  <c:v>4.65</c:v>
                </c:pt>
                <c:pt idx="343">
                  <c:v>4.65</c:v>
                </c:pt>
                <c:pt idx="344">
                  <c:v>4.65</c:v>
                </c:pt>
                <c:pt idx="345">
                  <c:v>4.65</c:v>
                </c:pt>
                <c:pt idx="346">
                  <c:v>4.65</c:v>
                </c:pt>
                <c:pt idx="347">
                  <c:v>4.65</c:v>
                </c:pt>
                <c:pt idx="348">
                  <c:v>4.65</c:v>
                </c:pt>
                <c:pt idx="349">
                  <c:v>4.65</c:v>
                </c:pt>
                <c:pt idx="350">
                  <c:v>4.65</c:v>
                </c:pt>
                <c:pt idx="351">
                  <c:v>4.65</c:v>
                </c:pt>
                <c:pt idx="352">
                  <c:v>4.65</c:v>
                </c:pt>
                <c:pt idx="353">
                  <c:v>4.65</c:v>
                </c:pt>
                <c:pt idx="354">
                  <c:v>4.65</c:v>
                </c:pt>
                <c:pt idx="355">
                  <c:v>4.65</c:v>
                </c:pt>
                <c:pt idx="356">
                  <c:v>4.65</c:v>
                </c:pt>
                <c:pt idx="357">
                  <c:v>4.65</c:v>
                </c:pt>
                <c:pt idx="358">
                  <c:v>4.65</c:v>
                </c:pt>
                <c:pt idx="359">
                  <c:v>4.65</c:v>
                </c:pt>
                <c:pt idx="360">
                  <c:v>4.65</c:v>
                </c:pt>
                <c:pt idx="361">
                  <c:v>4.65</c:v>
                </c:pt>
                <c:pt idx="362">
                  <c:v>4.65</c:v>
                </c:pt>
                <c:pt idx="363">
                  <c:v>4.65</c:v>
                </c:pt>
                <c:pt idx="364">
                  <c:v>4.65</c:v>
                </c:pt>
                <c:pt idx="365">
                  <c:v>4.65</c:v>
                </c:pt>
                <c:pt idx="366">
                  <c:v>4.65</c:v>
                </c:pt>
                <c:pt idx="367">
                  <c:v>4.65</c:v>
                </c:pt>
                <c:pt idx="368">
                  <c:v>4.65</c:v>
                </c:pt>
                <c:pt idx="369">
                  <c:v>4.65</c:v>
                </c:pt>
                <c:pt idx="370">
                  <c:v>4.65</c:v>
                </c:pt>
                <c:pt idx="371">
                  <c:v>4.65</c:v>
                </c:pt>
                <c:pt idx="372">
                  <c:v>4.65</c:v>
                </c:pt>
                <c:pt idx="373">
                  <c:v>4.65</c:v>
                </c:pt>
                <c:pt idx="374">
                  <c:v>4.65</c:v>
                </c:pt>
                <c:pt idx="375">
                  <c:v>4.65</c:v>
                </c:pt>
                <c:pt idx="376">
                  <c:v>4.65</c:v>
                </c:pt>
                <c:pt idx="377">
                  <c:v>4.65</c:v>
                </c:pt>
                <c:pt idx="378">
                  <c:v>4.65</c:v>
                </c:pt>
                <c:pt idx="379">
                  <c:v>4.65</c:v>
                </c:pt>
                <c:pt idx="380">
                  <c:v>4.65</c:v>
                </c:pt>
                <c:pt idx="381">
                  <c:v>4.65</c:v>
                </c:pt>
                <c:pt idx="382">
                  <c:v>4.65</c:v>
                </c:pt>
                <c:pt idx="383">
                  <c:v>4.65</c:v>
                </c:pt>
                <c:pt idx="384">
                  <c:v>4.65</c:v>
                </c:pt>
                <c:pt idx="385">
                  <c:v>4.65</c:v>
                </c:pt>
                <c:pt idx="386">
                  <c:v>4.65</c:v>
                </c:pt>
                <c:pt idx="387">
                  <c:v>4.65</c:v>
                </c:pt>
                <c:pt idx="388">
                  <c:v>4.65</c:v>
                </c:pt>
                <c:pt idx="389">
                  <c:v>4.65</c:v>
                </c:pt>
                <c:pt idx="390">
                  <c:v>4.65</c:v>
                </c:pt>
                <c:pt idx="391">
                  <c:v>4.65</c:v>
                </c:pt>
                <c:pt idx="392">
                  <c:v>4.65</c:v>
                </c:pt>
                <c:pt idx="393">
                  <c:v>4.5</c:v>
                </c:pt>
                <c:pt idx="394">
                  <c:v>4.5</c:v>
                </c:pt>
                <c:pt idx="395">
                  <c:v>4.5</c:v>
                </c:pt>
                <c:pt idx="396">
                  <c:v>4.5</c:v>
                </c:pt>
                <c:pt idx="397">
                  <c:v>4.5</c:v>
                </c:pt>
                <c:pt idx="398">
                  <c:v>4.5</c:v>
                </c:pt>
                <c:pt idx="399">
                  <c:v>4.5</c:v>
                </c:pt>
                <c:pt idx="400">
                  <c:v>4.5</c:v>
                </c:pt>
                <c:pt idx="401">
                  <c:v>4.5</c:v>
                </c:pt>
                <c:pt idx="402">
                  <c:v>4.5</c:v>
                </c:pt>
                <c:pt idx="403">
                  <c:v>4.5</c:v>
                </c:pt>
                <c:pt idx="404">
                  <c:v>4.5</c:v>
                </c:pt>
                <c:pt idx="405">
                  <c:v>4.5</c:v>
                </c:pt>
                <c:pt idx="406">
                  <c:v>4.5</c:v>
                </c:pt>
                <c:pt idx="407">
                  <c:v>4.5</c:v>
                </c:pt>
                <c:pt idx="408">
                  <c:v>4.5</c:v>
                </c:pt>
                <c:pt idx="409">
                  <c:v>4.5</c:v>
                </c:pt>
                <c:pt idx="410">
                  <c:v>4.5</c:v>
                </c:pt>
                <c:pt idx="411">
                  <c:v>4.5</c:v>
                </c:pt>
                <c:pt idx="412">
                  <c:v>4.5</c:v>
                </c:pt>
                <c:pt idx="413">
                  <c:v>4.5</c:v>
                </c:pt>
                <c:pt idx="414">
                  <c:v>4.5</c:v>
                </c:pt>
                <c:pt idx="415">
                  <c:v>4.05</c:v>
                </c:pt>
                <c:pt idx="416">
                  <c:v>4.05</c:v>
                </c:pt>
                <c:pt idx="417">
                  <c:v>4.05</c:v>
                </c:pt>
                <c:pt idx="418">
                  <c:v>4.05</c:v>
                </c:pt>
                <c:pt idx="419">
                  <c:v>4.05</c:v>
                </c:pt>
                <c:pt idx="420">
                  <c:v>4.05</c:v>
                </c:pt>
                <c:pt idx="421">
                  <c:v>4.05</c:v>
                </c:pt>
                <c:pt idx="422">
                  <c:v>4.05</c:v>
                </c:pt>
                <c:pt idx="423">
                  <c:v>4.05</c:v>
                </c:pt>
                <c:pt idx="424">
                  <c:v>4.05</c:v>
                </c:pt>
                <c:pt idx="425">
                  <c:v>4.05</c:v>
                </c:pt>
                <c:pt idx="426">
                  <c:v>4.05</c:v>
                </c:pt>
                <c:pt idx="427">
                  <c:v>4.05</c:v>
                </c:pt>
                <c:pt idx="428">
                  <c:v>4.05</c:v>
                </c:pt>
                <c:pt idx="429">
                  <c:v>4.05</c:v>
                </c:pt>
                <c:pt idx="430">
                  <c:v>4.05</c:v>
                </c:pt>
                <c:pt idx="431">
                  <c:v>4.05</c:v>
                </c:pt>
                <c:pt idx="432">
                  <c:v>4.05</c:v>
                </c:pt>
                <c:pt idx="433">
                  <c:v>4.05</c:v>
                </c:pt>
                <c:pt idx="434">
                  <c:v>4.05</c:v>
                </c:pt>
                <c:pt idx="435">
                  <c:v>4.05</c:v>
                </c:pt>
                <c:pt idx="436">
                  <c:v>4.05</c:v>
                </c:pt>
                <c:pt idx="437">
                  <c:v>4.05</c:v>
                </c:pt>
                <c:pt idx="438">
                  <c:v>4.05</c:v>
                </c:pt>
                <c:pt idx="439">
                  <c:v>4.05</c:v>
                </c:pt>
                <c:pt idx="440">
                  <c:v>4.05</c:v>
                </c:pt>
                <c:pt idx="441">
                  <c:v>4.05</c:v>
                </c:pt>
                <c:pt idx="442">
                  <c:v>4.05</c:v>
                </c:pt>
                <c:pt idx="443">
                  <c:v>4.05</c:v>
                </c:pt>
                <c:pt idx="444">
                  <c:v>4.05</c:v>
                </c:pt>
                <c:pt idx="445">
                  <c:v>4.05</c:v>
                </c:pt>
                <c:pt idx="446">
                  <c:v>4.05</c:v>
                </c:pt>
                <c:pt idx="447">
                  <c:v>4.05</c:v>
                </c:pt>
                <c:pt idx="448">
                  <c:v>4.05</c:v>
                </c:pt>
                <c:pt idx="449">
                  <c:v>4.05</c:v>
                </c:pt>
                <c:pt idx="450">
                  <c:v>4.05</c:v>
                </c:pt>
                <c:pt idx="451">
                  <c:v>4.05</c:v>
                </c:pt>
                <c:pt idx="452">
                  <c:v>4.05</c:v>
                </c:pt>
                <c:pt idx="453">
                  <c:v>4.05</c:v>
                </c:pt>
                <c:pt idx="454">
                  <c:v>4.05</c:v>
                </c:pt>
                <c:pt idx="455">
                  <c:v>4.05</c:v>
                </c:pt>
                <c:pt idx="456">
                  <c:v>4.05</c:v>
                </c:pt>
                <c:pt idx="457">
                  <c:v>4.05</c:v>
                </c:pt>
                <c:pt idx="458">
                  <c:v>3.9</c:v>
                </c:pt>
                <c:pt idx="459">
                  <c:v>3.9</c:v>
                </c:pt>
                <c:pt idx="460">
                  <c:v>3.9</c:v>
                </c:pt>
                <c:pt idx="461">
                  <c:v>3.9</c:v>
                </c:pt>
                <c:pt idx="462">
                  <c:v>3.9</c:v>
                </c:pt>
                <c:pt idx="463">
                  <c:v>3.9</c:v>
                </c:pt>
                <c:pt idx="464">
                  <c:v>3.9</c:v>
                </c:pt>
                <c:pt idx="465">
                  <c:v>3.9</c:v>
                </c:pt>
                <c:pt idx="466">
                  <c:v>3.9</c:v>
                </c:pt>
                <c:pt idx="467">
                  <c:v>3.9</c:v>
                </c:pt>
                <c:pt idx="468">
                  <c:v>3.9</c:v>
                </c:pt>
                <c:pt idx="469">
                  <c:v>3.9</c:v>
                </c:pt>
                <c:pt idx="470">
                  <c:v>3.9</c:v>
                </c:pt>
                <c:pt idx="471">
                  <c:v>3.9</c:v>
                </c:pt>
                <c:pt idx="472">
                  <c:v>3.9</c:v>
                </c:pt>
                <c:pt idx="473">
                  <c:v>3.9</c:v>
                </c:pt>
                <c:pt idx="474">
                  <c:v>3.9</c:v>
                </c:pt>
                <c:pt idx="475">
                  <c:v>3.9</c:v>
                </c:pt>
                <c:pt idx="476">
                  <c:v>3.9</c:v>
                </c:pt>
                <c:pt idx="477">
                  <c:v>3.9</c:v>
                </c:pt>
                <c:pt idx="478">
                  <c:v>3.9</c:v>
                </c:pt>
                <c:pt idx="479">
                  <c:v>3.9</c:v>
                </c:pt>
                <c:pt idx="480">
                  <c:v>3.9</c:v>
                </c:pt>
                <c:pt idx="481">
                  <c:v>3.9</c:v>
                </c:pt>
                <c:pt idx="482">
                  <c:v>3.9</c:v>
                </c:pt>
                <c:pt idx="483">
                  <c:v>3.9</c:v>
                </c:pt>
                <c:pt idx="484">
                  <c:v>3.9</c:v>
                </c:pt>
                <c:pt idx="485">
                  <c:v>3.9</c:v>
                </c:pt>
                <c:pt idx="486">
                  <c:v>3.9</c:v>
                </c:pt>
                <c:pt idx="487">
                  <c:v>3.9</c:v>
                </c:pt>
                <c:pt idx="488">
                  <c:v>3.9</c:v>
                </c:pt>
                <c:pt idx="489">
                  <c:v>3.9</c:v>
                </c:pt>
                <c:pt idx="490">
                  <c:v>3.9</c:v>
                </c:pt>
                <c:pt idx="491">
                  <c:v>3.9</c:v>
                </c:pt>
                <c:pt idx="492">
                  <c:v>3.9</c:v>
                </c:pt>
                <c:pt idx="493">
                  <c:v>3.9</c:v>
                </c:pt>
                <c:pt idx="494">
                  <c:v>3.9</c:v>
                </c:pt>
                <c:pt idx="495">
                  <c:v>3.9</c:v>
                </c:pt>
                <c:pt idx="496">
                  <c:v>3.9</c:v>
                </c:pt>
                <c:pt idx="497">
                  <c:v>3.9</c:v>
                </c:pt>
                <c:pt idx="498">
                  <c:v>3.9</c:v>
                </c:pt>
                <c:pt idx="499">
                  <c:v>3.9</c:v>
                </c:pt>
                <c:pt idx="500">
                  <c:v>3.9</c:v>
                </c:pt>
                <c:pt idx="501">
                  <c:v>3.75</c:v>
                </c:pt>
                <c:pt idx="502">
                  <c:v>3.75</c:v>
                </c:pt>
                <c:pt idx="503">
                  <c:v>3.75</c:v>
                </c:pt>
                <c:pt idx="504">
                  <c:v>3.75</c:v>
                </c:pt>
                <c:pt idx="505">
                  <c:v>3.75</c:v>
                </c:pt>
                <c:pt idx="506">
                  <c:v>3.75</c:v>
                </c:pt>
                <c:pt idx="507">
                  <c:v>3.75</c:v>
                </c:pt>
                <c:pt idx="508">
                  <c:v>3.75</c:v>
                </c:pt>
                <c:pt idx="509">
                  <c:v>3.75</c:v>
                </c:pt>
                <c:pt idx="510">
                  <c:v>3.75</c:v>
                </c:pt>
                <c:pt idx="511">
                  <c:v>3.75</c:v>
                </c:pt>
                <c:pt idx="512">
                  <c:v>3.75</c:v>
                </c:pt>
                <c:pt idx="513">
                  <c:v>3.75</c:v>
                </c:pt>
                <c:pt idx="514">
                  <c:v>3.75</c:v>
                </c:pt>
                <c:pt idx="515">
                  <c:v>3.75</c:v>
                </c:pt>
                <c:pt idx="516">
                  <c:v>3.75</c:v>
                </c:pt>
                <c:pt idx="517">
                  <c:v>3.75</c:v>
                </c:pt>
                <c:pt idx="518">
                  <c:v>3.75</c:v>
                </c:pt>
                <c:pt idx="519">
                  <c:v>3.8</c:v>
                </c:pt>
                <c:pt idx="520">
                  <c:v>3.8</c:v>
                </c:pt>
                <c:pt idx="521">
                  <c:v>3.8</c:v>
                </c:pt>
                <c:pt idx="522">
                  <c:v>3.8</c:v>
                </c:pt>
                <c:pt idx="523">
                  <c:v>3.8</c:v>
                </c:pt>
                <c:pt idx="524">
                  <c:v>3.8</c:v>
                </c:pt>
                <c:pt idx="525">
                  <c:v>3.8</c:v>
                </c:pt>
                <c:pt idx="526">
                  <c:v>3.8</c:v>
                </c:pt>
                <c:pt idx="527">
                  <c:v>3.8</c:v>
                </c:pt>
                <c:pt idx="528">
                  <c:v>3.8</c:v>
                </c:pt>
                <c:pt idx="529">
                  <c:v>3.8</c:v>
                </c:pt>
                <c:pt idx="530">
                  <c:v>3.8</c:v>
                </c:pt>
                <c:pt idx="531">
                  <c:v>3.8</c:v>
                </c:pt>
                <c:pt idx="532">
                  <c:v>3.8</c:v>
                </c:pt>
                <c:pt idx="533">
                  <c:v>3.8</c:v>
                </c:pt>
                <c:pt idx="534">
                  <c:v>3.8</c:v>
                </c:pt>
                <c:pt idx="535">
                  <c:v>3.8</c:v>
                </c:pt>
                <c:pt idx="536">
                  <c:v>3.8</c:v>
                </c:pt>
                <c:pt idx="537">
                  <c:v>3.8</c:v>
                </c:pt>
                <c:pt idx="538">
                  <c:v>3.8</c:v>
                </c:pt>
                <c:pt idx="539">
                  <c:v>4.25</c:v>
                </c:pt>
                <c:pt idx="540">
                  <c:v>4.25</c:v>
                </c:pt>
                <c:pt idx="541">
                  <c:v>4.25</c:v>
                </c:pt>
                <c:pt idx="542">
                  <c:v>4.25</c:v>
                </c:pt>
                <c:pt idx="543">
                  <c:v>4.25</c:v>
                </c:pt>
                <c:pt idx="544">
                  <c:v>4.25</c:v>
                </c:pt>
                <c:pt idx="545">
                  <c:v>4.25</c:v>
                </c:pt>
                <c:pt idx="546">
                  <c:v>4.25</c:v>
                </c:pt>
                <c:pt idx="547">
                  <c:v>4.25</c:v>
                </c:pt>
                <c:pt idx="548">
                  <c:v>4.25</c:v>
                </c:pt>
                <c:pt idx="549">
                  <c:v>4.25</c:v>
                </c:pt>
                <c:pt idx="550">
                  <c:v>4.25</c:v>
                </c:pt>
                <c:pt idx="551">
                  <c:v>4.25</c:v>
                </c:pt>
                <c:pt idx="552">
                  <c:v>4.25</c:v>
                </c:pt>
                <c:pt idx="553">
                  <c:v>4.25</c:v>
                </c:pt>
                <c:pt idx="554">
                  <c:v>4.25</c:v>
                </c:pt>
                <c:pt idx="555">
                  <c:v>4.25</c:v>
                </c:pt>
                <c:pt idx="556">
                  <c:v>4.25</c:v>
                </c:pt>
                <c:pt idx="557">
                  <c:v>4.25</c:v>
                </c:pt>
                <c:pt idx="558">
                  <c:v>4.25</c:v>
                </c:pt>
                <c:pt idx="559">
                  <c:v>4.25</c:v>
                </c:pt>
                <c:pt idx="560">
                  <c:v>4.6</c:v>
                </c:pt>
                <c:pt idx="561">
                  <c:v>4.6</c:v>
                </c:pt>
                <c:pt idx="562">
                  <c:v>4.6</c:v>
                </c:pt>
                <c:pt idx="563">
                  <c:v>4.6</c:v>
                </c:pt>
                <c:pt idx="564">
                  <c:v>4.6</c:v>
                </c:pt>
                <c:pt idx="565">
                  <c:v>4.6</c:v>
                </c:pt>
                <c:pt idx="566">
                  <c:v>4.6</c:v>
                </c:pt>
                <c:pt idx="567">
                  <c:v>4.6</c:v>
                </c:pt>
                <c:pt idx="568">
                  <c:v>4.6</c:v>
                </c:pt>
                <c:pt idx="569">
                  <c:v>4.6</c:v>
                </c:pt>
                <c:pt idx="570">
                  <c:v>4.6</c:v>
                </c:pt>
                <c:pt idx="571">
                  <c:v>4.6</c:v>
                </c:pt>
                <c:pt idx="572">
                  <c:v>4.6</c:v>
                </c:pt>
                <c:pt idx="573">
                  <c:v>4.6</c:v>
                </c:pt>
                <c:pt idx="574">
                  <c:v>4.6</c:v>
                </c:pt>
                <c:pt idx="575">
                  <c:v>4.6</c:v>
                </c:pt>
                <c:pt idx="576">
                  <c:v>4.6</c:v>
                </c:pt>
                <c:pt idx="577">
                  <c:v>4.6</c:v>
                </c:pt>
                <c:pt idx="578">
                  <c:v>4.6</c:v>
                </c:pt>
                <c:pt idx="579">
                  <c:v>4.6</c:v>
                </c:pt>
                <c:pt idx="580">
                  <c:v>4.6</c:v>
                </c:pt>
                <c:pt idx="581">
                  <c:v>4.8</c:v>
                </c:pt>
                <c:pt idx="582">
                  <c:v>4.8</c:v>
                </c:pt>
                <c:pt idx="583">
                  <c:v>4.8</c:v>
                </c:pt>
                <c:pt idx="584">
                  <c:v>4.8</c:v>
                </c:pt>
                <c:pt idx="585">
                  <c:v>4.8</c:v>
                </c:pt>
                <c:pt idx="586">
                  <c:v>4.8</c:v>
                </c:pt>
                <c:pt idx="587">
                  <c:v>4.8</c:v>
                </c:pt>
                <c:pt idx="588">
                  <c:v>4.8</c:v>
                </c:pt>
                <c:pt idx="589">
                  <c:v>4.8</c:v>
                </c:pt>
                <c:pt idx="590">
                  <c:v>4.8</c:v>
                </c:pt>
                <c:pt idx="591">
                  <c:v>4.8</c:v>
                </c:pt>
                <c:pt idx="592">
                  <c:v>4.8</c:v>
                </c:pt>
                <c:pt idx="593">
                  <c:v>4.8</c:v>
                </c:pt>
                <c:pt idx="594">
                  <c:v>4.8</c:v>
                </c:pt>
                <c:pt idx="595">
                  <c:v>4.8</c:v>
                </c:pt>
                <c:pt idx="596">
                  <c:v>4.8</c:v>
                </c:pt>
                <c:pt idx="597">
                  <c:v>4.8</c:v>
                </c:pt>
                <c:pt idx="598">
                  <c:v>4.8</c:v>
                </c:pt>
                <c:pt idx="599">
                  <c:v>4.8</c:v>
                </c:pt>
                <c:pt idx="600">
                  <c:v>4.8</c:v>
                </c:pt>
                <c:pt idx="601">
                  <c:v>4.8</c:v>
                </c:pt>
                <c:pt idx="602">
                  <c:v>5.1</c:v>
                </c:pt>
                <c:pt idx="603">
                  <c:v>5.1</c:v>
                </c:pt>
                <c:pt idx="604">
                  <c:v>5.1</c:v>
                </c:pt>
                <c:pt idx="605">
                  <c:v>5.1</c:v>
                </c:pt>
                <c:pt idx="606">
                  <c:v>5.1</c:v>
                </c:pt>
                <c:pt idx="607">
                  <c:v>5.1</c:v>
                </c:pt>
                <c:pt idx="608">
                  <c:v>5.1</c:v>
                </c:pt>
                <c:pt idx="609">
                  <c:v>5.1</c:v>
                </c:pt>
                <c:pt idx="610">
                  <c:v>5.1</c:v>
                </c:pt>
                <c:pt idx="611">
                  <c:v>5.1</c:v>
                </c:pt>
                <c:pt idx="612">
                  <c:v>5.1</c:v>
                </c:pt>
                <c:pt idx="613">
                  <c:v>5.1</c:v>
                </c:pt>
                <c:pt idx="614">
                  <c:v>5.1</c:v>
                </c:pt>
                <c:pt idx="615">
                  <c:v>5.1</c:v>
                </c:pt>
                <c:pt idx="616">
                  <c:v>5.1</c:v>
                </c:pt>
                <c:pt idx="617">
                  <c:v>5.1</c:v>
                </c:pt>
                <c:pt idx="618">
                  <c:v>5.1</c:v>
                </c:pt>
                <c:pt idx="619">
                  <c:v>5.1</c:v>
                </c:pt>
                <c:pt idx="620">
                  <c:v>5.1</c:v>
                </c:pt>
                <c:pt idx="621">
                  <c:v>5.1</c:v>
                </c:pt>
                <c:pt idx="622">
                  <c:v>5.1</c:v>
                </c:pt>
                <c:pt idx="623">
                  <c:v>5.25</c:v>
                </c:pt>
                <c:pt idx="624">
                  <c:v>5.25</c:v>
                </c:pt>
                <c:pt idx="625">
                  <c:v>5.25</c:v>
                </c:pt>
                <c:pt idx="626">
                  <c:v>5.25</c:v>
                </c:pt>
                <c:pt idx="627">
                  <c:v>5.25</c:v>
                </c:pt>
                <c:pt idx="628">
                  <c:v>5.25</c:v>
                </c:pt>
                <c:pt idx="629">
                  <c:v>5.25</c:v>
                </c:pt>
                <c:pt idx="630">
                  <c:v>5.25</c:v>
                </c:pt>
                <c:pt idx="631">
                  <c:v>5.25</c:v>
                </c:pt>
                <c:pt idx="632">
                  <c:v>5.25</c:v>
                </c:pt>
                <c:pt idx="633">
                  <c:v>5.25</c:v>
                </c:pt>
                <c:pt idx="634">
                  <c:v>5.25</c:v>
                </c:pt>
                <c:pt idx="635">
                  <c:v>5.25</c:v>
                </c:pt>
                <c:pt idx="636">
                  <c:v>5.25</c:v>
                </c:pt>
                <c:pt idx="637">
                  <c:v>5.25</c:v>
                </c:pt>
                <c:pt idx="638">
                  <c:v>5.25</c:v>
                </c:pt>
                <c:pt idx="639">
                  <c:v>5.25</c:v>
                </c:pt>
                <c:pt idx="640">
                  <c:v>5.25</c:v>
                </c:pt>
                <c:pt idx="641">
                  <c:v>5.25</c:v>
                </c:pt>
                <c:pt idx="642">
                  <c:v>5.25</c:v>
                </c:pt>
                <c:pt idx="643">
                  <c:v>5.25</c:v>
                </c:pt>
                <c:pt idx="644">
                  <c:v>5.25</c:v>
                </c:pt>
                <c:pt idx="645">
                  <c:v>5.25</c:v>
                </c:pt>
                <c:pt idx="646">
                  <c:v>5.25</c:v>
                </c:pt>
                <c:pt idx="647">
                  <c:v>5.25</c:v>
                </c:pt>
                <c:pt idx="648">
                  <c:v>5.25</c:v>
                </c:pt>
                <c:pt idx="649">
                  <c:v>5.25</c:v>
                </c:pt>
                <c:pt idx="650">
                  <c:v>5.25</c:v>
                </c:pt>
                <c:pt idx="651">
                  <c:v>5.25</c:v>
                </c:pt>
                <c:pt idx="652">
                  <c:v>5.25</c:v>
                </c:pt>
                <c:pt idx="653">
                  <c:v>5.25</c:v>
                </c:pt>
                <c:pt idx="654">
                  <c:v>5.25</c:v>
                </c:pt>
                <c:pt idx="655">
                  <c:v>5.25</c:v>
                </c:pt>
                <c:pt idx="656">
                  <c:v>5.25</c:v>
                </c:pt>
                <c:pt idx="657">
                  <c:v>5.25</c:v>
                </c:pt>
                <c:pt idx="658">
                  <c:v>5.25</c:v>
                </c:pt>
                <c:pt idx="659">
                  <c:v>5.25</c:v>
                </c:pt>
                <c:pt idx="660">
                  <c:v>5.25</c:v>
                </c:pt>
                <c:pt idx="661">
                  <c:v>5.25</c:v>
                </c:pt>
                <c:pt idx="662">
                  <c:v>5.25</c:v>
                </c:pt>
                <c:pt idx="663">
                  <c:v>5.25</c:v>
                </c:pt>
                <c:pt idx="664">
                  <c:v>5.25</c:v>
                </c:pt>
                <c:pt idx="665">
                  <c:v>5.25</c:v>
                </c:pt>
                <c:pt idx="666">
                  <c:v>5.25</c:v>
                </c:pt>
                <c:pt idx="667">
                  <c:v>6.1</c:v>
                </c:pt>
                <c:pt idx="668">
                  <c:v>6.1</c:v>
                </c:pt>
                <c:pt idx="669">
                  <c:v>6.1</c:v>
                </c:pt>
                <c:pt idx="670">
                  <c:v>6.1</c:v>
                </c:pt>
                <c:pt idx="671">
                  <c:v>6.1</c:v>
                </c:pt>
                <c:pt idx="672">
                  <c:v>6.1</c:v>
                </c:pt>
                <c:pt idx="673">
                  <c:v>6.1</c:v>
                </c:pt>
                <c:pt idx="674">
                  <c:v>6.1</c:v>
                </c:pt>
                <c:pt idx="675">
                  <c:v>6.1</c:v>
                </c:pt>
                <c:pt idx="676">
                  <c:v>6.1</c:v>
                </c:pt>
                <c:pt idx="677">
                  <c:v>6.1</c:v>
                </c:pt>
                <c:pt idx="678">
                  <c:v>6.1</c:v>
                </c:pt>
                <c:pt idx="679">
                  <c:v>6.1</c:v>
                </c:pt>
                <c:pt idx="680">
                  <c:v>6.1</c:v>
                </c:pt>
                <c:pt idx="681">
                  <c:v>6.1</c:v>
                </c:pt>
                <c:pt idx="682">
                  <c:v>6.1</c:v>
                </c:pt>
                <c:pt idx="683">
                  <c:v>6.1</c:v>
                </c:pt>
                <c:pt idx="684">
                  <c:v>6.1</c:v>
                </c:pt>
                <c:pt idx="685">
                  <c:v>6.1</c:v>
                </c:pt>
                <c:pt idx="686">
                  <c:v>6.1</c:v>
                </c:pt>
                <c:pt idx="687">
                  <c:v>6.1</c:v>
                </c:pt>
                <c:pt idx="688">
                  <c:v>6.1</c:v>
                </c:pt>
                <c:pt idx="689">
                  <c:v>8.7</c:v>
                </c:pt>
                <c:pt idx="690">
                  <c:v>8.7</c:v>
                </c:pt>
                <c:pt idx="691">
                  <c:v>8.7</c:v>
                </c:pt>
                <c:pt idx="692">
                  <c:v>8.7</c:v>
                </c:pt>
                <c:pt idx="693">
                  <c:v>8.7</c:v>
                </c:pt>
                <c:pt idx="694">
                  <c:v>8.7</c:v>
                </c:pt>
                <c:pt idx="695">
                  <c:v>8.7</c:v>
                </c:pt>
                <c:pt idx="696">
                  <c:v>8.7</c:v>
                </c:pt>
                <c:pt idx="697">
                  <c:v>8.7</c:v>
                </c:pt>
                <c:pt idx="698">
                  <c:v>8.7</c:v>
                </c:pt>
                <c:pt idx="699">
                  <c:v>8.7</c:v>
                </c:pt>
                <c:pt idx="700">
                  <c:v>8.7</c:v>
                </c:pt>
                <c:pt idx="701">
                  <c:v>8.7</c:v>
                </c:pt>
                <c:pt idx="702">
                  <c:v>8.7</c:v>
                </c:pt>
                <c:pt idx="703">
                  <c:v>8.7</c:v>
                </c:pt>
                <c:pt idx="704">
                  <c:v>8.7</c:v>
                </c:pt>
                <c:pt idx="705">
                  <c:v>8.7</c:v>
                </c:pt>
                <c:pt idx="706">
                  <c:v>8.7</c:v>
                </c:pt>
                <c:pt idx="707">
                  <c:v>8.7</c:v>
                </c:pt>
                <c:pt idx="708">
                  <c:v>8.7</c:v>
                </c:pt>
                <c:pt idx="709">
                  <c:v>8.7</c:v>
                </c:pt>
                <c:pt idx="710">
                  <c:v>8.7</c:v>
                </c:pt>
                <c:pt idx="711">
                  <c:v>8.7</c:v>
                </c:pt>
                <c:pt idx="712">
                  <c:v>19.5</c:v>
                </c:pt>
                <c:pt idx="713">
                  <c:v>19.5</c:v>
                </c:pt>
                <c:pt idx="714">
                  <c:v>19.5</c:v>
                </c:pt>
                <c:pt idx="715">
                  <c:v>19.5</c:v>
                </c:pt>
                <c:pt idx="716">
                  <c:v>19.5</c:v>
                </c:pt>
                <c:pt idx="717">
                  <c:v>19.5</c:v>
                </c:pt>
                <c:pt idx="718">
                  <c:v>19.5</c:v>
                </c:pt>
                <c:pt idx="719">
                  <c:v>19.5</c:v>
                </c:pt>
                <c:pt idx="720">
                  <c:v>19.5</c:v>
                </c:pt>
                <c:pt idx="721">
                  <c:v>19.5</c:v>
                </c:pt>
                <c:pt idx="722">
                  <c:v>19.5</c:v>
                </c:pt>
                <c:pt idx="723">
                  <c:v>19.5</c:v>
                </c:pt>
                <c:pt idx="724">
                  <c:v>19.5</c:v>
                </c:pt>
                <c:pt idx="725">
                  <c:v>19.5</c:v>
                </c:pt>
                <c:pt idx="726">
                  <c:v>19.5</c:v>
                </c:pt>
                <c:pt idx="727">
                  <c:v>19.5</c:v>
                </c:pt>
                <c:pt idx="728">
                  <c:v>19.5</c:v>
                </c:pt>
                <c:pt idx="729">
                  <c:v>19.5</c:v>
                </c:pt>
                <c:pt idx="730">
                  <c:v>19.5</c:v>
                </c:pt>
                <c:pt idx="731">
                  <c:v>19.5</c:v>
                </c:pt>
                <c:pt idx="732">
                  <c:v>20.8</c:v>
                </c:pt>
                <c:pt idx="733">
                  <c:v>20.8</c:v>
                </c:pt>
                <c:pt idx="734">
                  <c:v>20.8</c:v>
                </c:pt>
                <c:pt idx="735">
                  <c:v>20.8</c:v>
                </c:pt>
                <c:pt idx="736">
                  <c:v>20.8</c:v>
                </c:pt>
                <c:pt idx="737">
                  <c:v>20.8</c:v>
                </c:pt>
                <c:pt idx="738">
                  <c:v>20.8</c:v>
                </c:pt>
                <c:pt idx="739">
                  <c:v>20.8</c:v>
                </c:pt>
                <c:pt idx="740">
                  <c:v>20.8</c:v>
                </c:pt>
                <c:pt idx="741">
                  <c:v>20.8</c:v>
                </c:pt>
                <c:pt idx="742">
                  <c:v>20.8</c:v>
                </c:pt>
                <c:pt idx="743">
                  <c:v>20.8</c:v>
                </c:pt>
                <c:pt idx="744">
                  <c:v>20.8</c:v>
                </c:pt>
                <c:pt idx="745">
                  <c:v>20.8</c:v>
                </c:pt>
                <c:pt idx="746">
                  <c:v>20.8</c:v>
                </c:pt>
                <c:pt idx="747">
                  <c:v>20.8</c:v>
                </c:pt>
                <c:pt idx="748">
                  <c:v>20.8</c:v>
                </c:pt>
                <c:pt idx="749">
                  <c:v>20.8</c:v>
                </c:pt>
                <c:pt idx="750">
                  <c:v>20.8</c:v>
                </c:pt>
                <c:pt idx="751">
                  <c:v>20.8</c:v>
                </c:pt>
                <c:pt idx="752">
                  <c:v>20.8</c:v>
                </c:pt>
                <c:pt idx="753">
                  <c:v>20.8</c:v>
                </c:pt>
                <c:pt idx="754">
                  <c:v>20.8</c:v>
                </c:pt>
                <c:pt idx="755">
                  <c:v>28.5</c:v>
                </c:pt>
                <c:pt idx="756">
                  <c:v>28.5</c:v>
                </c:pt>
                <c:pt idx="757">
                  <c:v>28.5</c:v>
                </c:pt>
                <c:pt idx="758">
                  <c:v>28.5</c:v>
                </c:pt>
                <c:pt idx="759">
                  <c:v>28.5</c:v>
                </c:pt>
                <c:pt idx="760">
                  <c:v>28.5</c:v>
                </c:pt>
                <c:pt idx="761">
                  <c:v>28.5</c:v>
                </c:pt>
                <c:pt idx="762">
                  <c:v>28.5</c:v>
                </c:pt>
                <c:pt idx="763">
                  <c:v>28.5</c:v>
                </c:pt>
                <c:pt idx="764">
                  <c:v>28.5</c:v>
                </c:pt>
                <c:pt idx="765">
                  <c:v>28.5</c:v>
                </c:pt>
                <c:pt idx="766">
                  <c:v>28.5</c:v>
                </c:pt>
                <c:pt idx="767">
                  <c:v>28.5</c:v>
                </c:pt>
                <c:pt idx="768">
                  <c:v>28.5</c:v>
                </c:pt>
                <c:pt idx="769">
                  <c:v>28.5</c:v>
                </c:pt>
                <c:pt idx="770">
                  <c:v>28.5</c:v>
                </c:pt>
                <c:pt idx="771">
                  <c:v>28.5</c:v>
                </c:pt>
                <c:pt idx="772">
                  <c:v>28.5</c:v>
                </c:pt>
                <c:pt idx="773">
                  <c:v>28.5</c:v>
                </c:pt>
                <c:pt idx="774">
                  <c:v>28.5</c:v>
                </c:pt>
                <c:pt idx="775">
                  <c:v>28.5</c:v>
                </c:pt>
                <c:pt idx="776">
                  <c:v>30</c:v>
                </c:pt>
                <c:pt idx="777">
                  <c:v>30</c:v>
                </c:pt>
                <c:pt idx="778">
                  <c:v>30</c:v>
                </c:pt>
                <c:pt idx="779">
                  <c:v>30</c:v>
                </c:pt>
                <c:pt idx="780">
                  <c:v>30</c:v>
                </c:pt>
                <c:pt idx="781">
                  <c:v>30</c:v>
                </c:pt>
                <c:pt idx="782">
                  <c:v>30</c:v>
                </c:pt>
                <c:pt idx="783">
                  <c:v>30</c:v>
                </c:pt>
                <c:pt idx="784">
                  <c:v>30</c:v>
                </c:pt>
                <c:pt idx="785">
                  <c:v>30</c:v>
                </c:pt>
                <c:pt idx="786">
                  <c:v>30</c:v>
                </c:pt>
                <c:pt idx="787">
                  <c:v>30</c:v>
                </c:pt>
                <c:pt idx="788">
                  <c:v>30</c:v>
                </c:pt>
                <c:pt idx="789">
                  <c:v>30</c:v>
                </c:pt>
                <c:pt idx="790">
                  <c:v>30</c:v>
                </c:pt>
                <c:pt idx="791">
                  <c:v>31</c:v>
                </c:pt>
                <c:pt idx="792">
                  <c:v>31</c:v>
                </c:pt>
                <c:pt idx="793">
                  <c:v>31</c:v>
                </c:pt>
                <c:pt idx="794">
                  <c:v>31</c:v>
                </c:pt>
                <c:pt idx="795">
                  <c:v>31</c:v>
                </c:pt>
                <c:pt idx="796">
                  <c:v>31</c:v>
                </c:pt>
                <c:pt idx="797">
                  <c:v>31</c:v>
                </c:pt>
                <c:pt idx="798">
                  <c:v>31</c:v>
                </c:pt>
                <c:pt idx="799">
                  <c:v>31</c:v>
                </c:pt>
                <c:pt idx="800">
                  <c:v>31</c:v>
                </c:pt>
                <c:pt idx="801">
                  <c:v>31</c:v>
                </c:pt>
                <c:pt idx="802">
                  <c:v>31</c:v>
                </c:pt>
                <c:pt idx="803">
                  <c:v>31</c:v>
                </c:pt>
                <c:pt idx="804">
                  <c:v>31</c:v>
                </c:pt>
                <c:pt idx="805">
                  <c:v>31</c:v>
                </c:pt>
                <c:pt idx="806">
                  <c:v>31</c:v>
                </c:pt>
                <c:pt idx="807">
                  <c:v>31</c:v>
                </c:pt>
                <c:pt idx="808">
                  <c:v>31</c:v>
                </c:pt>
                <c:pt idx="809">
                  <c:v>31</c:v>
                </c:pt>
                <c:pt idx="810">
                  <c:v>31</c:v>
                </c:pt>
                <c:pt idx="811">
                  <c:v>31</c:v>
                </c:pt>
                <c:pt idx="812">
                  <c:v>31</c:v>
                </c:pt>
                <c:pt idx="813">
                  <c:v>35</c:v>
                </c:pt>
                <c:pt idx="814">
                  <c:v>35</c:v>
                </c:pt>
                <c:pt idx="815">
                  <c:v>35</c:v>
                </c:pt>
                <c:pt idx="816">
                  <c:v>35</c:v>
                </c:pt>
                <c:pt idx="817">
                  <c:v>35</c:v>
                </c:pt>
                <c:pt idx="818">
                  <c:v>35</c:v>
                </c:pt>
                <c:pt idx="819">
                  <c:v>35</c:v>
                </c:pt>
                <c:pt idx="820">
                  <c:v>35</c:v>
                </c:pt>
                <c:pt idx="821">
                  <c:v>35</c:v>
                </c:pt>
                <c:pt idx="822">
                  <c:v>35</c:v>
                </c:pt>
                <c:pt idx="823">
                  <c:v>35</c:v>
                </c:pt>
                <c:pt idx="824">
                  <c:v>35</c:v>
                </c:pt>
                <c:pt idx="825">
                  <c:v>35</c:v>
                </c:pt>
                <c:pt idx="826">
                  <c:v>35</c:v>
                </c:pt>
                <c:pt idx="827">
                  <c:v>35</c:v>
                </c:pt>
                <c:pt idx="828">
                  <c:v>35</c:v>
                </c:pt>
                <c:pt idx="829">
                  <c:v>35</c:v>
                </c:pt>
                <c:pt idx="830">
                  <c:v>35</c:v>
                </c:pt>
                <c:pt idx="831">
                  <c:v>35</c:v>
                </c:pt>
                <c:pt idx="832">
                  <c:v>35</c:v>
                </c:pt>
                <c:pt idx="833">
                  <c:v>35</c:v>
                </c:pt>
                <c:pt idx="834">
                  <c:v>37.5</c:v>
                </c:pt>
                <c:pt idx="835">
                  <c:v>37.5</c:v>
                </c:pt>
                <c:pt idx="836">
                  <c:v>37.5</c:v>
                </c:pt>
                <c:pt idx="837">
                  <c:v>37.5</c:v>
                </c:pt>
                <c:pt idx="838">
                  <c:v>37.5</c:v>
                </c:pt>
                <c:pt idx="839">
                  <c:v>37.5</c:v>
                </c:pt>
                <c:pt idx="840">
                  <c:v>37.5</c:v>
                </c:pt>
                <c:pt idx="841">
                  <c:v>37.5</c:v>
                </c:pt>
                <c:pt idx="842">
                  <c:v>37.5</c:v>
                </c:pt>
                <c:pt idx="843">
                  <c:v>37.5</c:v>
                </c:pt>
                <c:pt idx="844">
                  <c:v>37.5</c:v>
                </c:pt>
                <c:pt idx="845">
                  <c:v>37.5</c:v>
                </c:pt>
                <c:pt idx="846">
                  <c:v>37.5</c:v>
                </c:pt>
                <c:pt idx="847">
                  <c:v>37.5</c:v>
                </c:pt>
                <c:pt idx="848">
                  <c:v>37.5</c:v>
                </c:pt>
                <c:pt idx="849">
                  <c:v>37.5</c:v>
                </c:pt>
                <c:pt idx="850">
                  <c:v>37.5</c:v>
                </c:pt>
                <c:pt idx="851">
                  <c:v>37.5</c:v>
                </c:pt>
                <c:pt idx="852">
                  <c:v>37.5</c:v>
                </c:pt>
                <c:pt idx="853">
                  <c:v>37.5</c:v>
                </c:pt>
                <c:pt idx="854">
                  <c:v>#N/A</c:v>
                </c:pt>
              </c:numCache>
            </c:numRef>
          </c:val>
          <c:smooth val="0"/>
        </c:ser>
        <c:dLbls>
          <c:showLegendKey val="0"/>
          <c:showVal val="0"/>
          <c:showCatName val="0"/>
          <c:showSerName val="0"/>
          <c:showPercent val="0"/>
          <c:showBubbleSize val="0"/>
        </c:dLbls>
        <c:marker val="0"/>
        <c:smooth val="0"/>
        <c:axId val="500746112"/>
        <c:axId val="500747648"/>
      </c:lineChart>
      <c:dateAx>
        <c:axId val="500746112"/>
        <c:scaling>
          <c:orientation val="minMax"/>
        </c:scaling>
        <c:delete val="0"/>
        <c:axPos val="b"/>
        <c:majorGridlines>
          <c:spPr>
            <a:ln w="12700" cap="flat" cmpd="sng" algn="ctr">
              <a:solidFill>
                <a:schemeClr val="tx1">
                  <a:tint val="75000"/>
                </a:schemeClr>
              </a:solidFill>
              <a:prstDash val="dash"/>
              <a:round/>
            </a:ln>
          </c:spPr>
        </c:majorGridlines>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500747648"/>
        <c:crosses val="autoZero"/>
        <c:auto val="1"/>
        <c:lblOffset val="100"/>
        <c:baseTimeUnit val="days"/>
        <c:majorUnit val="1"/>
        <c:majorTimeUnit val="months"/>
      </c:dateAx>
      <c:valAx>
        <c:axId val="500747648"/>
        <c:scaling>
          <c:orientation val="minMax"/>
          <c:min val="0"/>
        </c:scaling>
        <c:delete val="0"/>
        <c:axPos val="l"/>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500746112"/>
        <c:crosses val="autoZero"/>
        <c:crossBetween val="between"/>
      </c:valAx>
      <c:catAx>
        <c:axId val="1502781071"/>
        <c:scaling>
          <c:orientation val="minMax"/>
        </c:scaling>
        <c:delete val="1"/>
        <c:axPos val="b"/>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307237183"/>
        <c:crosses val="autoZero"/>
        <c:auto val="1"/>
        <c:lblAlgn val="ctr"/>
        <c:lblOffset val="100"/>
        <c:noMultiLvlLbl val="0"/>
      </c:catAx>
      <c:valAx>
        <c:axId val="1307237183"/>
        <c:scaling>
          <c:orientation val="minMax"/>
          <c:max val="0.2"/>
          <c:min val="-0.2"/>
        </c:scaling>
        <c:delete val="1"/>
        <c:axPos val="r"/>
        <c:numFmt formatCode="0%" sourceLinked="0"/>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502781071"/>
        <c:crosses val="max"/>
        <c:crossBetween val="between"/>
        <c:majorUnit val="0.05"/>
      </c:valAx>
      <c:spPr>
        <a:noFill/>
        <a:ln w="25400">
          <a:noFill/>
        </a:ln>
      </c:spPr>
    </c:plotArea>
    <c:legend>
      <c:legendPos val="b"/>
      <c:legendEntry>
        <c:idx val="0"/>
        <c:delete val="1"/>
      </c:legendEntry>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700eab42-32bf-40b0-882b-f08956a87a04}"/>
      </c:ext>
    </c:extLst>
  </c:chart>
  <c:spPr>
    <a:solidFill>
      <a:srgbClr val="FFFFFF"/>
    </a:solidFill>
    <a:ln w="3175" cap="flat" cmpd="sng" algn="ctr">
      <a:solidFill>
        <a:srgbClr xmlns:mc="http://schemas.openxmlformats.org/markup-compatibility/2006" xmlns:a14="http://schemas.microsoft.com/office/drawing/2010/main" val="FFFFFF" mc:Ignorable="a14" a14:legacySpreadsheetColorIndex="9"/>
      </a:solidFill>
      <a:prstDash val="solid"/>
      <a:round/>
      <a:headEnd type="none" w="med" len="med"/>
      <a:tailEnd type="none" w="med" len="med"/>
    </a:ln>
    <a:effectLst/>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PC DRAM Chip (DDR5 16Gb) Spot Price DoD</a:t>
            </a:r>
            <a:endParaRPr lang="en-US"/>
          </a:p>
        </c:rich>
      </c:tx>
      <c:layout/>
      <c:overlay val="0"/>
    </c:title>
    <c:autoTitleDeleted val="0"/>
    <c:plotArea>
      <c:layout/>
      <c:barChart>
        <c:barDir val="col"/>
        <c:grouping val="clustered"/>
        <c:varyColors val="0"/>
        <c:ser>
          <c:idx val="0"/>
          <c:order val="0"/>
          <c:spPr>
            <a:ln w="12700">
              <a:solidFill>
                <a:srgbClr val="000000"/>
              </a:solidFill>
            </a:ln>
          </c:spPr>
          <c:invertIfNegative val="0"/>
          <c:dLbls>
            <c:delete val="1"/>
          </c:dLbls>
          <c:cat>
            <c:numRef>
              <c:f>DRAM!$I$1748:$I$3000</c:f>
              <c:numCache>
                <c:formatCode>yyyy/m/d</c:formatCode>
                <c:ptCount val="1253"/>
                <c:pt idx="0" c:formatCode="yyyy/m/d">
                  <c:v>44929</c:v>
                </c:pt>
                <c:pt idx="1" c:formatCode="yyyy/m/d">
                  <c:v>44930</c:v>
                </c:pt>
                <c:pt idx="2" c:formatCode="yyyy/m/d">
                  <c:v>44931</c:v>
                </c:pt>
                <c:pt idx="3" c:formatCode="yyyy/m/d">
                  <c:v>44932</c:v>
                </c:pt>
                <c:pt idx="4" c:formatCode="yyyy/m/d">
                  <c:v>44935</c:v>
                </c:pt>
                <c:pt idx="5" c:formatCode="yyyy/m/d">
                  <c:v>44936</c:v>
                </c:pt>
                <c:pt idx="6" c:formatCode="yyyy/m/d">
                  <c:v>44937</c:v>
                </c:pt>
                <c:pt idx="7" c:formatCode="yyyy/m/d">
                  <c:v>44938</c:v>
                </c:pt>
                <c:pt idx="8" c:formatCode="yyyy/m/d">
                  <c:v>44939</c:v>
                </c:pt>
                <c:pt idx="9" c:formatCode="yyyy/m/d">
                  <c:v>44942</c:v>
                </c:pt>
                <c:pt idx="10" c:formatCode="yyyy/m/d">
                  <c:v>44943</c:v>
                </c:pt>
                <c:pt idx="11" c:formatCode="yyyy/m/d">
                  <c:v>44944</c:v>
                </c:pt>
                <c:pt idx="12" c:formatCode="yyyy/m/d">
                  <c:v>44945</c:v>
                </c:pt>
                <c:pt idx="13" c:formatCode="yyyy/m/d">
                  <c:v>44946</c:v>
                </c:pt>
                <c:pt idx="14" c:formatCode="yyyy/m/d">
                  <c:v>44956</c:v>
                </c:pt>
                <c:pt idx="15" c:formatCode="yyyy/m/d">
                  <c:v>44957</c:v>
                </c:pt>
                <c:pt idx="16" c:formatCode="yyyy/m/d">
                  <c:v>44958</c:v>
                </c:pt>
                <c:pt idx="17" c:formatCode="yyyy/m/d">
                  <c:v>44959</c:v>
                </c:pt>
                <c:pt idx="18" c:formatCode="yyyy/m/d">
                  <c:v>44960</c:v>
                </c:pt>
                <c:pt idx="19" c:formatCode="yyyy/m/d">
                  <c:v>44963</c:v>
                </c:pt>
                <c:pt idx="20" c:formatCode="yyyy/m/d">
                  <c:v>44964</c:v>
                </c:pt>
                <c:pt idx="21" c:formatCode="yyyy/m/d">
                  <c:v>44965</c:v>
                </c:pt>
                <c:pt idx="22" c:formatCode="yyyy/m/d">
                  <c:v>44966</c:v>
                </c:pt>
                <c:pt idx="23" c:formatCode="yyyy/m/d">
                  <c:v>44967</c:v>
                </c:pt>
                <c:pt idx="24" c:formatCode="yyyy/m/d">
                  <c:v>44970</c:v>
                </c:pt>
                <c:pt idx="25" c:formatCode="yyyy/m/d">
                  <c:v>44971</c:v>
                </c:pt>
                <c:pt idx="26" c:formatCode="yyyy/m/d">
                  <c:v>44972</c:v>
                </c:pt>
                <c:pt idx="27" c:formatCode="yyyy/m/d">
                  <c:v>44973</c:v>
                </c:pt>
                <c:pt idx="28" c:formatCode="yyyy/m/d">
                  <c:v>44974</c:v>
                </c:pt>
                <c:pt idx="29" c:formatCode="yyyy/m/d">
                  <c:v>44977</c:v>
                </c:pt>
                <c:pt idx="30" c:formatCode="yyyy/m/d">
                  <c:v>44978</c:v>
                </c:pt>
                <c:pt idx="31" c:formatCode="yyyy/m/d">
                  <c:v>44979</c:v>
                </c:pt>
                <c:pt idx="32" c:formatCode="yyyy/m/d">
                  <c:v>44980</c:v>
                </c:pt>
                <c:pt idx="33" c:formatCode="yyyy/m/d">
                  <c:v>44981</c:v>
                </c:pt>
                <c:pt idx="34" c:formatCode="yyyy/m/d">
                  <c:v>44984</c:v>
                </c:pt>
                <c:pt idx="35" c:formatCode="yyyy/m/d">
                  <c:v>44985</c:v>
                </c:pt>
                <c:pt idx="36" c:formatCode="yyyy/m/d">
                  <c:v>44986</c:v>
                </c:pt>
                <c:pt idx="37" c:formatCode="yyyy/m/d">
                  <c:v>44987</c:v>
                </c:pt>
                <c:pt idx="38" c:formatCode="yyyy/m/d">
                  <c:v>44988</c:v>
                </c:pt>
                <c:pt idx="39" c:formatCode="yyyy/m/d">
                  <c:v>44991</c:v>
                </c:pt>
                <c:pt idx="40" c:formatCode="yyyy/m/d">
                  <c:v>44992</c:v>
                </c:pt>
                <c:pt idx="41" c:formatCode="yyyy/m/d">
                  <c:v>44993</c:v>
                </c:pt>
                <c:pt idx="42" c:formatCode="yyyy/m/d">
                  <c:v>44994</c:v>
                </c:pt>
                <c:pt idx="43" c:formatCode="yyyy/m/d">
                  <c:v>44995</c:v>
                </c:pt>
                <c:pt idx="44" c:formatCode="yyyy/m/d">
                  <c:v>44998</c:v>
                </c:pt>
                <c:pt idx="45" c:formatCode="yyyy/m/d">
                  <c:v>44999</c:v>
                </c:pt>
                <c:pt idx="46" c:formatCode="yyyy/m/d">
                  <c:v>45000</c:v>
                </c:pt>
                <c:pt idx="47" c:formatCode="yyyy/m/d">
                  <c:v>45001</c:v>
                </c:pt>
                <c:pt idx="48" c:formatCode="yyyy/m/d">
                  <c:v>45002</c:v>
                </c:pt>
                <c:pt idx="49" c:formatCode="yyyy/m/d">
                  <c:v>45005</c:v>
                </c:pt>
                <c:pt idx="50" c:formatCode="yyyy/m/d">
                  <c:v>45006</c:v>
                </c:pt>
                <c:pt idx="51" c:formatCode="yyyy/m/d">
                  <c:v>45007</c:v>
                </c:pt>
                <c:pt idx="52" c:formatCode="yyyy/m/d">
                  <c:v>45008</c:v>
                </c:pt>
                <c:pt idx="53" c:formatCode="yyyy/m/d">
                  <c:v>45009</c:v>
                </c:pt>
                <c:pt idx="54" c:formatCode="yyyy/m/d">
                  <c:v>45012</c:v>
                </c:pt>
                <c:pt idx="55" c:formatCode="yyyy/m/d">
                  <c:v>45013</c:v>
                </c:pt>
                <c:pt idx="56" c:formatCode="yyyy/m/d">
                  <c:v>45014</c:v>
                </c:pt>
                <c:pt idx="57" c:formatCode="yyyy/m/d">
                  <c:v>45015</c:v>
                </c:pt>
                <c:pt idx="58" c:formatCode="yyyy/m/d">
                  <c:v>45016</c:v>
                </c:pt>
                <c:pt idx="59" c:formatCode="yyyy/m/d">
                  <c:v>45019</c:v>
                </c:pt>
                <c:pt idx="60" c:formatCode="yyyy/m/d">
                  <c:v>45020</c:v>
                </c:pt>
                <c:pt idx="61" c:formatCode="yyyy/m/d">
                  <c:v>45022</c:v>
                </c:pt>
                <c:pt idx="62" c:formatCode="yyyy/m/d">
                  <c:v>45023</c:v>
                </c:pt>
                <c:pt idx="63" c:formatCode="yyyy/m/d">
                  <c:v>45026</c:v>
                </c:pt>
                <c:pt idx="64" c:formatCode="yyyy/m/d">
                  <c:v>45027</c:v>
                </c:pt>
                <c:pt idx="65" c:formatCode="yyyy/m/d">
                  <c:v>45028</c:v>
                </c:pt>
                <c:pt idx="66" c:formatCode="yyyy/m/d">
                  <c:v>45029</c:v>
                </c:pt>
                <c:pt idx="67" c:formatCode="yyyy/m/d">
                  <c:v>45030</c:v>
                </c:pt>
                <c:pt idx="68" c:formatCode="yyyy/m/d">
                  <c:v>45033</c:v>
                </c:pt>
                <c:pt idx="69" c:formatCode="yyyy/m/d">
                  <c:v>45034</c:v>
                </c:pt>
                <c:pt idx="70" c:formatCode="yyyy/m/d">
                  <c:v>45035</c:v>
                </c:pt>
                <c:pt idx="71" c:formatCode="yyyy/m/d">
                  <c:v>45036</c:v>
                </c:pt>
                <c:pt idx="72" c:formatCode="yyyy/m/d">
                  <c:v>45037</c:v>
                </c:pt>
                <c:pt idx="73" c:formatCode="yyyy/m/d">
                  <c:v>45040</c:v>
                </c:pt>
                <c:pt idx="74" c:formatCode="yyyy/m/d">
                  <c:v>45041</c:v>
                </c:pt>
                <c:pt idx="75" c:formatCode="yyyy/m/d">
                  <c:v>45042</c:v>
                </c:pt>
                <c:pt idx="76" c:formatCode="yyyy/m/d">
                  <c:v>45043</c:v>
                </c:pt>
                <c:pt idx="77" c:formatCode="yyyy/m/d">
                  <c:v>45044</c:v>
                </c:pt>
                <c:pt idx="78" c:formatCode="yyyy/m/d">
                  <c:v>45047</c:v>
                </c:pt>
                <c:pt idx="79" c:formatCode="yyyy/m/d">
                  <c:v>45049</c:v>
                </c:pt>
                <c:pt idx="80" c:formatCode="yyyy/m/d">
                  <c:v>45050</c:v>
                </c:pt>
                <c:pt idx="81" c:formatCode="yyyy/m/d">
                  <c:v>45051</c:v>
                </c:pt>
                <c:pt idx="82" c:formatCode="yyyy/m/d">
                  <c:v>45054</c:v>
                </c:pt>
                <c:pt idx="83" c:formatCode="yyyy/m/d">
                  <c:v>45055</c:v>
                </c:pt>
                <c:pt idx="84" c:formatCode="yyyy/m/d">
                  <c:v>45056</c:v>
                </c:pt>
                <c:pt idx="85" c:formatCode="yyyy/m/d">
                  <c:v>45057</c:v>
                </c:pt>
                <c:pt idx="86" c:formatCode="yyyy/m/d">
                  <c:v>45058</c:v>
                </c:pt>
                <c:pt idx="87" c:formatCode="yyyy/m/d">
                  <c:v>45061</c:v>
                </c:pt>
                <c:pt idx="88" c:formatCode="yyyy/m/d">
                  <c:v>45062</c:v>
                </c:pt>
                <c:pt idx="89" c:formatCode="yyyy/m/d">
                  <c:v>45063</c:v>
                </c:pt>
                <c:pt idx="90" c:formatCode="yyyy/m/d">
                  <c:v>45064</c:v>
                </c:pt>
                <c:pt idx="91" c:formatCode="yyyy/m/d">
                  <c:v>45065</c:v>
                </c:pt>
                <c:pt idx="92" c:formatCode="yyyy/m/d">
                  <c:v>45068</c:v>
                </c:pt>
                <c:pt idx="93" c:formatCode="yyyy/m/d">
                  <c:v>45069</c:v>
                </c:pt>
                <c:pt idx="94" c:formatCode="yyyy/m/d">
                  <c:v>45070</c:v>
                </c:pt>
                <c:pt idx="95" c:formatCode="yyyy/m/d">
                  <c:v>45071</c:v>
                </c:pt>
                <c:pt idx="96" c:formatCode="yyyy/m/d">
                  <c:v>45072</c:v>
                </c:pt>
                <c:pt idx="97" c:formatCode="yyyy/m/d">
                  <c:v>45075</c:v>
                </c:pt>
                <c:pt idx="98" c:formatCode="yyyy/m/d">
                  <c:v>45076</c:v>
                </c:pt>
                <c:pt idx="99" c:formatCode="yyyy/m/d">
                  <c:v>45077</c:v>
                </c:pt>
                <c:pt idx="100" c:formatCode="yyyy/m/d">
                  <c:v>45078</c:v>
                </c:pt>
                <c:pt idx="101" c:formatCode="yyyy/m/d">
                  <c:v>45079</c:v>
                </c:pt>
                <c:pt idx="102" c:formatCode="yyyy/m/d">
                  <c:v>45082</c:v>
                </c:pt>
                <c:pt idx="103" c:formatCode="yyyy/m/d">
                  <c:v>45083</c:v>
                </c:pt>
                <c:pt idx="104" c:formatCode="yyyy/m/d">
                  <c:v>45084</c:v>
                </c:pt>
                <c:pt idx="105" c:formatCode="yyyy/m/d">
                  <c:v>45085</c:v>
                </c:pt>
                <c:pt idx="106" c:formatCode="yyyy/m/d">
                  <c:v>45086</c:v>
                </c:pt>
                <c:pt idx="107" c:formatCode="yyyy/m/d">
                  <c:v>45089</c:v>
                </c:pt>
                <c:pt idx="108" c:formatCode="yyyy/m/d">
                  <c:v>45090</c:v>
                </c:pt>
                <c:pt idx="109" c:formatCode="yyyy/m/d">
                  <c:v>45091</c:v>
                </c:pt>
                <c:pt idx="110" c:formatCode="yyyy/m/d">
                  <c:v>45092</c:v>
                </c:pt>
                <c:pt idx="111" c:formatCode="yyyy/m/d">
                  <c:v>45093</c:v>
                </c:pt>
                <c:pt idx="112" c:formatCode="yyyy/m/d">
                  <c:v>45096</c:v>
                </c:pt>
                <c:pt idx="113" c:formatCode="yyyy/m/d">
                  <c:v>45097</c:v>
                </c:pt>
                <c:pt idx="114" c:formatCode="yyyy/m/d">
                  <c:v>45098</c:v>
                </c:pt>
                <c:pt idx="115" c:formatCode="yyyy/m/d">
                  <c:v>45103</c:v>
                </c:pt>
                <c:pt idx="116" c:formatCode="yyyy/m/d">
                  <c:v>45104</c:v>
                </c:pt>
                <c:pt idx="117" c:formatCode="yyyy/m/d">
                  <c:v>45105</c:v>
                </c:pt>
                <c:pt idx="118" c:formatCode="yyyy/m/d">
                  <c:v>45106</c:v>
                </c:pt>
                <c:pt idx="119" c:formatCode="yyyy/m/d">
                  <c:v>45107</c:v>
                </c:pt>
                <c:pt idx="120" c:formatCode="yyyy/m/d">
                  <c:v>45110</c:v>
                </c:pt>
                <c:pt idx="121" c:formatCode="yyyy/m/d">
                  <c:v>45111</c:v>
                </c:pt>
                <c:pt idx="122" c:formatCode="yyyy/m/d">
                  <c:v>45112</c:v>
                </c:pt>
                <c:pt idx="123" c:formatCode="yyyy/m/d">
                  <c:v>45113</c:v>
                </c:pt>
                <c:pt idx="124" c:formatCode="yyyy/m/d">
                  <c:v>45114</c:v>
                </c:pt>
                <c:pt idx="125" c:formatCode="yyyy/m/d">
                  <c:v>45117</c:v>
                </c:pt>
                <c:pt idx="126" c:formatCode="yyyy/m/d">
                  <c:v>45118</c:v>
                </c:pt>
                <c:pt idx="127" c:formatCode="yyyy/m/d">
                  <c:v>45119</c:v>
                </c:pt>
                <c:pt idx="128" c:formatCode="yyyy/m/d">
                  <c:v>45120</c:v>
                </c:pt>
                <c:pt idx="129" c:formatCode="yyyy/m/d">
                  <c:v>45121</c:v>
                </c:pt>
                <c:pt idx="130" c:formatCode="yyyy/m/d">
                  <c:v>45124</c:v>
                </c:pt>
                <c:pt idx="131" c:formatCode="yyyy/m/d">
                  <c:v>45125</c:v>
                </c:pt>
                <c:pt idx="132" c:formatCode="yyyy/m/d">
                  <c:v>45126</c:v>
                </c:pt>
                <c:pt idx="133" c:formatCode="yyyy/m/d">
                  <c:v>45127</c:v>
                </c:pt>
                <c:pt idx="134" c:formatCode="yyyy/m/d">
                  <c:v>45128</c:v>
                </c:pt>
                <c:pt idx="135" c:formatCode="yyyy/m/d">
                  <c:v>45131</c:v>
                </c:pt>
                <c:pt idx="136" c:formatCode="yyyy/m/d">
                  <c:v>45132</c:v>
                </c:pt>
                <c:pt idx="137" c:formatCode="yyyy/m/d">
                  <c:v>45133</c:v>
                </c:pt>
                <c:pt idx="138" c:formatCode="yyyy/m/d">
                  <c:v>45134</c:v>
                </c:pt>
                <c:pt idx="139" c:formatCode="yyyy/m/d">
                  <c:v>45135</c:v>
                </c:pt>
                <c:pt idx="140" c:formatCode="yyyy/m/d">
                  <c:v>45138</c:v>
                </c:pt>
                <c:pt idx="141" c:formatCode="yyyy/m/d">
                  <c:v>45139</c:v>
                </c:pt>
                <c:pt idx="142" c:formatCode="yyyy/m/d">
                  <c:v>45140</c:v>
                </c:pt>
                <c:pt idx="143" c:formatCode="yyyy/m/d">
                  <c:v>45141</c:v>
                </c:pt>
                <c:pt idx="144" c:formatCode="yyyy/m/d">
                  <c:v>45142</c:v>
                </c:pt>
                <c:pt idx="145" c:formatCode="yyyy/m/d">
                  <c:v>45145</c:v>
                </c:pt>
                <c:pt idx="146" c:formatCode="yyyy/m/d">
                  <c:v>45146</c:v>
                </c:pt>
                <c:pt idx="147" c:formatCode="yyyy/m/d">
                  <c:v>45147</c:v>
                </c:pt>
                <c:pt idx="148" c:formatCode="yyyy/m/d">
                  <c:v>45148</c:v>
                </c:pt>
                <c:pt idx="149" c:formatCode="yyyy/m/d">
                  <c:v>45149</c:v>
                </c:pt>
                <c:pt idx="150" c:formatCode="yyyy/m/d">
                  <c:v>45152</c:v>
                </c:pt>
                <c:pt idx="151" c:formatCode="yyyy/m/d">
                  <c:v>45153</c:v>
                </c:pt>
                <c:pt idx="152" c:formatCode="yyyy/m/d">
                  <c:v>45154</c:v>
                </c:pt>
                <c:pt idx="153" c:formatCode="yyyy/m/d">
                  <c:v>45155</c:v>
                </c:pt>
                <c:pt idx="154" c:formatCode="yyyy/m/d">
                  <c:v>45156</c:v>
                </c:pt>
                <c:pt idx="155" c:formatCode="yyyy/m/d">
                  <c:v>45159</c:v>
                </c:pt>
                <c:pt idx="156" c:formatCode="yyyy/m/d">
                  <c:v>45160</c:v>
                </c:pt>
                <c:pt idx="157" c:formatCode="yyyy/m/d">
                  <c:v>45161</c:v>
                </c:pt>
                <c:pt idx="158" c:formatCode="yyyy/m/d">
                  <c:v>45162</c:v>
                </c:pt>
                <c:pt idx="159" c:formatCode="yyyy/m/d">
                  <c:v>45163</c:v>
                </c:pt>
                <c:pt idx="160" c:formatCode="yyyy/m/d">
                  <c:v>45166</c:v>
                </c:pt>
                <c:pt idx="161" c:formatCode="yyyy/m/d">
                  <c:v>45167</c:v>
                </c:pt>
                <c:pt idx="162" c:formatCode="yyyy/m/d">
                  <c:v>45168</c:v>
                </c:pt>
                <c:pt idx="163" c:formatCode="yyyy/m/d">
                  <c:v>45169</c:v>
                </c:pt>
                <c:pt idx="164" c:formatCode="yyyy/m/d">
                  <c:v>45170</c:v>
                </c:pt>
                <c:pt idx="165" c:formatCode="yyyy/m/d">
                  <c:v>45173</c:v>
                </c:pt>
                <c:pt idx="166" c:formatCode="yyyy/m/d">
                  <c:v>45174</c:v>
                </c:pt>
                <c:pt idx="167" c:formatCode="yyyy/m/d">
                  <c:v>45175</c:v>
                </c:pt>
                <c:pt idx="168" c:formatCode="yyyy/m/d">
                  <c:v>45176</c:v>
                </c:pt>
                <c:pt idx="169" c:formatCode="yyyy/m/d">
                  <c:v>45177</c:v>
                </c:pt>
                <c:pt idx="170" c:formatCode="yyyy/m/d">
                  <c:v>45180</c:v>
                </c:pt>
                <c:pt idx="171" c:formatCode="yyyy/m/d">
                  <c:v>45181</c:v>
                </c:pt>
                <c:pt idx="172" c:formatCode="yyyy/m/d">
                  <c:v>45182</c:v>
                </c:pt>
                <c:pt idx="173" c:formatCode="yyyy/m/d">
                  <c:v>45183</c:v>
                </c:pt>
                <c:pt idx="174" c:formatCode="yyyy/m/d">
                  <c:v>45184</c:v>
                </c:pt>
                <c:pt idx="175" c:formatCode="yyyy/m/d">
                  <c:v>45187</c:v>
                </c:pt>
                <c:pt idx="176" c:formatCode="yyyy/m/d">
                  <c:v>45188</c:v>
                </c:pt>
                <c:pt idx="177" c:formatCode="yyyy/m/d">
                  <c:v>45189</c:v>
                </c:pt>
                <c:pt idx="178" c:formatCode="yyyy/m/d">
                  <c:v>45190</c:v>
                </c:pt>
                <c:pt idx="179" c:formatCode="yyyy/m/d">
                  <c:v>45191</c:v>
                </c:pt>
                <c:pt idx="180" c:formatCode="yyyy/m/d">
                  <c:v>45194</c:v>
                </c:pt>
                <c:pt idx="181" c:formatCode="yyyy/m/d">
                  <c:v>45195</c:v>
                </c:pt>
                <c:pt idx="182" c:formatCode="yyyy/m/d">
                  <c:v>45196</c:v>
                </c:pt>
                <c:pt idx="183" c:formatCode="yyyy/m/d">
                  <c:v>45197</c:v>
                </c:pt>
                <c:pt idx="184" c:formatCode="yyyy/m/d">
                  <c:v>45201</c:v>
                </c:pt>
                <c:pt idx="185" c:formatCode="yyyy/m/d">
                  <c:v>45202</c:v>
                </c:pt>
                <c:pt idx="186" c:formatCode="yyyy/m/d">
                  <c:v>45203</c:v>
                </c:pt>
                <c:pt idx="187" c:formatCode="yyyy/m/d">
                  <c:v>45204</c:v>
                </c:pt>
                <c:pt idx="188" c:formatCode="yyyy/m/d">
                  <c:v>45205</c:v>
                </c:pt>
                <c:pt idx="189" c:formatCode="yyyy/m/d">
                  <c:v>45208</c:v>
                </c:pt>
                <c:pt idx="190" c:formatCode="yyyy/m/d">
                  <c:v>45209</c:v>
                </c:pt>
                <c:pt idx="191" c:formatCode="yyyy/m/d">
                  <c:v>45210</c:v>
                </c:pt>
                <c:pt idx="192" c:formatCode="yyyy/m/d">
                  <c:v>45211</c:v>
                </c:pt>
                <c:pt idx="193" c:formatCode="yyyy/m/d">
                  <c:v>45212</c:v>
                </c:pt>
                <c:pt idx="194" c:formatCode="yyyy/m/d">
                  <c:v>45215</c:v>
                </c:pt>
                <c:pt idx="195" c:formatCode="yyyy/m/d">
                  <c:v>45216</c:v>
                </c:pt>
                <c:pt idx="196" c:formatCode="yyyy/m/d">
                  <c:v>45217</c:v>
                </c:pt>
                <c:pt idx="197" c:formatCode="yyyy/m/d">
                  <c:v>45218</c:v>
                </c:pt>
                <c:pt idx="198" c:formatCode="yyyy/m/d">
                  <c:v>45219</c:v>
                </c:pt>
                <c:pt idx="199" c:formatCode="yyyy/m/d">
                  <c:v>45222</c:v>
                </c:pt>
                <c:pt idx="200" c:formatCode="yyyy/m/d">
                  <c:v>45223</c:v>
                </c:pt>
                <c:pt idx="201" c:formatCode="yyyy/m/d">
                  <c:v>45224</c:v>
                </c:pt>
                <c:pt idx="202" c:formatCode="yyyy/m/d">
                  <c:v>45225</c:v>
                </c:pt>
                <c:pt idx="203" c:formatCode="yyyy/m/d">
                  <c:v>45226</c:v>
                </c:pt>
                <c:pt idx="204" c:formatCode="yyyy/m/d">
                  <c:v>45229</c:v>
                </c:pt>
                <c:pt idx="205" c:formatCode="yyyy/m/d">
                  <c:v>45230</c:v>
                </c:pt>
                <c:pt idx="206" c:formatCode="yyyy/m/d">
                  <c:v>45231</c:v>
                </c:pt>
                <c:pt idx="207" c:formatCode="yyyy/m/d">
                  <c:v>45232</c:v>
                </c:pt>
                <c:pt idx="208" c:formatCode="yyyy/m/d">
                  <c:v>45233</c:v>
                </c:pt>
                <c:pt idx="209" c:formatCode="yyyy/m/d">
                  <c:v>45236</c:v>
                </c:pt>
                <c:pt idx="210" c:formatCode="yyyy/m/d">
                  <c:v>45237</c:v>
                </c:pt>
                <c:pt idx="211" c:formatCode="yyyy/m/d">
                  <c:v>45238</c:v>
                </c:pt>
                <c:pt idx="212" c:formatCode="yyyy/m/d">
                  <c:v>45239</c:v>
                </c:pt>
                <c:pt idx="213" c:formatCode="yyyy/m/d">
                  <c:v>45240</c:v>
                </c:pt>
                <c:pt idx="214" c:formatCode="yyyy/m/d">
                  <c:v>45243</c:v>
                </c:pt>
                <c:pt idx="215" c:formatCode="yyyy/m/d">
                  <c:v>45244</c:v>
                </c:pt>
                <c:pt idx="216" c:formatCode="yyyy/m/d">
                  <c:v>45245</c:v>
                </c:pt>
                <c:pt idx="217" c:formatCode="yyyy/m/d">
                  <c:v>45246</c:v>
                </c:pt>
                <c:pt idx="218" c:formatCode="yyyy/m/d">
                  <c:v>45247</c:v>
                </c:pt>
                <c:pt idx="219" c:formatCode="yyyy/m/d">
                  <c:v>45250</c:v>
                </c:pt>
                <c:pt idx="220" c:formatCode="yyyy/m/d">
                  <c:v>45251</c:v>
                </c:pt>
                <c:pt idx="221" c:formatCode="yyyy/m/d">
                  <c:v>45252</c:v>
                </c:pt>
                <c:pt idx="222" c:formatCode="yyyy/m/d">
                  <c:v>45253</c:v>
                </c:pt>
                <c:pt idx="223" c:formatCode="yyyy/m/d">
                  <c:v>45254</c:v>
                </c:pt>
                <c:pt idx="224" c:formatCode="yyyy/m/d">
                  <c:v>45257</c:v>
                </c:pt>
                <c:pt idx="225" c:formatCode="yyyy/m/d">
                  <c:v>45258</c:v>
                </c:pt>
                <c:pt idx="226" c:formatCode="yyyy/m/d">
                  <c:v>45259</c:v>
                </c:pt>
                <c:pt idx="227" c:formatCode="yyyy/m/d">
                  <c:v>45260</c:v>
                </c:pt>
                <c:pt idx="228" c:formatCode="yyyy/m/d">
                  <c:v>45261</c:v>
                </c:pt>
                <c:pt idx="229" c:formatCode="yyyy/m/d">
                  <c:v>45264</c:v>
                </c:pt>
                <c:pt idx="230" c:formatCode="yyyy/m/d">
                  <c:v>45265</c:v>
                </c:pt>
                <c:pt idx="231" c:formatCode="yyyy/m/d">
                  <c:v>45266</c:v>
                </c:pt>
                <c:pt idx="232" c:formatCode="yyyy/m/d">
                  <c:v>45267</c:v>
                </c:pt>
                <c:pt idx="233" c:formatCode="yyyy/m/d">
                  <c:v>45268</c:v>
                </c:pt>
                <c:pt idx="234" c:formatCode="yyyy/m/d">
                  <c:v>45271</c:v>
                </c:pt>
                <c:pt idx="235" c:formatCode="yyyy/m/d">
                  <c:v>45272</c:v>
                </c:pt>
                <c:pt idx="236" c:formatCode="yyyy/m/d">
                  <c:v>45273</c:v>
                </c:pt>
                <c:pt idx="237" c:formatCode="yyyy/m/d">
                  <c:v>45274</c:v>
                </c:pt>
                <c:pt idx="238" c:formatCode="yyyy/m/d">
                  <c:v>45275</c:v>
                </c:pt>
                <c:pt idx="239" c:formatCode="yyyy/m/d">
                  <c:v>45278</c:v>
                </c:pt>
                <c:pt idx="240" c:formatCode="yyyy/m/d">
                  <c:v>45279</c:v>
                </c:pt>
                <c:pt idx="241" c:formatCode="yyyy/m/d">
                  <c:v>45280</c:v>
                </c:pt>
                <c:pt idx="242" c:formatCode="yyyy/m/d">
                  <c:v>45281</c:v>
                </c:pt>
                <c:pt idx="243" c:formatCode="yyyy/m/d">
                  <c:v>45282</c:v>
                </c:pt>
                <c:pt idx="244" c:formatCode="yyyy/m/d">
                  <c:v>45285</c:v>
                </c:pt>
                <c:pt idx="245" c:formatCode="yyyy/m/d">
                  <c:v>45286</c:v>
                </c:pt>
                <c:pt idx="246" c:formatCode="yyyy/m/d">
                  <c:v>45287</c:v>
                </c:pt>
                <c:pt idx="247" c:formatCode="yyyy/m/d">
                  <c:v>45288</c:v>
                </c:pt>
                <c:pt idx="248" c:formatCode="yyyy/m/d">
                  <c:v>45289</c:v>
                </c:pt>
                <c:pt idx="249" c:formatCode="yyyy/m/d">
                  <c:v>45293</c:v>
                </c:pt>
                <c:pt idx="250" c:formatCode="yyyy/m/d">
                  <c:v>45294</c:v>
                </c:pt>
                <c:pt idx="251" c:formatCode="yyyy/m/d">
                  <c:v>45295</c:v>
                </c:pt>
                <c:pt idx="252" c:formatCode="yyyy/m/d">
                  <c:v>45296</c:v>
                </c:pt>
                <c:pt idx="253" c:formatCode="yyyy/m/d">
                  <c:v>45299</c:v>
                </c:pt>
                <c:pt idx="254" c:formatCode="yyyy/m/d">
                  <c:v>45300</c:v>
                </c:pt>
                <c:pt idx="255" c:formatCode="yyyy/m/d">
                  <c:v>45301</c:v>
                </c:pt>
                <c:pt idx="256" c:formatCode="yyyy/m/d">
                  <c:v>45302</c:v>
                </c:pt>
                <c:pt idx="257" c:formatCode="yyyy/m/d">
                  <c:v>45303</c:v>
                </c:pt>
                <c:pt idx="258" c:formatCode="yyyy/m/d">
                  <c:v>45306</c:v>
                </c:pt>
                <c:pt idx="259" c:formatCode="yyyy/m/d">
                  <c:v>45307</c:v>
                </c:pt>
                <c:pt idx="260" c:formatCode="yyyy/m/d">
                  <c:v>45308</c:v>
                </c:pt>
                <c:pt idx="261" c:formatCode="yyyy/m/d">
                  <c:v>45309</c:v>
                </c:pt>
                <c:pt idx="262" c:formatCode="yyyy/m/d">
                  <c:v>45310</c:v>
                </c:pt>
                <c:pt idx="263" c:formatCode="yyyy/m/d">
                  <c:v>45313</c:v>
                </c:pt>
                <c:pt idx="264" c:formatCode="yyyy/m/d">
                  <c:v>45314</c:v>
                </c:pt>
                <c:pt idx="265" c:formatCode="yyyy/m/d">
                  <c:v>45315</c:v>
                </c:pt>
                <c:pt idx="266" c:formatCode="yyyy/m/d">
                  <c:v>45316</c:v>
                </c:pt>
                <c:pt idx="267" c:formatCode="yyyy/m/d">
                  <c:v>45317</c:v>
                </c:pt>
                <c:pt idx="268" c:formatCode="yyyy/m/d">
                  <c:v>45320</c:v>
                </c:pt>
                <c:pt idx="269" c:formatCode="yyyy/m/d">
                  <c:v>45321</c:v>
                </c:pt>
                <c:pt idx="270" c:formatCode="yyyy/m/d">
                  <c:v>45322</c:v>
                </c:pt>
                <c:pt idx="271" c:formatCode="yyyy/m/d">
                  <c:v>45323</c:v>
                </c:pt>
                <c:pt idx="272" c:formatCode="yyyy/m/d">
                  <c:v>45324</c:v>
                </c:pt>
                <c:pt idx="273" c:formatCode="yyyy/m/d">
                  <c:v>45327</c:v>
                </c:pt>
                <c:pt idx="274" c:formatCode="yyyy/m/d">
                  <c:v>45328</c:v>
                </c:pt>
                <c:pt idx="275" c:formatCode="yyyy/m/d">
                  <c:v>45329</c:v>
                </c:pt>
                <c:pt idx="276" c:formatCode="yyyy/m/d">
                  <c:v>45330</c:v>
                </c:pt>
                <c:pt idx="277" c:formatCode="yyyy/m/d">
                  <c:v>45337</c:v>
                </c:pt>
                <c:pt idx="278" c:formatCode="yyyy/m/d">
                  <c:v>45338</c:v>
                </c:pt>
                <c:pt idx="279" c:formatCode="yyyy/m/d">
                  <c:v>45341</c:v>
                </c:pt>
                <c:pt idx="280" c:formatCode="yyyy/m/d">
                  <c:v>45342</c:v>
                </c:pt>
                <c:pt idx="281" c:formatCode="yyyy/m/d">
                  <c:v>45343</c:v>
                </c:pt>
                <c:pt idx="282" c:formatCode="yyyy/m/d">
                  <c:v>45344</c:v>
                </c:pt>
                <c:pt idx="283" c:formatCode="yyyy/m/d">
                  <c:v>45345</c:v>
                </c:pt>
                <c:pt idx="284" c:formatCode="yyyy/m/d">
                  <c:v>45348</c:v>
                </c:pt>
                <c:pt idx="285" c:formatCode="yyyy/m/d">
                  <c:v>45349</c:v>
                </c:pt>
                <c:pt idx="286" c:formatCode="yyyy/m/d">
                  <c:v>45350</c:v>
                </c:pt>
                <c:pt idx="287" c:formatCode="yyyy/m/d">
                  <c:v>45351</c:v>
                </c:pt>
                <c:pt idx="288" c:formatCode="yyyy/m/d">
                  <c:v>45352</c:v>
                </c:pt>
                <c:pt idx="289" c:formatCode="yyyy/m/d">
                  <c:v>45355</c:v>
                </c:pt>
                <c:pt idx="290" c:formatCode="yyyy/m/d">
                  <c:v>45356</c:v>
                </c:pt>
                <c:pt idx="291" c:formatCode="yyyy/m/d">
                  <c:v>45357</c:v>
                </c:pt>
                <c:pt idx="292" c:formatCode="yyyy/m/d">
                  <c:v>45358</c:v>
                </c:pt>
                <c:pt idx="293" c:formatCode="yyyy/m/d">
                  <c:v>45359</c:v>
                </c:pt>
                <c:pt idx="294" c:formatCode="yyyy/m/d">
                  <c:v>45362</c:v>
                </c:pt>
                <c:pt idx="295" c:formatCode="yyyy/m/d">
                  <c:v>45363</c:v>
                </c:pt>
                <c:pt idx="296" c:formatCode="yyyy/m/d">
                  <c:v>45364</c:v>
                </c:pt>
                <c:pt idx="297" c:formatCode="yyyy/m/d">
                  <c:v>45365</c:v>
                </c:pt>
                <c:pt idx="298" c:formatCode="yyyy/m/d">
                  <c:v>45366</c:v>
                </c:pt>
                <c:pt idx="299" c:formatCode="yyyy/m/d">
                  <c:v>45369</c:v>
                </c:pt>
                <c:pt idx="300" c:formatCode="yyyy/m/d">
                  <c:v>45370</c:v>
                </c:pt>
                <c:pt idx="301" c:formatCode="yyyy/m/d">
                  <c:v>45371</c:v>
                </c:pt>
                <c:pt idx="302" c:formatCode="yyyy/m/d">
                  <c:v>45372</c:v>
                </c:pt>
                <c:pt idx="303" c:formatCode="yyyy/m/d">
                  <c:v>45373</c:v>
                </c:pt>
                <c:pt idx="304" c:formatCode="yyyy/m/d">
                  <c:v>45376</c:v>
                </c:pt>
                <c:pt idx="305" c:formatCode="yyyy/m/d">
                  <c:v>45377</c:v>
                </c:pt>
                <c:pt idx="306" c:formatCode="yyyy/m/d">
                  <c:v>45378</c:v>
                </c:pt>
                <c:pt idx="307" c:formatCode="yyyy/m/d">
                  <c:v>45379</c:v>
                </c:pt>
                <c:pt idx="308" c:formatCode="yyyy/m/d">
                  <c:v>45380</c:v>
                </c:pt>
                <c:pt idx="309" c:formatCode="yyyy/m/d">
                  <c:v>45383</c:v>
                </c:pt>
                <c:pt idx="310" c:formatCode="yyyy/m/d">
                  <c:v>45384</c:v>
                </c:pt>
                <c:pt idx="311" c:formatCode="yyyy/m/d">
                  <c:v>45385</c:v>
                </c:pt>
                <c:pt idx="312" c:formatCode="yyyy/m/d">
                  <c:v>45390</c:v>
                </c:pt>
                <c:pt idx="313" c:formatCode="yyyy/m/d">
                  <c:v>45391</c:v>
                </c:pt>
                <c:pt idx="314" c:formatCode="yyyy/m/d">
                  <c:v>45392</c:v>
                </c:pt>
                <c:pt idx="315" c:formatCode="yyyy/m/d">
                  <c:v>45393</c:v>
                </c:pt>
                <c:pt idx="316" c:formatCode="yyyy/m/d">
                  <c:v>45394</c:v>
                </c:pt>
                <c:pt idx="317" c:formatCode="yyyy/m/d">
                  <c:v>45397</c:v>
                </c:pt>
                <c:pt idx="318" c:formatCode="yyyy/m/d">
                  <c:v>45398</c:v>
                </c:pt>
                <c:pt idx="319" c:formatCode="yyyy/m/d">
                  <c:v>45399</c:v>
                </c:pt>
                <c:pt idx="320" c:formatCode="yyyy/m/d">
                  <c:v>45400</c:v>
                </c:pt>
                <c:pt idx="321" c:formatCode="yyyy/m/d">
                  <c:v>45401</c:v>
                </c:pt>
                <c:pt idx="322" c:formatCode="yyyy/m/d">
                  <c:v>45404</c:v>
                </c:pt>
                <c:pt idx="323" c:formatCode="yyyy/m/d">
                  <c:v>45405</c:v>
                </c:pt>
                <c:pt idx="324" c:formatCode="yyyy/m/d">
                  <c:v>45406</c:v>
                </c:pt>
                <c:pt idx="325" c:formatCode="yyyy/m/d">
                  <c:v>45407</c:v>
                </c:pt>
                <c:pt idx="326" c:formatCode="yyyy/m/d">
                  <c:v>45408</c:v>
                </c:pt>
                <c:pt idx="327" c:formatCode="yyyy/m/d">
                  <c:v>45411</c:v>
                </c:pt>
                <c:pt idx="328" c:formatCode="yyyy/m/d">
                  <c:v>45412</c:v>
                </c:pt>
                <c:pt idx="329" c:formatCode="yyyy/m/d">
                  <c:v>45414</c:v>
                </c:pt>
                <c:pt idx="330" c:formatCode="yyyy/m/d">
                  <c:v>45415</c:v>
                </c:pt>
                <c:pt idx="331" c:formatCode="yyyy/m/d">
                  <c:v>45418</c:v>
                </c:pt>
                <c:pt idx="332" c:formatCode="yyyy/m/d">
                  <c:v>45419</c:v>
                </c:pt>
                <c:pt idx="333" c:formatCode="yyyy/m/d">
                  <c:v>45420</c:v>
                </c:pt>
                <c:pt idx="334" c:formatCode="yyyy/m/d">
                  <c:v>45421</c:v>
                </c:pt>
                <c:pt idx="335" c:formatCode="yyyy/m/d">
                  <c:v>45422</c:v>
                </c:pt>
                <c:pt idx="336" c:formatCode="yyyy/m/d">
                  <c:v>45425</c:v>
                </c:pt>
                <c:pt idx="337" c:formatCode="yyyy/m/d">
                  <c:v>45426</c:v>
                </c:pt>
                <c:pt idx="338" c:formatCode="yyyy/m/d">
                  <c:v>45427</c:v>
                </c:pt>
                <c:pt idx="339" c:formatCode="yyyy/m/d">
                  <c:v>45428</c:v>
                </c:pt>
                <c:pt idx="340" c:formatCode="yyyy/m/d">
                  <c:v>45429</c:v>
                </c:pt>
                <c:pt idx="341" c:formatCode="yyyy/m/d">
                  <c:v>45432</c:v>
                </c:pt>
                <c:pt idx="342" c:formatCode="yyyy/m/d">
                  <c:v>45433</c:v>
                </c:pt>
                <c:pt idx="343" c:formatCode="yyyy/m/d">
                  <c:v>45434</c:v>
                </c:pt>
                <c:pt idx="344" c:formatCode="yyyy/m/d">
                  <c:v>45435</c:v>
                </c:pt>
                <c:pt idx="345" c:formatCode="yyyy/m/d">
                  <c:v>45436</c:v>
                </c:pt>
                <c:pt idx="346" c:formatCode="yyyy/m/d">
                  <c:v>45439</c:v>
                </c:pt>
                <c:pt idx="347" c:formatCode="yyyy/m/d">
                  <c:v>45440</c:v>
                </c:pt>
                <c:pt idx="348" c:formatCode="yyyy/m/d">
                  <c:v>45441</c:v>
                </c:pt>
                <c:pt idx="349" c:formatCode="yyyy/m/d">
                  <c:v>45442</c:v>
                </c:pt>
                <c:pt idx="350" c:formatCode="yyyy/m/d">
                  <c:v>45443</c:v>
                </c:pt>
                <c:pt idx="351" c:formatCode="yyyy/m/d">
                  <c:v>45446</c:v>
                </c:pt>
                <c:pt idx="352" c:formatCode="yyyy/m/d">
                  <c:v>45447</c:v>
                </c:pt>
                <c:pt idx="353" c:formatCode="yyyy/m/d">
                  <c:v>45448</c:v>
                </c:pt>
                <c:pt idx="354" c:formatCode="yyyy/m/d">
                  <c:v>45449</c:v>
                </c:pt>
                <c:pt idx="355" c:formatCode="yyyy/m/d">
                  <c:v>45450</c:v>
                </c:pt>
                <c:pt idx="356" c:formatCode="yyyy/m/d">
                  <c:v>45454</c:v>
                </c:pt>
                <c:pt idx="357" c:formatCode="yyyy/m/d">
                  <c:v>45455</c:v>
                </c:pt>
                <c:pt idx="358" c:formatCode="yyyy/m/d">
                  <c:v>45456</c:v>
                </c:pt>
                <c:pt idx="359" c:formatCode="yyyy/m/d">
                  <c:v>45457</c:v>
                </c:pt>
                <c:pt idx="360" c:formatCode="yyyy/m/d">
                  <c:v>45460</c:v>
                </c:pt>
                <c:pt idx="361" c:formatCode="yyyy/m/d">
                  <c:v>45461</c:v>
                </c:pt>
                <c:pt idx="362" c:formatCode="yyyy/m/d">
                  <c:v>45462</c:v>
                </c:pt>
                <c:pt idx="363" c:formatCode="yyyy/m/d">
                  <c:v>45463</c:v>
                </c:pt>
                <c:pt idx="364" c:formatCode="yyyy/m/d">
                  <c:v>45464</c:v>
                </c:pt>
                <c:pt idx="365" c:formatCode="yyyy/m/d">
                  <c:v>45467</c:v>
                </c:pt>
                <c:pt idx="366" c:formatCode="yyyy/m/d">
                  <c:v>45468</c:v>
                </c:pt>
                <c:pt idx="367" c:formatCode="yyyy/m/d">
                  <c:v>45469</c:v>
                </c:pt>
                <c:pt idx="368" c:formatCode="yyyy/m/d">
                  <c:v>45470</c:v>
                </c:pt>
                <c:pt idx="369" c:formatCode="yyyy/m/d">
                  <c:v>45471</c:v>
                </c:pt>
                <c:pt idx="370" c:formatCode="yyyy/m/d">
                  <c:v>45474</c:v>
                </c:pt>
                <c:pt idx="371" c:formatCode="yyyy/m/d">
                  <c:v>45475</c:v>
                </c:pt>
                <c:pt idx="372" c:formatCode="yyyy/m/d">
                  <c:v>45476</c:v>
                </c:pt>
                <c:pt idx="373" c:formatCode="yyyy/m/d">
                  <c:v>45477</c:v>
                </c:pt>
                <c:pt idx="374" c:formatCode="yyyy/m/d">
                  <c:v>45478</c:v>
                </c:pt>
                <c:pt idx="375" c:formatCode="yyyy/m/d">
                  <c:v>45481</c:v>
                </c:pt>
                <c:pt idx="376" c:formatCode="yyyy/m/d">
                  <c:v>45482</c:v>
                </c:pt>
                <c:pt idx="377" c:formatCode="yyyy/m/d">
                  <c:v>45483</c:v>
                </c:pt>
                <c:pt idx="378" c:formatCode="yyyy/m/d">
                  <c:v>45484</c:v>
                </c:pt>
                <c:pt idx="379" c:formatCode="yyyy/m/d">
                  <c:v>45485</c:v>
                </c:pt>
                <c:pt idx="380" c:formatCode="yyyy/m/d">
                  <c:v>45488</c:v>
                </c:pt>
                <c:pt idx="381" c:formatCode="yyyy/m/d">
                  <c:v>45489</c:v>
                </c:pt>
                <c:pt idx="382" c:formatCode="yyyy/m/d">
                  <c:v>45490</c:v>
                </c:pt>
                <c:pt idx="383" c:formatCode="yyyy/m/d">
                  <c:v>45491</c:v>
                </c:pt>
                <c:pt idx="384" c:formatCode="yyyy/m/d">
                  <c:v>45492</c:v>
                </c:pt>
                <c:pt idx="385" c:formatCode="yyyy/m/d">
                  <c:v>45495</c:v>
                </c:pt>
                <c:pt idx="386" c:formatCode="yyyy/m/d">
                  <c:v>45496</c:v>
                </c:pt>
                <c:pt idx="387" c:formatCode="yyyy/m/d">
                  <c:v>45497</c:v>
                </c:pt>
                <c:pt idx="388" c:formatCode="yyyy/m/d">
                  <c:v>45498</c:v>
                </c:pt>
                <c:pt idx="389" c:formatCode="yyyy/m/d">
                  <c:v>45499</c:v>
                </c:pt>
                <c:pt idx="390" c:formatCode="yyyy/m/d">
                  <c:v>45502</c:v>
                </c:pt>
                <c:pt idx="391" c:formatCode="yyyy/m/d">
                  <c:v>45503</c:v>
                </c:pt>
                <c:pt idx="392" c:formatCode="yyyy/m/d">
                  <c:v>45504</c:v>
                </c:pt>
                <c:pt idx="393" c:formatCode="yyyy/m/d">
                  <c:v>45505</c:v>
                </c:pt>
                <c:pt idx="394" c:formatCode="yyyy/m/d">
                  <c:v>45506</c:v>
                </c:pt>
                <c:pt idx="395" c:formatCode="yyyy/m/d">
                  <c:v>45509</c:v>
                </c:pt>
                <c:pt idx="396" c:formatCode="yyyy/m/d">
                  <c:v>45510</c:v>
                </c:pt>
                <c:pt idx="397" c:formatCode="yyyy/m/d">
                  <c:v>45511</c:v>
                </c:pt>
                <c:pt idx="398" c:formatCode="yyyy/m/d">
                  <c:v>45512</c:v>
                </c:pt>
                <c:pt idx="399" c:formatCode="yyyy/m/d">
                  <c:v>45513</c:v>
                </c:pt>
                <c:pt idx="400" c:formatCode="yyyy/m/d">
                  <c:v>45516</c:v>
                </c:pt>
                <c:pt idx="401" c:formatCode="yyyy/m/d">
                  <c:v>45517</c:v>
                </c:pt>
                <c:pt idx="402" c:formatCode="yyyy/m/d">
                  <c:v>45518</c:v>
                </c:pt>
                <c:pt idx="403" c:formatCode="yyyy/m/d">
                  <c:v>45519</c:v>
                </c:pt>
                <c:pt idx="404" c:formatCode="yyyy/m/d">
                  <c:v>45520</c:v>
                </c:pt>
                <c:pt idx="405" c:formatCode="yyyy/m/d">
                  <c:v>45523</c:v>
                </c:pt>
                <c:pt idx="406" c:formatCode="yyyy/m/d">
                  <c:v>45524</c:v>
                </c:pt>
                <c:pt idx="407" c:formatCode="yyyy/m/d">
                  <c:v>45525</c:v>
                </c:pt>
                <c:pt idx="408" c:formatCode="yyyy/m/d">
                  <c:v>45526</c:v>
                </c:pt>
                <c:pt idx="409" c:formatCode="yyyy/m/d">
                  <c:v>45527</c:v>
                </c:pt>
                <c:pt idx="410" c:formatCode="yyyy/m/d">
                  <c:v>45530</c:v>
                </c:pt>
                <c:pt idx="411" c:formatCode="yyyy/m/d">
                  <c:v>45531</c:v>
                </c:pt>
                <c:pt idx="412" c:formatCode="yyyy/m/d">
                  <c:v>45532</c:v>
                </c:pt>
                <c:pt idx="413" c:formatCode="yyyy/m/d">
                  <c:v>45533</c:v>
                </c:pt>
                <c:pt idx="414" c:formatCode="yyyy/m/d">
                  <c:v>45534</c:v>
                </c:pt>
                <c:pt idx="415" c:formatCode="yyyy/m/d">
                  <c:v>45537</c:v>
                </c:pt>
                <c:pt idx="416" c:formatCode="yyyy/m/d">
                  <c:v>45538</c:v>
                </c:pt>
                <c:pt idx="417" c:formatCode="yyyy/m/d">
                  <c:v>45539</c:v>
                </c:pt>
                <c:pt idx="418" c:formatCode="yyyy/m/d">
                  <c:v>45540</c:v>
                </c:pt>
                <c:pt idx="419" c:formatCode="yyyy/m/d">
                  <c:v>45541</c:v>
                </c:pt>
                <c:pt idx="420" c:formatCode="yyyy/m/d">
                  <c:v>45544</c:v>
                </c:pt>
                <c:pt idx="421" c:formatCode="yyyy/m/d">
                  <c:v>45545</c:v>
                </c:pt>
                <c:pt idx="422" c:formatCode="yyyy/m/d">
                  <c:v>45546</c:v>
                </c:pt>
                <c:pt idx="423" c:formatCode="yyyy/m/d">
                  <c:v>45547</c:v>
                </c:pt>
                <c:pt idx="424" c:formatCode="yyyy/m/d">
                  <c:v>45548</c:v>
                </c:pt>
                <c:pt idx="425" c:formatCode="yyyy/m/d">
                  <c:v>45551</c:v>
                </c:pt>
                <c:pt idx="426" c:formatCode="yyyy/m/d">
                  <c:v>45553</c:v>
                </c:pt>
                <c:pt idx="427" c:formatCode="yyyy/m/d">
                  <c:v>45554</c:v>
                </c:pt>
                <c:pt idx="428" c:formatCode="yyyy/m/d">
                  <c:v>45555</c:v>
                </c:pt>
                <c:pt idx="429" c:formatCode="yyyy/m/d">
                  <c:v>45558</c:v>
                </c:pt>
                <c:pt idx="430" c:formatCode="yyyy/m/d">
                  <c:v>45559</c:v>
                </c:pt>
                <c:pt idx="431" c:formatCode="yyyy/m/d">
                  <c:v>45560</c:v>
                </c:pt>
                <c:pt idx="432" c:formatCode="yyyy/m/d">
                  <c:v>45561</c:v>
                </c:pt>
                <c:pt idx="433" c:formatCode="yyyy/m/d">
                  <c:v>45562</c:v>
                </c:pt>
                <c:pt idx="434" c:formatCode="yyyy/m/d">
                  <c:v>45565</c:v>
                </c:pt>
                <c:pt idx="435" c:formatCode="yyyy/m/d">
                  <c:v>45566</c:v>
                </c:pt>
                <c:pt idx="436" c:formatCode="yyyy/m/d">
                  <c:v>45567</c:v>
                </c:pt>
                <c:pt idx="437" c:formatCode="yyyy/m/d">
                  <c:v>45568</c:v>
                </c:pt>
                <c:pt idx="438" c:formatCode="yyyy/m/d">
                  <c:v>45569</c:v>
                </c:pt>
                <c:pt idx="439" c:formatCode="yyyy/m/d">
                  <c:v>45572</c:v>
                </c:pt>
                <c:pt idx="440" c:formatCode="yyyy/m/d">
                  <c:v>45573</c:v>
                </c:pt>
                <c:pt idx="441" c:formatCode="yyyy/m/d">
                  <c:v>45574</c:v>
                </c:pt>
                <c:pt idx="442" c:formatCode="yyyy/m/d">
                  <c:v>45575</c:v>
                </c:pt>
                <c:pt idx="443" c:formatCode="yyyy/m/d">
                  <c:v>45576</c:v>
                </c:pt>
                <c:pt idx="444" c:formatCode="yyyy/m/d">
                  <c:v>45579</c:v>
                </c:pt>
                <c:pt idx="445" c:formatCode="yyyy/m/d">
                  <c:v>45580</c:v>
                </c:pt>
                <c:pt idx="446" c:formatCode="yyyy/m/d">
                  <c:v>45581</c:v>
                </c:pt>
                <c:pt idx="447" c:formatCode="yyyy/m/d">
                  <c:v>45582</c:v>
                </c:pt>
                <c:pt idx="448" c:formatCode="yyyy/m/d">
                  <c:v>45583</c:v>
                </c:pt>
                <c:pt idx="449" c:formatCode="yyyy/m/d">
                  <c:v>45586</c:v>
                </c:pt>
                <c:pt idx="450" c:formatCode="yyyy/m/d">
                  <c:v>45587</c:v>
                </c:pt>
                <c:pt idx="451" c:formatCode="yyyy/m/d">
                  <c:v>45588</c:v>
                </c:pt>
                <c:pt idx="452" c:formatCode="yyyy/m/d">
                  <c:v>45589</c:v>
                </c:pt>
                <c:pt idx="453" c:formatCode="yyyy/m/d">
                  <c:v>45590</c:v>
                </c:pt>
                <c:pt idx="454" c:formatCode="yyyy/m/d">
                  <c:v>45593</c:v>
                </c:pt>
                <c:pt idx="455" c:formatCode="yyyy/m/d">
                  <c:v>45594</c:v>
                </c:pt>
                <c:pt idx="456" c:formatCode="yyyy/m/d">
                  <c:v>45595</c:v>
                </c:pt>
                <c:pt idx="457" c:formatCode="yyyy/m/d">
                  <c:v>45596</c:v>
                </c:pt>
                <c:pt idx="458" c:formatCode="yyyy/m/d">
                  <c:v>45597</c:v>
                </c:pt>
                <c:pt idx="459" c:formatCode="yyyy/m/d">
                  <c:v>45600</c:v>
                </c:pt>
                <c:pt idx="460" c:formatCode="yyyy/m/d">
                  <c:v>45601</c:v>
                </c:pt>
                <c:pt idx="461" c:formatCode="yyyy/m/d">
                  <c:v>45602</c:v>
                </c:pt>
                <c:pt idx="462" c:formatCode="yyyy/m/d">
                  <c:v>45603</c:v>
                </c:pt>
                <c:pt idx="463" c:formatCode="yyyy/m/d">
                  <c:v>45604</c:v>
                </c:pt>
                <c:pt idx="464" c:formatCode="yyyy/m/d">
                  <c:v>45607</c:v>
                </c:pt>
                <c:pt idx="465" c:formatCode="yyyy/m/d">
                  <c:v>45608</c:v>
                </c:pt>
                <c:pt idx="466" c:formatCode="yyyy/m/d">
                  <c:v>45609</c:v>
                </c:pt>
                <c:pt idx="467" c:formatCode="yyyy/m/d">
                  <c:v>45610</c:v>
                </c:pt>
                <c:pt idx="468" c:formatCode="yyyy/m/d">
                  <c:v>45611</c:v>
                </c:pt>
                <c:pt idx="469" c:formatCode="yyyy/m/d">
                  <c:v>45614</c:v>
                </c:pt>
                <c:pt idx="470" c:formatCode="yyyy/m/d">
                  <c:v>45615</c:v>
                </c:pt>
                <c:pt idx="471" c:formatCode="yyyy/m/d">
                  <c:v>45616</c:v>
                </c:pt>
                <c:pt idx="472" c:formatCode="yyyy/m/d">
                  <c:v>45617</c:v>
                </c:pt>
                <c:pt idx="473" c:formatCode="yyyy/m/d">
                  <c:v>45618</c:v>
                </c:pt>
                <c:pt idx="474" c:formatCode="yyyy/m/d">
                  <c:v>45621</c:v>
                </c:pt>
                <c:pt idx="475" c:formatCode="yyyy/m/d">
                  <c:v>45622</c:v>
                </c:pt>
                <c:pt idx="476" c:formatCode="yyyy/m/d">
                  <c:v>45623</c:v>
                </c:pt>
                <c:pt idx="477" c:formatCode="yyyy/m/d">
                  <c:v>45624</c:v>
                </c:pt>
                <c:pt idx="478" c:formatCode="yyyy/m/d">
                  <c:v>45625</c:v>
                </c:pt>
                <c:pt idx="479" c:formatCode="yyyy/m/d">
                  <c:v>45628</c:v>
                </c:pt>
                <c:pt idx="480" c:formatCode="yyyy/m/d">
                  <c:v>45629</c:v>
                </c:pt>
                <c:pt idx="481" c:formatCode="yyyy/m/d">
                  <c:v>45630</c:v>
                </c:pt>
                <c:pt idx="482" c:formatCode="yyyy/m/d">
                  <c:v>45631</c:v>
                </c:pt>
                <c:pt idx="483" c:formatCode="yyyy/m/d">
                  <c:v>45632</c:v>
                </c:pt>
                <c:pt idx="484" c:formatCode="yyyy/m/d">
                  <c:v>45635</c:v>
                </c:pt>
                <c:pt idx="485" c:formatCode="yyyy/m/d">
                  <c:v>45636</c:v>
                </c:pt>
                <c:pt idx="486" c:formatCode="yyyy/m/d">
                  <c:v>45637</c:v>
                </c:pt>
                <c:pt idx="487" c:formatCode="yyyy/m/d">
                  <c:v>45638</c:v>
                </c:pt>
                <c:pt idx="488" c:formatCode="yyyy/m/d">
                  <c:v>45639</c:v>
                </c:pt>
                <c:pt idx="489" c:formatCode="yyyy/m/d">
                  <c:v>45642</c:v>
                </c:pt>
                <c:pt idx="490" c:formatCode="yyyy/m/d">
                  <c:v>45643</c:v>
                </c:pt>
                <c:pt idx="491" c:formatCode="yyyy/m/d">
                  <c:v>45644</c:v>
                </c:pt>
                <c:pt idx="492" c:formatCode="yyyy/m/d">
                  <c:v>45645</c:v>
                </c:pt>
                <c:pt idx="493" c:formatCode="yyyy/m/d">
                  <c:v>45646</c:v>
                </c:pt>
                <c:pt idx="494" c:formatCode="yyyy/m/d">
                  <c:v>45649</c:v>
                </c:pt>
                <c:pt idx="495" c:formatCode="yyyy/m/d">
                  <c:v>45650</c:v>
                </c:pt>
                <c:pt idx="496" c:formatCode="yyyy/m/d">
                  <c:v>45651</c:v>
                </c:pt>
                <c:pt idx="497" c:formatCode="yyyy/m/d">
                  <c:v>45652</c:v>
                </c:pt>
                <c:pt idx="498" c:formatCode="yyyy/m/d">
                  <c:v>45653</c:v>
                </c:pt>
                <c:pt idx="499" c:formatCode="yyyy/m/d">
                  <c:v>45656</c:v>
                </c:pt>
                <c:pt idx="500" c:formatCode="yyyy/m/d">
                  <c:v>45657</c:v>
                </c:pt>
                <c:pt idx="501" c:formatCode="yyyy/m/d">
                  <c:v>45659</c:v>
                </c:pt>
                <c:pt idx="502" c:formatCode="yyyy/m/d">
                  <c:v>45660</c:v>
                </c:pt>
                <c:pt idx="503" c:formatCode="yyyy/m/d">
                  <c:v>45663</c:v>
                </c:pt>
                <c:pt idx="504" c:formatCode="yyyy/m/d">
                  <c:v>45664</c:v>
                </c:pt>
                <c:pt idx="505" c:formatCode="yyyy/m/d">
                  <c:v>45665</c:v>
                </c:pt>
                <c:pt idx="506" c:formatCode="yyyy/m/d">
                  <c:v>45666</c:v>
                </c:pt>
                <c:pt idx="507" c:formatCode="yyyy/m/d">
                  <c:v>45667</c:v>
                </c:pt>
                <c:pt idx="508" c:formatCode="yyyy/m/d">
                  <c:v>45670</c:v>
                </c:pt>
                <c:pt idx="509" c:formatCode="yyyy/m/d">
                  <c:v>45671</c:v>
                </c:pt>
                <c:pt idx="510" c:formatCode="yyyy/m/d">
                  <c:v>45672</c:v>
                </c:pt>
                <c:pt idx="511" c:formatCode="yyyy/m/d">
                  <c:v>45673</c:v>
                </c:pt>
                <c:pt idx="512" c:formatCode="yyyy/m/d">
                  <c:v>45674</c:v>
                </c:pt>
                <c:pt idx="513" c:formatCode="yyyy/m/d">
                  <c:v>45677</c:v>
                </c:pt>
                <c:pt idx="514" c:formatCode="yyyy/m/d">
                  <c:v>45678</c:v>
                </c:pt>
                <c:pt idx="515" c:formatCode="yyyy/m/d">
                  <c:v>45679</c:v>
                </c:pt>
                <c:pt idx="516" c:formatCode="yyyy/m/d">
                  <c:v>45680</c:v>
                </c:pt>
                <c:pt idx="517" c:formatCode="yyyy/m/d">
                  <c:v>45681</c:v>
                </c:pt>
                <c:pt idx="518" c:formatCode="yyyy/m/d">
                  <c:v>45684</c:v>
                </c:pt>
                <c:pt idx="519" c:formatCode="yyyy/m/d">
                  <c:v>45691</c:v>
                </c:pt>
                <c:pt idx="520" c:formatCode="yyyy/m/d">
                  <c:v>45692</c:v>
                </c:pt>
                <c:pt idx="521" c:formatCode="yyyy/m/d">
                  <c:v>45693</c:v>
                </c:pt>
                <c:pt idx="522" c:formatCode="yyyy/m/d">
                  <c:v>45694</c:v>
                </c:pt>
                <c:pt idx="523" c:formatCode="yyyy/m/d">
                  <c:v>45695</c:v>
                </c:pt>
                <c:pt idx="524" c:formatCode="yyyy/m/d">
                  <c:v>45698</c:v>
                </c:pt>
                <c:pt idx="525" c:formatCode="yyyy/m/d">
                  <c:v>45699</c:v>
                </c:pt>
                <c:pt idx="526" c:formatCode="yyyy/m/d">
                  <c:v>45700</c:v>
                </c:pt>
                <c:pt idx="527" c:formatCode="yyyy/m/d">
                  <c:v>45701</c:v>
                </c:pt>
                <c:pt idx="528" c:formatCode="yyyy/m/d">
                  <c:v>45702</c:v>
                </c:pt>
                <c:pt idx="529" c:formatCode="yyyy/m/d">
                  <c:v>45705</c:v>
                </c:pt>
                <c:pt idx="530" c:formatCode="yyyy/m/d">
                  <c:v>45706</c:v>
                </c:pt>
                <c:pt idx="531" c:formatCode="yyyy/m/d">
                  <c:v>45707</c:v>
                </c:pt>
                <c:pt idx="532" c:formatCode="yyyy/m/d">
                  <c:v>45708</c:v>
                </c:pt>
                <c:pt idx="533" c:formatCode="yyyy/m/d">
                  <c:v>45709</c:v>
                </c:pt>
                <c:pt idx="534" c:formatCode="yyyy/m/d">
                  <c:v>45712</c:v>
                </c:pt>
                <c:pt idx="535" c:formatCode="yyyy/m/d">
                  <c:v>45713</c:v>
                </c:pt>
                <c:pt idx="536" c:formatCode="yyyy/m/d">
                  <c:v>45714</c:v>
                </c:pt>
                <c:pt idx="537" c:formatCode="yyyy/m/d">
                  <c:v>45715</c:v>
                </c:pt>
                <c:pt idx="538" c:formatCode="yyyy/m/d">
                  <c:v>45716</c:v>
                </c:pt>
                <c:pt idx="539" c:formatCode="yyyy/m/d">
                  <c:v>45719</c:v>
                </c:pt>
                <c:pt idx="540" c:formatCode="yyyy/m/d">
                  <c:v>45720</c:v>
                </c:pt>
                <c:pt idx="541" c:formatCode="yyyy/m/d">
                  <c:v>45721</c:v>
                </c:pt>
                <c:pt idx="542" c:formatCode="yyyy/m/d">
                  <c:v>45722</c:v>
                </c:pt>
                <c:pt idx="543" c:formatCode="yyyy/m/d">
                  <c:v>45723</c:v>
                </c:pt>
                <c:pt idx="544" c:formatCode="yyyy/m/d">
                  <c:v>45726</c:v>
                </c:pt>
                <c:pt idx="545" c:formatCode="yyyy/m/d">
                  <c:v>45727</c:v>
                </c:pt>
                <c:pt idx="546" c:formatCode="yyyy/m/d">
                  <c:v>45728</c:v>
                </c:pt>
                <c:pt idx="547" c:formatCode="yyyy/m/d">
                  <c:v>45729</c:v>
                </c:pt>
                <c:pt idx="548" c:formatCode="yyyy/m/d">
                  <c:v>45730</c:v>
                </c:pt>
                <c:pt idx="549" c:formatCode="yyyy/m/d">
                  <c:v>45733</c:v>
                </c:pt>
                <c:pt idx="550" c:formatCode="yyyy/m/d">
                  <c:v>45734</c:v>
                </c:pt>
                <c:pt idx="551" c:formatCode="yyyy/m/d">
                  <c:v>45735</c:v>
                </c:pt>
                <c:pt idx="552" c:formatCode="yyyy/m/d">
                  <c:v>45736</c:v>
                </c:pt>
                <c:pt idx="553" c:formatCode="yyyy/m/d">
                  <c:v>45737</c:v>
                </c:pt>
                <c:pt idx="554" c:formatCode="yyyy/m/d">
                  <c:v>45740</c:v>
                </c:pt>
                <c:pt idx="555" c:formatCode="yyyy/m/d">
                  <c:v>45741</c:v>
                </c:pt>
                <c:pt idx="556" c:formatCode="yyyy/m/d">
                  <c:v>45742</c:v>
                </c:pt>
                <c:pt idx="557" c:formatCode="yyyy/m/d">
                  <c:v>45743</c:v>
                </c:pt>
                <c:pt idx="558" c:formatCode="yyyy/m/d">
                  <c:v>45744</c:v>
                </c:pt>
                <c:pt idx="559" c:formatCode="yyyy/m/d">
                  <c:v>45747</c:v>
                </c:pt>
                <c:pt idx="560" c:formatCode="yyyy/m/d">
                  <c:v>45748</c:v>
                </c:pt>
                <c:pt idx="561" c:formatCode="yyyy/m/d">
                  <c:v>45749</c:v>
                </c:pt>
                <c:pt idx="562" c:formatCode="yyyy/m/d">
                  <c:v>45750</c:v>
                </c:pt>
                <c:pt idx="563" c:formatCode="yyyy/m/d">
                  <c:v>45754</c:v>
                </c:pt>
                <c:pt idx="564" c:formatCode="yyyy/m/d">
                  <c:v>45755</c:v>
                </c:pt>
                <c:pt idx="565" c:formatCode="yyyy/m/d">
                  <c:v>45756</c:v>
                </c:pt>
                <c:pt idx="566" c:formatCode="yyyy/m/d">
                  <c:v>45757</c:v>
                </c:pt>
                <c:pt idx="567" c:formatCode="yyyy/m/d">
                  <c:v>45758</c:v>
                </c:pt>
                <c:pt idx="568" c:formatCode="yyyy/m/d">
                  <c:v>45761</c:v>
                </c:pt>
                <c:pt idx="569" c:formatCode="yyyy/m/d">
                  <c:v>45762</c:v>
                </c:pt>
                <c:pt idx="570" c:formatCode="yyyy/m/d">
                  <c:v>45763</c:v>
                </c:pt>
                <c:pt idx="571" c:formatCode="yyyy/m/d">
                  <c:v>45764</c:v>
                </c:pt>
                <c:pt idx="572" c:formatCode="yyyy/m/d">
                  <c:v>45765</c:v>
                </c:pt>
                <c:pt idx="573" c:formatCode="yyyy/m/d">
                  <c:v>45768</c:v>
                </c:pt>
                <c:pt idx="574" c:formatCode="yyyy/m/d">
                  <c:v>45769</c:v>
                </c:pt>
                <c:pt idx="575" c:formatCode="yyyy/m/d">
                  <c:v>45770</c:v>
                </c:pt>
                <c:pt idx="576" c:formatCode="yyyy/m/d">
                  <c:v>45771</c:v>
                </c:pt>
                <c:pt idx="577" c:formatCode="yyyy/m/d">
                  <c:v>45772</c:v>
                </c:pt>
                <c:pt idx="578" c:formatCode="yyyy/m/d">
                  <c:v>45775</c:v>
                </c:pt>
                <c:pt idx="579" c:formatCode="yyyy/m/d">
                  <c:v>45776</c:v>
                </c:pt>
                <c:pt idx="580" c:formatCode="yyyy/m/d">
                  <c:v>45777</c:v>
                </c:pt>
                <c:pt idx="581" c:formatCode="yyyy/m/d">
                  <c:v>45779</c:v>
                </c:pt>
                <c:pt idx="582" c:formatCode="yyyy/m/d">
                  <c:v>45782</c:v>
                </c:pt>
                <c:pt idx="583" c:formatCode="yyyy/m/d">
                  <c:v>45783</c:v>
                </c:pt>
                <c:pt idx="584" c:formatCode="yyyy/m/d">
                  <c:v>45784</c:v>
                </c:pt>
                <c:pt idx="585" c:formatCode="yyyy/m/d">
                  <c:v>45785</c:v>
                </c:pt>
                <c:pt idx="586" c:formatCode="yyyy/m/d">
                  <c:v>45786</c:v>
                </c:pt>
                <c:pt idx="587" c:formatCode="yyyy/m/d">
                  <c:v>45789</c:v>
                </c:pt>
                <c:pt idx="588" c:formatCode="yyyy/m/d">
                  <c:v>45790</c:v>
                </c:pt>
                <c:pt idx="589" c:formatCode="yyyy/m/d">
                  <c:v>45791</c:v>
                </c:pt>
                <c:pt idx="590" c:formatCode="yyyy/m/d">
                  <c:v>45792</c:v>
                </c:pt>
                <c:pt idx="591" c:formatCode="yyyy/m/d">
                  <c:v>45793</c:v>
                </c:pt>
                <c:pt idx="592" c:formatCode="yyyy/m/d">
                  <c:v>45796</c:v>
                </c:pt>
                <c:pt idx="593" c:formatCode="yyyy/m/d">
                  <c:v>45797</c:v>
                </c:pt>
                <c:pt idx="594" c:formatCode="yyyy/m/d">
                  <c:v>45798</c:v>
                </c:pt>
                <c:pt idx="595" c:formatCode="yyyy/m/d">
                  <c:v>45799</c:v>
                </c:pt>
                <c:pt idx="596" c:formatCode="yyyy/m/d">
                  <c:v>45800</c:v>
                </c:pt>
                <c:pt idx="597" c:formatCode="yyyy/m/d">
                  <c:v>45803</c:v>
                </c:pt>
                <c:pt idx="598" c:formatCode="yyyy/m/d">
                  <c:v>45804</c:v>
                </c:pt>
                <c:pt idx="599" c:formatCode="yyyy/m/d">
                  <c:v>45805</c:v>
                </c:pt>
                <c:pt idx="600" c:formatCode="yyyy/m/d">
                  <c:v>45806</c:v>
                </c:pt>
                <c:pt idx="601" c:formatCode="yyyy/m/d">
                  <c:v>45807</c:v>
                </c:pt>
                <c:pt idx="602" c:formatCode="yyyy/m/d">
                  <c:v>45810</c:v>
                </c:pt>
                <c:pt idx="603" c:formatCode="yyyy/m/d">
                  <c:v>45811</c:v>
                </c:pt>
                <c:pt idx="604" c:formatCode="yyyy/m/d">
                  <c:v>45812</c:v>
                </c:pt>
                <c:pt idx="605" c:formatCode="yyyy/m/d">
                  <c:v>45813</c:v>
                </c:pt>
                <c:pt idx="606" c:formatCode="yyyy/m/d">
                  <c:v>45814</c:v>
                </c:pt>
                <c:pt idx="607" c:formatCode="yyyy/m/d">
                  <c:v>45817</c:v>
                </c:pt>
                <c:pt idx="608" c:formatCode="yyyy/m/d">
                  <c:v>45818</c:v>
                </c:pt>
                <c:pt idx="609" c:formatCode="yyyy/m/d">
                  <c:v>45819</c:v>
                </c:pt>
                <c:pt idx="610" c:formatCode="yyyy/m/d">
                  <c:v>45820</c:v>
                </c:pt>
                <c:pt idx="611" c:formatCode="yyyy/m/d">
                  <c:v>45821</c:v>
                </c:pt>
                <c:pt idx="612" c:formatCode="yyyy/m/d">
                  <c:v>45824</c:v>
                </c:pt>
                <c:pt idx="613" c:formatCode="yyyy/m/d">
                  <c:v>45825</c:v>
                </c:pt>
                <c:pt idx="614" c:formatCode="yyyy/m/d">
                  <c:v>45826</c:v>
                </c:pt>
                <c:pt idx="615" c:formatCode="yyyy/m/d">
                  <c:v>45827</c:v>
                </c:pt>
                <c:pt idx="616" c:formatCode="yyyy/m/d">
                  <c:v>45828</c:v>
                </c:pt>
                <c:pt idx="617" c:formatCode="yyyy/m/d">
                  <c:v>45831</c:v>
                </c:pt>
                <c:pt idx="618" c:formatCode="yyyy/m/d">
                  <c:v>45832</c:v>
                </c:pt>
                <c:pt idx="619" c:formatCode="yyyy/m/d">
                  <c:v>45833</c:v>
                </c:pt>
                <c:pt idx="620" c:formatCode="yyyy/m/d">
                  <c:v>45834</c:v>
                </c:pt>
                <c:pt idx="621" c:formatCode="yyyy/m/d">
                  <c:v>45835</c:v>
                </c:pt>
                <c:pt idx="622" c:formatCode="yyyy/m/d">
                  <c:v>45838</c:v>
                </c:pt>
                <c:pt idx="623" c:formatCode="yyyy/m/d">
                  <c:v>45839</c:v>
                </c:pt>
                <c:pt idx="624" c:formatCode="yyyy/m/d">
                  <c:v>45840</c:v>
                </c:pt>
                <c:pt idx="625" c:formatCode="yyyy/m/d">
                  <c:v>45841</c:v>
                </c:pt>
                <c:pt idx="626" c:formatCode="yyyy/m/d">
                  <c:v>45842</c:v>
                </c:pt>
                <c:pt idx="627" c:formatCode="yyyy/m/d">
                  <c:v>45845</c:v>
                </c:pt>
                <c:pt idx="628" c:formatCode="yyyy/m/d">
                  <c:v>45846</c:v>
                </c:pt>
                <c:pt idx="629" c:formatCode="yyyy/m/d">
                  <c:v>45847</c:v>
                </c:pt>
                <c:pt idx="630" c:formatCode="yyyy/m/d">
                  <c:v>45848</c:v>
                </c:pt>
                <c:pt idx="631" c:formatCode="yyyy/m/d">
                  <c:v>45849</c:v>
                </c:pt>
                <c:pt idx="632" c:formatCode="yyyy/m/d">
                  <c:v>45852</c:v>
                </c:pt>
                <c:pt idx="633" c:formatCode="yyyy/m/d">
                  <c:v>45853</c:v>
                </c:pt>
                <c:pt idx="634" c:formatCode="yyyy/m/d">
                  <c:v>45854</c:v>
                </c:pt>
                <c:pt idx="635" c:formatCode="yyyy/m/d">
                  <c:v>45855</c:v>
                </c:pt>
                <c:pt idx="636" c:formatCode="yyyy/m/d">
                  <c:v>45856</c:v>
                </c:pt>
                <c:pt idx="637" c:formatCode="yyyy/m/d">
                  <c:v>45859</c:v>
                </c:pt>
                <c:pt idx="638" c:formatCode="yyyy/m/d">
                  <c:v>45860</c:v>
                </c:pt>
                <c:pt idx="639" c:formatCode="yyyy/m/d">
                  <c:v>45861</c:v>
                </c:pt>
                <c:pt idx="640" c:formatCode="yyyy/m/d">
                  <c:v>45862</c:v>
                </c:pt>
                <c:pt idx="641" c:formatCode="yyyy/m/d">
                  <c:v>45863</c:v>
                </c:pt>
                <c:pt idx="642" c:formatCode="yyyy/m/d">
                  <c:v>45866</c:v>
                </c:pt>
                <c:pt idx="643" c:formatCode="yyyy/m/d">
                  <c:v>45867</c:v>
                </c:pt>
                <c:pt idx="644" c:formatCode="yyyy/m/d">
                  <c:v>45868</c:v>
                </c:pt>
                <c:pt idx="645" c:formatCode="yyyy/m/d">
                  <c:v>45869</c:v>
                </c:pt>
                <c:pt idx="646" c:formatCode="yyyy/m/d">
                  <c:v>45870</c:v>
                </c:pt>
                <c:pt idx="647" c:formatCode="yyyy/m/d">
                  <c:v>45873</c:v>
                </c:pt>
                <c:pt idx="648" c:formatCode="yyyy/m/d">
                  <c:v>45874</c:v>
                </c:pt>
                <c:pt idx="649" c:formatCode="yyyy/m/d">
                  <c:v>45875</c:v>
                </c:pt>
                <c:pt idx="650" c:formatCode="yyyy/m/d">
                  <c:v>45876</c:v>
                </c:pt>
                <c:pt idx="651" c:formatCode="yyyy/m/d">
                  <c:v>45877</c:v>
                </c:pt>
                <c:pt idx="652" c:formatCode="yyyy/m/d">
                  <c:v>45880</c:v>
                </c:pt>
                <c:pt idx="653" c:formatCode="yyyy/m/d">
                  <c:v>45881</c:v>
                </c:pt>
                <c:pt idx="654" c:formatCode="yyyy/m/d">
                  <c:v>45882</c:v>
                </c:pt>
                <c:pt idx="655" c:formatCode="yyyy/m/d">
                  <c:v>45883</c:v>
                </c:pt>
                <c:pt idx="656" c:formatCode="yyyy/m/d">
                  <c:v>45884</c:v>
                </c:pt>
                <c:pt idx="657" c:formatCode="yyyy/m/d">
                  <c:v>45887</c:v>
                </c:pt>
                <c:pt idx="658" c:formatCode="yyyy/m/d">
                  <c:v>45888</c:v>
                </c:pt>
                <c:pt idx="659" c:formatCode="yyyy/m/d">
                  <c:v>45889</c:v>
                </c:pt>
                <c:pt idx="660" c:formatCode="yyyy/m/d">
                  <c:v>45890</c:v>
                </c:pt>
                <c:pt idx="661" c:formatCode="yyyy/m/d">
                  <c:v>45891</c:v>
                </c:pt>
                <c:pt idx="662" c:formatCode="yyyy/m/d">
                  <c:v>45894</c:v>
                </c:pt>
                <c:pt idx="663" c:formatCode="yyyy/m/d">
                  <c:v>45895</c:v>
                </c:pt>
                <c:pt idx="664" c:formatCode="yyyy/m/d">
                  <c:v>45896</c:v>
                </c:pt>
                <c:pt idx="665" c:formatCode="yyyy/m/d">
                  <c:v>45897</c:v>
                </c:pt>
                <c:pt idx="666" c:formatCode="yyyy/m/d">
                  <c:v>45898</c:v>
                </c:pt>
                <c:pt idx="667" c:formatCode="yyyy/m/d">
                  <c:v>45901</c:v>
                </c:pt>
                <c:pt idx="668" c:formatCode="yyyy/m/d">
                  <c:v>45902</c:v>
                </c:pt>
                <c:pt idx="669" c:formatCode="yyyy/m/d">
                  <c:v>45903</c:v>
                </c:pt>
                <c:pt idx="670" c:formatCode="yyyy/m/d">
                  <c:v>45904</c:v>
                </c:pt>
                <c:pt idx="671" c:formatCode="yyyy/m/d">
                  <c:v>45905</c:v>
                </c:pt>
                <c:pt idx="672" c:formatCode="yyyy/m/d">
                  <c:v>45908</c:v>
                </c:pt>
                <c:pt idx="673" c:formatCode="yyyy/m/d">
                  <c:v>45909</c:v>
                </c:pt>
                <c:pt idx="674" c:formatCode="yyyy/m/d">
                  <c:v>45910</c:v>
                </c:pt>
                <c:pt idx="675" c:formatCode="yyyy/m/d">
                  <c:v>45911</c:v>
                </c:pt>
                <c:pt idx="676" c:formatCode="yyyy/m/d">
                  <c:v>45912</c:v>
                </c:pt>
                <c:pt idx="677" c:formatCode="yyyy/m/d">
                  <c:v>45915</c:v>
                </c:pt>
                <c:pt idx="678" c:formatCode="yyyy/m/d">
                  <c:v>45916</c:v>
                </c:pt>
                <c:pt idx="679" c:formatCode="yyyy/m/d">
                  <c:v>45917</c:v>
                </c:pt>
                <c:pt idx="680" c:formatCode="yyyy/m/d">
                  <c:v>45918</c:v>
                </c:pt>
                <c:pt idx="681" c:formatCode="yyyy/m/d">
                  <c:v>45919</c:v>
                </c:pt>
                <c:pt idx="682" c:formatCode="yyyy/m/d">
                  <c:v>45922</c:v>
                </c:pt>
                <c:pt idx="683" c:formatCode="yyyy/m/d">
                  <c:v>45923</c:v>
                </c:pt>
                <c:pt idx="684" c:formatCode="yyyy/m/d">
                  <c:v>45924</c:v>
                </c:pt>
                <c:pt idx="685" c:formatCode="yyyy/m/d">
                  <c:v>45925</c:v>
                </c:pt>
                <c:pt idx="686" c:formatCode="yyyy/m/d">
                  <c:v>45926</c:v>
                </c:pt>
                <c:pt idx="687" c:formatCode="yyyy/m/d">
                  <c:v>45929</c:v>
                </c:pt>
                <c:pt idx="688" c:formatCode="yyyy/m/d">
                  <c:v>45930</c:v>
                </c:pt>
                <c:pt idx="689" c:formatCode="yyyy/m/d">
                  <c:v>45931</c:v>
                </c:pt>
                <c:pt idx="690" c:formatCode="yyyy/m/d">
                  <c:v>45932</c:v>
                </c:pt>
                <c:pt idx="691" c:formatCode="yyyy/m/d">
                  <c:v>45933</c:v>
                </c:pt>
                <c:pt idx="692" c:formatCode="yyyy/m/d">
                  <c:v>45936</c:v>
                </c:pt>
                <c:pt idx="693" c:formatCode="yyyy/m/d">
                  <c:v>45937</c:v>
                </c:pt>
                <c:pt idx="694" c:formatCode="yyyy/m/d">
                  <c:v>45938</c:v>
                </c:pt>
                <c:pt idx="695" c:formatCode="yyyy/m/d">
                  <c:v>45939</c:v>
                </c:pt>
                <c:pt idx="696" c:formatCode="yyyy/m/d">
                  <c:v>45940</c:v>
                </c:pt>
                <c:pt idx="697" c:formatCode="yyyy/m/d">
                  <c:v>45943</c:v>
                </c:pt>
                <c:pt idx="698" c:formatCode="yyyy/m/d">
                  <c:v>45944</c:v>
                </c:pt>
                <c:pt idx="699" c:formatCode="yyyy/m/d">
                  <c:v>45945</c:v>
                </c:pt>
                <c:pt idx="700" c:formatCode="yyyy/m/d">
                  <c:v>45946</c:v>
                </c:pt>
                <c:pt idx="701" c:formatCode="yyyy/m/d">
                  <c:v>45947</c:v>
                </c:pt>
                <c:pt idx="702" c:formatCode="yyyy/m/d">
                  <c:v>45950</c:v>
                </c:pt>
                <c:pt idx="703" c:formatCode="yyyy/m/d">
                  <c:v>45951</c:v>
                </c:pt>
                <c:pt idx="704" c:formatCode="yyyy/m/d">
                  <c:v>45952</c:v>
                </c:pt>
                <c:pt idx="705" c:formatCode="yyyy/m/d">
                  <c:v>45953</c:v>
                </c:pt>
                <c:pt idx="706" c:formatCode="yyyy/m/d">
                  <c:v>45954</c:v>
                </c:pt>
                <c:pt idx="707" c:formatCode="yyyy/m/d">
                  <c:v>45957</c:v>
                </c:pt>
                <c:pt idx="708" c:formatCode="yyyy/m/d">
                  <c:v>45958</c:v>
                </c:pt>
                <c:pt idx="709" c:formatCode="yyyy/m/d">
                  <c:v>45959</c:v>
                </c:pt>
                <c:pt idx="710" c:formatCode="yyyy/m/d">
                  <c:v>45960</c:v>
                </c:pt>
                <c:pt idx="711" c:formatCode="yyyy/m/d">
                  <c:v>45961</c:v>
                </c:pt>
                <c:pt idx="712" c:formatCode="yyyy/m/d">
                  <c:v>45964</c:v>
                </c:pt>
                <c:pt idx="713" c:formatCode="yyyy/m/d">
                  <c:v>45965</c:v>
                </c:pt>
                <c:pt idx="714" c:formatCode="yyyy/m/d">
                  <c:v>45966</c:v>
                </c:pt>
                <c:pt idx="715" c:formatCode="yyyy/m/d">
                  <c:v>45967</c:v>
                </c:pt>
                <c:pt idx="716" c:formatCode="yyyy/m/d">
                  <c:v>45968</c:v>
                </c:pt>
                <c:pt idx="717" c:formatCode="yyyy/m/d">
                  <c:v>45971</c:v>
                </c:pt>
                <c:pt idx="718" c:formatCode="yyyy/m/d">
                  <c:v>45972</c:v>
                </c:pt>
                <c:pt idx="719" c:formatCode="yyyy/m/d">
                  <c:v>45973</c:v>
                </c:pt>
                <c:pt idx="720" c:formatCode="yyyy/m/d">
                  <c:v>45974</c:v>
                </c:pt>
                <c:pt idx="721" c:formatCode="yyyy/m/d">
                  <c:v>45975</c:v>
                </c:pt>
                <c:pt idx="722" c:formatCode="yyyy/m/d">
                  <c:v>45978</c:v>
                </c:pt>
                <c:pt idx="723" c:formatCode="yyyy/m/d">
                  <c:v>45979</c:v>
                </c:pt>
                <c:pt idx="724" c:formatCode="yyyy/m/d">
                  <c:v>45980</c:v>
                </c:pt>
                <c:pt idx="725" c:formatCode="yyyy/m/d">
                  <c:v>45981</c:v>
                </c:pt>
                <c:pt idx="726" c:formatCode="yyyy/m/d">
                  <c:v>45982</c:v>
                </c:pt>
                <c:pt idx="727" c:formatCode="yyyy/m/d">
                  <c:v>45985</c:v>
                </c:pt>
                <c:pt idx="728" c:formatCode="yyyy/m/d">
                  <c:v>45986</c:v>
                </c:pt>
                <c:pt idx="729" c:formatCode="yyyy/m/d">
                  <c:v>45987</c:v>
                </c:pt>
                <c:pt idx="730" c:formatCode="yyyy/m/d">
                  <c:v>45988</c:v>
                </c:pt>
                <c:pt idx="731" c:formatCode="yyyy/m/d">
                  <c:v>45989</c:v>
                </c:pt>
                <c:pt idx="732" c:formatCode="yyyy/m/d">
                  <c:v>45992</c:v>
                </c:pt>
                <c:pt idx="733" c:formatCode="yyyy/m/d">
                  <c:v>45993</c:v>
                </c:pt>
                <c:pt idx="734" c:formatCode="yyyy/m/d">
                  <c:v>45994</c:v>
                </c:pt>
                <c:pt idx="735" c:formatCode="yyyy/m/d">
                  <c:v>45995</c:v>
                </c:pt>
                <c:pt idx="736" c:formatCode="yyyy/m/d">
                  <c:v>45996</c:v>
                </c:pt>
                <c:pt idx="737" c:formatCode="yyyy/m/d">
                  <c:v>45999</c:v>
                </c:pt>
                <c:pt idx="738" c:formatCode="yyyy/m/d">
                  <c:v>46000</c:v>
                </c:pt>
                <c:pt idx="739" c:formatCode="yyyy/m/d">
                  <c:v>46001</c:v>
                </c:pt>
                <c:pt idx="740" c:formatCode="yyyy/m/d">
                  <c:v>46002</c:v>
                </c:pt>
                <c:pt idx="741" c:formatCode="yyyy/m/d">
                  <c:v>46003</c:v>
                </c:pt>
                <c:pt idx="742" c:formatCode="yyyy/m/d">
                  <c:v>46006</c:v>
                </c:pt>
                <c:pt idx="743" c:formatCode="yyyy/m/d">
                  <c:v>46007</c:v>
                </c:pt>
                <c:pt idx="744" c:formatCode="yyyy/m/d">
                  <c:v>46008</c:v>
                </c:pt>
                <c:pt idx="745" c:formatCode="yyyy/m/d">
                  <c:v>46009</c:v>
                </c:pt>
                <c:pt idx="746" c:formatCode="yyyy/m/d">
                  <c:v>46010</c:v>
                </c:pt>
                <c:pt idx="747" c:formatCode="yyyy/m/d">
                  <c:v>46013</c:v>
                </c:pt>
                <c:pt idx="748" c:formatCode="yyyy/m/d">
                  <c:v>46014</c:v>
                </c:pt>
                <c:pt idx="749" c:formatCode="yyyy/m/d">
                  <c:v>46015</c:v>
                </c:pt>
                <c:pt idx="750" c:formatCode="yyyy/m/d">
                  <c:v>46016</c:v>
                </c:pt>
                <c:pt idx="751" c:formatCode="yyyy/m/d">
                  <c:v>46017</c:v>
                </c:pt>
                <c:pt idx="752" c:formatCode="yyyy/m/d">
                  <c:v>46020</c:v>
                </c:pt>
                <c:pt idx="753" c:formatCode="yyyy/m/d">
                  <c:v>46021</c:v>
                </c:pt>
                <c:pt idx="754" c:formatCode="yyyy/m/d">
                  <c:v>46022</c:v>
                </c:pt>
                <c:pt idx="755" c:formatCode="yyyy/m/d">
                  <c:v>46024</c:v>
                </c:pt>
                <c:pt idx="756" c:formatCode="yyyy/m/d">
                  <c:v>46027</c:v>
                </c:pt>
                <c:pt idx="757" c:formatCode="yyyy/m/d">
                  <c:v>46028</c:v>
                </c:pt>
                <c:pt idx="758" c:formatCode="yyyy/m/d">
                  <c:v>46029</c:v>
                </c:pt>
                <c:pt idx="759" c:formatCode="yyyy/m/d">
                  <c:v>46030</c:v>
                </c:pt>
                <c:pt idx="760" c:formatCode="yyyy/m/d">
                  <c:v>46031</c:v>
                </c:pt>
                <c:pt idx="761" c:formatCode="yyyy/m/d">
                  <c:v>46034</c:v>
                </c:pt>
                <c:pt idx="762" c:formatCode="yyyy/m/d">
                  <c:v>46035</c:v>
                </c:pt>
                <c:pt idx="763" c:formatCode="yyyy/m/d">
                  <c:v>46036</c:v>
                </c:pt>
                <c:pt idx="764" c:formatCode="yyyy/m/d">
                  <c:v>46037</c:v>
                </c:pt>
                <c:pt idx="765" c:formatCode="yyyy/m/d">
                  <c:v>46038</c:v>
                </c:pt>
                <c:pt idx="766" c:formatCode="yyyy/m/d">
                  <c:v>46041</c:v>
                </c:pt>
                <c:pt idx="767" c:formatCode="yyyy/m/d">
                  <c:v>46042</c:v>
                </c:pt>
                <c:pt idx="768" c:formatCode="yyyy/m/d">
                  <c:v>46043</c:v>
                </c:pt>
                <c:pt idx="769" c:formatCode="yyyy/m/d">
                  <c:v>46044</c:v>
                </c:pt>
                <c:pt idx="770" c:formatCode="yyyy/m/d">
                  <c:v>46045</c:v>
                </c:pt>
                <c:pt idx="771" c:formatCode="yyyy/m/d">
                  <c:v>46048</c:v>
                </c:pt>
                <c:pt idx="772" c:formatCode="yyyy/m/d">
                  <c:v>46049</c:v>
                </c:pt>
                <c:pt idx="773" c:formatCode="yyyy/m/d">
                  <c:v>46050</c:v>
                </c:pt>
                <c:pt idx="774" c:formatCode="yyyy/m/d">
                  <c:v>46051</c:v>
                </c:pt>
                <c:pt idx="775" c:formatCode="yyyy/m/d">
                  <c:v>46052</c:v>
                </c:pt>
                <c:pt idx="776" c:formatCode="yyyy/m/d">
                  <c:v>46055</c:v>
                </c:pt>
                <c:pt idx="777" c:formatCode="yyyy/m/d">
                  <c:v>46056</c:v>
                </c:pt>
                <c:pt idx="778" c:formatCode="yyyy/m/d">
                  <c:v>46057</c:v>
                </c:pt>
                <c:pt idx="779" c:formatCode="yyyy/m/d">
                  <c:v>46058</c:v>
                </c:pt>
                <c:pt idx="780" c:formatCode="yyyy/m/d">
                  <c:v>46059</c:v>
                </c:pt>
                <c:pt idx="781" c:formatCode="yyyy/m/d">
                  <c:v>46062</c:v>
                </c:pt>
                <c:pt idx="782" c:formatCode="yyyy/m/d">
                  <c:v>46063</c:v>
                </c:pt>
                <c:pt idx="783" c:formatCode="yyyy/m/d">
                  <c:v>46064</c:v>
                </c:pt>
                <c:pt idx="784" c:formatCode="yyyy/m/d">
                  <c:v>46065</c:v>
                </c:pt>
                <c:pt idx="785" c:formatCode="yyyy/m/d">
                  <c:v>46066</c:v>
                </c:pt>
                <c:pt idx="786" c:formatCode="yyyy/m/d">
                  <c:v>46076</c:v>
                </c:pt>
                <c:pt idx="787" c:formatCode="yyyy/m/d">
                  <c:v>46077</c:v>
                </c:pt>
                <c:pt idx="788" c:formatCode="yyyy/m/d">
                  <c:v>46078</c:v>
                </c:pt>
                <c:pt idx="789" c:formatCode="yyyy/m/d">
                  <c:v>46079</c:v>
                </c:pt>
                <c:pt idx="790" c:formatCode="yyyy/m/d">
                  <c:v>46080</c:v>
                </c:pt>
                <c:pt idx="791" c:formatCode="yyyy/m/d">
                  <c:v>46083</c:v>
                </c:pt>
                <c:pt idx="792" c:formatCode="yyyy/m/d">
                  <c:v>46084</c:v>
                </c:pt>
                <c:pt idx="793" c:formatCode="yyyy/m/d">
                  <c:v>46085</c:v>
                </c:pt>
                <c:pt idx="794" c:formatCode="yyyy/m/d">
                  <c:v>46086</c:v>
                </c:pt>
                <c:pt idx="795" c:formatCode="yyyy/m/d">
                  <c:v>46087</c:v>
                </c:pt>
                <c:pt idx="796" c:formatCode="yyyy/m/d">
                  <c:v>46090</c:v>
                </c:pt>
                <c:pt idx="797" c:formatCode="yyyy/m/d">
                  <c:v>46091</c:v>
                </c:pt>
                <c:pt idx="798" c:formatCode="yyyy/m/d">
                  <c:v>46092</c:v>
                </c:pt>
                <c:pt idx="799" c:formatCode="yyyy/m/d">
                  <c:v>46093</c:v>
                </c:pt>
                <c:pt idx="800" c:formatCode="yyyy/m/d">
                  <c:v>46094</c:v>
                </c:pt>
                <c:pt idx="801" c:formatCode="yyyy/m/d">
                  <c:v>46097</c:v>
                </c:pt>
                <c:pt idx="802" c:formatCode="yyyy/m/d">
                  <c:v>46098</c:v>
                </c:pt>
                <c:pt idx="803" c:formatCode="yyyy/m/d">
                  <c:v>46099</c:v>
                </c:pt>
                <c:pt idx="804" c:formatCode="yyyy/m/d">
                  <c:v>46100</c:v>
                </c:pt>
                <c:pt idx="805" c:formatCode="yyyy/m/d">
                  <c:v>46101</c:v>
                </c:pt>
                <c:pt idx="806" c:formatCode="yyyy/m/d">
                  <c:v>46104</c:v>
                </c:pt>
                <c:pt idx="807" c:formatCode="yyyy/m/d">
                  <c:v>46105</c:v>
                </c:pt>
                <c:pt idx="808" c:formatCode="yyyy/m/d">
                  <c:v>46106</c:v>
                </c:pt>
                <c:pt idx="809" c:formatCode="yyyy/m/d">
                  <c:v>46107</c:v>
                </c:pt>
                <c:pt idx="810" c:formatCode="yyyy/m/d">
                  <c:v>46108</c:v>
                </c:pt>
                <c:pt idx="811" c:formatCode="yyyy/m/d">
                  <c:v>46111</c:v>
                </c:pt>
                <c:pt idx="812" c:formatCode="yyyy/m/d">
                  <c:v>46112</c:v>
                </c:pt>
                <c:pt idx="813" c:formatCode="yyyy/m/d">
                  <c:v>46113</c:v>
                </c:pt>
                <c:pt idx="814" c:formatCode="yyyy/m/d">
                  <c:v>46114</c:v>
                </c:pt>
                <c:pt idx="815" c:formatCode="yyyy/m/d">
                  <c:v>46115</c:v>
                </c:pt>
                <c:pt idx="816" c:formatCode="yyyy/m/d">
                  <c:v>46119</c:v>
                </c:pt>
                <c:pt idx="817" c:formatCode="yyyy/m/d">
                  <c:v>46120</c:v>
                </c:pt>
                <c:pt idx="818" c:formatCode="yyyy/m/d">
                  <c:v>46121</c:v>
                </c:pt>
                <c:pt idx="819" c:formatCode="yyyy/m/d">
                  <c:v>46122</c:v>
                </c:pt>
                <c:pt idx="820" c:formatCode="yyyy/m/d">
                  <c:v>46125</c:v>
                </c:pt>
                <c:pt idx="821" c:formatCode="yyyy/m/d">
                  <c:v>46126</c:v>
                </c:pt>
                <c:pt idx="822" c:formatCode="yyyy/m/d">
                  <c:v>46127</c:v>
                </c:pt>
                <c:pt idx="823" c:formatCode="yyyy/m/d">
                  <c:v>46128</c:v>
                </c:pt>
                <c:pt idx="824" c:formatCode="yyyy/m/d">
                  <c:v>46129</c:v>
                </c:pt>
                <c:pt idx="825" c:formatCode="yyyy/m/d">
                  <c:v>46132</c:v>
                </c:pt>
                <c:pt idx="826" c:formatCode="yyyy/m/d">
                  <c:v>46133</c:v>
                </c:pt>
                <c:pt idx="827" c:formatCode="yyyy/m/d">
                  <c:v>46134</c:v>
                </c:pt>
                <c:pt idx="828" c:formatCode="yyyy/m/d">
                  <c:v>46135</c:v>
                </c:pt>
                <c:pt idx="829" c:formatCode="yyyy/m/d">
                  <c:v>46136</c:v>
                </c:pt>
                <c:pt idx="830" c:formatCode="yyyy/m/d">
                  <c:v>46139</c:v>
                </c:pt>
                <c:pt idx="831" c:formatCode="yyyy/m/d">
                  <c:v>46140</c:v>
                </c:pt>
                <c:pt idx="832" c:formatCode="yyyy/m/d">
                  <c:v>46141</c:v>
                </c:pt>
                <c:pt idx="833" c:formatCode="yyyy/m/d">
                  <c:v>46142</c:v>
                </c:pt>
                <c:pt idx="834" c:formatCode="yyyy/m/d">
                  <c:v>46146</c:v>
                </c:pt>
                <c:pt idx="835" c:formatCode="yyyy/m/d">
                  <c:v>46147</c:v>
                </c:pt>
                <c:pt idx="836" c:formatCode="yyyy/m/d">
                  <c:v>46148</c:v>
                </c:pt>
                <c:pt idx="837" c:formatCode="yyyy/m/d">
                  <c:v>46149</c:v>
                </c:pt>
                <c:pt idx="838" c:formatCode="yyyy/m/d">
                  <c:v>46150</c:v>
                </c:pt>
                <c:pt idx="839" c:formatCode="yyyy/m/d">
                  <c:v>46153</c:v>
                </c:pt>
                <c:pt idx="840" c:formatCode="yyyy/m/d">
                  <c:v>46154</c:v>
                </c:pt>
                <c:pt idx="841" c:formatCode="yyyy/m/d">
                  <c:v>46155</c:v>
                </c:pt>
                <c:pt idx="842" c:formatCode="yyyy/m/d">
                  <c:v>46156</c:v>
                </c:pt>
                <c:pt idx="843" c:formatCode="yyyy/m/d">
                  <c:v>46157</c:v>
                </c:pt>
                <c:pt idx="844" c:formatCode="yyyy/m/d">
                  <c:v>46160</c:v>
                </c:pt>
                <c:pt idx="845" c:formatCode="yyyy/m/d">
                  <c:v>46161</c:v>
                </c:pt>
                <c:pt idx="846" c:formatCode="yyyy/m/d">
                  <c:v>46162</c:v>
                </c:pt>
                <c:pt idx="847" c:formatCode="yyyy/m/d">
                  <c:v>46163</c:v>
                </c:pt>
                <c:pt idx="848" c:formatCode="yyyy/m/d">
                  <c:v>46164</c:v>
                </c:pt>
                <c:pt idx="849" c:formatCode="yyyy/m/d">
                  <c:v>46167</c:v>
                </c:pt>
                <c:pt idx="850" c:formatCode="yyyy/m/d">
                  <c:v>46168</c:v>
                </c:pt>
                <c:pt idx="851" c:formatCode="yyyy/m/d">
                  <c:v>46169</c:v>
                </c:pt>
                <c:pt idx="852" c:formatCode="yyyy/m/d">
                  <c:v>46170</c:v>
                </c:pt>
                <c:pt idx="853" c:formatCode="yyyy/m/d">
                  <c:v>46171</c:v>
                </c:pt>
                <c:pt idx="854" c:formatCode="yyyy/m/d">
                  <c:v>46174</c:v>
                </c:pt>
              </c:numCache>
            </c:numRef>
          </c:cat>
          <c:val>
            <c:numRef>
              <c:f>DRAM!$AB$1748:$AB$3000</c:f>
              <c:numCache>
                <c:formatCode>0.00%</c:formatCode>
                <c:ptCount val="1253"/>
                <c:pt idx="1">
                  <c:v>-0.00130426681572571</c:v>
                </c:pt>
                <c:pt idx="2">
                  <c:v>-0.00186567164179119</c:v>
                </c:pt>
                <c:pt idx="3">
                  <c:v>-0.000560747663551298</c:v>
                </c:pt>
                <c:pt idx="4">
                  <c:v>-0.000748083037217184</c:v>
                </c:pt>
                <c:pt idx="5">
                  <c:v>-0.000561482313307105</c:v>
                </c:pt>
                <c:pt idx="6">
                  <c:v>-0.0013108614232209</c:v>
                </c:pt>
                <c:pt idx="7">
                  <c:v>-0.00937558597412336</c:v>
                </c:pt>
                <c:pt idx="8">
                  <c:v>-0.00870717395419274</c:v>
                </c:pt>
                <c:pt idx="9">
                  <c:v>-0.00381898033225136</c:v>
                </c:pt>
                <c:pt idx="10">
                  <c:v>-0.00651715545332565</c:v>
                </c:pt>
                <c:pt idx="11">
                  <c:v>-0.00443758441057296</c:v>
                </c:pt>
                <c:pt idx="12">
                  <c:v>-0.00523255813953494</c:v>
                </c:pt>
                <c:pt idx="13">
                  <c:v>-0.00116890707188788</c:v>
                </c:pt>
                <c:pt idx="14">
                  <c:v>-0.00273064170079951</c:v>
                </c:pt>
                <c:pt idx="15">
                  <c:v>-0.00449833757089779</c:v>
                </c:pt>
                <c:pt idx="16">
                  <c:v>-0.00196463654223966</c:v>
                </c:pt>
                <c:pt idx="17">
                  <c:v>-0.00334645669291345</c:v>
                </c:pt>
                <c:pt idx="18">
                  <c:v>-0.00256764763973927</c:v>
                </c:pt>
                <c:pt idx="19">
                  <c:v>-0.00990099009900991</c:v>
                </c:pt>
                <c:pt idx="20">
                  <c:v>-0.0162000000000001</c:v>
                </c:pt>
                <c:pt idx="21">
                  <c:v>-0.00935149420613934</c:v>
                </c:pt>
                <c:pt idx="22">
                  <c:v>-0.0149805048224914</c:v>
                </c:pt>
                <c:pt idx="23">
                  <c:v>-0.00687499999999985</c:v>
                </c:pt>
                <c:pt idx="24">
                  <c:v>-0.010488777008601</c:v>
                </c:pt>
                <c:pt idx="25">
                  <c:v>-0.00847996608013568</c:v>
                </c:pt>
                <c:pt idx="26">
                  <c:v>-0.00769724182168052</c:v>
                </c:pt>
                <c:pt idx="27">
                  <c:v>-0.00237017884076707</c:v>
                </c:pt>
                <c:pt idx="28">
                  <c:v>-0.000863930885529052</c:v>
                </c:pt>
                <c:pt idx="29">
                  <c:v>-0.00108084738434933</c:v>
                </c:pt>
                <c:pt idx="30">
                  <c:v>-0.00714131140445795</c:v>
                </c:pt>
                <c:pt idx="31">
                  <c:v>-0.00850043591979066</c:v>
                </c:pt>
                <c:pt idx="32">
                  <c:v>-0.00483622774236103</c:v>
                </c:pt>
                <c:pt idx="33">
                  <c:v>-0.00706869891760553</c:v>
                </c:pt>
                <c:pt idx="34">
                  <c:v>-0.00800889877641831</c:v>
                </c:pt>
                <c:pt idx="35">
                  <c:v>-0.00560663825969931</c:v>
                </c:pt>
                <c:pt idx="36">
                  <c:v>-0.00631483987370329</c:v>
                </c:pt>
                <c:pt idx="37">
                  <c:v>-0.00499319110304119</c:v>
                </c:pt>
                <c:pt idx="38">
                  <c:v>-0.00433394160583944</c:v>
                </c:pt>
                <c:pt idx="39">
                  <c:v>-0.00252004581901488</c:v>
                </c:pt>
                <c:pt idx="40">
                  <c:v>-0.00964630225080376</c:v>
                </c:pt>
                <c:pt idx="41">
                  <c:v>-0.00324675324675328</c:v>
                </c:pt>
                <c:pt idx="42">
                  <c:v>-0.00814332247557004</c:v>
                </c:pt>
                <c:pt idx="43">
                  <c:v>-0.00844475721323001</c:v>
                </c:pt>
                <c:pt idx="44">
                  <c:v>-0.00544121126094166</c:v>
                </c:pt>
                <c:pt idx="45">
                  <c:v>-0.0021408182683158</c:v>
                </c:pt>
                <c:pt idx="46">
                  <c:v>-0.00166865315852216</c:v>
                </c:pt>
                <c:pt idx="47">
                  <c:v>-0.000477554918815626</c:v>
                </c:pt>
                <c:pt idx="48">
                  <c:v>-0.0062111801242235</c:v>
                </c:pt>
                <c:pt idx="49">
                  <c:v>-0.00288461538461549</c:v>
                </c:pt>
                <c:pt idx="50">
                  <c:v>-0.0016875602700096</c:v>
                </c:pt>
                <c:pt idx="51">
                  <c:v>-0.00265636319729534</c:v>
                </c:pt>
                <c:pt idx="52">
                  <c:v>-0.0026634382566586</c:v>
                </c:pt>
                <c:pt idx="53">
                  <c:v>-0.00121388686574408</c:v>
                </c:pt>
                <c:pt idx="54">
                  <c:v>0</c:v>
                </c:pt>
                <c:pt idx="55">
                  <c:v>-0.0109382596013612</c:v>
                </c:pt>
                <c:pt idx="56">
                  <c:v>-0.0061440157286804</c:v>
                </c:pt>
                <c:pt idx="57">
                  <c:v>-0.0123639960435211</c:v>
                </c:pt>
                <c:pt idx="58">
                  <c:v>-0.00776164246369559</c:v>
                </c:pt>
                <c:pt idx="59">
                  <c:v>-0.000757002271006835</c:v>
                </c:pt>
                <c:pt idx="60">
                  <c:v>-0.00252525252525249</c:v>
                </c:pt>
                <c:pt idx="61">
                  <c:v>-0.00658227848101267</c:v>
                </c:pt>
                <c:pt idx="62">
                  <c:v>-0.000764525993883769</c:v>
                </c:pt>
                <c:pt idx="63">
                  <c:v>0</c:v>
                </c:pt>
                <c:pt idx="64">
                  <c:v>0</c:v>
                </c:pt>
                <c:pt idx="65">
                  <c:v>-0.000765110941086333</c:v>
                </c:pt>
                <c:pt idx="66">
                  <c:v>0</c:v>
                </c:pt>
                <c:pt idx="67">
                  <c:v>0</c:v>
                </c:pt>
                <c:pt idx="68">
                  <c:v>0</c:v>
                </c:pt>
                <c:pt idx="69">
                  <c:v>0</c:v>
                </c:pt>
                <c:pt idx="70">
                  <c:v>0</c:v>
                </c:pt>
                <c:pt idx="71">
                  <c:v>0</c:v>
                </c:pt>
                <c:pt idx="72">
                  <c:v>0</c:v>
                </c:pt>
                <c:pt idx="73">
                  <c:v>0.00408371618172532</c:v>
                </c:pt>
                <c:pt idx="74">
                  <c:v>0</c:v>
                </c:pt>
                <c:pt idx="75">
                  <c:v>0</c:v>
                </c:pt>
                <c:pt idx="76">
                  <c:v>0.00482968988307064</c:v>
                </c:pt>
                <c:pt idx="77">
                  <c:v>0</c:v>
                </c:pt>
                <c:pt idx="78">
                  <c:v>0.00202377940804443</c:v>
                </c:pt>
                <c:pt idx="79">
                  <c:v>0</c:v>
                </c:pt>
                <c:pt idx="80">
                  <c:v>0.00883615248674574</c:v>
                </c:pt>
                <c:pt idx="81">
                  <c:v>0.00975975975975985</c:v>
                </c:pt>
                <c:pt idx="82">
                  <c:v>0.00644361833952911</c:v>
                </c:pt>
                <c:pt idx="83">
                  <c:v>0.0061561191824675</c:v>
                </c:pt>
                <c:pt idx="84">
                  <c:v>0.00685266764561909</c:v>
                </c:pt>
                <c:pt idx="85">
                  <c:v>0.00729217306757413</c:v>
                </c:pt>
                <c:pt idx="86">
                  <c:v>0.00868725868725861</c:v>
                </c:pt>
                <c:pt idx="87">
                  <c:v>0.0078947368421054</c:v>
                </c:pt>
                <c:pt idx="88">
                  <c:v>0.00569665321623547</c:v>
                </c:pt>
                <c:pt idx="89">
                  <c:v>0.00472032098182673</c:v>
                </c:pt>
                <c:pt idx="90">
                  <c:v>-0.00164435048155975</c:v>
                </c:pt>
                <c:pt idx="91">
                  <c:v>-0.00164705882352933</c:v>
                </c:pt>
                <c:pt idx="92">
                  <c:v>-0.000942729201037107</c:v>
                </c:pt>
                <c:pt idx="93">
                  <c:v>-0.000471809389006816</c:v>
                </c:pt>
                <c:pt idx="94">
                  <c:v>-0.00188812839273067</c:v>
                </c:pt>
                <c:pt idx="95">
                  <c:v>-0.00354693781035698</c:v>
                </c:pt>
                <c:pt idx="96">
                  <c:v>-0.00118652112007611</c:v>
                </c:pt>
                <c:pt idx="97">
                  <c:v>-0.00213827512473264</c:v>
                </c:pt>
                <c:pt idx="98">
                  <c:v>-0.000714285714285778</c:v>
                </c:pt>
                <c:pt idx="99">
                  <c:v>-0.00142959256611874</c:v>
                </c:pt>
                <c:pt idx="100">
                  <c:v>0</c:v>
                </c:pt>
                <c:pt idx="101">
                  <c:v>-0.000477213075638194</c:v>
                </c:pt>
                <c:pt idx="102">
                  <c:v>-0.000716161375029833</c:v>
                </c:pt>
                <c:pt idx="103">
                  <c:v>-0.00358337314859047</c:v>
                </c:pt>
                <c:pt idx="104">
                  <c:v>-0.000959002637257345</c:v>
                </c:pt>
                <c:pt idx="105">
                  <c:v>-0.00071994240460771</c:v>
                </c:pt>
                <c:pt idx="106">
                  <c:v>-0.00168107588856858</c:v>
                </c:pt>
                <c:pt idx="107">
                  <c:v>-0.000962232379119632</c:v>
                </c:pt>
                <c:pt idx="108">
                  <c:v>0</c:v>
                </c:pt>
                <c:pt idx="109">
                  <c:v>-0.000722369371538467</c:v>
                </c:pt>
                <c:pt idx="110">
                  <c:v>0</c:v>
                </c:pt>
                <c:pt idx="111">
                  <c:v>-0.000722891566265038</c:v>
                </c:pt>
                <c:pt idx="112">
                  <c:v>-0.000964552688690778</c:v>
                </c:pt>
                <c:pt idx="113">
                  <c:v>0</c:v>
                </c:pt>
                <c:pt idx="114">
                  <c:v>-0.000482741974414669</c:v>
                </c:pt>
                <c:pt idx="115">
                  <c:v>0</c:v>
                </c:pt>
                <c:pt idx="116">
                  <c:v>0</c:v>
                </c:pt>
                <c:pt idx="117">
                  <c:v>0</c:v>
                </c:pt>
                <c:pt idx="118">
                  <c:v>0</c:v>
                </c:pt>
                <c:pt idx="119">
                  <c:v>-0.00169041294373329</c:v>
                </c:pt>
                <c:pt idx="120">
                  <c:v>-0.000967585873246413</c:v>
                </c:pt>
                <c:pt idx="121">
                  <c:v>-0.00338983050847463</c:v>
                </c:pt>
                <c:pt idx="122">
                  <c:v>-0.00145772594752169</c:v>
                </c:pt>
                <c:pt idx="123">
                  <c:v>-0.00145985401459858</c:v>
                </c:pt>
                <c:pt idx="124">
                  <c:v>-0.00146198830409361</c:v>
                </c:pt>
                <c:pt idx="125">
                  <c:v>-0.00122010736944844</c:v>
                </c:pt>
                <c:pt idx="126">
                  <c:v>-0.00586366967994134</c:v>
                </c:pt>
                <c:pt idx="127">
                  <c:v>-0.0036864094372081</c:v>
                </c:pt>
                <c:pt idx="128">
                  <c:v>-0.00197335964479528</c:v>
                </c:pt>
                <c:pt idx="129">
                  <c:v>0</c:v>
                </c:pt>
                <c:pt idx="130">
                  <c:v>0</c:v>
                </c:pt>
                <c:pt idx="131">
                  <c:v>0</c:v>
                </c:pt>
                <c:pt idx="132">
                  <c:v>-0.000741473059812203</c:v>
                </c:pt>
                <c:pt idx="133">
                  <c:v>0</c:v>
                </c:pt>
                <c:pt idx="134">
                  <c:v>0</c:v>
                </c:pt>
                <c:pt idx="135">
                  <c:v>0</c:v>
                </c:pt>
                <c:pt idx="136">
                  <c:v>0</c:v>
                </c:pt>
                <c:pt idx="137">
                  <c:v>-0.000247341083354002</c:v>
                </c:pt>
                <c:pt idx="138">
                  <c:v>0</c:v>
                </c:pt>
                <c:pt idx="139">
                  <c:v>0</c:v>
                </c:pt>
                <c:pt idx="140">
                  <c:v>-0.000494804552201855</c:v>
                </c:pt>
                <c:pt idx="141">
                  <c:v>0.00247524752475248</c:v>
                </c:pt>
                <c:pt idx="142">
                  <c:v>0</c:v>
                </c:pt>
                <c:pt idx="143">
                  <c:v>-0.000493827160493732</c:v>
                </c:pt>
                <c:pt idx="144">
                  <c:v>0.00247035573122534</c:v>
                </c:pt>
                <c:pt idx="145">
                  <c:v>-0.000739280433711187</c:v>
                </c:pt>
                <c:pt idx="146">
                  <c:v>-0.000493218249075111</c:v>
                </c:pt>
                <c:pt idx="147">
                  <c:v>-0.000740192450037092</c:v>
                </c:pt>
                <c:pt idx="148">
                  <c:v>-0.00074074074074082</c:v>
                </c:pt>
                <c:pt idx="149">
                  <c:v>-0.0148257968865826</c:v>
                </c:pt>
                <c:pt idx="150">
                  <c:v>-0.00752445447705052</c:v>
                </c:pt>
                <c:pt idx="151">
                  <c:v>-0.00606520090978013</c:v>
                </c:pt>
                <c:pt idx="152">
                  <c:v>-0.00508517670989073</c:v>
                </c:pt>
                <c:pt idx="153">
                  <c:v>-0.00255558395093269</c:v>
                </c:pt>
                <c:pt idx="154">
                  <c:v>-0.00512426338713812</c:v>
                </c:pt>
                <c:pt idx="155">
                  <c:v>-0.000772598506309619</c:v>
                </c:pt>
                <c:pt idx="156">
                  <c:v>0.00618556701030926</c:v>
                </c:pt>
                <c:pt idx="157">
                  <c:v>0.000768442622950838</c:v>
                </c:pt>
                <c:pt idx="158">
                  <c:v>0</c:v>
                </c:pt>
                <c:pt idx="159">
                  <c:v>0.00179165600204767</c:v>
                </c:pt>
                <c:pt idx="160">
                  <c:v>0.00919775166070513</c:v>
                </c:pt>
                <c:pt idx="161">
                  <c:v>0</c:v>
                </c:pt>
                <c:pt idx="162">
                  <c:v>0</c:v>
                </c:pt>
                <c:pt idx="163">
                  <c:v>0.00329113924050639</c:v>
                </c:pt>
                <c:pt idx="164">
                  <c:v>0</c:v>
                </c:pt>
                <c:pt idx="165">
                  <c:v>0.00176633863234921</c:v>
                </c:pt>
                <c:pt idx="166">
                  <c:v>0</c:v>
                </c:pt>
                <c:pt idx="167">
                  <c:v>0.00251889168765729</c:v>
                </c:pt>
                <c:pt idx="168">
                  <c:v>0</c:v>
                </c:pt>
                <c:pt idx="169">
                  <c:v>0.00326633165829149</c:v>
                </c:pt>
                <c:pt idx="170">
                  <c:v>0</c:v>
                </c:pt>
                <c:pt idx="171">
                  <c:v>0.00676183320811408</c:v>
                </c:pt>
                <c:pt idx="172">
                  <c:v>0.00323383084577133</c:v>
                </c:pt>
                <c:pt idx="173">
                  <c:v>0.00173568063476304</c:v>
                </c:pt>
                <c:pt idx="174">
                  <c:v>0.00247524752475248</c:v>
                </c:pt>
                <c:pt idx="175">
                  <c:v>0.00814814814814824</c:v>
                </c:pt>
                <c:pt idx="176">
                  <c:v>0</c:v>
                </c:pt>
                <c:pt idx="177">
                  <c:v>0.00416360519226044</c:v>
                </c:pt>
                <c:pt idx="178">
                  <c:v>0</c:v>
                </c:pt>
                <c:pt idx="179">
                  <c:v>0.0056097560975612</c:v>
                </c:pt>
                <c:pt idx="180">
                  <c:v>0.00169779286926985</c:v>
                </c:pt>
                <c:pt idx="181">
                  <c:v>0.000726392251815922</c:v>
                </c:pt>
                <c:pt idx="182">
                  <c:v>-0.00145172997822407</c:v>
                </c:pt>
                <c:pt idx="183">
                  <c:v>0</c:v>
                </c:pt>
                <c:pt idx="184">
                  <c:v>-0.000969227041434317</c:v>
                </c:pt>
                <c:pt idx="185">
                  <c:v>0</c:v>
                </c:pt>
                <c:pt idx="186">
                  <c:v>0.00169779286926985</c:v>
                </c:pt>
                <c:pt idx="187">
                  <c:v>0.00242130750605329</c:v>
                </c:pt>
                <c:pt idx="188">
                  <c:v>0.00410628019323678</c:v>
                </c:pt>
                <c:pt idx="189">
                  <c:v>0.000721674284339668</c:v>
                </c:pt>
                <c:pt idx="190">
                  <c:v>0.00168269230769225</c:v>
                </c:pt>
                <c:pt idx="191">
                  <c:v>0.000719942404607599</c:v>
                </c:pt>
                <c:pt idx="192">
                  <c:v>0</c:v>
                </c:pt>
                <c:pt idx="193">
                  <c:v>0</c:v>
                </c:pt>
                <c:pt idx="194">
                  <c:v>-0.00239808153477217</c:v>
                </c:pt>
                <c:pt idx="195">
                  <c:v>-0.00240384615384615</c:v>
                </c:pt>
                <c:pt idx="196">
                  <c:v>0</c:v>
                </c:pt>
                <c:pt idx="197">
                  <c:v>0</c:v>
                </c:pt>
                <c:pt idx="198">
                  <c:v>-0.0016867469879519</c:v>
                </c:pt>
                <c:pt idx="199">
                  <c:v>-0.000724112961622003</c:v>
                </c:pt>
                <c:pt idx="200">
                  <c:v>0</c:v>
                </c:pt>
                <c:pt idx="201">
                  <c:v>0</c:v>
                </c:pt>
                <c:pt idx="202">
                  <c:v>0</c:v>
                </c:pt>
                <c:pt idx="203">
                  <c:v>0</c:v>
                </c:pt>
                <c:pt idx="204">
                  <c:v>0.000724637681159379</c:v>
                </c:pt>
                <c:pt idx="205">
                  <c:v>0.00168959691045156</c:v>
                </c:pt>
                <c:pt idx="206">
                  <c:v>0</c:v>
                </c:pt>
                <c:pt idx="207">
                  <c:v>0</c:v>
                </c:pt>
                <c:pt idx="208">
                  <c:v>-0.0016867469879519</c:v>
                </c:pt>
                <c:pt idx="209">
                  <c:v>-0.00241370987207334</c:v>
                </c:pt>
                <c:pt idx="210">
                  <c:v>0</c:v>
                </c:pt>
                <c:pt idx="211">
                  <c:v>-0.00145172997822407</c:v>
                </c:pt>
                <c:pt idx="212">
                  <c:v>-0.00169614732251022</c:v>
                </c:pt>
                <c:pt idx="213">
                  <c:v>0</c:v>
                </c:pt>
                <c:pt idx="214">
                  <c:v>-0.000728155339805858</c:v>
                </c:pt>
                <c:pt idx="215">
                  <c:v>0</c:v>
                </c:pt>
                <c:pt idx="216">
                  <c:v>0.0038863249939276</c:v>
                </c:pt>
                <c:pt idx="217">
                  <c:v>0.00241954996370675</c:v>
                </c:pt>
                <c:pt idx="218">
                  <c:v>0.00241370987207334</c:v>
                </c:pt>
                <c:pt idx="219">
                  <c:v>0</c:v>
                </c:pt>
                <c:pt idx="220">
                  <c:v>0</c:v>
                </c:pt>
                <c:pt idx="221">
                  <c:v>0.00168552853359039</c:v>
                </c:pt>
                <c:pt idx="222">
                  <c:v>0.00312500000000004</c:v>
                </c:pt>
                <c:pt idx="223">
                  <c:v>0.00167745027558097</c:v>
                </c:pt>
                <c:pt idx="224">
                  <c:v>0.004066985645933</c:v>
                </c:pt>
                <c:pt idx="225">
                  <c:v>0</c:v>
                </c:pt>
                <c:pt idx="226">
                  <c:v>0.00381224684298309</c:v>
                </c:pt>
                <c:pt idx="227">
                  <c:v>0.000949442202705875</c:v>
                </c:pt>
                <c:pt idx="228">
                  <c:v>0</c:v>
                </c:pt>
                <c:pt idx="229">
                  <c:v>0.00071140621294763</c:v>
                </c:pt>
                <c:pt idx="230">
                  <c:v>0.00118483412322279</c:v>
                </c:pt>
                <c:pt idx="231">
                  <c:v>0.000946745562130369</c:v>
                </c:pt>
                <c:pt idx="232">
                  <c:v>0.000945850082761712</c:v>
                </c:pt>
                <c:pt idx="233">
                  <c:v>0.000708717221828525</c:v>
                </c:pt>
                <c:pt idx="234">
                  <c:v>0</c:v>
                </c:pt>
                <c:pt idx="235">
                  <c:v>0</c:v>
                </c:pt>
                <c:pt idx="236">
                  <c:v>0.000708215297450465</c:v>
                </c:pt>
                <c:pt idx="237">
                  <c:v>0</c:v>
                </c:pt>
                <c:pt idx="238">
                  <c:v>-0.00141542816702056</c:v>
                </c:pt>
                <c:pt idx="239">
                  <c:v>0</c:v>
                </c:pt>
                <c:pt idx="240">
                  <c:v>-0.00283486888731388</c:v>
                </c:pt>
                <c:pt idx="241">
                  <c:v>0</c:v>
                </c:pt>
                <c:pt idx="242">
                  <c:v>0</c:v>
                </c:pt>
                <c:pt idx="243">
                  <c:v>0.000947642738687415</c:v>
                </c:pt>
                <c:pt idx="244">
                  <c:v>0.000946745562130369</c:v>
                </c:pt>
                <c:pt idx="245">
                  <c:v>0</c:v>
                </c:pt>
                <c:pt idx="246">
                  <c:v>0.00260108772759526</c:v>
                </c:pt>
                <c:pt idx="247">
                  <c:v>0.000707547169811251</c:v>
                </c:pt>
                <c:pt idx="248">
                  <c:v>0.000942729201036885</c:v>
                </c:pt>
                <c:pt idx="249">
                  <c:v>0.000706380974805798</c:v>
                </c:pt>
                <c:pt idx="250">
                  <c:v>0.000705882352941112</c:v>
                </c:pt>
                <c:pt idx="251">
                  <c:v>0</c:v>
                </c:pt>
                <c:pt idx="252">
                  <c:v>0.00164589701387241</c:v>
                </c:pt>
                <c:pt idx="253">
                  <c:v>0.00492957746478861</c:v>
                </c:pt>
                <c:pt idx="254">
                  <c:v>0.000700770847932741</c:v>
                </c:pt>
                <c:pt idx="255">
                  <c:v>0.000933706816059754</c:v>
                </c:pt>
                <c:pt idx="256">
                  <c:v>0</c:v>
                </c:pt>
                <c:pt idx="257">
                  <c:v>0.000699626865671599</c:v>
                </c:pt>
                <c:pt idx="258">
                  <c:v>0</c:v>
                </c:pt>
                <c:pt idx="259">
                  <c:v>0.00326264274061971</c:v>
                </c:pt>
                <c:pt idx="260">
                  <c:v>0.0137049941927991</c:v>
                </c:pt>
                <c:pt idx="261">
                  <c:v>0.00824931255728689</c:v>
                </c:pt>
                <c:pt idx="262">
                  <c:v>0.00749999999999984</c:v>
                </c:pt>
                <c:pt idx="263">
                  <c:v>0.00383487480261691</c:v>
                </c:pt>
                <c:pt idx="264">
                  <c:v>0.00382022471910104</c:v>
                </c:pt>
                <c:pt idx="265">
                  <c:v>0.0058204611596151</c:v>
                </c:pt>
                <c:pt idx="266">
                  <c:v>0.00534164255508562</c:v>
                </c:pt>
                <c:pt idx="267">
                  <c:v>0.00354217400929824</c:v>
                </c:pt>
                <c:pt idx="268">
                  <c:v>0.00375027575557008</c:v>
                </c:pt>
                <c:pt idx="269">
                  <c:v>0.0037362637362639</c:v>
                </c:pt>
                <c:pt idx="270">
                  <c:v>0.00656886358659947</c:v>
                </c:pt>
                <c:pt idx="271">
                  <c:v>0.00217533173808993</c:v>
                </c:pt>
                <c:pt idx="272">
                  <c:v>0.00347297590622975</c:v>
                </c:pt>
                <c:pt idx="273">
                  <c:v>0.00151416828898987</c:v>
                </c:pt>
                <c:pt idx="274">
                  <c:v>0.0021598272138228</c:v>
                </c:pt>
                <c:pt idx="275">
                  <c:v>0.000646551724137856</c:v>
                </c:pt>
                <c:pt idx="276">
                  <c:v>0.0008615119534785</c:v>
                </c:pt>
                <c:pt idx="277">
                  <c:v>0.00129115558424786</c:v>
                </c:pt>
                <c:pt idx="278">
                  <c:v>0.0015044057597251</c:v>
                </c:pt>
                <c:pt idx="279">
                  <c:v>0.00150214592274667</c:v>
                </c:pt>
                <c:pt idx="280">
                  <c:v>0.00557103064066844</c:v>
                </c:pt>
                <c:pt idx="281">
                  <c:v>0.00298316641806951</c:v>
                </c:pt>
                <c:pt idx="282">
                  <c:v>0.00127469725940088</c:v>
                </c:pt>
                <c:pt idx="283">
                  <c:v>0.00084871631657113</c:v>
                </c:pt>
                <c:pt idx="284">
                  <c:v>0</c:v>
                </c:pt>
                <c:pt idx="285">
                  <c:v>0</c:v>
                </c:pt>
                <c:pt idx="286">
                  <c:v>-0.00084799660801349</c:v>
                </c:pt>
                <c:pt idx="287">
                  <c:v>0</c:v>
                </c:pt>
                <c:pt idx="288">
                  <c:v>0</c:v>
                </c:pt>
                <c:pt idx="289">
                  <c:v>0</c:v>
                </c:pt>
                <c:pt idx="290">
                  <c:v>0</c:v>
                </c:pt>
                <c:pt idx="291">
                  <c:v>-0.000636537237428403</c:v>
                </c:pt>
                <c:pt idx="292">
                  <c:v>0</c:v>
                </c:pt>
                <c:pt idx="293">
                  <c:v>0</c:v>
                </c:pt>
                <c:pt idx="294">
                  <c:v>-0.000636942675159236</c:v>
                </c:pt>
                <c:pt idx="295">
                  <c:v>0</c:v>
                </c:pt>
                <c:pt idx="296">
                  <c:v>-0.000849798172933847</c:v>
                </c:pt>
                <c:pt idx="297">
                  <c:v>0</c:v>
                </c:pt>
                <c:pt idx="298">
                  <c:v>0</c:v>
                </c:pt>
                <c:pt idx="299">
                  <c:v>0</c:v>
                </c:pt>
                <c:pt idx="300">
                  <c:v>-0.00127578141611739</c:v>
                </c:pt>
                <c:pt idx="301">
                  <c:v>-0.0008516074089846</c:v>
                </c:pt>
                <c:pt idx="302">
                  <c:v>0</c:v>
                </c:pt>
                <c:pt idx="303">
                  <c:v>0</c:v>
                </c:pt>
                <c:pt idx="304">
                  <c:v>0</c:v>
                </c:pt>
                <c:pt idx="305">
                  <c:v>0</c:v>
                </c:pt>
                <c:pt idx="306">
                  <c:v>-0.000213083315576235</c:v>
                </c:pt>
                <c:pt idx="307">
                  <c:v>0</c:v>
                </c:pt>
                <c:pt idx="308">
                  <c:v>0</c:v>
                </c:pt>
                <c:pt idx="309">
                  <c:v>0</c:v>
                </c:pt>
                <c:pt idx="310">
                  <c:v>-0.00042625745950553</c:v>
                </c:pt>
                <c:pt idx="311">
                  <c:v>0.00170575692963748</c:v>
                </c:pt>
                <c:pt idx="312">
                  <c:v>0.00148999574286934</c:v>
                </c:pt>
                <c:pt idx="313">
                  <c:v>0.00361317747077594</c:v>
                </c:pt>
                <c:pt idx="314">
                  <c:v>0.00232952138924158</c:v>
                </c:pt>
                <c:pt idx="315">
                  <c:v>0.00211282484682029</c:v>
                </c:pt>
                <c:pt idx="316">
                  <c:v>0</c:v>
                </c:pt>
                <c:pt idx="317">
                  <c:v>0</c:v>
                </c:pt>
                <c:pt idx="318">
                  <c:v>0</c:v>
                </c:pt>
                <c:pt idx="319">
                  <c:v>0</c:v>
                </c:pt>
                <c:pt idx="320">
                  <c:v>0.00632511068943686</c:v>
                </c:pt>
                <c:pt idx="321">
                  <c:v>0.00356170123611999</c:v>
                </c:pt>
                <c:pt idx="322">
                  <c:v>0.00688935281837177</c:v>
                </c:pt>
                <c:pt idx="323">
                  <c:v>0.00559817540949603</c:v>
                </c:pt>
                <c:pt idx="324">
                  <c:v>0</c:v>
                </c:pt>
                <c:pt idx="325">
                  <c:v>0.00680412371134032</c:v>
                </c:pt>
                <c:pt idx="326">
                  <c:v>0</c:v>
                </c:pt>
                <c:pt idx="327">
                  <c:v>0.00204792135981968</c:v>
                </c:pt>
                <c:pt idx="328">
                  <c:v>0.00143061516452092</c:v>
                </c:pt>
                <c:pt idx="329">
                  <c:v>0.00061224489795908</c:v>
                </c:pt>
                <c:pt idx="330">
                  <c:v>0</c:v>
                </c:pt>
                <c:pt idx="331">
                  <c:v>0.002855394656333</c:v>
                </c:pt>
                <c:pt idx="332">
                  <c:v>0.00122025625381328</c:v>
                </c:pt>
                <c:pt idx="333">
                  <c:v>0.000812512695510748</c:v>
                </c:pt>
                <c:pt idx="334">
                  <c:v>0</c:v>
                </c:pt>
                <c:pt idx="335">
                  <c:v>0</c:v>
                </c:pt>
                <c:pt idx="336">
                  <c:v>0.00121777958189573</c:v>
                </c:pt>
                <c:pt idx="337">
                  <c:v>-0.00121629839854054</c:v>
                </c:pt>
                <c:pt idx="338">
                  <c:v>-0.000811853054597078</c:v>
                </c:pt>
                <c:pt idx="339">
                  <c:v>-0.00121876904326634</c:v>
                </c:pt>
                <c:pt idx="340">
                  <c:v>-0.00488102501525323</c:v>
                </c:pt>
                <c:pt idx="341">
                  <c:v>-0.00265685673410998</c:v>
                </c:pt>
                <c:pt idx="342">
                  <c:v>-0.00266393442622948</c:v>
                </c:pt>
                <c:pt idx="343">
                  <c:v>-0.00205465379083625</c:v>
                </c:pt>
                <c:pt idx="344">
                  <c:v>-0.000823553633930496</c:v>
                </c:pt>
                <c:pt idx="345">
                  <c:v>-0.000618174325159759</c:v>
                </c:pt>
                <c:pt idx="346">
                  <c:v>0</c:v>
                </c:pt>
                <c:pt idx="347">
                  <c:v>-0.000618556701030726</c:v>
                </c:pt>
                <c:pt idx="348">
                  <c:v>0</c:v>
                </c:pt>
                <c:pt idx="349">
                  <c:v>0</c:v>
                </c:pt>
                <c:pt idx="350">
                  <c:v>-0.00144419228388704</c:v>
                </c:pt>
                <c:pt idx="351">
                  <c:v>0</c:v>
                </c:pt>
                <c:pt idx="352">
                  <c:v>0</c:v>
                </c:pt>
                <c:pt idx="353">
                  <c:v>0</c:v>
                </c:pt>
                <c:pt idx="354">
                  <c:v>0</c:v>
                </c:pt>
                <c:pt idx="355">
                  <c:v>0</c:v>
                </c:pt>
                <c:pt idx="356">
                  <c:v>0</c:v>
                </c:pt>
                <c:pt idx="357">
                  <c:v>0</c:v>
                </c:pt>
                <c:pt idx="358">
                  <c:v>-0.00144628099173549</c:v>
                </c:pt>
                <c:pt idx="359">
                  <c:v>0</c:v>
                </c:pt>
                <c:pt idx="360">
                  <c:v>0</c:v>
                </c:pt>
                <c:pt idx="361">
                  <c:v>-0.000620732464307938</c:v>
                </c:pt>
                <c:pt idx="362">
                  <c:v>-0.000621118012422373</c:v>
                </c:pt>
                <c:pt idx="363">
                  <c:v>0</c:v>
                </c:pt>
                <c:pt idx="364">
                  <c:v>0.00476486430495116</c:v>
                </c:pt>
                <c:pt idx="365">
                  <c:v>0</c:v>
                </c:pt>
                <c:pt idx="366">
                  <c:v>0.00350515463917533</c:v>
                </c:pt>
                <c:pt idx="367">
                  <c:v>0.00205465379083614</c:v>
                </c:pt>
                <c:pt idx="368">
                  <c:v>0</c:v>
                </c:pt>
                <c:pt idx="369">
                  <c:v>0</c:v>
                </c:pt>
                <c:pt idx="370">
                  <c:v>0.00123026450686892</c:v>
                </c:pt>
                <c:pt idx="371">
                  <c:v>0</c:v>
                </c:pt>
                <c:pt idx="372">
                  <c:v>0.00552938767151345</c:v>
                </c:pt>
                <c:pt idx="373">
                  <c:v>0.00142566191446014</c:v>
                </c:pt>
                <c:pt idx="374">
                  <c:v>0</c:v>
                </c:pt>
                <c:pt idx="375">
                  <c:v>0</c:v>
                </c:pt>
                <c:pt idx="376">
                  <c:v>0.0046776489729512</c:v>
                </c:pt>
                <c:pt idx="377">
                  <c:v>0.0046558704453441</c:v>
                </c:pt>
                <c:pt idx="378">
                  <c:v>0.000805964134595882</c:v>
                </c:pt>
                <c:pt idx="379">
                  <c:v>0.000603986309643645</c:v>
                </c:pt>
                <c:pt idx="380">
                  <c:v>0.00261569416498997</c:v>
                </c:pt>
                <c:pt idx="381">
                  <c:v>0.00140477623921353</c:v>
                </c:pt>
                <c:pt idx="382">
                  <c:v>0</c:v>
                </c:pt>
                <c:pt idx="383">
                  <c:v>0.00400801603206413</c:v>
                </c:pt>
                <c:pt idx="384">
                  <c:v>0.00459081836327346</c:v>
                </c:pt>
                <c:pt idx="385">
                  <c:v>0.00337770713292262</c:v>
                </c:pt>
                <c:pt idx="386">
                  <c:v>0.00198019801980198</c:v>
                </c:pt>
                <c:pt idx="387">
                  <c:v>0.00138339920948627</c:v>
                </c:pt>
                <c:pt idx="388">
                  <c:v>0.00315768699427665</c:v>
                </c:pt>
                <c:pt idx="389">
                  <c:v>0.00334448160535117</c:v>
                </c:pt>
                <c:pt idx="390">
                  <c:v>0.000588235294117778</c:v>
                </c:pt>
                <c:pt idx="391">
                  <c:v>0.00333137370174419</c:v>
                </c:pt>
                <c:pt idx="392">
                  <c:v>0.00332031249999987</c:v>
                </c:pt>
                <c:pt idx="393">
                  <c:v>0.00116799688534175</c:v>
                </c:pt>
                <c:pt idx="394">
                  <c:v>0.00136107330351942</c:v>
                </c:pt>
                <c:pt idx="395">
                  <c:v>0.000582524271844465</c:v>
                </c:pt>
                <c:pt idx="396">
                  <c:v>0.00271686396274018</c:v>
                </c:pt>
                <c:pt idx="397">
                  <c:v>0</c:v>
                </c:pt>
                <c:pt idx="398">
                  <c:v>0</c:v>
                </c:pt>
                <c:pt idx="399">
                  <c:v>0</c:v>
                </c:pt>
                <c:pt idx="400">
                  <c:v>0</c:v>
                </c:pt>
                <c:pt idx="401">
                  <c:v>-0.00193535900909614</c:v>
                </c:pt>
                <c:pt idx="402">
                  <c:v>-0.00135737832072902</c:v>
                </c:pt>
                <c:pt idx="403">
                  <c:v>-0.000582524271844687</c:v>
                </c:pt>
                <c:pt idx="404">
                  <c:v>-0.000777151738877158</c:v>
                </c:pt>
                <c:pt idx="405">
                  <c:v>0</c:v>
                </c:pt>
                <c:pt idx="406">
                  <c:v>-0.000583317130079752</c:v>
                </c:pt>
                <c:pt idx="407">
                  <c:v>0</c:v>
                </c:pt>
                <c:pt idx="408">
                  <c:v>-0.000583657587548636</c:v>
                </c:pt>
                <c:pt idx="409">
                  <c:v>0</c:v>
                </c:pt>
                <c:pt idx="410">
                  <c:v>-0.00136266303289856</c:v>
                </c:pt>
                <c:pt idx="411">
                  <c:v>-0.000584795321637466</c:v>
                </c:pt>
                <c:pt idx="412">
                  <c:v>-0.00273064170079951</c:v>
                </c:pt>
                <c:pt idx="413">
                  <c:v>-0.000782319577547486</c:v>
                </c:pt>
                <c:pt idx="414">
                  <c:v>0</c:v>
                </c:pt>
                <c:pt idx="415">
                  <c:v>-0.00195733020160493</c:v>
                </c:pt>
                <c:pt idx="416">
                  <c:v>-0.000784467542655487</c:v>
                </c:pt>
                <c:pt idx="417">
                  <c:v>-0.00137389597644744</c:v>
                </c:pt>
                <c:pt idx="418">
                  <c:v>-0.00471698113207553</c:v>
                </c:pt>
                <c:pt idx="419">
                  <c:v>-0.00118483412322279</c:v>
                </c:pt>
                <c:pt idx="420">
                  <c:v>-0.000790826413602175</c:v>
                </c:pt>
                <c:pt idx="421">
                  <c:v>-0.00197863078749516</c:v>
                </c:pt>
                <c:pt idx="422">
                  <c:v>-0.011697065820777</c:v>
                </c:pt>
                <c:pt idx="423">
                  <c:v>-0.0068204613841526</c:v>
                </c:pt>
                <c:pt idx="424">
                  <c:v>-0.00282771157341943</c:v>
                </c:pt>
                <c:pt idx="425">
                  <c:v>-0.000810208628721942</c:v>
                </c:pt>
                <c:pt idx="426">
                  <c:v>-0.000608149199270214</c:v>
                </c:pt>
                <c:pt idx="427">
                  <c:v>-0.000608519269776897</c:v>
                </c:pt>
                <c:pt idx="428">
                  <c:v>0</c:v>
                </c:pt>
                <c:pt idx="429">
                  <c:v>0.00933631012786695</c:v>
                </c:pt>
                <c:pt idx="430">
                  <c:v>0.00241303036396556</c:v>
                </c:pt>
                <c:pt idx="431">
                  <c:v>0</c:v>
                </c:pt>
                <c:pt idx="432">
                  <c:v>-0.0014042126379139</c:v>
                </c:pt>
                <c:pt idx="433">
                  <c:v>-0.00220972278023301</c:v>
                </c:pt>
                <c:pt idx="434">
                  <c:v>0</c:v>
                </c:pt>
                <c:pt idx="435">
                  <c:v>-0.00261727400845579</c:v>
                </c:pt>
                <c:pt idx="436">
                  <c:v>-0.000403714170367331</c:v>
                </c:pt>
                <c:pt idx="437">
                  <c:v>0</c:v>
                </c:pt>
                <c:pt idx="438">
                  <c:v>-0.000403877221324622</c:v>
                </c:pt>
                <c:pt idx="439">
                  <c:v>-0.000202020202020314</c:v>
                </c:pt>
                <c:pt idx="440">
                  <c:v>-0.000202061022428701</c:v>
                </c:pt>
                <c:pt idx="441">
                  <c:v>0</c:v>
                </c:pt>
                <c:pt idx="442">
                  <c:v>0</c:v>
                </c:pt>
                <c:pt idx="443">
                  <c:v>-0.0072756669361359</c:v>
                </c:pt>
                <c:pt idx="444">
                  <c:v>-0.00366449511400646</c:v>
                </c:pt>
                <c:pt idx="445">
                  <c:v>0</c:v>
                </c:pt>
                <c:pt idx="446">
                  <c:v>0</c:v>
                </c:pt>
                <c:pt idx="447">
                  <c:v>-0.00347364119329796</c:v>
                </c:pt>
                <c:pt idx="448">
                  <c:v>0</c:v>
                </c:pt>
                <c:pt idx="449">
                  <c:v>-0.00369079352060686</c:v>
                </c:pt>
                <c:pt idx="450">
                  <c:v>-0.0037044659394937</c:v>
                </c:pt>
                <c:pt idx="451">
                  <c:v>-0.00722991117537697</c:v>
                </c:pt>
                <c:pt idx="452">
                  <c:v>-0.000416146483562141</c:v>
                </c:pt>
                <c:pt idx="453">
                  <c:v>-0.00499583680266447</c:v>
                </c:pt>
                <c:pt idx="454">
                  <c:v>-0.00230125523012559</c:v>
                </c:pt>
                <c:pt idx="455">
                  <c:v>-0.00230656322080103</c:v>
                </c:pt>
                <c:pt idx="456">
                  <c:v>-0.00147120638923914</c:v>
                </c:pt>
                <c:pt idx="457">
                  <c:v>-0.00105241001894341</c:v>
                </c:pt>
                <c:pt idx="458">
                  <c:v>0.00611040876527591</c:v>
                </c:pt>
                <c:pt idx="459">
                  <c:v>0.00314136125654452</c:v>
                </c:pt>
                <c:pt idx="460">
                  <c:v>0</c:v>
                </c:pt>
                <c:pt idx="461">
                  <c:v>0.000626304801670141</c:v>
                </c:pt>
                <c:pt idx="462">
                  <c:v>0.0022950135614439</c:v>
                </c:pt>
                <c:pt idx="463">
                  <c:v>0</c:v>
                </c:pt>
                <c:pt idx="464">
                  <c:v>0</c:v>
                </c:pt>
                <c:pt idx="465">
                  <c:v>-0.000624479600333072</c:v>
                </c:pt>
                <c:pt idx="466">
                  <c:v>-0.000833159758383717</c:v>
                </c:pt>
                <c:pt idx="467">
                  <c:v>0</c:v>
                </c:pt>
                <c:pt idx="468">
                  <c:v>0</c:v>
                </c:pt>
                <c:pt idx="469">
                  <c:v>-0.000625390869293363</c:v>
                </c:pt>
                <c:pt idx="470">
                  <c:v>0</c:v>
                </c:pt>
                <c:pt idx="471">
                  <c:v>0</c:v>
                </c:pt>
                <c:pt idx="472">
                  <c:v>-0.000834376303712858</c:v>
                </c:pt>
                <c:pt idx="473">
                  <c:v>-0.00146137787056355</c:v>
                </c:pt>
                <c:pt idx="474">
                  <c:v>-0.000836295212209959</c:v>
                </c:pt>
                <c:pt idx="475">
                  <c:v>-0.000627746390458261</c:v>
                </c:pt>
                <c:pt idx="476">
                  <c:v>-0.00146566164154094</c:v>
                </c:pt>
                <c:pt idx="477">
                  <c:v>-0.00251625078632844</c:v>
                </c:pt>
                <c:pt idx="478">
                  <c:v>0</c:v>
                </c:pt>
                <c:pt idx="479">
                  <c:v>0</c:v>
                </c:pt>
                <c:pt idx="480">
                  <c:v>0</c:v>
                </c:pt>
                <c:pt idx="481">
                  <c:v>0</c:v>
                </c:pt>
                <c:pt idx="482">
                  <c:v>0</c:v>
                </c:pt>
                <c:pt idx="483">
                  <c:v>-0.000630649569056119</c:v>
                </c:pt>
                <c:pt idx="484">
                  <c:v>-0.000841396718552656</c:v>
                </c:pt>
                <c:pt idx="485">
                  <c:v>-0.00147368421052629</c:v>
                </c:pt>
                <c:pt idx="486">
                  <c:v>-0.000843348091924989</c:v>
                </c:pt>
                <c:pt idx="487">
                  <c:v>-0.000633044946191208</c:v>
                </c:pt>
                <c:pt idx="488">
                  <c:v>-0.000844594594594517</c:v>
                </c:pt>
                <c:pt idx="489">
                  <c:v>-0.000633981403212247</c:v>
                </c:pt>
                <c:pt idx="490">
                  <c:v>-0.00380630154366668</c:v>
                </c:pt>
                <c:pt idx="491">
                  <c:v>-0.00084907662916589</c:v>
                </c:pt>
                <c:pt idx="492">
                  <c:v>-0.00233694497556836</c:v>
                </c:pt>
                <c:pt idx="493">
                  <c:v>0</c:v>
                </c:pt>
                <c:pt idx="494">
                  <c:v>-0.000638841567291326</c:v>
                </c:pt>
                <c:pt idx="495">
                  <c:v>-0.000852333262305494</c:v>
                </c:pt>
                <c:pt idx="496">
                  <c:v>-0.000639795265515053</c:v>
                </c:pt>
                <c:pt idx="497">
                  <c:v>0</c:v>
                </c:pt>
                <c:pt idx="498">
                  <c:v>0</c:v>
                </c:pt>
                <c:pt idx="499">
                  <c:v>0</c:v>
                </c:pt>
                <c:pt idx="500">
                  <c:v>0</c:v>
                </c:pt>
                <c:pt idx="501">
                  <c:v>-0.000853606487409175</c:v>
                </c:pt>
                <c:pt idx="502">
                  <c:v>0</c:v>
                </c:pt>
                <c:pt idx="503">
                  <c:v>-0.000427167876975831</c:v>
                </c:pt>
                <c:pt idx="504">
                  <c:v>-0.000213675213675102</c:v>
                </c:pt>
                <c:pt idx="505">
                  <c:v>0</c:v>
                </c:pt>
                <c:pt idx="506">
                  <c:v>0</c:v>
                </c:pt>
                <c:pt idx="507">
                  <c:v>0</c:v>
                </c:pt>
                <c:pt idx="508">
                  <c:v>0</c:v>
                </c:pt>
                <c:pt idx="509">
                  <c:v>0</c:v>
                </c:pt>
                <c:pt idx="510">
                  <c:v>0.00106860440265022</c:v>
                </c:pt>
                <c:pt idx="511">
                  <c:v>0</c:v>
                </c:pt>
                <c:pt idx="512">
                  <c:v>-0.00277540563620837</c:v>
                </c:pt>
                <c:pt idx="513">
                  <c:v>-0.00107043459644618</c:v>
                </c:pt>
                <c:pt idx="514">
                  <c:v>-0.000642948992713221</c:v>
                </c:pt>
                <c:pt idx="515">
                  <c:v>-0.000428908428050767</c:v>
                </c:pt>
                <c:pt idx="516">
                  <c:v>0.00729457198026195</c:v>
                </c:pt>
                <c:pt idx="517">
                  <c:v>0</c:v>
                </c:pt>
                <c:pt idx="518">
                  <c:v>-0.00127795527156549</c:v>
                </c:pt>
                <c:pt idx="519">
                  <c:v>0.00149285561953505</c:v>
                </c:pt>
                <c:pt idx="520">
                  <c:v>0</c:v>
                </c:pt>
                <c:pt idx="521">
                  <c:v>0</c:v>
                </c:pt>
                <c:pt idx="522">
                  <c:v>0.00234241908006827</c:v>
                </c:pt>
                <c:pt idx="523">
                  <c:v>0</c:v>
                </c:pt>
                <c:pt idx="524">
                  <c:v>0</c:v>
                </c:pt>
                <c:pt idx="525">
                  <c:v>0.00382409177820264</c:v>
                </c:pt>
                <c:pt idx="526">
                  <c:v>0.00529100529100535</c:v>
                </c:pt>
                <c:pt idx="527">
                  <c:v>0.00231578947368427</c:v>
                </c:pt>
                <c:pt idx="528">
                  <c:v>0.00252047889098916</c:v>
                </c:pt>
                <c:pt idx="529">
                  <c:v>0.00167609469935059</c:v>
                </c:pt>
                <c:pt idx="530">
                  <c:v>0.00125496758000421</c:v>
                </c:pt>
                <c:pt idx="531">
                  <c:v>0</c:v>
                </c:pt>
                <c:pt idx="532">
                  <c:v>0.0020889910173385</c:v>
                </c:pt>
                <c:pt idx="533">
                  <c:v>0.00250156347717323</c:v>
                </c:pt>
                <c:pt idx="534">
                  <c:v>0.00270326471199822</c:v>
                </c:pt>
                <c:pt idx="535">
                  <c:v>0.00186644545831616</c:v>
                </c:pt>
                <c:pt idx="536">
                  <c:v>0.00124197888635869</c:v>
                </c:pt>
                <c:pt idx="537">
                  <c:v>0.0107504651643582</c:v>
                </c:pt>
                <c:pt idx="538">
                  <c:v>0.00224994886479846</c:v>
                </c:pt>
                <c:pt idx="539">
                  <c:v>0.00591836734693874</c:v>
                </c:pt>
                <c:pt idx="540">
                  <c:v>0.000405761817812822</c:v>
                </c:pt>
                <c:pt idx="541">
                  <c:v>0.00243358345163247</c:v>
                </c:pt>
                <c:pt idx="542">
                  <c:v>0.00283228808415936</c:v>
                </c:pt>
                <c:pt idx="543">
                  <c:v>0.00867460157353239</c:v>
                </c:pt>
                <c:pt idx="544">
                  <c:v>0.00500000000000012</c:v>
                </c:pt>
                <c:pt idx="545">
                  <c:v>0.00258706467661685</c:v>
                </c:pt>
                <c:pt idx="546">
                  <c:v>0.00297737197300507</c:v>
                </c:pt>
                <c:pt idx="547">
                  <c:v>0.00296853354442894</c:v>
                </c:pt>
                <c:pt idx="548">
                  <c:v>0.00197316495659061</c:v>
                </c:pt>
                <c:pt idx="549">
                  <c:v>0.00196927924379664</c:v>
                </c:pt>
                <c:pt idx="550">
                  <c:v>0.00491352201257866</c:v>
                </c:pt>
                <c:pt idx="551">
                  <c:v>0</c:v>
                </c:pt>
                <c:pt idx="552">
                  <c:v>0.00488949735967137</c:v>
                </c:pt>
                <c:pt idx="553">
                  <c:v>0.00486570650058393</c:v>
                </c:pt>
                <c:pt idx="554">
                  <c:v>0.00484214603912436</c:v>
                </c:pt>
                <c:pt idx="555">
                  <c:v>0.00481881264456452</c:v>
                </c:pt>
                <c:pt idx="556">
                  <c:v>0.00479570305006716</c:v>
                </c:pt>
                <c:pt idx="557">
                  <c:v>0.00954562810232917</c:v>
                </c:pt>
                <c:pt idx="558">
                  <c:v>0.0022692889561271</c:v>
                </c:pt>
                <c:pt idx="559">
                  <c:v>0.00377358490566038</c:v>
                </c:pt>
                <c:pt idx="560">
                  <c:v>0.00263157894736832</c:v>
                </c:pt>
                <c:pt idx="561">
                  <c:v>0.00149981252343467</c:v>
                </c:pt>
                <c:pt idx="562">
                  <c:v>0.000187195806814033</c:v>
                </c:pt>
                <c:pt idx="563">
                  <c:v>0</c:v>
                </c:pt>
                <c:pt idx="564">
                  <c:v>0</c:v>
                </c:pt>
                <c:pt idx="565">
                  <c:v>-0.00729927007299269</c:v>
                </c:pt>
                <c:pt idx="566">
                  <c:v>0</c:v>
                </c:pt>
                <c:pt idx="567">
                  <c:v>0.00150829562594268</c:v>
                </c:pt>
                <c:pt idx="568">
                  <c:v>0.000753012048192669</c:v>
                </c:pt>
                <c:pt idx="569">
                  <c:v>0.00263355906696772</c:v>
                </c:pt>
                <c:pt idx="570">
                  <c:v>0.00187617260787998</c:v>
                </c:pt>
                <c:pt idx="571">
                  <c:v>0.00374531835205993</c:v>
                </c:pt>
                <c:pt idx="572">
                  <c:v>0.00746268656716409</c:v>
                </c:pt>
                <c:pt idx="573">
                  <c:v>0.00740740740740731</c:v>
                </c:pt>
                <c:pt idx="574">
                  <c:v>0.00735294117647056</c:v>
                </c:pt>
                <c:pt idx="575">
                  <c:v>0.00729927007299258</c:v>
                </c:pt>
                <c:pt idx="576">
                  <c:v>0.0043478260869565</c:v>
                </c:pt>
                <c:pt idx="577">
                  <c:v>-0.000721500721500679</c:v>
                </c:pt>
                <c:pt idx="578">
                  <c:v>-0.0025270758122744</c:v>
                </c:pt>
                <c:pt idx="579">
                  <c:v>0</c:v>
                </c:pt>
                <c:pt idx="580">
                  <c:v>-0.000361925443358668</c:v>
                </c:pt>
                <c:pt idx="581">
                  <c:v>0</c:v>
                </c:pt>
                <c:pt idx="582">
                  <c:v>0</c:v>
                </c:pt>
                <c:pt idx="583">
                  <c:v>0</c:v>
                </c:pt>
                <c:pt idx="584">
                  <c:v>0</c:v>
                </c:pt>
                <c:pt idx="585">
                  <c:v>0</c:v>
                </c:pt>
                <c:pt idx="586">
                  <c:v>0</c:v>
                </c:pt>
                <c:pt idx="587">
                  <c:v>-0.000362056480811002</c:v>
                </c:pt>
                <c:pt idx="588">
                  <c:v>0</c:v>
                </c:pt>
                <c:pt idx="589">
                  <c:v>-0.00271640709887733</c:v>
                </c:pt>
                <c:pt idx="590">
                  <c:v>-0.0014526965680044</c:v>
                </c:pt>
                <c:pt idx="591">
                  <c:v>-0.00145480996544822</c:v>
                </c:pt>
                <c:pt idx="592">
                  <c:v>-0.000364232380258511</c:v>
                </c:pt>
                <c:pt idx="593">
                  <c:v>0</c:v>
                </c:pt>
                <c:pt idx="594">
                  <c:v>0</c:v>
                </c:pt>
                <c:pt idx="595">
                  <c:v>0</c:v>
                </c:pt>
                <c:pt idx="596">
                  <c:v>0</c:v>
                </c:pt>
                <c:pt idx="597">
                  <c:v>0.00400801603206413</c:v>
                </c:pt>
                <c:pt idx="598">
                  <c:v>0</c:v>
                </c:pt>
                <c:pt idx="599">
                  <c:v>0.00671384503719841</c:v>
                </c:pt>
                <c:pt idx="600">
                  <c:v>0.00234318673395806</c:v>
                </c:pt>
                <c:pt idx="601">
                  <c:v>0</c:v>
                </c:pt>
                <c:pt idx="602">
                  <c:v>0</c:v>
                </c:pt>
                <c:pt idx="603">
                  <c:v>0</c:v>
                </c:pt>
                <c:pt idx="604">
                  <c:v>0.00233770904513575</c:v>
                </c:pt>
                <c:pt idx="605">
                  <c:v>0.00897021887334049</c:v>
                </c:pt>
                <c:pt idx="606">
                  <c:v>0.00337837837837851</c:v>
                </c:pt>
                <c:pt idx="607">
                  <c:v>0.0120503278398016</c:v>
                </c:pt>
                <c:pt idx="608">
                  <c:v>0.0124321484853791</c:v>
                </c:pt>
                <c:pt idx="609">
                  <c:v>0</c:v>
                </c:pt>
                <c:pt idx="610">
                  <c:v>0</c:v>
                </c:pt>
                <c:pt idx="611">
                  <c:v>0.0124524386025597</c:v>
                </c:pt>
                <c:pt idx="612">
                  <c:v>0.00802869832593101</c:v>
                </c:pt>
                <c:pt idx="613">
                  <c:v>0</c:v>
                </c:pt>
                <c:pt idx="614">
                  <c:v>0</c:v>
                </c:pt>
                <c:pt idx="615">
                  <c:v>0.0077952889340791</c:v>
                </c:pt>
                <c:pt idx="616">
                  <c:v>0.0112661846309063</c:v>
                </c:pt>
                <c:pt idx="617">
                  <c:v>0</c:v>
                </c:pt>
                <c:pt idx="618">
                  <c:v>0.00648486863984021</c:v>
                </c:pt>
                <c:pt idx="619">
                  <c:v>0</c:v>
                </c:pt>
                <c:pt idx="620">
                  <c:v>-0.000991244011234182</c:v>
                </c:pt>
                <c:pt idx="621">
                  <c:v>0.00248056887712922</c:v>
                </c:pt>
                <c:pt idx="622">
                  <c:v>0.00263939293962379</c:v>
                </c:pt>
                <c:pt idx="623">
                  <c:v>0</c:v>
                </c:pt>
                <c:pt idx="624">
                  <c:v>0.0027969726883843</c:v>
                </c:pt>
                <c:pt idx="625">
                  <c:v>0</c:v>
                </c:pt>
                <c:pt idx="626">
                  <c:v>0</c:v>
                </c:pt>
                <c:pt idx="627">
                  <c:v>0</c:v>
                </c:pt>
                <c:pt idx="628">
                  <c:v>-0.00262510254306814</c:v>
                </c:pt>
                <c:pt idx="629">
                  <c:v>-0.00115150518177332</c:v>
                </c:pt>
                <c:pt idx="630">
                  <c:v>-0.000988142292490113</c:v>
                </c:pt>
                <c:pt idx="631">
                  <c:v>0</c:v>
                </c:pt>
                <c:pt idx="632">
                  <c:v>0</c:v>
                </c:pt>
                <c:pt idx="633">
                  <c:v>-0.000494559841740849</c:v>
                </c:pt>
                <c:pt idx="634">
                  <c:v>0</c:v>
                </c:pt>
                <c:pt idx="635">
                  <c:v>0.00758700313376215</c:v>
                </c:pt>
                <c:pt idx="636">
                  <c:v>0</c:v>
                </c:pt>
                <c:pt idx="637">
                  <c:v>0.0126043542314618</c:v>
                </c:pt>
                <c:pt idx="638">
                  <c:v>0.00258648561267383</c:v>
                </c:pt>
                <c:pt idx="639">
                  <c:v>0</c:v>
                </c:pt>
                <c:pt idx="640">
                  <c:v>-0.00548210254756532</c:v>
                </c:pt>
                <c:pt idx="641">
                  <c:v>-0.0110246433203632</c:v>
                </c:pt>
                <c:pt idx="642">
                  <c:v>-0.000491803278688363</c:v>
                </c:pt>
                <c:pt idx="643">
                  <c:v>0</c:v>
                </c:pt>
                <c:pt idx="644">
                  <c:v>0.00328030178776451</c:v>
                </c:pt>
                <c:pt idx="645">
                  <c:v>0.0037600130783062</c:v>
                </c:pt>
                <c:pt idx="646">
                  <c:v>0.00439739413680784</c:v>
                </c:pt>
                <c:pt idx="647">
                  <c:v>0</c:v>
                </c:pt>
                <c:pt idx="648">
                  <c:v>-0.0011350737797956</c:v>
                </c:pt>
                <c:pt idx="649">
                  <c:v>0</c:v>
                </c:pt>
                <c:pt idx="650">
                  <c:v>0</c:v>
                </c:pt>
                <c:pt idx="651">
                  <c:v>0.00535714285714284</c:v>
                </c:pt>
                <c:pt idx="652">
                  <c:v>0.0011303084127241</c:v>
                </c:pt>
                <c:pt idx="653">
                  <c:v>-0.00274193548387103</c:v>
                </c:pt>
                <c:pt idx="654">
                  <c:v>0</c:v>
                </c:pt>
                <c:pt idx="655">
                  <c:v>-0.0025877405790069</c:v>
                </c:pt>
                <c:pt idx="656">
                  <c:v>0</c:v>
                </c:pt>
                <c:pt idx="657">
                  <c:v>0</c:v>
                </c:pt>
                <c:pt idx="658">
                  <c:v>-0.00389168153072805</c:v>
                </c:pt>
                <c:pt idx="659">
                  <c:v>-0.00423245971023922</c:v>
                </c:pt>
                <c:pt idx="660">
                  <c:v>-0.00555828020271376</c:v>
                </c:pt>
                <c:pt idx="661">
                  <c:v>-0.00591813250041107</c:v>
                </c:pt>
                <c:pt idx="662">
                  <c:v>-0.00231519761865373</c:v>
                </c:pt>
                <c:pt idx="663">
                  <c:v>-0.0076247306481021</c:v>
                </c:pt>
                <c:pt idx="664">
                  <c:v>0.00217137130449307</c:v>
                </c:pt>
                <c:pt idx="665">
                  <c:v>0.00283333333333347</c:v>
                </c:pt>
                <c:pt idx="666">
                  <c:v>0</c:v>
                </c:pt>
                <c:pt idx="667">
                  <c:v>0.000498587335881595</c:v>
                </c:pt>
                <c:pt idx="668">
                  <c:v>0.00498338870431891</c:v>
                </c:pt>
                <c:pt idx="669">
                  <c:v>0</c:v>
                </c:pt>
                <c:pt idx="670">
                  <c:v>0</c:v>
                </c:pt>
                <c:pt idx="671">
                  <c:v>0</c:v>
                </c:pt>
                <c:pt idx="672">
                  <c:v>0</c:v>
                </c:pt>
                <c:pt idx="673">
                  <c:v>0</c:v>
                </c:pt>
                <c:pt idx="674">
                  <c:v>0.00280991735537195</c:v>
                </c:pt>
                <c:pt idx="675">
                  <c:v>0.0108785231580681</c:v>
                </c:pt>
                <c:pt idx="676">
                  <c:v>0.0109245067666721</c:v>
                </c:pt>
                <c:pt idx="677">
                  <c:v>0.00258064516129042</c:v>
                </c:pt>
                <c:pt idx="678">
                  <c:v>0.00756113256113244</c:v>
                </c:pt>
                <c:pt idx="679">
                  <c:v>0.0403959763691522</c:v>
                </c:pt>
                <c:pt idx="680">
                  <c:v>0.0323818293431553</c:v>
                </c:pt>
                <c:pt idx="681">
                  <c:v>0.0173925969971755</c:v>
                </c:pt>
                <c:pt idx="682">
                  <c:v>0.0121274108708356</c:v>
                </c:pt>
                <c:pt idx="683">
                  <c:v>0.0118377363938214</c:v>
                </c:pt>
                <c:pt idx="684">
                  <c:v>0.0258239406477385</c:v>
                </c:pt>
                <c:pt idx="685">
                  <c:v>0.0307371349095966</c:v>
                </c:pt>
                <c:pt idx="686">
                  <c:v>0.00863581163135874</c:v>
                </c:pt>
                <c:pt idx="687">
                  <c:v>0.00802675585284285</c:v>
                </c:pt>
                <c:pt idx="688">
                  <c:v>0.0187126741871269</c:v>
                </c:pt>
                <c:pt idx="689">
                  <c:v>0.0263157894736843</c:v>
                </c:pt>
                <c:pt idx="690">
                  <c:v>0.0182787509520184</c:v>
                </c:pt>
                <c:pt idx="691">
                  <c:v>0.0133383196210421</c:v>
                </c:pt>
                <c:pt idx="692">
                  <c:v>0</c:v>
                </c:pt>
                <c:pt idx="693">
                  <c:v>0.0139008488128922</c:v>
                </c:pt>
                <c:pt idx="694">
                  <c:v>0.0104343605920891</c:v>
                </c:pt>
                <c:pt idx="695">
                  <c:v>0.0174111431316044</c:v>
                </c:pt>
                <c:pt idx="696">
                  <c:v>0.0122742830166409</c:v>
                </c:pt>
                <c:pt idx="697">
                  <c:v>0.0338113559519646</c:v>
                </c:pt>
                <c:pt idx="698">
                  <c:v>0.0149994361114243</c:v>
                </c:pt>
                <c:pt idx="699">
                  <c:v>0.0407777777777778</c:v>
                </c:pt>
                <c:pt idx="700">
                  <c:v>0.0447315042169316</c:v>
                </c:pt>
                <c:pt idx="701">
                  <c:v>0.0569180461884324</c:v>
                </c:pt>
                <c:pt idx="702">
                  <c:v>0.0110219472106741</c:v>
                </c:pt>
                <c:pt idx="703">
                  <c:v>0.0273501004112078</c:v>
                </c:pt>
                <c:pt idx="704">
                  <c:v>0.0487759471283626</c:v>
                </c:pt>
                <c:pt idx="705">
                  <c:v>0.0532528623413511</c:v>
                </c:pt>
                <c:pt idx="706">
                  <c:v>0.0630319373051318</c:v>
                </c:pt>
                <c:pt idx="707">
                  <c:v>0.0543004359889021</c:v>
                </c:pt>
                <c:pt idx="708">
                  <c:v>0.0526315789473684</c:v>
                </c:pt>
                <c:pt idx="709">
                  <c:v>0.0467142857142857</c:v>
                </c:pt>
                <c:pt idx="710">
                  <c:v>0.0382830626450117</c:v>
                </c:pt>
                <c:pt idx="711">
                  <c:v>0.017942819585935</c:v>
                </c:pt>
                <c:pt idx="712">
                  <c:v>0.00484245867768607</c:v>
                </c:pt>
                <c:pt idx="713">
                  <c:v>0.0361112895971214</c:v>
                </c:pt>
                <c:pt idx="714">
                  <c:v>0.074046511627907</c:v>
                </c:pt>
                <c:pt idx="715">
                  <c:v>0.106068479704371</c:v>
                </c:pt>
                <c:pt idx="716">
                  <c:v>0.0930256838588432</c:v>
                </c:pt>
                <c:pt idx="717">
                  <c:v>0.0554971821568442</c:v>
                </c:pt>
                <c:pt idx="718">
                  <c:v>0.0424434389140271</c:v>
                </c:pt>
                <c:pt idx="719">
                  <c:v>0.0339005121972393</c:v>
                </c:pt>
                <c:pt idx="720">
                  <c:v>0.0130987866829002</c:v>
                </c:pt>
                <c:pt idx="721">
                  <c:v>0.0154987360656416</c:v>
                </c:pt>
                <c:pt idx="722">
                  <c:v>0.0106916955723322</c:v>
                </c:pt>
                <c:pt idx="723">
                  <c:v>0.00266483627407443</c:v>
                </c:pt>
                <c:pt idx="724">
                  <c:v>0</c:v>
                </c:pt>
                <c:pt idx="725">
                  <c:v>0.00672492248218104</c:v>
                </c:pt>
                <c:pt idx="726">
                  <c:v>0.004</c:v>
                </c:pt>
                <c:pt idx="727">
                  <c:v>0.0265737051792827</c:v>
                </c:pt>
                <c:pt idx="728">
                  <c:v>0.01552373190515</c:v>
                </c:pt>
                <c:pt idx="729">
                  <c:v>0.0254519050712729</c:v>
                </c:pt>
                <c:pt idx="730">
                  <c:v>0.0124473595945291</c:v>
                </c:pt>
                <c:pt idx="731">
                  <c:v>0</c:v>
                </c:pt>
                <c:pt idx="732">
                  <c:v>0.00121470902197518</c:v>
                </c:pt>
                <c:pt idx="733">
                  <c:v>0</c:v>
                </c:pt>
                <c:pt idx="734">
                  <c:v>0</c:v>
                </c:pt>
                <c:pt idx="735">
                  <c:v>-0.00981617647058819</c:v>
                </c:pt>
                <c:pt idx="736">
                  <c:v>-0.0222775034344485</c:v>
                </c:pt>
                <c:pt idx="737">
                  <c:v>0</c:v>
                </c:pt>
                <c:pt idx="738">
                  <c:v>0</c:v>
                </c:pt>
                <c:pt idx="739">
                  <c:v>-0.00250636084001055</c:v>
                </c:pt>
                <c:pt idx="740">
                  <c:v>-0.0101648456237865</c:v>
                </c:pt>
                <c:pt idx="741">
                  <c:v>0.00642307692307709</c:v>
                </c:pt>
                <c:pt idx="742">
                  <c:v>0.00382160736805903</c:v>
                </c:pt>
                <c:pt idx="743">
                  <c:v>0.00251265846880111</c:v>
                </c:pt>
                <c:pt idx="744">
                  <c:v>0.00129115558424808</c:v>
                </c:pt>
                <c:pt idx="745">
                  <c:v>0.00125156445556929</c:v>
                </c:pt>
                <c:pt idx="746">
                  <c:v>0.00124999999999997</c:v>
                </c:pt>
                <c:pt idx="747">
                  <c:v>0.0113494495516968</c:v>
                </c:pt>
                <c:pt idx="748">
                  <c:v>0.00127183630718575</c:v>
                </c:pt>
                <c:pt idx="749">
                  <c:v>0.021145440280943</c:v>
                </c:pt>
                <c:pt idx="750">
                  <c:v>0.00610983060769033</c:v>
                </c:pt>
                <c:pt idx="751">
                  <c:v>0.0121090909090908</c:v>
                </c:pt>
                <c:pt idx="752">
                  <c:v>0.014119929579995</c:v>
                </c:pt>
                <c:pt idx="753">
                  <c:v>0.012577056614469</c:v>
                </c:pt>
                <c:pt idx="754">
                  <c:v>0.0192435534096078</c:v>
                </c:pt>
                <c:pt idx="755">
                  <c:v>0.0230682091243006</c:v>
                </c:pt>
                <c:pt idx="756">
                  <c:v>0.0248632687984431</c:v>
                </c:pt>
                <c:pt idx="757">
                  <c:v>0.017352016762703</c:v>
                </c:pt>
                <c:pt idx="758">
                  <c:v>0.0129046791529897</c:v>
                </c:pt>
                <c:pt idx="759">
                  <c:v>0.00575059571088166</c:v>
                </c:pt>
                <c:pt idx="760">
                  <c:v>0.00394869850897139</c:v>
                </c:pt>
                <c:pt idx="761">
                  <c:v>0.0226235801264907</c:v>
                </c:pt>
                <c:pt idx="762">
                  <c:v>0.0278769230769231</c:v>
                </c:pt>
                <c:pt idx="763">
                  <c:v>0.0200263425731906</c:v>
                </c:pt>
                <c:pt idx="764">
                  <c:v>0.0124724871606749</c:v>
                </c:pt>
                <c:pt idx="765">
                  <c:v>0.0144927536231885</c:v>
                </c:pt>
                <c:pt idx="766">
                  <c:v>0.00951428571428559</c:v>
                </c:pt>
                <c:pt idx="767">
                  <c:v>0.0283021537939037</c:v>
                </c:pt>
                <c:pt idx="768">
                  <c:v>0.00919274488756794</c:v>
                </c:pt>
                <c:pt idx="769">
                  <c:v>0</c:v>
                </c:pt>
                <c:pt idx="770">
                  <c:v>0</c:v>
                </c:pt>
                <c:pt idx="771">
                  <c:v>0</c:v>
                </c:pt>
                <c:pt idx="772">
                  <c:v>-0.00182725611585355</c:v>
                </c:pt>
                <c:pt idx="773">
                  <c:v>0</c:v>
                </c:pt>
                <c:pt idx="774">
                  <c:v>-0.00183060109289623</c:v>
                </c:pt>
                <c:pt idx="775">
                  <c:v>0.0173541729395341</c:v>
                </c:pt>
                <c:pt idx="776">
                  <c:v>0.0269055882906879</c:v>
                </c:pt>
                <c:pt idx="777">
                  <c:v>-0.00437550763748795</c:v>
                </c:pt>
                <c:pt idx="778">
                  <c:v>-0.000868421052631629</c:v>
                </c:pt>
                <c:pt idx="779">
                  <c:v>-0.000895514525772301</c:v>
                </c:pt>
                <c:pt idx="780">
                  <c:v>0.00176627211135427</c:v>
                </c:pt>
                <c:pt idx="781">
                  <c:v>-0.00439473684210534</c:v>
                </c:pt>
                <c:pt idx="782">
                  <c:v>0.00441413580736394</c:v>
                </c:pt>
                <c:pt idx="783">
                  <c:v>0.000868421052631518</c:v>
                </c:pt>
                <c:pt idx="784">
                  <c:v>0</c:v>
                </c:pt>
                <c:pt idx="785">
                  <c:v>0.000893960507979852</c:v>
                </c:pt>
                <c:pt idx="786">
                  <c:v>0.000866892584127976</c:v>
                </c:pt>
                <c:pt idx="787">
                  <c:v>0.00175853018372707</c:v>
                </c:pt>
                <c:pt idx="788">
                  <c:v>0.0131003222679278</c:v>
                </c:pt>
                <c:pt idx="789">
                  <c:v>0.0172239894483668</c:v>
                </c:pt>
                <c:pt idx="790">
                  <c:v>0.0042457986932094</c:v>
                </c:pt>
                <c:pt idx="791">
                  <c:v>-0.00422784810126586</c:v>
                </c:pt>
                <c:pt idx="792">
                  <c:v>-0.00422037474893844</c:v>
                </c:pt>
                <c:pt idx="793">
                  <c:v>0.00084254602088496</c:v>
                </c:pt>
                <c:pt idx="794">
                  <c:v>0.00765306122448983</c:v>
                </c:pt>
                <c:pt idx="795">
                  <c:v>0.00422784810126586</c:v>
                </c:pt>
                <c:pt idx="796">
                  <c:v>0.000403357954975148</c:v>
                </c:pt>
                <c:pt idx="797">
                  <c:v>0</c:v>
                </c:pt>
                <c:pt idx="798">
                  <c:v>-0.0029231660912733</c:v>
                </c:pt>
                <c:pt idx="799">
                  <c:v>-0.0101094346298682</c:v>
                </c:pt>
                <c:pt idx="800">
                  <c:v>0.00423826180202713</c:v>
                </c:pt>
                <c:pt idx="801">
                  <c:v>0.0042457986932094</c:v>
                </c:pt>
                <c:pt idx="802">
                  <c:v>0.00422784810126586</c:v>
                </c:pt>
                <c:pt idx="803">
                  <c:v>0.00418483878286735</c:v>
                </c:pt>
                <c:pt idx="804">
                  <c:v>0</c:v>
                </c:pt>
                <c:pt idx="805">
                  <c:v>-0.0167198051866542</c:v>
                </c:pt>
                <c:pt idx="806">
                  <c:v>-0.0127658488012868</c:v>
                </c:pt>
                <c:pt idx="807">
                  <c:v>-0.0129309230092844</c:v>
                </c:pt>
                <c:pt idx="808">
                  <c:v>0</c:v>
                </c:pt>
                <c:pt idx="809">
                  <c:v>-0.00909162365394189</c:v>
                </c:pt>
                <c:pt idx="810">
                  <c:v>-0.00957165520888426</c:v>
                </c:pt>
                <c:pt idx="811">
                  <c:v>0</c:v>
                </c:pt>
                <c:pt idx="812">
                  <c:v>-0.000854290138288083</c:v>
                </c:pt>
                <c:pt idx="813">
                  <c:v>-0.00959226206380592</c:v>
                </c:pt>
                <c:pt idx="814">
                  <c:v>-0.00180753770199904</c:v>
                </c:pt>
                <c:pt idx="815">
                  <c:v>0</c:v>
                </c:pt>
                <c:pt idx="816">
                  <c:v>0</c:v>
                </c:pt>
                <c:pt idx="817">
                  <c:v>0</c:v>
                </c:pt>
                <c:pt idx="818">
                  <c:v>0.000729729729729733</c:v>
                </c:pt>
                <c:pt idx="819">
                  <c:v>0.000162043913900733</c:v>
                </c:pt>
                <c:pt idx="820">
                  <c:v>0.00180919720249517</c:v>
                </c:pt>
                <c:pt idx="821">
                  <c:v>0.00269541778975735</c:v>
                </c:pt>
                <c:pt idx="822">
                  <c:v>0.00626344086021491</c:v>
                </c:pt>
                <c:pt idx="823">
                  <c:v>0.00713274383565321</c:v>
                </c:pt>
                <c:pt idx="824">
                  <c:v>0.0212201591511936</c:v>
                </c:pt>
                <c:pt idx="825">
                  <c:v>0.00433766233766231</c:v>
                </c:pt>
                <c:pt idx="826">
                  <c:v>0.00429306643908234</c:v>
                </c:pt>
                <c:pt idx="827">
                  <c:v>0</c:v>
                </c:pt>
                <c:pt idx="828">
                  <c:v>-0.00427471480441888</c:v>
                </c:pt>
                <c:pt idx="829">
                  <c:v>-0.00431892828510105</c:v>
                </c:pt>
                <c:pt idx="830">
                  <c:v>-0.00174025974025971</c:v>
                </c:pt>
                <c:pt idx="831">
                  <c:v>0.00174329352379465</c:v>
                </c:pt>
                <c:pt idx="832">
                  <c:v>0.0095324675324675</c:v>
                </c:pt>
                <c:pt idx="833">
                  <c:v>0.00342192605552283</c:v>
                </c:pt>
                <c:pt idx="834">
                  <c:v>-0.00428205128205128</c:v>
                </c:pt>
                <c:pt idx="835">
                  <c:v>0</c:v>
                </c:pt>
                <c:pt idx="836">
                  <c:v>0</c:v>
                </c:pt>
                <c:pt idx="837">
                  <c:v>0.00430046609842138</c:v>
                </c:pt>
                <c:pt idx="838">
                  <c:v>0.0213589743589744</c:v>
                </c:pt>
                <c:pt idx="839">
                  <c:v>0.00921346622147468</c:v>
                </c:pt>
                <c:pt idx="840">
                  <c:v>0.00166666666666671</c:v>
                </c:pt>
                <c:pt idx="841">
                  <c:v>0.00248342315047045</c:v>
                </c:pt>
                <c:pt idx="842">
                  <c:v>0.00824931255728711</c:v>
                </c:pt>
                <c:pt idx="843">
                  <c:v>0.0114742014742015</c:v>
                </c:pt>
                <c:pt idx="844">
                  <c:v>0.0024291301285011</c:v>
                </c:pt>
                <c:pt idx="845">
                  <c:v>-0.00404681706932908</c:v>
                </c:pt>
                <c:pt idx="846">
                  <c:v>0.00163017031630175</c:v>
                </c:pt>
                <c:pt idx="847">
                  <c:v>0.00403235601331153</c:v>
                </c:pt>
                <c:pt idx="848">
                  <c:v>0.00404035516415457</c:v>
                </c:pt>
                <c:pt idx="849">
                  <c:v>0.00402409638554224</c:v>
                </c:pt>
                <c:pt idx="850">
                  <c:v>0</c:v>
                </c:pt>
                <c:pt idx="851">
                  <c:v>0</c:v>
                </c:pt>
                <c:pt idx="852">
                  <c:v>0.00398396812825497</c:v>
                </c:pt>
                <c:pt idx="853">
                  <c:v>0.00160160638730189</c:v>
                </c:pt>
                <c:pt idx="854">
                  <c:v>0.00875894988066839</c:v>
                </c:pt>
              </c:numCache>
            </c:numRef>
          </c:val>
        </c:ser>
        <c:dLbls>
          <c:showLegendKey val="0"/>
          <c:showVal val="0"/>
          <c:showCatName val="0"/>
          <c:showSerName val="0"/>
          <c:showPercent val="0"/>
          <c:showBubbleSize val="0"/>
        </c:dLbls>
        <c:gapWidth val="150"/>
        <c:axId val="2119890176"/>
        <c:axId val="1859407168"/>
      </c:barChart>
      <c:dateAx>
        <c:axId val="2119890176"/>
        <c:scaling>
          <c:orientation val="minMax"/>
        </c:scaling>
        <c:delete val="0"/>
        <c:axPos val="b"/>
        <c:majorGridlines>
          <c:spPr>
            <a:ln w="12700" cap="flat" cmpd="sng" algn="ctr">
              <a:solidFill>
                <a:schemeClr val="tx1">
                  <a:tint val="75000"/>
                </a:schemeClr>
              </a:solidFill>
              <a:prstDash val="dash"/>
              <a:round/>
            </a:ln>
          </c:spPr>
        </c:majorGridlines>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859407168"/>
        <c:crosses val="autoZero"/>
        <c:auto val="1"/>
        <c:lblOffset val="100"/>
        <c:baseTimeUnit val="days"/>
        <c:majorUnit val="1"/>
        <c:majorTimeUnit val="months"/>
      </c:dateAx>
      <c:valAx>
        <c:axId val="1859407168"/>
        <c:scaling>
          <c:orientation val="minMax"/>
        </c:scaling>
        <c:delete val="0"/>
        <c:axPos val="l"/>
        <c:majorGridlines>
          <c:spPr>
            <a:ln w="12700" cap="flat" cmpd="sng" algn="ctr">
              <a:solidFill>
                <a:schemeClr val="tx1">
                  <a:tint val="75000"/>
                </a:schemeClr>
              </a:solidFill>
              <a:prstDash val="dash"/>
              <a:round/>
            </a:ln>
          </c:spPr>
        </c:majorGridlines>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119890176"/>
        <c:crosses val="autoZero"/>
        <c:crossBetween val="between"/>
      </c:valAx>
      <c:spPr>
        <a:noFill/>
        <a:ln w="25400">
          <a:noFill/>
        </a:ln>
      </c:spPr>
    </c:plotArea>
    <c:plotVisOnly val="1"/>
    <c:dispBlanksAs val="gap"/>
    <c:showDLblsOverMax val="0"/>
    <c:extLst>
      <c:ext uri="{0b15fc19-7d7d-44ad-8c2d-2c3a37ce22c3}">
        <chartProps xmlns="https://web.wps.cn/et/2018/main" chartId="{520fbbc6-bdfb-444d-b8be-0746714885bd}"/>
      </c:ext>
    </c:extLst>
  </c:chart>
  <c:spPr>
    <a:ln w="3175" cap="flat" cmpd="sng" algn="ctr">
      <a:solidFill>
        <a:srgbClr val="FFFFFF"/>
      </a:solidFill>
      <a:prstDash val="solid"/>
      <a:round/>
    </a:ln>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PC DRAM Module (DDR4 8GB </a:t>
            </a:r>
            <a:r>
              <a:rPr lang="en-US" sz="1000" b="1" i="0" u="none" strike="noStrike" baseline="0">
                <a:effectLst/>
              </a:rPr>
              <a:t>UDIMM</a:t>
            </a:r>
            <a:r>
              <a:rPr lang="en-US"/>
              <a:t>) Contract Price &amp; MoM</a:t>
            </a:r>
            <a:endParaRPr lang="en-US"/>
          </a:p>
        </c:rich>
      </c:tx>
      <c:layout/>
      <c:overlay val="0"/>
    </c:title>
    <c:autoTitleDeleted val="0"/>
    <c:plotArea>
      <c:layout>
        <c:manualLayout>
          <c:layoutTarget val="inner"/>
          <c:xMode val="edge"/>
          <c:yMode val="edge"/>
          <c:x val="0.0704950687460526"/>
          <c:y val="0.162667048344297"/>
          <c:w val="0.842626183939528"/>
          <c:h val="0.544856338220596"/>
        </c:manualLayout>
      </c:layout>
      <c:barChart>
        <c:barDir val="col"/>
        <c:grouping val="clustered"/>
        <c:varyColors val="0"/>
        <c:ser>
          <c:idx val="0"/>
          <c:order val="0"/>
          <c:tx>
            <c:strRef>
              <c:f>DRAM!$CA$25</c:f>
              <c:strCache>
                <c:ptCount val="1"/>
                <c:pt idx="0">
                  <c:v>Price</c:v>
                </c:pt>
              </c:strCache>
            </c:strRef>
          </c:tx>
          <c:spPr>
            <a:ln>
              <a:solidFill>
                <a:schemeClr val="tx1"/>
              </a:solidFill>
            </a:ln>
          </c:spPr>
          <c:invertIfNegative val="0"/>
          <c:dLbls>
            <c:delete val="1"/>
          </c:dLbls>
          <c:cat>
            <c:numRef>
              <c:f>DRAM!$CA$48:$CA$200</c:f>
              <c:numCache>
                <c:formatCode>yyyy/m/d</c:formatCode>
                <c:ptCount val="153"/>
                <c:pt idx="0" c:formatCode="yyyy/m/d">
                  <c:v>43131</c:v>
                </c:pt>
                <c:pt idx="1" c:formatCode="yyyy/m/d">
                  <c:v>43159</c:v>
                </c:pt>
                <c:pt idx="2" c:formatCode="yyyy/m/d">
                  <c:v>43190</c:v>
                </c:pt>
                <c:pt idx="3" c:formatCode="yyyy/m/d">
                  <c:v>43220</c:v>
                </c:pt>
                <c:pt idx="4" c:formatCode="yyyy/m/d">
                  <c:v>43251</c:v>
                </c:pt>
                <c:pt idx="5" c:formatCode="yyyy/m/d">
                  <c:v>43281</c:v>
                </c:pt>
                <c:pt idx="6" c:formatCode="yyyy/m/d">
                  <c:v>43312</c:v>
                </c:pt>
                <c:pt idx="7" c:formatCode="yyyy/m/d">
                  <c:v>43343</c:v>
                </c:pt>
                <c:pt idx="8" c:formatCode="yyyy/m/d">
                  <c:v>43373</c:v>
                </c:pt>
                <c:pt idx="9" c:formatCode="yyyy/m/d">
                  <c:v>43404</c:v>
                </c:pt>
                <c:pt idx="10" c:formatCode="yyyy/m/d">
                  <c:v>43434</c:v>
                </c:pt>
                <c:pt idx="11" c:formatCode="yyyy/m/d">
                  <c:v>43465</c:v>
                </c:pt>
                <c:pt idx="12" c:formatCode="yyyy/m/d">
                  <c:v>43496</c:v>
                </c:pt>
                <c:pt idx="13" c:formatCode="yyyy/m/d">
                  <c:v>43524</c:v>
                </c:pt>
                <c:pt idx="14" c:formatCode="yyyy/m/d">
                  <c:v>43555</c:v>
                </c:pt>
                <c:pt idx="15" c:formatCode="yyyy/m/d">
                  <c:v>43585</c:v>
                </c:pt>
                <c:pt idx="16" c:formatCode="yyyy/m/d">
                  <c:v>43616</c:v>
                </c:pt>
                <c:pt idx="17" c:formatCode="yyyy/m/d">
                  <c:v>43646</c:v>
                </c:pt>
                <c:pt idx="18" c:formatCode="yyyy/m/d">
                  <c:v>43677</c:v>
                </c:pt>
                <c:pt idx="19" c:formatCode="yyyy/m/d">
                  <c:v>43708</c:v>
                </c:pt>
                <c:pt idx="20" c:formatCode="yyyy/m/d">
                  <c:v>43738</c:v>
                </c:pt>
                <c:pt idx="21" c:formatCode="yyyy/m/d">
                  <c:v>43769</c:v>
                </c:pt>
                <c:pt idx="22" c:formatCode="yyyy/m/d">
                  <c:v>43799</c:v>
                </c:pt>
                <c:pt idx="23" c:formatCode="yyyy/m/d">
                  <c:v>43830</c:v>
                </c:pt>
                <c:pt idx="24" c:formatCode="yyyy/m/d">
                  <c:v>43861</c:v>
                </c:pt>
                <c:pt idx="25" c:formatCode="yyyy/m/d">
                  <c:v>43890</c:v>
                </c:pt>
                <c:pt idx="26" c:formatCode="yyyy/m/d">
                  <c:v>43921</c:v>
                </c:pt>
                <c:pt idx="27" c:formatCode="yyyy/m/d">
                  <c:v>43951</c:v>
                </c:pt>
                <c:pt idx="28" c:formatCode="yyyy/m/d">
                  <c:v>43982</c:v>
                </c:pt>
                <c:pt idx="29" c:formatCode="yyyy/m/d">
                  <c:v>44012</c:v>
                </c:pt>
                <c:pt idx="30" c:formatCode="yyyy/m/d">
                  <c:v>44043</c:v>
                </c:pt>
                <c:pt idx="31" c:formatCode="yyyy/m/d">
                  <c:v>44074</c:v>
                </c:pt>
                <c:pt idx="32" c:formatCode="yyyy/m/d">
                  <c:v>44104</c:v>
                </c:pt>
                <c:pt idx="33" c:formatCode="yyyy/m/d">
                  <c:v>44135</c:v>
                </c:pt>
                <c:pt idx="34" c:formatCode="yyyy/m/d">
                  <c:v>44165</c:v>
                </c:pt>
                <c:pt idx="35" c:formatCode="yyyy/m/d">
                  <c:v>44196</c:v>
                </c:pt>
                <c:pt idx="36" c:formatCode="yyyy/m/d">
                  <c:v>44227</c:v>
                </c:pt>
                <c:pt idx="37" c:formatCode="yyyy/m/d">
                  <c:v>44255</c:v>
                </c:pt>
                <c:pt idx="38" c:formatCode="yyyy/m/d">
                  <c:v>44286</c:v>
                </c:pt>
                <c:pt idx="39" c:formatCode="yyyy/m/d">
                  <c:v>44316</c:v>
                </c:pt>
                <c:pt idx="40" c:formatCode="yyyy/m/d">
                  <c:v>44347</c:v>
                </c:pt>
                <c:pt idx="41" c:formatCode="yyyy/m/d">
                  <c:v>44377</c:v>
                </c:pt>
                <c:pt idx="42" c:formatCode="yyyy/m/d">
                  <c:v>44408</c:v>
                </c:pt>
                <c:pt idx="43" c:formatCode="yyyy/m/d">
                  <c:v>44439</c:v>
                </c:pt>
                <c:pt idx="44" c:formatCode="yyyy/m/d">
                  <c:v>44469</c:v>
                </c:pt>
                <c:pt idx="45" c:formatCode="yyyy/m/d">
                  <c:v>44500</c:v>
                </c:pt>
                <c:pt idx="46" c:formatCode="yyyy/m/d">
                  <c:v>44530</c:v>
                </c:pt>
                <c:pt idx="47" c:formatCode="yyyy/m/d">
                  <c:v>44561</c:v>
                </c:pt>
                <c:pt idx="48" c:formatCode="yyyy/m/d">
                  <c:v>44592</c:v>
                </c:pt>
                <c:pt idx="49" c:formatCode="yyyy/m/d">
                  <c:v>44620</c:v>
                </c:pt>
                <c:pt idx="50" c:formatCode="yyyy/m/d">
                  <c:v>44651</c:v>
                </c:pt>
                <c:pt idx="51" c:formatCode="yyyy/m/d">
                  <c:v>44681</c:v>
                </c:pt>
                <c:pt idx="52" c:formatCode="yyyy/m/d">
                  <c:v>44712</c:v>
                </c:pt>
                <c:pt idx="53" c:formatCode="yyyy/m/d">
                  <c:v>44742</c:v>
                </c:pt>
                <c:pt idx="54" c:formatCode="yyyy/m/d">
                  <c:v>44773</c:v>
                </c:pt>
                <c:pt idx="55" c:formatCode="yyyy/m/d">
                  <c:v>44804</c:v>
                </c:pt>
                <c:pt idx="56" c:formatCode="yyyy/m/d">
                  <c:v>44834</c:v>
                </c:pt>
                <c:pt idx="57" c:formatCode="yyyy/m/d">
                  <c:v>44865</c:v>
                </c:pt>
                <c:pt idx="58" c:formatCode="yyyy/m/d">
                  <c:v>44895</c:v>
                </c:pt>
                <c:pt idx="59" c:formatCode="yyyy/m/d">
                  <c:v>44926</c:v>
                </c:pt>
                <c:pt idx="60" c:formatCode="yyyy/m/d">
                  <c:v>44957</c:v>
                </c:pt>
                <c:pt idx="61" c:formatCode="yyyy/m/d">
                  <c:v>44985</c:v>
                </c:pt>
                <c:pt idx="62" c:formatCode="yyyy/m/d">
                  <c:v>45016</c:v>
                </c:pt>
                <c:pt idx="63" c:formatCode="yyyy/m/d">
                  <c:v>45046</c:v>
                </c:pt>
                <c:pt idx="64" c:formatCode="yyyy/m/d">
                  <c:v>45077</c:v>
                </c:pt>
                <c:pt idx="65" c:formatCode="yyyy/m/d">
                  <c:v>45107</c:v>
                </c:pt>
                <c:pt idx="66" c:formatCode="yyyy/m/d">
                  <c:v>45138</c:v>
                </c:pt>
                <c:pt idx="67" c:formatCode="yyyy/m/d">
                  <c:v>45169</c:v>
                </c:pt>
                <c:pt idx="68" c:formatCode="yyyy/m/d">
                  <c:v>45199</c:v>
                </c:pt>
                <c:pt idx="69" c:formatCode="yyyy/m/d">
                  <c:v>45230</c:v>
                </c:pt>
                <c:pt idx="70" c:formatCode="yyyy/m/d">
                  <c:v>45260</c:v>
                </c:pt>
                <c:pt idx="71" c:formatCode="yyyy/m/d">
                  <c:v>45291</c:v>
                </c:pt>
                <c:pt idx="72" c:formatCode="yyyy/m/d">
                  <c:v>45322</c:v>
                </c:pt>
                <c:pt idx="73" c:formatCode="yyyy/m/d">
                  <c:v>45351</c:v>
                </c:pt>
                <c:pt idx="74" c:formatCode="yyyy/m/d">
                  <c:v>45382</c:v>
                </c:pt>
                <c:pt idx="75" c:formatCode="yyyy/m/d">
                  <c:v>45412</c:v>
                </c:pt>
                <c:pt idx="76" c:formatCode="yyyy/m/d">
                  <c:v>45443</c:v>
                </c:pt>
                <c:pt idx="77" c:formatCode="yyyy/m/d">
                  <c:v>45473</c:v>
                </c:pt>
                <c:pt idx="78" c:formatCode="yyyy/m/d">
                  <c:v>45504</c:v>
                </c:pt>
                <c:pt idx="79" c:formatCode="yyyy/m/d">
                  <c:v>45535</c:v>
                </c:pt>
                <c:pt idx="80" c:formatCode="yyyy/m/d">
                  <c:v>45565</c:v>
                </c:pt>
                <c:pt idx="81" c:formatCode="yyyy/m/d">
                  <c:v>45596</c:v>
                </c:pt>
                <c:pt idx="82" c:formatCode="yyyy/m/d">
                  <c:v>45626</c:v>
                </c:pt>
                <c:pt idx="83" c:formatCode="yyyy/m/d">
                  <c:v>45657</c:v>
                </c:pt>
                <c:pt idx="84" c:formatCode="yyyy/m/d">
                  <c:v>45688</c:v>
                </c:pt>
                <c:pt idx="85" c:formatCode="yyyy/m/d">
                  <c:v>45716</c:v>
                </c:pt>
                <c:pt idx="86" c:formatCode="yyyy/m/d">
                  <c:v>45747</c:v>
                </c:pt>
                <c:pt idx="87" c:formatCode="yyyy/m/d">
                  <c:v>45777</c:v>
                </c:pt>
                <c:pt idx="88" c:formatCode="yyyy/m/d">
                  <c:v>45808</c:v>
                </c:pt>
                <c:pt idx="89" c:formatCode="yyyy/m/d">
                  <c:v>45838</c:v>
                </c:pt>
                <c:pt idx="90" c:formatCode="yyyy/m/d">
                  <c:v>45869</c:v>
                </c:pt>
                <c:pt idx="91" c:formatCode="yyyy/m/d">
                  <c:v>45900</c:v>
                </c:pt>
                <c:pt idx="92" c:formatCode="yyyy/m/d">
                  <c:v>45930</c:v>
                </c:pt>
                <c:pt idx="93" c:formatCode="yyyy/m/d">
                  <c:v>45961</c:v>
                </c:pt>
                <c:pt idx="94" c:formatCode="yyyy/m/d">
                  <c:v>45991</c:v>
                </c:pt>
                <c:pt idx="95" c:formatCode="yyyy/m/d">
                  <c:v>46022</c:v>
                </c:pt>
                <c:pt idx="96" c:formatCode="yyyy/m/d">
                  <c:v>46053</c:v>
                </c:pt>
                <c:pt idx="97" c:formatCode="yyyy/m/d">
                  <c:v>46081</c:v>
                </c:pt>
                <c:pt idx="98" c:formatCode="yyyy/m/d">
                  <c:v>46112</c:v>
                </c:pt>
                <c:pt idx="99" c:formatCode="yyyy/m/d">
                  <c:v>46142</c:v>
                </c:pt>
                <c:pt idx="100" c:formatCode="yyyy/m/d">
                  <c:v>46173</c:v>
                </c:pt>
              </c:numCache>
            </c:numRef>
          </c:cat>
          <c:val>
            <c:numRef>
              <c:f>DRAM!$CD$48:$CD$200</c:f>
              <c:numCache>
                <c:formatCode>#,##0.00</c:formatCode>
                <c:ptCount val="153"/>
                <c:pt idx="0">
                  <c:v>66</c:v>
                </c:pt>
                <c:pt idx="1">
                  <c:v>66</c:v>
                </c:pt>
                <c:pt idx="2">
                  <c:v>66</c:v>
                </c:pt>
                <c:pt idx="3">
                  <c:v>68</c:v>
                </c:pt>
                <c:pt idx="4">
                  <c:v>68</c:v>
                </c:pt>
                <c:pt idx="5">
                  <c:v>68</c:v>
                </c:pt>
                <c:pt idx="6">
                  <c:v>68</c:v>
                </c:pt>
                <c:pt idx="7">
                  <c:v>68</c:v>
                </c:pt>
                <c:pt idx="8">
                  <c:v>68</c:v>
                </c:pt>
                <c:pt idx="9">
                  <c:v>61</c:v>
                </c:pt>
                <c:pt idx="10">
                  <c:v>60</c:v>
                </c:pt>
                <c:pt idx="11">
                  <c:v>60</c:v>
                </c:pt>
                <c:pt idx="12">
                  <c:v>50</c:v>
                </c:pt>
                <c:pt idx="13">
                  <c:v>43</c:v>
                </c:pt>
                <c:pt idx="14">
                  <c:v>38.5</c:v>
                </c:pt>
                <c:pt idx="15">
                  <c:v>34</c:v>
                </c:pt>
                <c:pt idx="16">
                  <c:v>32</c:v>
                </c:pt>
                <c:pt idx="17">
                  <c:v>28.5</c:v>
                </c:pt>
                <c:pt idx="18">
                  <c:v>25.5</c:v>
                </c:pt>
                <c:pt idx="19">
                  <c:v>25.5</c:v>
                </c:pt>
                <c:pt idx="20">
                  <c:v>25.5</c:v>
                </c:pt>
                <c:pt idx="21">
                  <c:v>24.5</c:v>
                </c:pt>
                <c:pt idx="22">
                  <c:v>24.5</c:v>
                </c:pt>
                <c:pt idx="23">
                  <c:v>24.5</c:v>
                </c:pt>
                <c:pt idx="24">
                  <c:v>24.7</c:v>
                </c:pt>
                <c:pt idx="25">
                  <c:v>25</c:v>
                </c:pt>
                <c:pt idx="26">
                  <c:v>25.5</c:v>
                </c:pt>
                <c:pt idx="27">
                  <c:v>28.3</c:v>
                </c:pt>
                <c:pt idx="28">
                  <c:v>28.5</c:v>
                </c:pt>
                <c:pt idx="29">
                  <c:v>28.5</c:v>
                </c:pt>
                <c:pt idx="30">
                  <c:v>27</c:v>
                </c:pt>
                <c:pt idx="31">
                  <c:v>27</c:v>
                </c:pt>
                <c:pt idx="32">
                  <c:v>27</c:v>
                </c:pt>
                <c:pt idx="33">
                  <c:v>24.8</c:v>
                </c:pt>
                <c:pt idx="34">
                  <c:v>24.8</c:v>
                </c:pt>
                <c:pt idx="35">
                  <c:v>24.8</c:v>
                </c:pt>
                <c:pt idx="36">
                  <c:v>26</c:v>
                </c:pt>
                <c:pt idx="37">
                  <c:v>26</c:v>
                </c:pt>
                <c:pt idx="38">
                  <c:v>26</c:v>
                </c:pt>
                <c:pt idx="39">
                  <c:v>32.4</c:v>
                </c:pt>
                <c:pt idx="40">
                  <c:v>32.4</c:v>
                </c:pt>
                <c:pt idx="41">
                  <c:v>32.4</c:v>
                </c:pt>
                <c:pt idx="42">
                  <c:v>34.8</c:v>
                </c:pt>
                <c:pt idx="43">
                  <c:v>34.8</c:v>
                </c:pt>
                <c:pt idx="44">
                  <c:v>34.8</c:v>
                </c:pt>
                <c:pt idx="45">
                  <c:v>31.7</c:v>
                </c:pt>
                <c:pt idx="46">
                  <c:v>31.7</c:v>
                </c:pt>
                <c:pt idx="47">
                  <c:v>31.7</c:v>
                </c:pt>
                <c:pt idx="48">
                  <c:v>29.3</c:v>
                </c:pt>
                <c:pt idx="49">
                  <c:v>29.3</c:v>
                </c:pt>
                <c:pt idx="50">
                  <c:v>29.3</c:v>
                </c:pt>
                <c:pt idx="51">
                  <c:v>29.3</c:v>
                </c:pt>
                <c:pt idx="52">
                  <c:v>28.8</c:v>
                </c:pt>
                <c:pt idx="53">
                  <c:v>28.8</c:v>
                </c:pt>
                <c:pt idx="54">
                  <c:v>25</c:v>
                </c:pt>
                <c:pt idx="55">
                  <c:v>24.8</c:v>
                </c:pt>
                <c:pt idx="56">
                  <c:v>24.8</c:v>
                </c:pt>
                <c:pt idx="57">
                  <c:v>19.7</c:v>
                </c:pt>
                <c:pt idx="58">
                  <c:v>19.7</c:v>
                </c:pt>
                <c:pt idx="59">
                  <c:v>19.7</c:v>
                </c:pt>
                <c:pt idx="60">
                  <c:v>16.5</c:v>
                </c:pt>
                <c:pt idx="61">
                  <c:v>16.5</c:v>
                </c:pt>
                <c:pt idx="62">
                  <c:v>16.5</c:v>
                </c:pt>
                <c:pt idx="63">
                  <c:v>13.6</c:v>
                </c:pt>
                <c:pt idx="64">
                  <c:v>13.2</c:v>
                </c:pt>
                <c:pt idx="65">
                  <c:v>12.9</c:v>
                </c:pt>
                <c:pt idx="66">
                  <c:v>12.7</c:v>
                </c:pt>
                <c:pt idx="67">
                  <c:v>12.4</c:v>
                </c:pt>
                <c:pt idx="68">
                  <c:v>12.4</c:v>
                </c:pt>
                <c:pt idx="69">
                  <c:v>13.7</c:v>
                </c:pt>
                <c:pt idx="70">
                  <c:v>13.7</c:v>
                </c:pt>
                <c:pt idx="71">
                  <c:v>13.7</c:v>
                </c:pt>
                <c:pt idx="72">
                  <c:v>16.5</c:v>
                </c:pt>
                <c:pt idx="73">
                  <c:v>16.5</c:v>
                </c:pt>
                <c:pt idx="74">
                  <c:v>16.5</c:v>
                </c:pt>
                <c:pt idx="75">
                  <c:v>19</c:v>
                </c:pt>
                <c:pt idx="76">
                  <c:v>19</c:v>
                </c:pt>
                <c:pt idx="77">
                  <c:v>19</c:v>
                </c:pt>
                <c:pt idx="78">
                  <c:v>21</c:v>
                </c:pt>
                <c:pt idx="79">
                  <c:v>21</c:v>
                </c:pt>
                <c:pt idx="80">
                  <c:v>21</c:v>
                </c:pt>
                <c:pt idx="81">
                  <c:v>21</c:v>
                </c:pt>
                <c:pt idx="82">
                  <c:v>18.5</c:v>
                </c:pt>
                <c:pt idx="83">
                  <c:v>18.5</c:v>
                </c:pt>
                <c:pt idx="84">
                  <c:v>16.5</c:v>
                </c:pt>
                <c:pt idx="85">
                  <c:v>16.5</c:v>
                </c:pt>
                <c:pt idx="86">
                  <c:v>16.5</c:v>
                </c:pt>
                <c:pt idx="87">
                  <c:v>17.25</c:v>
                </c:pt>
                <c:pt idx="88">
                  <c:v>19.5</c:v>
                </c:pt>
                <c:pt idx="89">
                  <c:v>19.5</c:v>
                </c:pt>
                <c:pt idx="90">
                  <c:v>26.5</c:v>
                </c:pt>
                <c:pt idx="91">
                  <c:v>27</c:v>
                </c:pt>
                <c:pt idx="92">
                  <c:v>27</c:v>
                </c:pt>
                <c:pt idx="93">
                  <c:v>31.5</c:v>
                </c:pt>
                <c:pt idx="94">
                  <c:v>39</c:v>
                </c:pt>
                <c:pt idx="95">
                  <c:v>46.5</c:v>
                </c:pt>
                <c:pt idx="96">
                  <c:v>85</c:v>
                </c:pt>
                <c:pt idx="97">
                  <c:v>85</c:v>
                </c:pt>
                <c:pt idx="98">
                  <c:v>85</c:v>
                </c:pt>
                <c:pt idx="99">
                  <c:v>119</c:v>
                </c:pt>
                <c:pt idx="100">
                  <c:v>119</c:v>
                </c:pt>
              </c:numCache>
            </c:numRef>
          </c:val>
        </c:ser>
        <c:dLbls>
          <c:showLegendKey val="0"/>
          <c:showVal val="0"/>
          <c:showCatName val="0"/>
          <c:showSerName val="0"/>
          <c:showPercent val="0"/>
          <c:showBubbleSize val="0"/>
        </c:dLbls>
        <c:gapWidth val="66"/>
        <c:axId val="177450304"/>
        <c:axId val="206057648"/>
      </c:barChart>
      <c:lineChart>
        <c:grouping val="standard"/>
        <c:varyColors val="0"/>
        <c:ser>
          <c:idx val="1"/>
          <c:order val="1"/>
          <c:tx>
            <c:strRef>
              <c:f>DRAM!$CX$26</c:f>
              <c:strCache>
                <c:ptCount val="1"/>
                <c:pt idx="0">
                  <c:v>MoM</c:v>
                </c:pt>
              </c:strCache>
            </c:strRef>
          </c:tx>
          <c:spPr>
            <a:ln w="12700" cap="rnd" cmpd="sng" algn="ctr">
              <a:solidFill>
                <a:schemeClr val="accent2"/>
              </a:solidFill>
              <a:prstDash val="solid"/>
              <a:round/>
            </a:ln>
          </c:spPr>
          <c:marker>
            <c:symbol val="square"/>
            <c:size val="3"/>
          </c:marker>
          <c:dLbls>
            <c:delete val="1"/>
          </c:dLbls>
          <c:val>
            <c:numRef>
              <c:f>DRAM!$CZ$48:$CZ$200</c:f>
              <c:numCache>
                <c:formatCode>[$-409]mmm\-yy;@</c:formatCode>
                <c:ptCount val="153"/>
                <c:pt idx="1" c:formatCode="0%">
                  <c:v>0</c:v>
                </c:pt>
                <c:pt idx="2" c:formatCode="0%">
                  <c:v>0</c:v>
                </c:pt>
                <c:pt idx="3" c:formatCode="0%">
                  <c:v>0.0303030303030303</c:v>
                </c:pt>
                <c:pt idx="4" c:formatCode="0%">
                  <c:v>0</c:v>
                </c:pt>
                <c:pt idx="5" c:formatCode="0%">
                  <c:v>0</c:v>
                </c:pt>
                <c:pt idx="6" c:formatCode="0%">
                  <c:v>0</c:v>
                </c:pt>
                <c:pt idx="7" c:formatCode="0%">
                  <c:v>0</c:v>
                </c:pt>
                <c:pt idx="8" c:formatCode="0%">
                  <c:v>0</c:v>
                </c:pt>
                <c:pt idx="9" c:formatCode="0%">
                  <c:v>-0.102941176470588</c:v>
                </c:pt>
                <c:pt idx="10" c:formatCode="0%">
                  <c:v>-0.0163934426229508</c:v>
                </c:pt>
                <c:pt idx="11" c:formatCode="0%">
                  <c:v>0</c:v>
                </c:pt>
                <c:pt idx="12" c:formatCode="0%">
                  <c:v>-0.166666666666667</c:v>
                </c:pt>
                <c:pt idx="13" c:formatCode="0%">
                  <c:v>-0.14</c:v>
                </c:pt>
                <c:pt idx="14" c:formatCode="0%">
                  <c:v>-0.104651162790698</c:v>
                </c:pt>
                <c:pt idx="15" c:formatCode="0%">
                  <c:v>-0.116883116883117</c:v>
                </c:pt>
                <c:pt idx="16" c:formatCode="0%">
                  <c:v>-0.0588235294117647</c:v>
                </c:pt>
                <c:pt idx="17" c:formatCode="0%">
                  <c:v>-0.109375</c:v>
                </c:pt>
                <c:pt idx="18" c:formatCode="0%">
                  <c:v>-0.105263157894737</c:v>
                </c:pt>
                <c:pt idx="19" c:formatCode="0%">
                  <c:v>0</c:v>
                </c:pt>
                <c:pt idx="20" c:formatCode="0%">
                  <c:v>0</c:v>
                </c:pt>
                <c:pt idx="21" c:formatCode="0%">
                  <c:v>-0.0392156862745098</c:v>
                </c:pt>
                <c:pt idx="22" c:formatCode="0%">
                  <c:v>0</c:v>
                </c:pt>
                <c:pt idx="23" c:formatCode="0%">
                  <c:v>0</c:v>
                </c:pt>
                <c:pt idx="24" c:formatCode="0%">
                  <c:v>0.00816326530612232</c:v>
                </c:pt>
                <c:pt idx="25" c:formatCode="0%">
                  <c:v>0.0121457489878543</c:v>
                </c:pt>
                <c:pt idx="26" c:formatCode="0%">
                  <c:v>0.02</c:v>
                </c:pt>
                <c:pt idx="27" c:formatCode="0%">
                  <c:v>0.109803921568628</c:v>
                </c:pt>
                <c:pt idx="28" c:formatCode="0%">
                  <c:v>0.00706713780918733</c:v>
                </c:pt>
                <c:pt idx="29" c:formatCode="0%">
                  <c:v>0</c:v>
                </c:pt>
                <c:pt idx="30" c:formatCode="0%">
                  <c:v>-0.0526315789473685</c:v>
                </c:pt>
                <c:pt idx="31" c:formatCode="0%">
                  <c:v>0</c:v>
                </c:pt>
                <c:pt idx="32" c:formatCode="0%">
                  <c:v>0</c:v>
                </c:pt>
                <c:pt idx="33" c:formatCode="0%">
                  <c:v>-0.0814814814814815</c:v>
                </c:pt>
                <c:pt idx="34" c:formatCode="0%">
                  <c:v>0</c:v>
                </c:pt>
                <c:pt idx="35" c:formatCode="0%">
                  <c:v>0</c:v>
                </c:pt>
                <c:pt idx="36" c:formatCode="0%">
                  <c:v>0.0483870967741935</c:v>
                </c:pt>
                <c:pt idx="37" c:formatCode="0%">
                  <c:v>0</c:v>
                </c:pt>
                <c:pt idx="38" c:formatCode="0%">
                  <c:v>0</c:v>
                </c:pt>
                <c:pt idx="39" c:formatCode="0%">
                  <c:v>0.246153846153846</c:v>
                </c:pt>
                <c:pt idx="40" c:formatCode="0%">
                  <c:v>0</c:v>
                </c:pt>
                <c:pt idx="41" c:formatCode="0%">
                  <c:v>0</c:v>
                </c:pt>
                <c:pt idx="42" c:formatCode="0%">
                  <c:v>0.074074074074074</c:v>
                </c:pt>
                <c:pt idx="43" c:formatCode="0%">
                  <c:v>0</c:v>
                </c:pt>
                <c:pt idx="44" c:formatCode="0%">
                  <c:v>0</c:v>
                </c:pt>
                <c:pt idx="45" c:formatCode="0%">
                  <c:v>-0.0890804597701149</c:v>
                </c:pt>
                <c:pt idx="46" c:formatCode="0%">
                  <c:v>0</c:v>
                </c:pt>
                <c:pt idx="47" c:formatCode="0%">
                  <c:v>0</c:v>
                </c:pt>
                <c:pt idx="48" c:formatCode="0%">
                  <c:v>-0.0757097791798107</c:v>
                </c:pt>
                <c:pt idx="49" c:formatCode="0%">
                  <c:v>0</c:v>
                </c:pt>
                <c:pt idx="50" c:formatCode="0%">
                  <c:v>0</c:v>
                </c:pt>
                <c:pt idx="51" c:formatCode="0%">
                  <c:v>0</c:v>
                </c:pt>
                <c:pt idx="52" c:formatCode="0%">
                  <c:v>-0.0170648464163823</c:v>
                </c:pt>
                <c:pt idx="53" c:formatCode="0%">
                  <c:v>0</c:v>
                </c:pt>
                <c:pt idx="54" c:formatCode="0%">
                  <c:v>-0.131944444444444</c:v>
                </c:pt>
                <c:pt idx="55" c:formatCode="0%">
                  <c:v>-0.00800000000000001</c:v>
                </c:pt>
                <c:pt idx="56" c:formatCode="0%">
                  <c:v>0</c:v>
                </c:pt>
                <c:pt idx="57" c:formatCode="0%">
                  <c:v>-0.205645161290323</c:v>
                </c:pt>
                <c:pt idx="58" c:formatCode="0%">
                  <c:v>0</c:v>
                </c:pt>
                <c:pt idx="59" c:formatCode="0%">
                  <c:v>0</c:v>
                </c:pt>
                <c:pt idx="60" c:formatCode="0%">
                  <c:v>-0.16243654822335</c:v>
                </c:pt>
                <c:pt idx="61" c:formatCode="0%">
                  <c:v>0</c:v>
                </c:pt>
                <c:pt idx="62" c:formatCode="0%">
                  <c:v>0</c:v>
                </c:pt>
                <c:pt idx="63" c:formatCode="0%">
                  <c:v>-0.175757575757576</c:v>
                </c:pt>
                <c:pt idx="64" c:formatCode="0.0%">
                  <c:v>-0.0294117647058824</c:v>
                </c:pt>
                <c:pt idx="65" c:formatCode="0.0%">
                  <c:v>-0.0227272727272726</c:v>
                </c:pt>
                <c:pt idx="66" c:formatCode="0.0%">
                  <c:v>-0.0155038759689923</c:v>
                </c:pt>
                <c:pt idx="67" c:formatCode="0.0%">
                  <c:v>-0.0236220472440944</c:v>
                </c:pt>
                <c:pt idx="68" c:formatCode="0.0%">
                  <c:v>0</c:v>
                </c:pt>
                <c:pt idx="69" c:formatCode="0.0%">
                  <c:v>0.104838709677419</c:v>
                </c:pt>
                <c:pt idx="70" c:formatCode="0.0%">
                  <c:v>0</c:v>
                </c:pt>
                <c:pt idx="71" c:formatCode="0.0%">
                  <c:v>0</c:v>
                </c:pt>
                <c:pt idx="72" c:formatCode="0.0%">
                  <c:v>0.204379562043796</c:v>
                </c:pt>
                <c:pt idx="73" c:formatCode="0.0%">
                  <c:v>0</c:v>
                </c:pt>
                <c:pt idx="74" c:formatCode="0.0%">
                  <c:v>0</c:v>
                </c:pt>
                <c:pt idx="75" c:formatCode="0.0%">
                  <c:v>0.151515151515152</c:v>
                </c:pt>
                <c:pt idx="76" c:formatCode="0.0%">
                  <c:v>0</c:v>
                </c:pt>
                <c:pt idx="77" c:formatCode="0.0%">
                  <c:v>0</c:v>
                </c:pt>
                <c:pt idx="78" c:formatCode="0.0%">
                  <c:v>0.105263157894737</c:v>
                </c:pt>
                <c:pt idx="79" c:formatCode="0.0%">
                  <c:v>0</c:v>
                </c:pt>
                <c:pt idx="80" c:formatCode="0.0%">
                  <c:v>0</c:v>
                </c:pt>
                <c:pt idx="81" c:formatCode="0.0%">
                  <c:v>0</c:v>
                </c:pt>
                <c:pt idx="82" c:formatCode="0.0%">
                  <c:v>-0.119047619047619</c:v>
                </c:pt>
                <c:pt idx="83" c:formatCode="0.0%">
                  <c:v>0</c:v>
                </c:pt>
                <c:pt idx="84" c:formatCode="0.0%">
                  <c:v>-0.108108108108108</c:v>
                </c:pt>
                <c:pt idx="85" c:formatCode="0.0%">
                  <c:v>0</c:v>
                </c:pt>
                <c:pt idx="86" c:formatCode="0.0%">
                  <c:v>0</c:v>
                </c:pt>
                <c:pt idx="87" c:formatCode="0.0%">
                  <c:v>0.0454545454545454</c:v>
                </c:pt>
                <c:pt idx="88" c:formatCode="0.0%">
                  <c:v>0.130434782608696</c:v>
                </c:pt>
                <c:pt idx="89" c:formatCode="0.0%">
                  <c:v>0</c:v>
                </c:pt>
                <c:pt idx="90" c:formatCode="0.0%">
                  <c:v>0.358974358974359</c:v>
                </c:pt>
                <c:pt idx="91" c:formatCode="0.0%">
                  <c:v>0.0188679245283019</c:v>
                </c:pt>
                <c:pt idx="92" c:formatCode="0.0%">
                  <c:v>0</c:v>
                </c:pt>
                <c:pt idx="93" c:formatCode="0.0%">
                  <c:v>0.166666666666667</c:v>
                </c:pt>
                <c:pt idx="94" c:formatCode="0.0%">
                  <c:v>0.238095238095238</c:v>
                </c:pt>
                <c:pt idx="95" c:formatCode="0.0%">
                  <c:v>0.192307692307692</c:v>
                </c:pt>
                <c:pt idx="96" c:formatCode="0.0%">
                  <c:v>0.827956989247312</c:v>
                </c:pt>
                <c:pt idx="97" c:formatCode="0.0%">
                  <c:v>0</c:v>
                </c:pt>
                <c:pt idx="98" c:formatCode="0.0%">
                  <c:v>0</c:v>
                </c:pt>
                <c:pt idx="99" c:formatCode="0.0%">
                  <c:v>0.4</c:v>
                </c:pt>
                <c:pt idx="100" c:formatCode="0.0%">
                  <c:v>0</c:v>
                </c:pt>
              </c:numCache>
            </c:numRef>
          </c:val>
          <c:smooth val="0"/>
        </c:ser>
        <c:dLbls>
          <c:showLegendKey val="0"/>
          <c:showVal val="0"/>
          <c:showCatName val="0"/>
          <c:showSerName val="0"/>
          <c:showPercent val="0"/>
          <c:showBubbleSize val="0"/>
        </c:dLbls>
        <c:marker val="1"/>
        <c:smooth val="0"/>
        <c:axId val="177253104"/>
        <c:axId val="206075120"/>
      </c:lineChart>
      <c:dateAx>
        <c:axId val="177450304"/>
        <c:scaling>
          <c:orientation val="minMax"/>
        </c:scaling>
        <c:delete val="0"/>
        <c:axPos val="b"/>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57648"/>
        <c:crosses val="autoZero"/>
        <c:auto val="0"/>
        <c:lblOffset val="100"/>
        <c:baseTimeUnit val="months"/>
        <c:majorUnit val="3"/>
        <c:majorTimeUnit val="months"/>
      </c:dateAx>
      <c:valAx>
        <c:axId val="206057648"/>
        <c:scaling>
          <c:orientation val="minMax"/>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450304"/>
        <c:crosses val="autoZero"/>
        <c:crossBetween val="between"/>
      </c:valAx>
      <c:catAx>
        <c:axId val="177253104"/>
        <c:scaling>
          <c:orientation val="minMax"/>
        </c:scaling>
        <c:delete val="1"/>
        <c:axPos val="b"/>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75120"/>
        <c:crosses val="autoZero"/>
        <c:auto val="1"/>
        <c:lblAlgn val="ctr"/>
        <c:lblOffset val="100"/>
        <c:noMultiLvlLbl val="0"/>
      </c:catAx>
      <c:valAx>
        <c:axId val="206075120"/>
        <c:scaling>
          <c:orientation val="minMax"/>
        </c:scaling>
        <c:delete val="0"/>
        <c:axPos val="r"/>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MoM</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253104"/>
        <c:crosses val="max"/>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a44d3638-ce68-4d8b-b024-f53eb875e5a0}"/>
      </c:ext>
    </c:extLst>
  </c:chart>
  <c:spPr>
    <a:solidFill>
      <a:srgbClr val="FFFFFF"/>
    </a:solidFill>
    <a:ln w="25400" cap="flat" cmpd="sng" algn="ctr">
      <a:solidFill>
        <a:srgbClr xmlns:mc="http://schemas.openxmlformats.org/markup-compatibility/2006" xmlns:a14="http://schemas.microsoft.com/office/drawing/2010/main" val="FFFFFF" mc:Ignorable="a14" a14:legacySpreadsheetColorIndex="9"/>
      </a:solidFill>
      <a:prstDash val="solid"/>
      <a:round/>
      <a:headEnd type="none" w="med" len="med"/>
      <a:tailEnd type="none" w="med" len="med"/>
    </a:ln>
    <a:effectLst/>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PC DRAM Module (DDR5 </a:t>
            </a:r>
            <a:r>
              <a:rPr lang="en-US" sz="1000" b="1" i="0" u="none" strike="noStrike" baseline="0">
                <a:effectLst/>
              </a:rPr>
              <a:t>16GB </a:t>
            </a:r>
            <a:r>
              <a:rPr lang="en-US"/>
              <a:t>UDIMM) Contract Price &amp; MoM</a:t>
            </a:r>
            <a:endParaRPr lang="en-US"/>
          </a:p>
        </c:rich>
      </c:tx>
      <c:layout/>
      <c:overlay val="0"/>
    </c:title>
    <c:autoTitleDeleted val="0"/>
    <c:plotArea>
      <c:layout>
        <c:manualLayout>
          <c:layoutTarget val="inner"/>
          <c:xMode val="edge"/>
          <c:yMode val="edge"/>
          <c:x val="0.0787496062992126"/>
          <c:y val="0.149549212598425"/>
          <c:w val="0.825540986324078"/>
          <c:h val="0.577372440944882"/>
        </c:manualLayout>
      </c:layout>
      <c:barChart>
        <c:barDir val="col"/>
        <c:grouping val="clustered"/>
        <c:varyColors val="0"/>
        <c:ser>
          <c:idx val="0"/>
          <c:order val="0"/>
          <c:tx>
            <c:strRef>
              <c:f>DRAM!$CA$25</c:f>
              <c:strCache>
                <c:ptCount val="1"/>
                <c:pt idx="0">
                  <c:v>Price</c:v>
                </c:pt>
              </c:strCache>
            </c:strRef>
          </c:tx>
          <c:spPr>
            <a:ln>
              <a:noFill/>
            </a:ln>
          </c:spPr>
          <c:invertIfNegative val="0"/>
          <c:dLbls>
            <c:delete val="1"/>
          </c:dLbls>
          <c:cat>
            <c:numRef>
              <c:f>DRAM!$CA$96:$CA$200</c:f>
              <c:numCache>
                <c:formatCode>yyyy/m/d</c:formatCode>
                <c:ptCount val="105"/>
                <c:pt idx="0" c:formatCode="yyyy/m/d">
                  <c:v>44592</c:v>
                </c:pt>
                <c:pt idx="1" c:formatCode="yyyy/m/d">
                  <c:v>44620</c:v>
                </c:pt>
                <c:pt idx="2" c:formatCode="yyyy/m/d">
                  <c:v>44651</c:v>
                </c:pt>
                <c:pt idx="3" c:formatCode="yyyy/m/d">
                  <c:v>44681</c:v>
                </c:pt>
                <c:pt idx="4" c:formatCode="yyyy/m/d">
                  <c:v>44712</c:v>
                </c:pt>
                <c:pt idx="5" c:formatCode="yyyy/m/d">
                  <c:v>44742</c:v>
                </c:pt>
                <c:pt idx="6" c:formatCode="yyyy/m/d">
                  <c:v>44773</c:v>
                </c:pt>
                <c:pt idx="7" c:formatCode="yyyy/m/d">
                  <c:v>44804</c:v>
                </c:pt>
                <c:pt idx="8" c:formatCode="yyyy/m/d">
                  <c:v>44834</c:v>
                </c:pt>
                <c:pt idx="9" c:formatCode="yyyy/m/d">
                  <c:v>44865</c:v>
                </c:pt>
                <c:pt idx="10" c:formatCode="yyyy/m/d">
                  <c:v>44895</c:v>
                </c:pt>
                <c:pt idx="11" c:formatCode="yyyy/m/d">
                  <c:v>44926</c:v>
                </c:pt>
                <c:pt idx="12" c:formatCode="yyyy/m/d">
                  <c:v>44957</c:v>
                </c:pt>
                <c:pt idx="13" c:formatCode="yyyy/m/d">
                  <c:v>44985</c:v>
                </c:pt>
                <c:pt idx="14" c:formatCode="yyyy/m/d">
                  <c:v>45016</c:v>
                </c:pt>
                <c:pt idx="15" c:formatCode="yyyy/m/d">
                  <c:v>45046</c:v>
                </c:pt>
                <c:pt idx="16" c:formatCode="yyyy/m/d">
                  <c:v>45077</c:v>
                </c:pt>
                <c:pt idx="17" c:formatCode="yyyy/m/d">
                  <c:v>45107</c:v>
                </c:pt>
                <c:pt idx="18" c:formatCode="yyyy/m/d">
                  <c:v>45138</c:v>
                </c:pt>
                <c:pt idx="19" c:formatCode="yyyy/m/d">
                  <c:v>45169</c:v>
                </c:pt>
                <c:pt idx="20" c:formatCode="yyyy/m/d">
                  <c:v>45199</c:v>
                </c:pt>
                <c:pt idx="21" c:formatCode="yyyy/m/d">
                  <c:v>45230</c:v>
                </c:pt>
                <c:pt idx="22" c:formatCode="yyyy/m/d">
                  <c:v>45260</c:v>
                </c:pt>
                <c:pt idx="23" c:formatCode="yyyy/m/d">
                  <c:v>45291</c:v>
                </c:pt>
                <c:pt idx="24" c:formatCode="yyyy/m/d">
                  <c:v>45322</c:v>
                </c:pt>
                <c:pt idx="25" c:formatCode="yyyy/m/d">
                  <c:v>45351</c:v>
                </c:pt>
                <c:pt idx="26" c:formatCode="yyyy/m/d">
                  <c:v>45382</c:v>
                </c:pt>
                <c:pt idx="27" c:formatCode="yyyy/m/d">
                  <c:v>45412</c:v>
                </c:pt>
                <c:pt idx="28" c:formatCode="yyyy/m/d">
                  <c:v>45443</c:v>
                </c:pt>
                <c:pt idx="29" c:formatCode="yyyy/m/d">
                  <c:v>45473</c:v>
                </c:pt>
                <c:pt idx="30" c:formatCode="yyyy/m/d">
                  <c:v>45504</c:v>
                </c:pt>
                <c:pt idx="31" c:formatCode="yyyy/m/d">
                  <c:v>45535</c:v>
                </c:pt>
                <c:pt idx="32" c:formatCode="yyyy/m/d">
                  <c:v>45565</c:v>
                </c:pt>
                <c:pt idx="33" c:formatCode="yyyy/m/d">
                  <c:v>45596</c:v>
                </c:pt>
                <c:pt idx="34" c:formatCode="yyyy/m/d">
                  <c:v>45626</c:v>
                </c:pt>
                <c:pt idx="35" c:formatCode="yyyy/m/d">
                  <c:v>45657</c:v>
                </c:pt>
                <c:pt idx="36" c:formatCode="yyyy/m/d">
                  <c:v>45688</c:v>
                </c:pt>
                <c:pt idx="37" c:formatCode="yyyy/m/d">
                  <c:v>45716</c:v>
                </c:pt>
                <c:pt idx="38" c:formatCode="yyyy/m/d">
                  <c:v>45747</c:v>
                </c:pt>
                <c:pt idx="39" c:formatCode="yyyy/m/d">
                  <c:v>45777</c:v>
                </c:pt>
                <c:pt idx="40" c:formatCode="yyyy/m/d">
                  <c:v>45808</c:v>
                </c:pt>
                <c:pt idx="41" c:formatCode="yyyy/m/d">
                  <c:v>45838</c:v>
                </c:pt>
                <c:pt idx="42" c:formatCode="yyyy/m/d">
                  <c:v>45869</c:v>
                </c:pt>
                <c:pt idx="43" c:formatCode="yyyy/m/d">
                  <c:v>45900</c:v>
                </c:pt>
                <c:pt idx="44" c:formatCode="yyyy/m/d">
                  <c:v>45930</c:v>
                </c:pt>
                <c:pt idx="45" c:formatCode="yyyy/m/d">
                  <c:v>45961</c:v>
                </c:pt>
                <c:pt idx="46" c:formatCode="yyyy/m/d">
                  <c:v>45991</c:v>
                </c:pt>
                <c:pt idx="47" c:formatCode="yyyy/m/d">
                  <c:v>46022</c:v>
                </c:pt>
                <c:pt idx="48" c:formatCode="yyyy/m/d">
                  <c:v>46053</c:v>
                </c:pt>
                <c:pt idx="49" c:formatCode="yyyy/m/d">
                  <c:v>46081</c:v>
                </c:pt>
                <c:pt idx="50" c:formatCode="yyyy/m/d">
                  <c:v>46112</c:v>
                </c:pt>
                <c:pt idx="51" c:formatCode="yyyy/m/d">
                  <c:v>46142</c:v>
                </c:pt>
                <c:pt idx="52" c:formatCode="yyyy/m/d">
                  <c:v>46173</c:v>
                </c:pt>
              </c:numCache>
            </c:numRef>
          </c:cat>
          <c:val>
            <c:numRef>
              <c:f>DRAM!$CB$96:$CB$200</c:f>
              <c:numCache>
                <c:formatCode>#,##0.00</c:formatCode>
                <c:ptCount val="105"/>
                <c:pt idx="0">
                  <c:v>89.39</c:v>
                </c:pt>
                <c:pt idx="1">
                  <c:v>84</c:v>
                </c:pt>
                <c:pt idx="2">
                  <c:v>84</c:v>
                </c:pt>
                <c:pt idx="3">
                  <c:v>84</c:v>
                </c:pt>
                <c:pt idx="4">
                  <c:v>77</c:v>
                </c:pt>
                <c:pt idx="5">
                  <c:v>77</c:v>
                </c:pt>
                <c:pt idx="6">
                  <c:v>63.44</c:v>
                </c:pt>
                <c:pt idx="7">
                  <c:v>63.18</c:v>
                </c:pt>
                <c:pt idx="8">
                  <c:v>63.18</c:v>
                </c:pt>
                <c:pt idx="9">
                  <c:v>48</c:v>
                </c:pt>
                <c:pt idx="10">
                  <c:v>48</c:v>
                </c:pt>
                <c:pt idx="11">
                  <c:v>48</c:v>
                </c:pt>
                <c:pt idx="12">
                  <c:v>36.8</c:v>
                </c:pt>
                <c:pt idx="13">
                  <c:v>36.8</c:v>
                </c:pt>
                <c:pt idx="14">
                  <c:v>36.8</c:v>
                </c:pt>
                <c:pt idx="15">
                  <c:v>30.13</c:v>
                </c:pt>
                <c:pt idx="16">
                  <c:v>29.21</c:v>
                </c:pt>
                <c:pt idx="17">
                  <c:v>28.52</c:v>
                </c:pt>
                <c:pt idx="18">
                  <c:v>29.6</c:v>
                </c:pt>
                <c:pt idx="19">
                  <c:v>29.6</c:v>
                </c:pt>
                <c:pt idx="20">
                  <c:v>29.6</c:v>
                </c:pt>
                <c:pt idx="21">
                  <c:v>33</c:v>
                </c:pt>
                <c:pt idx="22">
                  <c:v>34</c:v>
                </c:pt>
                <c:pt idx="23">
                  <c:v>34</c:v>
                </c:pt>
                <c:pt idx="24">
                  <c:v>38</c:v>
                </c:pt>
                <c:pt idx="25">
                  <c:v>38</c:v>
                </c:pt>
                <c:pt idx="26">
                  <c:v>38</c:v>
                </c:pt>
                <c:pt idx="27">
                  <c:v>44.5</c:v>
                </c:pt>
                <c:pt idx="28">
                  <c:v>44.5</c:v>
                </c:pt>
                <c:pt idx="29">
                  <c:v>44.5</c:v>
                </c:pt>
                <c:pt idx="30">
                  <c:v>49</c:v>
                </c:pt>
                <c:pt idx="31">
                  <c:v>49</c:v>
                </c:pt>
                <c:pt idx="32">
                  <c:v>49</c:v>
                </c:pt>
                <c:pt idx="33">
                  <c:v>49</c:v>
                </c:pt>
                <c:pt idx="34">
                  <c:v>46.5</c:v>
                </c:pt>
                <c:pt idx="35">
                  <c:v>46.5</c:v>
                </c:pt>
                <c:pt idx="36">
                  <c:v>42.5</c:v>
                </c:pt>
                <c:pt idx="37">
                  <c:v>41.5</c:v>
                </c:pt>
                <c:pt idx="38">
                  <c:v>41.5</c:v>
                </c:pt>
                <c:pt idx="39">
                  <c:v>44</c:v>
                </c:pt>
                <c:pt idx="40">
                  <c:v>44</c:v>
                </c:pt>
                <c:pt idx="41">
                  <c:v>44</c:v>
                </c:pt>
                <c:pt idx="42">
                  <c:v>47</c:v>
                </c:pt>
                <c:pt idx="43">
                  <c:v>47</c:v>
                </c:pt>
                <c:pt idx="44">
                  <c:v>47</c:v>
                </c:pt>
                <c:pt idx="45">
                  <c:v>59</c:v>
                </c:pt>
                <c:pt idx="46">
                  <c:v>65.5</c:v>
                </c:pt>
                <c:pt idx="47">
                  <c:v>72</c:v>
                </c:pt>
                <c:pt idx="48">
                  <c:v>134</c:v>
                </c:pt>
                <c:pt idx="49">
                  <c:v>140</c:v>
                </c:pt>
                <c:pt idx="50">
                  <c:v>142</c:v>
                </c:pt>
                <c:pt idx="51">
                  <c:v>201</c:v>
                </c:pt>
                <c:pt idx="52">
                  <c:v>205</c:v>
                </c:pt>
              </c:numCache>
            </c:numRef>
          </c:val>
        </c:ser>
        <c:dLbls>
          <c:showLegendKey val="0"/>
          <c:showVal val="0"/>
          <c:showCatName val="0"/>
          <c:showSerName val="0"/>
          <c:showPercent val="0"/>
          <c:showBubbleSize val="0"/>
        </c:dLbls>
        <c:gapWidth val="66"/>
        <c:axId val="177450304"/>
        <c:axId val="206057648"/>
      </c:barChart>
      <c:lineChart>
        <c:grouping val="standard"/>
        <c:varyColors val="0"/>
        <c:ser>
          <c:idx val="1"/>
          <c:order val="1"/>
          <c:tx>
            <c:strRef>
              <c:f>DRAM!$CX$26</c:f>
              <c:strCache>
                <c:ptCount val="1"/>
                <c:pt idx="0">
                  <c:v>MoM</c:v>
                </c:pt>
              </c:strCache>
            </c:strRef>
          </c:tx>
          <c:spPr>
            <a:ln w="12700" cap="rnd" cmpd="sng" algn="ctr">
              <a:solidFill>
                <a:schemeClr val="accent2"/>
              </a:solidFill>
              <a:prstDash val="solid"/>
              <a:round/>
            </a:ln>
          </c:spPr>
          <c:marker>
            <c:symbol val="square"/>
            <c:size val="3"/>
          </c:marker>
          <c:dLbls>
            <c:delete val="1"/>
          </c:dLbls>
          <c:val>
            <c:numRef>
              <c:f>DRAM!$CX$96:$CX$200</c:f>
              <c:numCache>
                <c:formatCode>0%</c:formatCode>
                <c:ptCount val="105"/>
                <c:pt idx="0">
                  <c:v>0</c:v>
                </c:pt>
                <c:pt idx="1">
                  <c:v>-0.0602975724353955</c:v>
                </c:pt>
                <c:pt idx="2">
                  <c:v>0</c:v>
                </c:pt>
                <c:pt idx="3">
                  <c:v>0</c:v>
                </c:pt>
                <c:pt idx="4">
                  <c:v>-0.0833333333333334</c:v>
                </c:pt>
                <c:pt idx="5">
                  <c:v>0</c:v>
                </c:pt>
                <c:pt idx="6">
                  <c:v>-0.176103896103896</c:v>
                </c:pt>
                <c:pt idx="7">
                  <c:v>-0.00409836065573765</c:v>
                </c:pt>
                <c:pt idx="8">
                  <c:v>0</c:v>
                </c:pt>
                <c:pt idx="9">
                  <c:v>-0.240265906932574</c:v>
                </c:pt>
                <c:pt idx="10">
                  <c:v>0</c:v>
                </c:pt>
                <c:pt idx="11">
                  <c:v>0</c:v>
                </c:pt>
                <c:pt idx="12">
                  <c:v>-0.233333333333333</c:v>
                </c:pt>
                <c:pt idx="13">
                  <c:v>0</c:v>
                </c:pt>
                <c:pt idx="14">
                  <c:v>0</c:v>
                </c:pt>
                <c:pt idx="15">
                  <c:v>-0.18125</c:v>
                </c:pt>
                <c:pt idx="16" c:formatCode="0.0%">
                  <c:v>-0.0305343511450381</c:v>
                </c:pt>
                <c:pt idx="17" c:formatCode="0.0%">
                  <c:v>-0.0236220472440946</c:v>
                </c:pt>
                <c:pt idx="18" c:formatCode="0.0%">
                  <c:v>0.0378681626928472</c:v>
                </c:pt>
                <c:pt idx="19" c:formatCode="0.0%">
                  <c:v>0</c:v>
                </c:pt>
                <c:pt idx="20" c:formatCode="0.0%">
                  <c:v>0</c:v>
                </c:pt>
                <c:pt idx="21" c:formatCode="0.0%">
                  <c:v>0.114864864864865</c:v>
                </c:pt>
                <c:pt idx="22" c:formatCode="0.0%">
                  <c:v>0.0303030303030303</c:v>
                </c:pt>
                <c:pt idx="23" c:formatCode="0.0%">
                  <c:v>0</c:v>
                </c:pt>
                <c:pt idx="24" c:formatCode="0.0%">
                  <c:v>0.117647058823529</c:v>
                </c:pt>
                <c:pt idx="25" c:formatCode="0.0%">
                  <c:v>0</c:v>
                </c:pt>
                <c:pt idx="26" c:formatCode="0.0%">
                  <c:v>0</c:v>
                </c:pt>
                <c:pt idx="27" c:formatCode="0.0%">
                  <c:v>0.171052631578947</c:v>
                </c:pt>
                <c:pt idx="28" c:formatCode="0.0%">
                  <c:v>0</c:v>
                </c:pt>
                <c:pt idx="29" c:formatCode="0.0%">
                  <c:v>0</c:v>
                </c:pt>
                <c:pt idx="30" c:formatCode="0.0%">
                  <c:v>0.101123595505618</c:v>
                </c:pt>
                <c:pt idx="31" c:formatCode="0.0%">
                  <c:v>0</c:v>
                </c:pt>
                <c:pt idx="32" c:formatCode="0.0%">
                  <c:v>0</c:v>
                </c:pt>
                <c:pt idx="33" c:formatCode="0.0%">
                  <c:v>0</c:v>
                </c:pt>
                <c:pt idx="34" c:formatCode="0.0%">
                  <c:v>-0.0510204081632653</c:v>
                </c:pt>
                <c:pt idx="35" c:formatCode="0.0%">
                  <c:v>0</c:v>
                </c:pt>
                <c:pt idx="36" c:formatCode="0.0%">
                  <c:v>-0.0860215053763441</c:v>
                </c:pt>
                <c:pt idx="37" c:formatCode="0.0%">
                  <c:v>-0.0235294117647059</c:v>
                </c:pt>
                <c:pt idx="38" c:formatCode="0.0%">
                  <c:v>0</c:v>
                </c:pt>
                <c:pt idx="39" c:formatCode="0.0%">
                  <c:v>0.0602409638554218</c:v>
                </c:pt>
                <c:pt idx="40" c:formatCode="0.0%">
                  <c:v>0</c:v>
                </c:pt>
                <c:pt idx="41" c:formatCode="0.0%">
                  <c:v>0</c:v>
                </c:pt>
                <c:pt idx="42" c:formatCode="0.0%">
                  <c:v>0.0681818181818181</c:v>
                </c:pt>
                <c:pt idx="43" c:formatCode="0.0%">
                  <c:v>0</c:v>
                </c:pt>
                <c:pt idx="44" c:formatCode="0.0%">
                  <c:v>0</c:v>
                </c:pt>
                <c:pt idx="45" c:formatCode="0.0%">
                  <c:v>0.25531914893617</c:v>
                </c:pt>
                <c:pt idx="46" c:formatCode="0.0%">
                  <c:v>0.110169491525424</c:v>
                </c:pt>
                <c:pt idx="47" c:formatCode="0.0%">
                  <c:v>0.0992366412213741</c:v>
                </c:pt>
                <c:pt idx="48" c:formatCode="0.0%">
                  <c:v>0.861111111111111</c:v>
                </c:pt>
                <c:pt idx="49" c:formatCode="0.0%">
                  <c:v>0.044776119402985</c:v>
                </c:pt>
                <c:pt idx="50" c:formatCode="0.0%">
                  <c:v>0.0142857142857142</c:v>
                </c:pt>
                <c:pt idx="51" c:formatCode="0.0%">
                  <c:v>0.415492957746479</c:v>
                </c:pt>
                <c:pt idx="52" c:formatCode="0.0%">
                  <c:v>0.0199004975124377</c:v>
                </c:pt>
              </c:numCache>
            </c:numRef>
          </c:val>
          <c:smooth val="0"/>
        </c:ser>
        <c:dLbls>
          <c:showLegendKey val="0"/>
          <c:showVal val="0"/>
          <c:showCatName val="0"/>
          <c:showSerName val="0"/>
          <c:showPercent val="0"/>
          <c:showBubbleSize val="0"/>
        </c:dLbls>
        <c:marker val="1"/>
        <c:smooth val="0"/>
        <c:axId val="177253104"/>
        <c:axId val="206075120"/>
      </c:lineChart>
      <c:dateAx>
        <c:axId val="177450304"/>
        <c:scaling>
          <c:orientation val="minMax"/>
        </c:scaling>
        <c:delete val="0"/>
        <c:axPos val="b"/>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57648"/>
        <c:crosses val="autoZero"/>
        <c:auto val="0"/>
        <c:lblOffset val="100"/>
        <c:baseTimeUnit val="months"/>
        <c:majorUnit val="3"/>
        <c:majorTimeUnit val="months"/>
      </c:dateAx>
      <c:valAx>
        <c:axId val="206057648"/>
        <c:scaling>
          <c:orientation val="minMax"/>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450304"/>
        <c:crosses val="autoZero"/>
        <c:crossBetween val="between"/>
      </c:valAx>
      <c:catAx>
        <c:axId val="177253104"/>
        <c:scaling>
          <c:orientation val="minMax"/>
        </c:scaling>
        <c:delete val="1"/>
        <c:axPos val="b"/>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75120"/>
        <c:crosses val="autoZero"/>
        <c:auto val="1"/>
        <c:lblAlgn val="ctr"/>
        <c:lblOffset val="100"/>
        <c:noMultiLvlLbl val="0"/>
      </c:catAx>
      <c:valAx>
        <c:axId val="206075120"/>
        <c:scaling>
          <c:orientation val="minMax"/>
        </c:scaling>
        <c:delete val="0"/>
        <c:axPos val="r"/>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MoM</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253104"/>
        <c:crosses val="max"/>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338f5979-7fda-46ab-8a50-c2cf6286606e}"/>
      </c:ext>
    </c:extLst>
  </c:chart>
  <c:spPr>
    <a:solidFill>
      <a:srgbClr val="FFFFFF"/>
    </a:solidFill>
    <a:ln w="25400" cap="flat" cmpd="sng" algn="ctr">
      <a:solidFill>
        <a:srgbClr xmlns:mc="http://schemas.openxmlformats.org/markup-compatibility/2006" xmlns:a14="http://schemas.microsoft.com/office/drawing/2010/main" val="FFFFFF" mc:Ignorable="a14" a14:legacySpreadsheetColorIndex="9"/>
      </a:solidFill>
      <a:prstDash val="solid"/>
      <a:round/>
      <a:headEnd type="none" w="med" len="med"/>
      <a:tailEnd type="none" w="med" len="med"/>
    </a:ln>
    <a:effectLst/>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PC DRAM Module (DDR5 vs. DDR4 16GB </a:t>
            </a:r>
            <a:r>
              <a:rPr lang="en-US" sz="1000" b="1" i="0" u="none" strike="noStrike" baseline="0">
                <a:effectLst/>
              </a:rPr>
              <a:t>UDIMM</a:t>
            </a:r>
            <a:r>
              <a:rPr lang="en-US"/>
              <a:t>) Contract Price</a:t>
            </a:r>
            <a:endParaRPr lang="en-US"/>
          </a:p>
        </c:rich>
      </c:tx>
      <c:layout/>
      <c:overlay val="0"/>
    </c:title>
    <c:autoTitleDeleted val="0"/>
    <c:plotArea>
      <c:layout>
        <c:manualLayout>
          <c:layoutTarget val="inner"/>
          <c:xMode val="edge"/>
          <c:yMode val="edge"/>
          <c:x val="0.167813392794927"/>
          <c:y val="0.184549356223176"/>
          <c:w val="0.640788795205909"/>
          <c:h val="0.572372342942111"/>
        </c:manualLayout>
      </c:layout>
      <c:barChart>
        <c:barDir val="col"/>
        <c:grouping val="clustered"/>
        <c:varyColors val="0"/>
        <c:ser>
          <c:idx val="0"/>
          <c:order val="0"/>
          <c:tx>
            <c:strRef>
              <c:f>DRAM!$CB$25</c:f>
              <c:strCache>
                <c:ptCount val="1"/>
                <c:pt idx="0">
                  <c:v>DDR5</c:v>
                </c:pt>
              </c:strCache>
            </c:strRef>
          </c:tx>
          <c:spPr>
            <a:ln>
              <a:noFill/>
            </a:ln>
          </c:spPr>
          <c:invertIfNegative val="0"/>
          <c:dLbls>
            <c:delete val="1"/>
          </c:dLbls>
          <c:cat>
            <c:numRef>
              <c:f>DRAM!$CA$93:$CA$200</c:f>
              <c:numCache>
                <c:formatCode>yyyy/m/d</c:formatCode>
                <c:ptCount val="108"/>
                <c:pt idx="0" c:formatCode="yyyy/m/d">
                  <c:v>44500</c:v>
                </c:pt>
                <c:pt idx="1" c:formatCode="yyyy/m/d">
                  <c:v>44530</c:v>
                </c:pt>
                <c:pt idx="2" c:formatCode="yyyy/m/d">
                  <c:v>44561</c:v>
                </c:pt>
                <c:pt idx="3" c:formatCode="yyyy/m/d">
                  <c:v>44592</c:v>
                </c:pt>
                <c:pt idx="4" c:formatCode="yyyy/m/d">
                  <c:v>44620</c:v>
                </c:pt>
                <c:pt idx="5" c:formatCode="yyyy/m/d">
                  <c:v>44651</c:v>
                </c:pt>
                <c:pt idx="6" c:formatCode="yyyy/m/d">
                  <c:v>44681</c:v>
                </c:pt>
                <c:pt idx="7" c:formatCode="yyyy/m/d">
                  <c:v>44712</c:v>
                </c:pt>
                <c:pt idx="8" c:formatCode="yyyy/m/d">
                  <c:v>44742</c:v>
                </c:pt>
                <c:pt idx="9" c:formatCode="yyyy/m/d">
                  <c:v>44773</c:v>
                </c:pt>
                <c:pt idx="10" c:formatCode="yyyy/m/d">
                  <c:v>44804</c:v>
                </c:pt>
                <c:pt idx="11" c:formatCode="yyyy/m/d">
                  <c:v>44834</c:v>
                </c:pt>
                <c:pt idx="12" c:formatCode="yyyy/m/d">
                  <c:v>44865</c:v>
                </c:pt>
                <c:pt idx="13" c:formatCode="yyyy/m/d">
                  <c:v>44895</c:v>
                </c:pt>
                <c:pt idx="14" c:formatCode="yyyy/m/d">
                  <c:v>44926</c:v>
                </c:pt>
                <c:pt idx="15" c:formatCode="yyyy/m/d">
                  <c:v>44957</c:v>
                </c:pt>
                <c:pt idx="16" c:formatCode="yyyy/m/d">
                  <c:v>44985</c:v>
                </c:pt>
                <c:pt idx="17" c:formatCode="yyyy/m/d">
                  <c:v>45016</c:v>
                </c:pt>
                <c:pt idx="18" c:formatCode="yyyy/m/d">
                  <c:v>45046</c:v>
                </c:pt>
                <c:pt idx="19" c:formatCode="yyyy/m/d">
                  <c:v>45077</c:v>
                </c:pt>
                <c:pt idx="20" c:formatCode="yyyy/m/d">
                  <c:v>45107</c:v>
                </c:pt>
                <c:pt idx="21" c:formatCode="yyyy/m/d">
                  <c:v>45138</c:v>
                </c:pt>
                <c:pt idx="22" c:formatCode="yyyy/m/d">
                  <c:v>45169</c:v>
                </c:pt>
                <c:pt idx="23" c:formatCode="yyyy/m/d">
                  <c:v>45199</c:v>
                </c:pt>
                <c:pt idx="24" c:formatCode="yyyy/m/d">
                  <c:v>45230</c:v>
                </c:pt>
                <c:pt idx="25" c:formatCode="yyyy/m/d">
                  <c:v>45260</c:v>
                </c:pt>
                <c:pt idx="26" c:formatCode="yyyy/m/d">
                  <c:v>45291</c:v>
                </c:pt>
                <c:pt idx="27" c:formatCode="yyyy/m/d">
                  <c:v>45322</c:v>
                </c:pt>
                <c:pt idx="28" c:formatCode="yyyy/m/d">
                  <c:v>45351</c:v>
                </c:pt>
                <c:pt idx="29" c:formatCode="yyyy/m/d">
                  <c:v>45382</c:v>
                </c:pt>
                <c:pt idx="30" c:formatCode="yyyy/m/d">
                  <c:v>45412</c:v>
                </c:pt>
                <c:pt idx="31" c:formatCode="yyyy/m/d">
                  <c:v>45443</c:v>
                </c:pt>
                <c:pt idx="32" c:formatCode="yyyy/m/d">
                  <c:v>45473</c:v>
                </c:pt>
                <c:pt idx="33" c:formatCode="yyyy/m/d">
                  <c:v>45504</c:v>
                </c:pt>
                <c:pt idx="34" c:formatCode="yyyy/m/d">
                  <c:v>45535</c:v>
                </c:pt>
                <c:pt idx="35" c:formatCode="yyyy/m/d">
                  <c:v>45565</c:v>
                </c:pt>
                <c:pt idx="36" c:formatCode="yyyy/m/d">
                  <c:v>45596</c:v>
                </c:pt>
                <c:pt idx="37" c:formatCode="yyyy/m/d">
                  <c:v>45626</c:v>
                </c:pt>
                <c:pt idx="38" c:formatCode="yyyy/m/d">
                  <c:v>45657</c:v>
                </c:pt>
                <c:pt idx="39" c:formatCode="yyyy/m/d">
                  <c:v>45688</c:v>
                </c:pt>
                <c:pt idx="40" c:formatCode="yyyy/m/d">
                  <c:v>45716</c:v>
                </c:pt>
                <c:pt idx="41" c:formatCode="yyyy/m/d">
                  <c:v>45747</c:v>
                </c:pt>
                <c:pt idx="42" c:formatCode="yyyy/m/d">
                  <c:v>45777</c:v>
                </c:pt>
                <c:pt idx="43" c:formatCode="yyyy/m/d">
                  <c:v>45808</c:v>
                </c:pt>
                <c:pt idx="44" c:formatCode="yyyy/m/d">
                  <c:v>45838</c:v>
                </c:pt>
                <c:pt idx="45" c:formatCode="yyyy/m/d">
                  <c:v>45869</c:v>
                </c:pt>
                <c:pt idx="46" c:formatCode="yyyy/m/d">
                  <c:v>45900</c:v>
                </c:pt>
                <c:pt idx="47" c:formatCode="yyyy/m/d">
                  <c:v>45930</c:v>
                </c:pt>
                <c:pt idx="48" c:formatCode="yyyy/m/d">
                  <c:v>45961</c:v>
                </c:pt>
                <c:pt idx="49" c:formatCode="yyyy/m/d">
                  <c:v>45991</c:v>
                </c:pt>
                <c:pt idx="50" c:formatCode="yyyy/m/d">
                  <c:v>46022</c:v>
                </c:pt>
                <c:pt idx="51" c:formatCode="yyyy/m/d">
                  <c:v>46053</c:v>
                </c:pt>
                <c:pt idx="52" c:formatCode="yyyy/m/d">
                  <c:v>46081</c:v>
                </c:pt>
                <c:pt idx="53" c:formatCode="yyyy/m/d">
                  <c:v>46112</c:v>
                </c:pt>
                <c:pt idx="54" c:formatCode="yyyy/m/d">
                  <c:v>46142</c:v>
                </c:pt>
                <c:pt idx="55" c:formatCode="yyyy/m/d">
                  <c:v>46173</c:v>
                </c:pt>
              </c:numCache>
            </c:numRef>
          </c:cat>
          <c:val>
            <c:numRef>
              <c:f>DRAM!$CB$93:$CB$200</c:f>
              <c:numCache>
                <c:formatCode>yyyy/m/d</c:formatCode>
                <c:ptCount val="108"/>
                <c:pt idx="2" c:formatCode="#,##0.00">
                  <c:v>89.39</c:v>
                </c:pt>
                <c:pt idx="3" c:formatCode="#,##0.00">
                  <c:v>89.39</c:v>
                </c:pt>
                <c:pt idx="4" c:formatCode="#,##0.00">
                  <c:v>84</c:v>
                </c:pt>
                <c:pt idx="5" c:formatCode="#,##0.00">
                  <c:v>84</c:v>
                </c:pt>
                <c:pt idx="6" c:formatCode="#,##0.00">
                  <c:v>84</c:v>
                </c:pt>
                <c:pt idx="7" c:formatCode="#,##0.00">
                  <c:v>77</c:v>
                </c:pt>
                <c:pt idx="8" c:formatCode="#,##0.00">
                  <c:v>77</c:v>
                </c:pt>
                <c:pt idx="9" c:formatCode="#,##0.00">
                  <c:v>63.44</c:v>
                </c:pt>
                <c:pt idx="10" c:formatCode="#,##0.00">
                  <c:v>63.18</c:v>
                </c:pt>
                <c:pt idx="11" c:formatCode="#,##0.00">
                  <c:v>63.18</c:v>
                </c:pt>
                <c:pt idx="12" c:formatCode="#,##0.00">
                  <c:v>48</c:v>
                </c:pt>
                <c:pt idx="13" c:formatCode="#,##0.00">
                  <c:v>48</c:v>
                </c:pt>
                <c:pt idx="14" c:formatCode="#,##0.00">
                  <c:v>48</c:v>
                </c:pt>
                <c:pt idx="15" c:formatCode="#,##0.00">
                  <c:v>36.8</c:v>
                </c:pt>
                <c:pt idx="16" c:formatCode="#,##0.00">
                  <c:v>36.8</c:v>
                </c:pt>
                <c:pt idx="17" c:formatCode="#,##0.00">
                  <c:v>36.8</c:v>
                </c:pt>
                <c:pt idx="18" c:formatCode="#,##0.00">
                  <c:v>30.13</c:v>
                </c:pt>
                <c:pt idx="19" c:formatCode="#,##0.00">
                  <c:v>29.21</c:v>
                </c:pt>
                <c:pt idx="20" c:formatCode="#,##0.00">
                  <c:v>28.52</c:v>
                </c:pt>
                <c:pt idx="21" c:formatCode="#,##0.00">
                  <c:v>29.6</c:v>
                </c:pt>
                <c:pt idx="22" c:formatCode="#,##0.00">
                  <c:v>29.6</c:v>
                </c:pt>
                <c:pt idx="23" c:formatCode="#,##0.00">
                  <c:v>29.6</c:v>
                </c:pt>
                <c:pt idx="24" c:formatCode="#,##0.00">
                  <c:v>33</c:v>
                </c:pt>
                <c:pt idx="25" c:formatCode="#,##0.00">
                  <c:v>34</c:v>
                </c:pt>
                <c:pt idx="26" c:formatCode="#,##0.00">
                  <c:v>34</c:v>
                </c:pt>
                <c:pt idx="27" c:formatCode="#,##0.00">
                  <c:v>38</c:v>
                </c:pt>
                <c:pt idx="28" c:formatCode="#,##0.00">
                  <c:v>38</c:v>
                </c:pt>
                <c:pt idx="29" c:formatCode="#,##0.00">
                  <c:v>38</c:v>
                </c:pt>
                <c:pt idx="30" c:formatCode="#,##0.00">
                  <c:v>44.5</c:v>
                </c:pt>
                <c:pt idx="31" c:formatCode="#,##0.00">
                  <c:v>44.5</c:v>
                </c:pt>
                <c:pt idx="32" c:formatCode="#,##0.00">
                  <c:v>44.5</c:v>
                </c:pt>
                <c:pt idx="33" c:formatCode="#,##0.00">
                  <c:v>49</c:v>
                </c:pt>
                <c:pt idx="34" c:formatCode="#,##0.00">
                  <c:v>49</c:v>
                </c:pt>
                <c:pt idx="35" c:formatCode="#,##0.00">
                  <c:v>49</c:v>
                </c:pt>
                <c:pt idx="36" c:formatCode="#,##0.00">
                  <c:v>49</c:v>
                </c:pt>
                <c:pt idx="37" c:formatCode="#,##0.00">
                  <c:v>46.5</c:v>
                </c:pt>
                <c:pt idx="38" c:formatCode="#,##0.00">
                  <c:v>46.5</c:v>
                </c:pt>
                <c:pt idx="39" c:formatCode="#,##0.00">
                  <c:v>42.5</c:v>
                </c:pt>
                <c:pt idx="40" c:formatCode="#,##0.00">
                  <c:v>41.5</c:v>
                </c:pt>
                <c:pt idx="41" c:formatCode="#,##0.00">
                  <c:v>41.5</c:v>
                </c:pt>
                <c:pt idx="42" c:formatCode="#,##0.00">
                  <c:v>44</c:v>
                </c:pt>
                <c:pt idx="43" c:formatCode="#,##0.00">
                  <c:v>44</c:v>
                </c:pt>
                <c:pt idx="44" c:formatCode="#,##0.00">
                  <c:v>44</c:v>
                </c:pt>
                <c:pt idx="45" c:formatCode="#,##0.00">
                  <c:v>47</c:v>
                </c:pt>
                <c:pt idx="46" c:formatCode="#,##0.00">
                  <c:v>47</c:v>
                </c:pt>
                <c:pt idx="47" c:formatCode="#,##0.00">
                  <c:v>47</c:v>
                </c:pt>
                <c:pt idx="48" c:formatCode="#,##0.00">
                  <c:v>59</c:v>
                </c:pt>
                <c:pt idx="49" c:formatCode="#,##0.00">
                  <c:v>65.5</c:v>
                </c:pt>
                <c:pt idx="50" c:formatCode="#,##0.00">
                  <c:v>72</c:v>
                </c:pt>
                <c:pt idx="51" c:formatCode="#,##0.00">
                  <c:v>134</c:v>
                </c:pt>
                <c:pt idx="52" c:formatCode="#,##0.00">
                  <c:v>140</c:v>
                </c:pt>
                <c:pt idx="53" c:formatCode="#,##0.00">
                  <c:v>142</c:v>
                </c:pt>
                <c:pt idx="54" c:formatCode="#,##0.00">
                  <c:v>201</c:v>
                </c:pt>
                <c:pt idx="55" c:formatCode="#,##0.00">
                  <c:v>205</c:v>
                </c:pt>
              </c:numCache>
            </c:numRef>
          </c:val>
        </c:ser>
        <c:ser>
          <c:idx val="2"/>
          <c:order val="2"/>
          <c:tx>
            <c:strRef>
              <c:f>DRAM!$CC$25</c:f>
              <c:strCache>
                <c:ptCount val="1"/>
                <c:pt idx="0">
                  <c:v>DDR4</c:v>
                </c:pt>
              </c:strCache>
            </c:strRef>
          </c:tx>
          <c:spPr>
            <a:ln>
              <a:noFill/>
            </a:ln>
          </c:spPr>
          <c:invertIfNegative val="0"/>
          <c:dLbls>
            <c:delete val="1"/>
          </c:dLbls>
          <c:cat>
            <c:numRef>
              <c:f>DRAM!$CA$93:$CA$200</c:f>
              <c:numCache>
                <c:formatCode>yyyy/m/d</c:formatCode>
                <c:ptCount val="108"/>
                <c:pt idx="0" c:formatCode="yyyy/m/d">
                  <c:v>44500</c:v>
                </c:pt>
                <c:pt idx="1" c:formatCode="yyyy/m/d">
                  <c:v>44530</c:v>
                </c:pt>
                <c:pt idx="2" c:formatCode="yyyy/m/d">
                  <c:v>44561</c:v>
                </c:pt>
                <c:pt idx="3" c:formatCode="yyyy/m/d">
                  <c:v>44592</c:v>
                </c:pt>
                <c:pt idx="4" c:formatCode="yyyy/m/d">
                  <c:v>44620</c:v>
                </c:pt>
                <c:pt idx="5" c:formatCode="yyyy/m/d">
                  <c:v>44651</c:v>
                </c:pt>
                <c:pt idx="6" c:formatCode="yyyy/m/d">
                  <c:v>44681</c:v>
                </c:pt>
                <c:pt idx="7" c:formatCode="yyyy/m/d">
                  <c:v>44712</c:v>
                </c:pt>
                <c:pt idx="8" c:formatCode="yyyy/m/d">
                  <c:v>44742</c:v>
                </c:pt>
                <c:pt idx="9" c:formatCode="yyyy/m/d">
                  <c:v>44773</c:v>
                </c:pt>
                <c:pt idx="10" c:formatCode="yyyy/m/d">
                  <c:v>44804</c:v>
                </c:pt>
                <c:pt idx="11" c:formatCode="yyyy/m/d">
                  <c:v>44834</c:v>
                </c:pt>
                <c:pt idx="12" c:formatCode="yyyy/m/d">
                  <c:v>44865</c:v>
                </c:pt>
                <c:pt idx="13" c:formatCode="yyyy/m/d">
                  <c:v>44895</c:v>
                </c:pt>
                <c:pt idx="14" c:formatCode="yyyy/m/d">
                  <c:v>44926</c:v>
                </c:pt>
                <c:pt idx="15" c:formatCode="yyyy/m/d">
                  <c:v>44957</c:v>
                </c:pt>
                <c:pt idx="16" c:formatCode="yyyy/m/d">
                  <c:v>44985</c:v>
                </c:pt>
                <c:pt idx="17" c:formatCode="yyyy/m/d">
                  <c:v>45016</c:v>
                </c:pt>
                <c:pt idx="18" c:formatCode="yyyy/m/d">
                  <c:v>45046</c:v>
                </c:pt>
                <c:pt idx="19" c:formatCode="yyyy/m/d">
                  <c:v>45077</c:v>
                </c:pt>
                <c:pt idx="20" c:formatCode="yyyy/m/d">
                  <c:v>45107</c:v>
                </c:pt>
                <c:pt idx="21" c:formatCode="yyyy/m/d">
                  <c:v>45138</c:v>
                </c:pt>
                <c:pt idx="22" c:formatCode="yyyy/m/d">
                  <c:v>45169</c:v>
                </c:pt>
                <c:pt idx="23" c:formatCode="yyyy/m/d">
                  <c:v>45199</c:v>
                </c:pt>
                <c:pt idx="24" c:formatCode="yyyy/m/d">
                  <c:v>45230</c:v>
                </c:pt>
                <c:pt idx="25" c:formatCode="yyyy/m/d">
                  <c:v>45260</c:v>
                </c:pt>
                <c:pt idx="26" c:formatCode="yyyy/m/d">
                  <c:v>45291</c:v>
                </c:pt>
                <c:pt idx="27" c:formatCode="yyyy/m/d">
                  <c:v>45322</c:v>
                </c:pt>
                <c:pt idx="28" c:formatCode="yyyy/m/d">
                  <c:v>45351</c:v>
                </c:pt>
                <c:pt idx="29" c:formatCode="yyyy/m/d">
                  <c:v>45382</c:v>
                </c:pt>
                <c:pt idx="30" c:formatCode="yyyy/m/d">
                  <c:v>45412</c:v>
                </c:pt>
                <c:pt idx="31" c:formatCode="yyyy/m/d">
                  <c:v>45443</c:v>
                </c:pt>
                <c:pt idx="32" c:formatCode="yyyy/m/d">
                  <c:v>45473</c:v>
                </c:pt>
                <c:pt idx="33" c:formatCode="yyyy/m/d">
                  <c:v>45504</c:v>
                </c:pt>
                <c:pt idx="34" c:formatCode="yyyy/m/d">
                  <c:v>45535</c:v>
                </c:pt>
                <c:pt idx="35" c:formatCode="yyyy/m/d">
                  <c:v>45565</c:v>
                </c:pt>
                <c:pt idx="36" c:formatCode="yyyy/m/d">
                  <c:v>45596</c:v>
                </c:pt>
                <c:pt idx="37" c:formatCode="yyyy/m/d">
                  <c:v>45626</c:v>
                </c:pt>
                <c:pt idx="38" c:formatCode="yyyy/m/d">
                  <c:v>45657</c:v>
                </c:pt>
                <c:pt idx="39" c:formatCode="yyyy/m/d">
                  <c:v>45688</c:v>
                </c:pt>
                <c:pt idx="40" c:formatCode="yyyy/m/d">
                  <c:v>45716</c:v>
                </c:pt>
                <c:pt idx="41" c:formatCode="yyyy/m/d">
                  <c:v>45747</c:v>
                </c:pt>
                <c:pt idx="42" c:formatCode="yyyy/m/d">
                  <c:v>45777</c:v>
                </c:pt>
                <c:pt idx="43" c:formatCode="yyyy/m/d">
                  <c:v>45808</c:v>
                </c:pt>
                <c:pt idx="44" c:formatCode="yyyy/m/d">
                  <c:v>45838</c:v>
                </c:pt>
                <c:pt idx="45" c:formatCode="yyyy/m/d">
                  <c:v>45869</c:v>
                </c:pt>
                <c:pt idx="46" c:formatCode="yyyy/m/d">
                  <c:v>45900</c:v>
                </c:pt>
                <c:pt idx="47" c:formatCode="yyyy/m/d">
                  <c:v>45930</c:v>
                </c:pt>
                <c:pt idx="48" c:formatCode="yyyy/m/d">
                  <c:v>45961</c:v>
                </c:pt>
                <c:pt idx="49" c:formatCode="yyyy/m/d">
                  <c:v>45991</c:v>
                </c:pt>
                <c:pt idx="50" c:formatCode="yyyy/m/d">
                  <c:v>46022</c:v>
                </c:pt>
                <c:pt idx="51" c:formatCode="yyyy/m/d">
                  <c:v>46053</c:v>
                </c:pt>
                <c:pt idx="52" c:formatCode="yyyy/m/d">
                  <c:v>46081</c:v>
                </c:pt>
                <c:pt idx="53" c:formatCode="yyyy/m/d">
                  <c:v>46112</c:v>
                </c:pt>
                <c:pt idx="54" c:formatCode="yyyy/m/d">
                  <c:v>46142</c:v>
                </c:pt>
                <c:pt idx="55" c:formatCode="yyyy/m/d">
                  <c:v>46173</c:v>
                </c:pt>
              </c:numCache>
            </c:numRef>
          </c:cat>
          <c:val>
            <c:numRef>
              <c:f>DRAM!$CC$93:$CC$200</c:f>
              <c:numCache>
                <c:formatCode>#,##0.00</c:formatCode>
                <c:ptCount val="108"/>
                <c:pt idx="0">
                  <c:v>63.4</c:v>
                </c:pt>
                <c:pt idx="1">
                  <c:v>63.4</c:v>
                </c:pt>
                <c:pt idx="2">
                  <c:v>63.4</c:v>
                </c:pt>
                <c:pt idx="3">
                  <c:v>58.6</c:v>
                </c:pt>
                <c:pt idx="4">
                  <c:v>58.6</c:v>
                </c:pt>
                <c:pt idx="5">
                  <c:v>58.6</c:v>
                </c:pt>
                <c:pt idx="6">
                  <c:v>58.6</c:v>
                </c:pt>
                <c:pt idx="7">
                  <c:v>57.6</c:v>
                </c:pt>
                <c:pt idx="8">
                  <c:v>57.6</c:v>
                </c:pt>
                <c:pt idx="9">
                  <c:v>48.8</c:v>
                </c:pt>
                <c:pt idx="10">
                  <c:v>48.6</c:v>
                </c:pt>
                <c:pt idx="11">
                  <c:v>48.6</c:v>
                </c:pt>
                <c:pt idx="12">
                  <c:v>38.4</c:v>
                </c:pt>
                <c:pt idx="13">
                  <c:v>38.4</c:v>
                </c:pt>
                <c:pt idx="14">
                  <c:v>38.4</c:v>
                </c:pt>
                <c:pt idx="15">
                  <c:v>32</c:v>
                </c:pt>
                <c:pt idx="16">
                  <c:v>32</c:v>
                </c:pt>
                <c:pt idx="17">
                  <c:v>32</c:v>
                </c:pt>
                <c:pt idx="18">
                  <c:v>26.2</c:v>
                </c:pt>
                <c:pt idx="19">
                  <c:v>25.4</c:v>
                </c:pt>
                <c:pt idx="20">
                  <c:v>24.8</c:v>
                </c:pt>
                <c:pt idx="21">
                  <c:v>24.4</c:v>
                </c:pt>
                <c:pt idx="22">
                  <c:v>23.8</c:v>
                </c:pt>
                <c:pt idx="23">
                  <c:v>23.8</c:v>
                </c:pt>
                <c:pt idx="24">
                  <c:v>26.4</c:v>
                </c:pt>
                <c:pt idx="25">
                  <c:v>26.4</c:v>
                </c:pt>
                <c:pt idx="26">
                  <c:v>26.4</c:v>
                </c:pt>
                <c:pt idx="27">
                  <c:v>32</c:v>
                </c:pt>
                <c:pt idx="28">
                  <c:v>32</c:v>
                </c:pt>
                <c:pt idx="29">
                  <c:v>32</c:v>
                </c:pt>
                <c:pt idx="30">
                  <c:v>37</c:v>
                </c:pt>
                <c:pt idx="31">
                  <c:v>37</c:v>
                </c:pt>
                <c:pt idx="32">
                  <c:v>37</c:v>
                </c:pt>
                <c:pt idx="33">
                  <c:v>41</c:v>
                </c:pt>
                <c:pt idx="34">
                  <c:v>41</c:v>
                </c:pt>
                <c:pt idx="35">
                  <c:v>41</c:v>
                </c:pt>
                <c:pt idx="36">
                  <c:v>41</c:v>
                </c:pt>
                <c:pt idx="37">
                  <c:v>36</c:v>
                </c:pt>
                <c:pt idx="38">
                  <c:v>36</c:v>
                </c:pt>
                <c:pt idx="39">
                  <c:v>32</c:v>
                </c:pt>
                <c:pt idx="40">
                  <c:v>32</c:v>
                </c:pt>
                <c:pt idx="41">
                  <c:v>32</c:v>
                </c:pt>
                <c:pt idx="42">
                  <c:v>33.5</c:v>
                </c:pt>
                <c:pt idx="43">
                  <c:v>38</c:v>
                </c:pt>
                <c:pt idx="44">
                  <c:v>38</c:v>
                </c:pt>
                <c:pt idx="45">
                  <c:v>50</c:v>
                </c:pt>
                <c:pt idx="46">
                  <c:v>51</c:v>
                </c:pt>
                <c:pt idx="47">
                  <c:v>51</c:v>
                </c:pt>
                <c:pt idx="48">
                  <c:v>60</c:v>
                </c:pt>
                <c:pt idx="49">
                  <c:v>73.5</c:v>
                </c:pt>
                <c:pt idx="50">
                  <c:v>87</c:v>
                </c:pt>
                <c:pt idx="51">
                  <c:v>160</c:v>
                </c:pt>
                <c:pt idx="52">
                  <c:v>165</c:v>
                </c:pt>
                <c:pt idx="53">
                  <c:v>170</c:v>
                </c:pt>
                <c:pt idx="54">
                  <c:v>227</c:v>
                </c:pt>
                <c:pt idx="55">
                  <c:v>227</c:v>
                </c:pt>
              </c:numCache>
            </c:numRef>
          </c:val>
        </c:ser>
        <c:dLbls>
          <c:showLegendKey val="0"/>
          <c:showVal val="0"/>
          <c:showCatName val="0"/>
          <c:showSerName val="0"/>
          <c:showPercent val="0"/>
          <c:showBubbleSize val="0"/>
        </c:dLbls>
        <c:gapWidth val="66"/>
        <c:axId val="177450304"/>
        <c:axId val="206057648"/>
      </c:barChart>
      <c:lineChart>
        <c:grouping val="standard"/>
        <c:varyColors val="0"/>
        <c:ser>
          <c:idx val="1"/>
          <c:order val="1"/>
          <c:tx>
            <c:strRef>
              <c:f>"Premium"</c:f>
              <c:strCache>
                <c:ptCount val="1"/>
                <c:pt idx="0">
                  <c:v>Premium</c:v>
                </c:pt>
              </c:strCache>
            </c:strRef>
          </c:tx>
          <c:spPr>
            <a:ln w="12700" cap="rnd" cmpd="sng" algn="ctr">
              <a:solidFill>
                <a:schemeClr val="accent2"/>
              </a:solidFill>
              <a:prstDash val="solid"/>
              <a:round/>
            </a:ln>
          </c:spPr>
          <c:marker>
            <c:symbol val="square"/>
            <c:size val="3"/>
          </c:marker>
          <c:dLbls>
            <c:delete val="1"/>
          </c:dLbls>
          <c:val>
            <c:numRef>
              <c:f>DRAM!$CT$93:$CT$200</c:f>
              <c:numCache>
                <c:formatCode>#,##0.00</c:formatCode>
                <c:ptCount val="108"/>
                <c:pt idx="2" c:formatCode="0%">
                  <c:v>0.40993690851735</c:v>
                </c:pt>
                <c:pt idx="3" c:formatCode="0%">
                  <c:v>0.52542662116041</c:v>
                </c:pt>
                <c:pt idx="4" c:formatCode="0%">
                  <c:v>0.433447098976109</c:v>
                </c:pt>
                <c:pt idx="5" c:formatCode="0%">
                  <c:v>0.433447098976109</c:v>
                </c:pt>
                <c:pt idx="6" c:formatCode="0%">
                  <c:v>0.433447098976109</c:v>
                </c:pt>
                <c:pt idx="7" c:formatCode="0%">
                  <c:v>0.336805555555556</c:v>
                </c:pt>
                <c:pt idx="8" c:formatCode="0%">
                  <c:v>0.336805555555556</c:v>
                </c:pt>
                <c:pt idx="9" c:formatCode="0%">
                  <c:v>0.3</c:v>
                </c:pt>
                <c:pt idx="10" c:formatCode="0%">
                  <c:v>0.3</c:v>
                </c:pt>
                <c:pt idx="11" c:formatCode="0%">
                  <c:v>0.3</c:v>
                </c:pt>
                <c:pt idx="12" c:formatCode="0%">
                  <c:v>0.25</c:v>
                </c:pt>
                <c:pt idx="13" c:formatCode="0%">
                  <c:v>0.25</c:v>
                </c:pt>
                <c:pt idx="14" c:formatCode="0%">
                  <c:v>0.25</c:v>
                </c:pt>
                <c:pt idx="15" c:formatCode="0%">
                  <c:v>0.15</c:v>
                </c:pt>
                <c:pt idx="16" c:formatCode="0%">
                  <c:v>0.15</c:v>
                </c:pt>
                <c:pt idx="17" c:formatCode="0%">
                  <c:v>0.15</c:v>
                </c:pt>
                <c:pt idx="18" c:formatCode="0%">
                  <c:v>0.15</c:v>
                </c:pt>
                <c:pt idx="19" c:formatCode="0%">
                  <c:v>0.15</c:v>
                </c:pt>
                <c:pt idx="20" c:formatCode="0%">
                  <c:v>0.15</c:v>
                </c:pt>
                <c:pt idx="21" c:formatCode="0%">
                  <c:v>0.213114754098361</c:v>
                </c:pt>
                <c:pt idx="22" c:formatCode="0%">
                  <c:v>0.243697478991597</c:v>
                </c:pt>
                <c:pt idx="23" c:formatCode="0%">
                  <c:v>0.243697478991597</c:v>
                </c:pt>
                <c:pt idx="24" c:formatCode="0%">
                  <c:v>0.25</c:v>
                </c:pt>
                <c:pt idx="25" c:formatCode="0%">
                  <c:v>0.287878787878788</c:v>
                </c:pt>
                <c:pt idx="26" c:formatCode="0%">
                  <c:v>0.287878787878788</c:v>
                </c:pt>
                <c:pt idx="27" c:formatCode="0%">
                  <c:v>0.1875</c:v>
                </c:pt>
                <c:pt idx="28" c:formatCode="0%">
                  <c:v>0.1875</c:v>
                </c:pt>
                <c:pt idx="29" c:formatCode="0%">
                  <c:v>0.1875</c:v>
                </c:pt>
                <c:pt idx="30" c:formatCode="0%">
                  <c:v>0.202702702702703</c:v>
                </c:pt>
                <c:pt idx="31" c:formatCode="0%">
                  <c:v>0.202702702702703</c:v>
                </c:pt>
                <c:pt idx="32" c:formatCode="0%">
                  <c:v>0.202702702702703</c:v>
                </c:pt>
                <c:pt idx="33" c:formatCode="0%">
                  <c:v>0.195121951219512</c:v>
                </c:pt>
                <c:pt idx="34" c:formatCode="0%">
                  <c:v>0.195121951219512</c:v>
                </c:pt>
                <c:pt idx="35" c:formatCode="0%">
                  <c:v>0.195121951219512</c:v>
                </c:pt>
                <c:pt idx="36" c:formatCode="0%">
                  <c:v>0.195121951219512</c:v>
                </c:pt>
                <c:pt idx="37" c:formatCode="0%">
                  <c:v>0.291666666666667</c:v>
                </c:pt>
                <c:pt idx="38" c:formatCode="0%">
                  <c:v>0.291666666666667</c:v>
                </c:pt>
                <c:pt idx="39" c:formatCode="0%">
                  <c:v>0.328125</c:v>
                </c:pt>
                <c:pt idx="40" c:formatCode="0%">
                  <c:v>0.296875</c:v>
                </c:pt>
                <c:pt idx="41" c:formatCode="0%">
                  <c:v>0.296875</c:v>
                </c:pt>
                <c:pt idx="42" c:formatCode="0%">
                  <c:v>0.313432835820896</c:v>
                </c:pt>
                <c:pt idx="43" c:formatCode="0%">
                  <c:v>0.157894736842105</c:v>
                </c:pt>
                <c:pt idx="44" c:formatCode="0%">
                  <c:v>0.157894736842105</c:v>
                </c:pt>
                <c:pt idx="45" c:formatCode="0%">
                  <c:v>-0.0600000000000001</c:v>
                </c:pt>
                <c:pt idx="46" c:formatCode="0%">
                  <c:v>-0.0784313725490197</c:v>
                </c:pt>
                <c:pt idx="47" c:formatCode="0%">
                  <c:v>-0.0784313725490197</c:v>
                </c:pt>
                <c:pt idx="48" c:formatCode="0%">
                  <c:v>-0.0166666666666667</c:v>
                </c:pt>
                <c:pt idx="49" c:formatCode="0%">
                  <c:v>-0.108843537414966</c:v>
                </c:pt>
                <c:pt idx="50" c:formatCode="0%">
                  <c:v>-0.172413793103448</c:v>
                </c:pt>
                <c:pt idx="51" c:formatCode="0%">
                  <c:v>-0.1625</c:v>
                </c:pt>
                <c:pt idx="52" c:formatCode="0%">
                  <c:v>-0.151515151515151</c:v>
                </c:pt>
                <c:pt idx="53" c:formatCode="0%">
                  <c:v>-0.164705882352941</c:v>
                </c:pt>
                <c:pt idx="54" c:formatCode="0%">
                  <c:v>-0.114537444933921</c:v>
                </c:pt>
                <c:pt idx="55" c:formatCode="0%">
                  <c:v>-0.0969162995594713</c:v>
                </c:pt>
              </c:numCache>
            </c:numRef>
          </c:val>
          <c:smooth val="0"/>
        </c:ser>
        <c:dLbls>
          <c:showLegendKey val="0"/>
          <c:showVal val="0"/>
          <c:showCatName val="0"/>
          <c:showSerName val="0"/>
          <c:showPercent val="0"/>
          <c:showBubbleSize val="0"/>
        </c:dLbls>
        <c:marker val="1"/>
        <c:smooth val="0"/>
        <c:axId val="177253104"/>
        <c:axId val="206075120"/>
      </c:lineChart>
      <c:dateAx>
        <c:axId val="177450304"/>
        <c:scaling>
          <c:orientation val="minMax"/>
        </c:scaling>
        <c:delete val="0"/>
        <c:axPos val="b"/>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57648"/>
        <c:crosses val="autoZero"/>
        <c:auto val="0"/>
        <c:lblOffset val="100"/>
        <c:baseTimeUnit val="months"/>
        <c:majorUnit val="3"/>
        <c:majorTimeUnit val="months"/>
      </c:dateAx>
      <c:valAx>
        <c:axId val="206057648"/>
        <c:scaling>
          <c:orientation val="minMax"/>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450304"/>
        <c:crosses val="autoZero"/>
        <c:crossBetween val="between"/>
      </c:valAx>
      <c:catAx>
        <c:axId val="177253104"/>
        <c:scaling>
          <c:orientation val="minMax"/>
        </c:scaling>
        <c:delete val="1"/>
        <c:axPos val="b"/>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75120"/>
        <c:crosses val="autoZero"/>
        <c:auto val="1"/>
        <c:lblAlgn val="ctr"/>
        <c:lblOffset val="100"/>
        <c:noMultiLvlLbl val="0"/>
      </c:catAx>
      <c:valAx>
        <c:axId val="206075120"/>
        <c:scaling>
          <c:orientation val="minMax"/>
        </c:scaling>
        <c:delete val="0"/>
        <c:axPos val="r"/>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Premium of DDR5 over DDR4</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253104"/>
        <c:crosses val="max"/>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96d33815-f373-42d7-9fa6-a944950867d2}"/>
      </c:ext>
    </c:extLst>
  </c:chart>
  <c:spPr>
    <a:solidFill>
      <a:srgbClr val="FFFFFF"/>
    </a:solidFill>
    <a:ln w="25400" cap="flat" cmpd="sng" algn="ctr">
      <a:solidFill>
        <a:srgbClr xmlns:mc="http://schemas.openxmlformats.org/markup-compatibility/2006" xmlns:a14="http://schemas.microsoft.com/office/drawing/2010/main" val="FFFFFF" mc:Ignorable="a14" a14:legacySpreadsheetColorIndex="9"/>
      </a:solidFill>
      <a:prstDash val="solid"/>
      <a:round/>
      <a:headEnd type="none" w="med" len="med"/>
      <a:tailEnd type="none" w="med" len="med"/>
    </a:ln>
    <a:effectLst/>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Mobile DRAM Package (Discrete </a:t>
            </a:r>
            <a:r>
              <a:rPr lang="en-US" sz="1000" b="1" i="0" u="none" strike="noStrike" baseline="0">
                <a:effectLst/>
              </a:rPr>
              <a:t>LPDDR5(X) 16GB</a:t>
            </a:r>
            <a:r>
              <a:rPr lang="en-US"/>
              <a:t>) Contract Price &amp; QoQ  </a:t>
            </a:r>
            <a:endParaRPr lang="en-US"/>
          </a:p>
        </c:rich>
      </c:tx>
      <c:layout>
        <c:manualLayout>
          <c:xMode val="edge"/>
          <c:yMode val="edge"/>
          <c:x val="0.141994841208979"/>
          <c:y val="0.0274509818048985"/>
        </c:manualLayout>
      </c:layout>
      <c:overlay val="0"/>
    </c:title>
    <c:autoTitleDeleted val="0"/>
    <c:plotArea>
      <c:layout>
        <c:manualLayout>
          <c:layoutTarget val="inner"/>
          <c:xMode val="edge"/>
          <c:yMode val="edge"/>
          <c:x val="0.134848791025016"/>
          <c:y val="0.224398361138111"/>
          <c:w val="0.691452512020068"/>
          <c:h val="0.553510542015359"/>
        </c:manualLayout>
      </c:layout>
      <c:barChart>
        <c:barDir val="col"/>
        <c:grouping val="clustered"/>
        <c:varyColors val="0"/>
        <c:ser>
          <c:idx val="0"/>
          <c:order val="0"/>
          <c:tx>
            <c:strRef>
              <c:f>DRAM!$EA$25</c:f>
              <c:strCache>
                <c:ptCount val="1"/>
                <c:pt idx="0">
                  <c:v>Price</c:v>
                </c:pt>
              </c:strCache>
            </c:strRef>
          </c:tx>
          <c:invertIfNegative val="0"/>
          <c:dLbls>
            <c:delete val="1"/>
          </c:dLbls>
          <c:cat>
            <c:strRef>
              <c:f>DRAM!$EA$51:$EA$64</c:f>
              <c:strCache>
                <c:ptCount val="14"/>
                <c:pt idx="0" c:formatCode="yyyy/m/d">
                  <c:v>1Q23</c:v>
                </c:pt>
                <c:pt idx="1" c:formatCode="yyyy/m/d">
                  <c:v>2Q23</c:v>
                </c:pt>
                <c:pt idx="2" c:formatCode="yyyy/m/d">
                  <c:v>3Q23</c:v>
                </c:pt>
                <c:pt idx="3" c:formatCode="yyyy/m/d">
                  <c:v>4Q23</c:v>
                </c:pt>
                <c:pt idx="4" c:formatCode="yyyy/m/d">
                  <c:v>1Q24</c:v>
                </c:pt>
                <c:pt idx="5" c:formatCode="yyyy/m/d">
                  <c:v>2Q24</c:v>
                </c:pt>
                <c:pt idx="6" c:formatCode="yyyy/m/d">
                  <c:v>3Q24</c:v>
                </c:pt>
                <c:pt idx="7" c:formatCode="yyyy/m/d">
                  <c:v>4Q24</c:v>
                </c:pt>
                <c:pt idx="8" c:formatCode="yyyy/m/d">
                  <c:v>1Q25</c:v>
                </c:pt>
                <c:pt idx="9" c:formatCode="yyyy/m/d">
                  <c:v>2Q25</c:v>
                </c:pt>
                <c:pt idx="10" c:formatCode="yyyy/m/d">
                  <c:v>3Q25</c:v>
                </c:pt>
                <c:pt idx="11" c:formatCode="yyyy/m/d">
                  <c:v>4Q25</c:v>
                </c:pt>
                <c:pt idx="12" c:formatCode="yyyy/m/d">
                  <c:v>1Q26</c:v>
                </c:pt>
                <c:pt idx="13" c:formatCode="yyyy/m/d">
                  <c:v>2Q26</c:v>
                </c:pt>
              </c:strCache>
            </c:strRef>
          </c:cat>
          <c:val>
            <c:numRef>
              <c:f>DRAM!$EB$51:$EB$64</c:f>
              <c:numCache>
                <c:formatCode>0.0</c:formatCode>
                <c:ptCount val="14"/>
                <c:pt idx="0">
                  <c:v>31.566265060241</c:v>
                </c:pt>
                <c:pt idx="1">
                  <c:v>26.2607040913416</c:v>
                </c:pt>
                <c:pt idx="2">
                  <c:v>27.5313807531381</c:v>
                </c:pt>
                <c:pt idx="3">
                  <c:v>32.8993055555556</c:v>
                </c:pt>
                <c:pt idx="4">
                  <c:v>37.962962962963</c:v>
                </c:pt>
                <c:pt idx="5">
                  <c:v>40.0560224089636</c:v>
                </c:pt>
                <c:pt idx="6">
                  <c:v>39.8496240601504</c:v>
                </c:pt>
                <c:pt idx="7">
                  <c:v>37.1369294605809</c:v>
                </c:pt>
                <c:pt idx="8">
                  <c:v>35.7407407407407</c:v>
                </c:pt>
                <c:pt idx="9">
                  <c:v>38.6363636363636</c:v>
                </c:pt>
                <c:pt idx="10">
                  <c:v>44.0028388928318</c:v>
                </c:pt>
                <c:pt idx="11">
                  <c:v>63.9430680021086</c:v>
                </c:pt>
                <c:pt idx="12">
                  <c:v>101.218161683278</c:v>
                </c:pt>
                <c:pt idx="13">
                  <c:v>182.8</c:v>
                </c:pt>
              </c:numCache>
            </c:numRef>
          </c:val>
        </c:ser>
        <c:dLbls>
          <c:showLegendKey val="0"/>
          <c:showVal val="0"/>
          <c:showCatName val="0"/>
          <c:showSerName val="0"/>
          <c:showPercent val="0"/>
          <c:showBubbleSize val="0"/>
        </c:dLbls>
        <c:gapWidth val="66"/>
        <c:axId val="177450304"/>
        <c:axId val="206057648"/>
      </c:barChart>
      <c:lineChart>
        <c:grouping val="standard"/>
        <c:varyColors val="0"/>
        <c:ser>
          <c:idx val="1"/>
          <c:order val="1"/>
          <c:tx>
            <c:strRef>
              <c:f>DRAM!$EJ$26</c:f>
              <c:strCache>
                <c:ptCount val="1"/>
                <c:pt idx="0">
                  <c:v>QoQ</c:v>
                </c:pt>
              </c:strCache>
            </c:strRef>
          </c:tx>
          <c:marker>
            <c:symbol val="square"/>
            <c:size val="3"/>
          </c:marker>
          <c:dLbls>
            <c:delete val="1"/>
          </c:dLbls>
          <c:val>
            <c:numRef>
              <c:f>DRAM!$EJ$51:$EJ$64</c:f>
              <c:numCache>
                <c:formatCode>0.0%</c:formatCode>
                <c:ptCount val="14"/>
                <c:pt idx="0">
                  <c:v>-0.180875400335519</c:v>
                </c:pt>
                <c:pt idx="1">
                  <c:v>-0.168076931457499</c:v>
                </c:pt>
                <c:pt idx="2">
                  <c:v>0.0483869989691343</c:v>
                </c:pt>
                <c:pt idx="3">
                  <c:v>0.194974776258021</c:v>
                </c:pt>
                <c:pt idx="4">
                  <c:v>0.15391380826737</c:v>
                </c:pt>
                <c:pt idx="5">
                  <c:v>0.0551342488214799</c:v>
                </c:pt>
                <c:pt idx="6">
                  <c:v>-0.00515274199484728</c:v>
                </c:pt>
                <c:pt idx="7">
                  <c:v>-0.0680732795741017</c:v>
                </c:pt>
                <c:pt idx="8">
                  <c:v>-0.037595696254914</c:v>
                </c:pt>
                <c:pt idx="9">
                  <c:v>0.0810174281676874</c:v>
                </c:pt>
                <c:pt idx="10">
                  <c:v>0.138897006637999</c:v>
                </c:pt>
                <c:pt idx="11">
                  <c:v>0.453157787338242</c:v>
                </c:pt>
                <c:pt idx="12">
                  <c:v>0.582941902004768</c:v>
                </c:pt>
                <c:pt idx="13">
                  <c:v>0.806</c:v>
                </c:pt>
              </c:numCache>
            </c:numRef>
          </c:val>
          <c:smooth val="0"/>
        </c:ser>
        <c:dLbls>
          <c:showLegendKey val="0"/>
          <c:showVal val="0"/>
          <c:showCatName val="0"/>
          <c:showSerName val="0"/>
          <c:showPercent val="0"/>
          <c:showBubbleSize val="0"/>
        </c:dLbls>
        <c:marker val="1"/>
        <c:smooth val="0"/>
        <c:axId val="177253104"/>
        <c:axId val="206075120"/>
      </c:lineChart>
      <c:catAx>
        <c:axId val="177450304"/>
        <c:scaling>
          <c:orientation val="minMax"/>
        </c:scaling>
        <c:delete val="0"/>
        <c:axPos val="b"/>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57648"/>
        <c:crosses val="autoZero"/>
        <c:auto val="1"/>
        <c:lblAlgn val="ctr"/>
        <c:lblOffset val="100"/>
        <c:tickLblSkip val="1"/>
        <c:tickMarkSkip val="4"/>
        <c:noMultiLvlLbl val="0"/>
      </c:catAx>
      <c:valAx>
        <c:axId val="206057648"/>
        <c:scaling>
          <c:orientation val="minMax"/>
        </c:scaling>
        <c:delete val="0"/>
        <c:axPos val="l"/>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450304"/>
        <c:crosses val="autoZero"/>
        <c:crossBetween val="between"/>
      </c:valAx>
      <c:catAx>
        <c:axId val="177253104"/>
        <c:scaling>
          <c:orientation val="minMax"/>
        </c:scaling>
        <c:delete val="1"/>
        <c:axPos val="b"/>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206075120"/>
        <c:crosses val="autoZero"/>
        <c:auto val="1"/>
        <c:lblAlgn val="ctr"/>
        <c:lblOffset val="100"/>
        <c:noMultiLvlLbl val="0"/>
      </c:catAx>
      <c:valAx>
        <c:axId val="206075120"/>
        <c:scaling>
          <c:orientation val="minMax"/>
        </c:scaling>
        <c:delete val="0"/>
        <c:axPos val="r"/>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QoQ</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7253104"/>
        <c:crosses val="max"/>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782a6cae-85f6-4ed7-ac1e-d81c45c8eecd}"/>
      </c:ext>
    </c:extLst>
  </c:chart>
  <c:spPr>
    <a:solidFill>
      <a:srgbClr val="FFFFFF"/>
    </a:solidFill>
    <a:ln w="25400" cap="flat" cmpd="sng" algn="ctr">
      <a:solidFill>
        <a:srgbClr val="FFFFFF"/>
      </a:solidFill>
      <a:prstDash val="solid"/>
      <a:round/>
    </a:ln>
    <a:effectLst/>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960" b="1" i="0" u="none" strike="noStrike" kern="1200" baseline="0">
                <a:solidFill>
                  <a:schemeClr val="tx1"/>
                </a:solidFill>
                <a:latin typeface="Arial" panose="020B0604020202090204"/>
                <a:ea typeface="Arial" panose="020B0604020202090204"/>
                <a:cs typeface="Arial" panose="020B0604020202090204"/>
              </a:defRPr>
            </a:pPr>
            <a:r>
              <a:rPr lang="en-US"/>
              <a:t>Server DRAM Module (DDR5</a:t>
            </a:r>
            <a:r>
              <a:rPr lang="en-US" baseline="0"/>
              <a:t> </a:t>
            </a:r>
            <a:r>
              <a:rPr lang="en-US" sz="960" b="1" i="0" u="none" strike="noStrike" baseline="0">
                <a:effectLst/>
              </a:rPr>
              <a:t>64GB </a:t>
            </a:r>
            <a:r>
              <a:rPr lang="en-US"/>
              <a:t>RDIMM) Spot &amp; Contract Price</a:t>
            </a:r>
            <a:endParaRPr lang="en-US"/>
          </a:p>
        </c:rich>
      </c:tx>
      <c:layout/>
      <c:overlay val="1"/>
    </c:title>
    <c:autoTitleDeleted val="0"/>
    <c:plotArea>
      <c:layout>
        <c:manualLayout>
          <c:layoutTarget val="inner"/>
          <c:xMode val="edge"/>
          <c:yMode val="edge"/>
          <c:x val="0.100783248247815"/>
          <c:y val="0.134160166598893"/>
          <c:w val="0.866327247555594"/>
          <c:h val="0.56200422827656"/>
        </c:manualLayout>
      </c:layout>
      <c:lineChart>
        <c:grouping val="standard"/>
        <c:varyColors val="0"/>
        <c:ser>
          <c:idx val="0"/>
          <c:order val="0"/>
          <c:tx>
            <c:strRef>
              <c:f>DRAM!$AV$27</c:f>
              <c:strCache>
                <c:ptCount val="1"/>
                <c:pt idx="0">
                  <c:v>Spot</c:v>
                </c:pt>
              </c:strCache>
            </c:strRef>
          </c:tx>
          <c:spPr>
            <a:ln w="38100" cap="rnd" cmpd="sng" algn="ctr">
              <a:solidFill>
                <a:schemeClr val="accent1"/>
              </a:solidFill>
              <a:prstDash val="solid"/>
              <a:round/>
            </a:ln>
          </c:spPr>
          <c:marker>
            <c:symbol val="none"/>
          </c:marker>
          <c:dLbls>
            <c:delete val="1"/>
          </c:dLbls>
          <c:cat>
            <c:numRef>
              <c:f>DRAM!$AS$244:$AS$500</c:f>
              <c:numCache>
                <c:formatCode>m/d/yyyy;@</c:formatCode>
                <c:ptCount val="257"/>
                <c:pt idx="0" c:formatCode="m/d/yyyy;@">
                  <c:v>45019</c:v>
                </c:pt>
                <c:pt idx="1" c:formatCode="m/d/yyyy;@">
                  <c:v>45026</c:v>
                </c:pt>
                <c:pt idx="2" c:formatCode="m/d/yyyy;@">
                  <c:v>45033</c:v>
                </c:pt>
                <c:pt idx="3" c:formatCode="m/d/yyyy;@">
                  <c:v>45040</c:v>
                </c:pt>
                <c:pt idx="4" c:formatCode="m/d/yyyy;@">
                  <c:v>45047</c:v>
                </c:pt>
                <c:pt idx="5" c:formatCode="m/d/yyyy;@">
                  <c:v>45054</c:v>
                </c:pt>
                <c:pt idx="6" c:formatCode="m/d/yyyy;@">
                  <c:v>45061</c:v>
                </c:pt>
                <c:pt idx="7" c:formatCode="m/d/yyyy;@">
                  <c:v>45068</c:v>
                </c:pt>
                <c:pt idx="8" c:formatCode="m/d/yyyy;@">
                  <c:v>45075</c:v>
                </c:pt>
                <c:pt idx="9" c:formatCode="m/d/yyyy;@">
                  <c:v>45082</c:v>
                </c:pt>
                <c:pt idx="10" c:formatCode="m/d/yyyy;@">
                  <c:v>45089</c:v>
                </c:pt>
                <c:pt idx="11" c:formatCode="m/d/yyyy;@">
                  <c:v>45096</c:v>
                </c:pt>
                <c:pt idx="12" c:formatCode="m/d/yyyy;@">
                  <c:v>45103</c:v>
                </c:pt>
                <c:pt idx="13" c:formatCode="m/d/yyyy;@">
                  <c:v>45110</c:v>
                </c:pt>
                <c:pt idx="14" c:formatCode="m/d/yyyy;@">
                  <c:v>45117</c:v>
                </c:pt>
                <c:pt idx="15" c:formatCode="m/d/yyyy;@">
                  <c:v>45124</c:v>
                </c:pt>
                <c:pt idx="16" c:formatCode="m/d/yyyy;@">
                  <c:v>45131</c:v>
                </c:pt>
                <c:pt idx="17" c:formatCode="m/d/yyyy;@">
                  <c:v>45138</c:v>
                </c:pt>
                <c:pt idx="18" c:formatCode="m/d/yyyy;@">
                  <c:v>45145</c:v>
                </c:pt>
                <c:pt idx="19" c:formatCode="m/d/yyyy;@">
                  <c:v>45152</c:v>
                </c:pt>
                <c:pt idx="20" c:formatCode="m/d/yyyy;@">
                  <c:v>45159</c:v>
                </c:pt>
                <c:pt idx="21" c:formatCode="m/d/yyyy;@">
                  <c:v>45166</c:v>
                </c:pt>
                <c:pt idx="22" c:formatCode="m/d/yyyy;@">
                  <c:v>45173</c:v>
                </c:pt>
                <c:pt idx="23" c:formatCode="m/d/yyyy;@">
                  <c:v>45180</c:v>
                </c:pt>
                <c:pt idx="24" c:formatCode="m/d/yyyy;@">
                  <c:v>45187</c:v>
                </c:pt>
                <c:pt idx="25" c:formatCode="m/d/yyyy;@">
                  <c:v>45194</c:v>
                </c:pt>
                <c:pt idx="26" c:formatCode="m/d/yyyy;@">
                  <c:v>45201</c:v>
                </c:pt>
                <c:pt idx="27" c:formatCode="m/d/yyyy;@">
                  <c:v>45208</c:v>
                </c:pt>
                <c:pt idx="28" c:formatCode="m/d/yyyy;@">
                  <c:v>45215</c:v>
                </c:pt>
                <c:pt idx="29" c:formatCode="m/d/yyyy;@">
                  <c:v>45222</c:v>
                </c:pt>
                <c:pt idx="30" c:formatCode="m/d/yyyy;@">
                  <c:v>45229</c:v>
                </c:pt>
                <c:pt idx="31" c:formatCode="m/d/yyyy;@">
                  <c:v>45236</c:v>
                </c:pt>
                <c:pt idx="32" c:formatCode="m/d/yyyy;@">
                  <c:v>45243</c:v>
                </c:pt>
                <c:pt idx="33" c:formatCode="m/d/yyyy;@">
                  <c:v>45250</c:v>
                </c:pt>
                <c:pt idx="34" c:formatCode="m/d/yyyy;@">
                  <c:v>45257</c:v>
                </c:pt>
                <c:pt idx="35" c:formatCode="m/d/yyyy;@">
                  <c:v>45264</c:v>
                </c:pt>
                <c:pt idx="36" c:formatCode="m/d/yyyy;@">
                  <c:v>45271</c:v>
                </c:pt>
                <c:pt idx="37" c:formatCode="m/d/yyyy;@">
                  <c:v>45278</c:v>
                </c:pt>
                <c:pt idx="38" c:formatCode="m/d/yyyy;@">
                  <c:v>45285</c:v>
                </c:pt>
                <c:pt idx="39" c:formatCode="m/d/yyyy;@">
                  <c:v>45292</c:v>
                </c:pt>
                <c:pt idx="40" c:formatCode="m/d/yyyy;@">
                  <c:v>45299</c:v>
                </c:pt>
                <c:pt idx="41" c:formatCode="m/d/yyyy;@">
                  <c:v>45306</c:v>
                </c:pt>
                <c:pt idx="42" c:formatCode="m/d/yyyy;@">
                  <c:v>45313</c:v>
                </c:pt>
                <c:pt idx="43" c:formatCode="m/d/yyyy;@">
                  <c:v>45320</c:v>
                </c:pt>
                <c:pt idx="44" c:formatCode="m/d/yyyy;@">
                  <c:v>45327</c:v>
                </c:pt>
                <c:pt idx="45" c:formatCode="m/d/yyyy;@">
                  <c:v>45334</c:v>
                </c:pt>
                <c:pt idx="46" c:formatCode="m/d/yyyy;@">
                  <c:v>45341</c:v>
                </c:pt>
                <c:pt idx="47" c:formatCode="m/d/yyyy;@">
                  <c:v>45348</c:v>
                </c:pt>
                <c:pt idx="48" c:formatCode="m/d/yyyy;@">
                  <c:v>45355</c:v>
                </c:pt>
                <c:pt idx="49" c:formatCode="m/d/yyyy;@">
                  <c:v>45362</c:v>
                </c:pt>
                <c:pt idx="50" c:formatCode="m/d/yyyy;@">
                  <c:v>45369</c:v>
                </c:pt>
                <c:pt idx="51" c:formatCode="m/d/yyyy;@">
                  <c:v>45376</c:v>
                </c:pt>
                <c:pt idx="52" c:formatCode="m/d/yyyy;@">
                  <c:v>45383</c:v>
                </c:pt>
                <c:pt idx="53" c:formatCode="m/d/yyyy;@">
                  <c:v>45390</c:v>
                </c:pt>
                <c:pt idx="54" c:formatCode="m/d/yyyy;@">
                  <c:v>45397</c:v>
                </c:pt>
                <c:pt idx="55" c:formatCode="m/d/yyyy;@">
                  <c:v>45404</c:v>
                </c:pt>
                <c:pt idx="56" c:formatCode="m/d/yyyy;@">
                  <c:v>45411</c:v>
                </c:pt>
                <c:pt idx="57" c:formatCode="m/d/yyyy;@">
                  <c:v>45418</c:v>
                </c:pt>
                <c:pt idx="58" c:formatCode="m/d/yyyy;@">
                  <c:v>45425</c:v>
                </c:pt>
                <c:pt idx="59" c:formatCode="m/d/yyyy;@">
                  <c:v>45432</c:v>
                </c:pt>
                <c:pt idx="60" c:formatCode="m/d/yyyy;@">
                  <c:v>45439</c:v>
                </c:pt>
                <c:pt idx="61" c:formatCode="m/d/yyyy;@">
                  <c:v>45446</c:v>
                </c:pt>
                <c:pt idx="62" c:formatCode="m/d/yyyy;@">
                  <c:v>45454</c:v>
                </c:pt>
                <c:pt idx="63" c:formatCode="m/d/yyyy;@">
                  <c:v>45460</c:v>
                </c:pt>
                <c:pt idx="64" c:formatCode="m/d/yyyy;@">
                  <c:v>45467</c:v>
                </c:pt>
                <c:pt idx="65" c:formatCode="m/d/yyyy;@">
                  <c:v>45474</c:v>
                </c:pt>
                <c:pt idx="66" c:formatCode="m/d/yyyy;@">
                  <c:v>45481</c:v>
                </c:pt>
                <c:pt idx="67" c:formatCode="m/d/yyyy;@">
                  <c:v>45488</c:v>
                </c:pt>
                <c:pt idx="68" c:formatCode="m/d/yyyy;@">
                  <c:v>45495</c:v>
                </c:pt>
                <c:pt idx="69" c:formatCode="m/d/yyyy;@">
                  <c:v>45502</c:v>
                </c:pt>
                <c:pt idx="70" c:formatCode="m/d/yyyy;@">
                  <c:v>45509</c:v>
                </c:pt>
                <c:pt idx="71" c:formatCode="m/d/yyyy;@">
                  <c:v>45516</c:v>
                </c:pt>
                <c:pt idx="72" c:formatCode="m/d/yyyy;@">
                  <c:v>45523</c:v>
                </c:pt>
                <c:pt idx="73" c:formatCode="m/d/yyyy;@">
                  <c:v>45530</c:v>
                </c:pt>
                <c:pt idx="74" c:formatCode="m/d/yyyy;@">
                  <c:v>45537</c:v>
                </c:pt>
                <c:pt idx="75" c:formatCode="m/d/yyyy;@">
                  <c:v>45544</c:v>
                </c:pt>
                <c:pt idx="76" c:formatCode="m/d/yyyy;@">
                  <c:v>45551</c:v>
                </c:pt>
                <c:pt idx="77" c:formatCode="m/d/yyyy;@">
                  <c:v>45558</c:v>
                </c:pt>
                <c:pt idx="78" c:formatCode="m/d/yyyy;@">
                  <c:v>45565</c:v>
                </c:pt>
                <c:pt idx="79" c:formatCode="m/d/yyyy;@">
                  <c:v>45572</c:v>
                </c:pt>
                <c:pt idx="80" c:formatCode="m/d/yyyy;@">
                  <c:v>45579</c:v>
                </c:pt>
                <c:pt idx="81" c:formatCode="m/d/yyyy;@">
                  <c:v>45586</c:v>
                </c:pt>
                <c:pt idx="82" c:formatCode="m/d/yyyy;@">
                  <c:v>45593</c:v>
                </c:pt>
                <c:pt idx="83" c:formatCode="m/d/yyyy;@">
                  <c:v>45600</c:v>
                </c:pt>
                <c:pt idx="84" c:formatCode="m/d/yyyy;@">
                  <c:v>45607</c:v>
                </c:pt>
                <c:pt idx="85" c:formatCode="m/d/yyyy;@">
                  <c:v>45614</c:v>
                </c:pt>
                <c:pt idx="86" c:formatCode="m/d/yyyy;@">
                  <c:v>45621</c:v>
                </c:pt>
                <c:pt idx="87" c:formatCode="m/d/yyyy;@">
                  <c:v>45628</c:v>
                </c:pt>
                <c:pt idx="88" c:formatCode="m/d/yyyy;@">
                  <c:v>45635</c:v>
                </c:pt>
                <c:pt idx="89" c:formatCode="m/d/yyyy;@">
                  <c:v>45642</c:v>
                </c:pt>
                <c:pt idx="90" c:formatCode="m/d/yyyy;@">
                  <c:v>45649</c:v>
                </c:pt>
                <c:pt idx="91" c:formatCode="m/d/yyyy;@">
                  <c:v>45656</c:v>
                </c:pt>
                <c:pt idx="92" c:formatCode="m/d/yyyy;@">
                  <c:v>45663</c:v>
                </c:pt>
                <c:pt idx="93" c:formatCode="m/d/yyyy;@">
                  <c:v>45670</c:v>
                </c:pt>
                <c:pt idx="94" c:formatCode="m/d/yyyy;@">
                  <c:v>45677</c:v>
                </c:pt>
                <c:pt idx="95" c:formatCode="m/d/yyyy;@">
                  <c:v>45684</c:v>
                </c:pt>
                <c:pt idx="96" c:formatCode="m/d/yyyy;@">
                  <c:v>45691</c:v>
                </c:pt>
                <c:pt idx="97" c:formatCode="m/d/yyyy;@">
                  <c:v>45698</c:v>
                </c:pt>
                <c:pt idx="98" c:formatCode="m/d/yyyy;@">
                  <c:v>45705</c:v>
                </c:pt>
                <c:pt idx="99" c:formatCode="m/d/yyyy;@">
                  <c:v>45712</c:v>
                </c:pt>
                <c:pt idx="100" c:formatCode="m/d/yyyy;@">
                  <c:v>45719</c:v>
                </c:pt>
                <c:pt idx="101" c:formatCode="m/d/yyyy;@">
                  <c:v>45726</c:v>
                </c:pt>
                <c:pt idx="102" c:formatCode="m/d/yyyy;@">
                  <c:v>45733</c:v>
                </c:pt>
                <c:pt idx="103" c:formatCode="m/d/yyyy;@">
                  <c:v>45740</c:v>
                </c:pt>
                <c:pt idx="104" c:formatCode="m/d/yyyy;@">
                  <c:v>45747</c:v>
                </c:pt>
                <c:pt idx="105" c:formatCode="m/d/yyyy;@">
                  <c:v>45754</c:v>
                </c:pt>
                <c:pt idx="106" c:formatCode="m/d/yyyy;@">
                  <c:v>45761</c:v>
                </c:pt>
                <c:pt idx="107" c:formatCode="m/d/yyyy;@">
                  <c:v>45768</c:v>
                </c:pt>
                <c:pt idx="108" c:formatCode="m/d/yyyy;@">
                  <c:v>45775</c:v>
                </c:pt>
                <c:pt idx="109" c:formatCode="m/d/yyyy;@">
                  <c:v>45782</c:v>
                </c:pt>
                <c:pt idx="110" c:formatCode="m/d/yyyy;@">
                  <c:v>45789</c:v>
                </c:pt>
                <c:pt idx="111" c:formatCode="m/d/yyyy;@">
                  <c:v>45796</c:v>
                </c:pt>
                <c:pt idx="112" c:formatCode="m/d/yyyy;@">
                  <c:v>45803</c:v>
                </c:pt>
                <c:pt idx="113" c:formatCode="m/d/yyyy;@">
                  <c:v>45810</c:v>
                </c:pt>
                <c:pt idx="114" c:formatCode="m/d/yyyy;@">
                  <c:v>45817</c:v>
                </c:pt>
                <c:pt idx="115" c:formatCode="m/d/yyyy;@">
                  <c:v>45824</c:v>
                </c:pt>
                <c:pt idx="116" c:formatCode="m/d/yyyy;@">
                  <c:v>45831</c:v>
                </c:pt>
                <c:pt idx="117" c:formatCode="m/d/yyyy;@">
                  <c:v>45838</c:v>
                </c:pt>
                <c:pt idx="118" c:formatCode="m/d/yyyy;@">
                  <c:v>45845</c:v>
                </c:pt>
                <c:pt idx="119" c:formatCode="m/d/yyyy;@">
                  <c:v>45852</c:v>
                </c:pt>
                <c:pt idx="120" c:formatCode="m/d/yyyy;@">
                  <c:v>45859</c:v>
                </c:pt>
                <c:pt idx="121" c:formatCode="m/d/yyyy;@">
                  <c:v>45866</c:v>
                </c:pt>
                <c:pt idx="122" c:formatCode="m/d/yyyy;@">
                  <c:v>45873</c:v>
                </c:pt>
                <c:pt idx="123" c:formatCode="m/d/yyyy;@">
                  <c:v>45880</c:v>
                </c:pt>
                <c:pt idx="124" c:formatCode="m/d/yyyy;@">
                  <c:v>45887</c:v>
                </c:pt>
                <c:pt idx="125" c:formatCode="m/d/yyyy;@">
                  <c:v>45894</c:v>
                </c:pt>
                <c:pt idx="126" c:formatCode="m/d/yyyy;@">
                  <c:v>45901</c:v>
                </c:pt>
                <c:pt idx="127" c:formatCode="m/d/yyyy;@">
                  <c:v>45908</c:v>
                </c:pt>
                <c:pt idx="128" c:formatCode="m/d/yyyy;@">
                  <c:v>45915</c:v>
                </c:pt>
                <c:pt idx="129" c:formatCode="m/d/yyyy;@">
                  <c:v>45922</c:v>
                </c:pt>
                <c:pt idx="130" c:formatCode="m/d/yyyy;@">
                  <c:v>45929</c:v>
                </c:pt>
                <c:pt idx="131" c:formatCode="m/d/yyyy;@">
                  <c:v>45936</c:v>
                </c:pt>
                <c:pt idx="132" c:formatCode="m/d/yyyy;@">
                  <c:v>45943</c:v>
                </c:pt>
                <c:pt idx="133" c:formatCode="m/d/yyyy;@">
                  <c:v>45950</c:v>
                </c:pt>
                <c:pt idx="134" c:formatCode="m/d/yyyy;@">
                  <c:v>45957</c:v>
                </c:pt>
                <c:pt idx="135" c:formatCode="m/d/yyyy;@">
                  <c:v>45964</c:v>
                </c:pt>
                <c:pt idx="136" c:formatCode="m/d/yyyy;@">
                  <c:v>45971</c:v>
                </c:pt>
                <c:pt idx="137" c:formatCode="m/d/yyyy;@">
                  <c:v>45978</c:v>
                </c:pt>
                <c:pt idx="138" c:formatCode="m/d/yyyy;@">
                  <c:v>45985</c:v>
                </c:pt>
                <c:pt idx="139" c:formatCode="m/d/yyyy;@">
                  <c:v>45992</c:v>
                </c:pt>
                <c:pt idx="140" c:formatCode="m/d/yyyy;@">
                  <c:v>45999</c:v>
                </c:pt>
                <c:pt idx="141" c:formatCode="m/d/yyyy;@">
                  <c:v>46006</c:v>
                </c:pt>
                <c:pt idx="142" c:formatCode="m/d/yyyy;@">
                  <c:v>46013</c:v>
                </c:pt>
                <c:pt idx="143" c:formatCode="m/d/yyyy;@">
                  <c:v>46020</c:v>
                </c:pt>
                <c:pt idx="144" c:formatCode="m/d/yyyy;@">
                  <c:v>46027</c:v>
                </c:pt>
                <c:pt idx="145" c:formatCode="m/d/yyyy;@">
                  <c:v>46034</c:v>
                </c:pt>
                <c:pt idx="146" c:formatCode="m/d/yyyy;@">
                  <c:v>46041</c:v>
                </c:pt>
                <c:pt idx="147" c:formatCode="m/d/yyyy;@">
                  <c:v>46048</c:v>
                </c:pt>
                <c:pt idx="148" c:formatCode="m/d/yyyy;@">
                  <c:v>46055</c:v>
                </c:pt>
                <c:pt idx="149" c:formatCode="m/d/yyyy;@">
                  <c:v>46062</c:v>
                </c:pt>
                <c:pt idx="150" c:formatCode="m/d/yyyy;@">
                  <c:v>46076</c:v>
                </c:pt>
                <c:pt idx="151" c:formatCode="m/d/yyyy;@">
                  <c:v>46083</c:v>
                </c:pt>
                <c:pt idx="152" c:formatCode="m/d/yyyy;@">
                  <c:v>46090</c:v>
                </c:pt>
                <c:pt idx="153" c:formatCode="m/d/yyyy;@">
                  <c:v>46097</c:v>
                </c:pt>
                <c:pt idx="154" c:formatCode="m/d/yyyy;@">
                  <c:v>46104</c:v>
                </c:pt>
                <c:pt idx="155" c:formatCode="m/d/yyyy;@">
                  <c:v>46111</c:v>
                </c:pt>
                <c:pt idx="156" c:formatCode="m/d/yyyy;@">
                  <c:v>46119</c:v>
                </c:pt>
                <c:pt idx="157" c:formatCode="m/d/yyyy;@">
                  <c:v>46125</c:v>
                </c:pt>
                <c:pt idx="158" c:formatCode="m/d/yyyy;@">
                  <c:v>46132</c:v>
                </c:pt>
                <c:pt idx="159" c:formatCode="m/d/yyyy;@">
                  <c:v>46139</c:v>
                </c:pt>
                <c:pt idx="160" c:formatCode="m/d/yyyy;@">
                  <c:v>46146</c:v>
                </c:pt>
                <c:pt idx="161" c:formatCode="m/d/yyyy;@">
                  <c:v>46153</c:v>
                </c:pt>
                <c:pt idx="162" c:formatCode="m/d/yyyy;@">
                  <c:v>46160</c:v>
                </c:pt>
                <c:pt idx="163" c:formatCode="m/d/yyyy;@">
                  <c:v>46167</c:v>
                </c:pt>
                <c:pt idx="164" c:formatCode="m/d/yyyy;@">
                  <c:v>46174</c:v>
                </c:pt>
              </c:numCache>
            </c:numRef>
          </c:cat>
          <c:val>
            <c:numRef>
              <c:f>DRAM!$AZ$244:$AZ$500</c:f>
              <c:numCache>
                <c:formatCode>_(* #,##0.0_);_(* \(#,##0.0\);_(* "-"??_);_(@_)</c:formatCode>
                <c:ptCount val="257"/>
                <c:pt idx="79">
                  <c:v>271</c:v>
                </c:pt>
                <c:pt idx="80">
                  <c:v>271</c:v>
                </c:pt>
                <c:pt idx="81">
                  <c:v>273</c:v>
                </c:pt>
                <c:pt idx="82">
                  <c:v>273.25</c:v>
                </c:pt>
                <c:pt idx="83">
                  <c:v>272.75</c:v>
                </c:pt>
                <c:pt idx="84">
                  <c:v>272</c:v>
                </c:pt>
                <c:pt idx="85">
                  <c:v>271.5</c:v>
                </c:pt>
                <c:pt idx="86">
                  <c:v>271.25</c:v>
                </c:pt>
                <c:pt idx="87">
                  <c:v>269.75</c:v>
                </c:pt>
                <c:pt idx="88">
                  <c:v>269</c:v>
                </c:pt>
                <c:pt idx="89">
                  <c:v>269</c:v>
                </c:pt>
                <c:pt idx="90">
                  <c:v>271.25</c:v>
                </c:pt>
                <c:pt idx="91">
                  <c:v>271.75</c:v>
                </c:pt>
                <c:pt idx="92">
                  <c:v>271.25</c:v>
                </c:pt>
                <c:pt idx="93">
                  <c:v>271.25</c:v>
                </c:pt>
                <c:pt idx="94">
                  <c:v>271.5</c:v>
                </c:pt>
                <c:pt idx="95">
                  <c:v>271.25</c:v>
                </c:pt>
                <c:pt idx="96">
                  <c:v>271.15</c:v>
                </c:pt>
                <c:pt idx="97">
                  <c:v>270.25</c:v>
                </c:pt>
                <c:pt idx="98">
                  <c:v>269.25</c:v>
                </c:pt>
                <c:pt idx="99">
                  <c:v>265</c:v>
                </c:pt>
                <c:pt idx="100">
                  <c:v>263</c:v>
                </c:pt>
                <c:pt idx="101">
                  <c:v>259.5</c:v>
                </c:pt>
                <c:pt idx="102">
                  <c:v>260.5</c:v>
                </c:pt>
                <c:pt idx="103">
                  <c:v>260</c:v>
                </c:pt>
                <c:pt idx="104">
                  <c:v>259</c:v>
                </c:pt>
                <c:pt idx="105">
                  <c:v>261</c:v>
                </c:pt>
                <c:pt idx="106">
                  <c:v>260.4</c:v>
                </c:pt>
                <c:pt idx="107">
                  <c:v>263.5</c:v>
                </c:pt>
                <c:pt idx="108">
                  <c:v>265.5</c:v>
                </c:pt>
                <c:pt idx="109">
                  <c:v>266</c:v>
                </c:pt>
                <c:pt idx="110">
                  <c:v>266.5</c:v>
                </c:pt>
                <c:pt idx="111">
                  <c:v>267</c:v>
                </c:pt>
                <c:pt idx="112">
                  <c:v>265</c:v>
                </c:pt>
                <c:pt idx="113">
                  <c:v>264</c:v>
                </c:pt>
                <c:pt idx="114">
                  <c:v>263</c:v>
                </c:pt>
                <c:pt idx="115">
                  <c:v>263</c:v>
                </c:pt>
                <c:pt idx="116">
                  <c:v>261.4</c:v>
                </c:pt>
                <c:pt idx="117">
                  <c:v>261.25</c:v>
                </c:pt>
                <c:pt idx="118">
                  <c:v>258.75</c:v>
                </c:pt>
                <c:pt idx="119">
                  <c:v>258.5</c:v>
                </c:pt>
                <c:pt idx="120">
                  <c:v>258.5</c:v>
                </c:pt>
                <c:pt idx="121">
                  <c:v>258</c:v>
                </c:pt>
                <c:pt idx="122">
                  <c:v>258.25</c:v>
                </c:pt>
                <c:pt idx="123">
                  <c:v>258.5</c:v>
                </c:pt>
                <c:pt idx="124">
                  <c:v>258.5</c:v>
                </c:pt>
                <c:pt idx="125">
                  <c:v>258.5</c:v>
                </c:pt>
                <c:pt idx="126">
                  <c:v>261.25</c:v>
                </c:pt>
                <c:pt idx="127">
                  <c:v>263</c:v>
                </c:pt>
                <c:pt idx="128">
                  <c:v>265.5</c:v>
                </c:pt>
                <c:pt idx="129">
                  <c:v>288.89</c:v>
                </c:pt>
                <c:pt idx="130">
                  <c:v>302.78</c:v>
                </c:pt>
                <c:pt idx="131">
                  <c:v>322.78</c:v>
                </c:pt>
                <c:pt idx="132">
                  <c:v>349.44</c:v>
                </c:pt>
                <c:pt idx="133">
                  <c:v>389.11</c:v>
                </c:pt>
                <c:pt idx="134">
                  <c:v>431.11</c:v>
                </c:pt>
                <c:pt idx="135">
                  <c:v>476.67</c:v>
                </c:pt>
                <c:pt idx="136">
                  <c:v>512.22</c:v>
                </c:pt>
                <c:pt idx="137">
                  <c:v>661.67</c:v>
                </c:pt>
                <c:pt idx="138">
                  <c:v>760</c:v>
                </c:pt>
                <c:pt idx="139">
                  <c:v>783.56</c:v>
                </c:pt>
                <c:pt idx="140">
                  <c:v>794.44</c:v>
                </c:pt>
                <c:pt idx="141">
                  <c:v>838.89</c:v>
                </c:pt>
                <c:pt idx="142">
                  <c:v>865</c:v>
                </c:pt>
                <c:pt idx="143">
                  <c:v>895</c:v>
                </c:pt>
                <c:pt idx="144">
                  <c:v>925</c:v>
                </c:pt>
                <c:pt idx="145">
                  <c:v>1050</c:v>
                </c:pt>
                <c:pt idx="146">
                  <c:v>1525</c:v>
                </c:pt>
                <c:pt idx="147">
                  <c:v>1875</c:v>
                </c:pt>
                <c:pt idx="148">
                  <c:v>2000</c:v>
                </c:pt>
                <c:pt idx="149">
                  <c:v>2150</c:v>
                </c:pt>
                <c:pt idx="150">
                  <c:v>2175</c:v>
                </c:pt>
                <c:pt idx="151">
                  <c:v>2225</c:v>
                </c:pt>
                <c:pt idx="152">
                  <c:v>2325</c:v>
                </c:pt>
                <c:pt idx="153">
                  <c:v>2350</c:v>
                </c:pt>
                <c:pt idx="154">
                  <c:v>2375</c:v>
                </c:pt>
                <c:pt idx="155">
                  <c:v>2400</c:v>
                </c:pt>
                <c:pt idx="156">
                  <c:v>2375</c:v>
                </c:pt>
                <c:pt idx="157">
                  <c:v>2325</c:v>
                </c:pt>
                <c:pt idx="158">
                  <c:v>2264</c:v>
                </c:pt>
                <c:pt idx="159">
                  <c:v>2240</c:v>
                </c:pt>
                <c:pt idx="160">
                  <c:v>2250</c:v>
                </c:pt>
                <c:pt idx="161">
                  <c:v>2240</c:v>
                </c:pt>
                <c:pt idx="162">
                  <c:v>2250</c:v>
                </c:pt>
                <c:pt idx="163">
                  <c:v>2275</c:v>
                </c:pt>
                <c:pt idx="164">
                  <c:v>2350</c:v>
                </c:pt>
              </c:numCache>
            </c:numRef>
          </c:val>
          <c:smooth val="0"/>
        </c:ser>
        <c:ser>
          <c:idx val="1"/>
          <c:order val="1"/>
          <c:tx>
            <c:strRef>
              <c:f>DRAM!$AW$27</c:f>
              <c:strCache>
                <c:ptCount val="1"/>
                <c:pt idx="0">
                  <c:v>Contract</c:v>
                </c:pt>
              </c:strCache>
            </c:strRef>
          </c:tx>
          <c:marker>
            <c:symbol val="none"/>
          </c:marker>
          <c:dLbls>
            <c:delete val="1"/>
          </c:dLbls>
          <c:cat>
            <c:numRef>
              <c:f>DRAM!$AS$244:$AS$500</c:f>
              <c:numCache>
                <c:formatCode>m/d/yyyy;@</c:formatCode>
                <c:ptCount val="257"/>
                <c:pt idx="0" c:formatCode="m/d/yyyy;@">
                  <c:v>45019</c:v>
                </c:pt>
                <c:pt idx="1" c:formatCode="m/d/yyyy;@">
                  <c:v>45026</c:v>
                </c:pt>
                <c:pt idx="2" c:formatCode="m/d/yyyy;@">
                  <c:v>45033</c:v>
                </c:pt>
                <c:pt idx="3" c:formatCode="m/d/yyyy;@">
                  <c:v>45040</c:v>
                </c:pt>
                <c:pt idx="4" c:formatCode="m/d/yyyy;@">
                  <c:v>45047</c:v>
                </c:pt>
                <c:pt idx="5" c:formatCode="m/d/yyyy;@">
                  <c:v>45054</c:v>
                </c:pt>
                <c:pt idx="6" c:formatCode="m/d/yyyy;@">
                  <c:v>45061</c:v>
                </c:pt>
                <c:pt idx="7" c:formatCode="m/d/yyyy;@">
                  <c:v>45068</c:v>
                </c:pt>
                <c:pt idx="8" c:formatCode="m/d/yyyy;@">
                  <c:v>45075</c:v>
                </c:pt>
                <c:pt idx="9" c:formatCode="m/d/yyyy;@">
                  <c:v>45082</c:v>
                </c:pt>
                <c:pt idx="10" c:formatCode="m/d/yyyy;@">
                  <c:v>45089</c:v>
                </c:pt>
                <c:pt idx="11" c:formatCode="m/d/yyyy;@">
                  <c:v>45096</c:v>
                </c:pt>
                <c:pt idx="12" c:formatCode="m/d/yyyy;@">
                  <c:v>45103</c:v>
                </c:pt>
                <c:pt idx="13" c:formatCode="m/d/yyyy;@">
                  <c:v>45110</c:v>
                </c:pt>
                <c:pt idx="14" c:formatCode="m/d/yyyy;@">
                  <c:v>45117</c:v>
                </c:pt>
                <c:pt idx="15" c:formatCode="m/d/yyyy;@">
                  <c:v>45124</c:v>
                </c:pt>
                <c:pt idx="16" c:formatCode="m/d/yyyy;@">
                  <c:v>45131</c:v>
                </c:pt>
                <c:pt idx="17" c:formatCode="m/d/yyyy;@">
                  <c:v>45138</c:v>
                </c:pt>
                <c:pt idx="18" c:formatCode="m/d/yyyy;@">
                  <c:v>45145</c:v>
                </c:pt>
                <c:pt idx="19" c:formatCode="m/d/yyyy;@">
                  <c:v>45152</c:v>
                </c:pt>
                <c:pt idx="20" c:formatCode="m/d/yyyy;@">
                  <c:v>45159</c:v>
                </c:pt>
                <c:pt idx="21" c:formatCode="m/d/yyyy;@">
                  <c:v>45166</c:v>
                </c:pt>
                <c:pt idx="22" c:formatCode="m/d/yyyy;@">
                  <c:v>45173</c:v>
                </c:pt>
                <c:pt idx="23" c:formatCode="m/d/yyyy;@">
                  <c:v>45180</c:v>
                </c:pt>
                <c:pt idx="24" c:formatCode="m/d/yyyy;@">
                  <c:v>45187</c:v>
                </c:pt>
                <c:pt idx="25" c:formatCode="m/d/yyyy;@">
                  <c:v>45194</c:v>
                </c:pt>
                <c:pt idx="26" c:formatCode="m/d/yyyy;@">
                  <c:v>45201</c:v>
                </c:pt>
                <c:pt idx="27" c:formatCode="m/d/yyyy;@">
                  <c:v>45208</c:v>
                </c:pt>
                <c:pt idx="28" c:formatCode="m/d/yyyy;@">
                  <c:v>45215</c:v>
                </c:pt>
                <c:pt idx="29" c:formatCode="m/d/yyyy;@">
                  <c:v>45222</c:v>
                </c:pt>
                <c:pt idx="30" c:formatCode="m/d/yyyy;@">
                  <c:v>45229</c:v>
                </c:pt>
                <c:pt idx="31" c:formatCode="m/d/yyyy;@">
                  <c:v>45236</c:v>
                </c:pt>
                <c:pt idx="32" c:formatCode="m/d/yyyy;@">
                  <c:v>45243</c:v>
                </c:pt>
                <c:pt idx="33" c:formatCode="m/d/yyyy;@">
                  <c:v>45250</c:v>
                </c:pt>
                <c:pt idx="34" c:formatCode="m/d/yyyy;@">
                  <c:v>45257</c:v>
                </c:pt>
                <c:pt idx="35" c:formatCode="m/d/yyyy;@">
                  <c:v>45264</c:v>
                </c:pt>
                <c:pt idx="36" c:formatCode="m/d/yyyy;@">
                  <c:v>45271</c:v>
                </c:pt>
                <c:pt idx="37" c:formatCode="m/d/yyyy;@">
                  <c:v>45278</c:v>
                </c:pt>
                <c:pt idx="38" c:formatCode="m/d/yyyy;@">
                  <c:v>45285</c:v>
                </c:pt>
                <c:pt idx="39" c:formatCode="m/d/yyyy;@">
                  <c:v>45292</c:v>
                </c:pt>
                <c:pt idx="40" c:formatCode="m/d/yyyy;@">
                  <c:v>45299</c:v>
                </c:pt>
                <c:pt idx="41" c:formatCode="m/d/yyyy;@">
                  <c:v>45306</c:v>
                </c:pt>
                <c:pt idx="42" c:formatCode="m/d/yyyy;@">
                  <c:v>45313</c:v>
                </c:pt>
                <c:pt idx="43" c:formatCode="m/d/yyyy;@">
                  <c:v>45320</c:v>
                </c:pt>
                <c:pt idx="44" c:formatCode="m/d/yyyy;@">
                  <c:v>45327</c:v>
                </c:pt>
                <c:pt idx="45" c:formatCode="m/d/yyyy;@">
                  <c:v>45334</c:v>
                </c:pt>
                <c:pt idx="46" c:formatCode="m/d/yyyy;@">
                  <c:v>45341</c:v>
                </c:pt>
                <c:pt idx="47" c:formatCode="m/d/yyyy;@">
                  <c:v>45348</c:v>
                </c:pt>
                <c:pt idx="48" c:formatCode="m/d/yyyy;@">
                  <c:v>45355</c:v>
                </c:pt>
                <c:pt idx="49" c:formatCode="m/d/yyyy;@">
                  <c:v>45362</c:v>
                </c:pt>
                <c:pt idx="50" c:formatCode="m/d/yyyy;@">
                  <c:v>45369</c:v>
                </c:pt>
                <c:pt idx="51" c:formatCode="m/d/yyyy;@">
                  <c:v>45376</c:v>
                </c:pt>
                <c:pt idx="52" c:formatCode="m/d/yyyy;@">
                  <c:v>45383</c:v>
                </c:pt>
                <c:pt idx="53" c:formatCode="m/d/yyyy;@">
                  <c:v>45390</c:v>
                </c:pt>
                <c:pt idx="54" c:formatCode="m/d/yyyy;@">
                  <c:v>45397</c:v>
                </c:pt>
                <c:pt idx="55" c:formatCode="m/d/yyyy;@">
                  <c:v>45404</c:v>
                </c:pt>
                <c:pt idx="56" c:formatCode="m/d/yyyy;@">
                  <c:v>45411</c:v>
                </c:pt>
                <c:pt idx="57" c:formatCode="m/d/yyyy;@">
                  <c:v>45418</c:v>
                </c:pt>
                <c:pt idx="58" c:formatCode="m/d/yyyy;@">
                  <c:v>45425</c:v>
                </c:pt>
                <c:pt idx="59" c:formatCode="m/d/yyyy;@">
                  <c:v>45432</c:v>
                </c:pt>
                <c:pt idx="60" c:formatCode="m/d/yyyy;@">
                  <c:v>45439</c:v>
                </c:pt>
                <c:pt idx="61" c:formatCode="m/d/yyyy;@">
                  <c:v>45446</c:v>
                </c:pt>
                <c:pt idx="62" c:formatCode="m/d/yyyy;@">
                  <c:v>45454</c:v>
                </c:pt>
                <c:pt idx="63" c:formatCode="m/d/yyyy;@">
                  <c:v>45460</c:v>
                </c:pt>
                <c:pt idx="64" c:formatCode="m/d/yyyy;@">
                  <c:v>45467</c:v>
                </c:pt>
                <c:pt idx="65" c:formatCode="m/d/yyyy;@">
                  <c:v>45474</c:v>
                </c:pt>
                <c:pt idx="66" c:formatCode="m/d/yyyy;@">
                  <c:v>45481</c:v>
                </c:pt>
                <c:pt idx="67" c:formatCode="m/d/yyyy;@">
                  <c:v>45488</c:v>
                </c:pt>
                <c:pt idx="68" c:formatCode="m/d/yyyy;@">
                  <c:v>45495</c:v>
                </c:pt>
                <c:pt idx="69" c:formatCode="m/d/yyyy;@">
                  <c:v>45502</c:v>
                </c:pt>
                <c:pt idx="70" c:formatCode="m/d/yyyy;@">
                  <c:v>45509</c:v>
                </c:pt>
                <c:pt idx="71" c:formatCode="m/d/yyyy;@">
                  <c:v>45516</c:v>
                </c:pt>
                <c:pt idx="72" c:formatCode="m/d/yyyy;@">
                  <c:v>45523</c:v>
                </c:pt>
                <c:pt idx="73" c:formatCode="m/d/yyyy;@">
                  <c:v>45530</c:v>
                </c:pt>
                <c:pt idx="74" c:formatCode="m/d/yyyy;@">
                  <c:v>45537</c:v>
                </c:pt>
                <c:pt idx="75" c:formatCode="m/d/yyyy;@">
                  <c:v>45544</c:v>
                </c:pt>
                <c:pt idx="76" c:formatCode="m/d/yyyy;@">
                  <c:v>45551</c:v>
                </c:pt>
                <c:pt idx="77" c:formatCode="m/d/yyyy;@">
                  <c:v>45558</c:v>
                </c:pt>
                <c:pt idx="78" c:formatCode="m/d/yyyy;@">
                  <c:v>45565</c:v>
                </c:pt>
                <c:pt idx="79" c:formatCode="m/d/yyyy;@">
                  <c:v>45572</c:v>
                </c:pt>
                <c:pt idx="80" c:formatCode="m/d/yyyy;@">
                  <c:v>45579</c:v>
                </c:pt>
                <c:pt idx="81" c:formatCode="m/d/yyyy;@">
                  <c:v>45586</c:v>
                </c:pt>
                <c:pt idx="82" c:formatCode="m/d/yyyy;@">
                  <c:v>45593</c:v>
                </c:pt>
                <c:pt idx="83" c:formatCode="m/d/yyyy;@">
                  <c:v>45600</c:v>
                </c:pt>
                <c:pt idx="84" c:formatCode="m/d/yyyy;@">
                  <c:v>45607</c:v>
                </c:pt>
                <c:pt idx="85" c:formatCode="m/d/yyyy;@">
                  <c:v>45614</c:v>
                </c:pt>
                <c:pt idx="86" c:formatCode="m/d/yyyy;@">
                  <c:v>45621</c:v>
                </c:pt>
                <c:pt idx="87" c:formatCode="m/d/yyyy;@">
                  <c:v>45628</c:v>
                </c:pt>
                <c:pt idx="88" c:formatCode="m/d/yyyy;@">
                  <c:v>45635</c:v>
                </c:pt>
                <c:pt idx="89" c:formatCode="m/d/yyyy;@">
                  <c:v>45642</c:v>
                </c:pt>
                <c:pt idx="90" c:formatCode="m/d/yyyy;@">
                  <c:v>45649</c:v>
                </c:pt>
                <c:pt idx="91" c:formatCode="m/d/yyyy;@">
                  <c:v>45656</c:v>
                </c:pt>
                <c:pt idx="92" c:formatCode="m/d/yyyy;@">
                  <c:v>45663</c:v>
                </c:pt>
                <c:pt idx="93" c:formatCode="m/d/yyyy;@">
                  <c:v>45670</c:v>
                </c:pt>
                <c:pt idx="94" c:formatCode="m/d/yyyy;@">
                  <c:v>45677</c:v>
                </c:pt>
                <c:pt idx="95" c:formatCode="m/d/yyyy;@">
                  <c:v>45684</c:v>
                </c:pt>
                <c:pt idx="96" c:formatCode="m/d/yyyy;@">
                  <c:v>45691</c:v>
                </c:pt>
                <c:pt idx="97" c:formatCode="m/d/yyyy;@">
                  <c:v>45698</c:v>
                </c:pt>
                <c:pt idx="98" c:formatCode="m/d/yyyy;@">
                  <c:v>45705</c:v>
                </c:pt>
                <c:pt idx="99" c:formatCode="m/d/yyyy;@">
                  <c:v>45712</c:v>
                </c:pt>
                <c:pt idx="100" c:formatCode="m/d/yyyy;@">
                  <c:v>45719</c:v>
                </c:pt>
                <c:pt idx="101" c:formatCode="m/d/yyyy;@">
                  <c:v>45726</c:v>
                </c:pt>
                <c:pt idx="102" c:formatCode="m/d/yyyy;@">
                  <c:v>45733</c:v>
                </c:pt>
                <c:pt idx="103" c:formatCode="m/d/yyyy;@">
                  <c:v>45740</c:v>
                </c:pt>
                <c:pt idx="104" c:formatCode="m/d/yyyy;@">
                  <c:v>45747</c:v>
                </c:pt>
                <c:pt idx="105" c:formatCode="m/d/yyyy;@">
                  <c:v>45754</c:v>
                </c:pt>
                <c:pt idx="106" c:formatCode="m/d/yyyy;@">
                  <c:v>45761</c:v>
                </c:pt>
                <c:pt idx="107" c:formatCode="m/d/yyyy;@">
                  <c:v>45768</c:v>
                </c:pt>
                <c:pt idx="108" c:formatCode="m/d/yyyy;@">
                  <c:v>45775</c:v>
                </c:pt>
                <c:pt idx="109" c:formatCode="m/d/yyyy;@">
                  <c:v>45782</c:v>
                </c:pt>
                <c:pt idx="110" c:formatCode="m/d/yyyy;@">
                  <c:v>45789</c:v>
                </c:pt>
                <c:pt idx="111" c:formatCode="m/d/yyyy;@">
                  <c:v>45796</c:v>
                </c:pt>
                <c:pt idx="112" c:formatCode="m/d/yyyy;@">
                  <c:v>45803</c:v>
                </c:pt>
                <c:pt idx="113" c:formatCode="m/d/yyyy;@">
                  <c:v>45810</c:v>
                </c:pt>
                <c:pt idx="114" c:formatCode="m/d/yyyy;@">
                  <c:v>45817</c:v>
                </c:pt>
                <c:pt idx="115" c:formatCode="m/d/yyyy;@">
                  <c:v>45824</c:v>
                </c:pt>
                <c:pt idx="116" c:formatCode="m/d/yyyy;@">
                  <c:v>45831</c:v>
                </c:pt>
                <c:pt idx="117" c:formatCode="m/d/yyyy;@">
                  <c:v>45838</c:v>
                </c:pt>
                <c:pt idx="118" c:formatCode="m/d/yyyy;@">
                  <c:v>45845</c:v>
                </c:pt>
                <c:pt idx="119" c:formatCode="m/d/yyyy;@">
                  <c:v>45852</c:v>
                </c:pt>
                <c:pt idx="120" c:formatCode="m/d/yyyy;@">
                  <c:v>45859</c:v>
                </c:pt>
                <c:pt idx="121" c:formatCode="m/d/yyyy;@">
                  <c:v>45866</c:v>
                </c:pt>
                <c:pt idx="122" c:formatCode="m/d/yyyy;@">
                  <c:v>45873</c:v>
                </c:pt>
                <c:pt idx="123" c:formatCode="m/d/yyyy;@">
                  <c:v>45880</c:v>
                </c:pt>
                <c:pt idx="124" c:formatCode="m/d/yyyy;@">
                  <c:v>45887</c:v>
                </c:pt>
                <c:pt idx="125" c:formatCode="m/d/yyyy;@">
                  <c:v>45894</c:v>
                </c:pt>
                <c:pt idx="126" c:formatCode="m/d/yyyy;@">
                  <c:v>45901</c:v>
                </c:pt>
                <c:pt idx="127" c:formatCode="m/d/yyyy;@">
                  <c:v>45908</c:v>
                </c:pt>
                <c:pt idx="128" c:formatCode="m/d/yyyy;@">
                  <c:v>45915</c:v>
                </c:pt>
                <c:pt idx="129" c:formatCode="m/d/yyyy;@">
                  <c:v>45922</c:v>
                </c:pt>
                <c:pt idx="130" c:formatCode="m/d/yyyy;@">
                  <c:v>45929</c:v>
                </c:pt>
                <c:pt idx="131" c:formatCode="m/d/yyyy;@">
                  <c:v>45936</c:v>
                </c:pt>
                <c:pt idx="132" c:formatCode="m/d/yyyy;@">
                  <c:v>45943</c:v>
                </c:pt>
                <c:pt idx="133" c:formatCode="m/d/yyyy;@">
                  <c:v>45950</c:v>
                </c:pt>
                <c:pt idx="134" c:formatCode="m/d/yyyy;@">
                  <c:v>45957</c:v>
                </c:pt>
                <c:pt idx="135" c:formatCode="m/d/yyyy;@">
                  <c:v>45964</c:v>
                </c:pt>
                <c:pt idx="136" c:formatCode="m/d/yyyy;@">
                  <c:v>45971</c:v>
                </c:pt>
                <c:pt idx="137" c:formatCode="m/d/yyyy;@">
                  <c:v>45978</c:v>
                </c:pt>
                <c:pt idx="138" c:formatCode="m/d/yyyy;@">
                  <c:v>45985</c:v>
                </c:pt>
                <c:pt idx="139" c:formatCode="m/d/yyyy;@">
                  <c:v>45992</c:v>
                </c:pt>
                <c:pt idx="140" c:formatCode="m/d/yyyy;@">
                  <c:v>45999</c:v>
                </c:pt>
                <c:pt idx="141" c:formatCode="m/d/yyyy;@">
                  <c:v>46006</c:v>
                </c:pt>
                <c:pt idx="142" c:formatCode="m/d/yyyy;@">
                  <c:v>46013</c:v>
                </c:pt>
                <c:pt idx="143" c:formatCode="m/d/yyyy;@">
                  <c:v>46020</c:v>
                </c:pt>
                <c:pt idx="144" c:formatCode="m/d/yyyy;@">
                  <c:v>46027</c:v>
                </c:pt>
                <c:pt idx="145" c:formatCode="m/d/yyyy;@">
                  <c:v>46034</c:v>
                </c:pt>
                <c:pt idx="146" c:formatCode="m/d/yyyy;@">
                  <c:v>46041</c:v>
                </c:pt>
                <c:pt idx="147" c:formatCode="m/d/yyyy;@">
                  <c:v>46048</c:v>
                </c:pt>
                <c:pt idx="148" c:formatCode="m/d/yyyy;@">
                  <c:v>46055</c:v>
                </c:pt>
                <c:pt idx="149" c:formatCode="m/d/yyyy;@">
                  <c:v>46062</c:v>
                </c:pt>
                <c:pt idx="150" c:formatCode="m/d/yyyy;@">
                  <c:v>46076</c:v>
                </c:pt>
                <c:pt idx="151" c:formatCode="m/d/yyyy;@">
                  <c:v>46083</c:v>
                </c:pt>
                <c:pt idx="152" c:formatCode="m/d/yyyy;@">
                  <c:v>46090</c:v>
                </c:pt>
                <c:pt idx="153" c:formatCode="m/d/yyyy;@">
                  <c:v>46097</c:v>
                </c:pt>
                <c:pt idx="154" c:formatCode="m/d/yyyy;@">
                  <c:v>46104</c:v>
                </c:pt>
                <c:pt idx="155" c:formatCode="m/d/yyyy;@">
                  <c:v>46111</c:v>
                </c:pt>
                <c:pt idx="156" c:formatCode="m/d/yyyy;@">
                  <c:v>46119</c:v>
                </c:pt>
                <c:pt idx="157" c:formatCode="m/d/yyyy;@">
                  <c:v>46125</c:v>
                </c:pt>
                <c:pt idx="158" c:formatCode="m/d/yyyy;@">
                  <c:v>46132</c:v>
                </c:pt>
                <c:pt idx="159" c:formatCode="m/d/yyyy;@">
                  <c:v>46139</c:v>
                </c:pt>
                <c:pt idx="160" c:formatCode="m/d/yyyy;@">
                  <c:v>46146</c:v>
                </c:pt>
                <c:pt idx="161" c:formatCode="m/d/yyyy;@">
                  <c:v>46153</c:v>
                </c:pt>
                <c:pt idx="162" c:formatCode="m/d/yyyy;@">
                  <c:v>46160</c:v>
                </c:pt>
                <c:pt idx="163" c:formatCode="m/d/yyyy;@">
                  <c:v>46167</c:v>
                </c:pt>
                <c:pt idx="164" c:formatCode="m/d/yyyy;@">
                  <c:v>46174</c:v>
                </c:pt>
              </c:numCache>
            </c:numRef>
          </c:cat>
          <c:val>
            <c:numRef>
              <c:f>DRAM!$BA$244:$BA$500</c:f>
              <c:numCache>
                <c:formatCode>_(* #,##0.0_);_(* \(#,##0.0\);_(* "-"??_);_(@_)</c:formatCode>
                <c:ptCount val="257"/>
                <c:pt idx="0">
                  <c:v>158.881884881678</c:v>
                </c:pt>
                <c:pt idx="1">
                  <c:v>158.881884881678</c:v>
                </c:pt>
                <c:pt idx="2">
                  <c:v>158.881884881678</c:v>
                </c:pt>
                <c:pt idx="3">
                  <c:v>158.881884881678</c:v>
                </c:pt>
                <c:pt idx="4">
                  <c:v>153.75</c:v>
                </c:pt>
                <c:pt idx="5">
                  <c:v>153.75</c:v>
                </c:pt>
                <c:pt idx="6">
                  <c:v>153.75</c:v>
                </c:pt>
                <c:pt idx="7">
                  <c:v>153.75</c:v>
                </c:pt>
                <c:pt idx="8">
                  <c:v>153.75</c:v>
                </c:pt>
                <c:pt idx="9">
                  <c:v>148.625</c:v>
                </c:pt>
                <c:pt idx="10">
                  <c:v>148.625</c:v>
                </c:pt>
                <c:pt idx="11">
                  <c:v>148.625</c:v>
                </c:pt>
                <c:pt idx="12">
                  <c:v>148.625</c:v>
                </c:pt>
                <c:pt idx="13">
                  <c:v>147.6</c:v>
                </c:pt>
                <c:pt idx="14">
                  <c:v>147.6</c:v>
                </c:pt>
                <c:pt idx="15">
                  <c:v>147.6</c:v>
                </c:pt>
                <c:pt idx="16">
                  <c:v>147.6</c:v>
                </c:pt>
                <c:pt idx="17">
                  <c:v>147.6</c:v>
                </c:pt>
                <c:pt idx="18">
                  <c:v>147.6</c:v>
                </c:pt>
                <c:pt idx="19">
                  <c:v>147.6</c:v>
                </c:pt>
                <c:pt idx="20">
                  <c:v>147.6</c:v>
                </c:pt>
                <c:pt idx="21">
                  <c:v>147.6</c:v>
                </c:pt>
                <c:pt idx="22">
                  <c:v>147.6</c:v>
                </c:pt>
                <c:pt idx="23">
                  <c:v>147.6</c:v>
                </c:pt>
                <c:pt idx="24">
                  <c:v>147.6</c:v>
                </c:pt>
                <c:pt idx="25">
                  <c:v>147.6</c:v>
                </c:pt>
                <c:pt idx="26">
                  <c:v>149.65</c:v>
                </c:pt>
                <c:pt idx="27">
                  <c:v>149.65</c:v>
                </c:pt>
                <c:pt idx="28">
                  <c:v>149.65</c:v>
                </c:pt>
                <c:pt idx="29">
                  <c:v>149.65</c:v>
                </c:pt>
                <c:pt idx="30">
                  <c:v>149.65</c:v>
                </c:pt>
                <c:pt idx="31">
                  <c:v>151.7</c:v>
                </c:pt>
                <c:pt idx="32">
                  <c:v>151.7</c:v>
                </c:pt>
                <c:pt idx="33">
                  <c:v>151.7</c:v>
                </c:pt>
                <c:pt idx="34">
                  <c:v>151.7</c:v>
                </c:pt>
                <c:pt idx="35">
                  <c:v>156.825</c:v>
                </c:pt>
                <c:pt idx="36">
                  <c:v>156.825</c:v>
                </c:pt>
                <c:pt idx="37">
                  <c:v>156.825</c:v>
                </c:pt>
                <c:pt idx="38">
                  <c:v>156.825</c:v>
                </c:pt>
                <c:pt idx="39">
                  <c:v>174.25</c:v>
                </c:pt>
                <c:pt idx="40">
                  <c:v>174.25</c:v>
                </c:pt>
                <c:pt idx="41">
                  <c:v>174.25</c:v>
                </c:pt>
                <c:pt idx="42">
                  <c:v>174.25</c:v>
                </c:pt>
                <c:pt idx="43">
                  <c:v>174.25</c:v>
                </c:pt>
                <c:pt idx="44">
                  <c:v>181.425</c:v>
                </c:pt>
                <c:pt idx="45">
                  <c:v>181.425</c:v>
                </c:pt>
                <c:pt idx="46">
                  <c:v>181.425</c:v>
                </c:pt>
                <c:pt idx="47">
                  <c:v>181.425</c:v>
                </c:pt>
                <c:pt idx="48">
                  <c:v>194.75</c:v>
                </c:pt>
                <c:pt idx="49">
                  <c:v>194.75</c:v>
                </c:pt>
                <c:pt idx="50">
                  <c:v>194.75</c:v>
                </c:pt>
                <c:pt idx="51">
                  <c:v>194.75</c:v>
                </c:pt>
                <c:pt idx="52">
                  <c:v>215.25</c:v>
                </c:pt>
                <c:pt idx="53">
                  <c:v>215.25</c:v>
                </c:pt>
                <c:pt idx="54">
                  <c:v>215.25</c:v>
                </c:pt>
                <c:pt idx="55">
                  <c:v>215.25</c:v>
                </c:pt>
                <c:pt idx="56">
                  <c:v>215.25</c:v>
                </c:pt>
                <c:pt idx="57">
                  <c:v>231.42</c:v>
                </c:pt>
                <c:pt idx="58">
                  <c:v>231.42</c:v>
                </c:pt>
                <c:pt idx="59">
                  <c:v>231.42</c:v>
                </c:pt>
                <c:pt idx="60">
                  <c:v>231.42</c:v>
                </c:pt>
                <c:pt idx="61">
                  <c:v>236.495</c:v>
                </c:pt>
                <c:pt idx="62">
                  <c:v>236.495</c:v>
                </c:pt>
                <c:pt idx="63">
                  <c:v>236.495</c:v>
                </c:pt>
                <c:pt idx="64">
                  <c:v>236.495</c:v>
                </c:pt>
                <c:pt idx="65">
                  <c:v>257.55</c:v>
                </c:pt>
                <c:pt idx="66">
                  <c:v>257.55</c:v>
                </c:pt>
                <c:pt idx="67">
                  <c:v>257.55</c:v>
                </c:pt>
                <c:pt idx="68">
                  <c:v>257.55</c:v>
                </c:pt>
                <c:pt idx="69">
                  <c:v>257.55</c:v>
                </c:pt>
                <c:pt idx="70">
                  <c:v>272.7</c:v>
                </c:pt>
                <c:pt idx="71">
                  <c:v>272.7</c:v>
                </c:pt>
                <c:pt idx="72">
                  <c:v>272.7</c:v>
                </c:pt>
                <c:pt idx="73">
                  <c:v>272.7</c:v>
                </c:pt>
                <c:pt idx="74">
                  <c:v>274.365</c:v>
                </c:pt>
                <c:pt idx="75">
                  <c:v>274.365</c:v>
                </c:pt>
                <c:pt idx="76">
                  <c:v>274.365</c:v>
                </c:pt>
                <c:pt idx="77">
                  <c:v>274.365</c:v>
                </c:pt>
                <c:pt idx="78">
                  <c:v>274.365</c:v>
                </c:pt>
                <c:pt idx="79">
                  <c:v>285</c:v>
                </c:pt>
                <c:pt idx="80">
                  <c:v>285</c:v>
                </c:pt>
                <c:pt idx="81">
                  <c:v>285</c:v>
                </c:pt>
                <c:pt idx="82">
                  <c:v>285</c:v>
                </c:pt>
                <c:pt idx="83">
                  <c:v>285</c:v>
                </c:pt>
                <c:pt idx="84">
                  <c:v>285</c:v>
                </c:pt>
                <c:pt idx="85">
                  <c:v>285</c:v>
                </c:pt>
                <c:pt idx="86">
                  <c:v>285</c:v>
                </c:pt>
                <c:pt idx="87">
                  <c:v>283</c:v>
                </c:pt>
                <c:pt idx="88">
                  <c:v>283</c:v>
                </c:pt>
                <c:pt idx="89">
                  <c:v>283</c:v>
                </c:pt>
                <c:pt idx="90">
                  <c:v>283</c:v>
                </c:pt>
                <c:pt idx="91">
                  <c:v>283</c:v>
                </c:pt>
                <c:pt idx="92">
                  <c:v>273</c:v>
                </c:pt>
                <c:pt idx="93">
                  <c:v>273</c:v>
                </c:pt>
                <c:pt idx="94">
                  <c:v>273</c:v>
                </c:pt>
                <c:pt idx="95">
                  <c:v>273</c:v>
                </c:pt>
                <c:pt idx="96">
                  <c:v>265</c:v>
                </c:pt>
                <c:pt idx="97">
                  <c:v>265</c:v>
                </c:pt>
                <c:pt idx="98">
                  <c:v>265</c:v>
                </c:pt>
                <c:pt idx="99">
                  <c:v>265</c:v>
                </c:pt>
                <c:pt idx="100">
                  <c:v>260</c:v>
                </c:pt>
                <c:pt idx="101">
                  <c:v>260</c:v>
                </c:pt>
                <c:pt idx="102">
                  <c:v>260</c:v>
                </c:pt>
                <c:pt idx="103">
                  <c:v>260</c:v>
                </c:pt>
                <c:pt idx="104">
                  <c:v>260</c:v>
                </c:pt>
                <c:pt idx="105">
                  <c:v>260</c:v>
                </c:pt>
                <c:pt idx="106">
                  <c:v>260</c:v>
                </c:pt>
                <c:pt idx="107">
                  <c:v>260</c:v>
                </c:pt>
                <c:pt idx="108">
                  <c:v>260</c:v>
                </c:pt>
                <c:pt idx="109">
                  <c:v>265</c:v>
                </c:pt>
                <c:pt idx="110">
                  <c:v>265</c:v>
                </c:pt>
                <c:pt idx="111">
                  <c:v>265</c:v>
                </c:pt>
                <c:pt idx="112">
                  <c:v>265</c:v>
                </c:pt>
                <c:pt idx="113">
                  <c:v>265</c:v>
                </c:pt>
                <c:pt idx="114">
                  <c:v>265</c:v>
                </c:pt>
                <c:pt idx="115">
                  <c:v>265</c:v>
                </c:pt>
                <c:pt idx="116">
                  <c:v>265</c:v>
                </c:pt>
                <c:pt idx="117">
                  <c:v>265</c:v>
                </c:pt>
                <c:pt idx="118">
                  <c:v>268</c:v>
                </c:pt>
                <c:pt idx="119">
                  <c:v>268</c:v>
                </c:pt>
                <c:pt idx="120">
                  <c:v>268</c:v>
                </c:pt>
                <c:pt idx="121">
                  <c:v>268</c:v>
                </c:pt>
                <c:pt idx="122">
                  <c:v>270</c:v>
                </c:pt>
                <c:pt idx="123">
                  <c:v>270</c:v>
                </c:pt>
                <c:pt idx="124">
                  <c:v>270</c:v>
                </c:pt>
                <c:pt idx="125">
                  <c:v>270</c:v>
                </c:pt>
                <c:pt idx="126">
                  <c:v>272</c:v>
                </c:pt>
                <c:pt idx="127">
                  <c:v>272</c:v>
                </c:pt>
                <c:pt idx="128">
                  <c:v>272</c:v>
                </c:pt>
                <c:pt idx="129">
                  <c:v>272</c:v>
                </c:pt>
                <c:pt idx="130">
                  <c:v>272</c:v>
                </c:pt>
                <c:pt idx="131">
                  <c:v>338</c:v>
                </c:pt>
                <c:pt idx="132">
                  <c:v>338</c:v>
                </c:pt>
                <c:pt idx="133">
                  <c:v>338</c:v>
                </c:pt>
                <c:pt idx="134">
                  <c:v>338</c:v>
                </c:pt>
                <c:pt idx="135">
                  <c:v>425</c:v>
                </c:pt>
                <c:pt idx="136">
                  <c:v>425</c:v>
                </c:pt>
                <c:pt idx="137">
                  <c:v>425</c:v>
                </c:pt>
                <c:pt idx="138">
                  <c:v>425</c:v>
                </c:pt>
                <c:pt idx="139">
                  <c:v>512</c:v>
                </c:pt>
                <c:pt idx="140">
                  <c:v>512</c:v>
                </c:pt>
                <c:pt idx="141">
                  <c:v>512</c:v>
                </c:pt>
                <c:pt idx="142">
                  <c:v>512</c:v>
                </c:pt>
                <c:pt idx="143">
                  <c:v>512</c:v>
                </c:pt>
                <c:pt idx="144">
                  <c:v>807</c:v>
                </c:pt>
                <c:pt idx="145">
                  <c:v>807</c:v>
                </c:pt>
                <c:pt idx="146">
                  <c:v>807</c:v>
                </c:pt>
                <c:pt idx="147">
                  <c:v>807</c:v>
                </c:pt>
                <c:pt idx="148">
                  <c:v>829</c:v>
                </c:pt>
                <c:pt idx="149">
                  <c:v>829</c:v>
                </c:pt>
                <c:pt idx="150">
                  <c:v>829</c:v>
                </c:pt>
                <c:pt idx="151">
                  <c:v>851</c:v>
                </c:pt>
                <c:pt idx="152">
                  <c:v>851</c:v>
                </c:pt>
                <c:pt idx="153">
                  <c:v>851</c:v>
                </c:pt>
                <c:pt idx="154">
                  <c:v>851</c:v>
                </c:pt>
                <c:pt idx="155">
                  <c:v>851</c:v>
                </c:pt>
                <c:pt idx="156">
                  <c:v>1223</c:v>
                </c:pt>
                <c:pt idx="157">
                  <c:v>1223</c:v>
                </c:pt>
                <c:pt idx="158">
                  <c:v>1223</c:v>
                </c:pt>
                <c:pt idx="159">
                  <c:v>1223</c:v>
                </c:pt>
                <c:pt idx="160">
                  <c:v>1265</c:v>
                </c:pt>
                <c:pt idx="161">
                  <c:v>1265</c:v>
                </c:pt>
                <c:pt idx="162">
                  <c:v>1265</c:v>
                </c:pt>
                <c:pt idx="163">
                  <c:v>1265</c:v>
                </c:pt>
                <c:pt idx="164">
                  <c:v>#N/A</c:v>
                </c:pt>
              </c:numCache>
            </c:numRef>
          </c:val>
          <c:smooth val="0"/>
        </c:ser>
        <c:dLbls>
          <c:showLegendKey val="0"/>
          <c:showVal val="0"/>
          <c:showCatName val="0"/>
          <c:showSerName val="0"/>
          <c:showPercent val="0"/>
          <c:showBubbleSize val="0"/>
        </c:dLbls>
        <c:marker val="0"/>
        <c:smooth val="0"/>
        <c:axId val="500746112"/>
        <c:axId val="500747648"/>
      </c:lineChart>
      <c:dateAx>
        <c:axId val="500746112"/>
        <c:scaling>
          <c:orientation val="minMax"/>
        </c:scaling>
        <c:delete val="0"/>
        <c:axPos val="b"/>
        <c:majorGridlines>
          <c:spPr>
            <a:ln w="12700" cap="flat" cmpd="sng" algn="ctr">
              <a:solidFill>
                <a:schemeClr val="tx1">
                  <a:tint val="75000"/>
                </a:schemeClr>
              </a:solidFill>
              <a:prstDash val="dash"/>
              <a:round/>
            </a:ln>
          </c:spPr>
        </c:majorGridlines>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500747648"/>
        <c:crosses val="autoZero"/>
        <c:auto val="1"/>
        <c:lblOffset val="100"/>
        <c:baseTimeUnit val="days"/>
      </c:dateAx>
      <c:valAx>
        <c:axId val="500747648"/>
        <c:scaling>
          <c:orientation val="minMax"/>
          <c:min val="0"/>
        </c:scaling>
        <c:delete val="0"/>
        <c:axPos val="l"/>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500746112"/>
        <c:crosses val="autoZero"/>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05870b86-7527-40bf-bdee-4c07c8965043}"/>
      </c:ext>
    </c:extLst>
  </c:chart>
  <c:spPr>
    <a:solidFill>
      <a:srgbClr val="FFFFFF"/>
    </a:solidFill>
    <a:ln w="25400" cap="flat" cmpd="sng" algn="ctr">
      <a:solidFill>
        <a:srgbClr val="FFFFFF"/>
      </a:solidFill>
      <a:prstDash val="solid"/>
      <a:round/>
    </a:ln>
    <a:effectLst/>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sz="1000" b="1" i="0" u="none" strike="noStrike" baseline="0">
                <a:effectLst/>
              </a:rPr>
              <a:t>NAND Wafer (3D TLC 512Gb) </a:t>
            </a:r>
            <a:r>
              <a:rPr lang="en-US"/>
              <a:t>Contract Price &amp; MoM</a:t>
            </a:r>
            <a:endParaRPr lang="en-US"/>
          </a:p>
        </c:rich>
      </c:tx>
      <c:layout/>
      <c:overlay val="0"/>
    </c:title>
    <c:autoTitleDeleted val="0"/>
    <c:plotArea>
      <c:layout>
        <c:manualLayout>
          <c:layoutTarget val="inner"/>
          <c:xMode val="edge"/>
          <c:yMode val="edge"/>
          <c:x val="0.0881980150190816"/>
          <c:y val="0.162334236880975"/>
          <c:w val="0.821291745139904"/>
          <c:h val="0.545787547273937"/>
        </c:manualLayout>
      </c:layout>
      <c:barChart>
        <c:barDir val="col"/>
        <c:grouping val="clustered"/>
        <c:varyColors val="0"/>
        <c:ser>
          <c:idx val="0"/>
          <c:order val="0"/>
          <c:tx>
            <c:strRef>
              <c:f>NAND!$AM$25</c:f>
              <c:strCache>
                <c:ptCount val="1"/>
                <c:pt idx="0">
                  <c:v>Price</c:v>
                </c:pt>
              </c:strCache>
            </c:strRef>
          </c:tx>
          <c:spPr>
            <a:ln w="12700">
              <a:solidFill>
                <a:srgbClr val="000000"/>
              </a:solidFill>
              <a:prstDash val="solid"/>
            </a:ln>
          </c:spPr>
          <c:invertIfNegative val="0"/>
          <c:dLbls>
            <c:delete val="1"/>
          </c:dLbls>
          <c:cat>
            <c:numRef>
              <c:f>NAND!$AL$43:$AL$89</c:f>
              <c:numCache>
                <c:formatCode>yyyy/m/d</c:formatCode>
                <c:ptCount val="47"/>
                <c:pt idx="0" c:formatCode="yyyy/m/d">
                  <c:v>43496</c:v>
                </c:pt>
                <c:pt idx="1" c:formatCode="yyyy/m/d">
                  <c:v>43524</c:v>
                </c:pt>
                <c:pt idx="2" c:formatCode="yyyy/m/d">
                  <c:v>43555</c:v>
                </c:pt>
                <c:pt idx="3" c:formatCode="yyyy/m/d">
                  <c:v>43585</c:v>
                </c:pt>
                <c:pt idx="4" c:formatCode="yyyy/m/d">
                  <c:v>43616</c:v>
                </c:pt>
                <c:pt idx="5" c:formatCode="yyyy/m/d">
                  <c:v>43646</c:v>
                </c:pt>
                <c:pt idx="6" c:formatCode="yyyy/m/d">
                  <c:v>43677</c:v>
                </c:pt>
                <c:pt idx="7" c:formatCode="yyyy/m/d">
                  <c:v>43708</c:v>
                </c:pt>
                <c:pt idx="8" c:formatCode="yyyy/m/d">
                  <c:v>43738</c:v>
                </c:pt>
                <c:pt idx="9" c:formatCode="yyyy/m/d">
                  <c:v>43769</c:v>
                </c:pt>
                <c:pt idx="10" c:formatCode="yyyy/m/d">
                  <c:v>43799</c:v>
                </c:pt>
                <c:pt idx="11" c:formatCode="yyyy/m/d">
                  <c:v>43830</c:v>
                </c:pt>
                <c:pt idx="12" c:formatCode="yyyy/m/d">
                  <c:v>43861</c:v>
                </c:pt>
                <c:pt idx="13" c:formatCode="yyyy/m/d">
                  <c:v>43890</c:v>
                </c:pt>
                <c:pt idx="14" c:formatCode="yyyy/m/d">
                  <c:v>43921</c:v>
                </c:pt>
                <c:pt idx="15" c:formatCode="yyyy/m/d">
                  <c:v>43951</c:v>
                </c:pt>
                <c:pt idx="16" c:formatCode="yyyy/m/d">
                  <c:v>43982</c:v>
                </c:pt>
                <c:pt idx="17" c:formatCode="yyyy/m/d">
                  <c:v>44012</c:v>
                </c:pt>
                <c:pt idx="18" c:formatCode="yyyy/m/d">
                  <c:v>44043</c:v>
                </c:pt>
                <c:pt idx="19" c:formatCode="yyyy/m/d">
                  <c:v>44074</c:v>
                </c:pt>
                <c:pt idx="20" c:formatCode="yyyy/m/d">
                  <c:v>44104</c:v>
                </c:pt>
                <c:pt idx="21" c:formatCode="yyyy/m/d">
                  <c:v>44135</c:v>
                </c:pt>
                <c:pt idx="22" c:formatCode="yyyy/m/d">
                  <c:v>44165</c:v>
                </c:pt>
                <c:pt idx="23" c:formatCode="yyyy/m/d">
                  <c:v>44196</c:v>
                </c:pt>
                <c:pt idx="24" c:formatCode="yyyy/m/d">
                  <c:v>44227</c:v>
                </c:pt>
                <c:pt idx="25" c:formatCode="yyyy/m/d">
                  <c:v>44255</c:v>
                </c:pt>
                <c:pt idx="26" c:formatCode="yyyy/m/d">
                  <c:v>44286</c:v>
                </c:pt>
                <c:pt idx="27" c:formatCode="yyyy/m/d">
                  <c:v>44316</c:v>
                </c:pt>
                <c:pt idx="28" c:formatCode="yyyy/m/d">
                  <c:v>44347</c:v>
                </c:pt>
                <c:pt idx="29" c:formatCode="yyyy/m/d">
                  <c:v>44377</c:v>
                </c:pt>
                <c:pt idx="30" c:formatCode="yyyy/m/d">
                  <c:v>44408</c:v>
                </c:pt>
                <c:pt idx="31" c:formatCode="yyyy/m/d">
                  <c:v>44439</c:v>
                </c:pt>
                <c:pt idx="32" c:formatCode="yyyy/m/d">
                  <c:v>44469</c:v>
                </c:pt>
                <c:pt idx="33" c:formatCode="yyyy/m/d">
                  <c:v>44500</c:v>
                </c:pt>
                <c:pt idx="34" c:formatCode="yyyy/m/d">
                  <c:v>44530</c:v>
                </c:pt>
                <c:pt idx="35" c:formatCode="yyyy/m/d">
                  <c:v>44561</c:v>
                </c:pt>
                <c:pt idx="36" c:formatCode="yyyy/m/d">
                  <c:v>44592</c:v>
                </c:pt>
                <c:pt idx="37" c:formatCode="yyyy/m/d">
                  <c:v>44620</c:v>
                </c:pt>
                <c:pt idx="38" c:formatCode="yyyy/m/d">
                  <c:v>44651</c:v>
                </c:pt>
                <c:pt idx="39" c:formatCode="yyyy/m/d">
                  <c:v>44681</c:v>
                </c:pt>
                <c:pt idx="40" c:formatCode="yyyy/m/d">
                  <c:v>44712</c:v>
                </c:pt>
                <c:pt idx="41" c:formatCode="yyyy/m/d">
                  <c:v>44742</c:v>
                </c:pt>
                <c:pt idx="42" c:formatCode="yyyy/m/d">
                  <c:v>44773</c:v>
                </c:pt>
                <c:pt idx="43" c:formatCode="yyyy/m/d">
                  <c:v>44804</c:v>
                </c:pt>
                <c:pt idx="44" c:formatCode="yyyy/m/d">
                  <c:v>44834</c:v>
                </c:pt>
                <c:pt idx="45" c:formatCode="yyyy/m/d">
                  <c:v>44865</c:v>
                </c:pt>
                <c:pt idx="46" c:formatCode="yyyy/m/d">
                  <c:v>44895</c:v>
                </c:pt>
              </c:numCache>
            </c:numRef>
          </c:cat>
          <c:val>
            <c:numRef>
              <c:f>NAND!$AS$43:$AS$89</c:f>
              <c:numCache>
                <c:formatCode>#,##0.000</c:formatCode>
                <c:ptCount val="47"/>
                <c:pt idx="0">
                  <c:v>0.08421875</c:v>
                </c:pt>
                <c:pt idx="1">
                  <c:v>0.0759375</c:v>
                </c:pt>
                <c:pt idx="2">
                  <c:v>0.06828125</c:v>
                </c:pt>
                <c:pt idx="3">
                  <c:v>0.063125</c:v>
                </c:pt>
                <c:pt idx="4">
                  <c:v>0.060625</c:v>
                </c:pt>
                <c:pt idx="5">
                  <c:v>0.0596875</c:v>
                </c:pt>
                <c:pt idx="6">
                  <c:v>0.07</c:v>
                </c:pt>
                <c:pt idx="7">
                  <c:v>0.0703125</c:v>
                </c:pt>
                <c:pt idx="8">
                  <c:v>0.0703125</c:v>
                </c:pt>
                <c:pt idx="9">
                  <c:v>0.06890625</c:v>
                </c:pt>
                <c:pt idx="10">
                  <c:v>0.0703125</c:v>
                </c:pt>
                <c:pt idx="11">
                  <c:v>0.07359375</c:v>
                </c:pt>
                <c:pt idx="12">
                  <c:v>0.08234375</c:v>
                </c:pt>
                <c:pt idx="13">
                  <c:v>0.08484375</c:v>
                </c:pt>
                <c:pt idx="14">
                  <c:v>0.08640625</c:v>
                </c:pt>
                <c:pt idx="15">
                  <c:v>0.08640625</c:v>
                </c:pt>
                <c:pt idx="16">
                  <c:v>0.08578125</c:v>
                </c:pt>
                <c:pt idx="17">
                  <c:v>0.08375</c:v>
                </c:pt>
                <c:pt idx="18">
                  <c:v>0.083125</c:v>
                </c:pt>
                <c:pt idx="19">
                  <c:v>0.0775</c:v>
                </c:pt>
                <c:pt idx="20">
                  <c:v>0.0775</c:v>
                </c:pt>
                <c:pt idx="21">
                  <c:v>0.0734375</c:v>
                </c:pt>
                <c:pt idx="22">
                  <c:v>0.06875</c:v>
                </c:pt>
                <c:pt idx="23">
                  <c:v>0.06859375</c:v>
                </c:pt>
                <c:pt idx="24">
                  <c:v>0.06828125</c:v>
                </c:pt>
                <c:pt idx="25">
                  <c:v>0.0709375</c:v>
                </c:pt>
                <c:pt idx="26">
                  <c:v>0.07171875</c:v>
                </c:pt>
                <c:pt idx="27">
                  <c:v>0.07265625</c:v>
                </c:pt>
                <c:pt idx="28">
                  <c:v>0.075</c:v>
                </c:pt>
                <c:pt idx="29">
                  <c:v>0.07828125</c:v>
                </c:pt>
                <c:pt idx="30">
                  <c:v>0.07890625</c:v>
                </c:pt>
                <c:pt idx="31">
                  <c:v>0.07828125</c:v>
                </c:pt>
                <c:pt idx="32">
                  <c:v>0.07328125</c:v>
                </c:pt>
                <c:pt idx="33">
                  <c:v>0.06859375</c:v>
                </c:pt>
                <c:pt idx="34">
                  <c:v>0.06671875</c:v>
                </c:pt>
                <c:pt idx="35">
                  <c:v>0.06421875</c:v>
                </c:pt>
                <c:pt idx="36">
                  <c:v>0.06421875</c:v>
                </c:pt>
                <c:pt idx="37">
                  <c:v>0.0703125</c:v>
                </c:pt>
                <c:pt idx="38">
                  <c:v>0.074375</c:v>
                </c:pt>
                <c:pt idx="39">
                  <c:v>0.074375</c:v>
                </c:pt>
                <c:pt idx="40">
                  <c:v>0.071875</c:v>
                </c:pt>
                <c:pt idx="41">
                  <c:v>0.06375</c:v>
                </c:pt>
                <c:pt idx="42">
                  <c:v>0.05765625</c:v>
                </c:pt>
                <c:pt idx="43">
                  <c:v>0.04765625</c:v>
                </c:pt>
                <c:pt idx="44">
                  <c:v>0.041875</c:v>
                </c:pt>
                <c:pt idx="45">
                  <c:v>0.03796875</c:v>
                </c:pt>
                <c:pt idx="46">
                  <c:v>0.035</c:v>
                </c:pt>
              </c:numCache>
            </c:numRef>
          </c:val>
        </c:ser>
        <c:dLbls>
          <c:showLegendKey val="0"/>
          <c:showVal val="0"/>
          <c:showCatName val="0"/>
          <c:showSerName val="0"/>
          <c:showPercent val="0"/>
          <c:showBubbleSize val="0"/>
        </c:dLbls>
        <c:gapWidth val="66"/>
        <c:axId val="1428906976"/>
        <c:axId val="1475104800"/>
      </c:barChart>
      <c:lineChart>
        <c:grouping val="standard"/>
        <c:varyColors val="0"/>
        <c:ser>
          <c:idx val="1"/>
          <c:order val="1"/>
          <c:tx>
            <c:strRef>
              <c:f>NAND!$AV$22</c:f>
              <c:strCache>
                <c:ptCount val="1"/>
                <c:pt idx="0">
                  <c:v>MoM</c:v>
                </c:pt>
              </c:strCache>
            </c:strRef>
          </c:tx>
          <c:marker>
            <c:symbol val="square"/>
            <c:size val="3"/>
          </c:marker>
          <c:dLbls>
            <c:delete val="1"/>
          </c:dLbls>
          <c:val>
            <c:numRef>
              <c:f>NAND!$AW$43:$AW$89</c:f>
              <c:numCache>
                <c:formatCode>0%</c:formatCode>
                <c:ptCount val="47"/>
                <c:pt idx="0">
                  <c:v>-0.0493827160493827</c:v>
                </c:pt>
                <c:pt idx="1">
                  <c:v>-0.098330241187384</c:v>
                </c:pt>
                <c:pt idx="2">
                  <c:v>-0.10082304526749</c:v>
                </c:pt>
                <c:pt idx="3">
                  <c:v>-0.0755148741418764</c:v>
                </c:pt>
                <c:pt idx="4">
                  <c:v>-0.0396039603960396</c:v>
                </c:pt>
                <c:pt idx="5">
                  <c:v>-0.0154639175257733</c:v>
                </c:pt>
                <c:pt idx="6">
                  <c:v>0.172774869109948</c:v>
                </c:pt>
                <c:pt idx="7">
                  <c:v>0.00446428571428559</c:v>
                </c:pt>
                <c:pt idx="8">
                  <c:v>0</c:v>
                </c:pt>
                <c:pt idx="9">
                  <c:v>-0.02</c:v>
                </c:pt>
                <c:pt idx="10">
                  <c:v>0.0204081632653061</c:v>
                </c:pt>
                <c:pt idx="11">
                  <c:v>0.0466666666666666</c:v>
                </c:pt>
                <c:pt idx="12">
                  <c:v>0.118895966029724</c:v>
                </c:pt>
                <c:pt idx="13">
                  <c:v>0.0303605313092978</c:v>
                </c:pt>
                <c:pt idx="14">
                  <c:v>0.0184162062615103</c:v>
                </c:pt>
                <c:pt idx="15">
                  <c:v>0</c:v>
                </c:pt>
                <c:pt idx="16">
                  <c:v>-0.00723327305605792</c:v>
                </c:pt>
                <c:pt idx="17">
                  <c:v>-0.02367941712204</c:v>
                </c:pt>
                <c:pt idx="18">
                  <c:v>-0.0074626865671642</c:v>
                </c:pt>
                <c:pt idx="19">
                  <c:v>-0.0676691729323309</c:v>
                </c:pt>
                <c:pt idx="20">
                  <c:v>0</c:v>
                </c:pt>
                <c:pt idx="21">
                  <c:v>-0.0524193548387096</c:v>
                </c:pt>
                <c:pt idx="22">
                  <c:v>-0.0638297872340425</c:v>
                </c:pt>
                <c:pt idx="23">
                  <c:v>-0.00227272727272743</c:v>
                </c:pt>
                <c:pt idx="24">
                  <c:v>-0.00455580865603633</c:v>
                </c:pt>
                <c:pt idx="25">
                  <c:v>0.0389016018306636</c:v>
                </c:pt>
                <c:pt idx="26">
                  <c:v>0.0110132158590308</c:v>
                </c:pt>
                <c:pt idx="27">
                  <c:v>0.0130718954248368</c:v>
                </c:pt>
                <c:pt idx="28">
                  <c:v>0.032258064516129</c:v>
                </c:pt>
                <c:pt idx="29">
                  <c:v>0.04375</c:v>
                </c:pt>
                <c:pt idx="30">
                  <c:v>0.00798403193612773</c:v>
                </c:pt>
                <c:pt idx="31">
                  <c:v>-0.00792079207920793</c:v>
                </c:pt>
                <c:pt idx="32">
                  <c:v>-0.0638722554890219</c:v>
                </c:pt>
                <c:pt idx="33">
                  <c:v>-0.0639658848614074</c:v>
                </c:pt>
                <c:pt idx="34">
                  <c:v>-0.0273348519362187</c:v>
                </c:pt>
                <c:pt idx="35">
                  <c:v>-0.037470725995316</c:v>
                </c:pt>
                <c:pt idx="36">
                  <c:v>0</c:v>
                </c:pt>
                <c:pt idx="37">
                  <c:v>0.0948905109489051</c:v>
                </c:pt>
                <c:pt idx="38">
                  <c:v>0.0577777777777777</c:v>
                </c:pt>
                <c:pt idx="39">
                  <c:v>0</c:v>
                </c:pt>
                <c:pt idx="40">
                  <c:v>-0.0336134453781513</c:v>
                </c:pt>
                <c:pt idx="41">
                  <c:v>-0.113043478260869</c:v>
                </c:pt>
                <c:pt idx="42" c:formatCode="0.0%">
                  <c:v>-0.0955882352941176</c:v>
                </c:pt>
                <c:pt idx="43" c:formatCode="0.0%">
                  <c:v>-0.173441734417344</c:v>
                </c:pt>
                <c:pt idx="44" c:formatCode="0.0%">
                  <c:v>-0.121311475409836</c:v>
                </c:pt>
                <c:pt idx="45" c:formatCode="0.0%">
                  <c:v>-0.0932835820895522</c:v>
                </c:pt>
                <c:pt idx="46" c:formatCode="0.0%">
                  <c:v>-0.0781893004115226</c:v>
                </c:pt>
              </c:numCache>
            </c:numRef>
          </c:val>
          <c:smooth val="0"/>
        </c:ser>
        <c:dLbls>
          <c:showLegendKey val="0"/>
          <c:showVal val="0"/>
          <c:showCatName val="0"/>
          <c:showSerName val="0"/>
          <c:showPercent val="0"/>
          <c:showBubbleSize val="0"/>
        </c:dLbls>
        <c:marker val="1"/>
        <c:smooth val="0"/>
        <c:axId val="1481768320"/>
        <c:axId val="1071090016"/>
      </c:lineChart>
      <c:dateAx>
        <c:axId val="1428906976"/>
        <c:scaling>
          <c:orientation val="minMax"/>
        </c:scaling>
        <c:delete val="0"/>
        <c:axPos val="b"/>
        <c:majorGridlines>
          <c:spPr>
            <a:ln w="12700" cap="flat" cmpd="sng" algn="ctr">
              <a:solidFill>
                <a:schemeClr val="tx1">
                  <a:tint val="75000"/>
                </a:schemeClr>
              </a:solidFill>
              <a:prstDash val="dash"/>
              <a:round/>
            </a:ln>
          </c:spPr>
        </c:majorGridlines>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475104800"/>
        <c:crosses val="autoZero"/>
        <c:auto val="1"/>
        <c:lblOffset val="100"/>
        <c:baseTimeUnit val="months"/>
        <c:majorUnit val="3"/>
        <c:majorTimeUnit val="months"/>
      </c:dateAx>
      <c:valAx>
        <c:axId val="1475104800"/>
        <c:scaling>
          <c:orientation val="minMax"/>
        </c:scaling>
        <c:delete val="0"/>
        <c:axPos val="l"/>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US$/GB</a:t>
                </a:r>
                <a:endParaRPr lang="en-US"/>
              </a:p>
            </c:rich>
          </c:tx>
          <c:layout/>
          <c:overlay val="0"/>
        </c:title>
        <c:numFmt formatCode="#,##0.0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428906976"/>
        <c:crosses val="autoZero"/>
        <c:crossBetween val="between"/>
      </c:valAx>
      <c:catAx>
        <c:axId val="1481768320"/>
        <c:scaling>
          <c:orientation val="minMax"/>
        </c:scaling>
        <c:delete val="1"/>
        <c:axPos val="b"/>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071090016"/>
        <c:crosses val="autoZero"/>
        <c:auto val="1"/>
        <c:lblAlgn val="ctr"/>
        <c:lblOffset val="100"/>
        <c:noMultiLvlLbl val="0"/>
      </c:catAx>
      <c:valAx>
        <c:axId val="1071090016"/>
        <c:scaling>
          <c:orientation val="minMax"/>
        </c:scaling>
        <c:delete val="0"/>
        <c:axPos val="r"/>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MoM</a:t>
                </a:r>
                <a:endParaRPr lang="en-US"/>
              </a:p>
            </c:rich>
          </c:tx>
          <c:layout/>
          <c:overlay val="0"/>
        </c:title>
        <c:numFmt formatCode="0%" sourceLinked="1"/>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481768320"/>
        <c:crosses val="max"/>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648b3918-2c5f-4cd7-bc79-b4701642b98b}"/>
      </c:ext>
    </c:extLst>
  </c:chart>
  <c:spPr>
    <a:ln w="3175" cap="flat" cmpd="sng" algn="ctr">
      <a:solidFill>
        <a:srgbClr val="FFFFFF"/>
      </a:solidFill>
      <a:prstDash val="solid"/>
      <a:round/>
    </a:ln>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eMMC Package Contract Price &amp; QoQ</a:t>
            </a:r>
            <a:endParaRPr lang="en-US"/>
          </a:p>
        </c:rich>
      </c:tx>
      <c:layout/>
      <c:overlay val="0"/>
    </c:title>
    <c:autoTitleDeleted val="0"/>
    <c:plotArea>
      <c:layout>
        <c:manualLayout>
          <c:layoutTarget val="inner"/>
          <c:xMode val="edge"/>
          <c:yMode val="edge"/>
          <c:x val="0.0807733446428953"/>
          <c:y val="0.149418115858457"/>
          <c:w val="0.836284998329662"/>
          <c:h val="0.595990603649384"/>
        </c:manualLayout>
      </c:layout>
      <c:barChart>
        <c:barDir val="col"/>
        <c:grouping val="clustered"/>
        <c:varyColors val="0"/>
        <c:ser>
          <c:idx val="6"/>
          <c:order val="0"/>
          <c:tx>
            <c:strRef>
              <c:f>NAND!$BS$23</c:f>
              <c:strCache>
                <c:ptCount val="1"/>
                <c:pt idx="0">
                  <c:v>eMMC MLC 16GB</c:v>
                </c:pt>
              </c:strCache>
            </c:strRef>
          </c:tx>
          <c:spPr>
            <a:solidFill>
              <a:schemeClr val="accent1"/>
            </a:solidFill>
            <a:ln>
              <a:solidFill>
                <a:srgbClr val="000000"/>
              </a:solidFill>
            </a:ln>
          </c:spPr>
          <c:invertIfNegative val="0"/>
          <c:dLbls>
            <c:delete val="1"/>
          </c:dLbls>
          <c:cat>
            <c:strRef>
              <c:f>NAND!$BK$33:$BK$62</c:f>
              <c:strCache>
                <c:ptCount val="30"/>
                <c:pt idx="0" c:formatCode="#,##0.0">
                  <c:v>1Q18</c:v>
                </c:pt>
                <c:pt idx="1" c:formatCode="#,##0.0">
                  <c:v>2Q18</c:v>
                </c:pt>
                <c:pt idx="2" c:formatCode="#,##0.0">
                  <c:v>3Q18</c:v>
                </c:pt>
                <c:pt idx="3" c:formatCode="#,##0.0">
                  <c:v>4Q18</c:v>
                </c:pt>
                <c:pt idx="4" c:formatCode="#,##0.0">
                  <c:v>1Q19</c:v>
                </c:pt>
                <c:pt idx="5" c:formatCode="#,##0.0">
                  <c:v>2Q19</c:v>
                </c:pt>
                <c:pt idx="6" c:formatCode="#,##0.0">
                  <c:v>3Q19</c:v>
                </c:pt>
                <c:pt idx="7" c:formatCode="#,##0.0">
                  <c:v>4Q19</c:v>
                </c:pt>
                <c:pt idx="8" c:formatCode="#,##0.0">
                  <c:v>1Q20</c:v>
                </c:pt>
                <c:pt idx="9" c:formatCode="#,##0.0">
                  <c:v>2Q20</c:v>
                </c:pt>
                <c:pt idx="10" c:formatCode="#,##0.0">
                  <c:v>3Q20</c:v>
                </c:pt>
                <c:pt idx="11" c:formatCode="#,##0.0">
                  <c:v>4Q20</c:v>
                </c:pt>
                <c:pt idx="12" c:formatCode="#,##0.0">
                  <c:v>1Q21</c:v>
                </c:pt>
                <c:pt idx="13" c:formatCode="#,##0.0">
                  <c:v>2Q21</c:v>
                </c:pt>
                <c:pt idx="14" c:formatCode="#,##0.0">
                  <c:v>3Q21</c:v>
                </c:pt>
                <c:pt idx="15" c:formatCode="yyyy/m/d">
                  <c:v>4Q21</c:v>
                </c:pt>
                <c:pt idx="16" c:formatCode="yyyy/m/d">
                  <c:v>1Q22</c:v>
                </c:pt>
                <c:pt idx="17" c:formatCode="yyyy/m/d">
                  <c:v>2Q22</c:v>
                </c:pt>
                <c:pt idx="18" c:formatCode="yyyy/m/d">
                  <c:v>3Q22</c:v>
                </c:pt>
                <c:pt idx="19" c:formatCode="yyyy/m/d">
                  <c:v>4Q22</c:v>
                </c:pt>
                <c:pt idx="20" c:formatCode="yyyy/m/d">
                  <c:v>1Q23</c:v>
                </c:pt>
                <c:pt idx="21" c:formatCode="yyyy/m/d">
                  <c:v>2Q23</c:v>
                </c:pt>
                <c:pt idx="22" c:formatCode="yyyy/m/d">
                  <c:v>3Q23</c:v>
                </c:pt>
                <c:pt idx="23" c:formatCode="yyyy/m/d">
                  <c:v>4Q23</c:v>
                </c:pt>
                <c:pt idx="24" c:formatCode="yyyy/m/d">
                  <c:v>1Q24</c:v>
                </c:pt>
                <c:pt idx="25" c:formatCode="yyyy/m/d">
                  <c:v>2Q24</c:v>
                </c:pt>
                <c:pt idx="26" c:formatCode="yyyy/m/d">
                  <c:v>3Q24</c:v>
                </c:pt>
                <c:pt idx="27" c:formatCode="yyyy/m/d">
                  <c:v>4Q24</c:v>
                </c:pt>
                <c:pt idx="28" c:formatCode="yyyy/m/d">
                  <c:v>1Q25</c:v>
                </c:pt>
                <c:pt idx="29" c:formatCode="yyyy/m/d">
                  <c:v>2Q25</c:v>
                </c:pt>
              </c:strCache>
            </c:strRef>
          </c:cat>
          <c:val>
            <c:numRef>
              <c:f>NAND!$BS$33:$BS$62</c:f>
              <c:numCache>
                <c:formatCode>#,##0.000</c:formatCode>
                <c:ptCount val="30"/>
                <c:pt idx="0">
                  <c:v>0.37875</c:v>
                </c:pt>
                <c:pt idx="1">
                  <c:v>0.37875</c:v>
                </c:pt>
                <c:pt idx="2">
                  <c:v>0.3525</c:v>
                </c:pt>
                <c:pt idx="3">
                  <c:v>0.30375</c:v>
                </c:pt>
                <c:pt idx="4">
                  <c:v>0.275</c:v>
                </c:pt>
                <c:pt idx="5">
                  <c:v>0.225625</c:v>
                </c:pt>
                <c:pt idx="6">
                  <c:v>0.196875</c:v>
                </c:pt>
                <c:pt idx="7">
                  <c:v>0.2225</c:v>
                </c:pt>
                <c:pt idx="8">
                  <c:v>0.244375</c:v>
                </c:pt>
                <c:pt idx="9">
                  <c:v>0.259375</c:v>
                </c:pt>
                <c:pt idx="10">
                  <c:v>0.224375</c:v>
                </c:pt>
                <c:pt idx="11">
                  <c:v>0.216875</c:v>
                </c:pt>
                <c:pt idx="12">
                  <c:v>0.22125</c:v>
                </c:pt>
                <c:pt idx="13">
                  <c:v>0.250625</c:v>
                </c:pt>
                <c:pt idx="14">
                  <c:v>0.26375</c:v>
                </c:pt>
                <c:pt idx="15">
                  <c:v>0.245625</c:v>
                </c:pt>
                <c:pt idx="16">
                  <c:v>0.239375</c:v>
                </c:pt>
                <c:pt idx="17">
                  <c:v>0.249375</c:v>
                </c:pt>
                <c:pt idx="18">
                  <c:v>0.23125</c:v>
                </c:pt>
                <c:pt idx="19">
                  <c:v>0.19</c:v>
                </c:pt>
                <c:pt idx="20">
                  <c:v>0.17</c:v>
                </c:pt>
                <c:pt idx="21">
                  <c:v>0.154375</c:v>
                </c:pt>
                <c:pt idx="22">
                  <c:v>0.154375</c:v>
                </c:pt>
                <c:pt idx="23">
                  <c:v>0.17</c:v>
                </c:pt>
                <c:pt idx="24">
                  <c:v>0.20375</c:v>
                </c:pt>
                <c:pt idx="25">
                  <c:v>0.211875</c:v>
                </c:pt>
                <c:pt idx="26">
                  <c:v>0.211875</c:v>
                </c:pt>
                <c:pt idx="27">
                  <c:v>0.195</c:v>
                </c:pt>
                <c:pt idx="28">
                  <c:v>0.1825</c:v>
                </c:pt>
                <c:pt idx="29">
                  <c:v>0.25375</c:v>
                </c:pt>
              </c:numCache>
            </c:numRef>
          </c:val>
        </c:ser>
        <c:ser>
          <c:idx val="0"/>
          <c:order val="1"/>
          <c:tx>
            <c:strRef>
              <c:f>NAND!$BR$23</c:f>
              <c:strCache>
                <c:ptCount val="1"/>
                <c:pt idx="0">
                  <c:v>eMMC TLC 128GB</c:v>
                </c:pt>
              </c:strCache>
            </c:strRef>
          </c:tx>
          <c:spPr>
            <a:solidFill>
              <a:schemeClr val="accent2"/>
            </a:solidFill>
            <a:ln w="9525">
              <a:solidFill>
                <a:srgbClr val="000000"/>
              </a:solidFill>
              <a:prstDash val="solid"/>
            </a:ln>
          </c:spPr>
          <c:invertIfNegative val="0"/>
          <c:dLbls>
            <c:delete val="1"/>
          </c:dLbls>
          <c:cat>
            <c:strRef>
              <c:f>NAND!$BK$33:$BK$62</c:f>
              <c:strCache>
                <c:ptCount val="30"/>
                <c:pt idx="0" c:formatCode="#,##0.0">
                  <c:v>1Q18</c:v>
                </c:pt>
                <c:pt idx="1" c:formatCode="#,##0.0">
                  <c:v>2Q18</c:v>
                </c:pt>
                <c:pt idx="2" c:formatCode="#,##0.0">
                  <c:v>3Q18</c:v>
                </c:pt>
                <c:pt idx="3" c:formatCode="#,##0.0">
                  <c:v>4Q18</c:v>
                </c:pt>
                <c:pt idx="4" c:formatCode="#,##0.0">
                  <c:v>1Q19</c:v>
                </c:pt>
                <c:pt idx="5" c:formatCode="#,##0.0">
                  <c:v>2Q19</c:v>
                </c:pt>
                <c:pt idx="6" c:formatCode="#,##0.0">
                  <c:v>3Q19</c:v>
                </c:pt>
                <c:pt idx="7" c:formatCode="#,##0.0">
                  <c:v>4Q19</c:v>
                </c:pt>
                <c:pt idx="8" c:formatCode="#,##0.0">
                  <c:v>1Q20</c:v>
                </c:pt>
                <c:pt idx="9" c:formatCode="#,##0.0">
                  <c:v>2Q20</c:v>
                </c:pt>
                <c:pt idx="10" c:formatCode="#,##0.0">
                  <c:v>3Q20</c:v>
                </c:pt>
                <c:pt idx="11" c:formatCode="#,##0.0">
                  <c:v>4Q20</c:v>
                </c:pt>
                <c:pt idx="12" c:formatCode="#,##0.0">
                  <c:v>1Q21</c:v>
                </c:pt>
                <c:pt idx="13" c:formatCode="#,##0.0">
                  <c:v>2Q21</c:v>
                </c:pt>
                <c:pt idx="14" c:formatCode="#,##0.0">
                  <c:v>3Q21</c:v>
                </c:pt>
                <c:pt idx="15" c:formatCode="yyyy/m/d">
                  <c:v>4Q21</c:v>
                </c:pt>
                <c:pt idx="16" c:formatCode="yyyy/m/d">
                  <c:v>1Q22</c:v>
                </c:pt>
                <c:pt idx="17" c:formatCode="yyyy/m/d">
                  <c:v>2Q22</c:v>
                </c:pt>
                <c:pt idx="18" c:formatCode="yyyy/m/d">
                  <c:v>3Q22</c:v>
                </c:pt>
                <c:pt idx="19" c:formatCode="yyyy/m/d">
                  <c:v>4Q22</c:v>
                </c:pt>
                <c:pt idx="20" c:formatCode="yyyy/m/d">
                  <c:v>1Q23</c:v>
                </c:pt>
                <c:pt idx="21" c:formatCode="yyyy/m/d">
                  <c:v>2Q23</c:v>
                </c:pt>
                <c:pt idx="22" c:formatCode="yyyy/m/d">
                  <c:v>3Q23</c:v>
                </c:pt>
                <c:pt idx="23" c:formatCode="yyyy/m/d">
                  <c:v>4Q23</c:v>
                </c:pt>
                <c:pt idx="24" c:formatCode="yyyy/m/d">
                  <c:v>1Q24</c:v>
                </c:pt>
                <c:pt idx="25" c:formatCode="yyyy/m/d">
                  <c:v>2Q24</c:v>
                </c:pt>
                <c:pt idx="26" c:formatCode="yyyy/m/d">
                  <c:v>3Q24</c:v>
                </c:pt>
                <c:pt idx="27" c:formatCode="yyyy/m/d">
                  <c:v>4Q24</c:v>
                </c:pt>
                <c:pt idx="28" c:formatCode="yyyy/m/d">
                  <c:v>1Q25</c:v>
                </c:pt>
                <c:pt idx="29" c:formatCode="yyyy/m/d">
                  <c:v>2Q25</c:v>
                </c:pt>
              </c:strCache>
            </c:strRef>
          </c:cat>
          <c:val>
            <c:numRef>
              <c:f>NAND!$BR$33:$BR$62</c:f>
              <c:numCache>
                <c:formatCode>#,##0.000</c:formatCode>
                <c:ptCount val="30"/>
                <c:pt idx="0">
                  <c:v>0.31015625</c:v>
                </c:pt>
                <c:pt idx="1">
                  <c:v>0.29765625</c:v>
                </c:pt>
                <c:pt idx="2">
                  <c:v>0.2765625</c:v>
                </c:pt>
                <c:pt idx="3">
                  <c:v>0.23125</c:v>
                </c:pt>
                <c:pt idx="4">
                  <c:v>0.18796875</c:v>
                </c:pt>
                <c:pt idx="5">
                  <c:v>0.146171875</c:v>
                </c:pt>
                <c:pt idx="6">
                  <c:v>0.13921875</c:v>
                </c:pt>
                <c:pt idx="7">
                  <c:v>0.13921875</c:v>
                </c:pt>
                <c:pt idx="8">
                  <c:v>0.14359375</c:v>
                </c:pt>
                <c:pt idx="9">
                  <c:v>0.14921875</c:v>
                </c:pt>
                <c:pt idx="10">
                  <c:v>0.14921875</c:v>
                </c:pt>
                <c:pt idx="11">
                  <c:v>0.1484375</c:v>
                </c:pt>
                <c:pt idx="12">
                  <c:v>0.1484375</c:v>
                </c:pt>
                <c:pt idx="13">
                  <c:v>0.15328125</c:v>
                </c:pt>
                <c:pt idx="14">
                  <c:v>0.15625</c:v>
                </c:pt>
                <c:pt idx="15">
                  <c:v>0.15078125</c:v>
                </c:pt>
                <c:pt idx="16">
                  <c:v>0.145625</c:v>
                </c:pt>
                <c:pt idx="17">
                  <c:v>0.14625</c:v>
                </c:pt>
                <c:pt idx="18">
                  <c:v>0.125234375</c:v>
                </c:pt>
                <c:pt idx="19">
                  <c:v>0.10546875</c:v>
                </c:pt>
                <c:pt idx="20">
                  <c:v>0.0946875</c:v>
                </c:pt>
                <c:pt idx="21">
                  <c:v>0.07578125</c:v>
                </c:pt>
                <c:pt idx="22">
                  <c:v>0.071171875</c:v>
                </c:pt>
                <c:pt idx="23">
                  <c:v>0.07515625</c:v>
                </c:pt>
                <c:pt idx="24">
                  <c:v>0.08390625</c:v>
                </c:pt>
                <c:pt idx="25">
                  <c:v>0.08015625</c:v>
                </c:pt>
                <c:pt idx="26">
                  <c:v>0.08015625</c:v>
                </c:pt>
                <c:pt idx="27">
                  <c:v>0.069765625</c:v>
                </c:pt>
                <c:pt idx="28">
                  <c:v>0.056875</c:v>
                </c:pt>
                <c:pt idx="29">
                  <c:v>0.06203125</c:v>
                </c:pt>
              </c:numCache>
            </c:numRef>
          </c:val>
        </c:ser>
        <c:dLbls>
          <c:showLegendKey val="0"/>
          <c:showVal val="0"/>
          <c:showCatName val="0"/>
          <c:showSerName val="0"/>
          <c:showPercent val="0"/>
          <c:showBubbleSize val="0"/>
        </c:dLbls>
        <c:gapWidth val="66"/>
        <c:axId val="1341051183"/>
        <c:axId val="1281690735"/>
        <c:extLst>
          <c:ext xmlns:c15="http://schemas.microsoft.com/office/drawing/2012/chart" uri="{02D57815-91ED-43cb-92C2-25804820EDAC}">
            <c15:filteredBarSeries>
              <c15:ser>
                <c:idx val="1"/>
                <c:order val="2"/>
                <c:tx>
                  <c:strRef>
                    <c:extLst>
                      <c:ext uri="{02D57815-91ED-43cb-92C2-25804820EDAC}">
                        <c15:formulaRef>
                          <c15:sqref>NAND!$BT$23</c15:sqref>
                        </c15:formulaRef>
                      </c:ext>
                    </c:extLst>
                    <c:strCache>
                      <c:ptCount val="1"/>
                      <c:pt idx="0">
                        <c:v>UFS 128GB</c:v>
                      </c:pt>
                    </c:strCache>
                  </c:strRef>
                </c:tx>
                <c:spPr>
                  <a:solidFill>
                    <a:schemeClr val="accent3"/>
                  </a:solidFill>
                  <a:ln w="9525">
                    <a:solidFill>
                      <a:srgbClr val="000000"/>
                    </a:solidFill>
                    <a:prstDash val="solid"/>
                  </a:ln>
                </c:spPr>
                <c:invertIfNegative val="0"/>
                <c:dLbls>
                  <c:delete val="1"/>
                </c:dLbls>
                <c:cat>
                  <c:strRef>
                    <c:extLst>
                      <c:ext uri="{02D57815-91ED-43cb-92C2-25804820EDAC}">
                        <c15:fullRef>
                          <c15:sqref/>
                        </c15:fullRef>
                        <c15:formulaRef>
                          <c15:sqref>NAND!$BK$33:$BK$62</c15:sqref>
                        </c15:formulaRef>
                      </c:ext>
                    </c:extLst>
                    <c:strCache>
                      <c:ptCount val="30"/>
                      <c:pt idx="0" c:formatCode="#,##0.0">
                        <c:v>1Q18</c:v>
                      </c:pt>
                      <c:pt idx="1" c:formatCode="#,##0.0">
                        <c:v>2Q18</c:v>
                      </c:pt>
                      <c:pt idx="2" c:formatCode="#,##0.0">
                        <c:v>3Q18</c:v>
                      </c:pt>
                      <c:pt idx="3" c:formatCode="#,##0.0">
                        <c:v>4Q18</c:v>
                      </c:pt>
                      <c:pt idx="4" c:formatCode="#,##0.0">
                        <c:v>1Q19</c:v>
                      </c:pt>
                      <c:pt idx="5" c:formatCode="#,##0.0">
                        <c:v>2Q19</c:v>
                      </c:pt>
                      <c:pt idx="6" c:formatCode="#,##0.0">
                        <c:v>3Q19</c:v>
                      </c:pt>
                      <c:pt idx="7" c:formatCode="#,##0.0">
                        <c:v>4Q19</c:v>
                      </c:pt>
                      <c:pt idx="8" c:formatCode="#,##0.0">
                        <c:v>1Q20</c:v>
                      </c:pt>
                      <c:pt idx="9" c:formatCode="#,##0.0">
                        <c:v>2Q20</c:v>
                      </c:pt>
                      <c:pt idx="10" c:formatCode="#,##0.0">
                        <c:v>3Q20</c:v>
                      </c:pt>
                      <c:pt idx="11" c:formatCode="#,##0.0">
                        <c:v>4Q20</c:v>
                      </c:pt>
                      <c:pt idx="12" c:formatCode="#,##0.0">
                        <c:v>1Q21</c:v>
                      </c:pt>
                      <c:pt idx="13" c:formatCode="#,##0.0">
                        <c:v>2Q21</c:v>
                      </c:pt>
                      <c:pt idx="14" c:formatCode="#,##0.0">
                        <c:v>3Q21</c:v>
                      </c:pt>
                      <c:pt idx="15" c:formatCode="yyyy/m/d">
                        <c:v>4Q21</c:v>
                      </c:pt>
                      <c:pt idx="16" c:formatCode="yyyy/m/d">
                        <c:v>1Q22</c:v>
                      </c:pt>
                      <c:pt idx="17" c:formatCode="yyyy/m/d">
                        <c:v>2Q22</c:v>
                      </c:pt>
                      <c:pt idx="18" c:formatCode="yyyy/m/d">
                        <c:v>3Q22</c:v>
                      </c:pt>
                      <c:pt idx="19" c:formatCode="yyyy/m/d">
                        <c:v>4Q22</c:v>
                      </c:pt>
                      <c:pt idx="20" c:formatCode="yyyy/m/d">
                        <c:v>1Q23</c:v>
                      </c:pt>
                      <c:pt idx="21" c:formatCode="yyyy/m/d">
                        <c:v>2Q23</c:v>
                      </c:pt>
                      <c:pt idx="22" c:formatCode="yyyy/m/d">
                        <c:v>3Q23</c:v>
                      </c:pt>
                      <c:pt idx="23" c:formatCode="yyyy/m/d">
                        <c:v>4Q23</c:v>
                      </c:pt>
                      <c:pt idx="24" c:formatCode="yyyy/m/d">
                        <c:v>1Q24</c:v>
                      </c:pt>
                      <c:pt idx="25" c:formatCode="yyyy/m/d">
                        <c:v>2Q24</c:v>
                      </c:pt>
                      <c:pt idx="26" c:formatCode="yyyy/m/d">
                        <c:v>3Q24</c:v>
                      </c:pt>
                      <c:pt idx="27" c:formatCode="yyyy/m/d">
                        <c:v>4Q24</c:v>
                      </c:pt>
                      <c:pt idx="28" c:formatCode="yyyy/m/d">
                        <c:v>1Q25</c:v>
                      </c:pt>
                      <c:pt idx="29" c:formatCode="yyyy/m/d">
                        <c:v>2Q25</c:v>
                      </c:pt>
                    </c:strCache>
                  </c:strRef>
                </c:cat>
                <c:val>
                  <c:numRef>
                    <c:extLst>
                      <c:ext uri="{02D57815-91ED-43cb-92C2-25804820EDAC}">
                        <c15:formulaRef>
                          <c15:sqref>NAND!$BT$33:$BT$51</c15:sqref>
                        </c15:formulaRef>
                      </c:ext>
                    </c:extLst>
                    <c:numCache>
                      <c:formatCode>#,##0.000</c:formatCode>
                      <c:ptCount val="19"/>
                      <c:pt idx="0">
                        <c:v>0.328125</c:v>
                      </c:pt>
                      <c:pt idx="1">
                        <c:v>0.28515625</c:v>
                      </c:pt>
                      <c:pt idx="2">
                        <c:v>0.26484375</c:v>
                      </c:pt>
                      <c:pt idx="3">
                        <c:v>0.22421875</c:v>
                      </c:pt>
                      <c:pt idx="4">
                        <c:v>0.1859375</c:v>
                      </c:pt>
                      <c:pt idx="5">
                        <c:v>0.14484375</c:v>
                      </c:pt>
                      <c:pt idx="6">
                        <c:v>0.135625</c:v>
                      </c:pt>
                      <c:pt idx="7">
                        <c:v>0.135859375</c:v>
                      </c:pt>
                      <c:pt idx="8">
                        <c:v>0.13703125</c:v>
                      </c:pt>
                      <c:pt idx="9">
                        <c:v>0.1403125</c:v>
                      </c:pt>
                      <c:pt idx="10">
                        <c:v>0.13734375</c:v>
                      </c:pt>
                      <c:pt idx="11">
                        <c:v>0.13515625</c:v>
                      </c:pt>
                      <c:pt idx="12">
                        <c:v>0.129375</c:v>
                      </c:pt>
                      <c:pt idx="13">
                        <c:v>0.135</c:v>
                      </c:pt>
                      <c:pt idx="14">
                        <c:v>0.1409375</c:v>
                      </c:pt>
                      <c:pt idx="15">
                        <c:v>0.13234375</c:v>
                      </c:pt>
                      <c:pt idx="16">
                        <c:v>0.12171875</c:v>
                      </c:pt>
                      <c:pt idx="17">
                        <c:v>0.12421875</c:v>
                      </c:pt>
                      <c:pt idx="18">
                        <c:v>0.10359375</c:v>
                      </c:pt>
                    </c:numCache>
                  </c:numRef>
                </c:val>
              </c15:ser>
            </c15:filteredBarSeries>
            <c15:filteredBarSeries>
              <c15:ser>
                <c:idx val="2"/>
                <c:order val="3"/>
                <c:tx>
                  <c:strRef>
                    <c:extLst>
                      <c:ext uri="{02D57815-91ED-43cb-92C2-25804820EDAC}">
                        <c15:formulaRef>
                          <c15:sqref>NAND!$BU$23</c15:sqref>
                        </c15:formulaRef>
                      </c:ext>
                    </c:extLst>
                    <c:strCache>
                      <c:ptCount val="1"/>
                      <c:pt idx="0">
                        <c:v>UFS 256GB</c:v>
                      </c:pt>
                    </c:strCache>
                  </c:strRef>
                </c:tx>
                <c:spPr>
                  <a:solidFill>
                    <a:schemeClr val="accent4"/>
                  </a:solidFill>
                  <a:ln w="9525">
                    <a:solidFill>
                      <a:srgbClr val="000000"/>
                    </a:solidFill>
                    <a:prstDash val="solid"/>
                  </a:ln>
                </c:spPr>
                <c:invertIfNegative val="0"/>
                <c:dLbls>
                  <c:delete val="1"/>
                </c:dLbls>
                <c:cat>
                  <c:strRef>
                    <c:extLst>
                      <c:ext uri="{02D57815-91ED-43cb-92C2-25804820EDAC}">
                        <c15:fullRef>
                          <c15:sqref/>
                        </c15:fullRef>
                        <c15:formulaRef>
                          <c15:sqref>NAND!$BK$33:$BK$62</c15:sqref>
                        </c15:formulaRef>
                      </c:ext>
                    </c:extLst>
                    <c:strCache>
                      <c:ptCount val="30"/>
                      <c:pt idx="0" c:formatCode="#,##0.0">
                        <c:v>1Q18</c:v>
                      </c:pt>
                      <c:pt idx="1" c:formatCode="#,##0.0">
                        <c:v>2Q18</c:v>
                      </c:pt>
                      <c:pt idx="2" c:formatCode="#,##0.0">
                        <c:v>3Q18</c:v>
                      </c:pt>
                      <c:pt idx="3" c:formatCode="#,##0.0">
                        <c:v>4Q18</c:v>
                      </c:pt>
                      <c:pt idx="4" c:formatCode="#,##0.0">
                        <c:v>1Q19</c:v>
                      </c:pt>
                      <c:pt idx="5" c:formatCode="#,##0.0">
                        <c:v>2Q19</c:v>
                      </c:pt>
                      <c:pt idx="6" c:formatCode="#,##0.0">
                        <c:v>3Q19</c:v>
                      </c:pt>
                      <c:pt idx="7" c:formatCode="#,##0.0">
                        <c:v>4Q19</c:v>
                      </c:pt>
                      <c:pt idx="8" c:formatCode="#,##0.0">
                        <c:v>1Q20</c:v>
                      </c:pt>
                      <c:pt idx="9" c:formatCode="#,##0.0">
                        <c:v>2Q20</c:v>
                      </c:pt>
                      <c:pt idx="10" c:formatCode="#,##0.0">
                        <c:v>3Q20</c:v>
                      </c:pt>
                      <c:pt idx="11" c:formatCode="#,##0.0">
                        <c:v>4Q20</c:v>
                      </c:pt>
                      <c:pt idx="12" c:formatCode="#,##0.0">
                        <c:v>1Q21</c:v>
                      </c:pt>
                      <c:pt idx="13" c:formatCode="#,##0.0">
                        <c:v>2Q21</c:v>
                      </c:pt>
                      <c:pt idx="14" c:formatCode="#,##0.0">
                        <c:v>3Q21</c:v>
                      </c:pt>
                      <c:pt idx="15" c:formatCode="yyyy/m/d">
                        <c:v>4Q21</c:v>
                      </c:pt>
                      <c:pt idx="16" c:formatCode="yyyy/m/d">
                        <c:v>1Q22</c:v>
                      </c:pt>
                      <c:pt idx="17" c:formatCode="yyyy/m/d">
                        <c:v>2Q22</c:v>
                      </c:pt>
                      <c:pt idx="18" c:formatCode="yyyy/m/d">
                        <c:v>3Q22</c:v>
                      </c:pt>
                      <c:pt idx="19" c:formatCode="yyyy/m/d">
                        <c:v>4Q22</c:v>
                      </c:pt>
                      <c:pt idx="20" c:formatCode="yyyy/m/d">
                        <c:v>1Q23</c:v>
                      </c:pt>
                      <c:pt idx="21" c:formatCode="yyyy/m/d">
                        <c:v>2Q23</c:v>
                      </c:pt>
                      <c:pt idx="22" c:formatCode="yyyy/m/d">
                        <c:v>3Q23</c:v>
                      </c:pt>
                      <c:pt idx="23" c:formatCode="yyyy/m/d">
                        <c:v>4Q23</c:v>
                      </c:pt>
                      <c:pt idx="24" c:formatCode="yyyy/m/d">
                        <c:v>1Q24</c:v>
                      </c:pt>
                      <c:pt idx="25" c:formatCode="yyyy/m/d">
                        <c:v>2Q24</c:v>
                      </c:pt>
                      <c:pt idx="26" c:formatCode="yyyy/m/d">
                        <c:v>3Q24</c:v>
                      </c:pt>
                      <c:pt idx="27" c:formatCode="yyyy/m/d">
                        <c:v>4Q24</c:v>
                      </c:pt>
                      <c:pt idx="28" c:formatCode="yyyy/m/d">
                        <c:v>1Q25</c:v>
                      </c:pt>
                      <c:pt idx="29" c:formatCode="yyyy/m/d">
                        <c:v>2Q25</c:v>
                      </c:pt>
                    </c:strCache>
                  </c:strRef>
                </c:cat>
                <c:val>
                  <c:numRef>
                    <c:extLst>
                      <c:ext uri="{02D57815-91ED-43cb-92C2-25804820EDAC}">
                        <c15:formulaRef>
                          <c15:sqref>NAND!$BU$33:$BU$51</c15:sqref>
                        </c15:formulaRef>
                      </c:ext>
                    </c:extLst>
                    <c:numCache>
                      <c:formatCode>#,##0.000</c:formatCode>
                      <c:ptCount val="19"/>
                      <c:pt idx="1">
                        <c:v>0.3046875</c:v>
                      </c:pt>
                      <c:pt idx="2">
                        <c:v>0.271484375</c:v>
                      </c:pt>
                      <c:pt idx="3">
                        <c:v>0.225</c:v>
                      </c:pt>
                      <c:pt idx="4">
                        <c:v>0.14140625</c:v>
                      </c:pt>
                      <c:pt idx="5">
                        <c:v>0.106875</c:v>
                      </c:pt>
                      <c:pt idx="6">
                        <c:v>0.102734375</c:v>
                      </c:pt>
                      <c:pt idx="7">
                        <c:v>0.104296875</c:v>
                      </c:pt>
                      <c:pt idx="8">
                        <c:v>0.106953125</c:v>
                      </c:pt>
                      <c:pt idx="9">
                        <c:v>0.10921875</c:v>
                      </c:pt>
                      <c:pt idx="10">
                        <c:v>0.10765625</c:v>
                      </c:pt>
                      <c:pt idx="11">
                        <c:v>0.106484375</c:v>
                      </c:pt>
                      <c:pt idx="12">
                        <c:v>0.103046875</c:v>
                      </c:pt>
                      <c:pt idx="13">
                        <c:v>0.107421875</c:v>
                      </c:pt>
                      <c:pt idx="14">
                        <c:v>0.11359375</c:v>
                      </c:pt>
                      <c:pt idx="15">
                        <c:v>0.107734375</c:v>
                      </c:pt>
                      <c:pt idx="16">
                        <c:v>0.098828125</c:v>
                      </c:pt>
                      <c:pt idx="17">
                        <c:v>0.10078125</c:v>
                      </c:pt>
                      <c:pt idx="18">
                        <c:v>0.094765625</c:v>
                      </c:pt>
                    </c:numCache>
                  </c:numRef>
                </c:val>
              </c15:ser>
            </c15:filteredBarSeries>
          </c:ext>
        </c:extLst>
      </c:barChart>
      <c:lineChart>
        <c:grouping val="standard"/>
        <c:varyColors val="0"/>
        <c:ser>
          <c:idx val="7"/>
          <c:order val="4"/>
          <c:tx>
            <c:strRef>
              <c:f>NAND!$BX$23</c:f>
              <c:strCache>
                <c:ptCount val="1"/>
                <c:pt idx="0">
                  <c:v>QoQ eMMC MLC 16GB</c:v>
                </c:pt>
              </c:strCache>
            </c:strRef>
          </c:tx>
          <c:spPr>
            <a:ln w="12700" cap="rnd" cmpd="sng" algn="ctr">
              <a:solidFill>
                <a:schemeClr val="accent2">
                  <a:tint val="76667"/>
                </a:schemeClr>
              </a:solidFill>
              <a:prstDash val="solid"/>
              <a:round/>
            </a:ln>
          </c:spPr>
          <c:marker>
            <c:symbol val="triangle"/>
            <c:size val="4"/>
            <c:spPr>
              <a:solidFill>
                <a:schemeClr val="accent5"/>
              </a:solidFill>
            </c:spPr>
          </c:marker>
          <c:dLbls>
            <c:delete val="1"/>
          </c:dLbls>
          <c:val>
            <c:numRef>
              <c:f>NAND!$BX$33:$BX$62</c:f>
              <c:numCache>
                <c:formatCode>0%</c:formatCode>
                <c:ptCount val="30"/>
                <c:pt idx="0">
                  <c:v>0.00664451827242529</c:v>
                </c:pt>
                <c:pt idx="1">
                  <c:v>0</c:v>
                </c:pt>
                <c:pt idx="2">
                  <c:v>-0.0693069306930693</c:v>
                </c:pt>
                <c:pt idx="3">
                  <c:v>-0.138297872340425</c:v>
                </c:pt>
                <c:pt idx="4">
                  <c:v>-0.0946502057613169</c:v>
                </c:pt>
                <c:pt idx="5">
                  <c:v>-0.179545454545455</c:v>
                </c:pt>
                <c:pt idx="6">
                  <c:v>-0.127423822714681</c:v>
                </c:pt>
                <c:pt idx="7">
                  <c:v>0.13015873015873</c:v>
                </c:pt>
                <c:pt idx="8">
                  <c:v>0.098314606741573</c:v>
                </c:pt>
                <c:pt idx="9">
                  <c:v>0.0613810741687979</c:v>
                </c:pt>
                <c:pt idx="10">
                  <c:v>-0.134939759036145</c:v>
                </c:pt>
                <c:pt idx="11">
                  <c:v>-0.0334261838440111</c:v>
                </c:pt>
                <c:pt idx="12">
                  <c:v>0.0201729106628241</c:v>
                </c:pt>
                <c:pt idx="13">
                  <c:v>0.132768361581921</c:v>
                </c:pt>
                <c:pt idx="14">
                  <c:v>0.0523690773067331</c:v>
                </c:pt>
                <c:pt idx="15">
                  <c:v>-0.0687203791469193</c:v>
                </c:pt>
                <c:pt idx="16" c:formatCode="0.0%">
                  <c:v>-0.0254452926208651</c:v>
                </c:pt>
                <c:pt idx="17" c:formatCode="0.0%">
                  <c:v>0.04177545691906</c:v>
                </c:pt>
                <c:pt idx="18" c:formatCode="0.0%">
                  <c:v>-0.0726817042606517</c:v>
                </c:pt>
                <c:pt idx="19" c:formatCode="0.0%">
                  <c:v>-0.178378378378378</c:v>
                </c:pt>
                <c:pt idx="20" c:formatCode="0.0%">
                  <c:v>-0.105263157894737</c:v>
                </c:pt>
                <c:pt idx="21" c:formatCode="0.0%">
                  <c:v>-0.0919117647058824</c:v>
                </c:pt>
                <c:pt idx="22" c:formatCode="0.0%">
                  <c:v>0</c:v>
                </c:pt>
                <c:pt idx="23" c:formatCode="0.0%">
                  <c:v>0.101214574898785</c:v>
                </c:pt>
                <c:pt idx="24" c:formatCode="0.0%">
                  <c:v>0.198529411764706</c:v>
                </c:pt>
                <c:pt idx="25" c:formatCode="0.0%">
                  <c:v>0.0398773006134971</c:v>
                </c:pt>
                <c:pt idx="26" c:formatCode="0.0%">
                  <c:v>0</c:v>
                </c:pt>
                <c:pt idx="27" c:formatCode="0.0%">
                  <c:v>-0.0796460176991151</c:v>
                </c:pt>
                <c:pt idx="28" c:formatCode="0.0%">
                  <c:v>-0.0641025641025642</c:v>
                </c:pt>
                <c:pt idx="29" c:formatCode="0.0%">
                  <c:v>0.39041095890411</c:v>
                </c:pt>
              </c:numCache>
            </c:numRef>
          </c:val>
          <c:smooth val="0"/>
        </c:ser>
        <c:ser>
          <c:idx val="3"/>
          <c:order val="5"/>
          <c:tx>
            <c:strRef>
              <c:f>NAND!$BW$23</c:f>
              <c:strCache>
                <c:ptCount val="1"/>
                <c:pt idx="0">
                  <c:v>QoQ eMMC TLC 128GB</c:v>
                </c:pt>
              </c:strCache>
            </c:strRef>
          </c:tx>
          <c:spPr>
            <a:ln w="12700" cap="rnd" cmpd="sng" algn="ctr">
              <a:solidFill>
                <a:schemeClr val="accent1"/>
              </a:solidFill>
              <a:prstDash val="solid"/>
              <a:round/>
            </a:ln>
          </c:spPr>
          <c:marker>
            <c:symbol val="x"/>
            <c:size val="4"/>
            <c:spPr>
              <a:solidFill>
                <a:schemeClr val="accent6"/>
              </a:solidFill>
              <a:ln w="12700" cap="flat" cmpd="sng" algn="ctr">
                <a:solidFill>
                  <a:schemeClr val="accent1"/>
                </a:solidFill>
                <a:prstDash val="solid"/>
                <a:round/>
              </a:ln>
            </c:spPr>
          </c:marker>
          <c:dLbls>
            <c:delete val="1"/>
          </c:dLbls>
          <c:val>
            <c:numRef>
              <c:f>NAND!$BW$33:$BW$62</c:f>
              <c:numCache>
                <c:formatCode>0%</c:formatCode>
                <c:ptCount val="30"/>
                <c:pt idx="0">
                  <c:v>-0.0317073170731706</c:v>
                </c:pt>
                <c:pt idx="1">
                  <c:v>-0.0403022670025189</c:v>
                </c:pt>
                <c:pt idx="2">
                  <c:v>-0.0708661417322836</c:v>
                </c:pt>
                <c:pt idx="3">
                  <c:v>-0.163841807909604</c:v>
                </c:pt>
                <c:pt idx="4">
                  <c:v>-0.187162162162162</c:v>
                </c:pt>
                <c:pt idx="5">
                  <c:v>-0.22236076475478</c:v>
                </c:pt>
                <c:pt idx="6">
                  <c:v>-0.0475681453768039</c:v>
                </c:pt>
                <c:pt idx="7">
                  <c:v>0</c:v>
                </c:pt>
                <c:pt idx="8">
                  <c:v>0.0314253647586979</c:v>
                </c:pt>
                <c:pt idx="9">
                  <c:v>0.0391730141458109</c:v>
                </c:pt>
                <c:pt idx="10">
                  <c:v>0</c:v>
                </c:pt>
                <c:pt idx="11">
                  <c:v>-0.0052356020942409</c:v>
                </c:pt>
                <c:pt idx="12">
                  <c:v>0</c:v>
                </c:pt>
                <c:pt idx="13">
                  <c:v>0.0326315789473686</c:v>
                </c:pt>
                <c:pt idx="14">
                  <c:v>0.019367991845056</c:v>
                </c:pt>
                <c:pt idx="15">
                  <c:v>-0.0349999999999999</c:v>
                </c:pt>
                <c:pt idx="16" c:formatCode="0.0%">
                  <c:v>-0.0341968911917099</c:v>
                </c:pt>
                <c:pt idx="17" c:formatCode="0.0%">
                  <c:v>0.0042918454935621</c:v>
                </c:pt>
                <c:pt idx="18" c:formatCode="0.0%">
                  <c:v>-0.143696581196581</c:v>
                </c:pt>
                <c:pt idx="19" c:formatCode="0.0%">
                  <c:v>-0.157829070492826</c:v>
                </c:pt>
                <c:pt idx="20" c:formatCode="0.0%">
                  <c:v>-0.102222222222222</c:v>
                </c:pt>
                <c:pt idx="21" c:formatCode="0.0%">
                  <c:v>-0.1996699669967</c:v>
                </c:pt>
                <c:pt idx="22" c:formatCode="0.0%">
                  <c:v>-0.0608247422680412</c:v>
                </c:pt>
                <c:pt idx="23" c:formatCode="0.0%">
                  <c:v>0.0559824368825466</c:v>
                </c:pt>
                <c:pt idx="24" c:formatCode="0.0%">
                  <c:v>0.116424116424116</c:v>
                </c:pt>
                <c:pt idx="25" c:formatCode="0.0%">
                  <c:v>-0.0446927374301677</c:v>
                </c:pt>
                <c:pt idx="26" c:formatCode="0.0%">
                  <c:v>0</c:v>
                </c:pt>
                <c:pt idx="27" c:formatCode="0.0%">
                  <c:v>-0.12962962962963</c:v>
                </c:pt>
                <c:pt idx="28" c:formatCode="0.0%">
                  <c:v>-0.184770436730123</c:v>
                </c:pt>
                <c:pt idx="29" c:formatCode="0.0%">
                  <c:v>0.0906593406593408</c:v>
                </c:pt>
              </c:numCache>
            </c:numRef>
          </c:val>
          <c:smooth val="0"/>
        </c:ser>
        <c:dLbls>
          <c:showLegendKey val="0"/>
          <c:showVal val="0"/>
          <c:showCatName val="0"/>
          <c:showSerName val="0"/>
          <c:showPercent val="0"/>
          <c:showBubbleSize val="0"/>
        </c:dLbls>
        <c:marker val="1"/>
        <c:smooth val="0"/>
        <c:axId val="1339623087"/>
        <c:axId val="1342488863"/>
        <c:extLst>
          <c:ext xmlns:c15="http://schemas.microsoft.com/office/drawing/2012/chart" uri="{02D57815-91ED-43cb-92C2-25804820EDAC}">
            <c15:filteredLineSeries>
              <c15:ser>
                <c:idx val="4"/>
                <c:order val="6"/>
                <c:tx>
                  <c:strRef>
                    <c:extLst>
                      <c:ext uri="{02D57815-91ED-43cb-92C2-25804820EDAC}">
                        <c15:formulaRef>
                          <c15:sqref>NAND!$BY$23</c15:sqref>
                        </c15:formulaRef>
                      </c:ext>
                    </c:extLst>
                    <c:strCache>
                      <c:ptCount val="1"/>
                      <c:pt idx="0">
                        <c:v>QoQ UFS 128GB</c:v>
                      </c:pt>
                    </c:strCache>
                  </c:strRef>
                </c:tx>
                <c:spPr>
                  <a:ln w="12700" cap="rnd" cmpd="sng" algn="ctr">
                    <a:solidFill>
                      <a:schemeClr val="accent2">
                        <a:lumMod val="75000"/>
                      </a:schemeClr>
                    </a:solidFill>
                    <a:prstDash val="solid"/>
                    <a:round/>
                  </a:ln>
                </c:spPr>
                <c:marker>
                  <c:symbol val="diamond"/>
                  <c:size val="4"/>
                  <c:spPr>
                    <a:solidFill>
                      <a:schemeClr val="accent1"/>
                    </a:solidFill>
                    <a:ln w="12700" cap="flat" cmpd="sng" algn="ctr">
                      <a:solidFill>
                        <a:schemeClr val="accent2">
                          <a:lumMod val="75000"/>
                        </a:schemeClr>
                      </a:solidFill>
                      <a:prstDash val="solid"/>
                      <a:round/>
                    </a:ln>
                  </c:spPr>
                </c:marker>
                <c:dLbls>
                  <c:delete val="1"/>
                </c:dLbls>
                <c:val>
                  <c:numRef>
                    <c:extLst>
                      <c:ext uri="{02D57815-91ED-43cb-92C2-25804820EDAC}">
                        <c15:formulaRef>
                          <c15:sqref>NAND!$BY$33:$BY$51</c15:sqref>
                        </c15:formulaRef>
                      </c:ext>
                    </c:extLst>
                    <c:numCache>
                      <c:formatCode>0%</c:formatCode>
                      <c:ptCount val="19"/>
                      <c:pt idx="0">
                        <c:v>-0.0277777777777778</c:v>
                      </c:pt>
                      <c:pt idx="1">
                        <c:v>-0.130952380952381</c:v>
                      </c:pt>
                      <c:pt idx="2">
                        <c:v>-0.0712328767123288</c:v>
                      </c:pt>
                      <c:pt idx="3">
                        <c:v>-0.153392330383481</c:v>
                      </c:pt>
                      <c:pt idx="4">
                        <c:v>-0.170731707317073</c:v>
                      </c:pt>
                      <c:pt idx="5">
                        <c:v>-0.221008403361345</c:v>
                      </c:pt>
                      <c:pt idx="6">
                        <c:v>-0.0636461704422869</c:v>
                      </c:pt>
                      <c:pt idx="7">
                        <c:v>0.00172811059907851</c:v>
                      </c:pt>
                      <c:pt idx="8">
                        <c:v>0.00862564692351908</c:v>
                      </c:pt>
                      <c:pt idx="9">
                        <c:v>0.0239452679589511</c:v>
                      </c:pt>
                      <c:pt idx="10">
                        <c:v>-0.0211581291759467</c:v>
                      </c:pt>
                      <c:pt idx="11">
                        <c:v>-0.0159271899886233</c:v>
                      </c:pt>
                      <c:pt idx="12">
                        <c:v>-0.0427745664739886</c:v>
                      </c:pt>
                      <c:pt idx="13">
                        <c:v>0.0434782608695654</c:v>
                      </c:pt>
                      <c:pt idx="14">
                        <c:v>0.0439814814814814</c:v>
                      </c:pt>
                      <c:pt idx="15">
                        <c:v>-0.0609756097560974</c:v>
                      </c:pt>
                      <c:pt idx="16" c:formatCode="0.0%">
                        <c:v>-0.0802833530106258</c:v>
                      </c:pt>
                      <c:pt idx="17" c:formatCode="0.0%">
                        <c:v>0.0205391527599488</c:v>
                      </c:pt>
                      <c:pt idx="18" c:formatCode="0.0%">
                        <c:v>-0.166037735849057</c:v>
                      </c:pt>
                    </c:numCache>
                  </c:numRef>
                </c:val>
                <c:smooth val="0"/>
              </c15:ser>
            </c15:filteredLineSeries>
            <c15:filteredLineSeries>
              <c15:ser>
                <c:idx val="5"/>
                <c:order val="7"/>
                <c:tx>
                  <c:strRef>
                    <c:extLst>
                      <c:ext uri="{02D57815-91ED-43cb-92C2-25804820EDAC}">
                        <c15:formulaRef>
                          <c15:sqref>NAND!$BZ$23</c15:sqref>
                        </c15:formulaRef>
                      </c:ext>
                    </c:extLst>
                    <c:strCache>
                      <c:ptCount val="1"/>
                      <c:pt idx="0">
                        <c:v>QoQ UFS 256GB</c:v>
                      </c:pt>
                    </c:strCache>
                  </c:strRef>
                </c:tx>
                <c:spPr>
                  <a:ln w="12700" cap="rnd" cmpd="sng" algn="ctr">
                    <a:solidFill>
                      <a:schemeClr val="accent3"/>
                    </a:solidFill>
                    <a:prstDash val="solid"/>
                    <a:round/>
                  </a:ln>
                </c:spPr>
                <c:marker>
                  <c:symbol val="circle"/>
                  <c:size val="4"/>
                  <c:spPr>
                    <a:solidFill>
                      <a:schemeClr val="accent2"/>
                    </a:solidFill>
                    <a:ln w="12700" cap="flat" cmpd="sng" algn="ctr">
                      <a:solidFill>
                        <a:schemeClr val="accent3"/>
                      </a:solidFill>
                      <a:prstDash val="solid"/>
                      <a:round/>
                    </a:ln>
                  </c:spPr>
                </c:marker>
                <c:dLbls>
                  <c:delete val="1"/>
                </c:dLbls>
                <c:val>
                  <c:numRef>
                    <c:extLst>
                      <c:ext uri="{02D57815-91ED-43cb-92C2-25804820EDAC}">
                        <c15:formulaRef>
                          <c15:sqref>NAND!$BZ$33:$BZ$51</c15:sqref>
                        </c15:formulaRef>
                      </c:ext>
                    </c:extLst>
                    <c:numCache>
                      <c:formatCode>0%</c:formatCode>
                      <c:ptCount val="19"/>
                      <c:pt idx="2">
                        <c:v>-0.108974358974359</c:v>
                      </c:pt>
                      <c:pt idx="3">
                        <c:v>-0.171223021582734</c:v>
                      </c:pt>
                      <c:pt idx="4">
                        <c:v>-0.371527777777778</c:v>
                      </c:pt>
                      <c:pt idx="5">
                        <c:v>-0.244198895027624</c:v>
                      </c:pt>
                      <c:pt idx="6">
                        <c:v>-0.0387426900584795</c:v>
                      </c:pt>
                      <c:pt idx="7">
                        <c:v>0.0152091254752851</c:v>
                      </c:pt>
                      <c:pt idx="8">
                        <c:v>0.0254681647940074</c:v>
                      </c:pt>
                      <c:pt idx="9">
                        <c:v>0.02118334550767</c:v>
                      </c:pt>
                      <c:pt idx="10">
                        <c:v>-0.0143061516452075</c:v>
                      </c:pt>
                      <c:pt idx="11">
                        <c:v>-0.0108853410740202</c:v>
                      </c:pt>
                      <c:pt idx="12">
                        <c:v>-0.0322817314746883</c:v>
                      </c:pt>
                      <c:pt idx="13">
                        <c:v>0.0424564063684609</c:v>
                      </c:pt>
                      <c:pt idx="14">
                        <c:v>0.0574545454545454</c:v>
                      </c:pt>
                      <c:pt idx="15">
                        <c:v>-0.0515818431911967</c:v>
                      </c:pt>
                      <c:pt idx="16" c:formatCode="0.0%">
                        <c:v>-0.0826686004350978</c:v>
                      </c:pt>
                      <c:pt idx="17" c:formatCode="0.0%">
                        <c:v>0.0197628458498025</c:v>
                      </c:pt>
                      <c:pt idx="18" c:formatCode="0.0%">
                        <c:v>-0.0596899224806201</c:v>
                      </c:pt>
                    </c:numCache>
                  </c:numRef>
                </c:val>
                <c:smooth val="0"/>
              </c15:ser>
            </c15:filteredLineSeries>
          </c:ext>
        </c:extLst>
      </c:lineChart>
      <c:catAx>
        <c:axId val="1341051183"/>
        <c:scaling>
          <c:orientation val="minMax"/>
        </c:scaling>
        <c:delete val="0"/>
        <c:axPos val="b"/>
        <c:majorGridlines>
          <c:spPr>
            <a:ln w="12700" cap="flat" cmpd="sng" algn="ctr">
              <a:solidFill>
                <a:schemeClr val="tx1">
                  <a:tint val="75000"/>
                </a:schemeClr>
              </a:solidFill>
              <a:prstDash val="dash"/>
              <a:round/>
            </a:ln>
          </c:spPr>
        </c:majorGridlines>
        <c:numFmt formatCode="General"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281690735"/>
        <c:crosses val="autoZero"/>
        <c:auto val="1"/>
        <c:lblAlgn val="ctr"/>
        <c:lblOffset val="100"/>
        <c:tickMarkSkip val="4"/>
        <c:noMultiLvlLbl val="0"/>
      </c:catAx>
      <c:valAx>
        <c:axId val="1281690735"/>
        <c:scaling>
          <c:orientation val="minMax"/>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 US$/GB</a:t>
                </a:r>
                <a:endParaRPr lang="en-US"/>
              </a:p>
            </c:rich>
          </c:tx>
          <c:layout/>
          <c:overlay val="0"/>
        </c:title>
        <c:numFmt formatCode="#,##0.0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341051183"/>
        <c:crosses val="autoZero"/>
        <c:crossBetween val="between"/>
      </c:valAx>
      <c:catAx>
        <c:axId val="1339623087"/>
        <c:scaling>
          <c:orientation val="minMax"/>
        </c:scaling>
        <c:delete val="1"/>
        <c:axPos val="b"/>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342488863"/>
        <c:crosses val="autoZero"/>
        <c:auto val="1"/>
        <c:lblAlgn val="ctr"/>
        <c:lblOffset val="100"/>
        <c:noMultiLvlLbl val="0"/>
      </c:catAx>
      <c:valAx>
        <c:axId val="1342488863"/>
        <c:scaling>
          <c:orientation val="minMax"/>
        </c:scaling>
        <c:delete val="0"/>
        <c:axPos val="r"/>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QoQ</a:t>
                </a:r>
                <a:endParaRPr lang="en-US"/>
              </a:p>
            </c:rich>
          </c:tx>
          <c:layout/>
          <c:overlay val="0"/>
        </c:title>
        <c:numFmt formatCode="0%" sourceLinked="1"/>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339623087"/>
        <c:crosses val="max"/>
        <c:crossBetween val="between"/>
      </c:valAx>
      <c:spPr>
        <a:noFill/>
        <a:ln w="25400">
          <a:noFill/>
        </a:ln>
      </c:spPr>
    </c:plotArea>
    <c:legend>
      <c:legendPos val="b"/>
      <c:layout>
        <c:manualLayout>
          <c:xMode val="edge"/>
          <c:yMode val="edge"/>
          <c:x val="0.0379628972005987"/>
          <c:y val="0.891674150012924"/>
          <c:w val="0.928962852083925"/>
          <c:h val="0.0788796771252264"/>
        </c:manualLayout>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3846d4c8-46c3-4abf-bf56-8b044aec847f}"/>
      </c:ext>
    </c:extLst>
  </c:chart>
  <c:spPr>
    <a:solidFill>
      <a:srgbClr val="FFFFFF"/>
    </a:solidFill>
    <a:ln w="3175" cap="flat" cmpd="sng" algn="ctr">
      <a:solidFill>
        <a:srgbClr val="FFFFFF"/>
      </a:solidFill>
      <a:prstDash val="solid"/>
      <a:round/>
    </a:ln>
    <a:effectLst/>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NAND Wafer </a:t>
            </a:r>
            <a:r>
              <a:rPr lang="en-US" sz="1000" b="1" i="0" u="none" strike="noStrike" baseline="0">
                <a:effectLst/>
              </a:rPr>
              <a:t>(3D TLC </a:t>
            </a:r>
            <a:r>
              <a:rPr lang="en-US" altLang="zh-CN" sz="1000" b="1" i="0" u="none" strike="noStrike" baseline="0">
                <a:effectLst/>
              </a:rPr>
              <a:t>256Gb</a:t>
            </a:r>
            <a:r>
              <a:rPr lang="en-US" sz="1000" b="1" i="0" u="none" strike="noStrike" baseline="0">
                <a:effectLst/>
              </a:rPr>
              <a:t>) </a:t>
            </a:r>
            <a:r>
              <a:rPr lang="en-US"/>
              <a:t>Spot &amp; Contract Price</a:t>
            </a:r>
            <a:endParaRPr lang="en-US"/>
          </a:p>
        </c:rich>
      </c:tx>
      <c:layout/>
      <c:overlay val="0"/>
    </c:title>
    <c:autoTitleDeleted val="0"/>
    <c:plotArea>
      <c:layout>
        <c:manualLayout>
          <c:layoutTarget val="inner"/>
          <c:xMode val="edge"/>
          <c:yMode val="edge"/>
          <c:x val="0.080033834547133"/>
          <c:y val="0.160152862814991"/>
          <c:w val="0.897479551587624"/>
          <c:h val="0.540629306072318"/>
        </c:manualLayout>
      </c:layout>
      <c:lineChart>
        <c:grouping val="standard"/>
        <c:varyColors val="0"/>
        <c:ser>
          <c:idx val="0"/>
          <c:order val="0"/>
          <c:tx>
            <c:strRef>
              <c:f>NAND!$BB$26</c:f>
              <c:strCache>
                <c:ptCount val="1"/>
                <c:pt idx="0">
                  <c:v>Spot</c:v>
                </c:pt>
              </c:strCache>
            </c:strRef>
          </c:tx>
          <c:spPr>
            <a:ln w="19050" cap="rnd" cmpd="sng" algn="ctr">
              <a:solidFill>
                <a:schemeClr val="accent1"/>
              </a:solidFill>
              <a:prstDash val="solid"/>
              <a:round/>
            </a:ln>
          </c:spPr>
          <c:marker>
            <c:symbol val="none"/>
          </c:marker>
          <c:dLbls>
            <c:delete val="1"/>
          </c:dLbls>
          <c:cat>
            <c:numRef>
              <c:f>NAND!$BA$27:$BA$525</c:f>
              <c:numCache>
                <c:formatCode>yyyy/m/d</c:formatCode>
                <c:ptCount val="499"/>
                <c:pt idx="0" c:formatCode="yyyy/m/d">
                  <c:v>43479</c:v>
                </c:pt>
                <c:pt idx="1" c:formatCode="yyyy/m/d">
                  <c:v>43493</c:v>
                </c:pt>
                <c:pt idx="2" c:formatCode="yyyy/m/d">
                  <c:v>43507</c:v>
                </c:pt>
                <c:pt idx="3" c:formatCode="yyyy/m/d">
                  <c:v>43514</c:v>
                </c:pt>
                <c:pt idx="4" c:formatCode="yyyy/m/d">
                  <c:v>43521</c:v>
                </c:pt>
                <c:pt idx="5" c:formatCode="yyyy/m/d">
                  <c:v>43528</c:v>
                </c:pt>
                <c:pt idx="6" c:formatCode="yyyy/m/d">
                  <c:v>43535</c:v>
                </c:pt>
                <c:pt idx="7" c:formatCode="yyyy/m/d">
                  <c:v>43542</c:v>
                </c:pt>
                <c:pt idx="8" c:formatCode="yyyy/m/d">
                  <c:v>43549</c:v>
                </c:pt>
                <c:pt idx="9" c:formatCode="yyyy/m/d">
                  <c:v>43556</c:v>
                </c:pt>
                <c:pt idx="10" c:formatCode="yyyy/m/d">
                  <c:v>43563</c:v>
                </c:pt>
                <c:pt idx="11" c:formatCode="yyyy/m/d">
                  <c:v>43570</c:v>
                </c:pt>
                <c:pt idx="12" c:formatCode="yyyy/m/d">
                  <c:v>43577</c:v>
                </c:pt>
                <c:pt idx="13" c:formatCode="yyyy/m/d">
                  <c:v>43584</c:v>
                </c:pt>
                <c:pt idx="14" c:formatCode="yyyy/m/d">
                  <c:v>43591</c:v>
                </c:pt>
                <c:pt idx="15" c:formatCode="yyyy/m/d">
                  <c:v>43598</c:v>
                </c:pt>
                <c:pt idx="16" c:formatCode="yyyy/m/d">
                  <c:v>43605</c:v>
                </c:pt>
                <c:pt idx="17" c:formatCode="yyyy/m/d">
                  <c:v>43612</c:v>
                </c:pt>
                <c:pt idx="18" c:formatCode="yyyy/m/d">
                  <c:v>43619</c:v>
                </c:pt>
                <c:pt idx="19" c:formatCode="yyyy/m/d">
                  <c:v>43626</c:v>
                </c:pt>
                <c:pt idx="20" c:formatCode="yyyy/m/d">
                  <c:v>43633</c:v>
                </c:pt>
                <c:pt idx="21" c:formatCode="yyyy/m/d">
                  <c:v>43640</c:v>
                </c:pt>
                <c:pt idx="22" c:formatCode="yyyy/m/d">
                  <c:v>43647</c:v>
                </c:pt>
                <c:pt idx="23" c:formatCode="yyyy/m/d">
                  <c:v>43654</c:v>
                </c:pt>
                <c:pt idx="24" c:formatCode="yyyy/m/d">
                  <c:v>43661</c:v>
                </c:pt>
                <c:pt idx="25" c:formatCode="yyyy/m/d">
                  <c:v>43668</c:v>
                </c:pt>
                <c:pt idx="26" c:formatCode="yyyy/m/d">
                  <c:v>43675</c:v>
                </c:pt>
                <c:pt idx="27" c:formatCode="yyyy/m/d">
                  <c:v>43682</c:v>
                </c:pt>
                <c:pt idx="28" c:formatCode="yyyy/m/d">
                  <c:v>43689</c:v>
                </c:pt>
                <c:pt idx="29" c:formatCode="yyyy/m/d">
                  <c:v>43696</c:v>
                </c:pt>
                <c:pt idx="30" c:formatCode="yyyy/m/d">
                  <c:v>43703</c:v>
                </c:pt>
                <c:pt idx="31" c:formatCode="yyyy/m/d">
                  <c:v>43710</c:v>
                </c:pt>
                <c:pt idx="32" c:formatCode="yyyy/m/d">
                  <c:v>43717</c:v>
                </c:pt>
                <c:pt idx="33" c:formatCode="yyyy/m/d">
                  <c:v>43724</c:v>
                </c:pt>
                <c:pt idx="34" c:formatCode="yyyy/m/d">
                  <c:v>43731</c:v>
                </c:pt>
                <c:pt idx="35" c:formatCode="yyyy/m/d">
                  <c:v>43738</c:v>
                </c:pt>
                <c:pt idx="36" c:formatCode="yyyy/m/d">
                  <c:v>43745</c:v>
                </c:pt>
                <c:pt idx="37" c:formatCode="yyyy/m/d">
                  <c:v>43752</c:v>
                </c:pt>
                <c:pt idx="38" c:formatCode="yyyy/m/d">
                  <c:v>43759</c:v>
                </c:pt>
                <c:pt idx="39" c:formatCode="yyyy/m/d">
                  <c:v>43766</c:v>
                </c:pt>
                <c:pt idx="40" c:formatCode="yyyy/m/d">
                  <c:v>43773</c:v>
                </c:pt>
                <c:pt idx="41" c:formatCode="yyyy/m/d">
                  <c:v>43780</c:v>
                </c:pt>
                <c:pt idx="42" c:formatCode="yyyy/m/d">
                  <c:v>43787</c:v>
                </c:pt>
                <c:pt idx="43" c:formatCode="yyyy/m/d">
                  <c:v>43794</c:v>
                </c:pt>
                <c:pt idx="44" c:formatCode="yyyy/m/d">
                  <c:v>43801</c:v>
                </c:pt>
                <c:pt idx="45" c:formatCode="yyyy/m/d">
                  <c:v>43808</c:v>
                </c:pt>
                <c:pt idx="46" c:formatCode="yyyy/m/d">
                  <c:v>43815</c:v>
                </c:pt>
                <c:pt idx="47" c:formatCode="yyyy/m/d">
                  <c:v>43822</c:v>
                </c:pt>
                <c:pt idx="48" c:formatCode="yyyy/m/d">
                  <c:v>43829</c:v>
                </c:pt>
                <c:pt idx="49" c:formatCode="yyyy/m/d">
                  <c:v>43836</c:v>
                </c:pt>
                <c:pt idx="50" c:formatCode="yyyy/m/d">
                  <c:v>43843</c:v>
                </c:pt>
                <c:pt idx="51" c:formatCode="yyyy/m/d">
                  <c:v>43850</c:v>
                </c:pt>
                <c:pt idx="52" c:formatCode="yyyy/m/d">
                  <c:v>43864</c:v>
                </c:pt>
                <c:pt idx="53" c:formatCode="yyyy/m/d">
                  <c:v>43871</c:v>
                </c:pt>
                <c:pt idx="54" c:formatCode="yyyy/m/d">
                  <c:v>43878</c:v>
                </c:pt>
                <c:pt idx="55" c:formatCode="yyyy/m/d">
                  <c:v>43885</c:v>
                </c:pt>
                <c:pt idx="56" c:formatCode="yyyy/m/d">
                  <c:v>43892</c:v>
                </c:pt>
                <c:pt idx="57" c:formatCode="yyyy/m/d">
                  <c:v>43899</c:v>
                </c:pt>
                <c:pt idx="58" c:formatCode="yyyy/m/d">
                  <c:v>43906</c:v>
                </c:pt>
                <c:pt idx="59" c:formatCode="yyyy/m/d">
                  <c:v>43913</c:v>
                </c:pt>
                <c:pt idx="60" c:formatCode="yyyy/m/d">
                  <c:v>43920</c:v>
                </c:pt>
                <c:pt idx="61" c:formatCode="yyyy/m/d">
                  <c:v>43927</c:v>
                </c:pt>
                <c:pt idx="62" c:formatCode="yyyy/m/d">
                  <c:v>43934</c:v>
                </c:pt>
                <c:pt idx="63" c:formatCode="yyyy/m/d">
                  <c:v>43941</c:v>
                </c:pt>
                <c:pt idx="64" c:formatCode="yyyy/m/d">
                  <c:v>43948</c:v>
                </c:pt>
                <c:pt idx="65" c:formatCode="yyyy/m/d">
                  <c:v>43955</c:v>
                </c:pt>
                <c:pt idx="66" c:formatCode="yyyy/m/d">
                  <c:v>43962</c:v>
                </c:pt>
                <c:pt idx="67" c:formatCode="yyyy/m/d">
                  <c:v>43969</c:v>
                </c:pt>
                <c:pt idx="68" c:formatCode="yyyy/m/d">
                  <c:v>43976</c:v>
                </c:pt>
                <c:pt idx="69" c:formatCode="yyyy/m/d">
                  <c:v>43983</c:v>
                </c:pt>
                <c:pt idx="70" c:formatCode="yyyy/m/d">
                  <c:v>43990</c:v>
                </c:pt>
                <c:pt idx="71" c:formatCode="yyyy/m/d">
                  <c:v>43997</c:v>
                </c:pt>
                <c:pt idx="72" c:formatCode="yyyy/m/d">
                  <c:v>44004</c:v>
                </c:pt>
                <c:pt idx="73" c:formatCode="yyyy/m/d">
                  <c:v>44011</c:v>
                </c:pt>
                <c:pt idx="74" c:formatCode="yyyy/m/d">
                  <c:v>44018</c:v>
                </c:pt>
                <c:pt idx="75" c:formatCode="yyyy/m/d">
                  <c:v>44025</c:v>
                </c:pt>
                <c:pt idx="76" c:formatCode="yyyy/m/d">
                  <c:v>44032</c:v>
                </c:pt>
                <c:pt idx="77" c:formatCode="yyyy/m/d">
                  <c:v>44039</c:v>
                </c:pt>
                <c:pt idx="78" c:formatCode="yyyy/m/d">
                  <c:v>44046</c:v>
                </c:pt>
                <c:pt idx="79" c:formatCode="yyyy/m/d">
                  <c:v>44053</c:v>
                </c:pt>
                <c:pt idx="80" c:formatCode="yyyy/m/d">
                  <c:v>44060</c:v>
                </c:pt>
                <c:pt idx="81" c:formatCode="yyyy/m/d">
                  <c:v>44067</c:v>
                </c:pt>
                <c:pt idx="82" c:formatCode="yyyy/m/d">
                  <c:v>44074</c:v>
                </c:pt>
                <c:pt idx="83" c:formatCode="yyyy/m/d">
                  <c:v>44081</c:v>
                </c:pt>
                <c:pt idx="84" c:formatCode="yyyy/m/d">
                  <c:v>44088</c:v>
                </c:pt>
                <c:pt idx="85" c:formatCode="yyyy/m/d">
                  <c:v>44095</c:v>
                </c:pt>
                <c:pt idx="86" c:formatCode="yyyy/m/d">
                  <c:v>44102</c:v>
                </c:pt>
                <c:pt idx="87" c:formatCode="yyyy/m/d">
                  <c:v>44109</c:v>
                </c:pt>
                <c:pt idx="88" c:formatCode="yyyy/m/d">
                  <c:v>44116</c:v>
                </c:pt>
                <c:pt idx="89" c:formatCode="yyyy/m/d">
                  <c:v>44123</c:v>
                </c:pt>
                <c:pt idx="90" c:formatCode="yyyy/m/d">
                  <c:v>44130</c:v>
                </c:pt>
                <c:pt idx="91" c:formatCode="yyyy/m/d">
                  <c:v>44137</c:v>
                </c:pt>
                <c:pt idx="92" c:formatCode="yyyy/m/d">
                  <c:v>44144</c:v>
                </c:pt>
                <c:pt idx="93" c:formatCode="yyyy/m/d">
                  <c:v>44151</c:v>
                </c:pt>
                <c:pt idx="94" c:formatCode="yyyy/m/d">
                  <c:v>44158</c:v>
                </c:pt>
                <c:pt idx="95" c:formatCode="yyyy/m/d">
                  <c:v>44165</c:v>
                </c:pt>
                <c:pt idx="96" c:formatCode="yyyy/m/d">
                  <c:v>44172</c:v>
                </c:pt>
                <c:pt idx="97" c:formatCode="yyyy/m/d">
                  <c:v>44179</c:v>
                </c:pt>
                <c:pt idx="98" c:formatCode="yyyy/m/d">
                  <c:v>44186</c:v>
                </c:pt>
                <c:pt idx="99" c:formatCode="yyyy/m/d">
                  <c:v>44193</c:v>
                </c:pt>
                <c:pt idx="100" c:formatCode="yyyy/m/d">
                  <c:v>44200</c:v>
                </c:pt>
                <c:pt idx="101" c:formatCode="yyyy/m/d">
                  <c:v>44207</c:v>
                </c:pt>
                <c:pt idx="102" c:formatCode="yyyy/m/d">
                  <c:v>44214</c:v>
                </c:pt>
                <c:pt idx="103" c:formatCode="yyyy/m/d">
                  <c:v>44221</c:v>
                </c:pt>
                <c:pt idx="104" c:formatCode="yyyy/m/d">
                  <c:v>44228</c:v>
                </c:pt>
                <c:pt idx="105" c:formatCode="yyyy/m/d">
                  <c:v>44235</c:v>
                </c:pt>
                <c:pt idx="106" c:formatCode="yyyy/m/d">
                  <c:v>44244</c:v>
                </c:pt>
                <c:pt idx="107" c:formatCode="yyyy/m/d">
                  <c:v>44249</c:v>
                </c:pt>
                <c:pt idx="108" c:formatCode="yyyy/m/d">
                  <c:v>44256</c:v>
                </c:pt>
                <c:pt idx="109" c:formatCode="yyyy/m/d">
                  <c:v>44263</c:v>
                </c:pt>
                <c:pt idx="110" c:formatCode="yyyy/m/d">
                  <c:v>44270</c:v>
                </c:pt>
                <c:pt idx="111" c:formatCode="yyyy/m/d">
                  <c:v>44277</c:v>
                </c:pt>
                <c:pt idx="112" c:formatCode="yyyy/m/d">
                  <c:v>44284</c:v>
                </c:pt>
                <c:pt idx="113" c:formatCode="yyyy/m/d">
                  <c:v>44292</c:v>
                </c:pt>
                <c:pt idx="114" c:formatCode="yyyy/m/d">
                  <c:v>44298</c:v>
                </c:pt>
                <c:pt idx="115" c:formatCode="yyyy/m/d">
                  <c:v>44305</c:v>
                </c:pt>
                <c:pt idx="116" c:formatCode="yyyy/m/d">
                  <c:v>44312</c:v>
                </c:pt>
                <c:pt idx="117" c:formatCode="yyyy/m/d">
                  <c:v>44319</c:v>
                </c:pt>
                <c:pt idx="118" c:formatCode="yyyy/m/d">
                  <c:v>44326</c:v>
                </c:pt>
                <c:pt idx="119" c:formatCode="yyyy/m/d">
                  <c:v>44333</c:v>
                </c:pt>
                <c:pt idx="120" c:formatCode="yyyy/m/d">
                  <c:v>44340</c:v>
                </c:pt>
                <c:pt idx="121" c:formatCode="yyyy/m/d">
                  <c:v>44347</c:v>
                </c:pt>
                <c:pt idx="122" c:formatCode="yyyy/m/d">
                  <c:v>44354</c:v>
                </c:pt>
                <c:pt idx="123" c:formatCode="yyyy/m/d">
                  <c:v>44362</c:v>
                </c:pt>
                <c:pt idx="124" c:formatCode="yyyy/m/d">
                  <c:v>44368</c:v>
                </c:pt>
                <c:pt idx="125" c:formatCode="yyyy/m/d">
                  <c:v>44375</c:v>
                </c:pt>
                <c:pt idx="126" c:formatCode="yyyy/m/d">
                  <c:v>44382</c:v>
                </c:pt>
                <c:pt idx="127" c:formatCode="yyyy/m/d">
                  <c:v>44389</c:v>
                </c:pt>
                <c:pt idx="128" c:formatCode="yyyy/m/d">
                  <c:v>44396</c:v>
                </c:pt>
                <c:pt idx="129" c:formatCode="yyyy/m/d">
                  <c:v>44403</c:v>
                </c:pt>
                <c:pt idx="130" c:formatCode="yyyy/m/d">
                  <c:v>44410</c:v>
                </c:pt>
                <c:pt idx="131" c:formatCode="yyyy/m/d">
                  <c:v>44417</c:v>
                </c:pt>
                <c:pt idx="132" c:formatCode="yyyy/m/d">
                  <c:v>44424</c:v>
                </c:pt>
                <c:pt idx="133" c:formatCode="yyyy/m/d">
                  <c:v>44431</c:v>
                </c:pt>
                <c:pt idx="134" c:formatCode="yyyy/m/d">
                  <c:v>44438</c:v>
                </c:pt>
                <c:pt idx="135" c:formatCode="yyyy/m/d">
                  <c:v>44445</c:v>
                </c:pt>
                <c:pt idx="136" c:formatCode="yyyy/m/d">
                  <c:v>44452</c:v>
                </c:pt>
                <c:pt idx="137" c:formatCode="yyyy/m/d">
                  <c:v>44461</c:v>
                </c:pt>
                <c:pt idx="138" c:formatCode="yyyy/m/d">
                  <c:v>44466</c:v>
                </c:pt>
                <c:pt idx="139" c:formatCode="yyyy/m/d">
                  <c:v>44473</c:v>
                </c:pt>
                <c:pt idx="140" c:formatCode="yyyy/m/d">
                  <c:v>44480</c:v>
                </c:pt>
                <c:pt idx="141" c:formatCode="yyyy/m/d">
                  <c:v>44487</c:v>
                </c:pt>
                <c:pt idx="142" c:formatCode="yyyy/m/d">
                  <c:v>44494</c:v>
                </c:pt>
                <c:pt idx="143" c:formatCode="yyyy/m/d">
                  <c:v>44501</c:v>
                </c:pt>
                <c:pt idx="144" c:formatCode="yyyy/m/d">
                  <c:v>44508</c:v>
                </c:pt>
                <c:pt idx="145" c:formatCode="yyyy/m/d">
                  <c:v>44515</c:v>
                </c:pt>
                <c:pt idx="146" c:formatCode="yyyy/m/d">
                  <c:v>44522</c:v>
                </c:pt>
                <c:pt idx="147" c:formatCode="yyyy/m/d">
                  <c:v>44529</c:v>
                </c:pt>
                <c:pt idx="148" c:formatCode="yyyy/m/d">
                  <c:v>44536</c:v>
                </c:pt>
                <c:pt idx="149" c:formatCode="yyyy/m/d">
                  <c:v>44543</c:v>
                </c:pt>
                <c:pt idx="150" c:formatCode="yyyy/m/d">
                  <c:v>44550</c:v>
                </c:pt>
                <c:pt idx="151" c:formatCode="yyyy/m/d">
                  <c:v>44557</c:v>
                </c:pt>
                <c:pt idx="152" c:formatCode="yyyy/m/d">
                  <c:v>44564</c:v>
                </c:pt>
                <c:pt idx="153" c:formatCode="yyyy/m/d">
                  <c:v>44571</c:v>
                </c:pt>
                <c:pt idx="154" c:formatCode="yyyy/m/d">
                  <c:v>44578</c:v>
                </c:pt>
                <c:pt idx="155" c:formatCode="yyyy/m/d">
                  <c:v>44585</c:v>
                </c:pt>
                <c:pt idx="156" c:formatCode="yyyy/m/d">
                  <c:v>44599</c:v>
                </c:pt>
                <c:pt idx="157" c:formatCode="yyyy/m/d">
                  <c:v>44606</c:v>
                </c:pt>
                <c:pt idx="158" c:formatCode="yyyy/m/d">
                  <c:v>44613</c:v>
                </c:pt>
                <c:pt idx="159" c:formatCode="yyyy/m/d">
                  <c:v>44620</c:v>
                </c:pt>
                <c:pt idx="160" c:formatCode="yyyy/m/d">
                  <c:v>44627</c:v>
                </c:pt>
                <c:pt idx="161" c:formatCode="yyyy/m/d">
                  <c:v>44634</c:v>
                </c:pt>
                <c:pt idx="162" c:formatCode="yyyy/m/d">
                  <c:v>44641</c:v>
                </c:pt>
                <c:pt idx="163" c:formatCode="yyyy/m/d">
                  <c:v>44648</c:v>
                </c:pt>
                <c:pt idx="164" c:formatCode="yyyy/m/d">
                  <c:v>44657</c:v>
                </c:pt>
                <c:pt idx="165" c:formatCode="yyyy/m/d">
                  <c:v>44662</c:v>
                </c:pt>
                <c:pt idx="166" c:formatCode="yyyy/m/d">
                  <c:v>44669</c:v>
                </c:pt>
                <c:pt idx="167" c:formatCode="yyyy/m/d">
                  <c:v>44676</c:v>
                </c:pt>
                <c:pt idx="168" c:formatCode="yyyy/m/d">
                  <c:v>44684</c:v>
                </c:pt>
                <c:pt idx="169" c:formatCode="yyyy/m/d">
                  <c:v>44690</c:v>
                </c:pt>
                <c:pt idx="170" c:formatCode="yyyy/m/d">
                  <c:v>44697</c:v>
                </c:pt>
                <c:pt idx="171" c:formatCode="yyyy/m/d">
                  <c:v>44704</c:v>
                </c:pt>
                <c:pt idx="172" c:formatCode="yyyy/m/d">
                  <c:v>44711</c:v>
                </c:pt>
                <c:pt idx="173" c:formatCode="yyyy/m/d">
                  <c:v>44718</c:v>
                </c:pt>
                <c:pt idx="174" c:formatCode="yyyy/m/d">
                  <c:v>44725</c:v>
                </c:pt>
                <c:pt idx="175" c:formatCode="yyyy/m/d">
                  <c:v>44732</c:v>
                </c:pt>
                <c:pt idx="176" c:formatCode="yyyy/m/d">
                  <c:v>44739</c:v>
                </c:pt>
                <c:pt idx="177" c:formatCode="yyyy/m/d">
                  <c:v>44746</c:v>
                </c:pt>
                <c:pt idx="178" c:formatCode="yyyy/m/d">
                  <c:v>44753</c:v>
                </c:pt>
                <c:pt idx="179" c:formatCode="yyyy/m/d">
                  <c:v>44760</c:v>
                </c:pt>
                <c:pt idx="180" c:formatCode="yyyy/m/d">
                  <c:v>44767</c:v>
                </c:pt>
                <c:pt idx="181" c:formatCode="yyyy/m/d">
                  <c:v>44774</c:v>
                </c:pt>
                <c:pt idx="182" c:formatCode="yyyy/m/d">
                  <c:v>44781</c:v>
                </c:pt>
                <c:pt idx="183" c:formatCode="yyyy/m/d">
                  <c:v>44788</c:v>
                </c:pt>
                <c:pt idx="184" c:formatCode="yyyy/m/d">
                  <c:v>44795</c:v>
                </c:pt>
                <c:pt idx="185" c:formatCode="yyyy/m/d">
                  <c:v>44802</c:v>
                </c:pt>
                <c:pt idx="186" c:formatCode="yyyy/m/d">
                  <c:v>44809</c:v>
                </c:pt>
                <c:pt idx="187" c:formatCode="yyyy/m/d">
                  <c:v>44816</c:v>
                </c:pt>
                <c:pt idx="188" c:formatCode="yyyy/m/d">
                  <c:v>44823</c:v>
                </c:pt>
                <c:pt idx="189" c:formatCode="yyyy/m/d">
                  <c:v>44830</c:v>
                </c:pt>
                <c:pt idx="190" c:formatCode="yyyy/m/d">
                  <c:v>44837</c:v>
                </c:pt>
                <c:pt idx="191" c:formatCode="yyyy/m/d">
                  <c:v>44844</c:v>
                </c:pt>
                <c:pt idx="192" c:formatCode="yyyy/m/d">
                  <c:v>44851</c:v>
                </c:pt>
                <c:pt idx="193" c:formatCode="yyyy/m/d">
                  <c:v>44858</c:v>
                </c:pt>
                <c:pt idx="194" c:formatCode="yyyy/m/d">
                  <c:v>44865</c:v>
                </c:pt>
                <c:pt idx="195" c:formatCode="yyyy/m/d">
                  <c:v>44872</c:v>
                </c:pt>
                <c:pt idx="196" c:formatCode="yyyy/m/d">
                  <c:v>44879</c:v>
                </c:pt>
                <c:pt idx="197" c:formatCode="yyyy/m/d">
                  <c:v>44886</c:v>
                </c:pt>
                <c:pt idx="198" c:formatCode="yyyy/m/d">
                  <c:v>44893</c:v>
                </c:pt>
                <c:pt idx="199" c:formatCode="yyyy/m/d">
                  <c:v>44900</c:v>
                </c:pt>
                <c:pt idx="200" c:formatCode="yyyy/m/d">
                  <c:v>44907</c:v>
                </c:pt>
                <c:pt idx="201" c:formatCode="yyyy/m/d">
                  <c:v>44914</c:v>
                </c:pt>
                <c:pt idx="202" c:formatCode="yyyy/m/d">
                  <c:v>44921</c:v>
                </c:pt>
                <c:pt idx="203" c:formatCode="yyyy/m/d">
                  <c:v>44928</c:v>
                </c:pt>
                <c:pt idx="204" c:formatCode="yyyy/m/d">
                  <c:v>44935</c:v>
                </c:pt>
                <c:pt idx="205" c:formatCode="yyyy/m/d">
                  <c:v>44942</c:v>
                </c:pt>
                <c:pt idx="206" c:formatCode="yyyy/m/d">
                  <c:v>44956</c:v>
                </c:pt>
                <c:pt idx="207" c:formatCode="yyyy/m/d">
                  <c:v>44963</c:v>
                </c:pt>
                <c:pt idx="208" c:formatCode="yyyy/m/d">
                  <c:v>44970</c:v>
                </c:pt>
                <c:pt idx="209" c:formatCode="yyyy/m/d">
                  <c:v>44977</c:v>
                </c:pt>
                <c:pt idx="210" c:formatCode="yyyy/m/d">
                  <c:v>44984</c:v>
                </c:pt>
                <c:pt idx="211" c:formatCode="yyyy/m/d">
                  <c:v>44991</c:v>
                </c:pt>
                <c:pt idx="212" c:formatCode="yyyy/m/d">
                  <c:v>44998</c:v>
                </c:pt>
                <c:pt idx="213" c:formatCode="yyyy/m/d">
                  <c:v>45005</c:v>
                </c:pt>
                <c:pt idx="214" c:formatCode="yyyy/m/d">
                  <c:v>45012</c:v>
                </c:pt>
                <c:pt idx="215" c:formatCode="yyyy/m/d">
                  <c:v>45019</c:v>
                </c:pt>
                <c:pt idx="216" c:formatCode="yyyy/m/d">
                  <c:v>45026</c:v>
                </c:pt>
                <c:pt idx="217" c:formatCode="yyyy/m/d">
                  <c:v>45033</c:v>
                </c:pt>
                <c:pt idx="218" c:formatCode="yyyy/m/d">
                  <c:v>45040</c:v>
                </c:pt>
                <c:pt idx="219" c:formatCode="yyyy/m/d">
                  <c:v>45047</c:v>
                </c:pt>
                <c:pt idx="220" c:formatCode="yyyy/m/d">
                  <c:v>45054</c:v>
                </c:pt>
                <c:pt idx="221" c:formatCode="yyyy/m/d">
                  <c:v>45061</c:v>
                </c:pt>
                <c:pt idx="222" c:formatCode="yyyy/m/d">
                  <c:v>45068</c:v>
                </c:pt>
                <c:pt idx="223" c:formatCode="yyyy/m/d">
                  <c:v>45075</c:v>
                </c:pt>
                <c:pt idx="224" c:formatCode="yyyy/m/d">
                  <c:v>45082</c:v>
                </c:pt>
                <c:pt idx="225" c:formatCode="yyyy/m/d">
                  <c:v>45089</c:v>
                </c:pt>
                <c:pt idx="226" c:formatCode="yyyy/m/d">
                  <c:v>45096</c:v>
                </c:pt>
                <c:pt idx="227" c:formatCode="yyyy/m/d">
                  <c:v>45103</c:v>
                </c:pt>
                <c:pt idx="228" c:formatCode="yyyy/m/d">
                  <c:v>45110</c:v>
                </c:pt>
                <c:pt idx="229" c:formatCode="yyyy/m/d">
                  <c:v>45117</c:v>
                </c:pt>
                <c:pt idx="230" c:formatCode="yyyy/m/d">
                  <c:v>45124</c:v>
                </c:pt>
                <c:pt idx="231" c:formatCode="yyyy/m/d">
                  <c:v>45131</c:v>
                </c:pt>
                <c:pt idx="232" c:formatCode="yyyy/m/d">
                  <c:v>45138</c:v>
                </c:pt>
                <c:pt idx="233" c:formatCode="yyyy/m/d">
                  <c:v>45145</c:v>
                </c:pt>
                <c:pt idx="234" c:formatCode="yyyy/m/d">
                  <c:v>45152</c:v>
                </c:pt>
                <c:pt idx="235" c:formatCode="yyyy/m/d">
                  <c:v>45159</c:v>
                </c:pt>
                <c:pt idx="236" c:formatCode="yyyy/m/d">
                  <c:v>45166</c:v>
                </c:pt>
                <c:pt idx="237" c:formatCode="yyyy/m/d">
                  <c:v>45173</c:v>
                </c:pt>
                <c:pt idx="238" c:formatCode="yyyy/m/d">
                  <c:v>45180</c:v>
                </c:pt>
                <c:pt idx="239" c:formatCode="yyyy/m/d">
                  <c:v>45187</c:v>
                </c:pt>
                <c:pt idx="240" c:formatCode="yyyy/m/d">
                  <c:v>45194</c:v>
                </c:pt>
                <c:pt idx="241" c:formatCode="yyyy/m/d">
                  <c:v>45201</c:v>
                </c:pt>
                <c:pt idx="242" c:formatCode="yyyy/m/d">
                  <c:v>45208</c:v>
                </c:pt>
                <c:pt idx="243" c:formatCode="yyyy/m/d">
                  <c:v>45215</c:v>
                </c:pt>
                <c:pt idx="244" c:formatCode="yyyy/m/d">
                  <c:v>45222</c:v>
                </c:pt>
                <c:pt idx="245" c:formatCode="yyyy/m/d">
                  <c:v>45229</c:v>
                </c:pt>
                <c:pt idx="246" c:formatCode="yyyy/m/d">
                  <c:v>45236</c:v>
                </c:pt>
                <c:pt idx="247" c:formatCode="yyyy/m/d">
                  <c:v>45243</c:v>
                </c:pt>
                <c:pt idx="248" c:formatCode="yyyy/m/d">
                  <c:v>45250</c:v>
                </c:pt>
                <c:pt idx="249" c:formatCode="yyyy/m/d">
                  <c:v>45257</c:v>
                </c:pt>
                <c:pt idx="250" c:formatCode="yyyy/m/d">
                  <c:v>45264</c:v>
                </c:pt>
                <c:pt idx="251" c:formatCode="yyyy/m/d">
                  <c:v>45271</c:v>
                </c:pt>
                <c:pt idx="252" c:formatCode="yyyy/m/d">
                  <c:v>45278</c:v>
                </c:pt>
                <c:pt idx="253" c:formatCode="yyyy/m/d">
                  <c:v>45285</c:v>
                </c:pt>
                <c:pt idx="254" c:formatCode="yyyy/m/d">
                  <c:v>45292</c:v>
                </c:pt>
                <c:pt idx="255" c:formatCode="yyyy/m/d">
                  <c:v>45299</c:v>
                </c:pt>
                <c:pt idx="256" c:formatCode="yyyy/m/d">
                  <c:v>45306</c:v>
                </c:pt>
                <c:pt idx="257" c:formatCode="yyyy/m/d">
                  <c:v>45313</c:v>
                </c:pt>
                <c:pt idx="258" c:formatCode="yyyy/m/d">
                  <c:v>45320</c:v>
                </c:pt>
                <c:pt idx="259" c:formatCode="yyyy/m/d">
                  <c:v>45327</c:v>
                </c:pt>
                <c:pt idx="260" c:formatCode="yyyy/m/d">
                  <c:v>45334</c:v>
                </c:pt>
                <c:pt idx="261" c:formatCode="yyyy/m/d">
                  <c:v>45341</c:v>
                </c:pt>
                <c:pt idx="262" c:formatCode="yyyy/m/d">
                  <c:v>45348</c:v>
                </c:pt>
                <c:pt idx="263" c:formatCode="yyyy/m/d">
                  <c:v>45355</c:v>
                </c:pt>
                <c:pt idx="264" c:formatCode="yyyy/m/d">
                  <c:v>45362</c:v>
                </c:pt>
                <c:pt idx="265" c:formatCode="yyyy/m/d">
                  <c:v>45369</c:v>
                </c:pt>
                <c:pt idx="266" c:formatCode="yyyy/m/d">
                  <c:v>45376</c:v>
                </c:pt>
                <c:pt idx="267" c:formatCode="yyyy/m/d">
                  <c:v>45383</c:v>
                </c:pt>
                <c:pt idx="268" c:formatCode="yyyy/m/d">
                  <c:v>45390</c:v>
                </c:pt>
                <c:pt idx="269" c:formatCode="yyyy/m/d">
                  <c:v>45397</c:v>
                </c:pt>
                <c:pt idx="270" c:formatCode="yyyy/m/d">
                  <c:v>45404</c:v>
                </c:pt>
                <c:pt idx="271" c:formatCode="yyyy/m/d">
                  <c:v>45411</c:v>
                </c:pt>
                <c:pt idx="272" c:formatCode="yyyy/m/d">
                  <c:v>45418</c:v>
                </c:pt>
                <c:pt idx="273" c:formatCode="yyyy/m/d">
                  <c:v>45425</c:v>
                </c:pt>
                <c:pt idx="274" c:formatCode="yyyy/m/d">
                  <c:v>45432</c:v>
                </c:pt>
                <c:pt idx="275" c:formatCode="yyyy/m/d">
                  <c:v>45439</c:v>
                </c:pt>
                <c:pt idx="276" c:formatCode="yyyy/m/d">
                  <c:v>45446</c:v>
                </c:pt>
                <c:pt idx="277" c:formatCode="yyyy/m/d">
                  <c:v>45454</c:v>
                </c:pt>
                <c:pt idx="278" c:formatCode="yyyy/m/d">
                  <c:v>45460</c:v>
                </c:pt>
                <c:pt idx="279" c:formatCode="yyyy/m/d">
                  <c:v>45467</c:v>
                </c:pt>
                <c:pt idx="280" c:formatCode="yyyy/m/d">
                  <c:v>45474</c:v>
                </c:pt>
                <c:pt idx="281" c:formatCode="yyyy/m/d">
                  <c:v>45481</c:v>
                </c:pt>
                <c:pt idx="282" c:formatCode="yyyy/m/d">
                  <c:v>45488</c:v>
                </c:pt>
                <c:pt idx="283" c:formatCode="yyyy/m/d">
                  <c:v>45495</c:v>
                </c:pt>
                <c:pt idx="284" c:formatCode="yyyy/m/d">
                  <c:v>45502</c:v>
                </c:pt>
                <c:pt idx="285" c:formatCode="yyyy/m/d">
                  <c:v>45509</c:v>
                </c:pt>
                <c:pt idx="286" c:formatCode="yyyy/m/d">
                  <c:v>45516</c:v>
                </c:pt>
                <c:pt idx="287" c:formatCode="yyyy/m/d">
                  <c:v>45523</c:v>
                </c:pt>
                <c:pt idx="288" c:formatCode="yyyy/m/d">
                  <c:v>45530</c:v>
                </c:pt>
                <c:pt idx="289" c:formatCode="yyyy/m/d">
                  <c:v>45537</c:v>
                </c:pt>
                <c:pt idx="290" c:formatCode="yyyy/m/d">
                  <c:v>45544</c:v>
                </c:pt>
                <c:pt idx="291" c:formatCode="yyyy/m/d">
                  <c:v>45551</c:v>
                </c:pt>
                <c:pt idx="292" c:formatCode="yyyy/m/d">
                  <c:v>45558</c:v>
                </c:pt>
                <c:pt idx="293" c:formatCode="yyyy/m/d">
                  <c:v>45565</c:v>
                </c:pt>
                <c:pt idx="294" c:formatCode="yyyy/m/d">
                  <c:v>45572</c:v>
                </c:pt>
                <c:pt idx="295" c:formatCode="yyyy/m/d">
                  <c:v>45579</c:v>
                </c:pt>
                <c:pt idx="296" c:formatCode="yyyy/m/d">
                  <c:v>45586</c:v>
                </c:pt>
                <c:pt idx="297" c:formatCode="yyyy/m/d">
                  <c:v>45593</c:v>
                </c:pt>
                <c:pt idx="298" c:formatCode="yyyy/m/d">
                  <c:v>45600</c:v>
                </c:pt>
                <c:pt idx="299" c:formatCode="yyyy/m/d">
                  <c:v>45607</c:v>
                </c:pt>
                <c:pt idx="300" c:formatCode="yyyy/m/d">
                  <c:v>45614</c:v>
                </c:pt>
                <c:pt idx="301" c:formatCode="yyyy/m/d">
                  <c:v>45621</c:v>
                </c:pt>
                <c:pt idx="302" c:formatCode="yyyy/m/d">
                  <c:v>45628</c:v>
                </c:pt>
                <c:pt idx="303" c:formatCode="yyyy/m/d">
                  <c:v>45635</c:v>
                </c:pt>
                <c:pt idx="304" c:formatCode="yyyy/m/d">
                  <c:v>45642</c:v>
                </c:pt>
                <c:pt idx="305" c:formatCode="yyyy/m/d">
                  <c:v>45649</c:v>
                </c:pt>
                <c:pt idx="306" c:formatCode="yyyy/m/d">
                  <c:v>45656</c:v>
                </c:pt>
                <c:pt idx="307" c:formatCode="yyyy/m/d">
                  <c:v>45663</c:v>
                </c:pt>
                <c:pt idx="308" c:formatCode="yyyy/m/d">
                  <c:v>45670</c:v>
                </c:pt>
                <c:pt idx="309" c:formatCode="yyyy/m/d">
                  <c:v>45677</c:v>
                </c:pt>
                <c:pt idx="310" c:formatCode="yyyy/m/d">
                  <c:v>45684</c:v>
                </c:pt>
                <c:pt idx="311" c:formatCode="yyyy/m/d">
                  <c:v>45691</c:v>
                </c:pt>
                <c:pt idx="312" c:formatCode="yyyy/m/d">
                  <c:v>45698</c:v>
                </c:pt>
                <c:pt idx="313" c:formatCode="yyyy/m/d">
                  <c:v>45705</c:v>
                </c:pt>
                <c:pt idx="314" c:formatCode="yyyy/m/d">
                  <c:v>45712</c:v>
                </c:pt>
                <c:pt idx="315" c:formatCode="yyyy/m/d">
                  <c:v>45719</c:v>
                </c:pt>
                <c:pt idx="316" c:formatCode="yyyy/m/d">
                  <c:v>45726</c:v>
                </c:pt>
                <c:pt idx="317" c:formatCode="yyyy/m/d">
                  <c:v>45733</c:v>
                </c:pt>
                <c:pt idx="318" c:formatCode="yyyy/m/d">
                  <c:v>45740</c:v>
                </c:pt>
                <c:pt idx="319" c:formatCode="yyyy/m/d">
                  <c:v>45747</c:v>
                </c:pt>
                <c:pt idx="320" c:formatCode="yyyy/m/d">
                  <c:v>45754</c:v>
                </c:pt>
                <c:pt idx="321" c:formatCode="yyyy/m/d">
                  <c:v>45761</c:v>
                </c:pt>
                <c:pt idx="322" c:formatCode="yyyy/m/d">
                  <c:v>45768</c:v>
                </c:pt>
                <c:pt idx="323" c:formatCode="yyyy/m/d">
                  <c:v>45775</c:v>
                </c:pt>
                <c:pt idx="324" c:formatCode="yyyy/m/d">
                  <c:v>45782</c:v>
                </c:pt>
                <c:pt idx="325" c:formatCode="yyyy/m/d">
                  <c:v>45789</c:v>
                </c:pt>
                <c:pt idx="326" c:formatCode="yyyy/m/d">
                  <c:v>45796</c:v>
                </c:pt>
                <c:pt idx="327" c:formatCode="yyyy/m/d">
                  <c:v>45803</c:v>
                </c:pt>
                <c:pt idx="328" c:formatCode="yyyy/m/d">
                  <c:v>45810</c:v>
                </c:pt>
                <c:pt idx="329" c:formatCode="yyyy/m/d">
                  <c:v>45817</c:v>
                </c:pt>
                <c:pt idx="330" c:formatCode="yyyy/m/d">
                  <c:v>45824</c:v>
                </c:pt>
                <c:pt idx="331" c:formatCode="yyyy/m/d">
                  <c:v>45831</c:v>
                </c:pt>
                <c:pt idx="332" c:formatCode="yyyy/m/d">
                  <c:v>45838</c:v>
                </c:pt>
                <c:pt idx="333" c:formatCode="yyyy/m/d">
                  <c:v>45845</c:v>
                </c:pt>
                <c:pt idx="334" c:formatCode="yyyy/m/d">
                  <c:v>45852</c:v>
                </c:pt>
                <c:pt idx="335" c:formatCode="yyyy/m/d">
                  <c:v>45859</c:v>
                </c:pt>
                <c:pt idx="336" c:formatCode="yyyy/m/d">
                  <c:v>45866</c:v>
                </c:pt>
                <c:pt idx="337" c:formatCode="yyyy/m/d">
                  <c:v>45873</c:v>
                </c:pt>
                <c:pt idx="338" c:formatCode="yyyy/m/d">
                  <c:v>45880</c:v>
                </c:pt>
                <c:pt idx="339" c:formatCode="yyyy/m/d">
                  <c:v>45887</c:v>
                </c:pt>
                <c:pt idx="340" c:formatCode="yyyy/m/d">
                  <c:v>45894</c:v>
                </c:pt>
                <c:pt idx="341" c:formatCode="yyyy/m/d">
                  <c:v>45901</c:v>
                </c:pt>
                <c:pt idx="342" c:formatCode="yyyy/m/d">
                  <c:v>45908</c:v>
                </c:pt>
                <c:pt idx="343" c:formatCode="yyyy/m/d">
                  <c:v>45915</c:v>
                </c:pt>
                <c:pt idx="344" c:formatCode="yyyy/m/d">
                  <c:v>45922</c:v>
                </c:pt>
                <c:pt idx="345" c:formatCode="yyyy/m/d">
                  <c:v>45929</c:v>
                </c:pt>
                <c:pt idx="346" c:formatCode="yyyy/m/d">
                  <c:v>45936</c:v>
                </c:pt>
                <c:pt idx="347" c:formatCode="yyyy/m/d">
                  <c:v>45943</c:v>
                </c:pt>
                <c:pt idx="348" c:formatCode="yyyy/m/d">
                  <c:v>45950</c:v>
                </c:pt>
                <c:pt idx="349" c:formatCode="yyyy/m/d">
                  <c:v>45957</c:v>
                </c:pt>
                <c:pt idx="350" c:formatCode="yyyy/m/d">
                  <c:v>45964</c:v>
                </c:pt>
                <c:pt idx="351" c:formatCode="yyyy/m/d">
                  <c:v>45971</c:v>
                </c:pt>
                <c:pt idx="352" c:formatCode="yyyy/m/d">
                  <c:v>45978</c:v>
                </c:pt>
                <c:pt idx="353" c:formatCode="yyyy/m/d">
                  <c:v>45985</c:v>
                </c:pt>
                <c:pt idx="354" c:formatCode="yyyy/m/d">
                  <c:v>45992</c:v>
                </c:pt>
                <c:pt idx="355" c:formatCode="yyyy/m/d">
                  <c:v>45999</c:v>
                </c:pt>
                <c:pt idx="356" c:formatCode="yyyy/m/d">
                  <c:v>46006</c:v>
                </c:pt>
                <c:pt idx="357" c:formatCode="yyyy/m/d">
                  <c:v>46013</c:v>
                </c:pt>
                <c:pt idx="358" c:formatCode="yyyy/m/d">
                  <c:v>46020</c:v>
                </c:pt>
                <c:pt idx="359" c:formatCode="yyyy/m/d">
                  <c:v>46027</c:v>
                </c:pt>
                <c:pt idx="360" c:formatCode="yyyy/m/d">
                  <c:v>46034</c:v>
                </c:pt>
                <c:pt idx="361" c:formatCode="yyyy/m/d">
                  <c:v>46041</c:v>
                </c:pt>
                <c:pt idx="362" c:formatCode="yyyy/m/d">
                  <c:v>46048</c:v>
                </c:pt>
                <c:pt idx="363" c:formatCode="yyyy/m/d">
                  <c:v>46055</c:v>
                </c:pt>
                <c:pt idx="364" c:formatCode="yyyy/m/d">
                  <c:v>46062</c:v>
                </c:pt>
                <c:pt idx="365" c:formatCode="yyyy/m/d">
                  <c:v>46076</c:v>
                </c:pt>
                <c:pt idx="366" c:formatCode="yyyy/m/d">
                  <c:v>46083</c:v>
                </c:pt>
                <c:pt idx="367" c:formatCode="yyyy/m/d">
                  <c:v>46090</c:v>
                </c:pt>
                <c:pt idx="368" c:formatCode="yyyy/m/d">
                  <c:v>46097</c:v>
                </c:pt>
                <c:pt idx="369" c:formatCode="yyyy/m/d">
                  <c:v>46104</c:v>
                </c:pt>
                <c:pt idx="370" c:formatCode="yyyy/m/d">
                  <c:v>46111</c:v>
                </c:pt>
                <c:pt idx="371" c:formatCode="yyyy/m/d">
                  <c:v>46119</c:v>
                </c:pt>
                <c:pt idx="372" c:formatCode="yyyy/m/d">
                  <c:v>46125</c:v>
                </c:pt>
                <c:pt idx="373" c:formatCode="yyyy/m/d">
                  <c:v>46132</c:v>
                </c:pt>
                <c:pt idx="374" c:formatCode="yyyy/m/d">
                  <c:v>46139</c:v>
                </c:pt>
                <c:pt idx="375" c:formatCode="yyyy/m/d">
                  <c:v>46146</c:v>
                </c:pt>
                <c:pt idx="376" c:formatCode="yyyy/m/d">
                  <c:v>46153</c:v>
                </c:pt>
                <c:pt idx="377" c:formatCode="yyyy/m/d">
                  <c:v>46160</c:v>
                </c:pt>
                <c:pt idx="378" c:formatCode="yyyy/m/d">
                  <c:v>46167</c:v>
                </c:pt>
                <c:pt idx="379" c:formatCode="yyyy/m/d">
                  <c:v>46174</c:v>
                </c:pt>
              </c:numCache>
            </c:numRef>
          </c:cat>
          <c:val>
            <c:numRef>
              <c:f>NAND!$BB$27:$BB$525</c:f>
              <c:numCache>
                <c:formatCode>_(* #,##0.00_);_(* \(#,##0.00\);_(* "-"??_);_(@_)</c:formatCode>
                <c:ptCount val="499"/>
                <c:pt idx="0">
                  <c:v>2.427</c:v>
                </c:pt>
                <c:pt idx="1">
                  <c:v>2.42</c:v>
                </c:pt>
                <c:pt idx="2">
                  <c:v>2.412</c:v>
                </c:pt>
                <c:pt idx="3">
                  <c:v>2.405</c:v>
                </c:pt>
                <c:pt idx="4">
                  <c:v>2.379</c:v>
                </c:pt>
                <c:pt idx="5">
                  <c:v>2.368</c:v>
                </c:pt>
                <c:pt idx="6">
                  <c:v>2.333</c:v>
                </c:pt>
                <c:pt idx="7">
                  <c:v>2.321</c:v>
                </c:pt>
                <c:pt idx="8">
                  <c:v>2.225</c:v>
                </c:pt>
                <c:pt idx="9">
                  <c:v>2.134</c:v>
                </c:pt>
                <c:pt idx="10">
                  <c:v>2.124</c:v>
                </c:pt>
                <c:pt idx="11">
                  <c:v>2.092</c:v>
                </c:pt>
                <c:pt idx="12">
                  <c:v>2.05</c:v>
                </c:pt>
                <c:pt idx="13">
                  <c:v>1.971</c:v>
                </c:pt>
                <c:pt idx="14">
                  <c:v>1.946</c:v>
                </c:pt>
                <c:pt idx="15">
                  <c:v>1.93</c:v>
                </c:pt>
                <c:pt idx="16">
                  <c:v>1.922</c:v>
                </c:pt>
                <c:pt idx="17">
                  <c:v>1.921</c:v>
                </c:pt>
                <c:pt idx="18">
                  <c:v>1.893</c:v>
                </c:pt>
                <c:pt idx="19">
                  <c:v>1.883</c:v>
                </c:pt>
                <c:pt idx="20">
                  <c:v>1.822</c:v>
                </c:pt>
                <c:pt idx="21">
                  <c:v>1.821</c:v>
                </c:pt>
                <c:pt idx="22">
                  <c:v>1.797</c:v>
                </c:pt>
                <c:pt idx="23">
                  <c:v>1.801</c:v>
                </c:pt>
                <c:pt idx="24">
                  <c:v>1.965</c:v>
                </c:pt>
                <c:pt idx="25">
                  <c:v>2.06</c:v>
                </c:pt>
                <c:pt idx="26">
                  <c:v>2.236</c:v>
                </c:pt>
                <c:pt idx="27">
                  <c:v>2.274</c:v>
                </c:pt>
                <c:pt idx="28">
                  <c:v>2.29</c:v>
                </c:pt>
                <c:pt idx="29">
                  <c:v>2.273</c:v>
                </c:pt>
                <c:pt idx="30">
                  <c:v>2.255</c:v>
                </c:pt>
                <c:pt idx="31">
                  <c:v>2.21</c:v>
                </c:pt>
                <c:pt idx="32">
                  <c:v>2.173</c:v>
                </c:pt>
                <c:pt idx="33">
                  <c:v>2.175</c:v>
                </c:pt>
                <c:pt idx="34">
                  <c:v>2.159</c:v>
                </c:pt>
                <c:pt idx="35">
                  <c:v>2.127</c:v>
                </c:pt>
                <c:pt idx="36">
                  <c:v>2.109</c:v>
                </c:pt>
                <c:pt idx="37">
                  <c:v>2.109</c:v>
                </c:pt>
                <c:pt idx="38">
                  <c:v>2.097</c:v>
                </c:pt>
                <c:pt idx="39">
                  <c:v>2.092</c:v>
                </c:pt>
                <c:pt idx="40">
                  <c:v>2.089</c:v>
                </c:pt>
                <c:pt idx="41">
                  <c:v>2.051</c:v>
                </c:pt>
                <c:pt idx="42">
                  <c:v>2</c:v>
                </c:pt>
                <c:pt idx="43">
                  <c:v>2.012</c:v>
                </c:pt>
                <c:pt idx="44">
                  <c:v>2.051</c:v>
                </c:pt>
                <c:pt idx="45">
                  <c:v>2.129</c:v>
                </c:pt>
                <c:pt idx="46">
                  <c:v>2.245</c:v>
                </c:pt>
                <c:pt idx="47">
                  <c:v>2.397</c:v>
                </c:pt>
                <c:pt idx="48">
                  <c:v>2.447</c:v>
                </c:pt>
                <c:pt idx="49">
                  <c:v>2.679</c:v>
                </c:pt>
                <c:pt idx="50">
                  <c:v>2.821</c:v>
                </c:pt>
                <c:pt idx="51">
                  <c:v>3.008</c:v>
                </c:pt>
                <c:pt idx="52">
                  <c:v>3.008</c:v>
                </c:pt>
                <c:pt idx="53">
                  <c:v>3.008</c:v>
                </c:pt>
                <c:pt idx="54">
                  <c:v>3.029</c:v>
                </c:pt>
                <c:pt idx="55">
                  <c:v>3.029</c:v>
                </c:pt>
                <c:pt idx="56">
                  <c:v>3.079</c:v>
                </c:pt>
                <c:pt idx="57">
                  <c:v>3.126</c:v>
                </c:pt>
                <c:pt idx="58">
                  <c:v>3.313</c:v>
                </c:pt>
                <c:pt idx="59">
                  <c:v>3.161</c:v>
                </c:pt>
                <c:pt idx="60">
                  <c:v>3.157</c:v>
                </c:pt>
                <c:pt idx="61">
                  <c:v>3.143</c:v>
                </c:pt>
                <c:pt idx="62">
                  <c:v>3.132</c:v>
                </c:pt>
                <c:pt idx="63">
                  <c:v>2.936</c:v>
                </c:pt>
                <c:pt idx="64">
                  <c:v>2.925</c:v>
                </c:pt>
                <c:pt idx="65">
                  <c:v>2.868</c:v>
                </c:pt>
                <c:pt idx="66">
                  <c:v>2.845</c:v>
                </c:pt>
                <c:pt idx="67">
                  <c:v>2.834</c:v>
                </c:pt>
                <c:pt idx="68">
                  <c:v>2.784</c:v>
                </c:pt>
                <c:pt idx="69">
                  <c:v>2.679</c:v>
                </c:pt>
                <c:pt idx="70">
                  <c:v>2.625</c:v>
                </c:pt>
                <c:pt idx="71">
                  <c:v>2.623</c:v>
                </c:pt>
                <c:pt idx="72">
                  <c:v>2.621</c:v>
                </c:pt>
                <c:pt idx="73">
                  <c:v>2.6</c:v>
                </c:pt>
                <c:pt idx="74">
                  <c:v>2.592</c:v>
                </c:pt>
                <c:pt idx="75">
                  <c:v>2.581</c:v>
                </c:pt>
                <c:pt idx="76">
                  <c:v>2.56</c:v>
                </c:pt>
                <c:pt idx="77">
                  <c:v>2.483</c:v>
                </c:pt>
                <c:pt idx="78">
                  <c:v>2.434</c:v>
                </c:pt>
                <c:pt idx="79">
                  <c:v>2.321</c:v>
                </c:pt>
                <c:pt idx="80">
                  <c:v>2.278</c:v>
                </c:pt>
                <c:pt idx="81">
                  <c:v>2.269</c:v>
                </c:pt>
                <c:pt idx="82">
                  <c:v>2.272</c:v>
                </c:pt>
                <c:pt idx="83">
                  <c:v>2.276</c:v>
                </c:pt>
                <c:pt idx="84">
                  <c:v>2.293</c:v>
                </c:pt>
                <c:pt idx="85">
                  <c:v>2.325</c:v>
                </c:pt>
                <c:pt idx="86">
                  <c:v>2.329</c:v>
                </c:pt>
                <c:pt idx="87">
                  <c:v>2.329</c:v>
                </c:pt>
                <c:pt idx="88">
                  <c:v>2.329</c:v>
                </c:pt>
                <c:pt idx="89">
                  <c:v>2.384</c:v>
                </c:pt>
                <c:pt idx="90">
                  <c:v>2.386</c:v>
                </c:pt>
                <c:pt idx="91">
                  <c:v>2.355</c:v>
                </c:pt>
                <c:pt idx="92">
                  <c:v>2.309</c:v>
                </c:pt>
                <c:pt idx="93">
                  <c:v>2.279</c:v>
                </c:pt>
                <c:pt idx="94">
                  <c:v>2.224</c:v>
                </c:pt>
                <c:pt idx="95">
                  <c:v>2.206</c:v>
                </c:pt>
                <c:pt idx="96">
                  <c:v>2.199</c:v>
                </c:pt>
                <c:pt idx="97">
                  <c:v>2.196</c:v>
                </c:pt>
                <c:pt idx="98">
                  <c:v>2.194</c:v>
                </c:pt>
                <c:pt idx="99">
                  <c:v>2.191</c:v>
                </c:pt>
                <c:pt idx="100">
                  <c:v>2.184</c:v>
                </c:pt>
                <c:pt idx="101">
                  <c:v>2.176</c:v>
                </c:pt>
                <c:pt idx="102">
                  <c:v>2.174</c:v>
                </c:pt>
                <c:pt idx="103">
                  <c:v>2.175</c:v>
                </c:pt>
                <c:pt idx="104">
                  <c:v>2.174</c:v>
                </c:pt>
                <c:pt idx="105">
                  <c:v>2.174</c:v>
                </c:pt>
                <c:pt idx="106">
                  <c:v>2.174</c:v>
                </c:pt>
                <c:pt idx="107">
                  <c:v>2.174</c:v>
                </c:pt>
                <c:pt idx="108">
                  <c:v>2.2</c:v>
                </c:pt>
                <c:pt idx="109">
                  <c:v>2.221</c:v>
                </c:pt>
                <c:pt idx="110">
                  <c:v>2.285</c:v>
                </c:pt>
                <c:pt idx="111">
                  <c:v>2.321</c:v>
                </c:pt>
                <c:pt idx="112">
                  <c:v>2.319</c:v>
                </c:pt>
                <c:pt idx="113">
                  <c:v>2.318</c:v>
                </c:pt>
                <c:pt idx="114">
                  <c:v>2.303</c:v>
                </c:pt>
                <c:pt idx="115">
                  <c:v>2.3</c:v>
                </c:pt>
                <c:pt idx="116">
                  <c:v>2.3</c:v>
                </c:pt>
                <c:pt idx="117">
                  <c:v>2.299</c:v>
                </c:pt>
                <c:pt idx="118">
                  <c:v>2.303</c:v>
                </c:pt>
                <c:pt idx="119">
                  <c:v>2.303</c:v>
                </c:pt>
                <c:pt idx="120">
                  <c:v>2.71</c:v>
                </c:pt>
                <c:pt idx="121">
                  <c:v>2.669</c:v>
                </c:pt>
                <c:pt idx="122">
                  <c:v>2.654</c:v>
                </c:pt>
                <c:pt idx="123">
                  <c:v>2.647</c:v>
                </c:pt>
                <c:pt idx="124">
                  <c:v>2.632</c:v>
                </c:pt>
                <c:pt idx="125">
                  <c:v>2.618</c:v>
                </c:pt>
                <c:pt idx="126">
                  <c:v>2.615</c:v>
                </c:pt>
                <c:pt idx="127">
                  <c:v>2.65</c:v>
                </c:pt>
                <c:pt idx="128">
                  <c:v>2.65</c:v>
                </c:pt>
                <c:pt idx="129">
                  <c:v>2.649</c:v>
                </c:pt>
                <c:pt idx="130">
                  <c:v>2.649</c:v>
                </c:pt>
                <c:pt idx="131">
                  <c:v>2.648</c:v>
                </c:pt>
                <c:pt idx="132">
                  <c:v>2.636</c:v>
                </c:pt>
                <c:pt idx="133">
                  <c:v>2.604</c:v>
                </c:pt>
                <c:pt idx="134">
                  <c:v>2.579</c:v>
                </c:pt>
                <c:pt idx="135">
                  <c:v>2.578</c:v>
                </c:pt>
                <c:pt idx="136">
                  <c:v>2.568</c:v>
                </c:pt>
                <c:pt idx="137">
                  <c:v>2.518</c:v>
                </c:pt>
                <c:pt idx="138">
                  <c:v>2.496</c:v>
                </c:pt>
                <c:pt idx="139">
                  <c:v>2.448</c:v>
                </c:pt>
                <c:pt idx="140">
                  <c:v>2.448</c:v>
                </c:pt>
                <c:pt idx="141">
                  <c:v>2.326</c:v>
                </c:pt>
                <c:pt idx="142">
                  <c:v>2.226</c:v>
                </c:pt>
                <c:pt idx="143">
                  <c:v>2.208</c:v>
                </c:pt>
                <c:pt idx="144">
                  <c:v>2.2</c:v>
                </c:pt>
                <c:pt idx="145">
                  <c:v>2.17</c:v>
                </c:pt>
                <c:pt idx="146">
                  <c:v>2.11</c:v>
                </c:pt>
                <c:pt idx="147">
                  <c:v>2.07</c:v>
                </c:pt>
                <c:pt idx="148">
                  <c:v>2.06</c:v>
                </c:pt>
                <c:pt idx="149">
                  <c:v>2.05</c:v>
                </c:pt>
                <c:pt idx="150">
                  <c:v>2.05</c:v>
                </c:pt>
                <c:pt idx="151">
                  <c:v>2.06</c:v>
                </c:pt>
                <c:pt idx="152">
                  <c:v>2.07</c:v>
                </c:pt>
                <c:pt idx="153">
                  <c:v>2.08</c:v>
                </c:pt>
                <c:pt idx="154">
                  <c:v>2.09</c:v>
                </c:pt>
                <c:pt idx="155">
                  <c:v>2.09</c:v>
                </c:pt>
                <c:pt idx="156">
                  <c:v>2.09</c:v>
                </c:pt>
                <c:pt idx="157">
                  <c:v>2.15</c:v>
                </c:pt>
                <c:pt idx="158">
                  <c:v>2.29</c:v>
                </c:pt>
                <c:pt idx="159">
                  <c:v>2.31</c:v>
                </c:pt>
                <c:pt idx="160">
                  <c:v>2.35</c:v>
                </c:pt>
                <c:pt idx="161">
                  <c:v>2.37</c:v>
                </c:pt>
                <c:pt idx="162">
                  <c:v>2.37</c:v>
                </c:pt>
                <c:pt idx="163">
                  <c:v>2.36</c:v>
                </c:pt>
                <c:pt idx="164">
                  <c:v>2.33</c:v>
                </c:pt>
                <c:pt idx="165">
                  <c:v>2.3</c:v>
                </c:pt>
                <c:pt idx="166">
                  <c:v>2.3</c:v>
                </c:pt>
                <c:pt idx="167">
                  <c:v>2.29</c:v>
                </c:pt>
                <c:pt idx="168">
                  <c:v>2.23</c:v>
                </c:pt>
                <c:pt idx="169">
                  <c:v>2.21</c:v>
                </c:pt>
                <c:pt idx="170">
                  <c:v>2.19</c:v>
                </c:pt>
                <c:pt idx="171">
                  <c:v>2.17</c:v>
                </c:pt>
                <c:pt idx="172">
                  <c:v>2.1</c:v>
                </c:pt>
                <c:pt idx="173">
                  <c:v>2.08</c:v>
                </c:pt>
                <c:pt idx="174">
                  <c:v>1.99</c:v>
                </c:pt>
                <c:pt idx="175">
                  <c:v>1.97</c:v>
                </c:pt>
                <c:pt idx="176">
                  <c:v>1.94</c:v>
                </c:pt>
                <c:pt idx="177">
                  <c:v>1.81</c:v>
                </c:pt>
                <c:pt idx="178">
                  <c:v>1.79</c:v>
                </c:pt>
                <c:pt idx="179">
                  <c:v>1.79</c:v>
                </c:pt>
                <c:pt idx="180">
                  <c:v>1.79</c:v>
                </c:pt>
                <c:pt idx="181">
                  <c:v>1.79</c:v>
                </c:pt>
                <c:pt idx="182">
                  <c:v>1.78</c:v>
                </c:pt>
                <c:pt idx="183">
                  <c:v>1.78</c:v>
                </c:pt>
                <c:pt idx="184">
                  <c:v>1.67</c:v>
                </c:pt>
                <c:pt idx="185">
                  <c:v>1.55</c:v>
                </c:pt>
                <c:pt idx="186">
                  <c:v>1.49</c:v>
                </c:pt>
                <c:pt idx="187">
                  <c:v>1.48</c:v>
                </c:pt>
                <c:pt idx="188">
                  <c:v>1.47</c:v>
                </c:pt>
                <c:pt idx="189">
                  <c:v>1.43</c:v>
                </c:pt>
                <c:pt idx="190">
                  <c:v>1.4</c:v>
                </c:pt>
                <c:pt idx="191">
                  <c:v>1.38</c:v>
                </c:pt>
                <c:pt idx="192">
                  <c:v>1.37</c:v>
                </c:pt>
                <c:pt idx="193">
                  <c:v>1.35</c:v>
                </c:pt>
                <c:pt idx="194">
                  <c:v>1.29</c:v>
                </c:pt>
                <c:pt idx="195">
                  <c:v>1.24</c:v>
                </c:pt>
                <c:pt idx="196">
                  <c:v>1.15</c:v>
                </c:pt>
                <c:pt idx="197">
                  <c:v>1.11</c:v>
                </c:pt>
                <c:pt idx="198">
                  <c:v>1.1</c:v>
                </c:pt>
                <c:pt idx="199">
                  <c:v>1.07</c:v>
                </c:pt>
                <c:pt idx="200">
                  <c:v>1.07</c:v>
                </c:pt>
                <c:pt idx="201">
                  <c:v>1.07</c:v>
                </c:pt>
                <c:pt idx="202">
                  <c:v>1.04</c:v>
                </c:pt>
                <c:pt idx="203">
                  <c:v>1.03</c:v>
                </c:pt>
                <c:pt idx="204">
                  <c:v>1.03</c:v>
                </c:pt>
                <c:pt idx="205">
                  <c:v>1.03</c:v>
                </c:pt>
                <c:pt idx="206">
                  <c:v>1.03</c:v>
                </c:pt>
                <c:pt idx="207">
                  <c:v>1.03</c:v>
                </c:pt>
                <c:pt idx="208">
                  <c:v>1.02</c:v>
                </c:pt>
                <c:pt idx="209">
                  <c:v>1.02</c:v>
                </c:pt>
                <c:pt idx="210">
                  <c:v>1.02</c:v>
                </c:pt>
                <c:pt idx="211">
                  <c:v>1.01</c:v>
                </c:pt>
                <c:pt idx="212">
                  <c:v>0.96</c:v>
                </c:pt>
                <c:pt idx="213">
                  <c:v>0.95</c:v>
                </c:pt>
                <c:pt idx="214">
                  <c:v>0.94</c:v>
                </c:pt>
                <c:pt idx="215">
                  <c:v>0.93</c:v>
                </c:pt>
                <c:pt idx="216">
                  <c:v>0.93</c:v>
                </c:pt>
                <c:pt idx="217">
                  <c:v>0.93</c:v>
                </c:pt>
                <c:pt idx="218">
                  <c:v>0.93</c:v>
                </c:pt>
                <c:pt idx="219">
                  <c:v>0.93</c:v>
                </c:pt>
                <c:pt idx="220">
                  <c:v>0.93</c:v>
                </c:pt>
                <c:pt idx="221">
                  <c:v>0.93</c:v>
                </c:pt>
                <c:pt idx="222">
                  <c:v>0.93</c:v>
                </c:pt>
                <c:pt idx="223">
                  <c:v>0.93</c:v>
                </c:pt>
                <c:pt idx="224">
                  <c:v>0.94</c:v>
                </c:pt>
                <c:pt idx="225">
                  <c:v>0.94</c:v>
                </c:pt>
                <c:pt idx="226">
                  <c:v>0.94</c:v>
                </c:pt>
                <c:pt idx="227">
                  <c:v>0.94</c:v>
                </c:pt>
                <c:pt idx="228">
                  <c:v>0.94</c:v>
                </c:pt>
                <c:pt idx="229">
                  <c:v>0.93</c:v>
                </c:pt>
                <c:pt idx="230">
                  <c:v>0.93</c:v>
                </c:pt>
                <c:pt idx="231">
                  <c:v>0.93</c:v>
                </c:pt>
                <c:pt idx="232">
                  <c:v>0.93</c:v>
                </c:pt>
                <c:pt idx="233">
                  <c:v>0.93</c:v>
                </c:pt>
                <c:pt idx="234">
                  <c:v>0.93</c:v>
                </c:pt>
                <c:pt idx="235">
                  <c:v>0.96</c:v>
                </c:pt>
                <c:pt idx="236">
                  <c:v>0.97</c:v>
                </c:pt>
                <c:pt idx="237">
                  <c:v>0.97</c:v>
                </c:pt>
                <c:pt idx="238">
                  <c:v>0.97</c:v>
                </c:pt>
                <c:pt idx="239">
                  <c:v>1.04</c:v>
                </c:pt>
                <c:pt idx="240">
                  <c:v>1.08</c:v>
                </c:pt>
                <c:pt idx="241">
                  <c:v>1.12</c:v>
                </c:pt>
                <c:pt idx="242">
                  <c:v>1.12</c:v>
                </c:pt>
                <c:pt idx="243">
                  <c:v>1.12</c:v>
                </c:pt>
                <c:pt idx="244">
                  <c:v>1.16</c:v>
                </c:pt>
                <c:pt idx="245">
                  <c:v>1.3</c:v>
                </c:pt>
                <c:pt idx="246">
                  <c:v>1.3</c:v>
                </c:pt>
                <c:pt idx="247">
                  <c:v>1.38</c:v>
                </c:pt>
                <c:pt idx="248">
                  <c:v>1.36</c:v>
                </c:pt>
                <c:pt idx="249">
                  <c:v>1.44</c:v>
                </c:pt>
                <c:pt idx="250">
                  <c:v>1.47</c:v>
                </c:pt>
                <c:pt idx="251">
                  <c:v>1.47</c:v>
                </c:pt>
                <c:pt idx="252">
                  <c:v>1.5</c:v>
                </c:pt>
                <c:pt idx="253">
                  <c:v>1.56</c:v>
                </c:pt>
                <c:pt idx="254">
                  <c:v>1.56</c:v>
                </c:pt>
                <c:pt idx="255">
                  <c:v>1.56</c:v>
                </c:pt>
                <c:pt idx="256">
                  <c:v>1.65</c:v>
                </c:pt>
                <c:pt idx="257">
                  <c:v>1.71</c:v>
                </c:pt>
                <c:pt idx="258">
                  <c:v>1.77</c:v>
                </c:pt>
                <c:pt idx="259">
                  <c:v>1.77</c:v>
                </c:pt>
                <c:pt idx="260">
                  <c:v>1.77</c:v>
                </c:pt>
                <c:pt idx="261">
                  <c:v>1.77</c:v>
                </c:pt>
                <c:pt idx="262">
                  <c:v>1.77</c:v>
                </c:pt>
                <c:pt idx="263">
                  <c:v>1.84</c:v>
                </c:pt>
                <c:pt idx="264">
                  <c:v>1.82</c:v>
                </c:pt>
                <c:pt idx="265">
                  <c:v>1.88</c:v>
                </c:pt>
                <c:pt idx="266">
                  <c:v>1.87</c:v>
                </c:pt>
                <c:pt idx="267">
                  <c:v>1.87</c:v>
                </c:pt>
                <c:pt idx="268">
                  <c:v>1.87</c:v>
                </c:pt>
                <c:pt idx="269">
                  <c:v>1.87</c:v>
                </c:pt>
                <c:pt idx="270">
                  <c:v>1.89</c:v>
                </c:pt>
                <c:pt idx="271">
                  <c:v>1.87</c:v>
                </c:pt>
                <c:pt idx="272">
                  <c:v>1.85</c:v>
                </c:pt>
                <c:pt idx="273">
                  <c:v>1.83</c:v>
                </c:pt>
                <c:pt idx="274">
                  <c:v>1.79</c:v>
                </c:pt>
                <c:pt idx="275">
                  <c:v>1.78</c:v>
                </c:pt>
                <c:pt idx="276">
                  <c:v>1.74</c:v>
                </c:pt>
                <c:pt idx="277">
                  <c:v>1.7</c:v>
                </c:pt>
                <c:pt idx="278">
                  <c:v>1.69</c:v>
                </c:pt>
                <c:pt idx="279">
                  <c:v>1.69</c:v>
                </c:pt>
                <c:pt idx="280">
                  <c:v>1.69</c:v>
                </c:pt>
                <c:pt idx="281">
                  <c:v>1.69</c:v>
                </c:pt>
                <c:pt idx="282">
                  <c:v>1.68</c:v>
                </c:pt>
                <c:pt idx="283">
                  <c:v>1.68</c:v>
                </c:pt>
                <c:pt idx="284">
                  <c:v>1.68</c:v>
                </c:pt>
                <c:pt idx="285">
                  <c:v>1.67</c:v>
                </c:pt>
                <c:pt idx="286">
                  <c:v>1.67</c:v>
                </c:pt>
                <c:pt idx="287">
                  <c:v>1.64</c:v>
                </c:pt>
                <c:pt idx="288">
                  <c:v>1.64</c:v>
                </c:pt>
                <c:pt idx="289">
                  <c:v>1.6</c:v>
                </c:pt>
                <c:pt idx="290">
                  <c:v>1.52</c:v>
                </c:pt>
                <c:pt idx="291">
                  <c:v>1.43</c:v>
                </c:pt>
                <c:pt idx="292">
                  <c:v>1.38</c:v>
                </c:pt>
                <c:pt idx="293">
                  <c:v>1.31</c:v>
                </c:pt>
                <c:pt idx="294">
                  <c:v>1.3</c:v>
                </c:pt>
                <c:pt idx="295">
                  <c:v>1.29</c:v>
                </c:pt>
                <c:pt idx="296">
                  <c:v>1.28</c:v>
                </c:pt>
                <c:pt idx="297">
                  <c:v>1.23</c:v>
                </c:pt>
                <c:pt idx="298">
                  <c:v>1.2</c:v>
                </c:pt>
                <c:pt idx="299">
                  <c:v>1.2</c:v>
                </c:pt>
                <c:pt idx="300">
                  <c:v>1.2</c:v>
                </c:pt>
                <c:pt idx="301">
                  <c:v>1.2</c:v>
                </c:pt>
                <c:pt idx="302">
                  <c:v>1.2</c:v>
                </c:pt>
                <c:pt idx="303">
                  <c:v>1.21</c:v>
                </c:pt>
                <c:pt idx="304">
                  <c:v>1.19</c:v>
                </c:pt>
                <c:pt idx="305">
                  <c:v>1.19</c:v>
                </c:pt>
                <c:pt idx="306">
                  <c:v>1.19</c:v>
                </c:pt>
                <c:pt idx="307">
                  <c:v>1.19</c:v>
                </c:pt>
                <c:pt idx="308">
                  <c:v>1.18</c:v>
                </c:pt>
                <c:pt idx="309">
                  <c:v>1.18</c:v>
                </c:pt>
                <c:pt idx="310">
                  <c:v>1.18</c:v>
                </c:pt>
                <c:pt idx="311">
                  <c:v>1.18</c:v>
                </c:pt>
                <c:pt idx="312">
                  <c:v>1.18</c:v>
                </c:pt>
                <c:pt idx="313">
                  <c:v>1.18</c:v>
                </c:pt>
                <c:pt idx="314">
                  <c:v>1.19</c:v>
                </c:pt>
                <c:pt idx="315">
                  <c:v>1.21</c:v>
                </c:pt>
                <c:pt idx="316">
                  <c:v>1.28</c:v>
                </c:pt>
                <c:pt idx="317">
                  <c:v>1.36</c:v>
                </c:pt>
                <c:pt idx="318">
                  <c:v>1.44</c:v>
                </c:pt>
                <c:pt idx="319">
                  <c:v>1.48</c:v>
                </c:pt>
                <c:pt idx="320">
                  <c:v>1.48</c:v>
                </c:pt>
                <c:pt idx="321">
                  <c:v>1.49</c:v>
                </c:pt>
                <c:pt idx="322">
                  <c:v>1.49</c:v>
                </c:pt>
                <c:pt idx="323">
                  <c:v>1.49</c:v>
                </c:pt>
                <c:pt idx="324">
                  <c:v>1.49</c:v>
                </c:pt>
                <c:pt idx="325">
                  <c:v>1.49</c:v>
                </c:pt>
                <c:pt idx="326">
                  <c:v>1.51</c:v>
                </c:pt>
                <c:pt idx="327">
                  <c:v>1.5</c:v>
                </c:pt>
                <c:pt idx="328">
                  <c:v>1.5</c:v>
                </c:pt>
                <c:pt idx="329">
                  <c:v>1.5</c:v>
                </c:pt>
                <c:pt idx="330">
                  <c:v>1.49</c:v>
                </c:pt>
                <c:pt idx="331">
                  <c:v>1.49</c:v>
                </c:pt>
                <c:pt idx="332">
                  <c:v>1.5</c:v>
                </c:pt>
                <c:pt idx="333">
                  <c:v>1.5</c:v>
                </c:pt>
                <c:pt idx="334">
                  <c:v>1.5</c:v>
                </c:pt>
                <c:pt idx="335">
                  <c:v>1.51</c:v>
                </c:pt>
                <c:pt idx="336">
                  <c:v>1.51</c:v>
                </c:pt>
                <c:pt idx="337">
                  <c:v>1.54</c:v>
                </c:pt>
                <c:pt idx="338">
                  <c:v>1.55</c:v>
                </c:pt>
                <c:pt idx="339">
                  <c:v>1.56</c:v>
                </c:pt>
                <c:pt idx="340">
                  <c:v>1.56</c:v>
                </c:pt>
                <c:pt idx="341">
                  <c:v>1.56</c:v>
                </c:pt>
                <c:pt idx="342">
                  <c:v>1.56</c:v>
                </c:pt>
                <c:pt idx="343">
                  <c:v>1.56</c:v>
                </c:pt>
                <c:pt idx="344">
                  <c:v>1.66</c:v>
                </c:pt>
                <c:pt idx="345">
                  <c:v>1.74</c:v>
                </c:pt>
                <c:pt idx="346">
                  <c:v>1.86</c:v>
                </c:pt>
                <c:pt idx="347">
                  <c:v>1.86</c:v>
                </c:pt>
                <c:pt idx="348">
                  <c:v>2.37</c:v>
                </c:pt>
                <c:pt idx="349">
                  <c:v>2.49</c:v>
                </c:pt>
                <c:pt idx="350">
                  <c:v>2.99</c:v>
                </c:pt>
                <c:pt idx="351">
                  <c:v>3.44</c:v>
                </c:pt>
                <c:pt idx="352">
                  <c:v>4.18</c:v>
                </c:pt>
                <c:pt idx="353">
                  <c:v>5.19</c:v>
                </c:pt>
                <c:pt idx="354">
                  <c:v>5.19</c:v>
                </c:pt>
                <c:pt idx="355">
                  <c:v>5.19</c:v>
                </c:pt>
                <c:pt idx="356">
                  <c:v>5.19</c:v>
                </c:pt>
                <c:pt idx="357">
                  <c:v>6.04</c:v>
                </c:pt>
                <c:pt idx="358">
                  <c:v>6.87</c:v>
                </c:pt>
                <c:pt idx="359">
                  <c:v>6.97</c:v>
                </c:pt>
                <c:pt idx="360">
                  <c:v>6.97</c:v>
                </c:pt>
                <c:pt idx="361">
                  <c:v>7.57</c:v>
                </c:pt>
                <c:pt idx="362">
                  <c:v>7.57</c:v>
                </c:pt>
                <c:pt idx="363">
                  <c:v>8.75</c:v>
                </c:pt>
                <c:pt idx="364">
                  <c:v>8.75</c:v>
                </c:pt>
                <c:pt idx="365">
                  <c:v>8.75</c:v>
                </c:pt>
                <c:pt idx="366">
                  <c:v>10.14</c:v>
                </c:pt>
                <c:pt idx="367">
                  <c:v>11.24</c:v>
                </c:pt>
                <c:pt idx="368">
                  <c:v>11.24</c:v>
                </c:pt>
                <c:pt idx="369">
                  <c:v>11.24</c:v>
                </c:pt>
                <c:pt idx="370">
                  <c:v>10.92</c:v>
                </c:pt>
                <c:pt idx="371">
                  <c:v>10.92</c:v>
                </c:pt>
                <c:pt idx="372">
                  <c:v>10.49</c:v>
                </c:pt>
                <c:pt idx="373">
                  <c:v>10.48</c:v>
                </c:pt>
                <c:pt idx="374">
                  <c:v>10.48</c:v>
                </c:pt>
                <c:pt idx="375">
                  <c:v>10.48</c:v>
                </c:pt>
                <c:pt idx="376">
                  <c:v>10.48</c:v>
                </c:pt>
                <c:pt idx="377">
                  <c:v>10.48</c:v>
                </c:pt>
                <c:pt idx="378">
                  <c:v>10.48</c:v>
                </c:pt>
                <c:pt idx="379">
                  <c:v>10.48</c:v>
                </c:pt>
              </c:numCache>
            </c:numRef>
          </c:val>
          <c:smooth val="0"/>
        </c:ser>
        <c:ser>
          <c:idx val="1"/>
          <c:order val="1"/>
          <c:tx>
            <c:strRef>
              <c:f>NAND!$BC$26</c:f>
              <c:strCache>
                <c:ptCount val="1"/>
                <c:pt idx="0">
                  <c:v>Contract</c:v>
                </c:pt>
              </c:strCache>
            </c:strRef>
          </c:tx>
          <c:spPr>
            <a:ln w="19050" cap="rnd" cmpd="sng" algn="ctr">
              <a:solidFill>
                <a:sysClr val="windowText" lastClr="000000"/>
              </a:solidFill>
              <a:prstDash val="solid"/>
              <a:round/>
            </a:ln>
          </c:spPr>
          <c:marker>
            <c:symbol val="none"/>
          </c:marker>
          <c:dLbls>
            <c:delete val="1"/>
          </c:dLbls>
          <c:cat>
            <c:numRef>
              <c:f>NAND!$BA$27:$BA$525</c:f>
              <c:numCache>
                <c:formatCode>yyyy/m/d</c:formatCode>
                <c:ptCount val="499"/>
                <c:pt idx="0" c:formatCode="yyyy/m/d">
                  <c:v>43479</c:v>
                </c:pt>
                <c:pt idx="1" c:formatCode="yyyy/m/d">
                  <c:v>43493</c:v>
                </c:pt>
                <c:pt idx="2" c:formatCode="yyyy/m/d">
                  <c:v>43507</c:v>
                </c:pt>
                <c:pt idx="3" c:formatCode="yyyy/m/d">
                  <c:v>43514</c:v>
                </c:pt>
                <c:pt idx="4" c:formatCode="yyyy/m/d">
                  <c:v>43521</c:v>
                </c:pt>
                <c:pt idx="5" c:formatCode="yyyy/m/d">
                  <c:v>43528</c:v>
                </c:pt>
                <c:pt idx="6" c:formatCode="yyyy/m/d">
                  <c:v>43535</c:v>
                </c:pt>
                <c:pt idx="7" c:formatCode="yyyy/m/d">
                  <c:v>43542</c:v>
                </c:pt>
                <c:pt idx="8" c:formatCode="yyyy/m/d">
                  <c:v>43549</c:v>
                </c:pt>
                <c:pt idx="9" c:formatCode="yyyy/m/d">
                  <c:v>43556</c:v>
                </c:pt>
                <c:pt idx="10" c:formatCode="yyyy/m/d">
                  <c:v>43563</c:v>
                </c:pt>
                <c:pt idx="11" c:formatCode="yyyy/m/d">
                  <c:v>43570</c:v>
                </c:pt>
                <c:pt idx="12" c:formatCode="yyyy/m/d">
                  <c:v>43577</c:v>
                </c:pt>
                <c:pt idx="13" c:formatCode="yyyy/m/d">
                  <c:v>43584</c:v>
                </c:pt>
                <c:pt idx="14" c:formatCode="yyyy/m/d">
                  <c:v>43591</c:v>
                </c:pt>
                <c:pt idx="15" c:formatCode="yyyy/m/d">
                  <c:v>43598</c:v>
                </c:pt>
                <c:pt idx="16" c:formatCode="yyyy/m/d">
                  <c:v>43605</c:v>
                </c:pt>
                <c:pt idx="17" c:formatCode="yyyy/m/d">
                  <c:v>43612</c:v>
                </c:pt>
                <c:pt idx="18" c:formatCode="yyyy/m/d">
                  <c:v>43619</c:v>
                </c:pt>
                <c:pt idx="19" c:formatCode="yyyy/m/d">
                  <c:v>43626</c:v>
                </c:pt>
                <c:pt idx="20" c:formatCode="yyyy/m/d">
                  <c:v>43633</c:v>
                </c:pt>
                <c:pt idx="21" c:formatCode="yyyy/m/d">
                  <c:v>43640</c:v>
                </c:pt>
                <c:pt idx="22" c:formatCode="yyyy/m/d">
                  <c:v>43647</c:v>
                </c:pt>
                <c:pt idx="23" c:formatCode="yyyy/m/d">
                  <c:v>43654</c:v>
                </c:pt>
                <c:pt idx="24" c:formatCode="yyyy/m/d">
                  <c:v>43661</c:v>
                </c:pt>
                <c:pt idx="25" c:formatCode="yyyy/m/d">
                  <c:v>43668</c:v>
                </c:pt>
                <c:pt idx="26" c:formatCode="yyyy/m/d">
                  <c:v>43675</c:v>
                </c:pt>
                <c:pt idx="27" c:formatCode="yyyy/m/d">
                  <c:v>43682</c:v>
                </c:pt>
                <c:pt idx="28" c:formatCode="yyyy/m/d">
                  <c:v>43689</c:v>
                </c:pt>
                <c:pt idx="29" c:formatCode="yyyy/m/d">
                  <c:v>43696</c:v>
                </c:pt>
                <c:pt idx="30" c:formatCode="yyyy/m/d">
                  <c:v>43703</c:v>
                </c:pt>
                <c:pt idx="31" c:formatCode="yyyy/m/d">
                  <c:v>43710</c:v>
                </c:pt>
                <c:pt idx="32" c:formatCode="yyyy/m/d">
                  <c:v>43717</c:v>
                </c:pt>
                <c:pt idx="33" c:formatCode="yyyy/m/d">
                  <c:v>43724</c:v>
                </c:pt>
                <c:pt idx="34" c:formatCode="yyyy/m/d">
                  <c:v>43731</c:v>
                </c:pt>
                <c:pt idx="35" c:formatCode="yyyy/m/d">
                  <c:v>43738</c:v>
                </c:pt>
                <c:pt idx="36" c:formatCode="yyyy/m/d">
                  <c:v>43745</c:v>
                </c:pt>
                <c:pt idx="37" c:formatCode="yyyy/m/d">
                  <c:v>43752</c:v>
                </c:pt>
                <c:pt idx="38" c:formatCode="yyyy/m/d">
                  <c:v>43759</c:v>
                </c:pt>
                <c:pt idx="39" c:formatCode="yyyy/m/d">
                  <c:v>43766</c:v>
                </c:pt>
                <c:pt idx="40" c:formatCode="yyyy/m/d">
                  <c:v>43773</c:v>
                </c:pt>
                <c:pt idx="41" c:formatCode="yyyy/m/d">
                  <c:v>43780</c:v>
                </c:pt>
                <c:pt idx="42" c:formatCode="yyyy/m/d">
                  <c:v>43787</c:v>
                </c:pt>
                <c:pt idx="43" c:formatCode="yyyy/m/d">
                  <c:v>43794</c:v>
                </c:pt>
                <c:pt idx="44" c:formatCode="yyyy/m/d">
                  <c:v>43801</c:v>
                </c:pt>
                <c:pt idx="45" c:formatCode="yyyy/m/d">
                  <c:v>43808</c:v>
                </c:pt>
                <c:pt idx="46" c:formatCode="yyyy/m/d">
                  <c:v>43815</c:v>
                </c:pt>
                <c:pt idx="47" c:formatCode="yyyy/m/d">
                  <c:v>43822</c:v>
                </c:pt>
                <c:pt idx="48" c:formatCode="yyyy/m/d">
                  <c:v>43829</c:v>
                </c:pt>
                <c:pt idx="49" c:formatCode="yyyy/m/d">
                  <c:v>43836</c:v>
                </c:pt>
                <c:pt idx="50" c:formatCode="yyyy/m/d">
                  <c:v>43843</c:v>
                </c:pt>
                <c:pt idx="51" c:formatCode="yyyy/m/d">
                  <c:v>43850</c:v>
                </c:pt>
                <c:pt idx="52" c:formatCode="yyyy/m/d">
                  <c:v>43864</c:v>
                </c:pt>
                <c:pt idx="53" c:formatCode="yyyy/m/d">
                  <c:v>43871</c:v>
                </c:pt>
                <c:pt idx="54" c:formatCode="yyyy/m/d">
                  <c:v>43878</c:v>
                </c:pt>
                <c:pt idx="55" c:formatCode="yyyy/m/d">
                  <c:v>43885</c:v>
                </c:pt>
                <c:pt idx="56" c:formatCode="yyyy/m/d">
                  <c:v>43892</c:v>
                </c:pt>
                <c:pt idx="57" c:formatCode="yyyy/m/d">
                  <c:v>43899</c:v>
                </c:pt>
                <c:pt idx="58" c:formatCode="yyyy/m/d">
                  <c:v>43906</c:v>
                </c:pt>
                <c:pt idx="59" c:formatCode="yyyy/m/d">
                  <c:v>43913</c:v>
                </c:pt>
                <c:pt idx="60" c:formatCode="yyyy/m/d">
                  <c:v>43920</c:v>
                </c:pt>
                <c:pt idx="61" c:formatCode="yyyy/m/d">
                  <c:v>43927</c:v>
                </c:pt>
                <c:pt idx="62" c:formatCode="yyyy/m/d">
                  <c:v>43934</c:v>
                </c:pt>
                <c:pt idx="63" c:formatCode="yyyy/m/d">
                  <c:v>43941</c:v>
                </c:pt>
                <c:pt idx="64" c:formatCode="yyyy/m/d">
                  <c:v>43948</c:v>
                </c:pt>
                <c:pt idx="65" c:formatCode="yyyy/m/d">
                  <c:v>43955</c:v>
                </c:pt>
                <c:pt idx="66" c:formatCode="yyyy/m/d">
                  <c:v>43962</c:v>
                </c:pt>
                <c:pt idx="67" c:formatCode="yyyy/m/d">
                  <c:v>43969</c:v>
                </c:pt>
                <c:pt idx="68" c:formatCode="yyyy/m/d">
                  <c:v>43976</c:v>
                </c:pt>
                <c:pt idx="69" c:formatCode="yyyy/m/d">
                  <c:v>43983</c:v>
                </c:pt>
                <c:pt idx="70" c:formatCode="yyyy/m/d">
                  <c:v>43990</c:v>
                </c:pt>
                <c:pt idx="71" c:formatCode="yyyy/m/d">
                  <c:v>43997</c:v>
                </c:pt>
                <c:pt idx="72" c:formatCode="yyyy/m/d">
                  <c:v>44004</c:v>
                </c:pt>
                <c:pt idx="73" c:formatCode="yyyy/m/d">
                  <c:v>44011</c:v>
                </c:pt>
                <c:pt idx="74" c:formatCode="yyyy/m/d">
                  <c:v>44018</c:v>
                </c:pt>
                <c:pt idx="75" c:formatCode="yyyy/m/d">
                  <c:v>44025</c:v>
                </c:pt>
                <c:pt idx="76" c:formatCode="yyyy/m/d">
                  <c:v>44032</c:v>
                </c:pt>
                <c:pt idx="77" c:formatCode="yyyy/m/d">
                  <c:v>44039</c:v>
                </c:pt>
                <c:pt idx="78" c:formatCode="yyyy/m/d">
                  <c:v>44046</c:v>
                </c:pt>
                <c:pt idx="79" c:formatCode="yyyy/m/d">
                  <c:v>44053</c:v>
                </c:pt>
                <c:pt idx="80" c:formatCode="yyyy/m/d">
                  <c:v>44060</c:v>
                </c:pt>
                <c:pt idx="81" c:formatCode="yyyy/m/d">
                  <c:v>44067</c:v>
                </c:pt>
                <c:pt idx="82" c:formatCode="yyyy/m/d">
                  <c:v>44074</c:v>
                </c:pt>
                <c:pt idx="83" c:formatCode="yyyy/m/d">
                  <c:v>44081</c:v>
                </c:pt>
                <c:pt idx="84" c:formatCode="yyyy/m/d">
                  <c:v>44088</c:v>
                </c:pt>
                <c:pt idx="85" c:formatCode="yyyy/m/d">
                  <c:v>44095</c:v>
                </c:pt>
                <c:pt idx="86" c:formatCode="yyyy/m/d">
                  <c:v>44102</c:v>
                </c:pt>
                <c:pt idx="87" c:formatCode="yyyy/m/d">
                  <c:v>44109</c:v>
                </c:pt>
                <c:pt idx="88" c:formatCode="yyyy/m/d">
                  <c:v>44116</c:v>
                </c:pt>
                <c:pt idx="89" c:formatCode="yyyy/m/d">
                  <c:v>44123</c:v>
                </c:pt>
                <c:pt idx="90" c:formatCode="yyyy/m/d">
                  <c:v>44130</c:v>
                </c:pt>
                <c:pt idx="91" c:formatCode="yyyy/m/d">
                  <c:v>44137</c:v>
                </c:pt>
                <c:pt idx="92" c:formatCode="yyyy/m/d">
                  <c:v>44144</c:v>
                </c:pt>
                <c:pt idx="93" c:formatCode="yyyy/m/d">
                  <c:v>44151</c:v>
                </c:pt>
                <c:pt idx="94" c:formatCode="yyyy/m/d">
                  <c:v>44158</c:v>
                </c:pt>
                <c:pt idx="95" c:formatCode="yyyy/m/d">
                  <c:v>44165</c:v>
                </c:pt>
                <c:pt idx="96" c:formatCode="yyyy/m/d">
                  <c:v>44172</c:v>
                </c:pt>
                <c:pt idx="97" c:formatCode="yyyy/m/d">
                  <c:v>44179</c:v>
                </c:pt>
                <c:pt idx="98" c:formatCode="yyyy/m/d">
                  <c:v>44186</c:v>
                </c:pt>
                <c:pt idx="99" c:formatCode="yyyy/m/d">
                  <c:v>44193</c:v>
                </c:pt>
                <c:pt idx="100" c:formatCode="yyyy/m/d">
                  <c:v>44200</c:v>
                </c:pt>
                <c:pt idx="101" c:formatCode="yyyy/m/d">
                  <c:v>44207</c:v>
                </c:pt>
                <c:pt idx="102" c:formatCode="yyyy/m/d">
                  <c:v>44214</c:v>
                </c:pt>
                <c:pt idx="103" c:formatCode="yyyy/m/d">
                  <c:v>44221</c:v>
                </c:pt>
                <c:pt idx="104" c:formatCode="yyyy/m/d">
                  <c:v>44228</c:v>
                </c:pt>
                <c:pt idx="105" c:formatCode="yyyy/m/d">
                  <c:v>44235</c:v>
                </c:pt>
                <c:pt idx="106" c:formatCode="yyyy/m/d">
                  <c:v>44244</c:v>
                </c:pt>
                <c:pt idx="107" c:formatCode="yyyy/m/d">
                  <c:v>44249</c:v>
                </c:pt>
                <c:pt idx="108" c:formatCode="yyyy/m/d">
                  <c:v>44256</c:v>
                </c:pt>
                <c:pt idx="109" c:formatCode="yyyy/m/d">
                  <c:v>44263</c:v>
                </c:pt>
                <c:pt idx="110" c:formatCode="yyyy/m/d">
                  <c:v>44270</c:v>
                </c:pt>
                <c:pt idx="111" c:formatCode="yyyy/m/d">
                  <c:v>44277</c:v>
                </c:pt>
                <c:pt idx="112" c:formatCode="yyyy/m/d">
                  <c:v>44284</c:v>
                </c:pt>
                <c:pt idx="113" c:formatCode="yyyy/m/d">
                  <c:v>44292</c:v>
                </c:pt>
                <c:pt idx="114" c:formatCode="yyyy/m/d">
                  <c:v>44298</c:v>
                </c:pt>
                <c:pt idx="115" c:formatCode="yyyy/m/d">
                  <c:v>44305</c:v>
                </c:pt>
                <c:pt idx="116" c:formatCode="yyyy/m/d">
                  <c:v>44312</c:v>
                </c:pt>
                <c:pt idx="117" c:formatCode="yyyy/m/d">
                  <c:v>44319</c:v>
                </c:pt>
                <c:pt idx="118" c:formatCode="yyyy/m/d">
                  <c:v>44326</c:v>
                </c:pt>
                <c:pt idx="119" c:formatCode="yyyy/m/d">
                  <c:v>44333</c:v>
                </c:pt>
                <c:pt idx="120" c:formatCode="yyyy/m/d">
                  <c:v>44340</c:v>
                </c:pt>
                <c:pt idx="121" c:formatCode="yyyy/m/d">
                  <c:v>44347</c:v>
                </c:pt>
                <c:pt idx="122" c:formatCode="yyyy/m/d">
                  <c:v>44354</c:v>
                </c:pt>
                <c:pt idx="123" c:formatCode="yyyy/m/d">
                  <c:v>44362</c:v>
                </c:pt>
                <c:pt idx="124" c:formatCode="yyyy/m/d">
                  <c:v>44368</c:v>
                </c:pt>
                <c:pt idx="125" c:formatCode="yyyy/m/d">
                  <c:v>44375</c:v>
                </c:pt>
                <c:pt idx="126" c:formatCode="yyyy/m/d">
                  <c:v>44382</c:v>
                </c:pt>
                <c:pt idx="127" c:formatCode="yyyy/m/d">
                  <c:v>44389</c:v>
                </c:pt>
                <c:pt idx="128" c:formatCode="yyyy/m/d">
                  <c:v>44396</c:v>
                </c:pt>
                <c:pt idx="129" c:formatCode="yyyy/m/d">
                  <c:v>44403</c:v>
                </c:pt>
                <c:pt idx="130" c:formatCode="yyyy/m/d">
                  <c:v>44410</c:v>
                </c:pt>
                <c:pt idx="131" c:formatCode="yyyy/m/d">
                  <c:v>44417</c:v>
                </c:pt>
                <c:pt idx="132" c:formatCode="yyyy/m/d">
                  <c:v>44424</c:v>
                </c:pt>
                <c:pt idx="133" c:formatCode="yyyy/m/d">
                  <c:v>44431</c:v>
                </c:pt>
                <c:pt idx="134" c:formatCode="yyyy/m/d">
                  <c:v>44438</c:v>
                </c:pt>
                <c:pt idx="135" c:formatCode="yyyy/m/d">
                  <c:v>44445</c:v>
                </c:pt>
                <c:pt idx="136" c:formatCode="yyyy/m/d">
                  <c:v>44452</c:v>
                </c:pt>
                <c:pt idx="137" c:formatCode="yyyy/m/d">
                  <c:v>44461</c:v>
                </c:pt>
                <c:pt idx="138" c:formatCode="yyyy/m/d">
                  <c:v>44466</c:v>
                </c:pt>
                <c:pt idx="139" c:formatCode="yyyy/m/d">
                  <c:v>44473</c:v>
                </c:pt>
                <c:pt idx="140" c:formatCode="yyyy/m/d">
                  <c:v>44480</c:v>
                </c:pt>
                <c:pt idx="141" c:formatCode="yyyy/m/d">
                  <c:v>44487</c:v>
                </c:pt>
                <c:pt idx="142" c:formatCode="yyyy/m/d">
                  <c:v>44494</c:v>
                </c:pt>
                <c:pt idx="143" c:formatCode="yyyy/m/d">
                  <c:v>44501</c:v>
                </c:pt>
                <c:pt idx="144" c:formatCode="yyyy/m/d">
                  <c:v>44508</c:v>
                </c:pt>
                <c:pt idx="145" c:formatCode="yyyy/m/d">
                  <c:v>44515</c:v>
                </c:pt>
                <c:pt idx="146" c:formatCode="yyyy/m/d">
                  <c:v>44522</c:v>
                </c:pt>
                <c:pt idx="147" c:formatCode="yyyy/m/d">
                  <c:v>44529</c:v>
                </c:pt>
                <c:pt idx="148" c:formatCode="yyyy/m/d">
                  <c:v>44536</c:v>
                </c:pt>
                <c:pt idx="149" c:formatCode="yyyy/m/d">
                  <c:v>44543</c:v>
                </c:pt>
                <c:pt idx="150" c:formatCode="yyyy/m/d">
                  <c:v>44550</c:v>
                </c:pt>
                <c:pt idx="151" c:formatCode="yyyy/m/d">
                  <c:v>44557</c:v>
                </c:pt>
                <c:pt idx="152" c:formatCode="yyyy/m/d">
                  <c:v>44564</c:v>
                </c:pt>
                <c:pt idx="153" c:formatCode="yyyy/m/d">
                  <c:v>44571</c:v>
                </c:pt>
                <c:pt idx="154" c:formatCode="yyyy/m/d">
                  <c:v>44578</c:v>
                </c:pt>
                <c:pt idx="155" c:formatCode="yyyy/m/d">
                  <c:v>44585</c:v>
                </c:pt>
                <c:pt idx="156" c:formatCode="yyyy/m/d">
                  <c:v>44599</c:v>
                </c:pt>
                <c:pt idx="157" c:formatCode="yyyy/m/d">
                  <c:v>44606</c:v>
                </c:pt>
                <c:pt idx="158" c:formatCode="yyyy/m/d">
                  <c:v>44613</c:v>
                </c:pt>
                <c:pt idx="159" c:formatCode="yyyy/m/d">
                  <c:v>44620</c:v>
                </c:pt>
                <c:pt idx="160" c:formatCode="yyyy/m/d">
                  <c:v>44627</c:v>
                </c:pt>
                <c:pt idx="161" c:formatCode="yyyy/m/d">
                  <c:v>44634</c:v>
                </c:pt>
                <c:pt idx="162" c:formatCode="yyyy/m/d">
                  <c:v>44641</c:v>
                </c:pt>
                <c:pt idx="163" c:formatCode="yyyy/m/d">
                  <c:v>44648</c:v>
                </c:pt>
                <c:pt idx="164" c:formatCode="yyyy/m/d">
                  <c:v>44657</c:v>
                </c:pt>
                <c:pt idx="165" c:formatCode="yyyy/m/d">
                  <c:v>44662</c:v>
                </c:pt>
                <c:pt idx="166" c:formatCode="yyyy/m/d">
                  <c:v>44669</c:v>
                </c:pt>
                <c:pt idx="167" c:formatCode="yyyy/m/d">
                  <c:v>44676</c:v>
                </c:pt>
                <c:pt idx="168" c:formatCode="yyyy/m/d">
                  <c:v>44684</c:v>
                </c:pt>
                <c:pt idx="169" c:formatCode="yyyy/m/d">
                  <c:v>44690</c:v>
                </c:pt>
                <c:pt idx="170" c:formatCode="yyyy/m/d">
                  <c:v>44697</c:v>
                </c:pt>
                <c:pt idx="171" c:formatCode="yyyy/m/d">
                  <c:v>44704</c:v>
                </c:pt>
                <c:pt idx="172" c:formatCode="yyyy/m/d">
                  <c:v>44711</c:v>
                </c:pt>
                <c:pt idx="173" c:formatCode="yyyy/m/d">
                  <c:v>44718</c:v>
                </c:pt>
                <c:pt idx="174" c:formatCode="yyyy/m/d">
                  <c:v>44725</c:v>
                </c:pt>
                <c:pt idx="175" c:formatCode="yyyy/m/d">
                  <c:v>44732</c:v>
                </c:pt>
                <c:pt idx="176" c:formatCode="yyyy/m/d">
                  <c:v>44739</c:v>
                </c:pt>
                <c:pt idx="177" c:formatCode="yyyy/m/d">
                  <c:v>44746</c:v>
                </c:pt>
                <c:pt idx="178" c:formatCode="yyyy/m/d">
                  <c:v>44753</c:v>
                </c:pt>
                <c:pt idx="179" c:formatCode="yyyy/m/d">
                  <c:v>44760</c:v>
                </c:pt>
                <c:pt idx="180" c:formatCode="yyyy/m/d">
                  <c:v>44767</c:v>
                </c:pt>
                <c:pt idx="181" c:formatCode="yyyy/m/d">
                  <c:v>44774</c:v>
                </c:pt>
                <c:pt idx="182" c:formatCode="yyyy/m/d">
                  <c:v>44781</c:v>
                </c:pt>
                <c:pt idx="183" c:formatCode="yyyy/m/d">
                  <c:v>44788</c:v>
                </c:pt>
                <c:pt idx="184" c:formatCode="yyyy/m/d">
                  <c:v>44795</c:v>
                </c:pt>
                <c:pt idx="185" c:formatCode="yyyy/m/d">
                  <c:v>44802</c:v>
                </c:pt>
                <c:pt idx="186" c:formatCode="yyyy/m/d">
                  <c:v>44809</c:v>
                </c:pt>
                <c:pt idx="187" c:formatCode="yyyy/m/d">
                  <c:v>44816</c:v>
                </c:pt>
                <c:pt idx="188" c:formatCode="yyyy/m/d">
                  <c:v>44823</c:v>
                </c:pt>
                <c:pt idx="189" c:formatCode="yyyy/m/d">
                  <c:v>44830</c:v>
                </c:pt>
                <c:pt idx="190" c:formatCode="yyyy/m/d">
                  <c:v>44837</c:v>
                </c:pt>
                <c:pt idx="191" c:formatCode="yyyy/m/d">
                  <c:v>44844</c:v>
                </c:pt>
                <c:pt idx="192" c:formatCode="yyyy/m/d">
                  <c:v>44851</c:v>
                </c:pt>
                <c:pt idx="193" c:formatCode="yyyy/m/d">
                  <c:v>44858</c:v>
                </c:pt>
                <c:pt idx="194" c:formatCode="yyyy/m/d">
                  <c:v>44865</c:v>
                </c:pt>
                <c:pt idx="195" c:formatCode="yyyy/m/d">
                  <c:v>44872</c:v>
                </c:pt>
                <c:pt idx="196" c:formatCode="yyyy/m/d">
                  <c:v>44879</c:v>
                </c:pt>
                <c:pt idx="197" c:formatCode="yyyy/m/d">
                  <c:v>44886</c:v>
                </c:pt>
                <c:pt idx="198" c:formatCode="yyyy/m/d">
                  <c:v>44893</c:v>
                </c:pt>
                <c:pt idx="199" c:formatCode="yyyy/m/d">
                  <c:v>44900</c:v>
                </c:pt>
                <c:pt idx="200" c:formatCode="yyyy/m/d">
                  <c:v>44907</c:v>
                </c:pt>
                <c:pt idx="201" c:formatCode="yyyy/m/d">
                  <c:v>44914</c:v>
                </c:pt>
                <c:pt idx="202" c:formatCode="yyyy/m/d">
                  <c:v>44921</c:v>
                </c:pt>
                <c:pt idx="203" c:formatCode="yyyy/m/d">
                  <c:v>44928</c:v>
                </c:pt>
                <c:pt idx="204" c:formatCode="yyyy/m/d">
                  <c:v>44935</c:v>
                </c:pt>
                <c:pt idx="205" c:formatCode="yyyy/m/d">
                  <c:v>44942</c:v>
                </c:pt>
                <c:pt idx="206" c:formatCode="yyyy/m/d">
                  <c:v>44956</c:v>
                </c:pt>
                <c:pt idx="207" c:formatCode="yyyy/m/d">
                  <c:v>44963</c:v>
                </c:pt>
                <c:pt idx="208" c:formatCode="yyyy/m/d">
                  <c:v>44970</c:v>
                </c:pt>
                <c:pt idx="209" c:formatCode="yyyy/m/d">
                  <c:v>44977</c:v>
                </c:pt>
                <c:pt idx="210" c:formatCode="yyyy/m/d">
                  <c:v>44984</c:v>
                </c:pt>
                <c:pt idx="211" c:formatCode="yyyy/m/d">
                  <c:v>44991</c:v>
                </c:pt>
                <c:pt idx="212" c:formatCode="yyyy/m/d">
                  <c:v>44998</c:v>
                </c:pt>
                <c:pt idx="213" c:formatCode="yyyy/m/d">
                  <c:v>45005</c:v>
                </c:pt>
                <c:pt idx="214" c:formatCode="yyyy/m/d">
                  <c:v>45012</c:v>
                </c:pt>
                <c:pt idx="215" c:formatCode="yyyy/m/d">
                  <c:v>45019</c:v>
                </c:pt>
                <c:pt idx="216" c:formatCode="yyyy/m/d">
                  <c:v>45026</c:v>
                </c:pt>
                <c:pt idx="217" c:formatCode="yyyy/m/d">
                  <c:v>45033</c:v>
                </c:pt>
                <c:pt idx="218" c:formatCode="yyyy/m/d">
                  <c:v>45040</c:v>
                </c:pt>
                <c:pt idx="219" c:formatCode="yyyy/m/d">
                  <c:v>45047</c:v>
                </c:pt>
                <c:pt idx="220" c:formatCode="yyyy/m/d">
                  <c:v>45054</c:v>
                </c:pt>
                <c:pt idx="221" c:formatCode="yyyy/m/d">
                  <c:v>45061</c:v>
                </c:pt>
                <c:pt idx="222" c:formatCode="yyyy/m/d">
                  <c:v>45068</c:v>
                </c:pt>
                <c:pt idx="223" c:formatCode="yyyy/m/d">
                  <c:v>45075</c:v>
                </c:pt>
                <c:pt idx="224" c:formatCode="yyyy/m/d">
                  <c:v>45082</c:v>
                </c:pt>
                <c:pt idx="225" c:formatCode="yyyy/m/d">
                  <c:v>45089</c:v>
                </c:pt>
                <c:pt idx="226" c:formatCode="yyyy/m/d">
                  <c:v>45096</c:v>
                </c:pt>
                <c:pt idx="227" c:formatCode="yyyy/m/d">
                  <c:v>45103</c:v>
                </c:pt>
                <c:pt idx="228" c:formatCode="yyyy/m/d">
                  <c:v>45110</c:v>
                </c:pt>
                <c:pt idx="229" c:formatCode="yyyy/m/d">
                  <c:v>45117</c:v>
                </c:pt>
                <c:pt idx="230" c:formatCode="yyyy/m/d">
                  <c:v>45124</c:v>
                </c:pt>
                <c:pt idx="231" c:formatCode="yyyy/m/d">
                  <c:v>45131</c:v>
                </c:pt>
                <c:pt idx="232" c:formatCode="yyyy/m/d">
                  <c:v>45138</c:v>
                </c:pt>
                <c:pt idx="233" c:formatCode="yyyy/m/d">
                  <c:v>45145</c:v>
                </c:pt>
                <c:pt idx="234" c:formatCode="yyyy/m/d">
                  <c:v>45152</c:v>
                </c:pt>
                <c:pt idx="235" c:formatCode="yyyy/m/d">
                  <c:v>45159</c:v>
                </c:pt>
                <c:pt idx="236" c:formatCode="yyyy/m/d">
                  <c:v>45166</c:v>
                </c:pt>
                <c:pt idx="237" c:formatCode="yyyy/m/d">
                  <c:v>45173</c:v>
                </c:pt>
                <c:pt idx="238" c:formatCode="yyyy/m/d">
                  <c:v>45180</c:v>
                </c:pt>
                <c:pt idx="239" c:formatCode="yyyy/m/d">
                  <c:v>45187</c:v>
                </c:pt>
                <c:pt idx="240" c:formatCode="yyyy/m/d">
                  <c:v>45194</c:v>
                </c:pt>
                <c:pt idx="241" c:formatCode="yyyy/m/d">
                  <c:v>45201</c:v>
                </c:pt>
                <c:pt idx="242" c:formatCode="yyyy/m/d">
                  <c:v>45208</c:v>
                </c:pt>
                <c:pt idx="243" c:formatCode="yyyy/m/d">
                  <c:v>45215</c:v>
                </c:pt>
                <c:pt idx="244" c:formatCode="yyyy/m/d">
                  <c:v>45222</c:v>
                </c:pt>
                <c:pt idx="245" c:formatCode="yyyy/m/d">
                  <c:v>45229</c:v>
                </c:pt>
                <c:pt idx="246" c:formatCode="yyyy/m/d">
                  <c:v>45236</c:v>
                </c:pt>
                <c:pt idx="247" c:formatCode="yyyy/m/d">
                  <c:v>45243</c:v>
                </c:pt>
                <c:pt idx="248" c:formatCode="yyyy/m/d">
                  <c:v>45250</c:v>
                </c:pt>
                <c:pt idx="249" c:formatCode="yyyy/m/d">
                  <c:v>45257</c:v>
                </c:pt>
                <c:pt idx="250" c:formatCode="yyyy/m/d">
                  <c:v>45264</c:v>
                </c:pt>
                <c:pt idx="251" c:formatCode="yyyy/m/d">
                  <c:v>45271</c:v>
                </c:pt>
                <c:pt idx="252" c:formatCode="yyyy/m/d">
                  <c:v>45278</c:v>
                </c:pt>
                <c:pt idx="253" c:formatCode="yyyy/m/d">
                  <c:v>45285</c:v>
                </c:pt>
                <c:pt idx="254" c:formatCode="yyyy/m/d">
                  <c:v>45292</c:v>
                </c:pt>
                <c:pt idx="255" c:formatCode="yyyy/m/d">
                  <c:v>45299</c:v>
                </c:pt>
                <c:pt idx="256" c:formatCode="yyyy/m/d">
                  <c:v>45306</c:v>
                </c:pt>
                <c:pt idx="257" c:formatCode="yyyy/m/d">
                  <c:v>45313</c:v>
                </c:pt>
                <c:pt idx="258" c:formatCode="yyyy/m/d">
                  <c:v>45320</c:v>
                </c:pt>
                <c:pt idx="259" c:formatCode="yyyy/m/d">
                  <c:v>45327</c:v>
                </c:pt>
                <c:pt idx="260" c:formatCode="yyyy/m/d">
                  <c:v>45334</c:v>
                </c:pt>
                <c:pt idx="261" c:formatCode="yyyy/m/d">
                  <c:v>45341</c:v>
                </c:pt>
                <c:pt idx="262" c:formatCode="yyyy/m/d">
                  <c:v>45348</c:v>
                </c:pt>
                <c:pt idx="263" c:formatCode="yyyy/m/d">
                  <c:v>45355</c:v>
                </c:pt>
                <c:pt idx="264" c:formatCode="yyyy/m/d">
                  <c:v>45362</c:v>
                </c:pt>
                <c:pt idx="265" c:formatCode="yyyy/m/d">
                  <c:v>45369</c:v>
                </c:pt>
                <c:pt idx="266" c:formatCode="yyyy/m/d">
                  <c:v>45376</c:v>
                </c:pt>
                <c:pt idx="267" c:formatCode="yyyy/m/d">
                  <c:v>45383</c:v>
                </c:pt>
                <c:pt idx="268" c:formatCode="yyyy/m/d">
                  <c:v>45390</c:v>
                </c:pt>
                <c:pt idx="269" c:formatCode="yyyy/m/d">
                  <c:v>45397</c:v>
                </c:pt>
                <c:pt idx="270" c:formatCode="yyyy/m/d">
                  <c:v>45404</c:v>
                </c:pt>
                <c:pt idx="271" c:formatCode="yyyy/m/d">
                  <c:v>45411</c:v>
                </c:pt>
                <c:pt idx="272" c:formatCode="yyyy/m/d">
                  <c:v>45418</c:v>
                </c:pt>
                <c:pt idx="273" c:formatCode="yyyy/m/d">
                  <c:v>45425</c:v>
                </c:pt>
                <c:pt idx="274" c:formatCode="yyyy/m/d">
                  <c:v>45432</c:v>
                </c:pt>
                <c:pt idx="275" c:formatCode="yyyy/m/d">
                  <c:v>45439</c:v>
                </c:pt>
                <c:pt idx="276" c:formatCode="yyyy/m/d">
                  <c:v>45446</c:v>
                </c:pt>
                <c:pt idx="277" c:formatCode="yyyy/m/d">
                  <c:v>45454</c:v>
                </c:pt>
                <c:pt idx="278" c:formatCode="yyyy/m/d">
                  <c:v>45460</c:v>
                </c:pt>
                <c:pt idx="279" c:formatCode="yyyy/m/d">
                  <c:v>45467</c:v>
                </c:pt>
                <c:pt idx="280" c:formatCode="yyyy/m/d">
                  <c:v>45474</c:v>
                </c:pt>
                <c:pt idx="281" c:formatCode="yyyy/m/d">
                  <c:v>45481</c:v>
                </c:pt>
                <c:pt idx="282" c:formatCode="yyyy/m/d">
                  <c:v>45488</c:v>
                </c:pt>
                <c:pt idx="283" c:formatCode="yyyy/m/d">
                  <c:v>45495</c:v>
                </c:pt>
                <c:pt idx="284" c:formatCode="yyyy/m/d">
                  <c:v>45502</c:v>
                </c:pt>
                <c:pt idx="285" c:formatCode="yyyy/m/d">
                  <c:v>45509</c:v>
                </c:pt>
                <c:pt idx="286" c:formatCode="yyyy/m/d">
                  <c:v>45516</c:v>
                </c:pt>
                <c:pt idx="287" c:formatCode="yyyy/m/d">
                  <c:v>45523</c:v>
                </c:pt>
                <c:pt idx="288" c:formatCode="yyyy/m/d">
                  <c:v>45530</c:v>
                </c:pt>
                <c:pt idx="289" c:formatCode="yyyy/m/d">
                  <c:v>45537</c:v>
                </c:pt>
                <c:pt idx="290" c:formatCode="yyyy/m/d">
                  <c:v>45544</c:v>
                </c:pt>
                <c:pt idx="291" c:formatCode="yyyy/m/d">
                  <c:v>45551</c:v>
                </c:pt>
                <c:pt idx="292" c:formatCode="yyyy/m/d">
                  <c:v>45558</c:v>
                </c:pt>
                <c:pt idx="293" c:formatCode="yyyy/m/d">
                  <c:v>45565</c:v>
                </c:pt>
                <c:pt idx="294" c:formatCode="yyyy/m/d">
                  <c:v>45572</c:v>
                </c:pt>
                <c:pt idx="295" c:formatCode="yyyy/m/d">
                  <c:v>45579</c:v>
                </c:pt>
                <c:pt idx="296" c:formatCode="yyyy/m/d">
                  <c:v>45586</c:v>
                </c:pt>
                <c:pt idx="297" c:formatCode="yyyy/m/d">
                  <c:v>45593</c:v>
                </c:pt>
                <c:pt idx="298" c:formatCode="yyyy/m/d">
                  <c:v>45600</c:v>
                </c:pt>
                <c:pt idx="299" c:formatCode="yyyy/m/d">
                  <c:v>45607</c:v>
                </c:pt>
                <c:pt idx="300" c:formatCode="yyyy/m/d">
                  <c:v>45614</c:v>
                </c:pt>
                <c:pt idx="301" c:formatCode="yyyy/m/d">
                  <c:v>45621</c:v>
                </c:pt>
                <c:pt idx="302" c:formatCode="yyyy/m/d">
                  <c:v>45628</c:v>
                </c:pt>
                <c:pt idx="303" c:formatCode="yyyy/m/d">
                  <c:v>45635</c:v>
                </c:pt>
                <c:pt idx="304" c:formatCode="yyyy/m/d">
                  <c:v>45642</c:v>
                </c:pt>
                <c:pt idx="305" c:formatCode="yyyy/m/d">
                  <c:v>45649</c:v>
                </c:pt>
                <c:pt idx="306" c:formatCode="yyyy/m/d">
                  <c:v>45656</c:v>
                </c:pt>
                <c:pt idx="307" c:formatCode="yyyy/m/d">
                  <c:v>45663</c:v>
                </c:pt>
                <c:pt idx="308" c:formatCode="yyyy/m/d">
                  <c:v>45670</c:v>
                </c:pt>
                <c:pt idx="309" c:formatCode="yyyy/m/d">
                  <c:v>45677</c:v>
                </c:pt>
                <c:pt idx="310" c:formatCode="yyyy/m/d">
                  <c:v>45684</c:v>
                </c:pt>
                <c:pt idx="311" c:formatCode="yyyy/m/d">
                  <c:v>45691</c:v>
                </c:pt>
                <c:pt idx="312" c:formatCode="yyyy/m/d">
                  <c:v>45698</c:v>
                </c:pt>
                <c:pt idx="313" c:formatCode="yyyy/m/d">
                  <c:v>45705</c:v>
                </c:pt>
                <c:pt idx="314" c:formatCode="yyyy/m/d">
                  <c:v>45712</c:v>
                </c:pt>
                <c:pt idx="315" c:formatCode="yyyy/m/d">
                  <c:v>45719</c:v>
                </c:pt>
                <c:pt idx="316" c:formatCode="yyyy/m/d">
                  <c:v>45726</c:v>
                </c:pt>
                <c:pt idx="317" c:formatCode="yyyy/m/d">
                  <c:v>45733</c:v>
                </c:pt>
                <c:pt idx="318" c:formatCode="yyyy/m/d">
                  <c:v>45740</c:v>
                </c:pt>
                <c:pt idx="319" c:formatCode="yyyy/m/d">
                  <c:v>45747</c:v>
                </c:pt>
                <c:pt idx="320" c:formatCode="yyyy/m/d">
                  <c:v>45754</c:v>
                </c:pt>
                <c:pt idx="321" c:formatCode="yyyy/m/d">
                  <c:v>45761</c:v>
                </c:pt>
                <c:pt idx="322" c:formatCode="yyyy/m/d">
                  <c:v>45768</c:v>
                </c:pt>
                <c:pt idx="323" c:formatCode="yyyy/m/d">
                  <c:v>45775</c:v>
                </c:pt>
                <c:pt idx="324" c:formatCode="yyyy/m/d">
                  <c:v>45782</c:v>
                </c:pt>
                <c:pt idx="325" c:formatCode="yyyy/m/d">
                  <c:v>45789</c:v>
                </c:pt>
                <c:pt idx="326" c:formatCode="yyyy/m/d">
                  <c:v>45796</c:v>
                </c:pt>
                <c:pt idx="327" c:formatCode="yyyy/m/d">
                  <c:v>45803</c:v>
                </c:pt>
                <c:pt idx="328" c:formatCode="yyyy/m/d">
                  <c:v>45810</c:v>
                </c:pt>
                <c:pt idx="329" c:formatCode="yyyy/m/d">
                  <c:v>45817</c:v>
                </c:pt>
                <c:pt idx="330" c:formatCode="yyyy/m/d">
                  <c:v>45824</c:v>
                </c:pt>
                <c:pt idx="331" c:formatCode="yyyy/m/d">
                  <c:v>45831</c:v>
                </c:pt>
                <c:pt idx="332" c:formatCode="yyyy/m/d">
                  <c:v>45838</c:v>
                </c:pt>
                <c:pt idx="333" c:formatCode="yyyy/m/d">
                  <c:v>45845</c:v>
                </c:pt>
                <c:pt idx="334" c:formatCode="yyyy/m/d">
                  <c:v>45852</c:v>
                </c:pt>
                <c:pt idx="335" c:formatCode="yyyy/m/d">
                  <c:v>45859</c:v>
                </c:pt>
                <c:pt idx="336" c:formatCode="yyyy/m/d">
                  <c:v>45866</c:v>
                </c:pt>
                <c:pt idx="337" c:formatCode="yyyy/m/d">
                  <c:v>45873</c:v>
                </c:pt>
                <c:pt idx="338" c:formatCode="yyyy/m/d">
                  <c:v>45880</c:v>
                </c:pt>
                <c:pt idx="339" c:formatCode="yyyy/m/d">
                  <c:v>45887</c:v>
                </c:pt>
                <c:pt idx="340" c:formatCode="yyyy/m/d">
                  <c:v>45894</c:v>
                </c:pt>
                <c:pt idx="341" c:formatCode="yyyy/m/d">
                  <c:v>45901</c:v>
                </c:pt>
                <c:pt idx="342" c:formatCode="yyyy/m/d">
                  <c:v>45908</c:v>
                </c:pt>
                <c:pt idx="343" c:formatCode="yyyy/m/d">
                  <c:v>45915</c:v>
                </c:pt>
                <c:pt idx="344" c:formatCode="yyyy/m/d">
                  <c:v>45922</c:v>
                </c:pt>
                <c:pt idx="345" c:formatCode="yyyy/m/d">
                  <c:v>45929</c:v>
                </c:pt>
                <c:pt idx="346" c:formatCode="yyyy/m/d">
                  <c:v>45936</c:v>
                </c:pt>
                <c:pt idx="347" c:formatCode="yyyy/m/d">
                  <c:v>45943</c:v>
                </c:pt>
                <c:pt idx="348" c:formatCode="yyyy/m/d">
                  <c:v>45950</c:v>
                </c:pt>
                <c:pt idx="349" c:formatCode="yyyy/m/d">
                  <c:v>45957</c:v>
                </c:pt>
                <c:pt idx="350" c:formatCode="yyyy/m/d">
                  <c:v>45964</c:v>
                </c:pt>
                <c:pt idx="351" c:formatCode="yyyy/m/d">
                  <c:v>45971</c:v>
                </c:pt>
                <c:pt idx="352" c:formatCode="yyyy/m/d">
                  <c:v>45978</c:v>
                </c:pt>
                <c:pt idx="353" c:formatCode="yyyy/m/d">
                  <c:v>45985</c:v>
                </c:pt>
                <c:pt idx="354" c:formatCode="yyyy/m/d">
                  <c:v>45992</c:v>
                </c:pt>
                <c:pt idx="355" c:formatCode="yyyy/m/d">
                  <c:v>45999</c:v>
                </c:pt>
                <c:pt idx="356" c:formatCode="yyyy/m/d">
                  <c:v>46006</c:v>
                </c:pt>
                <c:pt idx="357" c:formatCode="yyyy/m/d">
                  <c:v>46013</c:v>
                </c:pt>
                <c:pt idx="358" c:formatCode="yyyy/m/d">
                  <c:v>46020</c:v>
                </c:pt>
                <c:pt idx="359" c:formatCode="yyyy/m/d">
                  <c:v>46027</c:v>
                </c:pt>
                <c:pt idx="360" c:formatCode="yyyy/m/d">
                  <c:v>46034</c:v>
                </c:pt>
                <c:pt idx="361" c:formatCode="yyyy/m/d">
                  <c:v>46041</c:v>
                </c:pt>
                <c:pt idx="362" c:formatCode="yyyy/m/d">
                  <c:v>46048</c:v>
                </c:pt>
                <c:pt idx="363" c:formatCode="yyyy/m/d">
                  <c:v>46055</c:v>
                </c:pt>
                <c:pt idx="364" c:formatCode="yyyy/m/d">
                  <c:v>46062</c:v>
                </c:pt>
                <c:pt idx="365" c:formatCode="yyyy/m/d">
                  <c:v>46076</c:v>
                </c:pt>
                <c:pt idx="366" c:formatCode="yyyy/m/d">
                  <c:v>46083</c:v>
                </c:pt>
                <c:pt idx="367" c:formatCode="yyyy/m/d">
                  <c:v>46090</c:v>
                </c:pt>
                <c:pt idx="368" c:formatCode="yyyy/m/d">
                  <c:v>46097</c:v>
                </c:pt>
                <c:pt idx="369" c:formatCode="yyyy/m/d">
                  <c:v>46104</c:v>
                </c:pt>
                <c:pt idx="370" c:formatCode="yyyy/m/d">
                  <c:v>46111</c:v>
                </c:pt>
                <c:pt idx="371" c:formatCode="yyyy/m/d">
                  <c:v>46119</c:v>
                </c:pt>
                <c:pt idx="372" c:formatCode="yyyy/m/d">
                  <c:v>46125</c:v>
                </c:pt>
                <c:pt idx="373" c:formatCode="yyyy/m/d">
                  <c:v>46132</c:v>
                </c:pt>
                <c:pt idx="374" c:formatCode="yyyy/m/d">
                  <c:v>46139</c:v>
                </c:pt>
                <c:pt idx="375" c:formatCode="yyyy/m/d">
                  <c:v>46146</c:v>
                </c:pt>
                <c:pt idx="376" c:formatCode="yyyy/m/d">
                  <c:v>46153</c:v>
                </c:pt>
                <c:pt idx="377" c:formatCode="yyyy/m/d">
                  <c:v>46160</c:v>
                </c:pt>
                <c:pt idx="378" c:formatCode="yyyy/m/d">
                  <c:v>46167</c:v>
                </c:pt>
                <c:pt idx="379" c:formatCode="yyyy/m/d">
                  <c:v>46174</c:v>
                </c:pt>
              </c:numCache>
            </c:numRef>
          </c:cat>
          <c:val>
            <c:numRef>
              <c:f>NAND!$BC$27:$BC$525</c:f>
              <c:numCache>
                <c:formatCode>_(* #,##0.00_);_(* \(#,##0.00\);_(* "-"??_);_(@_)</c:formatCode>
                <c:ptCount val="499"/>
                <c:pt idx="0">
                  <c:v>2.59</c:v>
                </c:pt>
                <c:pt idx="1">
                  <c:v>2.59</c:v>
                </c:pt>
                <c:pt idx="2">
                  <c:v>2.44</c:v>
                </c:pt>
                <c:pt idx="3">
                  <c:v>2.44</c:v>
                </c:pt>
                <c:pt idx="4">
                  <c:v>2.44</c:v>
                </c:pt>
                <c:pt idx="5">
                  <c:v>2.19</c:v>
                </c:pt>
                <c:pt idx="6">
                  <c:v>2.19</c:v>
                </c:pt>
                <c:pt idx="7">
                  <c:v>2.19</c:v>
                </c:pt>
                <c:pt idx="8">
                  <c:v>2.19</c:v>
                </c:pt>
                <c:pt idx="9">
                  <c:v>2.02</c:v>
                </c:pt>
                <c:pt idx="10">
                  <c:v>2.02</c:v>
                </c:pt>
                <c:pt idx="11">
                  <c:v>2.02</c:v>
                </c:pt>
                <c:pt idx="12">
                  <c:v>2.02</c:v>
                </c:pt>
                <c:pt idx="13">
                  <c:v>2.02</c:v>
                </c:pt>
                <c:pt idx="14">
                  <c:v>1.95</c:v>
                </c:pt>
                <c:pt idx="15">
                  <c:v>1.95</c:v>
                </c:pt>
                <c:pt idx="16">
                  <c:v>1.95</c:v>
                </c:pt>
                <c:pt idx="17">
                  <c:v>1.95</c:v>
                </c:pt>
                <c:pt idx="18">
                  <c:v>1.92</c:v>
                </c:pt>
                <c:pt idx="19">
                  <c:v>1.92</c:v>
                </c:pt>
                <c:pt idx="20">
                  <c:v>1.92</c:v>
                </c:pt>
                <c:pt idx="21">
                  <c:v>1.92</c:v>
                </c:pt>
                <c:pt idx="22">
                  <c:v>2.26</c:v>
                </c:pt>
                <c:pt idx="23">
                  <c:v>2.26</c:v>
                </c:pt>
                <c:pt idx="24">
                  <c:v>2.26</c:v>
                </c:pt>
                <c:pt idx="25">
                  <c:v>2.26</c:v>
                </c:pt>
                <c:pt idx="26">
                  <c:v>2.26</c:v>
                </c:pt>
                <c:pt idx="27">
                  <c:v>2.35</c:v>
                </c:pt>
                <c:pt idx="28">
                  <c:v>2.35</c:v>
                </c:pt>
                <c:pt idx="29">
                  <c:v>2.35</c:v>
                </c:pt>
                <c:pt idx="30">
                  <c:v>2.35</c:v>
                </c:pt>
                <c:pt idx="31">
                  <c:v>2.35</c:v>
                </c:pt>
                <c:pt idx="32">
                  <c:v>2.35</c:v>
                </c:pt>
                <c:pt idx="33">
                  <c:v>2.35</c:v>
                </c:pt>
                <c:pt idx="34">
                  <c:v>2.35</c:v>
                </c:pt>
                <c:pt idx="35">
                  <c:v>2.35</c:v>
                </c:pt>
                <c:pt idx="36">
                  <c:v>2.34</c:v>
                </c:pt>
                <c:pt idx="37">
                  <c:v>2.34</c:v>
                </c:pt>
                <c:pt idx="38">
                  <c:v>2.34</c:v>
                </c:pt>
                <c:pt idx="39">
                  <c:v>2.34</c:v>
                </c:pt>
                <c:pt idx="40">
                  <c:v>2.36</c:v>
                </c:pt>
                <c:pt idx="41">
                  <c:v>2.36</c:v>
                </c:pt>
                <c:pt idx="42">
                  <c:v>2.36</c:v>
                </c:pt>
                <c:pt idx="43">
                  <c:v>2.36</c:v>
                </c:pt>
                <c:pt idx="44">
                  <c:v>2.7</c:v>
                </c:pt>
                <c:pt idx="45">
                  <c:v>2.7</c:v>
                </c:pt>
                <c:pt idx="46">
                  <c:v>2.7</c:v>
                </c:pt>
                <c:pt idx="47">
                  <c:v>2.7</c:v>
                </c:pt>
                <c:pt idx="48">
                  <c:v>2.7</c:v>
                </c:pt>
                <c:pt idx="49">
                  <c:v>2.93</c:v>
                </c:pt>
                <c:pt idx="50">
                  <c:v>2.93</c:v>
                </c:pt>
                <c:pt idx="51">
                  <c:v>2.93</c:v>
                </c:pt>
                <c:pt idx="52">
                  <c:v>3.07</c:v>
                </c:pt>
                <c:pt idx="53">
                  <c:v>3.07</c:v>
                </c:pt>
                <c:pt idx="54">
                  <c:v>3.07</c:v>
                </c:pt>
                <c:pt idx="55">
                  <c:v>3.07</c:v>
                </c:pt>
                <c:pt idx="56">
                  <c:v>3.11</c:v>
                </c:pt>
                <c:pt idx="57">
                  <c:v>3.11</c:v>
                </c:pt>
                <c:pt idx="58">
                  <c:v>3.11</c:v>
                </c:pt>
                <c:pt idx="59">
                  <c:v>3.11</c:v>
                </c:pt>
                <c:pt idx="60">
                  <c:v>3.11</c:v>
                </c:pt>
                <c:pt idx="61">
                  <c:v>3.11</c:v>
                </c:pt>
                <c:pt idx="62">
                  <c:v>3.11</c:v>
                </c:pt>
                <c:pt idx="63">
                  <c:v>3.11</c:v>
                </c:pt>
                <c:pt idx="64">
                  <c:v>3.11</c:v>
                </c:pt>
                <c:pt idx="65">
                  <c:v>3.09</c:v>
                </c:pt>
                <c:pt idx="66">
                  <c:v>3.09</c:v>
                </c:pt>
                <c:pt idx="67">
                  <c:v>3.09</c:v>
                </c:pt>
                <c:pt idx="68">
                  <c:v>3.09</c:v>
                </c:pt>
                <c:pt idx="69">
                  <c:v>3.09</c:v>
                </c:pt>
                <c:pt idx="70">
                  <c:v>3.09</c:v>
                </c:pt>
                <c:pt idx="71">
                  <c:v>3.09</c:v>
                </c:pt>
                <c:pt idx="72">
                  <c:v>3.09</c:v>
                </c:pt>
                <c:pt idx="73">
                  <c:v>3.09</c:v>
                </c:pt>
                <c:pt idx="74">
                  <c:v>2.85</c:v>
                </c:pt>
                <c:pt idx="75">
                  <c:v>2.85</c:v>
                </c:pt>
                <c:pt idx="76">
                  <c:v>2.85</c:v>
                </c:pt>
                <c:pt idx="77">
                  <c:v>2.85</c:v>
                </c:pt>
                <c:pt idx="78">
                  <c:v>2.54</c:v>
                </c:pt>
                <c:pt idx="79">
                  <c:v>2.54</c:v>
                </c:pt>
                <c:pt idx="80">
                  <c:v>2.54</c:v>
                </c:pt>
                <c:pt idx="81">
                  <c:v>2.54</c:v>
                </c:pt>
                <c:pt idx="82">
                  <c:v>2.54</c:v>
                </c:pt>
                <c:pt idx="83">
                  <c:v>2.54</c:v>
                </c:pt>
                <c:pt idx="84">
                  <c:v>2.54</c:v>
                </c:pt>
                <c:pt idx="85">
                  <c:v>2.54</c:v>
                </c:pt>
                <c:pt idx="86">
                  <c:v>2.54</c:v>
                </c:pt>
                <c:pt idx="87">
                  <c:v>2.51</c:v>
                </c:pt>
                <c:pt idx="88">
                  <c:v>2.51</c:v>
                </c:pt>
                <c:pt idx="89">
                  <c:v>2.51</c:v>
                </c:pt>
                <c:pt idx="90">
                  <c:v>2.51</c:v>
                </c:pt>
                <c:pt idx="91">
                  <c:v>2.38</c:v>
                </c:pt>
                <c:pt idx="92">
                  <c:v>2.38</c:v>
                </c:pt>
                <c:pt idx="93">
                  <c:v>2.38</c:v>
                </c:pt>
                <c:pt idx="94">
                  <c:v>2.38</c:v>
                </c:pt>
                <c:pt idx="95">
                  <c:v>2.38</c:v>
                </c:pt>
                <c:pt idx="96">
                  <c:v>2.35</c:v>
                </c:pt>
                <c:pt idx="97">
                  <c:v>2.35</c:v>
                </c:pt>
                <c:pt idx="98">
                  <c:v>2.35</c:v>
                </c:pt>
                <c:pt idx="99">
                  <c:v>2.35</c:v>
                </c:pt>
                <c:pt idx="100">
                  <c:v>2.34</c:v>
                </c:pt>
                <c:pt idx="101">
                  <c:v>2.34</c:v>
                </c:pt>
                <c:pt idx="102">
                  <c:v>2.34</c:v>
                </c:pt>
                <c:pt idx="103">
                  <c:v>2.34</c:v>
                </c:pt>
                <c:pt idx="104">
                  <c:v>2.48</c:v>
                </c:pt>
                <c:pt idx="105">
                  <c:v>2.48</c:v>
                </c:pt>
                <c:pt idx="106">
                  <c:v>2.48</c:v>
                </c:pt>
                <c:pt idx="107">
                  <c:v>2.48</c:v>
                </c:pt>
                <c:pt idx="108">
                  <c:v>2.52</c:v>
                </c:pt>
                <c:pt idx="109">
                  <c:v>2.52</c:v>
                </c:pt>
                <c:pt idx="110">
                  <c:v>2.52</c:v>
                </c:pt>
                <c:pt idx="111">
                  <c:v>2.52</c:v>
                </c:pt>
                <c:pt idx="112">
                  <c:v>2.52</c:v>
                </c:pt>
                <c:pt idx="113">
                  <c:v>2.58</c:v>
                </c:pt>
                <c:pt idx="114">
                  <c:v>2.58</c:v>
                </c:pt>
                <c:pt idx="115">
                  <c:v>2.58</c:v>
                </c:pt>
                <c:pt idx="116">
                  <c:v>2.58</c:v>
                </c:pt>
                <c:pt idx="117">
                  <c:v>2.64</c:v>
                </c:pt>
                <c:pt idx="118">
                  <c:v>2.64</c:v>
                </c:pt>
                <c:pt idx="119">
                  <c:v>2.64</c:v>
                </c:pt>
                <c:pt idx="120">
                  <c:v>2.64</c:v>
                </c:pt>
                <c:pt idx="121">
                  <c:v>2.64</c:v>
                </c:pt>
                <c:pt idx="122">
                  <c:v>2.74</c:v>
                </c:pt>
                <c:pt idx="123">
                  <c:v>2.74</c:v>
                </c:pt>
                <c:pt idx="124">
                  <c:v>2.74</c:v>
                </c:pt>
                <c:pt idx="125">
                  <c:v>2.74</c:v>
                </c:pt>
                <c:pt idx="126">
                  <c:v>2.78</c:v>
                </c:pt>
                <c:pt idx="127">
                  <c:v>2.78</c:v>
                </c:pt>
                <c:pt idx="128">
                  <c:v>2.78</c:v>
                </c:pt>
                <c:pt idx="129">
                  <c:v>2.78</c:v>
                </c:pt>
                <c:pt idx="130">
                  <c:v>2.78</c:v>
                </c:pt>
                <c:pt idx="131">
                  <c:v>2.78</c:v>
                </c:pt>
                <c:pt idx="132">
                  <c:v>2.78</c:v>
                </c:pt>
                <c:pt idx="133">
                  <c:v>2.78</c:v>
                </c:pt>
                <c:pt idx="134">
                  <c:v>2.78</c:v>
                </c:pt>
                <c:pt idx="135">
                  <c:v>2.65</c:v>
                </c:pt>
                <c:pt idx="136">
                  <c:v>2.65</c:v>
                </c:pt>
                <c:pt idx="137">
                  <c:v>2.65</c:v>
                </c:pt>
                <c:pt idx="138">
                  <c:v>2.65</c:v>
                </c:pt>
                <c:pt idx="139">
                  <c:v>2.46</c:v>
                </c:pt>
                <c:pt idx="140">
                  <c:v>2.46</c:v>
                </c:pt>
                <c:pt idx="141">
                  <c:v>2.46</c:v>
                </c:pt>
                <c:pt idx="142">
                  <c:v>2.46</c:v>
                </c:pt>
                <c:pt idx="143">
                  <c:v>2.45</c:v>
                </c:pt>
                <c:pt idx="144">
                  <c:v>2.45</c:v>
                </c:pt>
                <c:pt idx="145">
                  <c:v>2.45</c:v>
                </c:pt>
                <c:pt idx="146">
                  <c:v>2.45</c:v>
                </c:pt>
                <c:pt idx="147">
                  <c:v>2.45</c:v>
                </c:pt>
                <c:pt idx="148">
                  <c:v>2.42</c:v>
                </c:pt>
                <c:pt idx="149">
                  <c:v>2.42</c:v>
                </c:pt>
                <c:pt idx="150">
                  <c:v>2.42</c:v>
                </c:pt>
                <c:pt idx="151">
                  <c:v>2.42</c:v>
                </c:pt>
                <c:pt idx="152">
                  <c:v>2.42</c:v>
                </c:pt>
                <c:pt idx="153">
                  <c:v>2.42</c:v>
                </c:pt>
                <c:pt idx="154">
                  <c:v>2.42</c:v>
                </c:pt>
                <c:pt idx="155">
                  <c:v>2.42</c:v>
                </c:pt>
                <c:pt idx="156">
                  <c:v>2.62</c:v>
                </c:pt>
                <c:pt idx="157">
                  <c:v>2.62</c:v>
                </c:pt>
                <c:pt idx="158">
                  <c:v>2.62</c:v>
                </c:pt>
                <c:pt idx="159">
                  <c:v>2.62</c:v>
                </c:pt>
                <c:pt idx="160">
                  <c:v>2.68</c:v>
                </c:pt>
                <c:pt idx="161">
                  <c:v>2.68</c:v>
                </c:pt>
                <c:pt idx="162">
                  <c:v>2.68</c:v>
                </c:pt>
                <c:pt idx="163">
                  <c:v>2.68</c:v>
                </c:pt>
                <c:pt idx="164">
                  <c:v>2.68</c:v>
                </c:pt>
                <c:pt idx="165">
                  <c:v>2.68</c:v>
                </c:pt>
                <c:pt idx="166">
                  <c:v>2.68</c:v>
                </c:pt>
                <c:pt idx="167">
                  <c:v>2.68</c:v>
                </c:pt>
                <c:pt idx="168">
                  <c:v>2.6</c:v>
                </c:pt>
                <c:pt idx="169">
                  <c:v>2.6</c:v>
                </c:pt>
                <c:pt idx="170">
                  <c:v>2.6</c:v>
                </c:pt>
                <c:pt idx="171">
                  <c:v>2.6</c:v>
                </c:pt>
                <c:pt idx="172">
                  <c:v>2.6</c:v>
                </c:pt>
                <c:pt idx="173">
                  <c:v>2.31</c:v>
                </c:pt>
                <c:pt idx="174">
                  <c:v>2.31</c:v>
                </c:pt>
                <c:pt idx="175">
                  <c:v>2.31</c:v>
                </c:pt>
                <c:pt idx="176">
                  <c:v>2.31</c:v>
                </c:pt>
                <c:pt idx="177">
                  <c:v>2.14</c:v>
                </c:pt>
                <c:pt idx="178">
                  <c:v>2.14</c:v>
                </c:pt>
                <c:pt idx="179">
                  <c:v>2.14</c:v>
                </c:pt>
                <c:pt idx="180">
                  <c:v>2.14</c:v>
                </c:pt>
                <c:pt idx="181">
                  <c:v>1.72</c:v>
                </c:pt>
                <c:pt idx="182">
                  <c:v>1.72</c:v>
                </c:pt>
                <c:pt idx="183">
                  <c:v>1.72</c:v>
                </c:pt>
                <c:pt idx="184">
                  <c:v>1.72</c:v>
                </c:pt>
                <c:pt idx="185">
                  <c:v>1.72</c:v>
                </c:pt>
                <c:pt idx="186">
                  <c:v>1.54</c:v>
                </c:pt>
                <c:pt idx="187">
                  <c:v>1.54</c:v>
                </c:pt>
                <c:pt idx="188">
                  <c:v>1.54</c:v>
                </c:pt>
                <c:pt idx="189">
                  <c:v>1.54</c:v>
                </c:pt>
                <c:pt idx="190">
                  <c:v>1.36</c:v>
                </c:pt>
                <c:pt idx="191">
                  <c:v>1.36</c:v>
                </c:pt>
                <c:pt idx="192">
                  <c:v>1.36</c:v>
                </c:pt>
                <c:pt idx="193">
                  <c:v>1.36</c:v>
                </c:pt>
                <c:pt idx="194">
                  <c:v>1.36</c:v>
                </c:pt>
                <c:pt idx="195">
                  <c:v>1.28</c:v>
                </c:pt>
                <c:pt idx="196">
                  <c:v>1.28</c:v>
                </c:pt>
                <c:pt idx="197">
                  <c:v>1.28</c:v>
                </c:pt>
                <c:pt idx="198">
                  <c:v>1.28</c:v>
                </c:pt>
                <c:pt idx="199">
                  <c:v>1.23</c:v>
                </c:pt>
                <c:pt idx="200">
                  <c:v>1.23</c:v>
                </c:pt>
                <c:pt idx="201">
                  <c:v>1.23</c:v>
                </c:pt>
                <c:pt idx="202">
                  <c:v>1.23</c:v>
                </c:pt>
                <c:pt idx="203">
                  <c:v>1.22</c:v>
                </c:pt>
                <c:pt idx="204">
                  <c:v>1.22</c:v>
                </c:pt>
                <c:pt idx="205">
                  <c:v>1.22</c:v>
                </c:pt>
                <c:pt idx="206">
                  <c:v>1.22</c:v>
                </c:pt>
                <c:pt idx="207">
                  <c:v>1.22</c:v>
                </c:pt>
                <c:pt idx="208">
                  <c:v>1.22</c:v>
                </c:pt>
                <c:pt idx="209">
                  <c:v>1.22</c:v>
                </c:pt>
                <c:pt idx="210">
                  <c:v>1.22</c:v>
                </c:pt>
                <c:pt idx="211">
                  <c:v>1.13</c:v>
                </c:pt>
                <c:pt idx="212">
                  <c:v>1.13</c:v>
                </c:pt>
                <c:pt idx="213">
                  <c:v>1.13</c:v>
                </c:pt>
                <c:pt idx="214">
                  <c:v>1.13</c:v>
                </c:pt>
                <c:pt idx="215">
                  <c:v>1.07</c:v>
                </c:pt>
                <c:pt idx="216">
                  <c:v>1.07</c:v>
                </c:pt>
                <c:pt idx="217">
                  <c:v>1.07</c:v>
                </c:pt>
                <c:pt idx="218">
                  <c:v>1.07</c:v>
                </c:pt>
                <c:pt idx="219">
                  <c:v>1.07</c:v>
                </c:pt>
                <c:pt idx="220">
                  <c:v>1.07</c:v>
                </c:pt>
                <c:pt idx="221">
                  <c:v>1.07</c:v>
                </c:pt>
                <c:pt idx="222">
                  <c:v>1.07</c:v>
                </c:pt>
                <c:pt idx="223">
                  <c:v>1.07</c:v>
                </c:pt>
                <c:pt idx="224">
                  <c:v>1.07</c:v>
                </c:pt>
                <c:pt idx="225">
                  <c:v>1.07</c:v>
                </c:pt>
                <c:pt idx="226">
                  <c:v>1.07</c:v>
                </c:pt>
                <c:pt idx="227">
                  <c:v>1.07</c:v>
                </c:pt>
                <c:pt idx="228">
                  <c:v>1.07</c:v>
                </c:pt>
                <c:pt idx="229">
                  <c:v>1.07</c:v>
                </c:pt>
                <c:pt idx="230">
                  <c:v>1.07</c:v>
                </c:pt>
                <c:pt idx="231">
                  <c:v>1.07</c:v>
                </c:pt>
                <c:pt idx="232">
                  <c:v>1.07</c:v>
                </c:pt>
                <c:pt idx="233">
                  <c:v>1.07</c:v>
                </c:pt>
                <c:pt idx="234">
                  <c:v>1.07</c:v>
                </c:pt>
                <c:pt idx="235">
                  <c:v>1.07</c:v>
                </c:pt>
                <c:pt idx="236">
                  <c:v>1.07</c:v>
                </c:pt>
                <c:pt idx="237">
                  <c:v>1.07</c:v>
                </c:pt>
                <c:pt idx="238">
                  <c:v>1.07</c:v>
                </c:pt>
                <c:pt idx="239">
                  <c:v>1.07</c:v>
                </c:pt>
                <c:pt idx="240">
                  <c:v>1.07</c:v>
                </c:pt>
                <c:pt idx="241">
                  <c:v>1.2</c:v>
                </c:pt>
                <c:pt idx="242">
                  <c:v>1.2</c:v>
                </c:pt>
                <c:pt idx="243">
                  <c:v>1.2</c:v>
                </c:pt>
                <c:pt idx="244">
                  <c:v>1.2</c:v>
                </c:pt>
                <c:pt idx="245">
                  <c:v>1.2</c:v>
                </c:pt>
                <c:pt idx="246">
                  <c:v>1.67</c:v>
                </c:pt>
                <c:pt idx="247">
                  <c:v>1.67</c:v>
                </c:pt>
                <c:pt idx="248">
                  <c:v>1.67</c:v>
                </c:pt>
                <c:pt idx="249">
                  <c:v>1.67</c:v>
                </c:pt>
                <c:pt idx="250">
                  <c:v>1.81</c:v>
                </c:pt>
                <c:pt idx="251">
                  <c:v>1.81</c:v>
                </c:pt>
                <c:pt idx="252">
                  <c:v>1.81</c:v>
                </c:pt>
                <c:pt idx="253">
                  <c:v>1.81</c:v>
                </c:pt>
                <c:pt idx="254">
                  <c:v>1.81</c:v>
                </c:pt>
                <c:pt idx="255">
                  <c:v>1.81</c:v>
                </c:pt>
                <c:pt idx="256">
                  <c:v>1.81</c:v>
                </c:pt>
                <c:pt idx="257">
                  <c:v>1.81</c:v>
                </c:pt>
                <c:pt idx="258">
                  <c:v>1.81</c:v>
                </c:pt>
                <c:pt idx="259">
                  <c:v>1.81</c:v>
                </c:pt>
                <c:pt idx="260">
                  <c:v>1.81</c:v>
                </c:pt>
                <c:pt idx="261">
                  <c:v>1.81</c:v>
                </c:pt>
                <c:pt idx="262">
                  <c:v>1.81</c:v>
                </c:pt>
                <c:pt idx="263">
                  <c:v>2.11</c:v>
                </c:pt>
                <c:pt idx="264">
                  <c:v>2.11</c:v>
                </c:pt>
                <c:pt idx="265">
                  <c:v>2.11</c:v>
                </c:pt>
                <c:pt idx="266">
                  <c:v>2.11</c:v>
                </c:pt>
                <c:pt idx="267">
                  <c:v>2.11</c:v>
                </c:pt>
                <c:pt idx="268">
                  <c:v>2.11</c:v>
                </c:pt>
                <c:pt idx="269">
                  <c:v>2.11</c:v>
                </c:pt>
                <c:pt idx="270">
                  <c:v>2.11</c:v>
                </c:pt>
                <c:pt idx="271">
                  <c:v>2.11</c:v>
                </c:pt>
                <c:pt idx="272">
                  <c:v>2.11</c:v>
                </c:pt>
                <c:pt idx="273">
                  <c:v>2.11</c:v>
                </c:pt>
                <c:pt idx="274">
                  <c:v>2.11</c:v>
                </c:pt>
                <c:pt idx="275">
                  <c:v>2.11</c:v>
                </c:pt>
                <c:pt idx="276">
                  <c:v>2.15</c:v>
                </c:pt>
                <c:pt idx="277">
                  <c:v>2.15</c:v>
                </c:pt>
                <c:pt idx="278">
                  <c:v>2.15</c:v>
                </c:pt>
                <c:pt idx="279">
                  <c:v>2.15</c:v>
                </c:pt>
                <c:pt idx="280">
                  <c:v>2.15</c:v>
                </c:pt>
                <c:pt idx="281">
                  <c:v>2.15</c:v>
                </c:pt>
                <c:pt idx="282">
                  <c:v>2.15</c:v>
                </c:pt>
                <c:pt idx="283">
                  <c:v>2.15</c:v>
                </c:pt>
                <c:pt idx="284">
                  <c:v>2.15</c:v>
                </c:pt>
                <c:pt idx="285">
                  <c:v>2.07</c:v>
                </c:pt>
                <c:pt idx="286">
                  <c:v>2.07</c:v>
                </c:pt>
                <c:pt idx="287">
                  <c:v>2.07</c:v>
                </c:pt>
                <c:pt idx="288">
                  <c:v>2.07</c:v>
                </c:pt>
                <c:pt idx="289">
                  <c:v>1.86</c:v>
                </c:pt>
                <c:pt idx="290">
                  <c:v>1.86</c:v>
                </c:pt>
                <c:pt idx="291">
                  <c:v>1.86</c:v>
                </c:pt>
                <c:pt idx="292">
                  <c:v>1.86</c:v>
                </c:pt>
                <c:pt idx="293">
                  <c:v>1.86</c:v>
                </c:pt>
                <c:pt idx="294">
                  <c:v>1.74</c:v>
                </c:pt>
                <c:pt idx="295">
                  <c:v>1.74</c:v>
                </c:pt>
                <c:pt idx="296">
                  <c:v>1.74</c:v>
                </c:pt>
                <c:pt idx="297">
                  <c:v>1.74</c:v>
                </c:pt>
                <c:pt idx="298">
                  <c:v>1.5</c:v>
                </c:pt>
                <c:pt idx="299">
                  <c:v>1.5</c:v>
                </c:pt>
                <c:pt idx="300">
                  <c:v>1.5</c:v>
                </c:pt>
                <c:pt idx="301">
                  <c:v>1.5</c:v>
                </c:pt>
                <c:pt idx="302">
                  <c:v>1.49</c:v>
                </c:pt>
                <c:pt idx="303">
                  <c:v>1.49</c:v>
                </c:pt>
                <c:pt idx="304">
                  <c:v>1.49</c:v>
                </c:pt>
                <c:pt idx="305">
                  <c:v>1.49</c:v>
                </c:pt>
                <c:pt idx="306">
                  <c:v>1.49</c:v>
                </c:pt>
                <c:pt idx="307">
                  <c:v>1.54</c:v>
                </c:pt>
                <c:pt idx="308">
                  <c:v>1.54</c:v>
                </c:pt>
                <c:pt idx="309">
                  <c:v>1.54</c:v>
                </c:pt>
                <c:pt idx="310">
                  <c:v>1.54</c:v>
                </c:pt>
                <c:pt idx="311">
                  <c:v>1.6</c:v>
                </c:pt>
                <c:pt idx="312">
                  <c:v>1.6</c:v>
                </c:pt>
                <c:pt idx="313">
                  <c:v>1.6</c:v>
                </c:pt>
                <c:pt idx="314">
                  <c:v>1.6</c:v>
                </c:pt>
                <c:pt idx="315">
                  <c:v>1.8</c:v>
                </c:pt>
                <c:pt idx="316">
                  <c:v>1.8</c:v>
                </c:pt>
                <c:pt idx="317">
                  <c:v>1.8</c:v>
                </c:pt>
                <c:pt idx="318">
                  <c:v>1.8</c:v>
                </c:pt>
                <c:pt idx="319">
                  <c:v>1.8</c:v>
                </c:pt>
                <c:pt idx="320">
                  <c:v>2.06</c:v>
                </c:pt>
                <c:pt idx="321">
                  <c:v>2.06</c:v>
                </c:pt>
                <c:pt idx="322">
                  <c:v>2.06</c:v>
                </c:pt>
                <c:pt idx="323">
                  <c:v>2.06</c:v>
                </c:pt>
                <c:pt idx="324">
                  <c:v>2.18</c:v>
                </c:pt>
                <c:pt idx="325">
                  <c:v>2.18</c:v>
                </c:pt>
                <c:pt idx="326">
                  <c:v>2.18</c:v>
                </c:pt>
                <c:pt idx="327">
                  <c:v>2.18</c:v>
                </c:pt>
                <c:pt idx="328">
                  <c:v>2.37</c:v>
                </c:pt>
                <c:pt idx="329">
                  <c:v>2.37</c:v>
                </c:pt>
                <c:pt idx="330">
                  <c:v>2.37</c:v>
                </c:pt>
                <c:pt idx="331">
                  <c:v>2.37</c:v>
                </c:pt>
                <c:pt idx="332">
                  <c:v>2.37</c:v>
                </c:pt>
                <c:pt idx="333">
                  <c:v>2.56</c:v>
                </c:pt>
                <c:pt idx="334">
                  <c:v>2.56</c:v>
                </c:pt>
                <c:pt idx="335">
                  <c:v>2.56</c:v>
                </c:pt>
                <c:pt idx="336">
                  <c:v>2.56</c:v>
                </c:pt>
                <c:pt idx="337">
                  <c:v>2.68</c:v>
                </c:pt>
                <c:pt idx="338">
                  <c:v>2.68</c:v>
                </c:pt>
                <c:pt idx="339">
                  <c:v>2.68</c:v>
                </c:pt>
                <c:pt idx="340">
                  <c:v>2.68</c:v>
                </c:pt>
                <c:pt idx="341">
                  <c:v>2.81</c:v>
                </c:pt>
                <c:pt idx="342">
                  <c:v>2.81</c:v>
                </c:pt>
                <c:pt idx="343">
                  <c:v>2.81</c:v>
                </c:pt>
                <c:pt idx="344">
                  <c:v>2.81</c:v>
                </c:pt>
                <c:pt idx="345">
                  <c:v>2.81</c:v>
                </c:pt>
                <c:pt idx="346">
                  <c:v>3.61</c:v>
                </c:pt>
                <c:pt idx="347">
                  <c:v>3.61</c:v>
                </c:pt>
                <c:pt idx="348">
                  <c:v>3.61</c:v>
                </c:pt>
                <c:pt idx="349">
                  <c:v>3.61</c:v>
                </c:pt>
                <c:pt idx="350">
                  <c:v>4.88</c:v>
                </c:pt>
                <c:pt idx="351">
                  <c:v>4.88</c:v>
                </c:pt>
                <c:pt idx="352">
                  <c:v>4.88</c:v>
                </c:pt>
                <c:pt idx="353">
                  <c:v>4.88</c:v>
                </c:pt>
                <c:pt idx="354">
                  <c:v>6.76</c:v>
                </c:pt>
                <c:pt idx="355">
                  <c:v>6.76</c:v>
                </c:pt>
                <c:pt idx="356">
                  <c:v>6.76</c:v>
                </c:pt>
                <c:pt idx="357">
                  <c:v>6.76</c:v>
                </c:pt>
                <c:pt idx="358">
                  <c:v>6.76</c:v>
                </c:pt>
                <c:pt idx="359">
                  <c:v>8.94</c:v>
                </c:pt>
                <c:pt idx="360">
                  <c:v>8.94</c:v>
                </c:pt>
                <c:pt idx="361">
                  <c:v>8.94</c:v>
                </c:pt>
                <c:pt idx="362">
                  <c:v>8.94</c:v>
                </c:pt>
                <c:pt idx="363">
                  <c:v>10.68</c:v>
                </c:pt>
                <c:pt idx="364">
                  <c:v>10.68</c:v>
                </c:pt>
                <c:pt idx="365">
                  <c:v>10.68</c:v>
                </c:pt>
                <c:pt idx="366">
                  <c:v>13.82</c:v>
                </c:pt>
                <c:pt idx="367">
                  <c:v>13.82</c:v>
                </c:pt>
                <c:pt idx="368">
                  <c:v>13.82</c:v>
                </c:pt>
                <c:pt idx="369">
                  <c:v>13.82</c:v>
                </c:pt>
                <c:pt idx="370">
                  <c:v>13.82</c:v>
                </c:pt>
                <c:pt idx="371">
                  <c:v>14.91</c:v>
                </c:pt>
                <c:pt idx="372">
                  <c:v>14.91</c:v>
                </c:pt>
                <c:pt idx="373">
                  <c:v>14.91</c:v>
                </c:pt>
                <c:pt idx="374">
                  <c:v>14.91</c:v>
                </c:pt>
                <c:pt idx="375">
                  <c:v>15.39</c:v>
                </c:pt>
                <c:pt idx="376">
                  <c:v>15.39</c:v>
                </c:pt>
                <c:pt idx="377">
                  <c:v>15.39</c:v>
                </c:pt>
                <c:pt idx="378">
                  <c:v>15.39</c:v>
                </c:pt>
                <c:pt idx="379">
                  <c:v>#N/A</c:v>
                </c:pt>
              </c:numCache>
            </c:numRef>
          </c:val>
          <c:smooth val="0"/>
        </c:ser>
        <c:dLbls>
          <c:showLegendKey val="0"/>
          <c:showVal val="0"/>
          <c:showCatName val="0"/>
          <c:showSerName val="0"/>
          <c:showPercent val="0"/>
          <c:showBubbleSize val="0"/>
        </c:dLbls>
        <c:marker val="0"/>
        <c:smooth val="0"/>
        <c:axId val="1725516239"/>
        <c:axId val="1527998815"/>
      </c:lineChart>
      <c:dateAx>
        <c:axId val="1725516239"/>
        <c:scaling>
          <c:orientation val="minMax"/>
          <c:min val="43466"/>
        </c:scaling>
        <c:delete val="0"/>
        <c:axPos val="b"/>
        <c:majorGridlines>
          <c:spPr>
            <a:ln w="12700" cap="flat" cmpd="sng" algn="ctr">
              <a:solidFill>
                <a:schemeClr val="tx1">
                  <a:tint val="75000"/>
                </a:schemeClr>
              </a:solidFill>
              <a:prstDash val="dash"/>
              <a:round/>
            </a:ln>
          </c:spPr>
        </c:majorGridlines>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527998815"/>
        <c:crosses val="autoZero"/>
        <c:auto val="1"/>
        <c:lblOffset val="100"/>
        <c:baseTimeUnit val="days"/>
        <c:majorUnit val="3"/>
        <c:majorTimeUnit val="months"/>
      </c:dateAx>
      <c:valAx>
        <c:axId val="1527998815"/>
        <c:scaling>
          <c:orientation val="minMax"/>
        </c:scaling>
        <c:delete val="0"/>
        <c:axPos val="l"/>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_(* #,##0_);_(* \(#,##0\);_(* &quot;-&quot;_);_(@_)"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25516239"/>
        <c:crosses val="autoZero"/>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74965754-47f5-405a-bcee-68d6697764a1}"/>
      </c:ext>
    </c:extLst>
  </c:chart>
  <c:spPr>
    <a:ln w="3175" cap="flat" cmpd="sng" algn="ctr">
      <a:solidFill>
        <a:srgbClr val="FEFFFF"/>
      </a:solidFill>
      <a:prstDash val="solid"/>
      <a:round/>
    </a:ln>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NAND Wafer </a:t>
            </a:r>
            <a:r>
              <a:rPr lang="en-US" sz="1000" b="1" i="0" u="none" strike="noStrike" baseline="0">
                <a:effectLst/>
              </a:rPr>
              <a:t>(3D TLC </a:t>
            </a:r>
            <a:r>
              <a:rPr lang="en-US" altLang="zh-CN" sz="1000" b="1" i="0" u="none" strike="noStrike" baseline="0">
                <a:effectLst/>
              </a:rPr>
              <a:t>512Gb</a:t>
            </a:r>
            <a:r>
              <a:rPr lang="en-US" sz="1000" b="1" i="0" u="none" strike="noStrike" baseline="0">
                <a:effectLst/>
              </a:rPr>
              <a:t>) </a:t>
            </a:r>
            <a:r>
              <a:rPr lang="en-US"/>
              <a:t>Spot &amp; Contract Price</a:t>
            </a:r>
            <a:endParaRPr lang="en-US"/>
          </a:p>
        </c:rich>
      </c:tx>
      <c:layout/>
      <c:overlay val="0"/>
    </c:title>
    <c:autoTitleDeleted val="0"/>
    <c:plotArea>
      <c:layout>
        <c:manualLayout>
          <c:layoutTarget val="inner"/>
          <c:xMode val="edge"/>
          <c:yMode val="edge"/>
          <c:x val="0.0699827587966516"/>
          <c:y val="0.162089034102512"/>
          <c:w val="0.907021288293529"/>
          <c:h val="0.535075734738794"/>
        </c:manualLayout>
      </c:layout>
      <c:lineChart>
        <c:grouping val="standard"/>
        <c:varyColors val="0"/>
        <c:ser>
          <c:idx val="0"/>
          <c:order val="0"/>
          <c:tx>
            <c:strRef>
              <c:f>NAND!$BD$26</c:f>
              <c:strCache>
                <c:ptCount val="1"/>
                <c:pt idx="0">
                  <c:v>Spot</c:v>
                </c:pt>
              </c:strCache>
            </c:strRef>
          </c:tx>
          <c:spPr>
            <a:ln w="38100" cap="rnd" cmpd="sng" algn="ctr">
              <a:solidFill>
                <a:schemeClr val="accent1"/>
              </a:solidFill>
              <a:prstDash val="solid"/>
              <a:round/>
            </a:ln>
          </c:spPr>
          <c:marker>
            <c:symbol val="none"/>
          </c:marker>
          <c:dLbls>
            <c:delete val="1"/>
          </c:dLbls>
          <c:cat>
            <c:numRef>
              <c:f>NAND!$BA$27:$BA$500</c:f>
              <c:numCache>
                <c:formatCode>yyyy/m/d</c:formatCode>
                <c:ptCount val="474"/>
                <c:pt idx="0" c:formatCode="yyyy/m/d">
                  <c:v>43479</c:v>
                </c:pt>
                <c:pt idx="1" c:formatCode="yyyy/m/d">
                  <c:v>43493</c:v>
                </c:pt>
                <c:pt idx="2" c:formatCode="yyyy/m/d">
                  <c:v>43507</c:v>
                </c:pt>
                <c:pt idx="3" c:formatCode="yyyy/m/d">
                  <c:v>43514</c:v>
                </c:pt>
                <c:pt idx="4" c:formatCode="yyyy/m/d">
                  <c:v>43521</c:v>
                </c:pt>
                <c:pt idx="5" c:formatCode="yyyy/m/d">
                  <c:v>43528</c:v>
                </c:pt>
                <c:pt idx="6" c:formatCode="yyyy/m/d">
                  <c:v>43535</c:v>
                </c:pt>
                <c:pt idx="7" c:formatCode="yyyy/m/d">
                  <c:v>43542</c:v>
                </c:pt>
                <c:pt idx="8" c:formatCode="yyyy/m/d">
                  <c:v>43549</c:v>
                </c:pt>
                <c:pt idx="9" c:formatCode="yyyy/m/d">
                  <c:v>43556</c:v>
                </c:pt>
                <c:pt idx="10" c:formatCode="yyyy/m/d">
                  <c:v>43563</c:v>
                </c:pt>
                <c:pt idx="11" c:formatCode="yyyy/m/d">
                  <c:v>43570</c:v>
                </c:pt>
                <c:pt idx="12" c:formatCode="yyyy/m/d">
                  <c:v>43577</c:v>
                </c:pt>
                <c:pt idx="13" c:formatCode="yyyy/m/d">
                  <c:v>43584</c:v>
                </c:pt>
                <c:pt idx="14" c:formatCode="yyyy/m/d">
                  <c:v>43591</c:v>
                </c:pt>
                <c:pt idx="15" c:formatCode="yyyy/m/d">
                  <c:v>43598</c:v>
                </c:pt>
                <c:pt idx="16" c:formatCode="yyyy/m/d">
                  <c:v>43605</c:v>
                </c:pt>
                <c:pt idx="17" c:formatCode="yyyy/m/d">
                  <c:v>43612</c:v>
                </c:pt>
                <c:pt idx="18" c:formatCode="yyyy/m/d">
                  <c:v>43619</c:v>
                </c:pt>
                <c:pt idx="19" c:formatCode="yyyy/m/d">
                  <c:v>43626</c:v>
                </c:pt>
                <c:pt idx="20" c:formatCode="yyyy/m/d">
                  <c:v>43633</c:v>
                </c:pt>
                <c:pt idx="21" c:formatCode="yyyy/m/d">
                  <c:v>43640</c:v>
                </c:pt>
                <c:pt idx="22" c:formatCode="yyyy/m/d">
                  <c:v>43647</c:v>
                </c:pt>
                <c:pt idx="23" c:formatCode="yyyy/m/d">
                  <c:v>43654</c:v>
                </c:pt>
                <c:pt idx="24" c:formatCode="yyyy/m/d">
                  <c:v>43661</c:v>
                </c:pt>
                <c:pt idx="25" c:formatCode="yyyy/m/d">
                  <c:v>43668</c:v>
                </c:pt>
                <c:pt idx="26" c:formatCode="yyyy/m/d">
                  <c:v>43675</c:v>
                </c:pt>
                <c:pt idx="27" c:formatCode="yyyy/m/d">
                  <c:v>43682</c:v>
                </c:pt>
                <c:pt idx="28" c:formatCode="yyyy/m/d">
                  <c:v>43689</c:v>
                </c:pt>
                <c:pt idx="29" c:formatCode="yyyy/m/d">
                  <c:v>43696</c:v>
                </c:pt>
                <c:pt idx="30" c:formatCode="yyyy/m/d">
                  <c:v>43703</c:v>
                </c:pt>
                <c:pt idx="31" c:formatCode="yyyy/m/d">
                  <c:v>43710</c:v>
                </c:pt>
                <c:pt idx="32" c:formatCode="yyyy/m/d">
                  <c:v>43717</c:v>
                </c:pt>
                <c:pt idx="33" c:formatCode="yyyy/m/d">
                  <c:v>43724</c:v>
                </c:pt>
                <c:pt idx="34" c:formatCode="yyyy/m/d">
                  <c:v>43731</c:v>
                </c:pt>
                <c:pt idx="35" c:formatCode="yyyy/m/d">
                  <c:v>43738</c:v>
                </c:pt>
                <c:pt idx="36" c:formatCode="yyyy/m/d">
                  <c:v>43745</c:v>
                </c:pt>
                <c:pt idx="37" c:formatCode="yyyy/m/d">
                  <c:v>43752</c:v>
                </c:pt>
                <c:pt idx="38" c:formatCode="yyyy/m/d">
                  <c:v>43759</c:v>
                </c:pt>
                <c:pt idx="39" c:formatCode="yyyy/m/d">
                  <c:v>43766</c:v>
                </c:pt>
                <c:pt idx="40" c:formatCode="yyyy/m/d">
                  <c:v>43773</c:v>
                </c:pt>
                <c:pt idx="41" c:formatCode="yyyy/m/d">
                  <c:v>43780</c:v>
                </c:pt>
                <c:pt idx="42" c:formatCode="yyyy/m/d">
                  <c:v>43787</c:v>
                </c:pt>
                <c:pt idx="43" c:formatCode="yyyy/m/d">
                  <c:v>43794</c:v>
                </c:pt>
                <c:pt idx="44" c:formatCode="yyyy/m/d">
                  <c:v>43801</c:v>
                </c:pt>
                <c:pt idx="45" c:formatCode="yyyy/m/d">
                  <c:v>43808</c:v>
                </c:pt>
                <c:pt idx="46" c:formatCode="yyyy/m/d">
                  <c:v>43815</c:v>
                </c:pt>
                <c:pt idx="47" c:formatCode="yyyy/m/d">
                  <c:v>43822</c:v>
                </c:pt>
                <c:pt idx="48" c:formatCode="yyyy/m/d">
                  <c:v>43829</c:v>
                </c:pt>
                <c:pt idx="49" c:formatCode="yyyy/m/d">
                  <c:v>43836</c:v>
                </c:pt>
                <c:pt idx="50" c:formatCode="yyyy/m/d">
                  <c:v>43843</c:v>
                </c:pt>
                <c:pt idx="51" c:formatCode="yyyy/m/d">
                  <c:v>43850</c:v>
                </c:pt>
                <c:pt idx="52" c:formatCode="yyyy/m/d">
                  <c:v>43864</c:v>
                </c:pt>
                <c:pt idx="53" c:formatCode="yyyy/m/d">
                  <c:v>43871</c:v>
                </c:pt>
                <c:pt idx="54" c:formatCode="yyyy/m/d">
                  <c:v>43878</c:v>
                </c:pt>
                <c:pt idx="55" c:formatCode="yyyy/m/d">
                  <c:v>43885</c:v>
                </c:pt>
                <c:pt idx="56" c:formatCode="yyyy/m/d">
                  <c:v>43892</c:v>
                </c:pt>
                <c:pt idx="57" c:formatCode="yyyy/m/d">
                  <c:v>43899</c:v>
                </c:pt>
                <c:pt idx="58" c:formatCode="yyyy/m/d">
                  <c:v>43906</c:v>
                </c:pt>
                <c:pt idx="59" c:formatCode="yyyy/m/d">
                  <c:v>43913</c:v>
                </c:pt>
                <c:pt idx="60" c:formatCode="yyyy/m/d">
                  <c:v>43920</c:v>
                </c:pt>
                <c:pt idx="61" c:formatCode="yyyy/m/d">
                  <c:v>43927</c:v>
                </c:pt>
                <c:pt idx="62" c:formatCode="yyyy/m/d">
                  <c:v>43934</c:v>
                </c:pt>
                <c:pt idx="63" c:formatCode="yyyy/m/d">
                  <c:v>43941</c:v>
                </c:pt>
                <c:pt idx="64" c:formatCode="yyyy/m/d">
                  <c:v>43948</c:v>
                </c:pt>
                <c:pt idx="65" c:formatCode="yyyy/m/d">
                  <c:v>43955</c:v>
                </c:pt>
                <c:pt idx="66" c:formatCode="yyyy/m/d">
                  <c:v>43962</c:v>
                </c:pt>
                <c:pt idx="67" c:formatCode="yyyy/m/d">
                  <c:v>43969</c:v>
                </c:pt>
                <c:pt idx="68" c:formatCode="yyyy/m/d">
                  <c:v>43976</c:v>
                </c:pt>
                <c:pt idx="69" c:formatCode="yyyy/m/d">
                  <c:v>43983</c:v>
                </c:pt>
                <c:pt idx="70" c:formatCode="yyyy/m/d">
                  <c:v>43990</c:v>
                </c:pt>
                <c:pt idx="71" c:formatCode="yyyy/m/d">
                  <c:v>43997</c:v>
                </c:pt>
                <c:pt idx="72" c:formatCode="yyyy/m/d">
                  <c:v>44004</c:v>
                </c:pt>
                <c:pt idx="73" c:formatCode="yyyy/m/d">
                  <c:v>44011</c:v>
                </c:pt>
                <c:pt idx="74" c:formatCode="yyyy/m/d">
                  <c:v>44018</c:v>
                </c:pt>
                <c:pt idx="75" c:formatCode="yyyy/m/d">
                  <c:v>44025</c:v>
                </c:pt>
                <c:pt idx="76" c:formatCode="yyyy/m/d">
                  <c:v>44032</c:v>
                </c:pt>
                <c:pt idx="77" c:formatCode="yyyy/m/d">
                  <c:v>44039</c:v>
                </c:pt>
                <c:pt idx="78" c:formatCode="yyyy/m/d">
                  <c:v>44046</c:v>
                </c:pt>
                <c:pt idx="79" c:formatCode="yyyy/m/d">
                  <c:v>44053</c:v>
                </c:pt>
                <c:pt idx="80" c:formatCode="yyyy/m/d">
                  <c:v>44060</c:v>
                </c:pt>
                <c:pt idx="81" c:formatCode="yyyy/m/d">
                  <c:v>44067</c:v>
                </c:pt>
                <c:pt idx="82" c:formatCode="yyyy/m/d">
                  <c:v>44074</c:v>
                </c:pt>
                <c:pt idx="83" c:formatCode="yyyy/m/d">
                  <c:v>44081</c:v>
                </c:pt>
                <c:pt idx="84" c:formatCode="yyyy/m/d">
                  <c:v>44088</c:v>
                </c:pt>
                <c:pt idx="85" c:formatCode="yyyy/m/d">
                  <c:v>44095</c:v>
                </c:pt>
                <c:pt idx="86" c:formatCode="yyyy/m/d">
                  <c:v>44102</c:v>
                </c:pt>
                <c:pt idx="87" c:formatCode="yyyy/m/d">
                  <c:v>44109</c:v>
                </c:pt>
                <c:pt idx="88" c:formatCode="yyyy/m/d">
                  <c:v>44116</c:v>
                </c:pt>
                <c:pt idx="89" c:formatCode="yyyy/m/d">
                  <c:v>44123</c:v>
                </c:pt>
                <c:pt idx="90" c:formatCode="yyyy/m/d">
                  <c:v>44130</c:v>
                </c:pt>
                <c:pt idx="91" c:formatCode="yyyy/m/d">
                  <c:v>44137</c:v>
                </c:pt>
                <c:pt idx="92" c:formatCode="yyyy/m/d">
                  <c:v>44144</c:v>
                </c:pt>
                <c:pt idx="93" c:formatCode="yyyy/m/d">
                  <c:v>44151</c:v>
                </c:pt>
                <c:pt idx="94" c:formatCode="yyyy/m/d">
                  <c:v>44158</c:v>
                </c:pt>
                <c:pt idx="95" c:formatCode="yyyy/m/d">
                  <c:v>44165</c:v>
                </c:pt>
                <c:pt idx="96" c:formatCode="yyyy/m/d">
                  <c:v>44172</c:v>
                </c:pt>
                <c:pt idx="97" c:formatCode="yyyy/m/d">
                  <c:v>44179</c:v>
                </c:pt>
                <c:pt idx="98" c:formatCode="yyyy/m/d">
                  <c:v>44186</c:v>
                </c:pt>
                <c:pt idx="99" c:formatCode="yyyy/m/d">
                  <c:v>44193</c:v>
                </c:pt>
                <c:pt idx="100" c:formatCode="yyyy/m/d">
                  <c:v>44200</c:v>
                </c:pt>
                <c:pt idx="101" c:formatCode="yyyy/m/d">
                  <c:v>44207</c:v>
                </c:pt>
                <c:pt idx="102" c:formatCode="yyyy/m/d">
                  <c:v>44214</c:v>
                </c:pt>
                <c:pt idx="103" c:formatCode="yyyy/m/d">
                  <c:v>44221</c:v>
                </c:pt>
                <c:pt idx="104" c:formatCode="yyyy/m/d">
                  <c:v>44228</c:v>
                </c:pt>
                <c:pt idx="105" c:formatCode="yyyy/m/d">
                  <c:v>44235</c:v>
                </c:pt>
                <c:pt idx="106" c:formatCode="yyyy/m/d">
                  <c:v>44244</c:v>
                </c:pt>
                <c:pt idx="107" c:formatCode="yyyy/m/d">
                  <c:v>44249</c:v>
                </c:pt>
                <c:pt idx="108" c:formatCode="yyyy/m/d">
                  <c:v>44256</c:v>
                </c:pt>
                <c:pt idx="109" c:formatCode="yyyy/m/d">
                  <c:v>44263</c:v>
                </c:pt>
                <c:pt idx="110" c:formatCode="yyyy/m/d">
                  <c:v>44270</c:v>
                </c:pt>
                <c:pt idx="111" c:formatCode="yyyy/m/d">
                  <c:v>44277</c:v>
                </c:pt>
                <c:pt idx="112" c:formatCode="yyyy/m/d">
                  <c:v>44284</c:v>
                </c:pt>
                <c:pt idx="113" c:formatCode="yyyy/m/d">
                  <c:v>44292</c:v>
                </c:pt>
                <c:pt idx="114" c:formatCode="yyyy/m/d">
                  <c:v>44298</c:v>
                </c:pt>
                <c:pt idx="115" c:formatCode="yyyy/m/d">
                  <c:v>44305</c:v>
                </c:pt>
                <c:pt idx="116" c:formatCode="yyyy/m/d">
                  <c:v>44312</c:v>
                </c:pt>
                <c:pt idx="117" c:formatCode="yyyy/m/d">
                  <c:v>44319</c:v>
                </c:pt>
                <c:pt idx="118" c:formatCode="yyyy/m/d">
                  <c:v>44326</c:v>
                </c:pt>
                <c:pt idx="119" c:formatCode="yyyy/m/d">
                  <c:v>44333</c:v>
                </c:pt>
                <c:pt idx="120" c:formatCode="yyyy/m/d">
                  <c:v>44340</c:v>
                </c:pt>
                <c:pt idx="121" c:formatCode="yyyy/m/d">
                  <c:v>44347</c:v>
                </c:pt>
                <c:pt idx="122" c:formatCode="yyyy/m/d">
                  <c:v>44354</c:v>
                </c:pt>
                <c:pt idx="123" c:formatCode="yyyy/m/d">
                  <c:v>44362</c:v>
                </c:pt>
                <c:pt idx="124" c:formatCode="yyyy/m/d">
                  <c:v>44368</c:v>
                </c:pt>
                <c:pt idx="125" c:formatCode="yyyy/m/d">
                  <c:v>44375</c:v>
                </c:pt>
                <c:pt idx="126" c:formatCode="yyyy/m/d">
                  <c:v>44382</c:v>
                </c:pt>
                <c:pt idx="127" c:formatCode="yyyy/m/d">
                  <c:v>44389</c:v>
                </c:pt>
                <c:pt idx="128" c:formatCode="yyyy/m/d">
                  <c:v>44396</c:v>
                </c:pt>
                <c:pt idx="129" c:formatCode="yyyy/m/d">
                  <c:v>44403</c:v>
                </c:pt>
                <c:pt idx="130" c:formatCode="yyyy/m/d">
                  <c:v>44410</c:v>
                </c:pt>
                <c:pt idx="131" c:formatCode="yyyy/m/d">
                  <c:v>44417</c:v>
                </c:pt>
                <c:pt idx="132" c:formatCode="yyyy/m/d">
                  <c:v>44424</c:v>
                </c:pt>
                <c:pt idx="133" c:formatCode="yyyy/m/d">
                  <c:v>44431</c:v>
                </c:pt>
                <c:pt idx="134" c:formatCode="yyyy/m/d">
                  <c:v>44438</c:v>
                </c:pt>
                <c:pt idx="135" c:formatCode="yyyy/m/d">
                  <c:v>44445</c:v>
                </c:pt>
                <c:pt idx="136" c:formatCode="yyyy/m/d">
                  <c:v>44452</c:v>
                </c:pt>
                <c:pt idx="137" c:formatCode="yyyy/m/d">
                  <c:v>44461</c:v>
                </c:pt>
                <c:pt idx="138" c:formatCode="yyyy/m/d">
                  <c:v>44466</c:v>
                </c:pt>
                <c:pt idx="139" c:formatCode="yyyy/m/d">
                  <c:v>44473</c:v>
                </c:pt>
                <c:pt idx="140" c:formatCode="yyyy/m/d">
                  <c:v>44480</c:v>
                </c:pt>
                <c:pt idx="141" c:formatCode="yyyy/m/d">
                  <c:v>44487</c:v>
                </c:pt>
                <c:pt idx="142" c:formatCode="yyyy/m/d">
                  <c:v>44494</c:v>
                </c:pt>
                <c:pt idx="143" c:formatCode="yyyy/m/d">
                  <c:v>44501</c:v>
                </c:pt>
                <c:pt idx="144" c:formatCode="yyyy/m/d">
                  <c:v>44508</c:v>
                </c:pt>
                <c:pt idx="145" c:formatCode="yyyy/m/d">
                  <c:v>44515</c:v>
                </c:pt>
                <c:pt idx="146" c:formatCode="yyyy/m/d">
                  <c:v>44522</c:v>
                </c:pt>
                <c:pt idx="147" c:formatCode="yyyy/m/d">
                  <c:v>44529</c:v>
                </c:pt>
                <c:pt idx="148" c:formatCode="yyyy/m/d">
                  <c:v>44536</c:v>
                </c:pt>
                <c:pt idx="149" c:formatCode="yyyy/m/d">
                  <c:v>44543</c:v>
                </c:pt>
                <c:pt idx="150" c:formatCode="yyyy/m/d">
                  <c:v>44550</c:v>
                </c:pt>
                <c:pt idx="151" c:formatCode="yyyy/m/d">
                  <c:v>44557</c:v>
                </c:pt>
                <c:pt idx="152" c:formatCode="yyyy/m/d">
                  <c:v>44564</c:v>
                </c:pt>
                <c:pt idx="153" c:formatCode="yyyy/m/d">
                  <c:v>44571</c:v>
                </c:pt>
                <c:pt idx="154" c:formatCode="yyyy/m/d">
                  <c:v>44578</c:v>
                </c:pt>
                <c:pt idx="155" c:formatCode="yyyy/m/d">
                  <c:v>44585</c:v>
                </c:pt>
                <c:pt idx="156" c:formatCode="yyyy/m/d">
                  <c:v>44599</c:v>
                </c:pt>
                <c:pt idx="157" c:formatCode="yyyy/m/d">
                  <c:v>44606</c:v>
                </c:pt>
                <c:pt idx="158" c:formatCode="yyyy/m/d">
                  <c:v>44613</c:v>
                </c:pt>
                <c:pt idx="159" c:formatCode="yyyy/m/d">
                  <c:v>44620</c:v>
                </c:pt>
                <c:pt idx="160" c:formatCode="yyyy/m/d">
                  <c:v>44627</c:v>
                </c:pt>
                <c:pt idx="161" c:formatCode="yyyy/m/d">
                  <c:v>44634</c:v>
                </c:pt>
                <c:pt idx="162" c:formatCode="yyyy/m/d">
                  <c:v>44641</c:v>
                </c:pt>
                <c:pt idx="163" c:formatCode="yyyy/m/d">
                  <c:v>44648</c:v>
                </c:pt>
                <c:pt idx="164" c:formatCode="yyyy/m/d">
                  <c:v>44657</c:v>
                </c:pt>
                <c:pt idx="165" c:formatCode="yyyy/m/d">
                  <c:v>44662</c:v>
                </c:pt>
                <c:pt idx="166" c:formatCode="yyyy/m/d">
                  <c:v>44669</c:v>
                </c:pt>
                <c:pt idx="167" c:formatCode="yyyy/m/d">
                  <c:v>44676</c:v>
                </c:pt>
                <c:pt idx="168" c:formatCode="yyyy/m/d">
                  <c:v>44684</c:v>
                </c:pt>
                <c:pt idx="169" c:formatCode="yyyy/m/d">
                  <c:v>44690</c:v>
                </c:pt>
                <c:pt idx="170" c:formatCode="yyyy/m/d">
                  <c:v>44697</c:v>
                </c:pt>
                <c:pt idx="171" c:formatCode="yyyy/m/d">
                  <c:v>44704</c:v>
                </c:pt>
                <c:pt idx="172" c:formatCode="yyyy/m/d">
                  <c:v>44711</c:v>
                </c:pt>
                <c:pt idx="173" c:formatCode="yyyy/m/d">
                  <c:v>44718</c:v>
                </c:pt>
                <c:pt idx="174" c:formatCode="yyyy/m/d">
                  <c:v>44725</c:v>
                </c:pt>
                <c:pt idx="175" c:formatCode="yyyy/m/d">
                  <c:v>44732</c:v>
                </c:pt>
                <c:pt idx="176" c:formatCode="yyyy/m/d">
                  <c:v>44739</c:v>
                </c:pt>
                <c:pt idx="177" c:formatCode="yyyy/m/d">
                  <c:v>44746</c:v>
                </c:pt>
                <c:pt idx="178" c:formatCode="yyyy/m/d">
                  <c:v>44753</c:v>
                </c:pt>
                <c:pt idx="179" c:formatCode="yyyy/m/d">
                  <c:v>44760</c:v>
                </c:pt>
                <c:pt idx="180" c:formatCode="yyyy/m/d">
                  <c:v>44767</c:v>
                </c:pt>
                <c:pt idx="181" c:formatCode="yyyy/m/d">
                  <c:v>44774</c:v>
                </c:pt>
                <c:pt idx="182" c:formatCode="yyyy/m/d">
                  <c:v>44781</c:v>
                </c:pt>
                <c:pt idx="183" c:formatCode="yyyy/m/d">
                  <c:v>44788</c:v>
                </c:pt>
                <c:pt idx="184" c:formatCode="yyyy/m/d">
                  <c:v>44795</c:v>
                </c:pt>
                <c:pt idx="185" c:formatCode="yyyy/m/d">
                  <c:v>44802</c:v>
                </c:pt>
                <c:pt idx="186" c:formatCode="yyyy/m/d">
                  <c:v>44809</c:v>
                </c:pt>
                <c:pt idx="187" c:formatCode="yyyy/m/d">
                  <c:v>44816</c:v>
                </c:pt>
                <c:pt idx="188" c:formatCode="yyyy/m/d">
                  <c:v>44823</c:v>
                </c:pt>
                <c:pt idx="189" c:formatCode="yyyy/m/d">
                  <c:v>44830</c:v>
                </c:pt>
                <c:pt idx="190" c:formatCode="yyyy/m/d">
                  <c:v>44837</c:v>
                </c:pt>
                <c:pt idx="191" c:formatCode="yyyy/m/d">
                  <c:v>44844</c:v>
                </c:pt>
                <c:pt idx="192" c:formatCode="yyyy/m/d">
                  <c:v>44851</c:v>
                </c:pt>
                <c:pt idx="193" c:formatCode="yyyy/m/d">
                  <c:v>44858</c:v>
                </c:pt>
                <c:pt idx="194" c:formatCode="yyyy/m/d">
                  <c:v>44865</c:v>
                </c:pt>
                <c:pt idx="195" c:formatCode="yyyy/m/d">
                  <c:v>44872</c:v>
                </c:pt>
                <c:pt idx="196" c:formatCode="yyyy/m/d">
                  <c:v>44879</c:v>
                </c:pt>
                <c:pt idx="197" c:formatCode="yyyy/m/d">
                  <c:v>44886</c:v>
                </c:pt>
                <c:pt idx="198" c:formatCode="yyyy/m/d">
                  <c:v>44893</c:v>
                </c:pt>
                <c:pt idx="199" c:formatCode="yyyy/m/d">
                  <c:v>44900</c:v>
                </c:pt>
                <c:pt idx="200" c:formatCode="yyyy/m/d">
                  <c:v>44907</c:v>
                </c:pt>
                <c:pt idx="201" c:formatCode="yyyy/m/d">
                  <c:v>44914</c:v>
                </c:pt>
                <c:pt idx="202" c:formatCode="yyyy/m/d">
                  <c:v>44921</c:v>
                </c:pt>
                <c:pt idx="203" c:formatCode="yyyy/m/d">
                  <c:v>44928</c:v>
                </c:pt>
                <c:pt idx="204" c:formatCode="yyyy/m/d">
                  <c:v>44935</c:v>
                </c:pt>
                <c:pt idx="205" c:formatCode="yyyy/m/d">
                  <c:v>44942</c:v>
                </c:pt>
                <c:pt idx="206" c:formatCode="yyyy/m/d">
                  <c:v>44956</c:v>
                </c:pt>
                <c:pt idx="207" c:formatCode="yyyy/m/d">
                  <c:v>44963</c:v>
                </c:pt>
                <c:pt idx="208" c:formatCode="yyyy/m/d">
                  <c:v>44970</c:v>
                </c:pt>
                <c:pt idx="209" c:formatCode="yyyy/m/d">
                  <c:v>44977</c:v>
                </c:pt>
                <c:pt idx="210" c:formatCode="yyyy/m/d">
                  <c:v>44984</c:v>
                </c:pt>
                <c:pt idx="211" c:formatCode="yyyy/m/d">
                  <c:v>44991</c:v>
                </c:pt>
                <c:pt idx="212" c:formatCode="yyyy/m/d">
                  <c:v>44998</c:v>
                </c:pt>
                <c:pt idx="213" c:formatCode="yyyy/m/d">
                  <c:v>45005</c:v>
                </c:pt>
                <c:pt idx="214" c:formatCode="yyyy/m/d">
                  <c:v>45012</c:v>
                </c:pt>
                <c:pt idx="215" c:formatCode="yyyy/m/d">
                  <c:v>45019</c:v>
                </c:pt>
                <c:pt idx="216" c:formatCode="yyyy/m/d">
                  <c:v>45026</c:v>
                </c:pt>
                <c:pt idx="217" c:formatCode="yyyy/m/d">
                  <c:v>45033</c:v>
                </c:pt>
                <c:pt idx="218" c:formatCode="yyyy/m/d">
                  <c:v>45040</c:v>
                </c:pt>
                <c:pt idx="219" c:formatCode="yyyy/m/d">
                  <c:v>45047</c:v>
                </c:pt>
                <c:pt idx="220" c:formatCode="yyyy/m/d">
                  <c:v>45054</c:v>
                </c:pt>
                <c:pt idx="221" c:formatCode="yyyy/m/d">
                  <c:v>45061</c:v>
                </c:pt>
                <c:pt idx="222" c:formatCode="yyyy/m/d">
                  <c:v>45068</c:v>
                </c:pt>
                <c:pt idx="223" c:formatCode="yyyy/m/d">
                  <c:v>45075</c:v>
                </c:pt>
                <c:pt idx="224" c:formatCode="yyyy/m/d">
                  <c:v>45082</c:v>
                </c:pt>
                <c:pt idx="225" c:formatCode="yyyy/m/d">
                  <c:v>45089</c:v>
                </c:pt>
                <c:pt idx="226" c:formatCode="yyyy/m/d">
                  <c:v>45096</c:v>
                </c:pt>
                <c:pt idx="227" c:formatCode="yyyy/m/d">
                  <c:v>45103</c:v>
                </c:pt>
                <c:pt idx="228" c:formatCode="yyyy/m/d">
                  <c:v>45110</c:v>
                </c:pt>
                <c:pt idx="229" c:formatCode="yyyy/m/d">
                  <c:v>45117</c:v>
                </c:pt>
                <c:pt idx="230" c:formatCode="yyyy/m/d">
                  <c:v>45124</c:v>
                </c:pt>
                <c:pt idx="231" c:formatCode="yyyy/m/d">
                  <c:v>45131</c:v>
                </c:pt>
                <c:pt idx="232" c:formatCode="yyyy/m/d">
                  <c:v>45138</c:v>
                </c:pt>
                <c:pt idx="233" c:formatCode="yyyy/m/d">
                  <c:v>45145</c:v>
                </c:pt>
                <c:pt idx="234" c:formatCode="yyyy/m/d">
                  <c:v>45152</c:v>
                </c:pt>
                <c:pt idx="235" c:formatCode="yyyy/m/d">
                  <c:v>45159</c:v>
                </c:pt>
                <c:pt idx="236" c:formatCode="yyyy/m/d">
                  <c:v>45166</c:v>
                </c:pt>
                <c:pt idx="237" c:formatCode="yyyy/m/d">
                  <c:v>45173</c:v>
                </c:pt>
                <c:pt idx="238" c:formatCode="yyyy/m/d">
                  <c:v>45180</c:v>
                </c:pt>
                <c:pt idx="239" c:formatCode="yyyy/m/d">
                  <c:v>45187</c:v>
                </c:pt>
                <c:pt idx="240" c:formatCode="yyyy/m/d">
                  <c:v>45194</c:v>
                </c:pt>
                <c:pt idx="241" c:formatCode="yyyy/m/d">
                  <c:v>45201</c:v>
                </c:pt>
                <c:pt idx="242" c:formatCode="yyyy/m/d">
                  <c:v>45208</c:v>
                </c:pt>
                <c:pt idx="243" c:formatCode="yyyy/m/d">
                  <c:v>45215</c:v>
                </c:pt>
                <c:pt idx="244" c:formatCode="yyyy/m/d">
                  <c:v>45222</c:v>
                </c:pt>
                <c:pt idx="245" c:formatCode="yyyy/m/d">
                  <c:v>45229</c:v>
                </c:pt>
                <c:pt idx="246" c:formatCode="yyyy/m/d">
                  <c:v>45236</c:v>
                </c:pt>
                <c:pt idx="247" c:formatCode="yyyy/m/d">
                  <c:v>45243</c:v>
                </c:pt>
                <c:pt idx="248" c:formatCode="yyyy/m/d">
                  <c:v>45250</c:v>
                </c:pt>
                <c:pt idx="249" c:formatCode="yyyy/m/d">
                  <c:v>45257</c:v>
                </c:pt>
                <c:pt idx="250" c:formatCode="yyyy/m/d">
                  <c:v>45264</c:v>
                </c:pt>
                <c:pt idx="251" c:formatCode="yyyy/m/d">
                  <c:v>45271</c:v>
                </c:pt>
                <c:pt idx="252" c:formatCode="yyyy/m/d">
                  <c:v>45278</c:v>
                </c:pt>
                <c:pt idx="253" c:formatCode="yyyy/m/d">
                  <c:v>45285</c:v>
                </c:pt>
                <c:pt idx="254" c:formatCode="yyyy/m/d">
                  <c:v>45292</c:v>
                </c:pt>
                <c:pt idx="255" c:formatCode="yyyy/m/d">
                  <c:v>45299</c:v>
                </c:pt>
                <c:pt idx="256" c:formatCode="yyyy/m/d">
                  <c:v>45306</c:v>
                </c:pt>
                <c:pt idx="257" c:formatCode="yyyy/m/d">
                  <c:v>45313</c:v>
                </c:pt>
                <c:pt idx="258" c:formatCode="yyyy/m/d">
                  <c:v>45320</c:v>
                </c:pt>
                <c:pt idx="259" c:formatCode="yyyy/m/d">
                  <c:v>45327</c:v>
                </c:pt>
                <c:pt idx="260" c:formatCode="yyyy/m/d">
                  <c:v>45334</c:v>
                </c:pt>
                <c:pt idx="261" c:formatCode="yyyy/m/d">
                  <c:v>45341</c:v>
                </c:pt>
                <c:pt idx="262" c:formatCode="yyyy/m/d">
                  <c:v>45348</c:v>
                </c:pt>
                <c:pt idx="263" c:formatCode="yyyy/m/d">
                  <c:v>45355</c:v>
                </c:pt>
                <c:pt idx="264" c:formatCode="yyyy/m/d">
                  <c:v>45362</c:v>
                </c:pt>
                <c:pt idx="265" c:formatCode="yyyy/m/d">
                  <c:v>45369</c:v>
                </c:pt>
                <c:pt idx="266" c:formatCode="yyyy/m/d">
                  <c:v>45376</c:v>
                </c:pt>
                <c:pt idx="267" c:formatCode="yyyy/m/d">
                  <c:v>45383</c:v>
                </c:pt>
                <c:pt idx="268" c:formatCode="yyyy/m/d">
                  <c:v>45390</c:v>
                </c:pt>
                <c:pt idx="269" c:formatCode="yyyy/m/d">
                  <c:v>45397</c:v>
                </c:pt>
                <c:pt idx="270" c:formatCode="yyyy/m/d">
                  <c:v>45404</c:v>
                </c:pt>
                <c:pt idx="271" c:formatCode="yyyy/m/d">
                  <c:v>45411</c:v>
                </c:pt>
                <c:pt idx="272" c:formatCode="yyyy/m/d">
                  <c:v>45418</c:v>
                </c:pt>
                <c:pt idx="273" c:formatCode="yyyy/m/d">
                  <c:v>45425</c:v>
                </c:pt>
                <c:pt idx="274" c:formatCode="yyyy/m/d">
                  <c:v>45432</c:v>
                </c:pt>
                <c:pt idx="275" c:formatCode="yyyy/m/d">
                  <c:v>45439</c:v>
                </c:pt>
                <c:pt idx="276" c:formatCode="yyyy/m/d">
                  <c:v>45446</c:v>
                </c:pt>
                <c:pt idx="277" c:formatCode="yyyy/m/d">
                  <c:v>45454</c:v>
                </c:pt>
                <c:pt idx="278" c:formatCode="yyyy/m/d">
                  <c:v>45460</c:v>
                </c:pt>
                <c:pt idx="279" c:formatCode="yyyy/m/d">
                  <c:v>45467</c:v>
                </c:pt>
                <c:pt idx="280" c:formatCode="yyyy/m/d">
                  <c:v>45474</c:v>
                </c:pt>
                <c:pt idx="281" c:formatCode="yyyy/m/d">
                  <c:v>45481</c:v>
                </c:pt>
                <c:pt idx="282" c:formatCode="yyyy/m/d">
                  <c:v>45488</c:v>
                </c:pt>
                <c:pt idx="283" c:formatCode="yyyy/m/d">
                  <c:v>45495</c:v>
                </c:pt>
                <c:pt idx="284" c:formatCode="yyyy/m/d">
                  <c:v>45502</c:v>
                </c:pt>
                <c:pt idx="285" c:formatCode="yyyy/m/d">
                  <c:v>45509</c:v>
                </c:pt>
                <c:pt idx="286" c:formatCode="yyyy/m/d">
                  <c:v>45516</c:v>
                </c:pt>
                <c:pt idx="287" c:formatCode="yyyy/m/d">
                  <c:v>45523</c:v>
                </c:pt>
                <c:pt idx="288" c:formatCode="yyyy/m/d">
                  <c:v>45530</c:v>
                </c:pt>
                <c:pt idx="289" c:formatCode="yyyy/m/d">
                  <c:v>45537</c:v>
                </c:pt>
                <c:pt idx="290" c:formatCode="yyyy/m/d">
                  <c:v>45544</c:v>
                </c:pt>
                <c:pt idx="291" c:formatCode="yyyy/m/d">
                  <c:v>45551</c:v>
                </c:pt>
                <c:pt idx="292" c:formatCode="yyyy/m/d">
                  <c:v>45558</c:v>
                </c:pt>
                <c:pt idx="293" c:formatCode="yyyy/m/d">
                  <c:v>45565</c:v>
                </c:pt>
                <c:pt idx="294" c:formatCode="yyyy/m/d">
                  <c:v>45572</c:v>
                </c:pt>
                <c:pt idx="295" c:formatCode="yyyy/m/d">
                  <c:v>45579</c:v>
                </c:pt>
                <c:pt idx="296" c:formatCode="yyyy/m/d">
                  <c:v>45586</c:v>
                </c:pt>
                <c:pt idx="297" c:formatCode="yyyy/m/d">
                  <c:v>45593</c:v>
                </c:pt>
                <c:pt idx="298" c:formatCode="yyyy/m/d">
                  <c:v>45600</c:v>
                </c:pt>
                <c:pt idx="299" c:formatCode="yyyy/m/d">
                  <c:v>45607</c:v>
                </c:pt>
                <c:pt idx="300" c:formatCode="yyyy/m/d">
                  <c:v>45614</c:v>
                </c:pt>
                <c:pt idx="301" c:formatCode="yyyy/m/d">
                  <c:v>45621</c:v>
                </c:pt>
                <c:pt idx="302" c:formatCode="yyyy/m/d">
                  <c:v>45628</c:v>
                </c:pt>
                <c:pt idx="303" c:formatCode="yyyy/m/d">
                  <c:v>45635</c:v>
                </c:pt>
                <c:pt idx="304" c:formatCode="yyyy/m/d">
                  <c:v>45642</c:v>
                </c:pt>
                <c:pt idx="305" c:formatCode="yyyy/m/d">
                  <c:v>45649</c:v>
                </c:pt>
                <c:pt idx="306" c:formatCode="yyyy/m/d">
                  <c:v>45656</c:v>
                </c:pt>
                <c:pt idx="307" c:formatCode="yyyy/m/d">
                  <c:v>45663</c:v>
                </c:pt>
                <c:pt idx="308" c:formatCode="yyyy/m/d">
                  <c:v>45670</c:v>
                </c:pt>
                <c:pt idx="309" c:formatCode="yyyy/m/d">
                  <c:v>45677</c:v>
                </c:pt>
                <c:pt idx="310" c:formatCode="yyyy/m/d">
                  <c:v>45684</c:v>
                </c:pt>
                <c:pt idx="311" c:formatCode="yyyy/m/d">
                  <c:v>45691</c:v>
                </c:pt>
                <c:pt idx="312" c:formatCode="yyyy/m/d">
                  <c:v>45698</c:v>
                </c:pt>
                <c:pt idx="313" c:formatCode="yyyy/m/d">
                  <c:v>45705</c:v>
                </c:pt>
                <c:pt idx="314" c:formatCode="yyyy/m/d">
                  <c:v>45712</c:v>
                </c:pt>
                <c:pt idx="315" c:formatCode="yyyy/m/d">
                  <c:v>45719</c:v>
                </c:pt>
                <c:pt idx="316" c:formatCode="yyyy/m/d">
                  <c:v>45726</c:v>
                </c:pt>
                <c:pt idx="317" c:formatCode="yyyy/m/d">
                  <c:v>45733</c:v>
                </c:pt>
                <c:pt idx="318" c:formatCode="yyyy/m/d">
                  <c:v>45740</c:v>
                </c:pt>
                <c:pt idx="319" c:formatCode="yyyy/m/d">
                  <c:v>45747</c:v>
                </c:pt>
                <c:pt idx="320" c:formatCode="yyyy/m/d">
                  <c:v>45754</c:v>
                </c:pt>
                <c:pt idx="321" c:formatCode="yyyy/m/d">
                  <c:v>45761</c:v>
                </c:pt>
                <c:pt idx="322" c:formatCode="yyyy/m/d">
                  <c:v>45768</c:v>
                </c:pt>
                <c:pt idx="323" c:formatCode="yyyy/m/d">
                  <c:v>45775</c:v>
                </c:pt>
                <c:pt idx="324" c:formatCode="yyyy/m/d">
                  <c:v>45782</c:v>
                </c:pt>
                <c:pt idx="325" c:formatCode="yyyy/m/d">
                  <c:v>45789</c:v>
                </c:pt>
                <c:pt idx="326" c:formatCode="yyyy/m/d">
                  <c:v>45796</c:v>
                </c:pt>
                <c:pt idx="327" c:formatCode="yyyy/m/d">
                  <c:v>45803</c:v>
                </c:pt>
                <c:pt idx="328" c:formatCode="yyyy/m/d">
                  <c:v>45810</c:v>
                </c:pt>
                <c:pt idx="329" c:formatCode="yyyy/m/d">
                  <c:v>45817</c:v>
                </c:pt>
                <c:pt idx="330" c:formatCode="yyyy/m/d">
                  <c:v>45824</c:v>
                </c:pt>
                <c:pt idx="331" c:formatCode="yyyy/m/d">
                  <c:v>45831</c:v>
                </c:pt>
                <c:pt idx="332" c:formatCode="yyyy/m/d">
                  <c:v>45838</c:v>
                </c:pt>
                <c:pt idx="333" c:formatCode="yyyy/m/d">
                  <c:v>45845</c:v>
                </c:pt>
                <c:pt idx="334" c:formatCode="yyyy/m/d">
                  <c:v>45852</c:v>
                </c:pt>
                <c:pt idx="335" c:formatCode="yyyy/m/d">
                  <c:v>45859</c:v>
                </c:pt>
                <c:pt idx="336" c:formatCode="yyyy/m/d">
                  <c:v>45866</c:v>
                </c:pt>
                <c:pt idx="337" c:formatCode="yyyy/m/d">
                  <c:v>45873</c:v>
                </c:pt>
                <c:pt idx="338" c:formatCode="yyyy/m/d">
                  <c:v>45880</c:v>
                </c:pt>
                <c:pt idx="339" c:formatCode="yyyy/m/d">
                  <c:v>45887</c:v>
                </c:pt>
                <c:pt idx="340" c:formatCode="yyyy/m/d">
                  <c:v>45894</c:v>
                </c:pt>
                <c:pt idx="341" c:formatCode="yyyy/m/d">
                  <c:v>45901</c:v>
                </c:pt>
                <c:pt idx="342" c:formatCode="yyyy/m/d">
                  <c:v>45908</c:v>
                </c:pt>
                <c:pt idx="343" c:formatCode="yyyy/m/d">
                  <c:v>45915</c:v>
                </c:pt>
                <c:pt idx="344" c:formatCode="yyyy/m/d">
                  <c:v>45922</c:v>
                </c:pt>
                <c:pt idx="345" c:formatCode="yyyy/m/d">
                  <c:v>45929</c:v>
                </c:pt>
                <c:pt idx="346" c:formatCode="yyyy/m/d">
                  <c:v>45936</c:v>
                </c:pt>
                <c:pt idx="347" c:formatCode="yyyy/m/d">
                  <c:v>45943</c:v>
                </c:pt>
                <c:pt idx="348" c:formatCode="yyyy/m/d">
                  <c:v>45950</c:v>
                </c:pt>
                <c:pt idx="349" c:formatCode="yyyy/m/d">
                  <c:v>45957</c:v>
                </c:pt>
                <c:pt idx="350" c:formatCode="yyyy/m/d">
                  <c:v>45964</c:v>
                </c:pt>
                <c:pt idx="351" c:formatCode="yyyy/m/d">
                  <c:v>45971</c:v>
                </c:pt>
                <c:pt idx="352" c:formatCode="yyyy/m/d">
                  <c:v>45978</c:v>
                </c:pt>
                <c:pt idx="353" c:formatCode="yyyy/m/d">
                  <c:v>45985</c:v>
                </c:pt>
                <c:pt idx="354" c:formatCode="yyyy/m/d">
                  <c:v>45992</c:v>
                </c:pt>
                <c:pt idx="355" c:formatCode="yyyy/m/d">
                  <c:v>45999</c:v>
                </c:pt>
                <c:pt idx="356" c:formatCode="yyyy/m/d">
                  <c:v>46006</c:v>
                </c:pt>
                <c:pt idx="357" c:formatCode="yyyy/m/d">
                  <c:v>46013</c:v>
                </c:pt>
                <c:pt idx="358" c:formatCode="yyyy/m/d">
                  <c:v>46020</c:v>
                </c:pt>
                <c:pt idx="359" c:formatCode="yyyy/m/d">
                  <c:v>46027</c:v>
                </c:pt>
                <c:pt idx="360" c:formatCode="yyyy/m/d">
                  <c:v>46034</c:v>
                </c:pt>
                <c:pt idx="361" c:formatCode="yyyy/m/d">
                  <c:v>46041</c:v>
                </c:pt>
                <c:pt idx="362" c:formatCode="yyyy/m/d">
                  <c:v>46048</c:v>
                </c:pt>
                <c:pt idx="363" c:formatCode="yyyy/m/d">
                  <c:v>46055</c:v>
                </c:pt>
                <c:pt idx="364" c:formatCode="yyyy/m/d">
                  <c:v>46062</c:v>
                </c:pt>
                <c:pt idx="365" c:formatCode="yyyy/m/d">
                  <c:v>46076</c:v>
                </c:pt>
                <c:pt idx="366" c:formatCode="yyyy/m/d">
                  <c:v>46083</c:v>
                </c:pt>
                <c:pt idx="367" c:formatCode="yyyy/m/d">
                  <c:v>46090</c:v>
                </c:pt>
                <c:pt idx="368" c:formatCode="yyyy/m/d">
                  <c:v>46097</c:v>
                </c:pt>
                <c:pt idx="369" c:formatCode="yyyy/m/d">
                  <c:v>46104</c:v>
                </c:pt>
                <c:pt idx="370" c:formatCode="yyyy/m/d">
                  <c:v>46111</c:v>
                </c:pt>
                <c:pt idx="371" c:formatCode="yyyy/m/d">
                  <c:v>46119</c:v>
                </c:pt>
                <c:pt idx="372" c:formatCode="yyyy/m/d">
                  <c:v>46125</c:v>
                </c:pt>
                <c:pt idx="373" c:formatCode="yyyy/m/d">
                  <c:v>46132</c:v>
                </c:pt>
                <c:pt idx="374" c:formatCode="yyyy/m/d">
                  <c:v>46139</c:v>
                </c:pt>
                <c:pt idx="375" c:formatCode="yyyy/m/d">
                  <c:v>46146</c:v>
                </c:pt>
                <c:pt idx="376" c:formatCode="yyyy/m/d">
                  <c:v>46153</c:v>
                </c:pt>
                <c:pt idx="377" c:formatCode="yyyy/m/d">
                  <c:v>46160</c:v>
                </c:pt>
                <c:pt idx="378" c:formatCode="yyyy/m/d">
                  <c:v>46167</c:v>
                </c:pt>
                <c:pt idx="379" c:formatCode="yyyy/m/d">
                  <c:v>46174</c:v>
                </c:pt>
              </c:numCache>
            </c:numRef>
          </c:cat>
          <c:val>
            <c:numRef>
              <c:f>NAND!$BD$27:$BD$500</c:f>
              <c:numCache>
                <c:formatCode>_(* #,##0.00_);_(* \(#,##0.00\);_(* "-"??_);_(@_)</c:formatCode>
                <c:ptCount val="474"/>
                <c:pt idx="0">
                  <c:v>4.9</c:v>
                </c:pt>
                <c:pt idx="1">
                  <c:v>4.89</c:v>
                </c:pt>
                <c:pt idx="2">
                  <c:v>4.865</c:v>
                </c:pt>
                <c:pt idx="3">
                  <c:v>4.86</c:v>
                </c:pt>
                <c:pt idx="4">
                  <c:v>4.798</c:v>
                </c:pt>
                <c:pt idx="5">
                  <c:v>4.778</c:v>
                </c:pt>
                <c:pt idx="6">
                  <c:v>4.768</c:v>
                </c:pt>
                <c:pt idx="7">
                  <c:v>4.758</c:v>
                </c:pt>
                <c:pt idx="8">
                  <c:v>4.48</c:v>
                </c:pt>
                <c:pt idx="9">
                  <c:v>4.342</c:v>
                </c:pt>
                <c:pt idx="10">
                  <c:v>4.325</c:v>
                </c:pt>
                <c:pt idx="11">
                  <c:v>4.242</c:v>
                </c:pt>
                <c:pt idx="12">
                  <c:v>4.125</c:v>
                </c:pt>
                <c:pt idx="13">
                  <c:v>3.975</c:v>
                </c:pt>
                <c:pt idx="14">
                  <c:v>3.908</c:v>
                </c:pt>
                <c:pt idx="15">
                  <c:v>3.885</c:v>
                </c:pt>
                <c:pt idx="16">
                  <c:v>3.877</c:v>
                </c:pt>
                <c:pt idx="17">
                  <c:v>3.846</c:v>
                </c:pt>
                <c:pt idx="18">
                  <c:v>3.808</c:v>
                </c:pt>
                <c:pt idx="19">
                  <c:v>3.793</c:v>
                </c:pt>
                <c:pt idx="20">
                  <c:v>3.707</c:v>
                </c:pt>
                <c:pt idx="21">
                  <c:v>3.693</c:v>
                </c:pt>
                <c:pt idx="22">
                  <c:v>3.66</c:v>
                </c:pt>
                <c:pt idx="23">
                  <c:v>3.66</c:v>
                </c:pt>
                <c:pt idx="24">
                  <c:v>3.92</c:v>
                </c:pt>
                <c:pt idx="25">
                  <c:v>4.023</c:v>
                </c:pt>
                <c:pt idx="26">
                  <c:v>4.433</c:v>
                </c:pt>
                <c:pt idx="27">
                  <c:v>4.517</c:v>
                </c:pt>
                <c:pt idx="28">
                  <c:v>4.538</c:v>
                </c:pt>
                <c:pt idx="29">
                  <c:v>4.517</c:v>
                </c:pt>
                <c:pt idx="30">
                  <c:v>4.488</c:v>
                </c:pt>
                <c:pt idx="31">
                  <c:v>4.456</c:v>
                </c:pt>
                <c:pt idx="32">
                  <c:v>4.41</c:v>
                </c:pt>
                <c:pt idx="33">
                  <c:v>4.415</c:v>
                </c:pt>
                <c:pt idx="34">
                  <c:v>4.315</c:v>
                </c:pt>
                <c:pt idx="35">
                  <c:v>4.261</c:v>
                </c:pt>
                <c:pt idx="36">
                  <c:v>4.239</c:v>
                </c:pt>
                <c:pt idx="37">
                  <c:v>4.239</c:v>
                </c:pt>
                <c:pt idx="38">
                  <c:v>4.202</c:v>
                </c:pt>
                <c:pt idx="39">
                  <c:v>4.198</c:v>
                </c:pt>
                <c:pt idx="40">
                  <c:v>4.198</c:v>
                </c:pt>
                <c:pt idx="41">
                  <c:v>4.137</c:v>
                </c:pt>
                <c:pt idx="42">
                  <c:v>4.151</c:v>
                </c:pt>
                <c:pt idx="43">
                  <c:v>4.119</c:v>
                </c:pt>
                <c:pt idx="44">
                  <c:v>4.179</c:v>
                </c:pt>
                <c:pt idx="45">
                  <c:v>4.146</c:v>
                </c:pt>
                <c:pt idx="46">
                  <c:v>4.308</c:v>
                </c:pt>
                <c:pt idx="47">
                  <c:v>4.528</c:v>
                </c:pt>
                <c:pt idx="48">
                  <c:v>4.588</c:v>
                </c:pt>
                <c:pt idx="49">
                  <c:v>4.86</c:v>
                </c:pt>
                <c:pt idx="50">
                  <c:v>5.173</c:v>
                </c:pt>
                <c:pt idx="51">
                  <c:v>5.523</c:v>
                </c:pt>
                <c:pt idx="52">
                  <c:v>5.523</c:v>
                </c:pt>
                <c:pt idx="53">
                  <c:v>5.523</c:v>
                </c:pt>
                <c:pt idx="54">
                  <c:v>5.568</c:v>
                </c:pt>
                <c:pt idx="55">
                  <c:v>5.568</c:v>
                </c:pt>
                <c:pt idx="56">
                  <c:v>5.727</c:v>
                </c:pt>
                <c:pt idx="57">
                  <c:v>5.917</c:v>
                </c:pt>
                <c:pt idx="58">
                  <c:v>5.944</c:v>
                </c:pt>
                <c:pt idx="59">
                  <c:v>5.678</c:v>
                </c:pt>
                <c:pt idx="60">
                  <c:v>5.67</c:v>
                </c:pt>
                <c:pt idx="61">
                  <c:v>5.626</c:v>
                </c:pt>
                <c:pt idx="62">
                  <c:v>5.613</c:v>
                </c:pt>
                <c:pt idx="63">
                  <c:v>5.404</c:v>
                </c:pt>
                <c:pt idx="64">
                  <c:v>5.402</c:v>
                </c:pt>
                <c:pt idx="65">
                  <c:v>5.385</c:v>
                </c:pt>
                <c:pt idx="66">
                  <c:v>5.37</c:v>
                </c:pt>
                <c:pt idx="67">
                  <c:v>5.348</c:v>
                </c:pt>
                <c:pt idx="68">
                  <c:v>5.326</c:v>
                </c:pt>
                <c:pt idx="69">
                  <c:v>5.264</c:v>
                </c:pt>
                <c:pt idx="70">
                  <c:v>5.256</c:v>
                </c:pt>
                <c:pt idx="71">
                  <c:v>5.252</c:v>
                </c:pt>
                <c:pt idx="72">
                  <c:v>5.244</c:v>
                </c:pt>
                <c:pt idx="73">
                  <c:v>5.224</c:v>
                </c:pt>
                <c:pt idx="74">
                  <c:v>5.216</c:v>
                </c:pt>
                <c:pt idx="75">
                  <c:v>5.204</c:v>
                </c:pt>
                <c:pt idx="76">
                  <c:v>5.172</c:v>
                </c:pt>
                <c:pt idx="77">
                  <c:v>5.005</c:v>
                </c:pt>
                <c:pt idx="78">
                  <c:v>4.9</c:v>
                </c:pt>
                <c:pt idx="79">
                  <c:v>4.685</c:v>
                </c:pt>
                <c:pt idx="80">
                  <c:v>4.596</c:v>
                </c:pt>
                <c:pt idx="81">
                  <c:v>4.592</c:v>
                </c:pt>
                <c:pt idx="82">
                  <c:v>4.594</c:v>
                </c:pt>
                <c:pt idx="83">
                  <c:v>4.599</c:v>
                </c:pt>
                <c:pt idx="84">
                  <c:v>4.61</c:v>
                </c:pt>
                <c:pt idx="85">
                  <c:v>4.642</c:v>
                </c:pt>
                <c:pt idx="86">
                  <c:v>4.651</c:v>
                </c:pt>
                <c:pt idx="87">
                  <c:v>4.651</c:v>
                </c:pt>
                <c:pt idx="88">
                  <c:v>4.651</c:v>
                </c:pt>
                <c:pt idx="89">
                  <c:v>4.696</c:v>
                </c:pt>
                <c:pt idx="90">
                  <c:v>4.706</c:v>
                </c:pt>
                <c:pt idx="91">
                  <c:v>4.649</c:v>
                </c:pt>
                <c:pt idx="92">
                  <c:v>4.584</c:v>
                </c:pt>
                <c:pt idx="93">
                  <c:v>4.496</c:v>
                </c:pt>
                <c:pt idx="94">
                  <c:v>4.409</c:v>
                </c:pt>
                <c:pt idx="95">
                  <c:v>4.303</c:v>
                </c:pt>
                <c:pt idx="96">
                  <c:v>4.298</c:v>
                </c:pt>
                <c:pt idx="97">
                  <c:v>4.294</c:v>
                </c:pt>
                <c:pt idx="98">
                  <c:v>4.291</c:v>
                </c:pt>
                <c:pt idx="99">
                  <c:v>4.289</c:v>
                </c:pt>
                <c:pt idx="100">
                  <c:v>4.275</c:v>
                </c:pt>
                <c:pt idx="101">
                  <c:v>4.269</c:v>
                </c:pt>
                <c:pt idx="102">
                  <c:v>4.267</c:v>
                </c:pt>
                <c:pt idx="103">
                  <c:v>4.267</c:v>
                </c:pt>
                <c:pt idx="104">
                  <c:v>4.263</c:v>
                </c:pt>
                <c:pt idx="105">
                  <c:v>4.263</c:v>
                </c:pt>
                <c:pt idx="106">
                  <c:v>4.263</c:v>
                </c:pt>
                <c:pt idx="107">
                  <c:v>4.263</c:v>
                </c:pt>
                <c:pt idx="108">
                  <c:v>4.301</c:v>
                </c:pt>
                <c:pt idx="109">
                  <c:v>4.353</c:v>
                </c:pt>
                <c:pt idx="110">
                  <c:v>4.445</c:v>
                </c:pt>
                <c:pt idx="111">
                  <c:v>4.508</c:v>
                </c:pt>
                <c:pt idx="112">
                  <c:v>4.504</c:v>
                </c:pt>
                <c:pt idx="113">
                  <c:v>4.5</c:v>
                </c:pt>
                <c:pt idx="114">
                  <c:v>4.486</c:v>
                </c:pt>
                <c:pt idx="115">
                  <c:v>4.484</c:v>
                </c:pt>
                <c:pt idx="116">
                  <c:v>4.484</c:v>
                </c:pt>
                <c:pt idx="117">
                  <c:v>4.481</c:v>
                </c:pt>
                <c:pt idx="118">
                  <c:v>4.484</c:v>
                </c:pt>
                <c:pt idx="119">
                  <c:v>4.482</c:v>
                </c:pt>
                <c:pt idx="120">
                  <c:v>4.972</c:v>
                </c:pt>
                <c:pt idx="121">
                  <c:v>4.926</c:v>
                </c:pt>
                <c:pt idx="122">
                  <c:v>4.908</c:v>
                </c:pt>
                <c:pt idx="123">
                  <c:v>4.89</c:v>
                </c:pt>
                <c:pt idx="124">
                  <c:v>4.882</c:v>
                </c:pt>
                <c:pt idx="125">
                  <c:v>4.855</c:v>
                </c:pt>
                <c:pt idx="126">
                  <c:v>4.863</c:v>
                </c:pt>
                <c:pt idx="127">
                  <c:v>4.882</c:v>
                </c:pt>
                <c:pt idx="128">
                  <c:v>4.89</c:v>
                </c:pt>
                <c:pt idx="129">
                  <c:v>4.889</c:v>
                </c:pt>
                <c:pt idx="130">
                  <c:v>4.894</c:v>
                </c:pt>
                <c:pt idx="131">
                  <c:v>4.892</c:v>
                </c:pt>
                <c:pt idx="132">
                  <c:v>4.879</c:v>
                </c:pt>
                <c:pt idx="133">
                  <c:v>4.867</c:v>
                </c:pt>
                <c:pt idx="134">
                  <c:v>4.802</c:v>
                </c:pt>
                <c:pt idx="135">
                  <c:v>4.738</c:v>
                </c:pt>
                <c:pt idx="136">
                  <c:v>4.713</c:v>
                </c:pt>
                <c:pt idx="137">
                  <c:v>4.654</c:v>
                </c:pt>
                <c:pt idx="138">
                  <c:v>4.612</c:v>
                </c:pt>
                <c:pt idx="139">
                  <c:v>4.504</c:v>
                </c:pt>
                <c:pt idx="140">
                  <c:v>4.504</c:v>
                </c:pt>
                <c:pt idx="141">
                  <c:v>4.382</c:v>
                </c:pt>
                <c:pt idx="142">
                  <c:v>4.318</c:v>
                </c:pt>
                <c:pt idx="143">
                  <c:v>4.256</c:v>
                </c:pt>
                <c:pt idx="144">
                  <c:v>4.22</c:v>
                </c:pt>
                <c:pt idx="145">
                  <c:v>4.17</c:v>
                </c:pt>
                <c:pt idx="146">
                  <c:v>4.09</c:v>
                </c:pt>
                <c:pt idx="147">
                  <c:v>4.04</c:v>
                </c:pt>
                <c:pt idx="148">
                  <c:v>4.02</c:v>
                </c:pt>
                <c:pt idx="149">
                  <c:v>4.02</c:v>
                </c:pt>
                <c:pt idx="150">
                  <c:v>4.02</c:v>
                </c:pt>
                <c:pt idx="151">
                  <c:v>4.03</c:v>
                </c:pt>
                <c:pt idx="152">
                  <c:v>4.06</c:v>
                </c:pt>
                <c:pt idx="153">
                  <c:v>4.08</c:v>
                </c:pt>
                <c:pt idx="154">
                  <c:v>4.1</c:v>
                </c:pt>
                <c:pt idx="155">
                  <c:v>4.11</c:v>
                </c:pt>
                <c:pt idx="156">
                  <c:v>4.11</c:v>
                </c:pt>
                <c:pt idx="157">
                  <c:v>4.21</c:v>
                </c:pt>
                <c:pt idx="158">
                  <c:v>4.45</c:v>
                </c:pt>
                <c:pt idx="159">
                  <c:v>4.49</c:v>
                </c:pt>
                <c:pt idx="160">
                  <c:v>4.55</c:v>
                </c:pt>
                <c:pt idx="161">
                  <c:v>4.59</c:v>
                </c:pt>
                <c:pt idx="162">
                  <c:v>4.57</c:v>
                </c:pt>
                <c:pt idx="163">
                  <c:v>4.54</c:v>
                </c:pt>
                <c:pt idx="164">
                  <c:v>4.48</c:v>
                </c:pt>
                <c:pt idx="165">
                  <c:v>4.42</c:v>
                </c:pt>
                <c:pt idx="166">
                  <c:v>4.41</c:v>
                </c:pt>
                <c:pt idx="167">
                  <c:v>4.4</c:v>
                </c:pt>
                <c:pt idx="168">
                  <c:v>4.3</c:v>
                </c:pt>
                <c:pt idx="169">
                  <c:v>4.27</c:v>
                </c:pt>
                <c:pt idx="170">
                  <c:v>4.23</c:v>
                </c:pt>
                <c:pt idx="171">
                  <c:v>4.2</c:v>
                </c:pt>
                <c:pt idx="172">
                  <c:v>4.08</c:v>
                </c:pt>
                <c:pt idx="173">
                  <c:v>4.06</c:v>
                </c:pt>
                <c:pt idx="174">
                  <c:v>3.88</c:v>
                </c:pt>
                <c:pt idx="175">
                  <c:v>3.82</c:v>
                </c:pt>
                <c:pt idx="176">
                  <c:v>3.75</c:v>
                </c:pt>
                <c:pt idx="177">
                  <c:v>3.38</c:v>
                </c:pt>
                <c:pt idx="178">
                  <c:v>3.25</c:v>
                </c:pt>
                <c:pt idx="179">
                  <c:v>3.12</c:v>
                </c:pt>
                <c:pt idx="180">
                  <c:v>3.09</c:v>
                </c:pt>
                <c:pt idx="181">
                  <c:v>2.99</c:v>
                </c:pt>
                <c:pt idx="182">
                  <c:v>2.87</c:v>
                </c:pt>
                <c:pt idx="183">
                  <c:v>2.81</c:v>
                </c:pt>
                <c:pt idx="184">
                  <c:v>2.7</c:v>
                </c:pt>
                <c:pt idx="185">
                  <c:v>2.48</c:v>
                </c:pt>
                <c:pt idx="186">
                  <c:v>2.41</c:v>
                </c:pt>
                <c:pt idx="187">
                  <c:v>2.38</c:v>
                </c:pt>
                <c:pt idx="188">
                  <c:v>2.35</c:v>
                </c:pt>
                <c:pt idx="189">
                  <c:v>2.33</c:v>
                </c:pt>
                <c:pt idx="190">
                  <c:v>2.3</c:v>
                </c:pt>
                <c:pt idx="191">
                  <c:v>2.25</c:v>
                </c:pt>
                <c:pt idx="192">
                  <c:v>2.2</c:v>
                </c:pt>
                <c:pt idx="193">
                  <c:v>2.17</c:v>
                </c:pt>
                <c:pt idx="194">
                  <c:v>2.11</c:v>
                </c:pt>
                <c:pt idx="195">
                  <c:v>2.03</c:v>
                </c:pt>
                <c:pt idx="196">
                  <c:v>1.96</c:v>
                </c:pt>
                <c:pt idx="197">
                  <c:v>1.92</c:v>
                </c:pt>
                <c:pt idx="198">
                  <c:v>1.9</c:v>
                </c:pt>
                <c:pt idx="199">
                  <c:v>1.89</c:v>
                </c:pt>
                <c:pt idx="200">
                  <c:v>1.88</c:v>
                </c:pt>
                <c:pt idx="201">
                  <c:v>1.85</c:v>
                </c:pt>
                <c:pt idx="202">
                  <c:v>1.82</c:v>
                </c:pt>
                <c:pt idx="203">
                  <c:v>1.8</c:v>
                </c:pt>
                <c:pt idx="204">
                  <c:v>1.79</c:v>
                </c:pt>
                <c:pt idx="205">
                  <c:v>1.77</c:v>
                </c:pt>
                <c:pt idx="206">
                  <c:v>1.77</c:v>
                </c:pt>
                <c:pt idx="207">
                  <c:v>1.77</c:v>
                </c:pt>
                <c:pt idx="208">
                  <c:v>1.75</c:v>
                </c:pt>
                <c:pt idx="209">
                  <c:v>1.75</c:v>
                </c:pt>
                <c:pt idx="210">
                  <c:v>1.74</c:v>
                </c:pt>
                <c:pt idx="211">
                  <c:v>1.71</c:v>
                </c:pt>
                <c:pt idx="212">
                  <c:v>1.62</c:v>
                </c:pt>
                <c:pt idx="213">
                  <c:v>1.57</c:v>
                </c:pt>
                <c:pt idx="214">
                  <c:v>1.53</c:v>
                </c:pt>
                <c:pt idx="215">
                  <c:v>1.47</c:v>
                </c:pt>
                <c:pt idx="216">
                  <c:v>1.46</c:v>
                </c:pt>
                <c:pt idx="217">
                  <c:v>1.45</c:v>
                </c:pt>
                <c:pt idx="218">
                  <c:v>1.45</c:v>
                </c:pt>
                <c:pt idx="219">
                  <c:v>1.44</c:v>
                </c:pt>
                <c:pt idx="220">
                  <c:v>1.43</c:v>
                </c:pt>
                <c:pt idx="221">
                  <c:v>1.43</c:v>
                </c:pt>
                <c:pt idx="222">
                  <c:v>1.43</c:v>
                </c:pt>
                <c:pt idx="223">
                  <c:v>1.42</c:v>
                </c:pt>
                <c:pt idx="224">
                  <c:v>1.42</c:v>
                </c:pt>
                <c:pt idx="225">
                  <c:v>1.41</c:v>
                </c:pt>
                <c:pt idx="226">
                  <c:v>1.41</c:v>
                </c:pt>
                <c:pt idx="227">
                  <c:v>1.41</c:v>
                </c:pt>
                <c:pt idx="228">
                  <c:v>1.41</c:v>
                </c:pt>
                <c:pt idx="229">
                  <c:v>1.4</c:v>
                </c:pt>
                <c:pt idx="230">
                  <c:v>1.4</c:v>
                </c:pt>
                <c:pt idx="231">
                  <c:v>1.4</c:v>
                </c:pt>
                <c:pt idx="232">
                  <c:v>1.42</c:v>
                </c:pt>
                <c:pt idx="233">
                  <c:v>1.44</c:v>
                </c:pt>
                <c:pt idx="234">
                  <c:v>1.44</c:v>
                </c:pt>
                <c:pt idx="235">
                  <c:v>1.52</c:v>
                </c:pt>
                <c:pt idx="236">
                  <c:v>1.58</c:v>
                </c:pt>
                <c:pt idx="237">
                  <c:v>1.59</c:v>
                </c:pt>
                <c:pt idx="238">
                  <c:v>1.62</c:v>
                </c:pt>
                <c:pt idx="239">
                  <c:v>1.69</c:v>
                </c:pt>
                <c:pt idx="240">
                  <c:v>1.76</c:v>
                </c:pt>
                <c:pt idx="241">
                  <c:v>1.82</c:v>
                </c:pt>
                <c:pt idx="242">
                  <c:v>1.94</c:v>
                </c:pt>
                <c:pt idx="243">
                  <c:v>1.93</c:v>
                </c:pt>
                <c:pt idx="244">
                  <c:v>2.04</c:v>
                </c:pt>
                <c:pt idx="245">
                  <c:v>2.3</c:v>
                </c:pt>
                <c:pt idx="246">
                  <c:v>2.46</c:v>
                </c:pt>
                <c:pt idx="247">
                  <c:v>2.6</c:v>
                </c:pt>
                <c:pt idx="248">
                  <c:v>2.57</c:v>
                </c:pt>
                <c:pt idx="249">
                  <c:v>2.86</c:v>
                </c:pt>
                <c:pt idx="250">
                  <c:v>3.02</c:v>
                </c:pt>
                <c:pt idx="251">
                  <c:v>3.03</c:v>
                </c:pt>
                <c:pt idx="252">
                  <c:v>3.08</c:v>
                </c:pt>
                <c:pt idx="253">
                  <c:v>3.13</c:v>
                </c:pt>
                <c:pt idx="254">
                  <c:v>3.13</c:v>
                </c:pt>
                <c:pt idx="255">
                  <c:v>3.12</c:v>
                </c:pt>
                <c:pt idx="256">
                  <c:v>3.19</c:v>
                </c:pt>
                <c:pt idx="257">
                  <c:v>3.22</c:v>
                </c:pt>
                <c:pt idx="258">
                  <c:v>3.44</c:v>
                </c:pt>
                <c:pt idx="259">
                  <c:v>3.44</c:v>
                </c:pt>
                <c:pt idx="260">
                  <c:v>3.44</c:v>
                </c:pt>
                <c:pt idx="261">
                  <c:v>3.44</c:v>
                </c:pt>
                <c:pt idx="262">
                  <c:v>3.44</c:v>
                </c:pt>
                <c:pt idx="263">
                  <c:v>3.59</c:v>
                </c:pt>
                <c:pt idx="264">
                  <c:v>3.55</c:v>
                </c:pt>
                <c:pt idx="265">
                  <c:v>3.84</c:v>
                </c:pt>
                <c:pt idx="266">
                  <c:v>3.76</c:v>
                </c:pt>
                <c:pt idx="267">
                  <c:v>3.76</c:v>
                </c:pt>
                <c:pt idx="268">
                  <c:v>3.76</c:v>
                </c:pt>
                <c:pt idx="269">
                  <c:v>3.77</c:v>
                </c:pt>
                <c:pt idx="270">
                  <c:v>3.76</c:v>
                </c:pt>
                <c:pt idx="271">
                  <c:v>3.75</c:v>
                </c:pt>
                <c:pt idx="272">
                  <c:v>3.71</c:v>
                </c:pt>
                <c:pt idx="273">
                  <c:v>3.68</c:v>
                </c:pt>
                <c:pt idx="274">
                  <c:v>3.58</c:v>
                </c:pt>
                <c:pt idx="275">
                  <c:v>3.48</c:v>
                </c:pt>
                <c:pt idx="276">
                  <c:v>3.39</c:v>
                </c:pt>
                <c:pt idx="277">
                  <c:v>3.33</c:v>
                </c:pt>
                <c:pt idx="278">
                  <c:v>3.31</c:v>
                </c:pt>
                <c:pt idx="279">
                  <c:v>3.3</c:v>
                </c:pt>
                <c:pt idx="280">
                  <c:v>3.29</c:v>
                </c:pt>
                <c:pt idx="281">
                  <c:v>3.29</c:v>
                </c:pt>
                <c:pt idx="282">
                  <c:v>3.27</c:v>
                </c:pt>
                <c:pt idx="283">
                  <c:v>3.25</c:v>
                </c:pt>
                <c:pt idx="284">
                  <c:v>3.25</c:v>
                </c:pt>
                <c:pt idx="285">
                  <c:v>3.29</c:v>
                </c:pt>
                <c:pt idx="286">
                  <c:v>3.27</c:v>
                </c:pt>
                <c:pt idx="287">
                  <c:v>3.23</c:v>
                </c:pt>
                <c:pt idx="288">
                  <c:v>3.21</c:v>
                </c:pt>
                <c:pt idx="289">
                  <c:v>3.19</c:v>
                </c:pt>
                <c:pt idx="290">
                  <c:v>3.08</c:v>
                </c:pt>
                <c:pt idx="291">
                  <c:v>2.82</c:v>
                </c:pt>
                <c:pt idx="292">
                  <c:v>2.71</c:v>
                </c:pt>
                <c:pt idx="293">
                  <c:v>2.61</c:v>
                </c:pt>
                <c:pt idx="294">
                  <c:v>2.6</c:v>
                </c:pt>
                <c:pt idx="295">
                  <c:v>2.5</c:v>
                </c:pt>
                <c:pt idx="296">
                  <c:v>2.49</c:v>
                </c:pt>
                <c:pt idx="297">
                  <c:v>2.45</c:v>
                </c:pt>
                <c:pt idx="298">
                  <c:v>2.38</c:v>
                </c:pt>
                <c:pt idx="299">
                  <c:v>2.4</c:v>
                </c:pt>
                <c:pt idx="300">
                  <c:v>2.38</c:v>
                </c:pt>
                <c:pt idx="301">
                  <c:v>2.4</c:v>
                </c:pt>
                <c:pt idx="302">
                  <c:v>2.39</c:v>
                </c:pt>
                <c:pt idx="303">
                  <c:v>2.44</c:v>
                </c:pt>
                <c:pt idx="304">
                  <c:v>2.49</c:v>
                </c:pt>
                <c:pt idx="305">
                  <c:v>2.48</c:v>
                </c:pt>
                <c:pt idx="306">
                  <c:v>2.44</c:v>
                </c:pt>
                <c:pt idx="307">
                  <c:v>2.43</c:v>
                </c:pt>
                <c:pt idx="308">
                  <c:v>2.42</c:v>
                </c:pt>
                <c:pt idx="309">
                  <c:v>2.41</c:v>
                </c:pt>
                <c:pt idx="310">
                  <c:v>2.4</c:v>
                </c:pt>
                <c:pt idx="311">
                  <c:v>2.4</c:v>
                </c:pt>
                <c:pt idx="312">
                  <c:v>2.4</c:v>
                </c:pt>
                <c:pt idx="313">
                  <c:v>2.43</c:v>
                </c:pt>
                <c:pt idx="314">
                  <c:v>2.42</c:v>
                </c:pt>
                <c:pt idx="315">
                  <c:v>2.44</c:v>
                </c:pt>
                <c:pt idx="316">
                  <c:v>2.5</c:v>
                </c:pt>
                <c:pt idx="317">
                  <c:v>2.58</c:v>
                </c:pt>
                <c:pt idx="318">
                  <c:v>2.72</c:v>
                </c:pt>
                <c:pt idx="319">
                  <c:v>2.78</c:v>
                </c:pt>
                <c:pt idx="320">
                  <c:v>2.78</c:v>
                </c:pt>
                <c:pt idx="321">
                  <c:v>2.77</c:v>
                </c:pt>
                <c:pt idx="322">
                  <c:v>2.76</c:v>
                </c:pt>
                <c:pt idx="323">
                  <c:v>2.75</c:v>
                </c:pt>
                <c:pt idx="324">
                  <c:v>2.74</c:v>
                </c:pt>
                <c:pt idx="325">
                  <c:v>2.74</c:v>
                </c:pt>
                <c:pt idx="326">
                  <c:v>2.73</c:v>
                </c:pt>
                <c:pt idx="327">
                  <c:v>2.73</c:v>
                </c:pt>
                <c:pt idx="328">
                  <c:v>2.71</c:v>
                </c:pt>
                <c:pt idx="329">
                  <c:v>2.71</c:v>
                </c:pt>
                <c:pt idx="330">
                  <c:v>2.69</c:v>
                </c:pt>
                <c:pt idx="331">
                  <c:v>2.68</c:v>
                </c:pt>
                <c:pt idx="332">
                  <c:v>2.68</c:v>
                </c:pt>
                <c:pt idx="333">
                  <c:v>2.68</c:v>
                </c:pt>
                <c:pt idx="334">
                  <c:v>2.67</c:v>
                </c:pt>
                <c:pt idx="335">
                  <c:v>2.7</c:v>
                </c:pt>
                <c:pt idx="336">
                  <c:v>2.72</c:v>
                </c:pt>
                <c:pt idx="337">
                  <c:v>2.78</c:v>
                </c:pt>
                <c:pt idx="338">
                  <c:v>2.81</c:v>
                </c:pt>
                <c:pt idx="339">
                  <c:v>2.8</c:v>
                </c:pt>
                <c:pt idx="340">
                  <c:v>2.8</c:v>
                </c:pt>
                <c:pt idx="341">
                  <c:v>2.8</c:v>
                </c:pt>
                <c:pt idx="342">
                  <c:v>2.84</c:v>
                </c:pt>
                <c:pt idx="343">
                  <c:v>2.86</c:v>
                </c:pt>
                <c:pt idx="344">
                  <c:v>2.96</c:v>
                </c:pt>
                <c:pt idx="345">
                  <c:v>3.12</c:v>
                </c:pt>
                <c:pt idx="346">
                  <c:v>3.46</c:v>
                </c:pt>
                <c:pt idx="347">
                  <c:v>3.58</c:v>
                </c:pt>
                <c:pt idx="348">
                  <c:v>4.58</c:v>
                </c:pt>
                <c:pt idx="349">
                  <c:v>4.83</c:v>
                </c:pt>
                <c:pt idx="350">
                  <c:v>5.51</c:v>
                </c:pt>
                <c:pt idx="351">
                  <c:v>6.46</c:v>
                </c:pt>
                <c:pt idx="352">
                  <c:v>7.42</c:v>
                </c:pt>
                <c:pt idx="353">
                  <c:v>9.07</c:v>
                </c:pt>
                <c:pt idx="354">
                  <c:v>9.61</c:v>
                </c:pt>
                <c:pt idx="355">
                  <c:v>9.63</c:v>
                </c:pt>
                <c:pt idx="356">
                  <c:v>9.62</c:v>
                </c:pt>
                <c:pt idx="357">
                  <c:v>11.52</c:v>
                </c:pt>
                <c:pt idx="358">
                  <c:v>13.06</c:v>
                </c:pt>
                <c:pt idx="359">
                  <c:v>13.72</c:v>
                </c:pt>
                <c:pt idx="360">
                  <c:v>15.05</c:v>
                </c:pt>
                <c:pt idx="361">
                  <c:v>15.45</c:v>
                </c:pt>
                <c:pt idx="362">
                  <c:v>16.31</c:v>
                </c:pt>
                <c:pt idx="363">
                  <c:v>17.72</c:v>
                </c:pt>
                <c:pt idx="364">
                  <c:v>17.95</c:v>
                </c:pt>
                <c:pt idx="365">
                  <c:v>17.95</c:v>
                </c:pt>
                <c:pt idx="366">
                  <c:v>20.59</c:v>
                </c:pt>
                <c:pt idx="367">
                  <c:v>23.13</c:v>
                </c:pt>
                <c:pt idx="368">
                  <c:v>23</c:v>
                </c:pt>
                <c:pt idx="369">
                  <c:v>22.83</c:v>
                </c:pt>
                <c:pt idx="370">
                  <c:v>22.16</c:v>
                </c:pt>
                <c:pt idx="371">
                  <c:v>21.68</c:v>
                </c:pt>
                <c:pt idx="372">
                  <c:v>21</c:v>
                </c:pt>
                <c:pt idx="373">
                  <c:v>20.97</c:v>
                </c:pt>
                <c:pt idx="374">
                  <c:v>20.59</c:v>
                </c:pt>
                <c:pt idx="375">
                  <c:v>20.47</c:v>
                </c:pt>
                <c:pt idx="376">
                  <c:v>20.54</c:v>
                </c:pt>
                <c:pt idx="377">
                  <c:v>20.71</c:v>
                </c:pt>
                <c:pt idx="378">
                  <c:v>20.64</c:v>
                </c:pt>
                <c:pt idx="379">
                  <c:v>20.68</c:v>
                </c:pt>
              </c:numCache>
            </c:numRef>
          </c:val>
          <c:smooth val="0"/>
        </c:ser>
        <c:ser>
          <c:idx val="1"/>
          <c:order val="1"/>
          <c:tx>
            <c:strRef>
              <c:f>NAND!$BE$26</c:f>
              <c:strCache>
                <c:ptCount val="1"/>
                <c:pt idx="0">
                  <c:v>Contract</c:v>
                </c:pt>
              </c:strCache>
            </c:strRef>
          </c:tx>
          <c:spPr>
            <a:ln w="38100" cap="rnd" cmpd="sng" algn="ctr">
              <a:solidFill>
                <a:schemeClr val="tx1"/>
              </a:solidFill>
              <a:prstDash val="solid"/>
              <a:round/>
            </a:ln>
          </c:spPr>
          <c:marker>
            <c:symbol val="none"/>
          </c:marker>
          <c:dLbls>
            <c:delete val="1"/>
          </c:dLbls>
          <c:cat>
            <c:numRef>
              <c:f>NAND!$BA$27:$BA$500</c:f>
              <c:numCache>
                <c:formatCode>yyyy/m/d</c:formatCode>
                <c:ptCount val="474"/>
                <c:pt idx="0" c:formatCode="yyyy/m/d">
                  <c:v>43479</c:v>
                </c:pt>
                <c:pt idx="1" c:formatCode="yyyy/m/d">
                  <c:v>43493</c:v>
                </c:pt>
                <c:pt idx="2" c:formatCode="yyyy/m/d">
                  <c:v>43507</c:v>
                </c:pt>
                <c:pt idx="3" c:formatCode="yyyy/m/d">
                  <c:v>43514</c:v>
                </c:pt>
                <c:pt idx="4" c:formatCode="yyyy/m/d">
                  <c:v>43521</c:v>
                </c:pt>
                <c:pt idx="5" c:formatCode="yyyy/m/d">
                  <c:v>43528</c:v>
                </c:pt>
                <c:pt idx="6" c:formatCode="yyyy/m/d">
                  <c:v>43535</c:v>
                </c:pt>
                <c:pt idx="7" c:formatCode="yyyy/m/d">
                  <c:v>43542</c:v>
                </c:pt>
                <c:pt idx="8" c:formatCode="yyyy/m/d">
                  <c:v>43549</c:v>
                </c:pt>
                <c:pt idx="9" c:formatCode="yyyy/m/d">
                  <c:v>43556</c:v>
                </c:pt>
                <c:pt idx="10" c:formatCode="yyyy/m/d">
                  <c:v>43563</c:v>
                </c:pt>
                <c:pt idx="11" c:formatCode="yyyy/m/d">
                  <c:v>43570</c:v>
                </c:pt>
                <c:pt idx="12" c:formatCode="yyyy/m/d">
                  <c:v>43577</c:v>
                </c:pt>
                <c:pt idx="13" c:formatCode="yyyy/m/d">
                  <c:v>43584</c:v>
                </c:pt>
                <c:pt idx="14" c:formatCode="yyyy/m/d">
                  <c:v>43591</c:v>
                </c:pt>
                <c:pt idx="15" c:formatCode="yyyy/m/d">
                  <c:v>43598</c:v>
                </c:pt>
                <c:pt idx="16" c:formatCode="yyyy/m/d">
                  <c:v>43605</c:v>
                </c:pt>
                <c:pt idx="17" c:formatCode="yyyy/m/d">
                  <c:v>43612</c:v>
                </c:pt>
                <c:pt idx="18" c:formatCode="yyyy/m/d">
                  <c:v>43619</c:v>
                </c:pt>
                <c:pt idx="19" c:formatCode="yyyy/m/d">
                  <c:v>43626</c:v>
                </c:pt>
                <c:pt idx="20" c:formatCode="yyyy/m/d">
                  <c:v>43633</c:v>
                </c:pt>
                <c:pt idx="21" c:formatCode="yyyy/m/d">
                  <c:v>43640</c:v>
                </c:pt>
                <c:pt idx="22" c:formatCode="yyyy/m/d">
                  <c:v>43647</c:v>
                </c:pt>
                <c:pt idx="23" c:formatCode="yyyy/m/d">
                  <c:v>43654</c:v>
                </c:pt>
                <c:pt idx="24" c:formatCode="yyyy/m/d">
                  <c:v>43661</c:v>
                </c:pt>
                <c:pt idx="25" c:formatCode="yyyy/m/d">
                  <c:v>43668</c:v>
                </c:pt>
                <c:pt idx="26" c:formatCode="yyyy/m/d">
                  <c:v>43675</c:v>
                </c:pt>
                <c:pt idx="27" c:formatCode="yyyy/m/d">
                  <c:v>43682</c:v>
                </c:pt>
                <c:pt idx="28" c:formatCode="yyyy/m/d">
                  <c:v>43689</c:v>
                </c:pt>
                <c:pt idx="29" c:formatCode="yyyy/m/d">
                  <c:v>43696</c:v>
                </c:pt>
                <c:pt idx="30" c:formatCode="yyyy/m/d">
                  <c:v>43703</c:v>
                </c:pt>
                <c:pt idx="31" c:formatCode="yyyy/m/d">
                  <c:v>43710</c:v>
                </c:pt>
                <c:pt idx="32" c:formatCode="yyyy/m/d">
                  <c:v>43717</c:v>
                </c:pt>
                <c:pt idx="33" c:formatCode="yyyy/m/d">
                  <c:v>43724</c:v>
                </c:pt>
                <c:pt idx="34" c:formatCode="yyyy/m/d">
                  <c:v>43731</c:v>
                </c:pt>
                <c:pt idx="35" c:formatCode="yyyy/m/d">
                  <c:v>43738</c:v>
                </c:pt>
                <c:pt idx="36" c:formatCode="yyyy/m/d">
                  <c:v>43745</c:v>
                </c:pt>
                <c:pt idx="37" c:formatCode="yyyy/m/d">
                  <c:v>43752</c:v>
                </c:pt>
                <c:pt idx="38" c:formatCode="yyyy/m/d">
                  <c:v>43759</c:v>
                </c:pt>
                <c:pt idx="39" c:formatCode="yyyy/m/d">
                  <c:v>43766</c:v>
                </c:pt>
                <c:pt idx="40" c:formatCode="yyyy/m/d">
                  <c:v>43773</c:v>
                </c:pt>
                <c:pt idx="41" c:formatCode="yyyy/m/d">
                  <c:v>43780</c:v>
                </c:pt>
                <c:pt idx="42" c:formatCode="yyyy/m/d">
                  <c:v>43787</c:v>
                </c:pt>
                <c:pt idx="43" c:formatCode="yyyy/m/d">
                  <c:v>43794</c:v>
                </c:pt>
                <c:pt idx="44" c:formatCode="yyyy/m/d">
                  <c:v>43801</c:v>
                </c:pt>
                <c:pt idx="45" c:formatCode="yyyy/m/d">
                  <c:v>43808</c:v>
                </c:pt>
                <c:pt idx="46" c:formatCode="yyyy/m/d">
                  <c:v>43815</c:v>
                </c:pt>
                <c:pt idx="47" c:formatCode="yyyy/m/d">
                  <c:v>43822</c:v>
                </c:pt>
                <c:pt idx="48" c:formatCode="yyyy/m/d">
                  <c:v>43829</c:v>
                </c:pt>
                <c:pt idx="49" c:formatCode="yyyy/m/d">
                  <c:v>43836</c:v>
                </c:pt>
                <c:pt idx="50" c:formatCode="yyyy/m/d">
                  <c:v>43843</c:v>
                </c:pt>
                <c:pt idx="51" c:formatCode="yyyy/m/d">
                  <c:v>43850</c:v>
                </c:pt>
                <c:pt idx="52" c:formatCode="yyyy/m/d">
                  <c:v>43864</c:v>
                </c:pt>
                <c:pt idx="53" c:formatCode="yyyy/m/d">
                  <c:v>43871</c:v>
                </c:pt>
                <c:pt idx="54" c:formatCode="yyyy/m/d">
                  <c:v>43878</c:v>
                </c:pt>
                <c:pt idx="55" c:formatCode="yyyy/m/d">
                  <c:v>43885</c:v>
                </c:pt>
                <c:pt idx="56" c:formatCode="yyyy/m/d">
                  <c:v>43892</c:v>
                </c:pt>
                <c:pt idx="57" c:formatCode="yyyy/m/d">
                  <c:v>43899</c:v>
                </c:pt>
                <c:pt idx="58" c:formatCode="yyyy/m/d">
                  <c:v>43906</c:v>
                </c:pt>
                <c:pt idx="59" c:formatCode="yyyy/m/d">
                  <c:v>43913</c:v>
                </c:pt>
                <c:pt idx="60" c:formatCode="yyyy/m/d">
                  <c:v>43920</c:v>
                </c:pt>
                <c:pt idx="61" c:formatCode="yyyy/m/d">
                  <c:v>43927</c:v>
                </c:pt>
                <c:pt idx="62" c:formatCode="yyyy/m/d">
                  <c:v>43934</c:v>
                </c:pt>
                <c:pt idx="63" c:formatCode="yyyy/m/d">
                  <c:v>43941</c:v>
                </c:pt>
                <c:pt idx="64" c:formatCode="yyyy/m/d">
                  <c:v>43948</c:v>
                </c:pt>
                <c:pt idx="65" c:formatCode="yyyy/m/d">
                  <c:v>43955</c:v>
                </c:pt>
                <c:pt idx="66" c:formatCode="yyyy/m/d">
                  <c:v>43962</c:v>
                </c:pt>
                <c:pt idx="67" c:formatCode="yyyy/m/d">
                  <c:v>43969</c:v>
                </c:pt>
                <c:pt idx="68" c:formatCode="yyyy/m/d">
                  <c:v>43976</c:v>
                </c:pt>
                <c:pt idx="69" c:formatCode="yyyy/m/d">
                  <c:v>43983</c:v>
                </c:pt>
                <c:pt idx="70" c:formatCode="yyyy/m/d">
                  <c:v>43990</c:v>
                </c:pt>
                <c:pt idx="71" c:formatCode="yyyy/m/d">
                  <c:v>43997</c:v>
                </c:pt>
                <c:pt idx="72" c:formatCode="yyyy/m/d">
                  <c:v>44004</c:v>
                </c:pt>
                <c:pt idx="73" c:formatCode="yyyy/m/d">
                  <c:v>44011</c:v>
                </c:pt>
                <c:pt idx="74" c:formatCode="yyyy/m/d">
                  <c:v>44018</c:v>
                </c:pt>
                <c:pt idx="75" c:formatCode="yyyy/m/d">
                  <c:v>44025</c:v>
                </c:pt>
                <c:pt idx="76" c:formatCode="yyyy/m/d">
                  <c:v>44032</c:v>
                </c:pt>
                <c:pt idx="77" c:formatCode="yyyy/m/d">
                  <c:v>44039</c:v>
                </c:pt>
                <c:pt idx="78" c:formatCode="yyyy/m/d">
                  <c:v>44046</c:v>
                </c:pt>
                <c:pt idx="79" c:formatCode="yyyy/m/d">
                  <c:v>44053</c:v>
                </c:pt>
                <c:pt idx="80" c:formatCode="yyyy/m/d">
                  <c:v>44060</c:v>
                </c:pt>
                <c:pt idx="81" c:formatCode="yyyy/m/d">
                  <c:v>44067</c:v>
                </c:pt>
                <c:pt idx="82" c:formatCode="yyyy/m/d">
                  <c:v>44074</c:v>
                </c:pt>
                <c:pt idx="83" c:formatCode="yyyy/m/d">
                  <c:v>44081</c:v>
                </c:pt>
                <c:pt idx="84" c:formatCode="yyyy/m/d">
                  <c:v>44088</c:v>
                </c:pt>
                <c:pt idx="85" c:formatCode="yyyy/m/d">
                  <c:v>44095</c:v>
                </c:pt>
                <c:pt idx="86" c:formatCode="yyyy/m/d">
                  <c:v>44102</c:v>
                </c:pt>
                <c:pt idx="87" c:formatCode="yyyy/m/d">
                  <c:v>44109</c:v>
                </c:pt>
                <c:pt idx="88" c:formatCode="yyyy/m/d">
                  <c:v>44116</c:v>
                </c:pt>
                <c:pt idx="89" c:formatCode="yyyy/m/d">
                  <c:v>44123</c:v>
                </c:pt>
                <c:pt idx="90" c:formatCode="yyyy/m/d">
                  <c:v>44130</c:v>
                </c:pt>
                <c:pt idx="91" c:formatCode="yyyy/m/d">
                  <c:v>44137</c:v>
                </c:pt>
                <c:pt idx="92" c:formatCode="yyyy/m/d">
                  <c:v>44144</c:v>
                </c:pt>
                <c:pt idx="93" c:formatCode="yyyy/m/d">
                  <c:v>44151</c:v>
                </c:pt>
                <c:pt idx="94" c:formatCode="yyyy/m/d">
                  <c:v>44158</c:v>
                </c:pt>
                <c:pt idx="95" c:formatCode="yyyy/m/d">
                  <c:v>44165</c:v>
                </c:pt>
                <c:pt idx="96" c:formatCode="yyyy/m/d">
                  <c:v>44172</c:v>
                </c:pt>
                <c:pt idx="97" c:formatCode="yyyy/m/d">
                  <c:v>44179</c:v>
                </c:pt>
                <c:pt idx="98" c:formatCode="yyyy/m/d">
                  <c:v>44186</c:v>
                </c:pt>
                <c:pt idx="99" c:formatCode="yyyy/m/d">
                  <c:v>44193</c:v>
                </c:pt>
                <c:pt idx="100" c:formatCode="yyyy/m/d">
                  <c:v>44200</c:v>
                </c:pt>
                <c:pt idx="101" c:formatCode="yyyy/m/d">
                  <c:v>44207</c:v>
                </c:pt>
                <c:pt idx="102" c:formatCode="yyyy/m/d">
                  <c:v>44214</c:v>
                </c:pt>
                <c:pt idx="103" c:formatCode="yyyy/m/d">
                  <c:v>44221</c:v>
                </c:pt>
                <c:pt idx="104" c:formatCode="yyyy/m/d">
                  <c:v>44228</c:v>
                </c:pt>
                <c:pt idx="105" c:formatCode="yyyy/m/d">
                  <c:v>44235</c:v>
                </c:pt>
                <c:pt idx="106" c:formatCode="yyyy/m/d">
                  <c:v>44244</c:v>
                </c:pt>
                <c:pt idx="107" c:formatCode="yyyy/m/d">
                  <c:v>44249</c:v>
                </c:pt>
                <c:pt idx="108" c:formatCode="yyyy/m/d">
                  <c:v>44256</c:v>
                </c:pt>
                <c:pt idx="109" c:formatCode="yyyy/m/d">
                  <c:v>44263</c:v>
                </c:pt>
                <c:pt idx="110" c:formatCode="yyyy/m/d">
                  <c:v>44270</c:v>
                </c:pt>
                <c:pt idx="111" c:formatCode="yyyy/m/d">
                  <c:v>44277</c:v>
                </c:pt>
                <c:pt idx="112" c:formatCode="yyyy/m/d">
                  <c:v>44284</c:v>
                </c:pt>
                <c:pt idx="113" c:formatCode="yyyy/m/d">
                  <c:v>44292</c:v>
                </c:pt>
                <c:pt idx="114" c:formatCode="yyyy/m/d">
                  <c:v>44298</c:v>
                </c:pt>
                <c:pt idx="115" c:formatCode="yyyy/m/d">
                  <c:v>44305</c:v>
                </c:pt>
                <c:pt idx="116" c:formatCode="yyyy/m/d">
                  <c:v>44312</c:v>
                </c:pt>
                <c:pt idx="117" c:formatCode="yyyy/m/d">
                  <c:v>44319</c:v>
                </c:pt>
                <c:pt idx="118" c:formatCode="yyyy/m/d">
                  <c:v>44326</c:v>
                </c:pt>
                <c:pt idx="119" c:formatCode="yyyy/m/d">
                  <c:v>44333</c:v>
                </c:pt>
                <c:pt idx="120" c:formatCode="yyyy/m/d">
                  <c:v>44340</c:v>
                </c:pt>
                <c:pt idx="121" c:formatCode="yyyy/m/d">
                  <c:v>44347</c:v>
                </c:pt>
                <c:pt idx="122" c:formatCode="yyyy/m/d">
                  <c:v>44354</c:v>
                </c:pt>
                <c:pt idx="123" c:formatCode="yyyy/m/d">
                  <c:v>44362</c:v>
                </c:pt>
                <c:pt idx="124" c:formatCode="yyyy/m/d">
                  <c:v>44368</c:v>
                </c:pt>
                <c:pt idx="125" c:formatCode="yyyy/m/d">
                  <c:v>44375</c:v>
                </c:pt>
                <c:pt idx="126" c:formatCode="yyyy/m/d">
                  <c:v>44382</c:v>
                </c:pt>
                <c:pt idx="127" c:formatCode="yyyy/m/d">
                  <c:v>44389</c:v>
                </c:pt>
                <c:pt idx="128" c:formatCode="yyyy/m/d">
                  <c:v>44396</c:v>
                </c:pt>
                <c:pt idx="129" c:formatCode="yyyy/m/d">
                  <c:v>44403</c:v>
                </c:pt>
                <c:pt idx="130" c:formatCode="yyyy/m/d">
                  <c:v>44410</c:v>
                </c:pt>
                <c:pt idx="131" c:formatCode="yyyy/m/d">
                  <c:v>44417</c:v>
                </c:pt>
                <c:pt idx="132" c:formatCode="yyyy/m/d">
                  <c:v>44424</c:v>
                </c:pt>
                <c:pt idx="133" c:formatCode="yyyy/m/d">
                  <c:v>44431</c:v>
                </c:pt>
                <c:pt idx="134" c:formatCode="yyyy/m/d">
                  <c:v>44438</c:v>
                </c:pt>
                <c:pt idx="135" c:formatCode="yyyy/m/d">
                  <c:v>44445</c:v>
                </c:pt>
                <c:pt idx="136" c:formatCode="yyyy/m/d">
                  <c:v>44452</c:v>
                </c:pt>
                <c:pt idx="137" c:formatCode="yyyy/m/d">
                  <c:v>44461</c:v>
                </c:pt>
                <c:pt idx="138" c:formatCode="yyyy/m/d">
                  <c:v>44466</c:v>
                </c:pt>
                <c:pt idx="139" c:formatCode="yyyy/m/d">
                  <c:v>44473</c:v>
                </c:pt>
                <c:pt idx="140" c:formatCode="yyyy/m/d">
                  <c:v>44480</c:v>
                </c:pt>
                <c:pt idx="141" c:formatCode="yyyy/m/d">
                  <c:v>44487</c:v>
                </c:pt>
                <c:pt idx="142" c:formatCode="yyyy/m/d">
                  <c:v>44494</c:v>
                </c:pt>
                <c:pt idx="143" c:formatCode="yyyy/m/d">
                  <c:v>44501</c:v>
                </c:pt>
                <c:pt idx="144" c:formatCode="yyyy/m/d">
                  <c:v>44508</c:v>
                </c:pt>
                <c:pt idx="145" c:formatCode="yyyy/m/d">
                  <c:v>44515</c:v>
                </c:pt>
                <c:pt idx="146" c:formatCode="yyyy/m/d">
                  <c:v>44522</c:v>
                </c:pt>
                <c:pt idx="147" c:formatCode="yyyy/m/d">
                  <c:v>44529</c:v>
                </c:pt>
                <c:pt idx="148" c:formatCode="yyyy/m/d">
                  <c:v>44536</c:v>
                </c:pt>
                <c:pt idx="149" c:formatCode="yyyy/m/d">
                  <c:v>44543</c:v>
                </c:pt>
                <c:pt idx="150" c:formatCode="yyyy/m/d">
                  <c:v>44550</c:v>
                </c:pt>
                <c:pt idx="151" c:formatCode="yyyy/m/d">
                  <c:v>44557</c:v>
                </c:pt>
                <c:pt idx="152" c:formatCode="yyyy/m/d">
                  <c:v>44564</c:v>
                </c:pt>
                <c:pt idx="153" c:formatCode="yyyy/m/d">
                  <c:v>44571</c:v>
                </c:pt>
                <c:pt idx="154" c:formatCode="yyyy/m/d">
                  <c:v>44578</c:v>
                </c:pt>
                <c:pt idx="155" c:formatCode="yyyy/m/d">
                  <c:v>44585</c:v>
                </c:pt>
                <c:pt idx="156" c:formatCode="yyyy/m/d">
                  <c:v>44599</c:v>
                </c:pt>
                <c:pt idx="157" c:formatCode="yyyy/m/d">
                  <c:v>44606</c:v>
                </c:pt>
                <c:pt idx="158" c:formatCode="yyyy/m/d">
                  <c:v>44613</c:v>
                </c:pt>
                <c:pt idx="159" c:formatCode="yyyy/m/d">
                  <c:v>44620</c:v>
                </c:pt>
                <c:pt idx="160" c:formatCode="yyyy/m/d">
                  <c:v>44627</c:v>
                </c:pt>
                <c:pt idx="161" c:formatCode="yyyy/m/d">
                  <c:v>44634</c:v>
                </c:pt>
                <c:pt idx="162" c:formatCode="yyyy/m/d">
                  <c:v>44641</c:v>
                </c:pt>
                <c:pt idx="163" c:formatCode="yyyy/m/d">
                  <c:v>44648</c:v>
                </c:pt>
                <c:pt idx="164" c:formatCode="yyyy/m/d">
                  <c:v>44657</c:v>
                </c:pt>
                <c:pt idx="165" c:formatCode="yyyy/m/d">
                  <c:v>44662</c:v>
                </c:pt>
                <c:pt idx="166" c:formatCode="yyyy/m/d">
                  <c:v>44669</c:v>
                </c:pt>
                <c:pt idx="167" c:formatCode="yyyy/m/d">
                  <c:v>44676</c:v>
                </c:pt>
                <c:pt idx="168" c:formatCode="yyyy/m/d">
                  <c:v>44684</c:v>
                </c:pt>
                <c:pt idx="169" c:formatCode="yyyy/m/d">
                  <c:v>44690</c:v>
                </c:pt>
                <c:pt idx="170" c:formatCode="yyyy/m/d">
                  <c:v>44697</c:v>
                </c:pt>
                <c:pt idx="171" c:formatCode="yyyy/m/d">
                  <c:v>44704</c:v>
                </c:pt>
                <c:pt idx="172" c:formatCode="yyyy/m/d">
                  <c:v>44711</c:v>
                </c:pt>
                <c:pt idx="173" c:formatCode="yyyy/m/d">
                  <c:v>44718</c:v>
                </c:pt>
                <c:pt idx="174" c:formatCode="yyyy/m/d">
                  <c:v>44725</c:v>
                </c:pt>
                <c:pt idx="175" c:formatCode="yyyy/m/d">
                  <c:v>44732</c:v>
                </c:pt>
                <c:pt idx="176" c:formatCode="yyyy/m/d">
                  <c:v>44739</c:v>
                </c:pt>
                <c:pt idx="177" c:formatCode="yyyy/m/d">
                  <c:v>44746</c:v>
                </c:pt>
                <c:pt idx="178" c:formatCode="yyyy/m/d">
                  <c:v>44753</c:v>
                </c:pt>
                <c:pt idx="179" c:formatCode="yyyy/m/d">
                  <c:v>44760</c:v>
                </c:pt>
                <c:pt idx="180" c:formatCode="yyyy/m/d">
                  <c:v>44767</c:v>
                </c:pt>
                <c:pt idx="181" c:formatCode="yyyy/m/d">
                  <c:v>44774</c:v>
                </c:pt>
                <c:pt idx="182" c:formatCode="yyyy/m/d">
                  <c:v>44781</c:v>
                </c:pt>
                <c:pt idx="183" c:formatCode="yyyy/m/d">
                  <c:v>44788</c:v>
                </c:pt>
                <c:pt idx="184" c:formatCode="yyyy/m/d">
                  <c:v>44795</c:v>
                </c:pt>
                <c:pt idx="185" c:formatCode="yyyy/m/d">
                  <c:v>44802</c:v>
                </c:pt>
                <c:pt idx="186" c:formatCode="yyyy/m/d">
                  <c:v>44809</c:v>
                </c:pt>
                <c:pt idx="187" c:formatCode="yyyy/m/d">
                  <c:v>44816</c:v>
                </c:pt>
                <c:pt idx="188" c:formatCode="yyyy/m/d">
                  <c:v>44823</c:v>
                </c:pt>
                <c:pt idx="189" c:formatCode="yyyy/m/d">
                  <c:v>44830</c:v>
                </c:pt>
                <c:pt idx="190" c:formatCode="yyyy/m/d">
                  <c:v>44837</c:v>
                </c:pt>
                <c:pt idx="191" c:formatCode="yyyy/m/d">
                  <c:v>44844</c:v>
                </c:pt>
                <c:pt idx="192" c:formatCode="yyyy/m/d">
                  <c:v>44851</c:v>
                </c:pt>
                <c:pt idx="193" c:formatCode="yyyy/m/d">
                  <c:v>44858</c:v>
                </c:pt>
                <c:pt idx="194" c:formatCode="yyyy/m/d">
                  <c:v>44865</c:v>
                </c:pt>
                <c:pt idx="195" c:formatCode="yyyy/m/d">
                  <c:v>44872</c:v>
                </c:pt>
                <c:pt idx="196" c:formatCode="yyyy/m/d">
                  <c:v>44879</c:v>
                </c:pt>
                <c:pt idx="197" c:formatCode="yyyy/m/d">
                  <c:v>44886</c:v>
                </c:pt>
                <c:pt idx="198" c:formatCode="yyyy/m/d">
                  <c:v>44893</c:v>
                </c:pt>
                <c:pt idx="199" c:formatCode="yyyy/m/d">
                  <c:v>44900</c:v>
                </c:pt>
                <c:pt idx="200" c:formatCode="yyyy/m/d">
                  <c:v>44907</c:v>
                </c:pt>
                <c:pt idx="201" c:formatCode="yyyy/m/d">
                  <c:v>44914</c:v>
                </c:pt>
                <c:pt idx="202" c:formatCode="yyyy/m/d">
                  <c:v>44921</c:v>
                </c:pt>
                <c:pt idx="203" c:formatCode="yyyy/m/d">
                  <c:v>44928</c:v>
                </c:pt>
                <c:pt idx="204" c:formatCode="yyyy/m/d">
                  <c:v>44935</c:v>
                </c:pt>
                <c:pt idx="205" c:formatCode="yyyy/m/d">
                  <c:v>44942</c:v>
                </c:pt>
                <c:pt idx="206" c:formatCode="yyyy/m/d">
                  <c:v>44956</c:v>
                </c:pt>
                <c:pt idx="207" c:formatCode="yyyy/m/d">
                  <c:v>44963</c:v>
                </c:pt>
                <c:pt idx="208" c:formatCode="yyyy/m/d">
                  <c:v>44970</c:v>
                </c:pt>
                <c:pt idx="209" c:formatCode="yyyy/m/d">
                  <c:v>44977</c:v>
                </c:pt>
                <c:pt idx="210" c:formatCode="yyyy/m/d">
                  <c:v>44984</c:v>
                </c:pt>
                <c:pt idx="211" c:formatCode="yyyy/m/d">
                  <c:v>44991</c:v>
                </c:pt>
                <c:pt idx="212" c:formatCode="yyyy/m/d">
                  <c:v>44998</c:v>
                </c:pt>
                <c:pt idx="213" c:formatCode="yyyy/m/d">
                  <c:v>45005</c:v>
                </c:pt>
                <c:pt idx="214" c:formatCode="yyyy/m/d">
                  <c:v>45012</c:v>
                </c:pt>
                <c:pt idx="215" c:formatCode="yyyy/m/d">
                  <c:v>45019</c:v>
                </c:pt>
                <c:pt idx="216" c:formatCode="yyyy/m/d">
                  <c:v>45026</c:v>
                </c:pt>
                <c:pt idx="217" c:formatCode="yyyy/m/d">
                  <c:v>45033</c:v>
                </c:pt>
                <c:pt idx="218" c:formatCode="yyyy/m/d">
                  <c:v>45040</c:v>
                </c:pt>
                <c:pt idx="219" c:formatCode="yyyy/m/d">
                  <c:v>45047</c:v>
                </c:pt>
                <c:pt idx="220" c:formatCode="yyyy/m/d">
                  <c:v>45054</c:v>
                </c:pt>
                <c:pt idx="221" c:formatCode="yyyy/m/d">
                  <c:v>45061</c:v>
                </c:pt>
                <c:pt idx="222" c:formatCode="yyyy/m/d">
                  <c:v>45068</c:v>
                </c:pt>
                <c:pt idx="223" c:formatCode="yyyy/m/d">
                  <c:v>45075</c:v>
                </c:pt>
                <c:pt idx="224" c:formatCode="yyyy/m/d">
                  <c:v>45082</c:v>
                </c:pt>
                <c:pt idx="225" c:formatCode="yyyy/m/d">
                  <c:v>45089</c:v>
                </c:pt>
                <c:pt idx="226" c:formatCode="yyyy/m/d">
                  <c:v>45096</c:v>
                </c:pt>
                <c:pt idx="227" c:formatCode="yyyy/m/d">
                  <c:v>45103</c:v>
                </c:pt>
                <c:pt idx="228" c:formatCode="yyyy/m/d">
                  <c:v>45110</c:v>
                </c:pt>
                <c:pt idx="229" c:formatCode="yyyy/m/d">
                  <c:v>45117</c:v>
                </c:pt>
                <c:pt idx="230" c:formatCode="yyyy/m/d">
                  <c:v>45124</c:v>
                </c:pt>
                <c:pt idx="231" c:formatCode="yyyy/m/d">
                  <c:v>45131</c:v>
                </c:pt>
                <c:pt idx="232" c:formatCode="yyyy/m/d">
                  <c:v>45138</c:v>
                </c:pt>
                <c:pt idx="233" c:formatCode="yyyy/m/d">
                  <c:v>45145</c:v>
                </c:pt>
                <c:pt idx="234" c:formatCode="yyyy/m/d">
                  <c:v>45152</c:v>
                </c:pt>
                <c:pt idx="235" c:formatCode="yyyy/m/d">
                  <c:v>45159</c:v>
                </c:pt>
                <c:pt idx="236" c:formatCode="yyyy/m/d">
                  <c:v>45166</c:v>
                </c:pt>
                <c:pt idx="237" c:formatCode="yyyy/m/d">
                  <c:v>45173</c:v>
                </c:pt>
                <c:pt idx="238" c:formatCode="yyyy/m/d">
                  <c:v>45180</c:v>
                </c:pt>
                <c:pt idx="239" c:formatCode="yyyy/m/d">
                  <c:v>45187</c:v>
                </c:pt>
                <c:pt idx="240" c:formatCode="yyyy/m/d">
                  <c:v>45194</c:v>
                </c:pt>
                <c:pt idx="241" c:formatCode="yyyy/m/d">
                  <c:v>45201</c:v>
                </c:pt>
                <c:pt idx="242" c:formatCode="yyyy/m/d">
                  <c:v>45208</c:v>
                </c:pt>
                <c:pt idx="243" c:formatCode="yyyy/m/d">
                  <c:v>45215</c:v>
                </c:pt>
                <c:pt idx="244" c:formatCode="yyyy/m/d">
                  <c:v>45222</c:v>
                </c:pt>
                <c:pt idx="245" c:formatCode="yyyy/m/d">
                  <c:v>45229</c:v>
                </c:pt>
                <c:pt idx="246" c:formatCode="yyyy/m/d">
                  <c:v>45236</c:v>
                </c:pt>
                <c:pt idx="247" c:formatCode="yyyy/m/d">
                  <c:v>45243</c:v>
                </c:pt>
                <c:pt idx="248" c:formatCode="yyyy/m/d">
                  <c:v>45250</c:v>
                </c:pt>
                <c:pt idx="249" c:formatCode="yyyy/m/d">
                  <c:v>45257</c:v>
                </c:pt>
                <c:pt idx="250" c:formatCode="yyyy/m/d">
                  <c:v>45264</c:v>
                </c:pt>
                <c:pt idx="251" c:formatCode="yyyy/m/d">
                  <c:v>45271</c:v>
                </c:pt>
                <c:pt idx="252" c:formatCode="yyyy/m/d">
                  <c:v>45278</c:v>
                </c:pt>
                <c:pt idx="253" c:formatCode="yyyy/m/d">
                  <c:v>45285</c:v>
                </c:pt>
                <c:pt idx="254" c:formatCode="yyyy/m/d">
                  <c:v>45292</c:v>
                </c:pt>
                <c:pt idx="255" c:formatCode="yyyy/m/d">
                  <c:v>45299</c:v>
                </c:pt>
                <c:pt idx="256" c:formatCode="yyyy/m/d">
                  <c:v>45306</c:v>
                </c:pt>
                <c:pt idx="257" c:formatCode="yyyy/m/d">
                  <c:v>45313</c:v>
                </c:pt>
                <c:pt idx="258" c:formatCode="yyyy/m/d">
                  <c:v>45320</c:v>
                </c:pt>
                <c:pt idx="259" c:formatCode="yyyy/m/d">
                  <c:v>45327</c:v>
                </c:pt>
                <c:pt idx="260" c:formatCode="yyyy/m/d">
                  <c:v>45334</c:v>
                </c:pt>
                <c:pt idx="261" c:formatCode="yyyy/m/d">
                  <c:v>45341</c:v>
                </c:pt>
                <c:pt idx="262" c:formatCode="yyyy/m/d">
                  <c:v>45348</c:v>
                </c:pt>
                <c:pt idx="263" c:formatCode="yyyy/m/d">
                  <c:v>45355</c:v>
                </c:pt>
                <c:pt idx="264" c:formatCode="yyyy/m/d">
                  <c:v>45362</c:v>
                </c:pt>
                <c:pt idx="265" c:formatCode="yyyy/m/d">
                  <c:v>45369</c:v>
                </c:pt>
                <c:pt idx="266" c:formatCode="yyyy/m/d">
                  <c:v>45376</c:v>
                </c:pt>
                <c:pt idx="267" c:formatCode="yyyy/m/d">
                  <c:v>45383</c:v>
                </c:pt>
                <c:pt idx="268" c:formatCode="yyyy/m/d">
                  <c:v>45390</c:v>
                </c:pt>
                <c:pt idx="269" c:formatCode="yyyy/m/d">
                  <c:v>45397</c:v>
                </c:pt>
                <c:pt idx="270" c:formatCode="yyyy/m/d">
                  <c:v>45404</c:v>
                </c:pt>
                <c:pt idx="271" c:formatCode="yyyy/m/d">
                  <c:v>45411</c:v>
                </c:pt>
                <c:pt idx="272" c:formatCode="yyyy/m/d">
                  <c:v>45418</c:v>
                </c:pt>
                <c:pt idx="273" c:formatCode="yyyy/m/d">
                  <c:v>45425</c:v>
                </c:pt>
                <c:pt idx="274" c:formatCode="yyyy/m/d">
                  <c:v>45432</c:v>
                </c:pt>
                <c:pt idx="275" c:formatCode="yyyy/m/d">
                  <c:v>45439</c:v>
                </c:pt>
                <c:pt idx="276" c:formatCode="yyyy/m/d">
                  <c:v>45446</c:v>
                </c:pt>
                <c:pt idx="277" c:formatCode="yyyy/m/d">
                  <c:v>45454</c:v>
                </c:pt>
                <c:pt idx="278" c:formatCode="yyyy/m/d">
                  <c:v>45460</c:v>
                </c:pt>
                <c:pt idx="279" c:formatCode="yyyy/m/d">
                  <c:v>45467</c:v>
                </c:pt>
                <c:pt idx="280" c:formatCode="yyyy/m/d">
                  <c:v>45474</c:v>
                </c:pt>
                <c:pt idx="281" c:formatCode="yyyy/m/d">
                  <c:v>45481</c:v>
                </c:pt>
                <c:pt idx="282" c:formatCode="yyyy/m/d">
                  <c:v>45488</c:v>
                </c:pt>
                <c:pt idx="283" c:formatCode="yyyy/m/d">
                  <c:v>45495</c:v>
                </c:pt>
                <c:pt idx="284" c:formatCode="yyyy/m/d">
                  <c:v>45502</c:v>
                </c:pt>
                <c:pt idx="285" c:formatCode="yyyy/m/d">
                  <c:v>45509</c:v>
                </c:pt>
                <c:pt idx="286" c:formatCode="yyyy/m/d">
                  <c:v>45516</c:v>
                </c:pt>
                <c:pt idx="287" c:formatCode="yyyy/m/d">
                  <c:v>45523</c:v>
                </c:pt>
                <c:pt idx="288" c:formatCode="yyyy/m/d">
                  <c:v>45530</c:v>
                </c:pt>
                <c:pt idx="289" c:formatCode="yyyy/m/d">
                  <c:v>45537</c:v>
                </c:pt>
                <c:pt idx="290" c:formatCode="yyyy/m/d">
                  <c:v>45544</c:v>
                </c:pt>
                <c:pt idx="291" c:formatCode="yyyy/m/d">
                  <c:v>45551</c:v>
                </c:pt>
                <c:pt idx="292" c:formatCode="yyyy/m/d">
                  <c:v>45558</c:v>
                </c:pt>
                <c:pt idx="293" c:formatCode="yyyy/m/d">
                  <c:v>45565</c:v>
                </c:pt>
                <c:pt idx="294" c:formatCode="yyyy/m/d">
                  <c:v>45572</c:v>
                </c:pt>
                <c:pt idx="295" c:formatCode="yyyy/m/d">
                  <c:v>45579</c:v>
                </c:pt>
                <c:pt idx="296" c:formatCode="yyyy/m/d">
                  <c:v>45586</c:v>
                </c:pt>
                <c:pt idx="297" c:formatCode="yyyy/m/d">
                  <c:v>45593</c:v>
                </c:pt>
                <c:pt idx="298" c:formatCode="yyyy/m/d">
                  <c:v>45600</c:v>
                </c:pt>
                <c:pt idx="299" c:formatCode="yyyy/m/d">
                  <c:v>45607</c:v>
                </c:pt>
                <c:pt idx="300" c:formatCode="yyyy/m/d">
                  <c:v>45614</c:v>
                </c:pt>
                <c:pt idx="301" c:formatCode="yyyy/m/d">
                  <c:v>45621</c:v>
                </c:pt>
                <c:pt idx="302" c:formatCode="yyyy/m/d">
                  <c:v>45628</c:v>
                </c:pt>
                <c:pt idx="303" c:formatCode="yyyy/m/d">
                  <c:v>45635</c:v>
                </c:pt>
                <c:pt idx="304" c:formatCode="yyyy/m/d">
                  <c:v>45642</c:v>
                </c:pt>
                <c:pt idx="305" c:formatCode="yyyy/m/d">
                  <c:v>45649</c:v>
                </c:pt>
                <c:pt idx="306" c:formatCode="yyyy/m/d">
                  <c:v>45656</c:v>
                </c:pt>
                <c:pt idx="307" c:formatCode="yyyy/m/d">
                  <c:v>45663</c:v>
                </c:pt>
                <c:pt idx="308" c:formatCode="yyyy/m/d">
                  <c:v>45670</c:v>
                </c:pt>
                <c:pt idx="309" c:formatCode="yyyy/m/d">
                  <c:v>45677</c:v>
                </c:pt>
                <c:pt idx="310" c:formatCode="yyyy/m/d">
                  <c:v>45684</c:v>
                </c:pt>
                <c:pt idx="311" c:formatCode="yyyy/m/d">
                  <c:v>45691</c:v>
                </c:pt>
                <c:pt idx="312" c:formatCode="yyyy/m/d">
                  <c:v>45698</c:v>
                </c:pt>
                <c:pt idx="313" c:formatCode="yyyy/m/d">
                  <c:v>45705</c:v>
                </c:pt>
                <c:pt idx="314" c:formatCode="yyyy/m/d">
                  <c:v>45712</c:v>
                </c:pt>
                <c:pt idx="315" c:formatCode="yyyy/m/d">
                  <c:v>45719</c:v>
                </c:pt>
                <c:pt idx="316" c:formatCode="yyyy/m/d">
                  <c:v>45726</c:v>
                </c:pt>
                <c:pt idx="317" c:formatCode="yyyy/m/d">
                  <c:v>45733</c:v>
                </c:pt>
                <c:pt idx="318" c:formatCode="yyyy/m/d">
                  <c:v>45740</c:v>
                </c:pt>
                <c:pt idx="319" c:formatCode="yyyy/m/d">
                  <c:v>45747</c:v>
                </c:pt>
                <c:pt idx="320" c:formatCode="yyyy/m/d">
                  <c:v>45754</c:v>
                </c:pt>
                <c:pt idx="321" c:formatCode="yyyy/m/d">
                  <c:v>45761</c:v>
                </c:pt>
                <c:pt idx="322" c:formatCode="yyyy/m/d">
                  <c:v>45768</c:v>
                </c:pt>
                <c:pt idx="323" c:formatCode="yyyy/m/d">
                  <c:v>45775</c:v>
                </c:pt>
                <c:pt idx="324" c:formatCode="yyyy/m/d">
                  <c:v>45782</c:v>
                </c:pt>
                <c:pt idx="325" c:formatCode="yyyy/m/d">
                  <c:v>45789</c:v>
                </c:pt>
                <c:pt idx="326" c:formatCode="yyyy/m/d">
                  <c:v>45796</c:v>
                </c:pt>
                <c:pt idx="327" c:formatCode="yyyy/m/d">
                  <c:v>45803</c:v>
                </c:pt>
                <c:pt idx="328" c:formatCode="yyyy/m/d">
                  <c:v>45810</c:v>
                </c:pt>
                <c:pt idx="329" c:formatCode="yyyy/m/d">
                  <c:v>45817</c:v>
                </c:pt>
                <c:pt idx="330" c:formatCode="yyyy/m/d">
                  <c:v>45824</c:v>
                </c:pt>
                <c:pt idx="331" c:formatCode="yyyy/m/d">
                  <c:v>45831</c:v>
                </c:pt>
                <c:pt idx="332" c:formatCode="yyyy/m/d">
                  <c:v>45838</c:v>
                </c:pt>
                <c:pt idx="333" c:formatCode="yyyy/m/d">
                  <c:v>45845</c:v>
                </c:pt>
                <c:pt idx="334" c:formatCode="yyyy/m/d">
                  <c:v>45852</c:v>
                </c:pt>
                <c:pt idx="335" c:formatCode="yyyy/m/d">
                  <c:v>45859</c:v>
                </c:pt>
                <c:pt idx="336" c:formatCode="yyyy/m/d">
                  <c:v>45866</c:v>
                </c:pt>
                <c:pt idx="337" c:formatCode="yyyy/m/d">
                  <c:v>45873</c:v>
                </c:pt>
                <c:pt idx="338" c:formatCode="yyyy/m/d">
                  <c:v>45880</c:v>
                </c:pt>
                <c:pt idx="339" c:formatCode="yyyy/m/d">
                  <c:v>45887</c:v>
                </c:pt>
                <c:pt idx="340" c:formatCode="yyyy/m/d">
                  <c:v>45894</c:v>
                </c:pt>
                <c:pt idx="341" c:formatCode="yyyy/m/d">
                  <c:v>45901</c:v>
                </c:pt>
                <c:pt idx="342" c:formatCode="yyyy/m/d">
                  <c:v>45908</c:v>
                </c:pt>
                <c:pt idx="343" c:formatCode="yyyy/m/d">
                  <c:v>45915</c:v>
                </c:pt>
                <c:pt idx="344" c:formatCode="yyyy/m/d">
                  <c:v>45922</c:v>
                </c:pt>
                <c:pt idx="345" c:formatCode="yyyy/m/d">
                  <c:v>45929</c:v>
                </c:pt>
                <c:pt idx="346" c:formatCode="yyyy/m/d">
                  <c:v>45936</c:v>
                </c:pt>
                <c:pt idx="347" c:formatCode="yyyy/m/d">
                  <c:v>45943</c:v>
                </c:pt>
                <c:pt idx="348" c:formatCode="yyyy/m/d">
                  <c:v>45950</c:v>
                </c:pt>
                <c:pt idx="349" c:formatCode="yyyy/m/d">
                  <c:v>45957</c:v>
                </c:pt>
                <c:pt idx="350" c:formatCode="yyyy/m/d">
                  <c:v>45964</c:v>
                </c:pt>
                <c:pt idx="351" c:formatCode="yyyy/m/d">
                  <c:v>45971</c:v>
                </c:pt>
                <c:pt idx="352" c:formatCode="yyyy/m/d">
                  <c:v>45978</c:v>
                </c:pt>
                <c:pt idx="353" c:formatCode="yyyy/m/d">
                  <c:v>45985</c:v>
                </c:pt>
                <c:pt idx="354" c:formatCode="yyyy/m/d">
                  <c:v>45992</c:v>
                </c:pt>
                <c:pt idx="355" c:formatCode="yyyy/m/d">
                  <c:v>45999</c:v>
                </c:pt>
                <c:pt idx="356" c:formatCode="yyyy/m/d">
                  <c:v>46006</c:v>
                </c:pt>
                <c:pt idx="357" c:formatCode="yyyy/m/d">
                  <c:v>46013</c:v>
                </c:pt>
                <c:pt idx="358" c:formatCode="yyyy/m/d">
                  <c:v>46020</c:v>
                </c:pt>
                <c:pt idx="359" c:formatCode="yyyy/m/d">
                  <c:v>46027</c:v>
                </c:pt>
                <c:pt idx="360" c:formatCode="yyyy/m/d">
                  <c:v>46034</c:v>
                </c:pt>
                <c:pt idx="361" c:formatCode="yyyy/m/d">
                  <c:v>46041</c:v>
                </c:pt>
                <c:pt idx="362" c:formatCode="yyyy/m/d">
                  <c:v>46048</c:v>
                </c:pt>
                <c:pt idx="363" c:formatCode="yyyy/m/d">
                  <c:v>46055</c:v>
                </c:pt>
                <c:pt idx="364" c:formatCode="yyyy/m/d">
                  <c:v>46062</c:v>
                </c:pt>
                <c:pt idx="365" c:formatCode="yyyy/m/d">
                  <c:v>46076</c:v>
                </c:pt>
                <c:pt idx="366" c:formatCode="yyyy/m/d">
                  <c:v>46083</c:v>
                </c:pt>
                <c:pt idx="367" c:formatCode="yyyy/m/d">
                  <c:v>46090</c:v>
                </c:pt>
                <c:pt idx="368" c:formatCode="yyyy/m/d">
                  <c:v>46097</c:v>
                </c:pt>
                <c:pt idx="369" c:formatCode="yyyy/m/d">
                  <c:v>46104</c:v>
                </c:pt>
                <c:pt idx="370" c:formatCode="yyyy/m/d">
                  <c:v>46111</c:v>
                </c:pt>
                <c:pt idx="371" c:formatCode="yyyy/m/d">
                  <c:v>46119</c:v>
                </c:pt>
                <c:pt idx="372" c:formatCode="yyyy/m/d">
                  <c:v>46125</c:v>
                </c:pt>
                <c:pt idx="373" c:formatCode="yyyy/m/d">
                  <c:v>46132</c:v>
                </c:pt>
                <c:pt idx="374" c:formatCode="yyyy/m/d">
                  <c:v>46139</c:v>
                </c:pt>
                <c:pt idx="375" c:formatCode="yyyy/m/d">
                  <c:v>46146</c:v>
                </c:pt>
                <c:pt idx="376" c:formatCode="yyyy/m/d">
                  <c:v>46153</c:v>
                </c:pt>
                <c:pt idx="377" c:formatCode="yyyy/m/d">
                  <c:v>46160</c:v>
                </c:pt>
                <c:pt idx="378" c:formatCode="yyyy/m/d">
                  <c:v>46167</c:v>
                </c:pt>
                <c:pt idx="379" c:formatCode="yyyy/m/d">
                  <c:v>46174</c:v>
                </c:pt>
              </c:numCache>
            </c:numRef>
          </c:cat>
          <c:val>
            <c:numRef>
              <c:f>NAND!$BE$27:$BE$500</c:f>
              <c:numCache>
                <c:formatCode>_(* #,##0.00_);_(* \(#,##0.00\);_(* "-"??_);_(@_)</c:formatCode>
                <c:ptCount val="474"/>
                <c:pt idx="0">
                  <c:v>5.39</c:v>
                </c:pt>
                <c:pt idx="1">
                  <c:v>5.39</c:v>
                </c:pt>
                <c:pt idx="2">
                  <c:v>4.86</c:v>
                </c:pt>
                <c:pt idx="3">
                  <c:v>4.86</c:v>
                </c:pt>
                <c:pt idx="4">
                  <c:v>4.86</c:v>
                </c:pt>
                <c:pt idx="5">
                  <c:v>4.37</c:v>
                </c:pt>
                <c:pt idx="6">
                  <c:v>4.37</c:v>
                </c:pt>
                <c:pt idx="7">
                  <c:v>4.37</c:v>
                </c:pt>
                <c:pt idx="8">
                  <c:v>4.37</c:v>
                </c:pt>
                <c:pt idx="9">
                  <c:v>4.04</c:v>
                </c:pt>
                <c:pt idx="10">
                  <c:v>4.04</c:v>
                </c:pt>
                <c:pt idx="11">
                  <c:v>4.04</c:v>
                </c:pt>
                <c:pt idx="12">
                  <c:v>4.04</c:v>
                </c:pt>
                <c:pt idx="13">
                  <c:v>4.04</c:v>
                </c:pt>
                <c:pt idx="14">
                  <c:v>3.88</c:v>
                </c:pt>
                <c:pt idx="15">
                  <c:v>3.88</c:v>
                </c:pt>
                <c:pt idx="16">
                  <c:v>3.88</c:v>
                </c:pt>
                <c:pt idx="17">
                  <c:v>3.88</c:v>
                </c:pt>
                <c:pt idx="18">
                  <c:v>3.82</c:v>
                </c:pt>
                <c:pt idx="19">
                  <c:v>3.82</c:v>
                </c:pt>
                <c:pt idx="20">
                  <c:v>3.82</c:v>
                </c:pt>
                <c:pt idx="21">
                  <c:v>3.82</c:v>
                </c:pt>
                <c:pt idx="22">
                  <c:v>4.48</c:v>
                </c:pt>
                <c:pt idx="23">
                  <c:v>4.48</c:v>
                </c:pt>
                <c:pt idx="24">
                  <c:v>4.48</c:v>
                </c:pt>
                <c:pt idx="25">
                  <c:v>4.48</c:v>
                </c:pt>
                <c:pt idx="26">
                  <c:v>4.48</c:v>
                </c:pt>
                <c:pt idx="27">
                  <c:v>4.5</c:v>
                </c:pt>
                <c:pt idx="28">
                  <c:v>4.5</c:v>
                </c:pt>
                <c:pt idx="29">
                  <c:v>4.5</c:v>
                </c:pt>
                <c:pt idx="30">
                  <c:v>4.5</c:v>
                </c:pt>
                <c:pt idx="31">
                  <c:v>4.5</c:v>
                </c:pt>
                <c:pt idx="32">
                  <c:v>4.5</c:v>
                </c:pt>
                <c:pt idx="33">
                  <c:v>4.5</c:v>
                </c:pt>
                <c:pt idx="34">
                  <c:v>4.5</c:v>
                </c:pt>
                <c:pt idx="35">
                  <c:v>4.5</c:v>
                </c:pt>
                <c:pt idx="36">
                  <c:v>4.41</c:v>
                </c:pt>
                <c:pt idx="37">
                  <c:v>4.41</c:v>
                </c:pt>
                <c:pt idx="38">
                  <c:v>4.41</c:v>
                </c:pt>
                <c:pt idx="39">
                  <c:v>4.41</c:v>
                </c:pt>
                <c:pt idx="40">
                  <c:v>4.5</c:v>
                </c:pt>
                <c:pt idx="41">
                  <c:v>4.5</c:v>
                </c:pt>
                <c:pt idx="42">
                  <c:v>4.5</c:v>
                </c:pt>
                <c:pt idx="43">
                  <c:v>4.5</c:v>
                </c:pt>
                <c:pt idx="44">
                  <c:v>4.71</c:v>
                </c:pt>
                <c:pt idx="45">
                  <c:v>4.71</c:v>
                </c:pt>
                <c:pt idx="46">
                  <c:v>4.71</c:v>
                </c:pt>
                <c:pt idx="47">
                  <c:v>4.71</c:v>
                </c:pt>
                <c:pt idx="48">
                  <c:v>4.71</c:v>
                </c:pt>
                <c:pt idx="49">
                  <c:v>5.27</c:v>
                </c:pt>
                <c:pt idx="50">
                  <c:v>5.27</c:v>
                </c:pt>
                <c:pt idx="51">
                  <c:v>5.27</c:v>
                </c:pt>
                <c:pt idx="52">
                  <c:v>5.43</c:v>
                </c:pt>
                <c:pt idx="53">
                  <c:v>5.43</c:v>
                </c:pt>
                <c:pt idx="54">
                  <c:v>5.43</c:v>
                </c:pt>
                <c:pt idx="55">
                  <c:v>5.43</c:v>
                </c:pt>
                <c:pt idx="56">
                  <c:v>5.53</c:v>
                </c:pt>
                <c:pt idx="57">
                  <c:v>5.53</c:v>
                </c:pt>
                <c:pt idx="58">
                  <c:v>5.53</c:v>
                </c:pt>
                <c:pt idx="59">
                  <c:v>5.53</c:v>
                </c:pt>
                <c:pt idx="60">
                  <c:v>5.53</c:v>
                </c:pt>
                <c:pt idx="61">
                  <c:v>5.53</c:v>
                </c:pt>
                <c:pt idx="62">
                  <c:v>5.53</c:v>
                </c:pt>
                <c:pt idx="63">
                  <c:v>5.53</c:v>
                </c:pt>
                <c:pt idx="64">
                  <c:v>5.53</c:v>
                </c:pt>
                <c:pt idx="65">
                  <c:v>5.49</c:v>
                </c:pt>
                <c:pt idx="66">
                  <c:v>5.49</c:v>
                </c:pt>
                <c:pt idx="67">
                  <c:v>5.49</c:v>
                </c:pt>
                <c:pt idx="68">
                  <c:v>5.49</c:v>
                </c:pt>
                <c:pt idx="69">
                  <c:v>5.36</c:v>
                </c:pt>
                <c:pt idx="70">
                  <c:v>5.36</c:v>
                </c:pt>
                <c:pt idx="71">
                  <c:v>5.36</c:v>
                </c:pt>
                <c:pt idx="72">
                  <c:v>5.36</c:v>
                </c:pt>
                <c:pt idx="73">
                  <c:v>5.36</c:v>
                </c:pt>
                <c:pt idx="74">
                  <c:v>5.32</c:v>
                </c:pt>
                <c:pt idx="75">
                  <c:v>5.32</c:v>
                </c:pt>
                <c:pt idx="76">
                  <c:v>5.32</c:v>
                </c:pt>
                <c:pt idx="77">
                  <c:v>5.32</c:v>
                </c:pt>
                <c:pt idx="78">
                  <c:v>4.96</c:v>
                </c:pt>
                <c:pt idx="79">
                  <c:v>4.96</c:v>
                </c:pt>
                <c:pt idx="80">
                  <c:v>4.96</c:v>
                </c:pt>
                <c:pt idx="81">
                  <c:v>4.96</c:v>
                </c:pt>
                <c:pt idx="82">
                  <c:v>4.96</c:v>
                </c:pt>
                <c:pt idx="83">
                  <c:v>4.96</c:v>
                </c:pt>
                <c:pt idx="84">
                  <c:v>4.96</c:v>
                </c:pt>
                <c:pt idx="85">
                  <c:v>4.96</c:v>
                </c:pt>
                <c:pt idx="86">
                  <c:v>4.96</c:v>
                </c:pt>
                <c:pt idx="87">
                  <c:v>4.7</c:v>
                </c:pt>
                <c:pt idx="88">
                  <c:v>4.7</c:v>
                </c:pt>
                <c:pt idx="89">
                  <c:v>4.7</c:v>
                </c:pt>
                <c:pt idx="90">
                  <c:v>4.7</c:v>
                </c:pt>
                <c:pt idx="91">
                  <c:v>4.4</c:v>
                </c:pt>
                <c:pt idx="92">
                  <c:v>4.4</c:v>
                </c:pt>
                <c:pt idx="93">
                  <c:v>4.4</c:v>
                </c:pt>
                <c:pt idx="94">
                  <c:v>4.4</c:v>
                </c:pt>
                <c:pt idx="95">
                  <c:v>4.4</c:v>
                </c:pt>
                <c:pt idx="96">
                  <c:v>4.39</c:v>
                </c:pt>
                <c:pt idx="97">
                  <c:v>4.39</c:v>
                </c:pt>
                <c:pt idx="98">
                  <c:v>4.39</c:v>
                </c:pt>
                <c:pt idx="99">
                  <c:v>4.39</c:v>
                </c:pt>
                <c:pt idx="100">
                  <c:v>4.37</c:v>
                </c:pt>
                <c:pt idx="101">
                  <c:v>4.37</c:v>
                </c:pt>
                <c:pt idx="102">
                  <c:v>4.37</c:v>
                </c:pt>
                <c:pt idx="103">
                  <c:v>4.37</c:v>
                </c:pt>
                <c:pt idx="104">
                  <c:v>4.54</c:v>
                </c:pt>
                <c:pt idx="105">
                  <c:v>4.54</c:v>
                </c:pt>
                <c:pt idx="106">
                  <c:v>4.54</c:v>
                </c:pt>
                <c:pt idx="107">
                  <c:v>4.54</c:v>
                </c:pt>
                <c:pt idx="108">
                  <c:v>4.59</c:v>
                </c:pt>
                <c:pt idx="109">
                  <c:v>4.59</c:v>
                </c:pt>
                <c:pt idx="110">
                  <c:v>4.59</c:v>
                </c:pt>
                <c:pt idx="111">
                  <c:v>4.59</c:v>
                </c:pt>
                <c:pt idx="112">
                  <c:v>4.59</c:v>
                </c:pt>
                <c:pt idx="113">
                  <c:v>4.65</c:v>
                </c:pt>
                <c:pt idx="114">
                  <c:v>4.65</c:v>
                </c:pt>
                <c:pt idx="115">
                  <c:v>4.65</c:v>
                </c:pt>
                <c:pt idx="116">
                  <c:v>4.65</c:v>
                </c:pt>
                <c:pt idx="117">
                  <c:v>4.8</c:v>
                </c:pt>
                <c:pt idx="118">
                  <c:v>4.8</c:v>
                </c:pt>
                <c:pt idx="119">
                  <c:v>4.8</c:v>
                </c:pt>
                <c:pt idx="120">
                  <c:v>4.8</c:v>
                </c:pt>
                <c:pt idx="121">
                  <c:v>4.8</c:v>
                </c:pt>
                <c:pt idx="122">
                  <c:v>5.01</c:v>
                </c:pt>
                <c:pt idx="123">
                  <c:v>5.01</c:v>
                </c:pt>
                <c:pt idx="124">
                  <c:v>5.01</c:v>
                </c:pt>
                <c:pt idx="125">
                  <c:v>5.01</c:v>
                </c:pt>
                <c:pt idx="126">
                  <c:v>5.05</c:v>
                </c:pt>
                <c:pt idx="127">
                  <c:v>5.05</c:v>
                </c:pt>
                <c:pt idx="128">
                  <c:v>5.05</c:v>
                </c:pt>
                <c:pt idx="129">
                  <c:v>5.05</c:v>
                </c:pt>
                <c:pt idx="130">
                  <c:v>5.01</c:v>
                </c:pt>
                <c:pt idx="131">
                  <c:v>5.01</c:v>
                </c:pt>
                <c:pt idx="132">
                  <c:v>5.01</c:v>
                </c:pt>
                <c:pt idx="133">
                  <c:v>5.01</c:v>
                </c:pt>
                <c:pt idx="134">
                  <c:v>5.01</c:v>
                </c:pt>
                <c:pt idx="135">
                  <c:v>4.69</c:v>
                </c:pt>
                <c:pt idx="136">
                  <c:v>4.69</c:v>
                </c:pt>
                <c:pt idx="137">
                  <c:v>4.69</c:v>
                </c:pt>
                <c:pt idx="138">
                  <c:v>4.69</c:v>
                </c:pt>
                <c:pt idx="139">
                  <c:v>4.39</c:v>
                </c:pt>
                <c:pt idx="140">
                  <c:v>4.39</c:v>
                </c:pt>
                <c:pt idx="141">
                  <c:v>4.39</c:v>
                </c:pt>
                <c:pt idx="142">
                  <c:v>4.39</c:v>
                </c:pt>
                <c:pt idx="143">
                  <c:v>4.27</c:v>
                </c:pt>
                <c:pt idx="144">
                  <c:v>4.27</c:v>
                </c:pt>
                <c:pt idx="145">
                  <c:v>4.27</c:v>
                </c:pt>
                <c:pt idx="146">
                  <c:v>4.27</c:v>
                </c:pt>
                <c:pt idx="147">
                  <c:v>4.27</c:v>
                </c:pt>
                <c:pt idx="148">
                  <c:v>4.11</c:v>
                </c:pt>
                <c:pt idx="149">
                  <c:v>4.11</c:v>
                </c:pt>
                <c:pt idx="150">
                  <c:v>4.11</c:v>
                </c:pt>
                <c:pt idx="151">
                  <c:v>4.11</c:v>
                </c:pt>
                <c:pt idx="152">
                  <c:v>4.11</c:v>
                </c:pt>
                <c:pt idx="153">
                  <c:v>4.11</c:v>
                </c:pt>
                <c:pt idx="154">
                  <c:v>4.11</c:v>
                </c:pt>
                <c:pt idx="155">
                  <c:v>4.11</c:v>
                </c:pt>
                <c:pt idx="156">
                  <c:v>4.5</c:v>
                </c:pt>
                <c:pt idx="157">
                  <c:v>4.5</c:v>
                </c:pt>
                <c:pt idx="158">
                  <c:v>4.5</c:v>
                </c:pt>
                <c:pt idx="159">
                  <c:v>4.5</c:v>
                </c:pt>
                <c:pt idx="160">
                  <c:v>4.76</c:v>
                </c:pt>
                <c:pt idx="161">
                  <c:v>4.76</c:v>
                </c:pt>
                <c:pt idx="162">
                  <c:v>4.76</c:v>
                </c:pt>
                <c:pt idx="163">
                  <c:v>4.76</c:v>
                </c:pt>
                <c:pt idx="164">
                  <c:v>4.76</c:v>
                </c:pt>
                <c:pt idx="165">
                  <c:v>4.76</c:v>
                </c:pt>
                <c:pt idx="166">
                  <c:v>4.76</c:v>
                </c:pt>
                <c:pt idx="167">
                  <c:v>4.76</c:v>
                </c:pt>
                <c:pt idx="168">
                  <c:v>4.6</c:v>
                </c:pt>
                <c:pt idx="169">
                  <c:v>4.6</c:v>
                </c:pt>
                <c:pt idx="170">
                  <c:v>4.6</c:v>
                </c:pt>
                <c:pt idx="171">
                  <c:v>4.6</c:v>
                </c:pt>
                <c:pt idx="172">
                  <c:v>4.6</c:v>
                </c:pt>
                <c:pt idx="173">
                  <c:v>4.08</c:v>
                </c:pt>
                <c:pt idx="174">
                  <c:v>4.08</c:v>
                </c:pt>
                <c:pt idx="175">
                  <c:v>4.08</c:v>
                </c:pt>
                <c:pt idx="176">
                  <c:v>4.08</c:v>
                </c:pt>
                <c:pt idx="177">
                  <c:v>3.69</c:v>
                </c:pt>
                <c:pt idx="178">
                  <c:v>3.69</c:v>
                </c:pt>
                <c:pt idx="179">
                  <c:v>3.69</c:v>
                </c:pt>
                <c:pt idx="180">
                  <c:v>3.69</c:v>
                </c:pt>
                <c:pt idx="181">
                  <c:v>3.05</c:v>
                </c:pt>
                <c:pt idx="182">
                  <c:v>3.05</c:v>
                </c:pt>
                <c:pt idx="183">
                  <c:v>3.05</c:v>
                </c:pt>
                <c:pt idx="184">
                  <c:v>3.05</c:v>
                </c:pt>
                <c:pt idx="185">
                  <c:v>3.05</c:v>
                </c:pt>
                <c:pt idx="186">
                  <c:v>2.68</c:v>
                </c:pt>
                <c:pt idx="187">
                  <c:v>2.68</c:v>
                </c:pt>
                <c:pt idx="188">
                  <c:v>2.68</c:v>
                </c:pt>
                <c:pt idx="189">
                  <c:v>2.68</c:v>
                </c:pt>
                <c:pt idx="190">
                  <c:v>2.43</c:v>
                </c:pt>
                <c:pt idx="191">
                  <c:v>2.43</c:v>
                </c:pt>
                <c:pt idx="192">
                  <c:v>2.43</c:v>
                </c:pt>
                <c:pt idx="193">
                  <c:v>2.43</c:v>
                </c:pt>
                <c:pt idx="194">
                  <c:v>2.43</c:v>
                </c:pt>
                <c:pt idx="195">
                  <c:v>2.24</c:v>
                </c:pt>
                <c:pt idx="196">
                  <c:v>2.24</c:v>
                </c:pt>
                <c:pt idx="197">
                  <c:v>2.24</c:v>
                </c:pt>
                <c:pt idx="198">
                  <c:v>2.24</c:v>
                </c:pt>
                <c:pt idx="199">
                  <c:v>2.14</c:v>
                </c:pt>
                <c:pt idx="200">
                  <c:v>2.14</c:v>
                </c:pt>
                <c:pt idx="201">
                  <c:v>2.14</c:v>
                </c:pt>
                <c:pt idx="202">
                  <c:v>2.14</c:v>
                </c:pt>
                <c:pt idx="203">
                  <c:v>2.11</c:v>
                </c:pt>
                <c:pt idx="204">
                  <c:v>2.11</c:v>
                </c:pt>
                <c:pt idx="205">
                  <c:v>2.11</c:v>
                </c:pt>
                <c:pt idx="206">
                  <c:v>2.11</c:v>
                </c:pt>
                <c:pt idx="207">
                  <c:v>2.11</c:v>
                </c:pt>
                <c:pt idx="208">
                  <c:v>2.11</c:v>
                </c:pt>
                <c:pt idx="209">
                  <c:v>2.11</c:v>
                </c:pt>
                <c:pt idx="210">
                  <c:v>2.11</c:v>
                </c:pt>
                <c:pt idx="211">
                  <c:v>1.85</c:v>
                </c:pt>
                <c:pt idx="212">
                  <c:v>1.85</c:v>
                </c:pt>
                <c:pt idx="213">
                  <c:v>1.85</c:v>
                </c:pt>
                <c:pt idx="214">
                  <c:v>1.85</c:v>
                </c:pt>
                <c:pt idx="215">
                  <c:v>1.74</c:v>
                </c:pt>
                <c:pt idx="216">
                  <c:v>1.74</c:v>
                </c:pt>
                <c:pt idx="217">
                  <c:v>1.74</c:v>
                </c:pt>
                <c:pt idx="218">
                  <c:v>1.74</c:v>
                </c:pt>
                <c:pt idx="219">
                  <c:v>1.74</c:v>
                </c:pt>
                <c:pt idx="220">
                  <c:v>1.74</c:v>
                </c:pt>
                <c:pt idx="221">
                  <c:v>1.74</c:v>
                </c:pt>
                <c:pt idx="222">
                  <c:v>1.74</c:v>
                </c:pt>
                <c:pt idx="223">
                  <c:v>1.74</c:v>
                </c:pt>
                <c:pt idx="224">
                  <c:v>1.74</c:v>
                </c:pt>
                <c:pt idx="225">
                  <c:v>1.74</c:v>
                </c:pt>
                <c:pt idx="226">
                  <c:v>1.74</c:v>
                </c:pt>
                <c:pt idx="227">
                  <c:v>1.74</c:v>
                </c:pt>
                <c:pt idx="228">
                  <c:v>1.74</c:v>
                </c:pt>
                <c:pt idx="229">
                  <c:v>1.74</c:v>
                </c:pt>
                <c:pt idx="230">
                  <c:v>1.74</c:v>
                </c:pt>
                <c:pt idx="231">
                  <c:v>1.74</c:v>
                </c:pt>
                <c:pt idx="232">
                  <c:v>1.74</c:v>
                </c:pt>
                <c:pt idx="233">
                  <c:v>1.79</c:v>
                </c:pt>
                <c:pt idx="234">
                  <c:v>1.79</c:v>
                </c:pt>
                <c:pt idx="235">
                  <c:v>1.79</c:v>
                </c:pt>
                <c:pt idx="236">
                  <c:v>1.79</c:v>
                </c:pt>
                <c:pt idx="237">
                  <c:v>1.83</c:v>
                </c:pt>
                <c:pt idx="238">
                  <c:v>1.83</c:v>
                </c:pt>
                <c:pt idx="239">
                  <c:v>1.83</c:v>
                </c:pt>
                <c:pt idx="240">
                  <c:v>1.83</c:v>
                </c:pt>
                <c:pt idx="241">
                  <c:v>2.11</c:v>
                </c:pt>
                <c:pt idx="242">
                  <c:v>2.11</c:v>
                </c:pt>
                <c:pt idx="243">
                  <c:v>2.11</c:v>
                </c:pt>
                <c:pt idx="244">
                  <c:v>2.11</c:v>
                </c:pt>
                <c:pt idx="245">
                  <c:v>2.11</c:v>
                </c:pt>
                <c:pt idx="246">
                  <c:v>2.71</c:v>
                </c:pt>
                <c:pt idx="247">
                  <c:v>2.71</c:v>
                </c:pt>
                <c:pt idx="248">
                  <c:v>2.71</c:v>
                </c:pt>
                <c:pt idx="249">
                  <c:v>2.71</c:v>
                </c:pt>
                <c:pt idx="250">
                  <c:v>3.12</c:v>
                </c:pt>
                <c:pt idx="251">
                  <c:v>3.12</c:v>
                </c:pt>
                <c:pt idx="252">
                  <c:v>3.12</c:v>
                </c:pt>
                <c:pt idx="253">
                  <c:v>3.12</c:v>
                </c:pt>
                <c:pt idx="254">
                  <c:v>3.33</c:v>
                </c:pt>
                <c:pt idx="255">
                  <c:v>3.33</c:v>
                </c:pt>
                <c:pt idx="256">
                  <c:v>3.33</c:v>
                </c:pt>
                <c:pt idx="257">
                  <c:v>3.33</c:v>
                </c:pt>
                <c:pt idx="258">
                  <c:v>3.33</c:v>
                </c:pt>
                <c:pt idx="259">
                  <c:v>3.49</c:v>
                </c:pt>
                <c:pt idx="260">
                  <c:v>3.49</c:v>
                </c:pt>
                <c:pt idx="261">
                  <c:v>3.49</c:v>
                </c:pt>
                <c:pt idx="262">
                  <c:v>3.49</c:v>
                </c:pt>
                <c:pt idx="263">
                  <c:v>4.12</c:v>
                </c:pt>
                <c:pt idx="264">
                  <c:v>4.12</c:v>
                </c:pt>
                <c:pt idx="265">
                  <c:v>4.12</c:v>
                </c:pt>
                <c:pt idx="266">
                  <c:v>4.12</c:v>
                </c:pt>
                <c:pt idx="267">
                  <c:v>4.12</c:v>
                </c:pt>
                <c:pt idx="268">
                  <c:v>4.12</c:v>
                </c:pt>
                <c:pt idx="269">
                  <c:v>4.12</c:v>
                </c:pt>
                <c:pt idx="270">
                  <c:v>4.12</c:v>
                </c:pt>
                <c:pt idx="271">
                  <c:v>4.12</c:v>
                </c:pt>
                <c:pt idx="272">
                  <c:v>4.12</c:v>
                </c:pt>
                <c:pt idx="273">
                  <c:v>4.12</c:v>
                </c:pt>
                <c:pt idx="274">
                  <c:v>4.12</c:v>
                </c:pt>
                <c:pt idx="275">
                  <c:v>4.12</c:v>
                </c:pt>
                <c:pt idx="276">
                  <c:v>4.22</c:v>
                </c:pt>
                <c:pt idx="277">
                  <c:v>4.22</c:v>
                </c:pt>
                <c:pt idx="278">
                  <c:v>4.22</c:v>
                </c:pt>
                <c:pt idx="279">
                  <c:v>4.22</c:v>
                </c:pt>
                <c:pt idx="280">
                  <c:v>4.22</c:v>
                </c:pt>
                <c:pt idx="281">
                  <c:v>4.22</c:v>
                </c:pt>
                <c:pt idx="282">
                  <c:v>4.22</c:v>
                </c:pt>
                <c:pt idx="283">
                  <c:v>4.22</c:v>
                </c:pt>
                <c:pt idx="284">
                  <c:v>4.22</c:v>
                </c:pt>
                <c:pt idx="285">
                  <c:v>4.15</c:v>
                </c:pt>
                <c:pt idx="286">
                  <c:v>4.15</c:v>
                </c:pt>
                <c:pt idx="287">
                  <c:v>4.15</c:v>
                </c:pt>
                <c:pt idx="288">
                  <c:v>4.15</c:v>
                </c:pt>
                <c:pt idx="289">
                  <c:v>3.92</c:v>
                </c:pt>
                <c:pt idx="290">
                  <c:v>3.92</c:v>
                </c:pt>
                <c:pt idx="291">
                  <c:v>3.92</c:v>
                </c:pt>
                <c:pt idx="292">
                  <c:v>3.92</c:v>
                </c:pt>
                <c:pt idx="293">
                  <c:v>3.92</c:v>
                </c:pt>
                <c:pt idx="294">
                  <c:v>3.72</c:v>
                </c:pt>
                <c:pt idx="295">
                  <c:v>3.72</c:v>
                </c:pt>
                <c:pt idx="296">
                  <c:v>3.72</c:v>
                </c:pt>
                <c:pt idx="297">
                  <c:v>3.72</c:v>
                </c:pt>
                <c:pt idx="298">
                  <c:v>3.09</c:v>
                </c:pt>
                <c:pt idx="299">
                  <c:v>3.09</c:v>
                </c:pt>
                <c:pt idx="300">
                  <c:v>3.09</c:v>
                </c:pt>
                <c:pt idx="301">
                  <c:v>3.09</c:v>
                </c:pt>
                <c:pt idx="302">
                  <c:v>2.6</c:v>
                </c:pt>
                <c:pt idx="303">
                  <c:v>2.6</c:v>
                </c:pt>
                <c:pt idx="304">
                  <c:v>2.6</c:v>
                </c:pt>
                <c:pt idx="305">
                  <c:v>2.6</c:v>
                </c:pt>
                <c:pt idx="306">
                  <c:v>2.6</c:v>
                </c:pt>
                <c:pt idx="307">
                  <c:v>2.52</c:v>
                </c:pt>
                <c:pt idx="308">
                  <c:v>2.52</c:v>
                </c:pt>
                <c:pt idx="309">
                  <c:v>2.52</c:v>
                </c:pt>
                <c:pt idx="310">
                  <c:v>2.52</c:v>
                </c:pt>
                <c:pt idx="311">
                  <c:v>2.47</c:v>
                </c:pt>
                <c:pt idx="312">
                  <c:v>2.47</c:v>
                </c:pt>
                <c:pt idx="313">
                  <c:v>2.47</c:v>
                </c:pt>
                <c:pt idx="314">
                  <c:v>2.47</c:v>
                </c:pt>
                <c:pt idx="315">
                  <c:v>2.72</c:v>
                </c:pt>
                <c:pt idx="316">
                  <c:v>2.72</c:v>
                </c:pt>
                <c:pt idx="317">
                  <c:v>2.72</c:v>
                </c:pt>
                <c:pt idx="318">
                  <c:v>2.72</c:v>
                </c:pt>
                <c:pt idx="319">
                  <c:v>2.72</c:v>
                </c:pt>
                <c:pt idx="320">
                  <c:v>2.99</c:v>
                </c:pt>
                <c:pt idx="321">
                  <c:v>2.99</c:v>
                </c:pt>
                <c:pt idx="322">
                  <c:v>2.99</c:v>
                </c:pt>
                <c:pt idx="323">
                  <c:v>2.99</c:v>
                </c:pt>
                <c:pt idx="324">
                  <c:v>3.07</c:v>
                </c:pt>
                <c:pt idx="325">
                  <c:v>3.07</c:v>
                </c:pt>
                <c:pt idx="326">
                  <c:v>3.07</c:v>
                </c:pt>
                <c:pt idx="327">
                  <c:v>3.07</c:v>
                </c:pt>
                <c:pt idx="328">
                  <c:v>3.13</c:v>
                </c:pt>
                <c:pt idx="329">
                  <c:v>3.13</c:v>
                </c:pt>
                <c:pt idx="330">
                  <c:v>3.13</c:v>
                </c:pt>
                <c:pt idx="331">
                  <c:v>3.13</c:v>
                </c:pt>
                <c:pt idx="332">
                  <c:v>3.13</c:v>
                </c:pt>
                <c:pt idx="333">
                  <c:v>3.26</c:v>
                </c:pt>
                <c:pt idx="334">
                  <c:v>3.26</c:v>
                </c:pt>
                <c:pt idx="335">
                  <c:v>3.26</c:v>
                </c:pt>
                <c:pt idx="336">
                  <c:v>3.26</c:v>
                </c:pt>
                <c:pt idx="337">
                  <c:v>3.37</c:v>
                </c:pt>
                <c:pt idx="338">
                  <c:v>3.37</c:v>
                </c:pt>
                <c:pt idx="339">
                  <c:v>3.37</c:v>
                </c:pt>
                <c:pt idx="340">
                  <c:v>3.37</c:v>
                </c:pt>
                <c:pt idx="341">
                  <c:v>3.48</c:v>
                </c:pt>
                <c:pt idx="342">
                  <c:v>3.48</c:v>
                </c:pt>
                <c:pt idx="343">
                  <c:v>3.48</c:v>
                </c:pt>
                <c:pt idx="344">
                  <c:v>3.48</c:v>
                </c:pt>
                <c:pt idx="345">
                  <c:v>3.48</c:v>
                </c:pt>
                <c:pt idx="346">
                  <c:v>5.12</c:v>
                </c:pt>
                <c:pt idx="347">
                  <c:v>5.12</c:v>
                </c:pt>
                <c:pt idx="348">
                  <c:v>5.12</c:v>
                </c:pt>
                <c:pt idx="349">
                  <c:v>5.12</c:v>
                </c:pt>
                <c:pt idx="350">
                  <c:v>8.48</c:v>
                </c:pt>
                <c:pt idx="351">
                  <c:v>8.48</c:v>
                </c:pt>
                <c:pt idx="352">
                  <c:v>8.48</c:v>
                </c:pt>
                <c:pt idx="353">
                  <c:v>8.48</c:v>
                </c:pt>
                <c:pt idx="354">
                  <c:v>12.16</c:v>
                </c:pt>
                <c:pt idx="355">
                  <c:v>12.16</c:v>
                </c:pt>
                <c:pt idx="356">
                  <c:v>12.16</c:v>
                </c:pt>
                <c:pt idx="357">
                  <c:v>12.16</c:v>
                </c:pt>
                <c:pt idx="358">
                  <c:v>12.16</c:v>
                </c:pt>
                <c:pt idx="359">
                  <c:v>16.14</c:v>
                </c:pt>
                <c:pt idx="360">
                  <c:v>16.14</c:v>
                </c:pt>
                <c:pt idx="361">
                  <c:v>16.14</c:v>
                </c:pt>
                <c:pt idx="362">
                  <c:v>16.14</c:v>
                </c:pt>
                <c:pt idx="363">
                  <c:v>19.98</c:v>
                </c:pt>
                <c:pt idx="364">
                  <c:v>19.98</c:v>
                </c:pt>
                <c:pt idx="365">
                  <c:v>19.98</c:v>
                </c:pt>
                <c:pt idx="366">
                  <c:v>23.69</c:v>
                </c:pt>
                <c:pt idx="367">
                  <c:v>23.69</c:v>
                </c:pt>
                <c:pt idx="368">
                  <c:v>23.69</c:v>
                </c:pt>
                <c:pt idx="369">
                  <c:v>23.69</c:v>
                </c:pt>
                <c:pt idx="370">
                  <c:v>23.69</c:v>
                </c:pt>
                <c:pt idx="371">
                  <c:v>24.87</c:v>
                </c:pt>
                <c:pt idx="372">
                  <c:v>24.87</c:v>
                </c:pt>
                <c:pt idx="373">
                  <c:v>24.87</c:v>
                </c:pt>
                <c:pt idx="374">
                  <c:v>24.87</c:v>
                </c:pt>
                <c:pt idx="375">
                  <c:v>25.46</c:v>
                </c:pt>
                <c:pt idx="376">
                  <c:v>25.46</c:v>
                </c:pt>
                <c:pt idx="377">
                  <c:v>25.46</c:v>
                </c:pt>
                <c:pt idx="378">
                  <c:v>25.46</c:v>
                </c:pt>
                <c:pt idx="379">
                  <c:v>#N/A</c:v>
                </c:pt>
              </c:numCache>
            </c:numRef>
          </c:val>
          <c:smooth val="0"/>
        </c:ser>
        <c:dLbls>
          <c:showLegendKey val="0"/>
          <c:showVal val="0"/>
          <c:showCatName val="0"/>
          <c:showSerName val="0"/>
          <c:showPercent val="0"/>
          <c:showBubbleSize val="0"/>
        </c:dLbls>
        <c:marker val="0"/>
        <c:smooth val="0"/>
        <c:axId val="1725516239"/>
        <c:axId val="1527998815"/>
      </c:lineChart>
      <c:dateAx>
        <c:axId val="1725516239"/>
        <c:scaling>
          <c:orientation val="minMax"/>
          <c:min val="43466"/>
        </c:scaling>
        <c:delete val="0"/>
        <c:axPos val="b"/>
        <c:majorGridlines>
          <c:spPr>
            <a:ln w="12700" cap="flat" cmpd="sng" algn="ctr">
              <a:solidFill>
                <a:schemeClr val="tx1">
                  <a:tint val="75000"/>
                </a:schemeClr>
              </a:solidFill>
              <a:prstDash val="dash"/>
              <a:round/>
            </a:ln>
          </c:spPr>
        </c:majorGridlines>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527998815"/>
        <c:crosses val="autoZero"/>
        <c:auto val="1"/>
        <c:lblOffset val="100"/>
        <c:baseTimeUnit val="days"/>
        <c:majorUnit val="3"/>
        <c:majorTimeUnit val="months"/>
      </c:dateAx>
      <c:valAx>
        <c:axId val="1527998815"/>
        <c:scaling>
          <c:orientation val="minMax"/>
        </c:scaling>
        <c:delete val="0"/>
        <c:axPos val="l"/>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_(* #,##0_);_(* \(#,##0\);_(* &quot;-&quot;_);_(@_)"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25516239"/>
        <c:crosses val="autoZero"/>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577e32e0-3a2d-4e0b-8cc7-7920089ed07b}"/>
      </c:ext>
    </c:extLst>
  </c:chart>
  <c:spPr>
    <a:ln w="3175" cap="flat" cmpd="sng" algn="ctr">
      <a:solidFill>
        <a:srgbClr val="FEFFFF"/>
      </a:solidFill>
      <a:prstDash val="solid"/>
      <a:round/>
    </a:ln>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NAND Wafer</a:t>
            </a:r>
            <a:r>
              <a:rPr lang="en-US" baseline="0"/>
              <a:t> (</a:t>
            </a:r>
            <a:r>
              <a:rPr lang="en-US"/>
              <a:t>3D </a:t>
            </a:r>
            <a:r>
              <a:rPr lang="en-US" sz="1000" b="1" i="0" u="none" strike="noStrike" baseline="0">
                <a:effectLst/>
              </a:rPr>
              <a:t>TLC </a:t>
            </a:r>
            <a:r>
              <a:rPr lang="en-US" altLang="zh-CN" sz="1000" b="1" i="0" u="none" strike="noStrike" baseline="0">
                <a:effectLst/>
              </a:rPr>
              <a:t>256Gb)</a:t>
            </a:r>
            <a:r>
              <a:rPr lang="en-US"/>
              <a:t> Contract Price &amp; MoM</a:t>
            </a:r>
            <a:endParaRPr lang="en-US"/>
          </a:p>
        </c:rich>
      </c:tx>
      <c:layout/>
      <c:overlay val="0"/>
    </c:title>
    <c:autoTitleDeleted val="0"/>
    <c:plotArea>
      <c:layout/>
      <c:barChart>
        <c:barDir val="col"/>
        <c:grouping val="clustered"/>
        <c:varyColors val="0"/>
        <c:ser>
          <c:idx val="0"/>
          <c:order val="0"/>
          <c:tx>
            <c:strRef>
              <c:f>NAND!$AM$25</c:f>
              <c:strCache>
                <c:ptCount val="1"/>
                <c:pt idx="0">
                  <c:v>Price</c:v>
                </c:pt>
              </c:strCache>
            </c:strRef>
          </c:tx>
          <c:spPr>
            <a:ln w="12700">
              <a:solidFill>
                <a:srgbClr val="000000"/>
              </a:solidFill>
              <a:prstDash val="solid"/>
            </a:ln>
          </c:spPr>
          <c:invertIfNegative val="0"/>
          <c:dLbls>
            <c:delete val="1"/>
          </c:dLbls>
          <c:cat>
            <c:numRef>
              <c:f>NAND!$AL$43:$AL$89</c:f>
              <c:numCache>
                <c:formatCode>yyyy/m/d</c:formatCode>
                <c:ptCount val="47"/>
                <c:pt idx="0" c:formatCode="yyyy/m/d">
                  <c:v>43496</c:v>
                </c:pt>
                <c:pt idx="1" c:formatCode="yyyy/m/d">
                  <c:v>43524</c:v>
                </c:pt>
                <c:pt idx="2" c:formatCode="yyyy/m/d">
                  <c:v>43555</c:v>
                </c:pt>
                <c:pt idx="3" c:formatCode="yyyy/m/d">
                  <c:v>43585</c:v>
                </c:pt>
                <c:pt idx="4" c:formatCode="yyyy/m/d">
                  <c:v>43616</c:v>
                </c:pt>
                <c:pt idx="5" c:formatCode="yyyy/m/d">
                  <c:v>43646</c:v>
                </c:pt>
                <c:pt idx="6" c:formatCode="yyyy/m/d">
                  <c:v>43677</c:v>
                </c:pt>
                <c:pt idx="7" c:formatCode="yyyy/m/d">
                  <c:v>43708</c:v>
                </c:pt>
                <c:pt idx="8" c:formatCode="yyyy/m/d">
                  <c:v>43738</c:v>
                </c:pt>
                <c:pt idx="9" c:formatCode="yyyy/m/d">
                  <c:v>43769</c:v>
                </c:pt>
                <c:pt idx="10" c:formatCode="yyyy/m/d">
                  <c:v>43799</c:v>
                </c:pt>
                <c:pt idx="11" c:formatCode="yyyy/m/d">
                  <c:v>43830</c:v>
                </c:pt>
                <c:pt idx="12" c:formatCode="yyyy/m/d">
                  <c:v>43861</c:v>
                </c:pt>
                <c:pt idx="13" c:formatCode="yyyy/m/d">
                  <c:v>43890</c:v>
                </c:pt>
                <c:pt idx="14" c:formatCode="yyyy/m/d">
                  <c:v>43921</c:v>
                </c:pt>
                <c:pt idx="15" c:formatCode="yyyy/m/d">
                  <c:v>43951</c:v>
                </c:pt>
                <c:pt idx="16" c:formatCode="yyyy/m/d">
                  <c:v>43982</c:v>
                </c:pt>
                <c:pt idx="17" c:formatCode="yyyy/m/d">
                  <c:v>44012</c:v>
                </c:pt>
                <c:pt idx="18" c:formatCode="yyyy/m/d">
                  <c:v>44043</c:v>
                </c:pt>
                <c:pt idx="19" c:formatCode="yyyy/m/d">
                  <c:v>44074</c:v>
                </c:pt>
                <c:pt idx="20" c:formatCode="yyyy/m/d">
                  <c:v>44104</c:v>
                </c:pt>
                <c:pt idx="21" c:formatCode="yyyy/m/d">
                  <c:v>44135</c:v>
                </c:pt>
                <c:pt idx="22" c:formatCode="yyyy/m/d">
                  <c:v>44165</c:v>
                </c:pt>
                <c:pt idx="23" c:formatCode="yyyy/m/d">
                  <c:v>44196</c:v>
                </c:pt>
                <c:pt idx="24" c:formatCode="yyyy/m/d">
                  <c:v>44227</c:v>
                </c:pt>
                <c:pt idx="25" c:formatCode="yyyy/m/d">
                  <c:v>44255</c:v>
                </c:pt>
                <c:pt idx="26" c:formatCode="yyyy/m/d">
                  <c:v>44286</c:v>
                </c:pt>
                <c:pt idx="27" c:formatCode="yyyy/m/d">
                  <c:v>44316</c:v>
                </c:pt>
                <c:pt idx="28" c:formatCode="yyyy/m/d">
                  <c:v>44347</c:v>
                </c:pt>
                <c:pt idx="29" c:formatCode="yyyy/m/d">
                  <c:v>44377</c:v>
                </c:pt>
                <c:pt idx="30" c:formatCode="yyyy/m/d">
                  <c:v>44408</c:v>
                </c:pt>
                <c:pt idx="31" c:formatCode="yyyy/m/d">
                  <c:v>44439</c:v>
                </c:pt>
                <c:pt idx="32" c:formatCode="yyyy/m/d">
                  <c:v>44469</c:v>
                </c:pt>
                <c:pt idx="33" c:formatCode="yyyy/m/d">
                  <c:v>44500</c:v>
                </c:pt>
                <c:pt idx="34" c:formatCode="yyyy/m/d">
                  <c:v>44530</c:v>
                </c:pt>
                <c:pt idx="35" c:formatCode="yyyy/m/d">
                  <c:v>44561</c:v>
                </c:pt>
                <c:pt idx="36" c:formatCode="yyyy/m/d">
                  <c:v>44592</c:v>
                </c:pt>
                <c:pt idx="37" c:formatCode="yyyy/m/d">
                  <c:v>44620</c:v>
                </c:pt>
                <c:pt idx="38" c:formatCode="yyyy/m/d">
                  <c:v>44651</c:v>
                </c:pt>
                <c:pt idx="39" c:formatCode="yyyy/m/d">
                  <c:v>44681</c:v>
                </c:pt>
                <c:pt idx="40" c:formatCode="yyyy/m/d">
                  <c:v>44712</c:v>
                </c:pt>
                <c:pt idx="41" c:formatCode="yyyy/m/d">
                  <c:v>44742</c:v>
                </c:pt>
                <c:pt idx="42" c:formatCode="yyyy/m/d">
                  <c:v>44773</c:v>
                </c:pt>
                <c:pt idx="43" c:formatCode="yyyy/m/d">
                  <c:v>44804</c:v>
                </c:pt>
                <c:pt idx="44" c:formatCode="yyyy/m/d">
                  <c:v>44834</c:v>
                </c:pt>
                <c:pt idx="45" c:formatCode="yyyy/m/d">
                  <c:v>44865</c:v>
                </c:pt>
                <c:pt idx="46" c:formatCode="yyyy/m/d">
                  <c:v>44895</c:v>
                </c:pt>
              </c:numCache>
            </c:numRef>
          </c:cat>
          <c:val>
            <c:numRef>
              <c:f>NAND!$AR$43:$AR$89</c:f>
              <c:numCache>
                <c:formatCode>#,##0.000</c:formatCode>
                <c:ptCount val="47"/>
                <c:pt idx="0">
                  <c:v>0.0809375</c:v>
                </c:pt>
                <c:pt idx="1">
                  <c:v>0.07625</c:v>
                </c:pt>
                <c:pt idx="2">
                  <c:v>0.0684375</c:v>
                </c:pt>
                <c:pt idx="3">
                  <c:v>0.063125</c:v>
                </c:pt>
                <c:pt idx="4">
                  <c:v>0.0609375</c:v>
                </c:pt>
                <c:pt idx="5">
                  <c:v>0.06</c:v>
                </c:pt>
                <c:pt idx="6">
                  <c:v>0.070625</c:v>
                </c:pt>
                <c:pt idx="7">
                  <c:v>0.0734375</c:v>
                </c:pt>
                <c:pt idx="8">
                  <c:v>0.0734375</c:v>
                </c:pt>
                <c:pt idx="9">
                  <c:v>0.073125</c:v>
                </c:pt>
                <c:pt idx="10">
                  <c:v>0.07375</c:v>
                </c:pt>
                <c:pt idx="11">
                  <c:v>0.084375</c:v>
                </c:pt>
                <c:pt idx="12">
                  <c:v>0.0915625</c:v>
                </c:pt>
                <c:pt idx="13">
                  <c:v>0.0959375</c:v>
                </c:pt>
                <c:pt idx="14">
                  <c:v>0.0971875</c:v>
                </c:pt>
                <c:pt idx="15">
                  <c:v>0.0971875</c:v>
                </c:pt>
                <c:pt idx="16">
                  <c:v>0.0965625</c:v>
                </c:pt>
                <c:pt idx="17">
                  <c:v>0.0965625</c:v>
                </c:pt>
                <c:pt idx="18">
                  <c:v>0.0890625</c:v>
                </c:pt>
                <c:pt idx="19">
                  <c:v>0.079375</c:v>
                </c:pt>
                <c:pt idx="20">
                  <c:v>0.079375</c:v>
                </c:pt>
                <c:pt idx="21">
                  <c:v>0.0784375</c:v>
                </c:pt>
                <c:pt idx="22">
                  <c:v>0.074375</c:v>
                </c:pt>
                <c:pt idx="23">
                  <c:v>0.0734375</c:v>
                </c:pt>
                <c:pt idx="24">
                  <c:v>0.073125</c:v>
                </c:pt>
                <c:pt idx="25">
                  <c:v>0.0775</c:v>
                </c:pt>
                <c:pt idx="26">
                  <c:v>0.07875</c:v>
                </c:pt>
                <c:pt idx="27">
                  <c:v>0.080625</c:v>
                </c:pt>
                <c:pt idx="28">
                  <c:v>0.0825</c:v>
                </c:pt>
                <c:pt idx="29">
                  <c:v>0.085625</c:v>
                </c:pt>
                <c:pt idx="30">
                  <c:v>0.086875</c:v>
                </c:pt>
                <c:pt idx="31">
                  <c:v>0.086875</c:v>
                </c:pt>
                <c:pt idx="32">
                  <c:v>0.0828125</c:v>
                </c:pt>
                <c:pt idx="33">
                  <c:v>0.076875</c:v>
                </c:pt>
                <c:pt idx="34">
                  <c:v>0.0765625</c:v>
                </c:pt>
                <c:pt idx="35">
                  <c:v>0.075625</c:v>
                </c:pt>
                <c:pt idx="36">
                  <c:v>0.075625</c:v>
                </c:pt>
                <c:pt idx="37">
                  <c:v>0.081875</c:v>
                </c:pt>
                <c:pt idx="38">
                  <c:v>0.08375</c:v>
                </c:pt>
                <c:pt idx="39">
                  <c:v>0.08375</c:v>
                </c:pt>
                <c:pt idx="40">
                  <c:v>0.08125</c:v>
                </c:pt>
                <c:pt idx="41">
                  <c:v>0.0721875</c:v>
                </c:pt>
                <c:pt idx="42">
                  <c:v>0.066875</c:v>
                </c:pt>
                <c:pt idx="43">
                  <c:v>0.05375</c:v>
                </c:pt>
                <c:pt idx="44">
                  <c:v>0.048125</c:v>
                </c:pt>
                <c:pt idx="45">
                  <c:v>0.0425</c:v>
                </c:pt>
                <c:pt idx="46">
                  <c:v>0.04</c:v>
                </c:pt>
              </c:numCache>
            </c:numRef>
          </c:val>
        </c:ser>
        <c:dLbls>
          <c:showLegendKey val="0"/>
          <c:showVal val="0"/>
          <c:showCatName val="0"/>
          <c:showSerName val="0"/>
          <c:showPercent val="0"/>
          <c:showBubbleSize val="0"/>
        </c:dLbls>
        <c:gapWidth val="66"/>
        <c:axId val="1428906976"/>
        <c:axId val="1475104800"/>
      </c:barChart>
      <c:lineChart>
        <c:grouping val="standard"/>
        <c:varyColors val="0"/>
        <c:ser>
          <c:idx val="1"/>
          <c:order val="1"/>
          <c:tx>
            <c:strRef>
              <c:f>NAND!$AV$22</c:f>
              <c:strCache>
                <c:ptCount val="1"/>
                <c:pt idx="0">
                  <c:v>MoM</c:v>
                </c:pt>
              </c:strCache>
            </c:strRef>
          </c:tx>
          <c:marker>
            <c:symbol val="square"/>
            <c:size val="3"/>
          </c:marker>
          <c:dLbls>
            <c:delete val="1"/>
          </c:dLbls>
          <c:val>
            <c:numRef>
              <c:f>NAND!$AV$43:$AV$89</c:f>
              <c:numCache>
                <c:formatCode>0%</c:formatCode>
                <c:ptCount val="47"/>
                <c:pt idx="0">
                  <c:v>-0.0371747211895911</c:v>
                </c:pt>
                <c:pt idx="1">
                  <c:v>-0.0579150579150579</c:v>
                </c:pt>
                <c:pt idx="2">
                  <c:v>-0.102459016393443</c:v>
                </c:pt>
                <c:pt idx="3">
                  <c:v>-0.0776255707762556</c:v>
                </c:pt>
                <c:pt idx="4">
                  <c:v>-0.0346534653465347</c:v>
                </c:pt>
                <c:pt idx="5">
                  <c:v>-0.0153846153846154</c:v>
                </c:pt>
                <c:pt idx="6">
                  <c:v>0.177083333333333</c:v>
                </c:pt>
                <c:pt idx="7">
                  <c:v>0.0398230088495577</c:v>
                </c:pt>
                <c:pt idx="8">
                  <c:v>0</c:v>
                </c:pt>
                <c:pt idx="9">
                  <c:v>-0.00425531914893629</c:v>
                </c:pt>
                <c:pt idx="10">
                  <c:v>0.00854700854700852</c:v>
                </c:pt>
                <c:pt idx="11">
                  <c:v>0.14406779661017</c:v>
                </c:pt>
                <c:pt idx="12">
                  <c:v>0.0851851851851853</c:v>
                </c:pt>
                <c:pt idx="13">
                  <c:v>0.0477815699658701</c:v>
                </c:pt>
                <c:pt idx="14">
                  <c:v>0.0130293159609121</c:v>
                </c:pt>
                <c:pt idx="15">
                  <c:v>0</c:v>
                </c:pt>
                <c:pt idx="16">
                  <c:v>-0.00643086816720262</c:v>
                </c:pt>
                <c:pt idx="17">
                  <c:v>0</c:v>
                </c:pt>
                <c:pt idx="18">
                  <c:v>-0.0776699029126213</c:v>
                </c:pt>
                <c:pt idx="19">
                  <c:v>-0.108771929824561</c:v>
                </c:pt>
                <c:pt idx="20">
                  <c:v>0</c:v>
                </c:pt>
                <c:pt idx="21">
                  <c:v>-0.0118110236220473</c:v>
                </c:pt>
                <c:pt idx="22">
                  <c:v>-0.0517928286852589</c:v>
                </c:pt>
                <c:pt idx="23">
                  <c:v>-0.0126050420168067</c:v>
                </c:pt>
                <c:pt idx="24">
                  <c:v>-0.00425531914893629</c:v>
                </c:pt>
                <c:pt idx="25">
                  <c:v>0.0598290598290598</c:v>
                </c:pt>
                <c:pt idx="26">
                  <c:v>0.0161290322580645</c:v>
                </c:pt>
                <c:pt idx="27">
                  <c:v>0.0238095238095237</c:v>
                </c:pt>
                <c:pt idx="28">
                  <c:v>0.0232558139534884</c:v>
                </c:pt>
                <c:pt idx="29">
                  <c:v>0.0378787878787878</c:v>
                </c:pt>
                <c:pt idx="30">
                  <c:v>0.0145985401459852</c:v>
                </c:pt>
                <c:pt idx="31">
                  <c:v>0</c:v>
                </c:pt>
                <c:pt idx="32">
                  <c:v>-0.0467625899280575</c:v>
                </c:pt>
                <c:pt idx="33">
                  <c:v>-0.0716981132075472</c:v>
                </c:pt>
                <c:pt idx="34">
                  <c:v>-0.00406504065040647</c:v>
                </c:pt>
                <c:pt idx="35">
                  <c:v>-0.0122448979591838</c:v>
                </c:pt>
                <c:pt idx="36">
                  <c:v>0</c:v>
                </c:pt>
                <c:pt idx="37">
                  <c:v>0.0826446280991737</c:v>
                </c:pt>
                <c:pt idx="38">
                  <c:v>0.0229007633587786</c:v>
                </c:pt>
                <c:pt idx="39">
                  <c:v>0</c:v>
                </c:pt>
                <c:pt idx="40">
                  <c:v>-0.0298507462686567</c:v>
                </c:pt>
                <c:pt idx="41">
                  <c:v>-0.111538461538462</c:v>
                </c:pt>
                <c:pt idx="42" c:formatCode="0.0%">
                  <c:v>-0.0735930735930735</c:v>
                </c:pt>
                <c:pt idx="43" c:formatCode="0.0%">
                  <c:v>-0.196261682242991</c:v>
                </c:pt>
                <c:pt idx="44" c:formatCode="0.0%">
                  <c:v>-0.104651162790698</c:v>
                </c:pt>
                <c:pt idx="45" c:formatCode="0.0%">
                  <c:v>-0.116883116883117</c:v>
                </c:pt>
                <c:pt idx="46" c:formatCode="0.0%">
                  <c:v>-0.0588235294117647</c:v>
                </c:pt>
              </c:numCache>
            </c:numRef>
          </c:val>
          <c:smooth val="0"/>
        </c:ser>
        <c:dLbls>
          <c:showLegendKey val="0"/>
          <c:showVal val="0"/>
          <c:showCatName val="0"/>
          <c:showSerName val="0"/>
          <c:showPercent val="0"/>
          <c:showBubbleSize val="0"/>
        </c:dLbls>
        <c:marker val="1"/>
        <c:smooth val="0"/>
        <c:axId val="1481768320"/>
        <c:axId val="1071090016"/>
      </c:lineChart>
      <c:dateAx>
        <c:axId val="1428906976"/>
        <c:scaling>
          <c:orientation val="minMax"/>
        </c:scaling>
        <c:delete val="0"/>
        <c:axPos val="b"/>
        <c:majorGridlines>
          <c:spPr>
            <a:ln w="12700" cap="flat" cmpd="sng" algn="ctr">
              <a:solidFill>
                <a:schemeClr val="tx1">
                  <a:tint val="75000"/>
                </a:schemeClr>
              </a:solidFill>
              <a:prstDash val="dash"/>
              <a:round/>
            </a:ln>
          </c:spPr>
        </c:majorGridlines>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475104800"/>
        <c:crosses val="autoZero"/>
        <c:auto val="1"/>
        <c:lblOffset val="100"/>
        <c:baseTimeUnit val="months"/>
        <c:majorUnit val="3"/>
        <c:majorTimeUnit val="months"/>
      </c:dateAx>
      <c:valAx>
        <c:axId val="1475104800"/>
        <c:scaling>
          <c:orientation val="minMax"/>
          <c:max val="0.1"/>
        </c:scaling>
        <c:delete val="0"/>
        <c:axPos val="l"/>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US$/GB</a:t>
                </a:r>
                <a:endParaRPr lang="en-US"/>
              </a:p>
            </c:rich>
          </c:tx>
          <c:layout/>
          <c:overlay val="0"/>
        </c:title>
        <c:numFmt formatCode="#,##0.0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428906976"/>
        <c:crosses val="autoZero"/>
        <c:crossBetween val="between"/>
        <c:majorUnit val="0.02"/>
      </c:valAx>
      <c:catAx>
        <c:axId val="1481768320"/>
        <c:scaling>
          <c:orientation val="minMax"/>
        </c:scaling>
        <c:delete val="1"/>
        <c:axPos val="b"/>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071090016"/>
        <c:crosses val="autoZero"/>
        <c:auto val="1"/>
        <c:lblAlgn val="ctr"/>
        <c:lblOffset val="100"/>
        <c:noMultiLvlLbl val="0"/>
      </c:catAx>
      <c:valAx>
        <c:axId val="1071090016"/>
        <c:scaling>
          <c:orientation val="minMax"/>
          <c:max val="0.15"/>
        </c:scaling>
        <c:delete val="0"/>
        <c:axPos val="r"/>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MoM</a:t>
                </a:r>
                <a:endParaRPr lang="en-US"/>
              </a:p>
            </c:rich>
          </c:tx>
          <c:layout/>
          <c:overlay val="0"/>
        </c:title>
        <c:numFmt formatCode="0%" sourceLinked="1"/>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481768320"/>
        <c:crosses val="max"/>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fd9b05ea-a983-486d-a017-83315c1b5792}"/>
      </c:ext>
    </c:extLst>
  </c:chart>
  <c:spPr>
    <a:ln w="3175" cap="flat" cmpd="sng" algn="ctr">
      <a:solidFill>
        <a:srgbClr val="FFFFFF"/>
      </a:solidFill>
      <a:prstDash val="solid"/>
      <a:round/>
    </a:ln>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sz="1000" b="1" i="0" u="none" strike="noStrike" baseline="0">
                <a:effectLst/>
              </a:rPr>
              <a:t>NAND TLC Wafer </a:t>
            </a:r>
            <a:r>
              <a:rPr lang="en-US"/>
              <a:t>Contract Price &amp; MoM </a:t>
            </a:r>
            <a:endParaRPr lang="en-US"/>
          </a:p>
        </c:rich>
      </c:tx>
      <c:layout/>
      <c:overlay val="0"/>
    </c:title>
    <c:autoTitleDeleted val="0"/>
    <c:plotArea>
      <c:layout>
        <c:manualLayout>
          <c:layoutTarget val="inner"/>
          <c:xMode val="edge"/>
          <c:yMode val="edge"/>
          <c:x val="0.085334634649862"/>
          <c:y val="0.158453277374631"/>
          <c:w val="0.835483534647469"/>
          <c:h val="0.556744551584845"/>
        </c:manualLayout>
      </c:layout>
      <c:barChart>
        <c:barDir val="col"/>
        <c:grouping val="clustered"/>
        <c:varyColors val="0"/>
        <c:ser>
          <c:idx val="0"/>
          <c:order val="0"/>
          <c:tx>
            <c:strRef>
              <c:f>NAND!$AS$23</c:f>
              <c:strCache>
                <c:ptCount val="1"/>
                <c:pt idx="0">
                  <c:v>3D TLC 512Gb</c:v>
                </c:pt>
              </c:strCache>
            </c:strRef>
          </c:tx>
          <c:spPr>
            <a:solidFill>
              <a:schemeClr val="accent1"/>
            </a:solidFill>
            <a:ln w="12700">
              <a:noFill/>
              <a:prstDash val="solid"/>
            </a:ln>
          </c:spPr>
          <c:invertIfNegative val="0"/>
          <c:dLbls>
            <c:delete val="1"/>
          </c:dLbls>
          <c:cat>
            <c:numRef>
              <c:f>NAND!$AK$43:$AK$201</c:f>
              <c:numCache>
                <c:formatCode>[$-409]mmm\-yy;@</c:formatCode>
                <c:ptCount val="159"/>
                <c:pt idx="0" c:formatCode="[$-409]mmm\-yy;@">
                  <c:v>43496</c:v>
                </c:pt>
                <c:pt idx="1" c:formatCode="[$-409]mmm\-yy;@">
                  <c:v>43524</c:v>
                </c:pt>
                <c:pt idx="2" c:formatCode="[$-409]mmm\-yy;@">
                  <c:v>43555</c:v>
                </c:pt>
                <c:pt idx="3" c:formatCode="[$-409]mmm\-yy;@">
                  <c:v>43585</c:v>
                </c:pt>
                <c:pt idx="4" c:formatCode="[$-409]mmm\-yy;@">
                  <c:v>43616</c:v>
                </c:pt>
                <c:pt idx="5" c:formatCode="[$-409]mmm\-yy;@">
                  <c:v>43646</c:v>
                </c:pt>
                <c:pt idx="6" c:formatCode="[$-409]mmm\-yy;@">
                  <c:v>43677</c:v>
                </c:pt>
                <c:pt idx="7" c:formatCode="[$-409]mmm\-yy;@">
                  <c:v>43708</c:v>
                </c:pt>
                <c:pt idx="8" c:formatCode="[$-409]mmm\-yy;@">
                  <c:v>43738</c:v>
                </c:pt>
                <c:pt idx="9" c:formatCode="[$-409]mmm\-yy;@">
                  <c:v>43769</c:v>
                </c:pt>
                <c:pt idx="10" c:formatCode="[$-409]mmm\-yy;@">
                  <c:v>43799</c:v>
                </c:pt>
                <c:pt idx="11" c:formatCode="[$-409]mmm\-yy;@">
                  <c:v>43830</c:v>
                </c:pt>
                <c:pt idx="12" c:formatCode="[$-409]mmm\-yy;@">
                  <c:v>43861</c:v>
                </c:pt>
                <c:pt idx="13" c:formatCode="[$-409]mmm\-yy;@">
                  <c:v>43890</c:v>
                </c:pt>
                <c:pt idx="14" c:formatCode="[$-409]mmm\-yy;@">
                  <c:v>43921</c:v>
                </c:pt>
                <c:pt idx="15" c:formatCode="[$-409]mmm\-yy;@">
                  <c:v>43951</c:v>
                </c:pt>
                <c:pt idx="16" c:formatCode="[$-409]mmm\-yy;@">
                  <c:v>43982</c:v>
                </c:pt>
                <c:pt idx="17" c:formatCode="[$-409]mmm\-yy;@">
                  <c:v>44012</c:v>
                </c:pt>
                <c:pt idx="18" c:formatCode="[$-409]mmm\-yy;@">
                  <c:v>44043</c:v>
                </c:pt>
                <c:pt idx="19" c:formatCode="[$-409]mmm\-yy;@">
                  <c:v>44074</c:v>
                </c:pt>
                <c:pt idx="20" c:formatCode="[$-409]mmm\-yy;@">
                  <c:v>44104</c:v>
                </c:pt>
                <c:pt idx="21" c:formatCode="[$-409]mmm\-yy;@">
                  <c:v>44135</c:v>
                </c:pt>
                <c:pt idx="22" c:formatCode="[$-409]mmm\-yy;@">
                  <c:v>44165</c:v>
                </c:pt>
                <c:pt idx="23" c:formatCode="[$-409]mmm\-yy;@">
                  <c:v>44196</c:v>
                </c:pt>
                <c:pt idx="24" c:formatCode="[$-409]mmm\-yy;@">
                  <c:v>44227</c:v>
                </c:pt>
                <c:pt idx="25" c:formatCode="[$-409]mmm\-yy;@">
                  <c:v>44255</c:v>
                </c:pt>
                <c:pt idx="26" c:formatCode="[$-409]mmm\-yy;@">
                  <c:v>44286</c:v>
                </c:pt>
                <c:pt idx="27" c:formatCode="[$-409]mmm\-yy;@">
                  <c:v>44316</c:v>
                </c:pt>
                <c:pt idx="28" c:formatCode="[$-409]mmm\-yy;@">
                  <c:v>44347</c:v>
                </c:pt>
                <c:pt idx="29" c:formatCode="[$-409]mmm\-yy;@">
                  <c:v>44377</c:v>
                </c:pt>
                <c:pt idx="30" c:formatCode="[$-409]mmm\-yy;@">
                  <c:v>44408</c:v>
                </c:pt>
                <c:pt idx="31" c:formatCode="[$-409]mmm\-yy;@">
                  <c:v>44439</c:v>
                </c:pt>
                <c:pt idx="32" c:formatCode="[$-409]mmm\-yy;@">
                  <c:v>44469</c:v>
                </c:pt>
                <c:pt idx="33" c:formatCode="[$-409]mmm\-yy;@">
                  <c:v>44500</c:v>
                </c:pt>
                <c:pt idx="34" c:formatCode="[$-409]mmm\-yy;@">
                  <c:v>44530</c:v>
                </c:pt>
                <c:pt idx="35" c:formatCode="[$-409]mmm\-yy;@">
                  <c:v>44561</c:v>
                </c:pt>
                <c:pt idx="36" c:formatCode="[$-409]mmm\-yy;@">
                  <c:v>44592</c:v>
                </c:pt>
                <c:pt idx="37" c:formatCode="[$-409]mmm\-yy;@">
                  <c:v>44620</c:v>
                </c:pt>
                <c:pt idx="38" c:formatCode="[$-409]mmm\-yy;@">
                  <c:v>44651</c:v>
                </c:pt>
                <c:pt idx="39" c:formatCode="[$-409]mmm\-yy;@">
                  <c:v>44681</c:v>
                </c:pt>
                <c:pt idx="40" c:formatCode="[$-409]mmm\-yy;@">
                  <c:v>44712</c:v>
                </c:pt>
                <c:pt idx="41" c:formatCode="[$-409]mmm\-yy;@">
                  <c:v>44742</c:v>
                </c:pt>
                <c:pt idx="42" c:formatCode="[$-409]mmm\-yy;@">
                  <c:v>44773</c:v>
                </c:pt>
                <c:pt idx="43" c:formatCode="[$-409]mmm\-yy;@">
                  <c:v>44804</c:v>
                </c:pt>
                <c:pt idx="44" c:formatCode="[$-409]mmm\-yy;@">
                  <c:v>44834</c:v>
                </c:pt>
                <c:pt idx="45" c:formatCode="[$-409]mmm\-yy;@">
                  <c:v>44865</c:v>
                </c:pt>
                <c:pt idx="46" c:formatCode="[$-409]mmm\-yy;@">
                  <c:v>44895</c:v>
                </c:pt>
                <c:pt idx="47" c:formatCode="[$-409]mmm\-yy;@">
                  <c:v>44926</c:v>
                </c:pt>
                <c:pt idx="48" c:formatCode="[$-409]mmm\-yy;@">
                  <c:v>44957</c:v>
                </c:pt>
                <c:pt idx="49" c:formatCode="[$-409]mmm\-yy;@">
                  <c:v>44985</c:v>
                </c:pt>
                <c:pt idx="50" c:formatCode="[$-409]mmm\-yy;@">
                  <c:v>45016</c:v>
                </c:pt>
                <c:pt idx="51" c:formatCode="[$-409]mmm\-yy;@">
                  <c:v>45046</c:v>
                </c:pt>
                <c:pt idx="52" c:formatCode="[$-409]mmm\-yy;@">
                  <c:v>45077</c:v>
                </c:pt>
                <c:pt idx="53" c:formatCode="[$-409]mmm\-yy;@">
                  <c:v>45107</c:v>
                </c:pt>
                <c:pt idx="54" c:formatCode="[$-409]mmm\-yy;@">
                  <c:v>45138</c:v>
                </c:pt>
                <c:pt idx="55" c:formatCode="[$-409]mmm\-yy;@">
                  <c:v>45169</c:v>
                </c:pt>
                <c:pt idx="56" c:formatCode="[$-409]mmm\-yy;@">
                  <c:v>45199</c:v>
                </c:pt>
                <c:pt idx="57" c:formatCode="[$-409]mmm\-yy;@">
                  <c:v>45230</c:v>
                </c:pt>
                <c:pt idx="58" c:formatCode="[$-409]mmm\-yy;@">
                  <c:v>45260</c:v>
                </c:pt>
                <c:pt idx="59" c:formatCode="[$-409]mmm\-yy;@">
                  <c:v>45291</c:v>
                </c:pt>
                <c:pt idx="60" c:formatCode="[$-409]mmm\-yy;@">
                  <c:v>45322</c:v>
                </c:pt>
                <c:pt idx="61" c:formatCode="[$-409]mmm\-yy;@">
                  <c:v>45351</c:v>
                </c:pt>
                <c:pt idx="62" c:formatCode="[$-409]mmm\-yy;@">
                  <c:v>45382</c:v>
                </c:pt>
                <c:pt idx="63" c:formatCode="[$-409]mmm\-yy;@">
                  <c:v>45412</c:v>
                </c:pt>
                <c:pt idx="64" c:formatCode="[$-409]mmm\-yy;@">
                  <c:v>45443</c:v>
                </c:pt>
                <c:pt idx="65" c:formatCode="[$-409]mmm\-yy;@">
                  <c:v>45473</c:v>
                </c:pt>
                <c:pt idx="66" c:formatCode="[$-409]mmm\-yy;@">
                  <c:v>45504</c:v>
                </c:pt>
                <c:pt idx="67" c:formatCode="[$-409]mmm\-yy;@">
                  <c:v>45535</c:v>
                </c:pt>
                <c:pt idx="68" c:formatCode="[$-409]mmm\-yy;@">
                  <c:v>45565</c:v>
                </c:pt>
                <c:pt idx="69" c:formatCode="[$-409]mmm\-yy;@">
                  <c:v>45596</c:v>
                </c:pt>
                <c:pt idx="70" c:formatCode="[$-409]mmm\-yy;@">
                  <c:v>45626</c:v>
                </c:pt>
                <c:pt idx="71" c:formatCode="[$-409]mmm\-yy;@">
                  <c:v>45657</c:v>
                </c:pt>
                <c:pt idx="72" c:formatCode="[$-409]mmm\-yy;@">
                  <c:v>45688</c:v>
                </c:pt>
                <c:pt idx="73" c:formatCode="[$-409]mmm\-yy;@">
                  <c:v>45716</c:v>
                </c:pt>
                <c:pt idx="74" c:formatCode="[$-409]mmm\-yy;@">
                  <c:v>45747</c:v>
                </c:pt>
                <c:pt idx="75" c:formatCode="[$-409]mmm\-yy;@">
                  <c:v>45777</c:v>
                </c:pt>
                <c:pt idx="76" c:formatCode="[$-409]mmm\-yy;@">
                  <c:v>45808</c:v>
                </c:pt>
                <c:pt idx="77" c:formatCode="[$-409]mmm\-yy;@">
                  <c:v>45838</c:v>
                </c:pt>
                <c:pt idx="78" c:formatCode="[$-409]mmm\-yy;@">
                  <c:v>45869</c:v>
                </c:pt>
                <c:pt idx="79" c:formatCode="[$-409]mmm\-yy;@">
                  <c:v>45900</c:v>
                </c:pt>
                <c:pt idx="80" c:formatCode="[$-409]mmm\-yy;@">
                  <c:v>45930</c:v>
                </c:pt>
                <c:pt idx="81" c:formatCode="[$-409]mmm\-yy;@">
                  <c:v>45961</c:v>
                </c:pt>
                <c:pt idx="82" c:formatCode="[$-409]mmm\-yy;@">
                  <c:v>45991</c:v>
                </c:pt>
                <c:pt idx="83" c:formatCode="[$-409]mmm\-yy;@">
                  <c:v>46022</c:v>
                </c:pt>
                <c:pt idx="84" c:formatCode="[$-409]mmm\-yy;@">
                  <c:v>46053</c:v>
                </c:pt>
                <c:pt idx="85" c:formatCode="[$-409]mmm\-yy;@">
                  <c:v>46081</c:v>
                </c:pt>
                <c:pt idx="86" c:formatCode="[$-409]mmm\-yy;@">
                  <c:v>46112</c:v>
                </c:pt>
                <c:pt idx="87" c:formatCode="[$-409]mmm\-yy;@">
                  <c:v>46142</c:v>
                </c:pt>
                <c:pt idx="88" c:formatCode="[$-409]mmm\-yy;@">
                  <c:v>46173</c:v>
                </c:pt>
              </c:numCache>
            </c:numRef>
          </c:cat>
          <c:val>
            <c:numRef>
              <c:f>NAND!$AS$43:$AS$201</c:f>
              <c:numCache>
                <c:formatCode>#,##0.000</c:formatCode>
                <c:ptCount val="159"/>
                <c:pt idx="0">
                  <c:v>0.08421875</c:v>
                </c:pt>
                <c:pt idx="1">
                  <c:v>0.0759375</c:v>
                </c:pt>
                <c:pt idx="2">
                  <c:v>0.06828125</c:v>
                </c:pt>
                <c:pt idx="3">
                  <c:v>0.063125</c:v>
                </c:pt>
                <c:pt idx="4">
                  <c:v>0.060625</c:v>
                </c:pt>
                <c:pt idx="5">
                  <c:v>0.0596875</c:v>
                </c:pt>
                <c:pt idx="6">
                  <c:v>0.07</c:v>
                </c:pt>
                <c:pt idx="7">
                  <c:v>0.0703125</c:v>
                </c:pt>
                <c:pt idx="8">
                  <c:v>0.0703125</c:v>
                </c:pt>
                <c:pt idx="9">
                  <c:v>0.06890625</c:v>
                </c:pt>
                <c:pt idx="10">
                  <c:v>0.0703125</c:v>
                </c:pt>
                <c:pt idx="11">
                  <c:v>0.07359375</c:v>
                </c:pt>
                <c:pt idx="12">
                  <c:v>0.08234375</c:v>
                </c:pt>
                <c:pt idx="13">
                  <c:v>0.08484375</c:v>
                </c:pt>
                <c:pt idx="14">
                  <c:v>0.08640625</c:v>
                </c:pt>
                <c:pt idx="15">
                  <c:v>0.08640625</c:v>
                </c:pt>
                <c:pt idx="16">
                  <c:v>0.08578125</c:v>
                </c:pt>
                <c:pt idx="17">
                  <c:v>0.08375</c:v>
                </c:pt>
                <c:pt idx="18">
                  <c:v>0.083125</c:v>
                </c:pt>
                <c:pt idx="19">
                  <c:v>0.0775</c:v>
                </c:pt>
                <c:pt idx="20">
                  <c:v>0.0775</c:v>
                </c:pt>
                <c:pt idx="21">
                  <c:v>0.0734375</c:v>
                </c:pt>
                <c:pt idx="22">
                  <c:v>0.06875</c:v>
                </c:pt>
                <c:pt idx="23">
                  <c:v>0.06859375</c:v>
                </c:pt>
                <c:pt idx="24">
                  <c:v>0.06828125</c:v>
                </c:pt>
                <c:pt idx="25">
                  <c:v>0.0709375</c:v>
                </c:pt>
                <c:pt idx="26">
                  <c:v>0.07171875</c:v>
                </c:pt>
                <c:pt idx="27">
                  <c:v>0.07265625</c:v>
                </c:pt>
                <c:pt idx="28">
                  <c:v>0.075</c:v>
                </c:pt>
                <c:pt idx="29">
                  <c:v>0.07828125</c:v>
                </c:pt>
                <c:pt idx="30">
                  <c:v>0.07890625</c:v>
                </c:pt>
                <c:pt idx="31">
                  <c:v>0.07828125</c:v>
                </c:pt>
                <c:pt idx="32">
                  <c:v>0.07328125</c:v>
                </c:pt>
                <c:pt idx="33">
                  <c:v>0.06859375</c:v>
                </c:pt>
                <c:pt idx="34">
                  <c:v>0.06671875</c:v>
                </c:pt>
                <c:pt idx="35">
                  <c:v>0.06421875</c:v>
                </c:pt>
                <c:pt idx="36">
                  <c:v>0.06421875</c:v>
                </c:pt>
                <c:pt idx="37">
                  <c:v>0.0703125</c:v>
                </c:pt>
                <c:pt idx="38">
                  <c:v>0.074375</c:v>
                </c:pt>
                <c:pt idx="39">
                  <c:v>0.074375</c:v>
                </c:pt>
                <c:pt idx="40">
                  <c:v>0.071875</c:v>
                </c:pt>
                <c:pt idx="41">
                  <c:v>0.06375</c:v>
                </c:pt>
                <c:pt idx="42">
                  <c:v>0.05765625</c:v>
                </c:pt>
                <c:pt idx="43">
                  <c:v>0.04765625</c:v>
                </c:pt>
                <c:pt idx="44">
                  <c:v>0.041875</c:v>
                </c:pt>
                <c:pt idx="45">
                  <c:v>0.03796875</c:v>
                </c:pt>
                <c:pt idx="46">
                  <c:v>0.035</c:v>
                </c:pt>
                <c:pt idx="47">
                  <c:v>0.0334375</c:v>
                </c:pt>
                <c:pt idx="48">
                  <c:v>0.03296875</c:v>
                </c:pt>
                <c:pt idx="49">
                  <c:v>0.03296875</c:v>
                </c:pt>
                <c:pt idx="50">
                  <c:v>0.02890625</c:v>
                </c:pt>
                <c:pt idx="51">
                  <c:v>0.0271875</c:v>
                </c:pt>
                <c:pt idx="52">
                  <c:v>0.0271875</c:v>
                </c:pt>
                <c:pt idx="53">
                  <c:v>0.0271875</c:v>
                </c:pt>
                <c:pt idx="54">
                  <c:v>0.0271875</c:v>
                </c:pt>
                <c:pt idx="55">
                  <c:v>0.02796875</c:v>
                </c:pt>
                <c:pt idx="56">
                  <c:v>0.02859375</c:v>
                </c:pt>
                <c:pt idx="57">
                  <c:v>0.03296875</c:v>
                </c:pt>
                <c:pt idx="58">
                  <c:v>0.04234375</c:v>
                </c:pt>
                <c:pt idx="59">
                  <c:v>0.04875</c:v>
                </c:pt>
                <c:pt idx="60">
                  <c:v>0.05203125</c:v>
                </c:pt>
                <c:pt idx="61">
                  <c:v>0.05453125</c:v>
                </c:pt>
                <c:pt idx="62">
                  <c:v>0.064375</c:v>
                </c:pt>
                <c:pt idx="63">
                  <c:v>0.064375</c:v>
                </c:pt>
                <c:pt idx="64">
                  <c:v>0.064375</c:v>
                </c:pt>
                <c:pt idx="65">
                  <c:v>0.0659375</c:v>
                </c:pt>
                <c:pt idx="66">
                  <c:v>0.0659375</c:v>
                </c:pt>
                <c:pt idx="67">
                  <c:v>0.06484375</c:v>
                </c:pt>
                <c:pt idx="68">
                  <c:v>0.06125</c:v>
                </c:pt>
                <c:pt idx="69">
                  <c:v>0.058125</c:v>
                </c:pt>
                <c:pt idx="70">
                  <c:v>0.04828125</c:v>
                </c:pt>
                <c:pt idx="71">
                  <c:v>0.040625</c:v>
                </c:pt>
                <c:pt idx="72">
                  <c:v>0.039375</c:v>
                </c:pt>
                <c:pt idx="73">
                  <c:v>0.03859375</c:v>
                </c:pt>
                <c:pt idx="74">
                  <c:v>0.0425</c:v>
                </c:pt>
                <c:pt idx="75">
                  <c:v>0.04671875</c:v>
                </c:pt>
                <c:pt idx="76">
                  <c:v>0.04796875</c:v>
                </c:pt>
                <c:pt idx="77">
                  <c:v>0.04890625</c:v>
                </c:pt>
                <c:pt idx="78">
                  <c:v>0.0509375</c:v>
                </c:pt>
                <c:pt idx="79">
                  <c:v>0.05265625</c:v>
                </c:pt>
                <c:pt idx="80">
                  <c:v>0.054375</c:v>
                </c:pt>
                <c:pt idx="81">
                  <c:v>0.08</c:v>
                </c:pt>
                <c:pt idx="82">
                  <c:v>0.1325</c:v>
                </c:pt>
                <c:pt idx="83">
                  <c:v>0.19</c:v>
                </c:pt>
                <c:pt idx="84">
                  <c:v>0.2521875</c:v>
                </c:pt>
                <c:pt idx="85">
                  <c:v>0.3121875</c:v>
                </c:pt>
                <c:pt idx="86">
                  <c:v>0.37015625</c:v>
                </c:pt>
                <c:pt idx="87">
                  <c:v>0.38859375</c:v>
                </c:pt>
                <c:pt idx="88">
                  <c:v>0.3978125</c:v>
                </c:pt>
              </c:numCache>
            </c:numRef>
          </c:val>
        </c:ser>
        <c:ser>
          <c:idx val="4"/>
          <c:order val="4"/>
          <c:tx>
            <c:strRef>
              <c:f>NAND!$AT$23</c:f>
              <c:strCache>
                <c:ptCount val="1"/>
                <c:pt idx="0">
                  <c:v>3D TLC 1Tb</c:v>
                </c:pt>
              </c:strCache>
            </c:strRef>
          </c:tx>
          <c:spPr>
            <a:solidFill>
              <a:schemeClr val="accent3"/>
            </a:solidFill>
            <a:ln>
              <a:solidFill>
                <a:schemeClr val="accent3"/>
              </a:solidFill>
            </a:ln>
          </c:spPr>
          <c:invertIfNegative val="0"/>
          <c:dLbls>
            <c:delete val="1"/>
          </c:dLbls>
          <c:val>
            <c:numRef>
              <c:f>NAND!$AT$43:$AT$201</c:f>
              <c:numCache>
                <c:formatCode>#,##0.000</c:formatCode>
                <c:ptCount val="159"/>
                <c:pt idx="37">
                  <c:v>0.069765625</c:v>
                </c:pt>
                <c:pt idx="38">
                  <c:v>0.073125</c:v>
                </c:pt>
                <c:pt idx="39">
                  <c:v>0.073125</c:v>
                </c:pt>
                <c:pt idx="40">
                  <c:v>0.069921875</c:v>
                </c:pt>
                <c:pt idx="41">
                  <c:v>0.063125</c:v>
                </c:pt>
                <c:pt idx="42">
                  <c:v>0.058828125</c:v>
                </c:pt>
                <c:pt idx="43">
                  <c:v>0.047265625</c:v>
                </c:pt>
                <c:pt idx="44">
                  <c:v>0.041796875</c:v>
                </c:pt>
                <c:pt idx="45">
                  <c:v>0.0375</c:v>
                </c:pt>
                <c:pt idx="46">
                  <c:v>0.035390625</c:v>
                </c:pt>
                <c:pt idx="47">
                  <c:v>0.0334375</c:v>
                </c:pt>
                <c:pt idx="48">
                  <c:v>0.032890625</c:v>
                </c:pt>
                <c:pt idx="49">
                  <c:v>0.032890625</c:v>
                </c:pt>
                <c:pt idx="50">
                  <c:v>0.03015625</c:v>
                </c:pt>
                <c:pt idx="51">
                  <c:v>0.02828125</c:v>
                </c:pt>
                <c:pt idx="52">
                  <c:v>0.02828125</c:v>
                </c:pt>
                <c:pt idx="53">
                  <c:v>0.02828125</c:v>
                </c:pt>
                <c:pt idx="54">
                  <c:v>0.02828125</c:v>
                </c:pt>
                <c:pt idx="55">
                  <c:v>0.02828125</c:v>
                </c:pt>
                <c:pt idx="56">
                  <c:v>0.02890625</c:v>
                </c:pt>
                <c:pt idx="57">
                  <c:v>0.032421875</c:v>
                </c:pt>
                <c:pt idx="58">
                  <c:v>0.0409375</c:v>
                </c:pt>
                <c:pt idx="59">
                  <c:v>0.04875</c:v>
                </c:pt>
                <c:pt idx="60">
                  <c:v>0.05171875</c:v>
                </c:pt>
                <c:pt idx="61">
                  <c:v>0.053984375</c:v>
                </c:pt>
                <c:pt idx="62">
                  <c:v>0.062109375</c:v>
                </c:pt>
                <c:pt idx="63">
                  <c:v>0.062109375</c:v>
                </c:pt>
                <c:pt idx="64">
                  <c:v>0.062109375</c:v>
                </c:pt>
                <c:pt idx="65">
                  <c:v>0.062109375</c:v>
                </c:pt>
                <c:pt idx="66">
                  <c:v>0.062109375</c:v>
                </c:pt>
                <c:pt idx="67">
                  <c:v>0.059765625</c:v>
                </c:pt>
                <c:pt idx="68">
                  <c:v>0.05484375</c:v>
                </c:pt>
                <c:pt idx="69">
                  <c:v>0.052578125</c:v>
                </c:pt>
                <c:pt idx="70">
                  <c:v>0.04375</c:v>
                </c:pt>
                <c:pt idx="71">
                  <c:v>0.039765625</c:v>
                </c:pt>
                <c:pt idx="72">
                  <c:v>0.0375</c:v>
                </c:pt>
                <c:pt idx="73">
                  <c:v>0.03734375</c:v>
                </c:pt>
                <c:pt idx="74">
                  <c:v>0.040859375</c:v>
                </c:pt>
                <c:pt idx="75">
                  <c:v>0.0446875</c:v>
                </c:pt>
                <c:pt idx="76">
                  <c:v>0.045703125</c:v>
                </c:pt>
                <c:pt idx="77">
                  <c:v>0.046171875</c:v>
                </c:pt>
                <c:pt idx="78">
                  <c:v>0.04609375</c:v>
                </c:pt>
                <c:pt idx="79">
                  <c:v>0.04640625</c:v>
                </c:pt>
                <c:pt idx="80">
                  <c:v>0.04734375</c:v>
                </c:pt>
                <c:pt idx="81">
                  <c:v>0.0634375</c:v>
                </c:pt>
                <c:pt idx="82">
                  <c:v>0.102265625</c:v>
                </c:pt>
                <c:pt idx="83">
                  <c:v>0.132421875</c:v>
                </c:pt>
                <c:pt idx="84">
                  <c:v>0.16953125</c:v>
                </c:pt>
                <c:pt idx="85">
                  <c:v>0.195859375</c:v>
                </c:pt>
                <c:pt idx="86">
                  <c:v>0.22671875</c:v>
                </c:pt>
                <c:pt idx="87">
                  <c:v>0.23984375</c:v>
                </c:pt>
                <c:pt idx="88">
                  <c:v>0.24421875</c:v>
                </c:pt>
              </c:numCache>
            </c:numRef>
          </c:val>
        </c:ser>
        <c:dLbls>
          <c:showLegendKey val="0"/>
          <c:showVal val="0"/>
          <c:showCatName val="0"/>
          <c:showSerName val="0"/>
          <c:showPercent val="0"/>
          <c:showBubbleSize val="0"/>
        </c:dLbls>
        <c:gapWidth val="50"/>
        <c:axId val="1428906976"/>
        <c:axId val="1475104800"/>
        <c:extLst>
          <c:ext xmlns:c15="http://schemas.microsoft.com/office/drawing/2012/chart" uri="{02D57815-91ED-43cb-92C2-25804820EDAC}">
            <c15:filteredBarSeries>
              <c15:ser>
                <c:idx val="2"/>
                <c:order val="1"/>
                <c:tx>
                  <c:strRef>
                    <c:extLst>
                      <c:ext uri="{02D57815-91ED-43cb-92C2-25804820EDAC}">
                        <c15:formulaRef>
                          <c15:sqref>NAND!$AR$23</c15:sqref>
                        </c15:formulaRef>
                      </c:ext>
                    </c:extLst>
                    <c:strCache>
                      <c:ptCount val="1"/>
                      <c:pt idx="0">
                        <c:v>3D TLC 256Gb</c:v>
                      </c:pt>
                    </c:strCache>
                  </c:strRef>
                </c:tx>
                <c:spPr>
                  <a:ln>
                    <a:noFill/>
                  </a:ln>
                </c:spPr>
                <c:invertIfNegative val="0"/>
                <c:dLbls>
                  <c:delete val="1"/>
                </c:dLbls>
                <c:cat>
                  <c:numRef>
                    <c:extLst>
                      <c:ext uri="{02D57815-91ED-43cb-92C2-25804820EDAC}">
                        <c15:fullRef>
                          <c15:sqref/>
                        </c15:fullRef>
                        <c15:formulaRef>
                          <c15:sqref>NAND!$AK$43:$AK$201</c15:sqref>
                        </c15:formulaRef>
                      </c:ext>
                    </c:extLst>
                    <c:numCache>
                      <c:formatCode>[$-409]mmm\-yy;@</c:formatCode>
                      <c:ptCount val="159"/>
                      <c:pt idx="0" c:formatCode="[$-409]mmm\-yy;@">
                        <c:v>43496</c:v>
                      </c:pt>
                      <c:pt idx="1" c:formatCode="[$-409]mmm\-yy;@">
                        <c:v>43524</c:v>
                      </c:pt>
                      <c:pt idx="2" c:formatCode="[$-409]mmm\-yy;@">
                        <c:v>43555</c:v>
                      </c:pt>
                      <c:pt idx="3" c:formatCode="[$-409]mmm\-yy;@">
                        <c:v>43585</c:v>
                      </c:pt>
                      <c:pt idx="4" c:formatCode="[$-409]mmm\-yy;@">
                        <c:v>43616</c:v>
                      </c:pt>
                      <c:pt idx="5" c:formatCode="[$-409]mmm\-yy;@">
                        <c:v>43646</c:v>
                      </c:pt>
                      <c:pt idx="6" c:formatCode="[$-409]mmm\-yy;@">
                        <c:v>43677</c:v>
                      </c:pt>
                      <c:pt idx="7" c:formatCode="[$-409]mmm\-yy;@">
                        <c:v>43708</c:v>
                      </c:pt>
                      <c:pt idx="8" c:formatCode="[$-409]mmm\-yy;@">
                        <c:v>43738</c:v>
                      </c:pt>
                      <c:pt idx="9" c:formatCode="[$-409]mmm\-yy;@">
                        <c:v>43769</c:v>
                      </c:pt>
                      <c:pt idx="10" c:formatCode="[$-409]mmm\-yy;@">
                        <c:v>43799</c:v>
                      </c:pt>
                      <c:pt idx="11" c:formatCode="[$-409]mmm\-yy;@">
                        <c:v>43830</c:v>
                      </c:pt>
                      <c:pt idx="12" c:formatCode="[$-409]mmm\-yy;@">
                        <c:v>43861</c:v>
                      </c:pt>
                      <c:pt idx="13" c:formatCode="[$-409]mmm\-yy;@">
                        <c:v>43890</c:v>
                      </c:pt>
                      <c:pt idx="14" c:formatCode="[$-409]mmm\-yy;@">
                        <c:v>43921</c:v>
                      </c:pt>
                      <c:pt idx="15" c:formatCode="[$-409]mmm\-yy;@">
                        <c:v>43951</c:v>
                      </c:pt>
                      <c:pt idx="16" c:formatCode="[$-409]mmm\-yy;@">
                        <c:v>43982</c:v>
                      </c:pt>
                      <c:pt idx="17" c:formatCode="[$-409]mmm\-yy;@">
                        <c:v>44012</c:v>
                      </c:pt>
                      <c:pt idx="18" c:formatCode="[$-409]mmm\-yy;@">
                        <c:v>44043</c:v>
                      </c:pt>
                      <c:pt idx="19" c:formatCode="[$-409]mmm\-yy;@">
                        <c:v>44074</c:v>
                      </c:pt>
                      <c:pt idx="20" c:formatCode="[$-409]mmm\-yy;@">
                        <c:v>44104</c:v>
                      </c:pt>
                      <c:pt idx="21" c:formatCode="[$-409]mmm\-yy;@">
                        <c:v>44135</c:v>
                      </c:pt>
                      <c:pt idx="22" c:formatCode="[$-409]mmm\-yy;@">
                        <c:v>44165</c:v>
                      </c:pt>
                      <c:pt idx="23" c:formatCode="[$-409]mmm\-yy;@">
                        <c:v>44196</c:v>
                      </c:pt>
                      <c:pt idx="24" c:formatCode="[$-409]mmm\-yy;@">
                        <c:v>44227</c:v>
                      </c:pt>
                      <c:pt idx="25" c:formatCode="[$-409]mmm\-yy;@">
                        <c:v>44255</c:v>
                      </c:pt>
                      <c:pt idx="26" c:formatCode="[$-409]mmm\-yy;@">
                        <c:v>44286</c:v>
                      </c:pt>
                      <c:pt idx="27" c:formatCode="[$-409]mmm\-yy;@">
                        <c:v>44316</c:v>
                      </c:pt>
                      <c:pt idx="28" c:formatCode="[$-409]mmm\-yy;@">
                        <c:v>44347</c:v>
                      </c:pt>
                      <c:pt idx="29" c:formatCode="[$-409]mmm\-yy;@">
                        <c:v>44377</c:v>
                      </c:pt>
                      <c:pt idx="30" c:formatCode="[$-409]mmm\-yy;@">
                        <c:v>44408</c:v>
                      </c:pt>
                      <c:pt idx="31" c:formatCode="[$-409]mmm\-yy;@">
                        <c:v>44439</c:v>
                      </c:pt>
                      <c:pt idx="32" c:formatCode="[$-409]mmm\-yy;@">
                        <c:v>44469</c:v>
                      </c:pt>
                      <c:pt idx="33" c:formatCode="[$-409]mmm\-yy;@">
                        <c:v>44500</c:v>
                      </c:pt>
                      <c:pt idx="34" c:formatCode="[$-409]mmm\-yy;@">
                        <c:v>44530</c:v>
                      </c:pt>
                      <c:pt idx="35" c:formatCode="[$-409]mmm\-yy;@">
                        <c:v>44561</c:v>
                      </c:pt>
                      <c:pt idx="36" c:formatCode="[$-409]mmm\-yy;@">
                        <c:v>44592</c:v>
                      </c:pt>
                      <c:pt idx="37" c:formatCode="[$-409]mmm\-yy;@">
                        <c:v>44620</c:v>
                      </c:pt>
                      <c:pt idx="38" c:formatCode="[$-409]mmm\-yy;@">
                        <c:v>44651</c:v>
                      </c:pt>
                      <c:pt idx="39" c:formatCode="[$-409]mmm\-yy;@">
                        <c:v>44681</c:v>
                      </c:pt>
                      <c:pt idx="40" c:formatCode="[$-409]mmm\-yy;@">
                        <c:v>44712</c:v>
                      </c:pt>
                      <c:pt idx="41" c:formatCode="[$-409]mmm\-yy;@">
                        <c:v>44742</c:v>
                      </c:pt>
                      <c:pt idx="42" c:formatCode="[$-409]mmm\-yy;@">
                        <c:v>44773</c:v>
                      </c:pt>
                      <c:pt idx="43" c:formatCode="[$-409]mmm\-yy;@">
                        <c:v>44804</c:v>
                      </c:pt>
                      <c:pt idx="44" c:formatCode="[$-409]mmm\-yy;@">
                        <c:v>44834</c:v>
                      </c:pt>
                      <c:pt idx="45" c:formatCode="[$-409]mmm\-yy;@">
                        <c:v>44865</c:v>
                      </c:pt>
                      <c:pt idx="46" c:formatCode="[$-409]mmm\-yy;@">
                        <c:v>44895</c:v>
                      </c:pt>
                      <c:pt idx="47" c:formatCode="[$-409]mmm\-yy;@">
                        <c:v>44926</c:v>
                      </c:pt>
                      <c:pt idx="48" c:formatCode="[$-409]mmm\-yy;@">
                        <c:v>44957</c:v>
                      </c:pt>
                      <c:pt idx="49" c:formatCode="[$-409]mmm\-yy;@">
                        <c:v>44985</c:v>
                      </c:pt>
                      <c:pt idx="50" c:formatCode="[$-409]mmm\-yy;@">
                        <c:v>45016</c:v>
                      </c:pt>
                      <c:pt idx="51" c:formatCode="[$-409]mmm\-yy;@">
                        <c:v>45046</c:v>
                      </c:pt>
                      <c:pt idx="52" c:formatCode="[$-409]mmm\-yy;@">
                        <c:v>45077</c:v>
                      </c:pt>
                      <c:pt idx="53" c:formatCode="[$-409]mmm\-yy;@">
                        <c:v>45107</c:v>
                      </c:pt>
                      <c:pt idx="54" c:formatCode="[$-409]mmm\-yy;@">
                        <c:v>45138</c:v>
                      </c:pt>
                      <c:pt idx="55" c:formatCode="[$-409]mmm\-yy;@">
                        <c:v>45169</c:v>
                      </c:pt>
                      <c:pt idx="56" c:formatCode="[$-409]mmm\-yy;@">
                        <c:v>45199</c:v>
                      </c:pt>
                      <c:pt idx="57" c:formatCode="[$-409]mmm\-yy;@">
                        <c:v>45230</c:v>
                      </c:pt>
                      <c:pt idx="58" c:formatCode="[$-409]mmm\-yy;@">
                        <c:v>45260</c:v>
                      </c:pt>
                      <c:pt idx="59" c:formatCode="[$-409]mmm\-yy;@">
                        <c:v>45291</c:v>
                      </c:pt>
                      <c:pt idx="60" c:formatCode="[$-409]mmm\-yy;@">
                        <c:v>45322</c:v>
                      </c:pt>
                      <c:pt idx="61" c:formatCode="[$-409]mmm\-yy;@">
                        <c:v>45351</c:v>
                      </c:pt>
                      <c:pt idx="62" c:formatCode="[$-409]mmm\-yy;@">
                        <c:v>45382</c:v>
                      </c:pt>
                      <c:pt idx="63" c:formatCode="[$-409]mmm\-yy;@">
                        <c:v>45412</c:v>
                      </c:pt>
                      <c:pt idx="64" c:formatCode="[$-409]mmm\-yy;@">
                        <c:v>45443</c:v>
                      </c:pt>
                      <c:pt idx="65" c:formatCode="[$-409]mmm\-yy;@">
                        <c:v>45473</c:v>
                      </c:pt>
                      <c:pt idx="66" c:formatCode="[$-409]mmm\-yy;@">
                        <c:v>45504</c:v>
                      </c:pt>
                      <c:pt idx="67" c:formatCode="[$-409]mmm\-yy;@">
                        <c:v>45535</c:v>
                      </c:pt>
                      <c:pt idx="68" c:formatCode="[$-409]mmm\-yy;@">
                        <c:v>45565</c:v>
                      </c:pt>
                      <c:pt idx="69" c:formatCode="[$-409]mmm\-yy;@">
                        <c:v>45596</c:v>
                      </c:pt>
                      <c:pt idx="70" c:formatCode="[$-409]mmm\-yy;@">
                        <c:v>45626</c:v>
                      </c:pt>
                      <c:pt idx="71" c:formatCode="[$-409]mmm\-yy;@">
                        <c:v>45657</c:v>
                      </c:pt>
                      <c:pt idx="72" c:formatCode="[$-409]mmm\-yy;@">
                        <c:v>45688</c:v>
                      </c:pt>
                      <c:pt idx="73" c:formatCode="[$-409]mmm\-yy;@">
                        <c:v>45716</c:v>
                      </c:pt>
                      <c:pt idx="74" c:formatCode="[$-409]mmm\-yy;@">
                        <c:v>45747</c:v>
                      </c:pt>
                      <c:pt idx="75" c:formatCode="[$-409]mmm\-yy;@">
                        <c:v>45777</c:v>
                      </c:pt>
                      <c:pt idx="76" c:formatCode="[$-409]mmm\-yy;@">
                        <c:v>45808</c:v>
                      </c:pt>
                      <c:pt idx="77" c:formatCode="[$-409]mmm\-yy;@">
                        <c:v>45838</c:v>
                      </c:pt>
                      <c:pt idx="78" c:formatCode="[$-409]mmm\-yy;@">
                        <c:v>45869</c:v>
                      </c:pt>
                      <c:pt idx="79" c:formatCode="[$-409]mmm\-yy;@">
                        <c:v>45900</c:v>
                      </c:pt>
                      <c:pt idx="80" c:formatCode="[$-409]mmm\-yy;@">
                        <c:v>45930</c:v>
                      </c:pt>
                      <c:pt idx="81" c:formatCode="[$-409]mmm\-yy;@">
                        <c:v>45961</c:v>
                      </c:pt>
                      <c:pt idx="82" c:formatCode="[$-409]mmm\-yy;@">
                        <c:v>45991</c:v>
                      </c:pt>
                      <c:pt idx="83" c:formatCode="[$-409]mmm\-yy;@">
                        <c:v>46022</c:v>
                      </c:pt>
                      <c:pt idx="84" c:formatCode="[$-409]mmm\-yy;@">
                        <c:v>46053</c:v>
                      </c:pt>
                      <c:pt idx="85" c:formatCode="[$-409]mmm\-yy;@">
                        <c:v>46081</c:v>
                      </c:pt>
                      <c:pt idx="86" c:formatCode="[$-409]mmm\-yy;@">
                        <c:v>46112</c:v>
                      </c:pt>
                      <c:pt idx="87" c:formatCode="[$-409]mmm\-yy;@">
                        <c:v>46142</c:v>
                      </c:pt>
                      <c:pt idx="88" c:formatCode="[$-409]mmm\-yy;@">
                        <c:v>46173</c:v>
                      </c:pt>
                    </c:numCache>
                  </c:numRef>
                </c:cat>
                <c:val>
                  <c:numRef>
                    <c:extLst>
                      <c:ext uri="{02D57815-91ED-43cb-92C2-25804820EDAC}">
                        <c15:formulaRef>
                          <c15:sqref>NAND!$AR$43:$AR$201</c15:sqref>
                        </c15:formulaRef>
                      </c:ext>
                    </c:extLst>
                    <c:numCache>
                      <c:formatCode>#,##0.000</c:formatCode>
                      <c:ptCount val="159"/>
                      <c:pt idx="0">
                        <c:v>0.0809375</c:v>
                      </c:pt>
                      <c:pt idx="1">
                        <c:v>0.07625</c:v>
                      </c:pt>
                      <c:pt idx="2">
                        <c:v>0.0684375</c:v>
                      </c:pt>
                      <c:pt idx="3">
                        <c:v>0.063125</c:v>
                      </c:pt>
                      <c:pt idx="4">
                        <c:v>0.0609375</c:v>
                      </c:pt>
                      <c:pt idx="5">
                        <c:v>0.06</c:v>
                      </c:pt>
                      <c:pt idx="6">
                        <c:v>0.070625</c:v>
                      </c:pt>
                      <c:pt idx="7">
                        <c:v>0.0734375</c:v>
                      </c:pt>
                      <c:pt idx="8">
                        <c:v>0.0734375</c:v>
                      </c:pt>
                      <c:pt idx="9">
                        <c:v>0.073125</c:v>
                      </c:pt>
                      <c:pt idx="10">
                        <c:v>0.07375</c:v>
                      </c:pt>
                      <c:pt idx="11">
                        <c:v>0.084375</c:v>
                      </c:pt>
                      <c:pt idx="12">
                        <c:v>0.0915625</c:v>
                      </c:pt>
                      <c:pt idx="13">
                        <c:v>0.0959375</c:v>
                      </c:pt>
                      <c:pt idx="14">
                        <c:v>0.0971875</c:v>
                      </c:pt>
                      <c:pt idx="15">
                        <c:v>0.0971875</c:v>
                      </c:pt>
                      <c:pt idx="16">
                        <c:v>0.0965625</c:v>
                      </c:pt>
                      <c:pt idx="17">
                        <c:v>0.0965625</c:v>
                      </c:pt>
                      <c:pt idx="18">
                        <c:v>0.0890625</c:v>
                      </c:pt>
                      <c:pt idx="19">
                        <c:v>0.079375</c:v>
                      </c:pt>
                      <c:pt idx="20">
                        <c:v>0.079375</c:v>
                      </c:pt>
                      <c:pt idx="21">
                        <c:v>0.0784375</c:v>
                      </c:pt>
                      <c:pt idx="22">
                        <c:v>0.074375</c:v>
                      </c:pt>
                      <c:pt idx="23">
                        <c:v>0.0734375</c:v>
                      </c:pt>
                      <c:pt idx="24">
                        <c:v>0.073125</c:v>
                      </c:pt>
                      <c:pt idx="25">
                        <c:v>0.0775</c:v>
                      </c:pt>
                      <c:pt idx="26">
                        <c:v>0.07875</c:v>
                      </c:pt>
                      <c:pt idx="27">
                        <c:v>0.080625</c:v>
                      </c:pt>
                      <c:pt idx="28">
                        <c:v>0.0825</c:v>
                      </c:pt>
                      <c:pt idx="29">
                        <c:v>0.085625</c:v>
                      </c:pt>
                      <c:pt idx="30">
                        <c:v>0.086875</c:v>
                      </c:pt>
                      <c:pt idx="31">
                        <c:v>0.086875</c:v>
                      </c:pt>
                      <c:pt idx="32">
                        <c:v>0.0828125</c:v>
                      </c:pt>
                      <c:pt idx="33">
                        <c:v>0.076875</c:v>
                      </c:pt>
                      <c:pt idx="34">
                        <c:v>0.0765625</c:v>
                      </c:pt>
                      <c:pt idx="35">
                        <c:v>0.075625</c:v>
                      </c:pt>
                      <c:pt idx="36">
                        <c:v>0.075625</c:v>
                      </c:pt>
                      <c:pt idx="37">
                        <c:v>0.081875</c:v>
                      </c:pt>
                      <c:pt idx="38">
                        <c:v>0.08375</c:v>
                      </c:pt>
                      <c:pt idx="39">
                        <c:v>0.08375</c:v>
                      </c:pt>
                      <c:pt idx="40">
                        <c:v>0.08125</c:v>
                      </c:pt>
                      <c:pt idx="41">
                        <c:v>0.0721875</c:v>
                      </c:pt>
                      <c:pt idx="42">
                        <c:v>0.066875</c:v>
                      </c:pt>
                      <c:pt idx="43">
                        <c:v>0.05375</c:v>
                      </c:pt>
                      <c:pt idx="44">
                        <c:v>0.048125</c:v>
                      </c:pt>
                      <c:pt idx="45">
                        <c:v>0.0425</c:v>
                      </c:pt>
                      <c:pt idx="46">
                        <c:v>0.04</c:v>
                      </c:pt>
                      <c:pt idx="47">
                        <c:v>0.0384375</c:v>
                      </c:pt>
                      <c:pt idx="48">
                        <c:v>0.038125</c:v>
                      </c:pt>
                      <c:pt idx="49">
                        <c:v>0.038125</c:v>
                      </c:pt>
                      <c:pt idx="50">
                        <c:v>0.0353125</c:v>
                      </c:pt>
                      <c:pt idx="51">
                        <c:v>0.0334375</c:v>
                      </c:pt>
                      <c:pt idx="52">
                        <c:v>0.0334375</c:v>
                      </c:pt>
                      <c:pt idx="53">
                        <c:v>0.0334375</c:v>
                      </c:pt>
                      <c:pt idx="54">
                        <c:v>0.0334375</c:v>
                      </c:pt>
                      <c:pt idx="55">
                        <c:v>0.0334375</c:v>
                      </c:pt>
                      <c:pt idx="56">
                        <c:v>0.0334375</c:v>
                      </c:pt>
                      <c:pt idx="57">
                        <c:v>0.0375</c:v>
                      </c:pt>
                      <c:pt idx="58">
                        <c:v>0.0521875</c:v>
                      </c:pt>
                      <c:pt idx="59">
                        <c:v>0.0565625</c:v>
                      </c:pt>
                      <c:pt idx="60">
                        <c:v>0.0565625</c:v>
                      </c:pt>
                      <c:pt idx="61">
                        <c:v>0.0565625</c:v>
                      </c:pt>
                      <c:pt idx="62">
                        <c:v>0.0659375</c:v>
                      </c:pt>
                      <c:pt idx="63">
                        <c:v>0.0659375</c:v>
                      </c:pt>
                      <c:pt idx="64">
                        <c:v>0.0659375</c:v>
                      </c:pt>
                      <c:pt idx="65">
                        <c:v>0.0671875</c:v>
                      </c:pt>
                      <c:pt idx="66">
                        <c:v>0.0671875</c:v>
                      </c:pt>
                      <c:pt idx="67">
                        <c:v>0.0646875</c:v>
                      </c:pt>
                      <c:pt idx="68">
                        <c:v>0.058125</c:v>
                      </c:pt>
                      <c:pt idx="69">
                        <c:v>0.054375</c:v>
                      </c:pt>
                      <c:pt idx="70">
                        <c:v>0.046875</c:v>
                      </c:pt>
                      <c:pt idx="71">
                        <c:v>0.0465625</c:v>
                      </c:pt>
                      <c:pt idx="72">
                        <c:v>0.048125</c:v>
                      </c:pt>
                      <c:pt idx="73">
                        <c:v>0.05</c:v>
                      </c:pt>
                      <c:pt idx="74">
                        <c:v>0.05625</c:v>
                      </c:pt>
                      <c:pt idx="75">
                        <c:v>0.064375</c:v>
                      </c:pt>
                      <c:pt idx="76">
                        <c:v>0.068125</c:v>
                      </c:pt>
                      <c:pt idx="77">
                        <c:v>0.0740625</c:v>
                      </c:pt>
                      <c:pt idx="78">
                        <c:v>0.08</c:v>
                      </c:pt>
                      <c:pt idx="79">
                        <c:v>0.08375</c:v>
                      </c:pt>
                      <c:pt idx="80">
                        <c:v>0.0878125</c:v>
                      </c:pt>
                      <c:pt idx="81">
                        <c:v>0.1128125</c:v>
                      </c:pt>
                      <c:pt idx="82">
                        <c:v>0.1525</c:v>
                      </c:pt>
                      <c:pt idx="83">
                        <c:v>0.21125</c:v>
                      </c:pt>
                      <c:pt idx="84">
                        <c:v>0.279375</c:v>
                      </c:pt>
                      <c:pt idx="85">
                        <c:v>0.33375</c:v>
                      </c:pt>
                      <c:pt idx="86">
                        <c:v>0.431875</c:v>
                      </c:pt>
                      <c:pt idx="87">
                        <c:v>0.4659375</c:v>
                      </c:pt>
                      <c:pt idx="88">
                        <c:v>0.4809375</c:v>
                      </c:pt>
                    </c:numCache>
                  </c:numRef>
                </c:val>
              </c15:ser>
            </c15:filteredBarSeries>
          </c:ext>
        </c:extLst>
      </c:barChart>
      <c:lineChart>
        <c:grouping val="standard"/>
        <c:varyColors val="0"/>
        <c:ser>
          <c:idx val="1"/>
          <c:order val="2"/>
          <c:tx>
            <c:strRef>
              <c:f>NAND!$AW$23</c:f>
              <c:strCache>
                <c:ptCount val="1"/>
                <c:pt idx="0">
                  <c:v>3D TLC 512Gb MoM</c:v>
                </c:pt>
              </c:strCache>
            </c:strRef>
          </c:tx>
          <c:spPr>
            <a:ln w="12700" cap="rnd" cmpd="sng" algn="ctr">
              <a:solidFill>
                <a:schemeClr val="accent2">
                  <a:shade val="76667"/>
                </a:schemeClr>
              </a:solidFill>
              <a:prstDash val="solid"/>
              <a:round/>
            </a:ln>
          </c:spPr>
          <c:marker>
            <c:symbol val="square"/>
            <c:size val="3"/>
            <c:spPr>
              <a:ln w="12700" cap="flat" cmpd="sng" algn="ctr">
                <a:noFill/>
                <a:prstDash val="solid"/>
                <a:round/>
              </a:ln>
            </c:spPr>
          </c:marker>
          <c:dLbls>
            <c:delete val="1"/>
          </c:dLbls>
          <c:cat>
            <c:numRef>
              <c:f>NAND!$AK$43:$AK$201</c:f>
              <c:numCache>
                <c:formatCode>[$-409]mmm\-yy;@</c:formatCode>
                <c:ptCount val="159"/>
                <c:pt idx="0" c:formatCode="[$-409]mmm\-yy;@">
                  <c:v>43496</c:v>
                </c:pt>
                <c:pt idx="1" c:formatCode="[$-409]mmm\-yy;@">
                  <c:v>43524</c:v>
                </c:pt>
                <c:pt idx="2" c:formatCode="[$-409]mmm\-yy;@">
                  <c:v>43555</c:v>
                </c:pt>
                <c:pt idx="3" c:formatCode="[$-409]mmm\-yy;@">
                  <c:v>43585</c:v>
                </c:pt>
                <c:pt idx="4" c:formatCode="[$-409]mmm\-yy;@">
                  <c:v>43616</c:v>
                </c:pt>
                <c:pt idx="5" c:formatCode="[$-409]mmm\-yy;@">
                  <c:v>43646</c:v>
                </c:pt>
                <c:pt idx="6" c:formatCode="[$-409]mmm\-yy;@">
                  <c:v>43677</c:v>
                </c:pt>
                <c:pt idx="7" c:formatCode="[$-409]mmm\-yy;@">
                  <c:v>43708</c:v>
                </c:pt>
                <c:pt idx="8" c:formatCode="[$-409]mmm\-yy;@">
                  <c:v>43738</c:v>
                </c:pt>
                <c:pt idx="9" c:formatCode="[$-409]mmm\-yy;@">
                  <c:v>43769</c:v>
                </c:pt>
                <c:pt idx="10" c:formatCode="[$-409]mmm\-yy;@">
                  <c:v>43799</c:v>
                </c:pt>
                <c:pt idx="11" c:formatCode="[$-409]mmm\-yy;@">
                  <c:v>43830</c:v>
                </c:pt>
                <c:pt idx="12" c:formatCode="[$-409]mmm\-yy;@">
                  <c:v>43861</c:v>
                </c:pt>
                <c:pt idx="13" c:formatCode="[$-409]mmm\-yy;@">
                  <c:v>43890</c:v>
                </c:pt>
                <c:pt idx="14" c:formatCode="[$-409]mmm\-yy;@">
                  <c:v>43921</c:v>
                </c:pt>
                <c:pt idx="15" c:formatCode="[$-409]mmm\-yy;@">
                  <c:v>43951</c:v>
                </c:pt>
                <c:pt idx="16" c:formatCode="[$-409]mmm\-yy;@">
                  <c:v>43982</c:v>
                </c:pt>
                <c:pt idx="17" c:formatCode="[$-409]mmm\-yy;@">
                  <c:v>44012</c:v>
                </c:pt>
                <c:pt idx="18" c:formatCode="[$-409]mmm\-yy;@">
                  <c:v>44043</c:v>
                </c:pt>
                <c:pt idx="19" c:formatCode="[$-409]mmm\-yy;@">
                  <c:v>44074</c:v>
                </c:pt>
                <c:pt idx="20" c:formatCode="[$-409]mmm\-yy;@">
                  <c:v>44104</c:v>
                </c:pt>
                <c:pt idx="21" c:formatCode="[$-409]mmm\-yy;@">
                  <c:v>44135</c:v>
                </c:pt>
                <c:pt idx="22" c:formatCode="[$-409]mmm\-yy;@">
                  <c:v>44165</c:v>
                </c:pt>
                <c:pt idx="23" c:formatCode="[$-409]mmm\-yy;@">
                  <c:v>44196</c:v>
                </c:pt>
                <c:pt idx="24" c:formatCode="[$-409]mmm\-yy;@">
                  <c:v>44227</c:v>
                </c:pt>
                <c:pt idx="25" c:formatCode="[$-409]mmm\-yy;@">
                  <c:v>44255</c:v>
                </c:pt>
                <c:pt idx="26" c:formatCode="[$-409]mmm\-yy;@">
                  <c:v>44286</c:v>
                </c:pt>
                <c:pt idx="27" c:formatCode="[$-409]mmm\-yy;@">
                  <c:v>44316</c:v>
                </c:pt>
                <c:pt idx="28" c:formatCode="[$-409]mmm\-yy;@">
                  <c:v>44347</c:v>
                </c:pt>
                <c:pt idx="29" c:formatCode="[$-409]mmm\-yy;@">
                  <c:v>44377</c:v>
                </c:pt>
                <c:pt idx="30" c:formatCode="[$-409]mmm\-yy;@">
                  <c:v>44408</c:v>
                </c:pt>
                <c:pt idx="31" c:formatCode="[$-409]mmm\-yy;@">
                  <c:v>44439</c:v>
                </c:pt>
                <c:pt idx="32" c:formatCode="[$-409]mmm\-yy;@">
                  <c:v>44469</c:v>
                </c:pt>
                <c:pt idx="33" c:formatCode="[$-409]mmm\-yy;@">
                  <c:v>44500</c:v>
                </c:pt>
                <c:pt idx="34" c:formatCode="[$-409]mmm\-yy;@">
                  <c:v>44530</c:v>
                </c:pt>
                <c:pt idx="35" c:formatCode="[$-409]mmm\-yy;@">
                  <c:v>44561</c:v>
                </c:pt>
                <c:pt idx="36" c:formatCode="[$-409]mmm\-yy;@">
                  <c:v>44592</c:v>
                </c:pt>
                <c:pt idx="37" c:formatCode="[$-409]mmm\-yy;@">
                  <c:v>44620</c:v>
                </c:pt>
                <c:pt idx="38" c:formatCode="[$-409]mmm\-yy;@">
                  <c:v>44651</c:v>
                </c:pt>
                <c:pt idx="39" c:formatCode="[$-409]mmm\-yy;@">
                  <c:v>44681</c:v>
                </c:pt>
                <c:pt idx="40" c:formatCode="[$-409]mmm\-yy;@">
                  <c:v>44712</c:v>
                </c:pt>
                <c:pt idx="41" c:formatCode="[$-409]mmm\-yy;@">
                  <c:v>44742</c:v>
                </c:pt>
                <c:pt idx="42" c:formatCode="[$-409]mmm\-yy;@">
                  <c:v>44773</c:v>
                </c:pt>
                <c:pt idx="43" c:formatCode="[$-409]mmm\-yy;@">
                  <c:v>44804</c:v>
                </c:pt>
                <c:pt idx="44" c:formatCode="[$-409]mmm\-yy;@">
                  <c:v>44834</c:v>
                </c:pt>
                <c:pt idx="45" c:formatCode="[$-409]mmm\-yy;@">
                  <c:v>44865</c:v>
                </c:pt>
                <c:pt idx="46" c:formatCode="[$-409]mmm\-yy;@">
                  <c:v>44895</c:v>
                </c:pt>
                <c:pt idx="47" c:formatCode="[$-409]mmm\-yy;@">
                  <c:v>44926</c:v>
                </c:pt>
                <c:pt idx="48" c:formatCode="[$-409]mmm\-yy;@">
                  <c:v>44957</c:v>
                </c:pt>
                <c:pt idx="49" c:formatCode="[$-409]mmm\-yy;@">
                  <c:v>44985</c:v>
                </c:pt>
                <c:pt idx="50" c:formatCode="[$-409]mmm\-yy;@">
                  <c:v>45016</c:v>
                </c:pt>
                <c:pt idx="51" c:formatCode="[$-409]mmm\-yy;@">
                  <c:v>45046</c:v>
                </c:pt>
                <c:pt idx="52" c:formatCode="[$-409]mmm\-yy;@">
                  <c:v>45077</c:v>
                </c:pt>
                <c:pt idx="53" c:formatCode="[$-409]mmm\-yy;@">
                  <c:v>45107</c:v>
                </c:pt>
                <c:pt idx="54" c:formatCode="[$-409]mmm\-yy;@">
                  <c:v>45138</c:v>
                </c:pt>
                <c:pt idx="55" c:formatCode="[$-409]mmm\-yy;@">
                  <c:v>45169</c:v>
                </c:pt>
                <c:pt idx="56" c:formatCode="[$-409]mmm\-yy;@">
                  <c:v>45199</c:v>
                </c:pt>
                <c:pt idx="57" c:formatCode="[$-409]mmm\-yy;@">
                  <c:v>45230</c:v>
                </c:pt>
                <c:pt idx="58" c:formatCode="[$-409]mmm\-yy;@">
                  <c:v>45260</c:v>
                </c:pt>
                <c:pt idx="59" c:formatCode="[$-409]mmm\-yy;@">
                  <c:v>45291</c:v>
                </c:pt>
                <c:pt idx="60" c:formatCode="[$-409]mmm\-yy;@">
                  <c:v>45322</c:v>
                </c:pt>
                <c:pt idx="61" c:formatCode="[$-409]mmm\-yy;@">
                  <c:v>45351</c:v>
                </c:pt>
                <c:pt idx="62" c:formatCode="[$-409]mmm\-yy;@">
                  <c:v>45382</c:v>
                </c:pt>
                <c:pt idx="63" c:formatCode="[$-409]mmm\-yy;@">
                  <c:v>45412</c:v>
                </c:pt>
                <c:pt idx="64" c:formatCode="[$-409]mmm\-yy;@">
                  <c:v>45443</c:v>
                </c:pt>
                <c:pt idx="65" c:formatCode="[$-409]mmm\-yy;@">
                  <c:v>45473</c:v>
                </c:pt>
                <c:pt idx="66" c:formatCode="[$-409]mmm\-yy;@">
                  <c:v>45504</c:v>
                </c:pt>
                <c:pt idx="67" c:formatCode="[$-409]mmm\-yy;@">
                  <c:v>45535</c:v>
                </c:pt>
                <c:pt idx="68" c:formatCode="[$-409]mmm\-yy;@">
                  <c:v>45565</c:v>
                </c:pt>
                <c:pt idx="69" c:formatCode="[$-409]mmm\-yy;@">
                  <c:v>45596</c:v>
                </c:pt>
                <c:pt idx="70" c:formatCode="[$-409]mmm\-yy;@">
                  <c:v>45626</c:v>
                </c:pt>
                <c:pt idx="71" c:formatCode="[$-409]mmm\-yy;@">
                  <c:v>45657</c:v>
                </c:pt>
                <c:pt idx="72" c:formatCode="[$-409]mmm\-yy;@">
                  <c:v>45688</c:v>
                </c:pt>
                <c:pt idx="73" c:formatCode="[$-409]mmm\-yy;@">
                  <c:v>45716</c:v>
                </c:pt>
                <c:pt idx="74" c:formatCode="[$-409]mmm\-yy;@">
                  <c:v>45747</c:v>
                </c:pt>
                <c:pt idx="75" c:formatCode="[$-409]mmm\-yy;@">
                  <c:v>45777</c:v>
                </c:pt>
                <c:pt idx="76" c:formatCode="[$-409]mmm\-yy;@">
                  <c:v>45808</c:v>
                </c:pt>
                <c:pt idx="77" c:formatCode="[$-409]mmm\-yy;@">
                  <c:v>45838</c:v>
                </c:pt>
                <c:pt idx="78" c:formatCode="[$-409]mmm\-yy;@">
                  <c:v>45869</c:v>
                </c:pt>
                <c:pt idx="79" c:formatCode="[$-409]mmm\-yy;@">
                  <c:v>45900</c:v>
                </c:pt>
                <c:pt idx="80" c:formatCode="[$-409]mmm\-yy;@">
                  <c:v>45930</c:v>
                </c:pt>
                <c:pt idx="81" c:formatCode="[$-409]mmm\-yy;@">
                  <c:v>45961</c:v>
                </c:pt>
                <c:pt idx="82" c:formatCode="[$-409]mmm\-yy;@">
                  <c:v>45991</c:v>
                </c:pt>
                <c:pt idx="83" c:formatCode="[$-409]mmm\-yy;@">
                  <c:v>46022</c:v>
                </c:pt>
                <c:pt idx="84" c:formatCode="[$-409]mmm\-yy;@">
                  <c:v>46053</c:v>
                </c:pt>
                <c:pt idx="85" c:formatCode="[$-409]mmm\-yy;@">
                  <c:v>46081</c:v>
                </c:pt>
                <c:pt idx="86" c:formatCode="[$-409]mmm\-yy;@">
                  <c:v>46112</c:v>
                </c:pt>
                <c:pt idx="87" c:formatCode="[$-409]mmm\-yy;@">
                  <c:v>46142</c:v>
                </c:pt>
                <c:pt idx="88" c:formatCode="[$-409]mmm\-yy;@">
                  <c:v>46173</c:v>
                </c:pt>
              </c:numCache>
            </c:numRef>
          </c:cat>
          <c:val>
            <c:numRef>
              <c:f>NAND!$AW$43:$AW$201</c:f>
              <c:numCache>
                <c:formatCode>0%</c:formatCode>
                <c:ptCount val="159"/>
                <c:pt idx="0">
                  <c:v>-0.0493827160493827</c:v>
                </c:pt>
                <c:pt idx="1">
                  <c:v>-0.098330241187384</c:v>
                </c:pt>
                <c:pt idx="2">
                  <c:v>-0.10082304526749</c:v>
                </c:pt>
                <c:pt idx="3">
                  <c:v>-0.0755148741418764</c:v>
                </c:pt>
                <c:pt idx="4">
                  <c:v>-0.0396039603960396</c:v>
                </c:pt>
                <c:pt idx="5">
                  <c:v>-0.0154639175257733</c:v>
                </c:pt>
                <c:pt idx="6">
                  <c:v>0.172774869109948</c:v>
                </c:pt>
                <c:pt idx="7">
                  <c:v>0.00446428571428559</c:v>
                </c:pt>
                <c:pt idx="8">
                  <c:v>0</c:v>
                </c:pt>
                <c:pt idx="9">
                  <c:v>-0.02</c:v>
                </c:pt>
                <c:pt idx="10">
                  <c:v>0.0204081632653061</c:v>
                </c:pt>
                <c:pt idx="11">
                  <c:v>0.0466666666666666</c:v>
                </c:pt>
                <c:pt idx="12">
                  <c:v>0.118895966029724</c:v>
                </c:pt>
                <c:pt idx="13">
                  <c:v>0.0303605313092978</c:v>
                </c:pt>
                <c:pt idx="14">
                  <c:v>0.0184162062615103</c:v>
                </c:pt>
                <c:pt idx="15">
                  <c:v>0</c:v>
                </c:pt>
                <c:pt idx="16">
                  <c:v>-0.00723327305605792</c:v>
                </c:pt>
                <c:pt idx="17">
                  <c:v>-0.02367941712204</c:v>
                </c:pt>
                <c:pt idx="18">
                  <c:v>-0.0074626865671642</c:v>
                </c:pt>
                <c:pt idx="19">
                  <c:v>-0.0676691729323309</c:v>
                </c:pt>
                <c:pt idx="20">
                  <c:v>0</c:v>
                </c:pt>
                <c:pt idx="21">
                  <c:v>-0.0524193548387096</c:v>
                </c:pt>
                <c:pt idx="22">
                  <c:v>-0.0638297872340425</c:v>
                </c:pt>
                <c:pt idx="23">
                  <c:v>-0.00227272727272743</c:v>
                </c:pt>
                <c:pt idx="24">
                  <c:v>-0.00455580865603633</c:v>
                </c:pt>
                <c:pt idx="25">
                  <c:v>0.0389016018306636</c:v>
                </c:pt>
                <c:pt idx="26">
                  <c:v>0.0110132158590308</c:v>
                </c:pt>
                <c:pt idx="27">
                  <c:v>0.0130718954248368</c:v>
                </c:pt>
                <c:pt idx="28">
                  <c:v>0.032258064516129</c:v>
                </c:pt>
                <c:pt idx="29">
                  <c:v>0.04375</c:v>
                </c:pt>
                <c:pt idx="30">
                  <c:v>0.00798403193612773</c:v>
                </c:pt>
                <c:pt idx="31">
                  <c:v>-0.00792079207920793</c:v>
                </c:pt>
                <c:pt idx="32">
                  <c:v>-0.0638722554890219</c:v>
                </c:pt>
                <c:pt idx="33">
                  <c:v>-0.0639658848614074</c:v>
                </c:pt>
                <c:pt idx="34">
                  <c:v>-0.0273348519362187</c:v>
                </c:pt>
                <c:pt idx="35">
                  <c:v>-0.037470725995316</c:v>
                </c:pt>
                <c:pt idx="36">
                  <c:v>0</c:v>
                </c:pt>
                <c:pt idx="37">
                  <c:v>0.0948905109489051</c:v>
                </c:pt>
                <c:pt idx="38">
                  <c:v>0.0577777777777777</c:v>
                </c:pt>
                <c:pt idx="39">
                  <c:v>0</c:v>
                </c:pt>
                <c:pt idx="40">
                  <c:v>-0.0336134453781513</c:v>
                </c:pt>
                <c:pt idx="41">
                  <c:v>-0.113043478260869</c:v>
                </c:pt>
                <c:pt idx="42" c:formatCode="0.0%">
                  <c:v>-0.0955882352941176</c:v>
                </c:pt>
                <c:pt idx="43" c:formatCode="0.0%">
                  <c:v>-0.173441734417344</c:v>
                </c:pt>
                <c:pt idx="44" c:formatCode="0.0%">
                  <c:v>-0.121311475409836</c:v>
                </c:pt>
                <c:pt idx="45" c:formatCode="0.0%">
                  <c:v>-0.0932835820895522</c:v>
                </c:pt>
                <c:pt idx="46" c:formatCode="0.0%">
                  <c:v>-0.0781893004115226</c:v>
                </c:pt>
                <c:pt idx="47" c:formatCode="0.0%">
                  <c:v>-0.0446428571428572</c:v>
                </c:pt>
                <c:pt idx="48" c:formatCode="0.0%">
                  <c:v>-0.0140186915887852</c:v>
                </c:pt>
                <c:pt idx="49" c:formatCode="0.0%">
                  <c:v>0</c:v>
                </c:pt>
                <c:pt idx="50" c:formatCode="0.0%">
                  <c:v>-0.123222748815166</c:v>
                </c:pt>
                <c:pt idx="51" c:formatCode="0.0%">
                  <c:v>-0.0594594594594595</c:v>
                </c:pt>
                <c:pt idx="52" c:formatCode="0.0%">
                  <c:v>0</c:v>
                </c:pt>
                <c:pt idx="53" c:formatCode="0.0%">
                  <c:v>0</c:v>
                </c:pt>
                <c:pt idx="54" c:formatCode="0.0%">
                  <c:v>0</c:v>
                </c:pt>
                <c:pt idx="55" c:formatCode="0.0%">
                  <c:v>0.0287356321839081</c:v>
                </c:pt>
                <c:pt idx="56" c:formatCode="0.0%">
                  <c:v>0.0223463687150838</c:v>
                </c:pt>
                <c:pt idx="57" c:formatCode="0.0%">
                  <c:v>0.153005464480874</c:v>
                </c:pt>
                <c:pt idx="58" c:formatCode="0.0%">
                  <c:v>0.28436018957346</c:v>
                </c:pt>
                <c:pt idx="59" c:formatCode="0.0%">
                  <c:v>0.151291512915129</c:v>
                </c:pt>
                <c:pt idx="60" c:formatCode="0.0%">
                  <c:v>0.0673076923076923</c:v>
                </c:pt>
                <c:pt idx="61" c:formatCode="0.0%">
                  <c:v>0.0480480480480481</c:v>
                </c:pt>
                <c:pt idx="62" c:formatCode="0.0%">
                  <c:v>0.180515759312321</c:v>
                </c:pt>
                <c:pt idx="63" c:formatCode="0.0%">
                  <c:v>0</c:v>
                </c:pt>
                <c:pt idx="64" c:formatCode="0.0%">
                  <c:v>0</c:v>
                </c:pt>
                <c:pt idx="65" c:formatCode="0.0%">
                  <c:v>0.0242718446601942</c:v>
                </c:pt>
                <c:pt idx="66" c:formatCode="0.0%">
                  <c:v>0</c:v>
                </c:pt>
                <c:pt idx="67" c:formatCode="0.0%">
                  <c:v>-0.0165876777251184</c:v>
                </c:pt>
                <c:pt idx="68" c:formatCode="0.0%">
                  <c:v>-0.055421686746988</c:v>
                </c:pt>
                <c:pt idx="69" c:formatCode="0.0%">
                  <c:v>-0.0510204081632653</c:v>
                </c:pt>
                <c:pt idx="70" c:formatCode="0.0%">
                  <c:v>-0.169354838709677</c:v>
                </c:pt>
                <c:pt idx="71" c:formatCode="0.0%">
                  <c:v>-0.158576051779935</c:v>
                </c:pt>
                <c:pt idx="72" c:formatCode="0.0%">
                  <c:v>-0.0307692307692308</c:v>
                </c:pt>
                <c:pt idx="73" c:formatCode="0.0%">
                  <c:v>-0.0198412698412698</c:v>
                </c:pt>
                <c:pt idx="74" c:formatCode="0.0%">
                  <c:v>0.101214574898785</c:v>
                </c:pt>
                <c:pt idx="75" c:formatCode="0.0%">
                  <c:v>0.099264705882353</c:v>
                </c:pt>
                <c:pt idx="76" c:formatCode="0.0%">
                  <c:v>0.0267558528428093</c:v>
                </c:pt>
                <c:pt idx="77" c:formatCode="0.0%">
                  <c:v>0.0195439739413681</c:v>
                </c:pt>
                <c:pt idx="78" c:formatCode="0.0%">
                  <c:v>0.0415335463258786</c:v>
                </c:pt>
                <c:pt idx="79" c:formatCode="0.0%">
                  <c:v>0.0337423312883436</c:v>
                </c:pt>
                <c:pt idx="80" c:formatCode="0.0%">
                  <c:v>0.032640949554896</c:v>
                </c:pt>
                <c:pt idx="81" c:formatCode="0.0%">
                  <c:v>0.471264367816092</c:v>
                </c:pt>
                <c:pt idx="82" c:formatCode="0.0%">
                  <c:v>0.65625</c:v>
                </c:pt>
                <c:pt idx="83" c:formatCode="0.0%">
                  <c:v>0.433962264150943</c:v>
                </c:pt>
                <c:pt idx="84" c:formatCode="0.0%">
                  <c:v>0.327302631578947</c:v>
                </c:pt>
                <c:pt idx="85" c:formatCode="0.0%">
                  <c:v>0.237918215613383</c:v>
                </c:pt>
                <c:pt idx="86" c:formatCode="0.0%">
                  <c:v>0.185685685685686</c:v>
                </c:pt>
                <c:pt idx="87" c:formatCode="0.0%">
                  <c:v>0.0498100464330942</c:v>
                </c:pt>
                <c:pt idx="88" c:formatCode="0.0%">
                  <c:v>0.0237233614796943</c:v>
                </c:pt>
              </c:numCache>
            </c:numRef>
          </c:val>
          <c:smooth val="0"/>
        </c:ser>
        <c:ser>
          <c:idx val="5"/>
          <c:order val="5"/>
          <c:tx>
            <c:strRef>
              <c:f>NAND!$AX$23</c:f>
              <c:strCache>
                <c:ptCount val="1"/>
                <c:pt idx="0">
                  <c:v>3D TLC 1Tb MoM</c:v>
                </c:pt>
              </c:strCache>
            </c:strRef>
          </c:tx>
          <c:spPr>
            <a:ln w="12700" cap="rnd" cmpd="sng" algn="ctr">
              <a:solidFill>
                <a:srgbClr val="FFC000"/>
              </a:solidFill>
              <a:prstDash val="solid"/>
              <a:round/>
            </a:ln>
          </c:spPr>
          <c:marker>
            <c:symbol val="circle"/>
            <c:size val="3"/>
            <c:spPr>
              <a:solidFill>
                <a:srgbClr val="FFC000"/>
              </a:solidFill>
              <a:ln w="12700" cap="flat" cmpd="sng" algn="ctr">
                <a:noFill/>
                <a:prstDash val="solid"/>
                <a:round/>
              </a:ln>
            </c:spPr>
          </c:marker>
          <c:dLbls>
            <c:delete val="1"/>
          </c:dLbls>
          <c:val>
            <c:numRef>
              <c:f>NAND!$AX$43:$AX$201</c:f>
              <c:numCache>
                <c:formatCode>0%</c:formatCode>
                <c:ptCount val="159"/>
                <c:pt idx="38">
                  <c:v>0.0481522956326987</c:v>
                </c:pt>
                <c:pt idx="39">
                  <c:v>0</c:v>
                </c:pt>
                <c:pt idx="40">
                  <c:v>-0.0438034188034189</c:v>
                </c:pt>
                <c:pt idx="41">
                  <c:v>-0.0972067039106145</c:v>
                </c:pt>
                <c:pt idx="42" c:formatCode="0.0%">
                  <c:v>-0.068069306930693</c:v>
                </c:pt>
                <c:pt idx="43" c:formatCode="0.0%">
                  <c:v>-0.196547144754316</c:v>
                </c:pt>
                <c:pt idx="44" c:formatCode="0.0%">
                  <c:v>-0.115702479338843</c:v>
                </c:pt>
                <c:pt idx="45" c:formatCode="0.0%">
                  <c:v>-0.102803738317757</c:v>
                </c:pt>
                <c:pt idx="46" c:formatCode="0.0%">
                  <c:v>-0.0562499999999999</c:v>
                </c:pt>
                <c:pt idx="47" c:formatCode="0.0%">
                  <c:v>-0.0551876379690949</c:v>
                </c:pt>
                <c:pt idx="48" c:formatCode="0.0%">
                  <c:v>-0.016355140186916</c:v>
                </c:pt>
                <c:pt idx="49" c:formatCode="0.0%">
                  <c:v>0</c:v>
                </c:pt>
                <c:pt idx="50" c:formatCode="0.0%">
                  <c:v>-0.0831353919239906</c:v>
                </c:pt>
                <c:pt idx="51" c:formatCode="0.0%">
                  <c:v>-0.0621761658031087</c:v>
                </c:pt>
                <c:pt idx="52" c:formatCode="0.0%">
                  <c:v>0</c:v>
                </c:pt>
                <c:pt idx="53" c:formatCode="0.0%">
                  <c:v>0</c:v>
                </c:pt>
                <c:pt idx="54" c:formatCode="0.0%">
                  <c:v>0</c:v>
                </c:pt>
                <c:pt idx="55" c:formatCode="0.0%">
                  <c:v>0</c:v>
                </c:pt>
                <c:pt idx="56" c:formatCode="0.0%">
                  <c:v>0.0220994475138121</c:v>
                </c:pt>
                <c:pt idx="57" c:formatCode="0.0%">
                  <c:v>0.121621621621622</c:v>
                </c:pt>
                <c:pt idx="58" c:formatCode="0.0%">
                  <c:v>0.262650602409638</c:v>
                </c:pt>
                <c:pt idx="59" c:formatCode="0.0%">
                  <c:v>0.190839694656489</c:v>
                </c:pt>
                <c:pt idx="60" c:formatCode="0.0%">
                  <c:v>0.0608974358974359</c:v>
                </c:pt>
                <c:pt idx="61" c:formatCode="0.0%">
                  <c:v>0.0438066465256797</c:v>
                </c:pt>
                <c:pt idx="62" c:formatCode="0.0%">
                  <c:v>0.150506512301013</c:v>
                </c:pt>
                <c:pt idx="63" c:formatCode="0.0%">
                  <c:v>0</c:v>
                </c:pt>
                <c:pt idx="64" c:formatCode="0.0%">
                  <c:v>0</c:v>
                </c:pt>
                <c:pt idx="65" c:formatCode="0.0%">
                  <c:v>0</c:v>
                </c:pt>
                <c:pt idx="66" c:formatCode="0.0%">
                  <c:v>0</c:v>
                </c:pt>
                <c:pt idx="67" c:formatCode="0.0%">
                  <c:v>-0.0377358490566038</c:v>
                </c:pt>
                <c:pt idx="68" c:formatCode="0.0%">
                  <c:v>-0.0823529411764707</c:v>
                </c:pt>
                <c:pt idx="69" c:formatCode="0.0%">
                  <c:v>-0.0413105413105412</c:v>
                </c:pt>
                <c:pt idx="70" c:formatCode="0.0%">
                  <c:v>-0.167904903417534</c:v>
                </c:pt>
                <c:pt idx="71" c:formatCode="0.0%">
                  <c:v>-0.0910714285714286</c:v>
                </c:pt>
                <c:pt idx="72" c:formatCode="0.0%">
                  <c:v>-0.0569744597249509</c:v>
                </c:pt>
                <c:pt idx="73" c:formatCode="0.0%">
                  <c:v>-0.00416666666666654</c:v>
                </c:pt>
                <c:pt idx="74" c:formatCode="0.0%">
                  <c:v>0.094142259414226</c:v>
                </c:pt>
                <c:pt idx="75" c:formatCode="0.0%">
                  <c:v>0.0936902485659654</c:v>
                </c:pt>
                <c:pt idx="76" c:formatCode="0.0%">
                  <c:v>0.0227272727272727</c:v>
                </c:pt>
                <c:pt idx="77" c:formatCode="0.0%">
                  <c:v>0.0102564102564104</c:v>
                </c:pt>
                <c:pt idx="78" c:formatCode="0.0%">
                  <c:v>-0.00169204737732653</c:v>
                </c:pt>
                <c:pt idx="79" c:formatCode="0.0%">
                  <c:v>0.00677966101694927</c:v>
                </c:pt>
                <c:pt idx="80" c:formatCode="0.0%">
                  <c:v>0.0202020202020201</c:v>
                </c:pt>
                <c:pt idx="81" c:formatCode="0.0%">
                  <c:v>0.33993399339934</c:v>
                </c:pt>
                <c:pt idx="82" c:formatCode="0.0%">
                  <c:v>0.612068965517242</c:v>
                </c:pt>
                <c:pt idx="83" c:formatCode="0.0%">
                  <c:v>0.294881588999236</c:v>
                </c:pt>
                <c:pt idx="84" c:formatCode="0.0%">
                  <c:v>0.28023598820059</c:v>
                </c:pt>
                <c:pt idx="85" c:formatCode="0.0%">
                  <c:v>0.155299539170507</c:v>
                </c:pt>
                <c:pt idx="86" c:formatCode="0.0%">
                  <c:v>0.157558835261268</c:v>
                </c:pt>
                <c:pt idx="87" c:formatCode="0.0%">
                  <c:v>0.0578911095796002</c:v>
                </c:pt>
                <c:pt idx="88" c:formatCode="0.0%">
                  <c:v>0.018241042345277</c:v>
                </c:pt>
              </c:numCache>
            </c:numRef>
          </c:val>
          <c:smooth val="0"/>
        </c:ser>
        <c:dLbls>
          <c:showLegendKey val="0"/>
          <c:showVal val="0"/>
          <c:showCatName val="0"/>
          <c:showSerName val="0"/>
          <c:showPercent val="0"/>
          <c:showBubbleSize val="0"/>
        </c:dLbls>
        <c:marker val="1"/>
        <c:smooth val="0"/>
        <c:axId val="1481768320"/>
        <c:axId val="1071090016"/>
        <c:extLst>
          <c:ext xmlns:c15="http://schemas.microsoft.com/office/drawing/2012/chart" uri="{02D57815-91ED-43cb-92C2-25804820EDAC}">
            <c15:filteredLineSeries>
              <c15:ser>
                <c:idx val="3"/>
                <c:order val="3"/>
                <c:tx>
                  <c:strRef>
                    <c:extLst>
                      <c:ext uri="{02D57815-91ED-43cb-92C2-25804820EDAC}">
                        <c15:formulaRef>
                          <c15:sqref>NAND!$AV$23</c15:sqref>
                        </c15:formulaRef>
                      </c:ext>
                    </c:extLst>
                    <c:strCache>
                      <c:ptCount val="1"/>
                      <c:pt idx="0">
                        <c:v>3D TLC 256Gb MoM</c:v>
                      </c:pt>
                    </c:strCache>
                  </c:strRef>
                </c:tx>
                <c:spPr>
                  <a:ln w="12700" cap="rnd" cmpd="sng" algn="ctr">
                    <a:solidFill>
                      <a:schemeClr val="tx1"/>
                    </a:solidFill>
                    <a:prstDash val="solid"/>
                    <a:round/>
                  </a:ln>
                </c:spPr>
                <c:marker>
                  <c:symbol val="triangle"/>
                  <c:size val="3"/>
                  <c:spPr>
                    <a:solidFill>
                      <a:schemeClr val="tx1"/>
                    </a:solidFill>
                    <a:ln w="12700" cap="flat" cmpd="sng" algn="ctr">
                      <a:solidFill>
                        <a:schemeClr val="tx1"/>
                      </a:solidFill>
                      <a:prstDash val="solid"/>
                      <a:round/>
                    </a:ln>
                  </c:spPr>
                </c:marker>
                <c:dLbls>
                  <c:delete val="1"/>
                </c:dLbls>
                <c:cat>
                  <c:numRef>
                    <c:extLst>
                      <c:ext uri="{02D57815-91ED-43cb-92C2-25804820EDAC}">
                        <c15:fullRef>
                          <c15:sqref/>
                        </c15:fullRef>
                        <c15:formulaRef>
                          <c15:sqref>NAND!$AK$43:$AK$201</c15:sqref>
                        </c15:formulaRef>
                      </c:ext>
                    </c:extLst>
                    <c:numCache>
                      <c:formatCode>[$-409]mmm\-yy;@</c:formatCode>
                      <c:ptCount val="159"/>
                      <c:pt idx="0" c:formatCode="[$-409]mmm\-yy;@">
                        <c:v>43496</c:v>
                      </c:pt>
                      <c:pt idx="1" c:formatCode="[$-409]mmm\-yy;@">
                        <c:v>43524</c:v>
                      </c:pt>
                      <c:pt idx="2" c:formatCode="[$-409]mmm\-yy;@">
                        <c:v>43555</c:v>
                      </c:pt>
                      <c:pt idx="3" c:formatCode="[$-409]mmm\-yy;@">
                        <c:v>43585</c:v>
                      </c:pt>
                      <c:pt idx="4" c:formatCode="[$-409]mmm\-yy;@">
                        <c:v>43616</c:v>
                      </c:pt>
                      <c:pt idx="5" c:formatCode="[$-409]mmm\-yy;@">
                        <c:v>43646</c:v>
                      </c:pt>
                      <c:pt idx="6" c:formatCode="[$-409]mmm\-yy;@">
                        <c:v>43677</c:v>
                      </c:pt>
                      <c:pt idx="7" c:formatCode="[$-409]mmm\-yy;@">
                        <c:v>43708</c:v>
                      </c:pt>
                      <c:pt idx="8" c:formatCode="[$-409]mmm\-yy;@">
                        <c:v>43738</c:v>
                      </c:pt>
                      <c:pt idx="9" c:formatCode="[$-409]mmm\-yy;@">
                        <c:v>43769</c:v>
                      </c:pt>
                      <c:pt idx="10" c:formatCode="[$-409]mmm\-yy;@">
                        <c:v>43799</c:v>
                      </c:pt>
                      <c:pt idx="11" c:formatCode="[$-409]mmm\-yy;@">
                        <c:v>43830</c:v>
                      </c:pt>
                      <c:pt idx="12" c:formatCode="[$-409]mmm\-yy;@">
                        <c:v>43861</c:v>
                      </c:pt>
                      <c:pt idx="13" c:formatCode="[$-409]mmm\-yy;@">
                        <c:v>43890</c:v>
                      </c:pt>
                      <c:pt idx="14" c:formatCode="[$-409]mmm\-yy;@">
                        <c:v>43921</c:v>
                      </c:pt>
                      <c:pt idx="15" c:formatCode="[$-409]mmm\-yy;@">
                        <c:v>43951</c:v>
                      </c:pt>
                      <c:pt idx="16" c:formatCode="[$-409]mmm\-yy;@">
                        <c:v>43982</c:v>
                      </c:pt>
                      <c:pt idx="17" c:formatCode="[$-409]mmm\-yy;@">
                        <c:v>44012</c:v>
                      </c:pt>
                      <c:pt idx="18" c:formatCode="[$-409]mmm\-yy;@">
                        <c:v>44043</c:v>
                      </c:pt>
                      <c:pt idx="19" c:formatCode="[$-409]mmm\-yy;@">
                        <c:v>44074</c:v>
                      </c:pt>
                      <c:pt idx="20" c:formatCode="[$-409]mmm\-yy;@">
                        <c:v>44104</c:v>
                      </c:pt>
                      <c:pt idx="21" c:formatCode="[$-409]mmm\-yy;@">
                        <c:v>44135</c:v>
                      </c:pt>
                      <c:pt idx="22" c:formatCode="[$-409]mmm\-yy;@">
                        <c:v>44165</c:v>
                      </c:pt>
                      <c:pt idx="23" c:formatCode="[$-409]mmm\-yy;@">
                        <c:v>44196</c:v>
                      </c:pt>
                      <c:pt idx="24" c:formatCode="[$-409]mmm\-yy;@">
                        <c:v>44227</c:v>
                      </c:pt>
                      <c:pt idx="25" c:formatCode="[$-409]mmm\-yy;@">
                        <c:v>44255</c:v>
                      </c:pt>
                      <c:pt idx="26" c:formatCode="[$-409]mmm\-yy;@">
                        <c:v>44286</c:v>
                      </c:pt>
                      <c:pt idx="27" c:formatCode="[$-409]mmm\-yy;@">
                        <c:v>44316</c:v>
                      </c:pt>
                      <c:pt idx="28" c:formatCode="[$-409]mmm\-yy;@">
                        <c:v>44347</c:v>
                      </c:pt>
                      <c:pt idx="29" c:formatCode="[$-409]mmm\-yy;@">
                        <c:v>44377</c:v>
                      </c:pt>
                      <c:pt idx="30" c:formatCode="[$-409]mmm\-yy;@">
                        <c:v>44408</c:v>
                      </c:pt>
                      <c:pt idx="31" c:formatCode="[$-409]mmm\-yy;@">
                        <c:v>44439</c:v>
                      </c:pt>
                      <c:pt idx="32" c:formatCode="[$-409]mmm\-yy;@">
                        <c:v>44469</c:v>
                      </c:pt>
                      <c:pt idx="33" c:formatCode="[$-409]mmm\-yy;@">
                        <c:v>44500</c:v>
                      </c:pt>
                      <c:pt idx="34" c:formatCode="[$-409]mmm\-yy;@">
                        <c:v>44530</c:v>
                      </c:pt>
                      <c:pt idx="35" c:formatCode="[$-409]mmm\-yy;@">
                        <c:v>44561</c:v>
                      </c:pt>
                      <c:pt idx="36" c:formatCode="[$-409]mmm\-yy;@">
                        <c:v>44592</c:v>
                      </c:pt>
                      <c:pt idx="37" c:formatCode="[$-409]mmm\-yy;@">
                        <c:v>44620</c:v>
                      </c:pt>
                      <c:pt idx="38" c:formatCode="[$-409]mmm\-yy;@">
                        <c:v>44651</c:v>
                      </c:pt>
                      <c:pt idx="39" c:formatCode="[$-409]mmm\-yy;@">
                        <c:v>44681</c:v>
                      </c:pt>
                      <c:pt idx="40" c:formatCode="[$-409]mmm\-yy;@">
                        <c:v>44712</c:v>
                      </c:pt>
                      <c:pt idx="41" c:formatCode="[$-409]mmm\-yy;@">
                        <c:v>44742</c:v>
                      </c:pt>
                      <c:pt idx="42" c:formatCode="[$-409]mmm\-yy;@">
                        <c:v>44773</c:v>
                      </c:pt>
                      <c:pt idx="43" c:formatCode="[$-409]mmm\-yy;@">
                        <c:v>44804</c:v>
                      </c:pt>
                      <c:pt idx="44" c:formatCode="[$-409]mmm\-yy;@">
                        <c:v>44834</c:v>
                      </c:pt>
                      <c:pt idx="45" c:formatCode="[$-409]mmm\-yy;@">
                        <c:v>44865</c:v>
                      </c:pt>
                      <c:pt idx="46" c:formatCode="[$-409]mmm\-yy;@">
                        <c:v>44895</c:v>
                      </c:pt>
                      <c:pt idx="47" c:formatCode="[$-409]mmm\-yy;@">
                        <c:v>44926</c:v>
                      </c:pt>
                      <c:pt idx="48" c:formatCode="[$-409]mmm\-yy;@">
                        <c:v>44957</c:v>
                      </c:pt>
                      <c:pt idx="49" c:formatCode="[$-409]mmm\-yy;@">
                        <c:v>44985</c:v>
                      </c:pt>
                      <c:pt idx="50" c:formatCode="[$-409]mmm\-yy;@">
                        <c:v>45016</c:v>
                      </c:pt>
                      <c:pt idx="51" c:formatCode="[$-409]mmm\-yy;@">
                        <c:v>45046</c:v>
                      </c:pt>
                      <c:pt idx="52" c:formatCode="[$-409]mmm\-yy;@">
                        <c:v>45077</c:v>
                      </c:pt>
                      <c:pt idx="53" c:formatCode="[$-409]mmm\-yy;@">
                        <c:v>45107</c:v>
                      </c:pt>
                      <c:pt idx="54" c:formatCode="[$-409]mmm\-yy;@">
                        <c:v>45138</c:v>
                      </c:pt>
                      <c:pt idx="55" c:formatCode="[$-409]mmm\-yy;@">
                        <c:v>45169</c:v>
                      </c:pt>
                      <c:pt idx="56" c:formatCode="[$-409]mmm\-yy;@">
                        <c:v>45199</c:v>
                      </c:pt>
                      <c:pt idx="57" c:formatCode="[$-409]mmm\-yy;@">
                        <c:v>45230</c:v>
                      </c:pt>
                      <c:pt idx="58" c:formatCode="[$-409]mmm\-yy;@">
                        <c:v>45260</c:v>
                      </c:pt>
                      <c:pt idx="59" c:formatCode="[$-409]mmm\-yy;@">
                        <c:v>45291</c:v>
                      </c:pt>
                      <c:pt idx="60" c:formatCode="[$-409]mmm\-yy;@">
                        <c:v>45322</c:v>
                      </c:pt>
                      <c:pt idx="61" c:formatCode="[$-409]mmm\-yy;@">
                        <c:v>45351</c:v>
                      </c:pt>
                      <c:pt idx="62" c:formatCode="[$-409]mmm\-yy;@">
                        <c:v>45382</c:v>
                      </c:pt>
                      <c:pt idx="63" c:formatCode="[$-409]mmm\-yy;@">
                        <c:v>45412</c:v>
                      </c:pt>
                      <c:pt idx="64" c:formatCode="[$-409]mmm\-yy;@">
                        <c:v>45443</c:v>
                      </c:pt>
                      <c:pt idx="65" c:formatCode="[$-409]mmm\-yy;@">
                        <c:v>45473</c:v>
                      </c:pt>
                      <c:pt idx="66" c:formatCode="[$-409]mmm\-yy;@">
                        <c:v>45504</c:v>
                      </c:pt>
                      <c:pt idx="67" c:formatCode="[$-409]mmm\-yy;@">
                        <c:v>45535</c:v>
                      </c:pt>
                      <c:pt idx="68" c:formatCode="[$-409]mmm\-yy;@">
                        <c:v>45565</c:v>
                      </c:pt>
                      <c:pt idx="69" c:formatCode="[$-409]mmm\-yy;@">
                        <c:v>45596</c:v>
                      </c:pt>
                      <c:pt idx="70" c:formatCode="[$-409]mmm\-yy;@">
                        <c:v>45626</c:v>
                      </c:pt>
                      <c:pt idx="71" c:formatCode="[$-409]mmm\-yy;@">
                        <c:v>45657</c:v>
                      </c:pt>
                      <c:pt idx="72" c:formatCode="[$-409]mmm\-yy;@">
                        <c:v>45688</c:v>
                      </c:pt>
                      <c:pt idx="73" c:formatCode="[$-409]mmm\-yy;@">
                        <c:v>45716</c:v>
                      </c:pt>
                      <c:pt idx="74" c:formatCode="[$-409]mmm\-yy;@">
                        <c:v>45747</c:v>
                      </c:pt>
                      <c:pt idx="75" c:formatCode="[$-409]mmm\-yy;@">
                        <c:v>45777</c:v>
                      </c:pt>
                      <c:pt idx="76" c:formatCode="[$-409]mmm\-yy;@">
                        <c:v>45808</c:v>
                      </c:pt>
                      <c:pt idx="77" c:formatCode="[$-409]mmm\-yy;@">
                        <c:v>45838</c:v>
                      </c:pt>
                      <c:pt idx="78" c:formatCode="[$-409]mmm\-yy;@">
                        <c:v>45869</c:v>
                      </c:pt>
                      <c:pt idx="79" c:formatCode="[$-409]mmm\-yy;@">
                        <c:v>45900</c:v>
                      </c:pt>
                      <c:pt idx="80" c:formatCode="[$-409]mmm\-yy;@">
                        <c:v>45930</c:v>
                      </c:pt>
                      <c:pt idx="81" c:formatCode="[$-409]mmm\-yy;@">
                        <c:v>45961</c:v>
                      </c:pt>
                      <c:pt idx="82" c:formatCode="[$-409]mmm\-yy;@">
                        <c:v>45991</c:v>
                      </c:pt>
                      <c:pt idx="83" c:formatCode="[$-409]mmm\-yy;@">
                        <c:v>46022</c:v>
                      </c:pt>
                      <c:pt idx="84" c:formatCode="[$-409]mmm\-yy;@">
                        <c:v>46053</c:v>
                      </c:pt>
                      <c:pt idx="85" c:formatCode="[$-409]mmm\-yy;@">
                        <c:v>46081</c:v>
                      </c:pt>
                      <c:pt idx="86" c:formatCode="[$-409]mmm\-yy;@">
                        <c:v>46112</c:v>
                      </c:pt>
                      <c:pt idx="87" c:formatCode="[$-409]mmm\-yy;@">
                        <c:v>46142</c:v>
                      </c:pt>
                      <c:pt idx="88" c:formatCode="[$-409]mmm\-yy;@">
                        <c:v>46173</c:v>
                      </c:pt>
                    </c:numCache>
                  </c:numRef>
                </c:cat>
                <c:val>
                  <c:numRef>
                    <c:extLst>
                      <c:ext uri="{02D57815-91ED-43cb-92C2-25804820EDAC}">
                        <c15:formulaRef>
                          <c15:sqref>NAND!$AV$43:$AV$201</c15:sqref>
                        </c15:formulaRef>
                      </c:ext>
                    </c:extLst>
                    <c:numCache>
                      <c:formatCode>0%</c:formatCode>
                      <c:ptCount val="159"/>
                      <c:pt idx="0">
                        <c:v>-0.0371747211895911</c:v>
                      </c:pt>
                      <c:pt idx="1">
                        <c:v>-0.0579150579150579</c:v>
                      </c:pt>
                      <c:pt idx="2">
                        <c:v>-0.102459016393443</c:v>
                      </c:pt>
                      <c:pt idx="3">
                        <c:v>-0.0776255707762556</c:v>
                      </c:pt>
                      <c:pt idx="4">
                        <c:v>-0.0346534653465347</c:v>
                      </c:pt>
                      <c:pt idx="5">
                        <c:v>-0.0153846153846154</c:v>
                      </c:pt>
                      <c:pt idx="6">
                        <c:v>0.177083333333333</c:v>
                      </c:pt>
                      <c:pt idx="7">
                        <c:v>0.0398230088495577</c:v>
                      </c:pt>
                      <c:pt idx="8">
                        <c:v>0</c:v>
                      </c:pt>
                      <c:pt idx="9">
                        <c:v>-0.00425531914893629</c:v>
                      </c:pt>
                      <c:pt idx="10">
                        <c:v>0.00854700854700852</c:v>
                      </c:pt>
                      <c:pt idx="11">
                        <c:v>0.14406779661017</c:v>
                      </c:pt>
                      <c:pt idx="12">
                        <c:v>0.0851851851851853</c:v>
                      </c:pt>
                      <c:pt idx="13">
                        <c:v>0.0477815699658701</c:v>
                      </c:pt>
                      <c:pt idx="14">
                        <c:v>0.0130293159609121</c:v>
                      </c:pt>
                      <c:pt idx="15">
                        <c:v>0</c:v>
                      </c:pt>
                      <c:pt idx="16">
                        <c:v>-0.00643086816720262</c:v>
                      </c:pt>
                      <c:pt idx="17">
                        <c:v>0</c:v>
                      </c:pt>
                      <c:pt idx="18">
                        <c:v>-0.0776699029126213</c:v>
                      </c:pt>
                      <c:pt idx="19">
                        <c:v>-0.108771929824561</c:v>
                      </c:pt>
                      <c:pt idx="20">
                        <c:v>0</c:v>
                      </c:pt>
                      <c:pt idx="21">
                        <c:v>-0.0118110236220473</c:v>
                      </c:pt>
                      <c:pt idx="22">
                        <c:v>-0.0517928286852589</c:v>
                      </c:pt>
                      <c:pt idx="23">
                        <c:v>-0.0126050420168067</c:v>
                      </c:pt>
                      <c:pt idx="24">
                        <c:v>-0.00425531914893629</c:v>
                      </c:pt>
                      <c:pt idx="25">
                        <c:v>0.0598290598290598</c:v>
                      </c:pt>
                      <c:pt idx="26">
                        <c:v>0.0161290322580645</c:v>
                      </c:pt>
                      <c:pt idx="27">
                        <c:v>0.0238095238095237</c:v>
                      </c:pt>
                      <c:pt idx="28">
                        <c:v>0.0232558139534884</c:v>
                      </c:pt>
                      <c:pt idx="29">
                        <c:v>0.0378787878787878</c:v>
                      </c:pt>
                      <c:pt idx="30">
                        <c:v>0.0145985401459852</c:v>
                      </c:pt>
                      <c:pt idx="31">
                        <c:v>0</c:v>
                      </c:pt>
                      <c:pt idx="32">
                        <c:v>-0.0467625899280575</c:v>
                      </c:pt>
                      <c:pt idx="33">
                        <c:v>-0.0716981132075472</c:v>
                      </c:pt>
                      <c:pt idx="34">
                        <c:v>-0.00406504065040647</c:v>
                      </c:pt>
                      <c:pt idx="35">
                        <c:v>-0.0122448979591838</c:v>
                      </c:pt>
                      <c:pt idx="36">
                        <c:v>0</c:v>
                      </c:pt>
                      <c:pt idx="37">
                        <c:v>0.0826446280991737</c:v>
                      </c:pt>
                      <c:pt idx="38">
                        <c:v>0.0229007633587786</c:v>
                      </c:pt>
                      <c:pt idx="39">
                        <c:v>0</c:v>
                      </c:pt>
                      <c:pt idx="40">
                        <c:v>-0.0298507462686567</c:v>
                      </c:pt>
                      <c:pt idx="41">
                        <c:v>-0.111538461538462</c:v>
                      </c:pt>
                      <c:pt idx="42" c:formatCode="0.0%">
                        <c:v>-0.0735930735930735</c:v>
                      </c:pt>
                      <c:pt idx="43" c:formatCode="0.0%">
                        <c:v>-0.196261682242991</c:v>
                      </c:pt>
                      <c:pt idx="44" c:formatCode="0.0%">
                        <c:v>-0.104651162790698</c:v>
                      </c:pt>
                      <c:pt idx="45" c:formatCode="0.0%">
                        <c:v>-0.116883116883117</c:v>
                      </c:pt>
                      <c:pt idx="46" c:formatCode="0.0%">
                        <c:v>-0.0588235294117647</c:v>
                      </c:pt>
                      <c:pt idx="47" c:formatCode="0.0%">
                        <c:v>-0.0390625</c:v>
                      </c:pt>
                      <c:pt idx="48" c:formatCode="0.0%">
                        <c:v>-0.00813008130081305</c:v>
                      </c:pt>
                      <c:pt idx="49" c:formatCode="0.0%">
                        <c:v>0</c:v>
                      </c:pt>
                      <c:pt idx="50" c:formatCode="0.0%">
                        <c:v>-0.0737704918032788</c:v>
                      </c:pt>
                      <c:pt idx="51" c:formatCode="0.0%">
                        <c:v>-0.0530973451327432</c:v>
                      </c:pt>
                      <c:pt idx="52" c:formatCode="0.0%">
                        <c:v>0</c:v>
                      </c:pt>
                      <c:pt idx="53" c:formatCode="0.0%">
                        <c:v>0</c:v>
                      </c:pt>
                      <c:pt idx="54" c:formatCode="0.0%">
                        <c:v>0</c:v>
                      </c:pt>
                      <c:pt idx="55" c:formatCode="0.0%">
                        <c:v>0</c:v>
                      </c:pt>
                      <c:pt idx="56" c:formatCode="0.0%">
                        <c:v>0</c:v>
                      </c:pt>
                      <c:pt idx="57" c:formatCode="0.0%">
                        <c:v>0.121495327102804</c:v>
                      </c:pt>
                      <c:pt idx="58" c:formatCode="0.0%">
                        <c:v>0.391666666666667</c:v>
                      </c:pt>
                      <c:pt idx="59" c:formatCode="0.0%">
                        <c:v>0.0838323353293413</c:v>
                      </c:pt>
                      <c:pt idx="60" c:formatCode="0.0%">
                        <c:v>0</c:v>
                      </c:pt>
                      <c:pt idx="61" c:formatCode="0.0%">
                        <c:v>0</c:v>
                      </c:pt>
                      <c:pt idx="62" c:formatCode="0.0%">
                        <c:v>0.165745856353591</c:v>
                      </c:pt>
                      <c:pt idx="63" c:formatCode="0.0%">
                        <c:v>0</c:v>
                      </c:pt>
                      <c:pt idx="64" c:formatCode="0.0%">
                        <c:v>0</c:v>
                      </c:pt>
                      <c:pt idx="65" c:formatCode="0.0%">
                        <c:v>0.018957345971564</c:v>
                      </c:pt>
                      <c:pt idx="66" c:formatCode="0.0%">
                        <c:v>0</c:v>
                      </c:pt>
                      <c:pt idx="67" c:formatCode="0.0%">
                        <c:v>-0.0372093023255814</c:v>
                      </c:pt>
                      <c:pt idx="68" c:formatCode="0.0%">
                        <c:v>-0.101449275362319</c:v>
                      </c:pt>
                      <c:pt idx="69" c:formatCode="0.0%">
                        <c:v>-0.0645161290322581</c:v>
                      </c:pt>
                      <c:pt idx="70" c:formatCode="0.0%">
                        <c:v>-0.137931034482759</c:v>
                      </c:pt>
                      <c:pt idx="71" c:formatCode="0.0%">
                        <c:v>-0.00666666666666671</c:v>
                      </c:pt>
                      <c:pt idx="72" c:formatCode="0.0%">
                        <c:v>0.0335570469798658</c:v>
                      </c:pt>
                      <c:pt idx="73" c:formatCode="0.0%">
                        <c:v>0.0389610389610391</c:v>
                      </c:pt>
                      <c:pt idx="74" c:formatCode="0.0%">
                        <c:v>0.125</c:v>
                      </c:pt>
                      <c:pt idx="75" c:formatCode="0.0%">
                        <c:v>0.144444444444444</c:v>
                      </c:pt>
                      <c:pt idx="76" c:formatCode="0.0%">
                        <c:v>0.058252427184466</c:v>
                      </c:pt>
                      <c:pt idx="77" c:formatCode="0.0%">
                        <c:v>0.0871559633027523</c:v>
                      </c:pt>
                      <c:pt idx="78" c:formatCode="0.0%">
                        <c:v>0.0801687763713079</c:v>
                      </c:pt>
                      <c:pt idx="79" c:formatCode="0.0%">
                        <c:v>0.046875</c:v>
                      </c:pt>
                      <c:pt idx="80" c:formatCode="0.0%">
                        <c:v>0.0485074626865671</c:v>
                      </c:pt>
                      <c:pt idx="81" c:formatCode="0.0%">
                        <c:v>0.284697508896797</c:v>
                      </c:pt>
                      <c:pt idx="82" c:formatCode="0.0%">
                        <c:v>0.35180055401662</c:v>
                      </c:pt>
                      <c:pt idx="83" c:formatCode="0.0%">
                        <c:v>0.385245901639344</c:v>
                      </c:pt>
                      <c:pt idx="84" c:formatCode="0.0%">
                        <c:v>0.322485207100592</c:v>
                      </c:pt>
                      <c:pt idx="85" c:formatCode="0.0%">
                        <c:v>0.194630872483222</c:v>
                      </c:pt>
                      <c:pt idx="86" c:formatCode="0.0%">
                        <c:v>0.294007490636704</c:v>
                      </c:pt>
                      <c:pt idx="87" c:formatCode="0.0%">
                        <c:v>0.0788712011577424</c:v>
                      </c:pt>
                      <c:pt idx="88" c:formatCode="0.0%">
                        <c:v>0.0321931589537223</c:v>
                      </c:pt>
                    </c:numCache>
                  </c:numRef>
                </c:val>
                <c:smooth val="0"/>
              </c15:ser>
            </c15:filteredLineSeries>
          </c:ext>
        </c:extLst>
      </c:lineChart>
      <c:dateAx>
        <c:axId val="1428906976"/>
        <c:scaling>
          <c:orientation val="minMax"/>
        </c:scaling>
        <c:delete val="0"/>
        <c:axPos val="b"/>
        <c:majorGridlines>
          <c:spPr>
            <a:ln w="12700" cap="flat" cmpd="sng" algn="ctr">
              <a:solidFill>
                <a:schemeClr val="bg1">
                  <a:lumMod val="85000"/>
                </a:schemeClr>
              </a:solidFill>
              <a:prstDash val="solid"/>
              <a:round/>
            </a:ln>
          </c:spPr>
        </c:majorGridlines>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475104800"/>
        <c:crosses val="autoZero"/>
        <c:auto val="1"/>
        <c:lblOffset val="100"/>
        <c:baseTimeUnit val="months"/>
        <c:majorUnit val="3"/>
        <c:majorTimeUnit val="months"/>
      </c:dateAx>
      <c:valAx>
        <c:axId val="1475104800"/>
        <c:scaling>
          <c:orientation val="minMax"/>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US$/GB</a:t>
                </a:r>
                <a:endParaRPr lang="en-US"/>
              </a:p>
            </c:rich>
          </c:tx>
          <c:layout/>
          <c:overlay val="0"/>
        </c:title>
        <c:numFmt formatCode="#,##0.0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428906976"/>
        <c:crosses val="autoZero"/>
        <c:crossBetween val="between"/>
      </c:valAx>
      <c:dateAx>
        <c:axId val="1481768320"/>
        <c:scaling>
          <c:orientation val="minMax"/>
        </c:scaling>
        <c:delete val="1"/>
        <c:axPos val="b"/>
        <c:numFmt formatCode="[$-409]mmm\-yy;@" sourceLinked="1"/>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071090016"/>
        <c:crosses val="autoZero"/>
        <c:auto val="1"/>
        <c:lblOffset val="100"/>
        <c:baseTimeUnit val="months"/>
      </c:dateAx>
      <c:valAx>
        <c:axId val="1071090016"/>
        <c:scaling>
          <c:orientation val="minMax"/>
        </c:scaling>
        <c:delete val="0"/>
        <c:axPos val="r"/>
        <c:majorGridlines>
          <c:spPr>
            <a:ln w="12700" cap="flat" cmpd="sng" algn="ctr">
              <a:solidFill>
                <a:schemeClr val="bg1">
                  <a:lumMod val="85000"/>
                </a:schemeClr>
              </a:solidFill>
              <a:prstDash val="solid"/>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MoM</a:t>
                </a:r>
                <a:endParaRPr lang="en-US"/>
              </a:p>
            </c:rich>
          </c:tx>
          <c:layout/>
          <c:overlay val="0"/>
        </c:title>
        <c:numFmt formatCode="0%" sourceLinked="1"/>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481768320"/>
        <c:crosses val="max"/>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ebd32c05-91fb-4b6b-b7ad-2d9d82da9a9d}"/>
      </c:ext>
    </c:extLst>
  </c:chart>
  <c:spPr>
    <a:ln w="3175" cap="flat" cmpd="sng" algn="ctr">
      <a:solidFill>
        <a:srgbClr val="FFFFFF"/>
      </a:solidFill>
      <a:prstDash val="solid"/>
      <a:round/>
    </a:ln>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NAND Wafer (3D TLC 256Gb) Spot Price &amp; WoW</a:t>
            </a:r>
            <a:endParaRPr lang="en-US"/>
          </a:p>
        </c:rich>
      </c:tx>
      <c:layout/>
      <c:overlay val="0"/>
    </c:title>
    <c:autoTitleDeleted val="0"/>
    <c:plotArea>
      <c:layout/>
      <c:barChart>
        <c:barDir val="col"/>
        <c:grouping val="clustered"/>
        <c:varyColors val="0"/>
        <c:ser>
          <c:idx val="0"/>
          <c:order val="0"/>
          <c:tx>
            <c:strRef>
              <c:f>NAND!$I$23</c:f>
              <c:strCache>
                <c:ptCount val="1"/>
                <c:pt idx="0">
                  <c:v>3D TLC 256Gb</c:v>
                </c:pt>
              </c:strCache>
            </c:strRef>
          </c:tx>
          <c:spPr>
            <a:solidFill>
              <a:schemeClr val="accent1">
                <a:alpha val="50000"/>
              </a:schemeClr>
            </a:solidFill>
            <a:ln w="6350">
              <a:solidFill>
                <a:schemeClr val="tx1"/>
              </a:solidFill>
              <a:prstDash val="solid"/>
            </a:ln>
          </c:spPr>
          <c:invertIfNegative val="0"/>
          <c:dLbls>
            <c:delete val="1"/>
          </c:dLbls>
          <c:cat>
            <c:numRef>
              <c:f>NAND!$E$127:$E$225</c:f>
              <c:numCache>
                <c:formatCode>yyyy/m/d</c:formatCode>
                <c:ptCount val="99"/>
                <c:pt idx="0" c:formatCode="yyyy/m/d">
                  <c:v>44200</c:v>
                </c:pt>
                <c:pt idx="1" c:formatCode="yyyy/m/d">
                  <c:v>44207</c:v>
                </c:pt>
                <c:pt idx="2" c:formatCode="yyyy/m/d">
                  <c:v>44214</c:v>
                </c:pt>
                <c:pt idx="3" c:formatCode="yyyy/m/d">
                  <c:v>44221</c:v>
                </c:pt>
                <c:pt idx="4" c:formatCode="yyyy/m/d">
                  <c:v>44228</c:v>
                </c:pt>
                <c:pt idx="5" c:formatCode="yyyy/m/d">
                  <c:v>44235</c:v>
                </c:pt>
                <c:pt idx="6" c:formatCode="yyyy/m/d">
                  <c:v>44244</c:v>
                </c:pt>
                <c:pt idx="7" c:formatCode="yyyy/m/d">
                  <c:v>44249</c:v>
                </c:pt>
                <c:pt idx="8" c:formatCode="yyyy/m/d">
                  <c:v>44256</c:v>
                </c:pt>
                <c:pt idx="9" c:formatCode="yyyy/m/d">
                  <c:v>44263</c:v>
                </c:pt>
                <c:pt idx="10" c:formatCode="yyyy/m/d">
                  <c:v>44270</c:v>
                </c:pt>
                <c:pt idx="11" c:formatCode="yyyy/m/d">
                  <c:v>44277</c:v>
                </c:pt>
                <c:pt idx="12" c:formatCode="yyyy/m/d">
                  <c:v>44284</c:v>
                </c:pt>
                <c:pt idx="13" c:formatCode="yyyy/m/d">
                  <c:v>44292</c:v>
                </c:pt>
                <c:pt idx="14" c:formatCode="yyyy/m/d">
                  <c:v>44298</c:v>
                </c:pt>
                <c:pt idx="15" c:formatCode="yyyy/m/d">
                  <c:v>44305</c:v>
                </c:pt>
                <c:pt idx="16" c:formatCode="yyyy/m/d">
                  <c:v>44312</c:v>
                </c:pt>
                <c:pt idx="17" c:formatCode="yyyy/m/d">
                  <c:v>44319</c:v>
                </c:pt>
                <c:pt idx="18" c:formatCode="yyyy/m/d">
                  <c:v>44326</c:v>
                </c:pt>
                <c:pt idx="19" c:formatCode="yyyy/m/d">
                  <c:v>44333</c:v>
                </c:pt>
                <c:pt idx="20" c:formatCode="yyyy/m/d">
                  <c:v>44340</c:v>
                </c:pt>
                <c:pt idx="21" c:formatCode="yyyy/m/d">
                  <c:v>44347</c:v>
                </c:pt>
                <c:pt idx="22" c:formatCode="yyyy/m/d">
                  <c:v>44354</c:v>
                </c:pt>
                <c:pt idx="23" c:formatCode="yyyy/m/d">
                  <c:v>44362</c:v>
                </c:pt>
                <c:pt idx="24" c:formatCode="yyyy/m/d">
                  <c:v>44368</c:v>
                </c:pt>
                <c:pt idx="25" c:formatCode="yyyy/m/d">
                  <c:v>44375</c:v>
                </c:pt>
                <c:pt idx="26" c:formatCode="yyyy/m/d">
                  <c:v>44382</c:v>
                </c:pt>
                <c:pt idx="27" c:formatCode="yyyy/m/d">
                  <c:v>44389</c:v>
                </c:pt>
                <c:pt idx="28" c:formatCode="yyyy/m/d">
                  <c:v>44396</c:v>
                </c:pt>
                <c:pt idx="29" c:formatCode="yyyy/m/d">
                  <c:v>44403</c:v>
                </c:pt>
                <c:pt idx="30" c:formatCode="yyyy/m/d">
                  <c:v>44410</c:v>
                </c:pt>
                <c:pt idx="31" c:formatCode="yyyy/m/d">
                  <c:v>44417</c:v>
                </c:pt>
                <c:pt idx="32" c:formatCode="yyyy/m/d">
                  <c:v>44424</c:v>
                </c:pt>
                <c:pt idx="33" c:formatCode="yyyy/m/d">
                  <c:v>44431</c:v>
                </c:pt>
                <c:pt idx="34" c:formatCode="yyyy/m/d">
                  <c:v>44438</c:v>
                </c:pt>
                <c:pt idx="35" c:formatCode="yyyy/m/d">
                  <c:v>44445</c:v>
                </c:pt>
                <c:pt idx="36" c:formatCode="yyyy/m/d">
                  <c:v>44452</c:v>
                </c:pt>
                <c:pt idx="37" c:formatCode="yyyy/m/d">
                  <c:v>44461</c:v>
                </c:pt>
                <c:pt idx="38" c:formatCode="yyyy/m/d">
                  <c:v>44466</c:v>
                </c:pt>
                <c:pt idx="39" c:formatCode="yyyy/m/d">
                  <c:v>44473</c:v>
                </c:pt>
                <c:pt idx="40" c:formatCode="yyyy/m/d">
                  <c:v>44480</c:v>
                </c:pt>
                <c:pt idx="41" c:formatCode="yyyy/m/d">
                  <c:v>44487</c:v>
                </c:pt>
                <c:pt idx="42" c:formatCode="yyyy/m/d">
                  <c:v>44494</c:v>
                </c:pt>
                <c:pt idx="43" c:formatCode="yyyy/m/d">
                  <c:v>44501</c:v>
                </c:pt>
                <c:pt idx="44" c:formatCode="yyyy/m/d">
                  <c:v>44508</c:v>
                </c:pt>
                <c:pt idx="45" c:formatCode="yyyy/m/d">
                  <c:v>44515</c:v>
                </c:pt>
                <c:pt idx="46" c:formatCode="yyyy/m/d">
                  <c:v>44522</c:v>
                </c:pt>
                <c:pt idx="47" c:formatCode="yyyy/m/d">
                  <c:v>44529</c:v>
                </c:pt>
                <c:pt idx="48" c:formatCode="yyyy/m/d">
                  <c:v>44536</c:v>
                </c:pt>
                <c:pt idx="49" c:formatCode="yyyy/m/d">
                  <c:v>44543</c:v>
                </c:pt>
                <c:pt idx="50" c:formatCode="yyyy/m/d">
                  <c:v>44550</c:v>
                </c:pt>
                <c:pt idx="51" c:formatCode="yyyy/m/d">
                  <c:v>44557</c:v>
                </c:pt>
                <c:pt idx="52" c:formatCode="yyyy/m/d">
                  <c:v>44564</c:v>
                </c:pt>
                <c:pt idx="53" c:formatCode="yyyy/m/d">
                  <c:v>44571</c:v>
                </c:pt>
                <c:pt idx="54" c:formatCode="yyyy/m/d">
                  <c:v>44578</c:v>
                </c:pt>
                <c:pt idx="55" c:formatCode="yyyy/m/d">
                  <c:v>44585</c:v>
                </c:pt>
                <c:pt idx="56" c:formatCode="yyyy/m/d">
                  <c:v>44599</c:v>
                </c:pt>
                <c:pt idx="57" c:formatCode="yyyy/m/d">
                  <c:v>44606</c:v>
                </c:pt>
                <c:pt idx="58" c:formatCode="yyyy/m/d">
                  <c:v>44613</c:v>
                </c:pt>
                <c:pt idx="59" c:formatCode="yyyy/m/d">
                  <c:v>44620</c:v>
                </c:pt>
                <c:pt idx="60" c:formatCode="yyyy/m/d">
                  <c:v>44627</c:v>
                </c:pt>
                <c:pt idx="61" c:formatCode="yyyy/m/d">
                  <c:v>44634</c:v>
                </c:pt>
                <c:pt idx="62" c:formatCode="yyyy/m/d">
                  <c:v>44641</c:v>
                </c:pt>
                <c:pt idx="63" c:formatCode="yyyy/m/d">
                  <c:v>44648</c:v>
                </c:pt>
                <c:pt idx="64" c:formatCode="yyyy/m/d">
                  <c:v>44657</c:v>
                </c:pt>
                <c:pt idx="65" c:formatCode="yyyy/m/d">
                  <c:v>44662</c:v>
                </c:pt>
                <c:pt idx="66" c:formatCode="yyyy/m/d">
                  <c:v>44669</c:v>
                </c:pt>
                <c:pt idx="67" c:formatCode="yyyy/m/d">
                  <c:v>44676</c:v>
                </c:pt>
                <c:pt idx="68" c:formatCode="yyyy/m/d">
                  <c:v>44684</c:v>
                </c:pt>
                <c:pt idx="69" c:formatCode="yyyy/m/d">
                  <c:v>44690</c:v>
                </c:pt>
                <c:pt idx="70" c:formatCode="yyyy/m/d">
                  <c:v>44697</c:v>
                </c:pt>
                <c:pt idx="71" c:formatCode="yyyy/m/d">
                  <c:v>44704</c:v>
                </c:pt>
                <c:pt idx="72" c:formatCode="yyyy/m/d">
                  <c:v>44711</c:v>
                </c:pt>
                <c:pt idx="73" c:formatCode="yyyy/m/d">
                  <c:v>44718</c:v>
                </c:pt>
                <c:pt idx="74" c:formatCode="yyyy/m/d">
                  <c:v>44725</c:v>
                </c:pt>
                <c:pt idx="75" c:formatCode="yyyy/m/d">
                  <c:v>44732</c:v>
                </c:pt>
                <c:pt idx="76" c:formatCode="yyyy/m/d">
                  <c:v>44739</c:v>
                </c:pt>
                <c:pt idx="77" c:formatCode="yyyy/m/d">
                  <c:v>44746</c:v>
                </c:pt>
                <c:pt idx="78" c:formatCode="yyyy/m/d">
                  <c:v>44753</c:v>
                </c:pt>
                <c:pt idx="79" c:formatCode="yyyy/m/d">
                  <c:v>44760</c:v>
                </c:pt>
                <c:pt idx="80" c:formatCode="yyyy/m/d">
                  <c:v>44767</c:v>
                </c:pt>
                <c:pt idx="81" c:formatCode="yyyy/m/d">
                  <c:v>44774</c:v>
                </c:pt>
                <c:pt idx="82" c:formatCode="yyyy/m/d">
                  <c:v>44781</c:v>
                </c:pt>
                <c:pt idx="83" c:formatCode="yyyy/m/d">
                  <c:v>44788</c:v>
                </c:pt>
                <c:pt idx="84" c:formatCode="yyyy/m/d">
                  <c:v>44795</c:v>
                </c:pt>
                <c:pt idx="85" c:formatCode="yyyy/m/d">
                  <c:v>44802</c:v>
                </c:pt>
                <c:pt idx="86" c:formatCode="yyyy/m/d">
                  <c:v>44809</c:v>
                </c:pt>
                <c:pt idx="87" c:formatCode="yyyy/m/d">
                  <c:v>44816</c:v>
                </c:pt>
                <c:pt idx="88" c:formatCode="yyyy/m/d">
                  <c:v>44823</c:v>
                </c:pt>
                <c:pt idx="89" c:formatCode="yyyy/m/d">
                  <c:v>44830</c:v>
                </c:pt>
                <c:pt idx="90" c:formatCode="yyyy/m/d">
                  <c:v>44837</c:v>
                </c:pt>
                <c:pt idx="91" c:formatCode="yyyy/m/d">
                  <c:v>44844</c:v>
                </c:pt>
                <c:pt idx="92" c:formatCode="yyyy/m/d">
                  <c:v>44851</c:v>
                </c:pt>
                <c:pt idx="93" c:formatCode="yyyy/m/d">
                  <c:v>44858</c:v>
                </c:pt>
                <c:pt idx="94" c:formatCode="yyyy/m/d">
                  <c:v>44865</c:v>
                </c:pt>
                <c:pt idx="95" c:formatCode="yyyy/m/d">
                  <c:v>44872</c:v>
                </c:pt>
                <c:pt idx="96" c:formatCode="yyyy/m/d">
                  <c:v>44879</c:v>
                </c:pt>
                <c:pt idx="97" c:formatCode="yyyy/m/d">
                  <c:v>44886</c:v>
                </c:pt>
                <c:pt idx="98" c:formatCode="yyyy/m/d">
                  <c:v>44893</c:v>
                </c:pt>
              </c:numCache>
            </c:numRef>
          </c:cat>
          <c:val>
            <c:numRef>
              <c:f>NAND!$F$127:$F$225</c:f>
              <c:numCache>
                <c:formatCode>#,##0.00</c:formatCode>
                <c:ptCount val="99"/>
                <c:pt idx="0">
                  <c:v>2.184</c:v>
                </c:pt>
                <c:pt idx="1">
                  <c:v>2.176</c:v>
                </c:pt>
                <c:pt idx="2">
                  <c:v>2.174</c:v>
                </c:pt>
                <c:pt idx="3">
                  <c:v>2.175</c:v>
                </c:pt>
                <c:pt idx="4">
                  <c:v>2.174</c:v>
                </c:pt>
                <c:pt idx="5">
                  <c:v>2.174</c:v>
                </c:pt>
                <c:pt idx="6">
                  <c:v>2.174</c:v>
                </c:pt>
                <c:pt idx="7">
                  <c:v>2.174</c:v>
                </c:pt>
                <c:pt idx="8">
                  <c:v>2.2</c:v>
                </c:pt>
                <c:pt idx="9">
                  <c:v>2.221</c:v>
                </c:pt>
                <c:pt idx="10">
                  <c:v>2.285</c:v>
                </c:pt>
                <c:pt idx="11">
                  <c:v>2.321</c:v>
                </c:pt>
                <c:pt idx="12">
                  <c:v>2.319</c:v>
                </c:pt>
                <c:pt idx="13">
                  <c:v>2.318</c:v>
                </c:pt>
                <c:pt idx="14">
                  <c:v>2.303</c:v>
                </c:pt>
                <c:pt idx="15">
                  <c:v>2.3</c:v>
                </c:pt>
                <c:pt idx="16">
                  <c:v>2.3</c:v>
                </c:pt>
                <c:pt idx="17">
                  <c:v>2.299</c:v>
                </c:pt>
                <c:pt idx="18">
                  <c:v>2.303</c:v>
                </c:pt>
                <c:pt idx="19">
                  <c:v>2.303</c:v>
                </c:pt>
                <c:pt idx="20">
                  <c:v>2.71</c:v>
                </c:pt>
                <c:pt idx="21">
                  <c:v>2.669</c:v>
                </c:pt>
                <c:pt idx="22">
                  <c:v>2.654</c:v>
                </c:pt>
                <c:pt idx="23">
                  <c:v>2.647</c:v>
                </c:pt>
                <c:pt idx="24">
                  <c:v>2.632</c:v>
                </c:pt>
                <c:pt idx="25">
                  <c:v>2.618</c:v>
                </c:pt>
                <c:pt idx="26">
                  <c:v>2.615</c:v>
                </c:pt>
                <c:pt idx="27">
                  <c:v>2.65</c:v>
                </c:pt>
                <c:pt idx="28">
                  <c:v>2.65</c:v>
                </c:pt>
                <c:pt idx="29">
                  <c:v>2.649</c:v>
                </c:pt>
                <c:pt idx="30">
                  <c:v>2.649</c:v>
                </c:pt>
                <c:pt idx="31">
                  <c:v>2.648</c:v>
                </c:pt>
                <c:pt idx="32">
                  <c:v>2.636</c:v>
                </c:pt>
                <c:pt idx="33">
                  <c:v>2.604</c:v>
                </c:pt>
                <c:pt idx="34">
                  <c:v>2.579</c:v>
                </c:pt>
                <c:pt idx="35">
                  <c:v>2.578</c:v>
                </c:pt>
                <c:pt idx="36">
                  <c:v>2.568</c:v>
                </c:pt>
                <c:pt idx="37">
                  <c:v>2.518</c:v>
                </c:pt>
                <c:pt idx="38">
                  <c:v>2.496</c:v>
                </c:pt>
                <c:pt idx="39">
                  <c:v>2.448</c:v>
                </c:pt>
                <c:pt idx="40">
                  <c:v>2.448</c:v>
                </c:pt>
                <c:pt idx="41">
                  <c:v>2.326</c:v>
                </c:pt>
                <c:pt idx="42">
                  <c:v>2.226</c:v>
                </c:pt>
                <c:pt idx="43">
                  <c:v>2.208</c:v>
                </c:pt>
                <c:pt idx="44">
                  <c:v>2.2</c:v>
                </c:pt>
                <c:pt idx="45">
                  <c:v>2.17</c:v>
                </c:pt>
                <c:pt idx="46">
                  <c:v>2.11</c:v>
                </c:pt>
                <c:pt idx="47">
                  <c:v>2.07</c:v>
                </c:pt>
                <c:pt idx="48">
                  <c:v>2.06</c:v>
                </c:pt>
                <c:pt idx="49">
                  <c:v>2.05</c:v>
                </c:pt>
                <c:pt idx="50">
                  <c:v>2.05</c:v>
                </c:pt>
                <c:pt idx="51">
                  <c:v>2.06</c:v>
                </c:pt>
                <c:pt idx="52">
                  <c:v>2.07</c:v>
                </c:pt>
                <c:pt idx="53">
                  <c:v>2.08</c:v>
                </c:pt>
                <c:pt idx="54">
                  <c:v>2.09</c:v>
                </c:pt>
                <c:pt idx="55">
                  <c:v>2.09</c:v>
                </c:pt>
                <c:pt idx="56">
                  <c:v>2.09</c:v>
                </c:pt>
                <c:pt idx="57">
                  <c:v>2.15</c:v>
                </c:pt>
                <c:pt idx="58">
                  <c:v>2.29</c:v>
                </c:pt>
                <c:pt idx="59">
                  <c:v>2.31</c:v>
                </c:pt>
                <c:pt idx="60">
                  <c:v>2.35</c:v>
                </c:pt>
                <c:pt idx="61">
                  <c:v>2.37</c:v>
                </c:pt>
                <c:pt idx="62">
                  <c:v>2.37</c:v>
                </c:pt>
                <c:pt idx="63">
                  <c:v>2.36</c:v>
                </c:pt>
                <c:pt idx="64">
                  <c:v>2.33</c:v>
                </c:pt>
                <c:pt idx="65">
                  <c:v>2.3</c:v>
                </c:pt>
                <c:pt idx="66">
                  <c:v>2.3</c:v>
                </c:pt>
                <c:pt idx="67">
                  <c:v>2.29</c:v>
                </c:pt>
                <c:pt idx="68">
                  <c:v>2.23</c:v>
                </c:pt>
                <c:pt idx="69">
                  <c:v>2.21</c:v>
                </c:pt>
                <c:pt idx="70">
                  <c:v>2.19</c:v>
                </c:pt>
                <c:pt idx="71">
                  <c:v>2.17</c:v>
                </c:pt>
                <c:pt idx="72">
                  <c:v>2.1</c:v>
                </c:pt>
                <c:pt idx="73">
                  <c:v>2.08</c:v>
                </c:pt>
                <c:pt idx="74">
                  <c:v>1.99</c:v>
                </c:pt>
                <c:pt idx="75">
                  <c:v>1.97</c:v>
                </c:pt>
                <c:pt idx="76">
                  <c:v>1.94</c:v>
                </c:pt>
                <c:pt idx="77">
                  <c:v>1.81</c:v>
                </c:pt>
                <c:pt idx="78">
                  <c:v>1.79</c:v>
                </c:pt>
                <c:pt idx="79">
                  <c:v>1.79</c:v>
                </c:pt>
                <c:pt idx="80">
                  <c:v>1.79</c:v>
                </c:pt>
                <c:pt idx="81">
                  <c:v>1.79</c:v>
                </c:pt>
                <c:pt idx="82">
                  <c:v>1.78</c:v>
                </c:pt>
                <c:pt idx="83">
                  <c:v>1.78</c:v>
                </c:pt>
                <c:pt idx="84">
                  <c:v>1.67</c:v>
                </c:pt>
                <c:pt idx="85">
                  <c:v>1.55</c:v>
                </c:pt>
                <c:pt idx="86">
                  <c:v>1.49</c:v>
                </c:pt>
                <c:pt idx="87">
                  <c:v>1.48</c:v>
                </c:pt>
                <c:pt idx="88">
                  <c:v>1.47</c:v>
                </c:pt>
                <c:pt idx="89">
                  <c:v>1.43</c:v>
                </c:pt>
                <c:pt idx="90">
                  <c:v>1.4</c:v>
                </c:pt>
                <c:pt idx="91">
                  <c:v>1.38</c:v>
                </c:pt>
                <c:pt idx="92">
                  <c:v>1.37</c:v>
                </c:pt>
                <c:pt idx="93">
                  <c:v>1.35</c:v>
                </c:pt>
                <c:pt idx="94">
                  <c:v>1.29</c:v>
                </c:pt>
                <c:pt idx="95">
                  <c:v>1.24</c:v>
                </c:pt>
                <c:pt idx="96">
                  <c:v>1.15</c:v>
                </c:pt>
                <c:pt idx="97">
                  <c:v>1.11</c:v>
                </c:pt>
                <c:pt idx="98">
                  <c:v>1.1</c:v>
                </c:pt>
              </c:numCache>
            </c:numRef>
          </c:val>
        </c:ser>
        <c:dLbls>
          <c:showLegendKey val="0"/>
          <c:showVal val="0"/>
          <c:showCatName val="0"/>
          <c:showSerName val="0"/>
          <c:showPercent val="0"/>
          <c:showBubbleSize val="0"/>
        </c:dLbls>
        <c:gapWidth val="0"/>
        <c:axId val="139647424"/>
        <c:axId val="1984156896"/>
      </c:barChart>
      <c:lineChart>
        <c:grouping val="standard"/>
        <c:varyColors val="0"/>
        <c:ser>
          <c:idx val="2"/>
          <c:order val="1"/>
          <c:tx>
            <c:strRef>
              <c:f>NAND!$M$24</c:f>
              <c:strCache>
                <c:ptCount val="1"/>
                <c:pt idx="0">
                  <c:v>3D TLC 256Gb WoW</c:v>
                </c:pt>
              </c:strCache>
            </c:strRef>
          </c:tx>
          <c:spPr>
            <a:ln w="12700" cap="rnd" cmpd="sng" algn="ctr">
              <a:solidFill>
                <a:srgbClr val="000000"/>
              </a:solidFill>
              <a:prstDash val="solid"/>
              <a:round/>
            </a:ln>
          </c:spPr>
          <c:marker>
            <c:symbol val="none"/>
          </c:marker>
          <c:dLbls>
            <c:delete val="1"/>
          </c:dLbls>
          <c:cat>
            <c:numRef>
              <c:f>NAND!$E$127:$E$225</c:f>
              <c:numCache>
                <c:formatCode>yyyy/m/d</c:formatCode>
                <c:ptCount val="99"/>
                <c:pt idx="0" c:formatCode="yyyy/m/d">
                  <c:v>44200</c:v>
                </c:pt>
                <c:pt idx="1" c:formatCode="yyyy/m/d">
                  <c:v>44207</c:v>
                </c:pt>
                <c:pt idx="2" c:formatCode="yyyy/m/d">
                  <c:v>44214</c:v>
                </c:pt>
                <c:pt idx="3" c:formatCode="yyyy/m/d">
                  <c:v>44221</c:v>
                </c:pt>
                <c:pt idx="4" c:formatCode="yyyy/m/d">
                  <c:v>44228</c:v>
                </c:pt>
                <c:pt idx="5" c:formatCode="yyyy/m/d">
                  <c:v>44235</c:v>
                </c:pt>
                <c:pt idx="6" c:formatCode="yyyy/m/d">
                  <c:v>44244</c:v>
                </c:pt>
                <c:pt idx="7" c:formatCode="yyyy/m/d">
                  <c:v>44249</c:v>
                </c:pt>
                <c:pt idx="8" c:formatCode="yyyy/m/d">
                  <c:v>44256</c:v>
                </c:pt>
                <c:pt idx="9" c:formatCode="yyyy/m/d">
                  <c:v>44263</c:v>
                </c:pt>
                <c:pt idx="10" c:formatCode="yyyy/m/d">
                  <c:v>44270</c:v>
                </c:pt>
                <c:pt idx="11" c:formatCode="yyyy/m/d">
                  <c:v>44277</c:v>
                </c:pt>
                <c:pt idx="12" c:formatCode="yyyy/m/d">
                  <c:v>44284</c:v>
                </c:pt>
                <c:pt idx="13" c:formatCode="yyyy/m/d">
                  <c:v>44292</c:v>
                </c:pt>
                <c:pt idx="14" c:formatCode="yyyy/m/d">
                  <c:v>44298</c:v>
                </c:pt>
                <c:pt idx="15" c:formatCode="yyyy/m/d">
                  <c:v>44305</c:v>
                </c:pt>
                <c:pt idx="16" c:formatCode="yyyy/m/d">
                  <c:v>44312</c:v>
                </c:pt>
                <c:pt idx="17" c:formatCode="yyyy/m/d">
                  <c:v>44319</c:v>
                </c:pt>
                <c:pt idx="18" c:formatCode="yyyy/m/d">
                  <c:v>44326</c:v>
                </c:pt>
                <c:pt idx="19" c:formatCode="yyyy/m/d">
                  <c:v>44333</c:v>
                </c:pt>
                <c:pt idx="20" c:formatCode="yyyy/m/d">
                  <c:v>44340</c:v>
                </c:pt>
                <c:pt idx="21" c:formatCode="yyyy/m/d">
                  <c:v>44347</c:v>
                </c:pt>
                <c:pt idx="22" c:formatCode="yyyy/m/d">
                  <c:v>44354</c:v>
                </c:pt>
                <c:pt idx="23" c:formatCode="yyyy/m/d">
                  <c:v>44362</c:v>
                </c:pt>
                <c:pt idx="24" c:formatCode="yyyy/m/d">
                  <c:v>44368</c:v>
                </c:pt>
                <c:pt idx="25" c:formatCode="yyyy/m/d">
                  <c:v>44375</c:v>
                </c:pt>
                <c:pt idx="26" c:formatCode="yyyy/m/d">
                  <c:v>44382</c:v>
                </c:pt>
                <c:pt idx="27" c:formatCode="yyyy/m/d">
                  <c:v>44389</c:v>
                </c:pt>
                <c:pt idx="28" c:formatCode="yyyy/m/d">
                  <c:v>44396</c:v>
                </c:pt>
                <c:pt idx="29" c:formatCode="yyyy/m/d">
                  <c:v>44403</c:v>
                </c:pt>
                <c:pt idx="30" c:formatCode="yyyy/m/d">
                  <c:v>44410</c:v>
                </c:pt>
                <c:pt idx="31" c:formatCode="yyyy/m/d">
                  <c:v>44417</c:v>
                </c:pt>
                <c:pt idx="32" c:formatCode="yyyy/m/d">
                  <c:v>44424</c:v>
                </c:pt>
                <c:pt idx="33" c:formatCode="yyyy/m/d">
                  <c:v>44431</c:v>
                </c:pt>
                <c:pt idx="34" c:formatCode="yyyy/m/d">
                  <c:v>44438</c:v>
                </c:pt>
                <c:pt idx="35" c:formatCode="yyyy/m/d">
                  <c:v>44445</c:v>
                </c:pt>
                <c:pt idx="36" c:formatCode="yyyy/m/d">
                  <c:v>44452</c:v>
                </c:pt>
                <c:pt idx="37" c:formatCode="yyyy/m/d">
                  <c:v>44461</c:v>
                </c:pt>
                <c:pt idx="38" c:formatCode="yyyy/m/d">
                  <c:v>44466</c:v>
                </c:pt>
                <c:pt idx="39" c:formatCode="yyyy/m/d">
                  <c:v>44473</c:v>
                </c:pt>
                <c:pt idx="40" c:formatCode="yyyy/m/d">
                  <c:v>44480</c:v>
                </c:pt>
                <c:pt idx="41" c:formatCode="yyyy/m/d">
                  <c:v>44487</c:v>
                </c:pt>
                <c:pt idx="42" c:formatCode="yyyy/m/d">
                  <c:v>44494</c:v>
                </c:pt>
                <c:pt idx="43" c:formatCode="yyyy/m/d">
                  <c:v>44501</c:v>
                </c:pt>
                <c:pt idx="44" c:formatCode="yyyy/m/d">
                  <c:v>44508</c:v>
                </c:pt>
                <c:pt idx="45" c:formatCode="yyyy/m/d">
                  <c:v>44515</c:v>
                </c:pt>
                <c:pt idx="46" c:formatCode="yyyy/m/d">
                  <c:v>44522</c:v>
                </c:pt>
                <c:pt idx="47" c:formatCode="yyyy/m/d">
                  <c:v>44529</c:v>
                </c:pt>
                <c:pt idx="48" c:formatCode="yyyy/m/d">
                  <c:v>44536</c:v>
                </c:pt>
                <c:pt idx="49" c:formatCode="yyyy/m/d">
                  <c:v>44543</c:v>
                </c:pt>
                <c:pt idx="50" c:formatCode="yyyy/m/d">
                  <c:v>44550</c:v>
                </c:pt>
                <c:pt idx="51" c:formatCode="yyyy/m/d">
                  <c:v>44557</c:v>
                </c:pt>
                <c:pt idx="52" c:formatCode="yyyy/m/d">
                  <c:v>44564</c:v>
                </c:pt>
                <c:pt idx="53" c:formatCode="yyyy/m/d">
                  <c:v>44571</c:v>
                </c:pt>
                <c:pt idx="54" c:formatCode="yyyy/m/d">
                  <c:v>44578</c:v>
                </c:pt>
                <c:pt idx="55" c:formatCode="yyyy/m/d">
                  <c:v>44585</c:v>
                </c:pt>
                <c:pt idx="56" c:formatCode="yyyy/m/d">
                  <c:v>44599</c:v>
                </c:pt>
                <c:pt idx="57" c:formatCode="yyyy/m/d">
                  <c:v>44606</c:v>
                </c:pt>
                <c:pt idx="58" c:formatCode="yyyy/m/d">
                  <c:v>44613</c:v>
                </c:pt>
                <c:pt idx="59" c:formatCode="yyyy/m/d">
                  <c:v>44620</c:v>
                </c:pt>
                <c:pt idx="60" c:formatCode="yyyy/m/d">
                  <c:v>44627</c:v>
                </c:pt>
                <c:pt idx="61" c:formatCode="yyyy/m/d">
                  <c:v>44634</c:v>
                </c:pt>
                <c:pt idx="62" c:formatCode="yyyy/m/d">
                  <c:v>44641</c:v>
                </c:pt>
                <c:pt idx="63" c:formatCode="yyyy/m/d">
                  <c:v>44648</c:v>
                </c:pt>
                <c:pt idx="64" c:formatCode="yyyy/m/d">
                  <c:v>44657</c:v>
                </c:pt>
                <c:pt idx="65" c:formatCode="yyyy/m/d">
                  <c:v>44662</c:v>
                </c:pt>
                <c:pt idx="66" c:formatCode="yyyy/m/d">
                  <c:v>44669</c:v>
                </c:pt>
                <c:pt idx="67" c:formatCode="yyyy/m/d">
                  <c:v>44676</c:v>
                </c:pt>
                <c:pt idx="68" c:formatCode="yyyy/m/d">
                  <c:v>44684</c:v>
                </c:pt>
                <c:pt idx="69" c:formatCode="yyyy/m/d">
                  <c:v>44690</c:v>
                </c:pt>
                <c:pt idx="70" c:formatCode="yyyy/m/d">
                  <c:v>44697</c:v>
                </c:pt>
                <c:pt idx="71" c:formatCode="yyyy/m/d">
                  <c:v>44704</c:v>
                </c:pt>
                <c:pt idx="72" c:formatCode="yyyy/m/d">
                  <c:v>44711</c:v>
                </c:pt>
                <c:pt idx="73" c:formatCode="yyyy/m/d">
                  <c:v>44718</c:v>
                </c:pt>
                <c:pt idx="74" c:formatCode="yyyy/m/d">
                  <c:v>44725</c:v>
                </c:pt>
                <c:pt idx="75" c:formatCode="yyyy/m/d">
                  <c:v>44732</c:v>
                </c:pt>
                <c:pt idx="76" c:formatCode="yyyy/m/d">
                  <c:v>44739</c:v>
                </c:pt>
                <c:pt idx="77" c:formatCode="yyyy/m/d">
                  <c:v>44746</c:v>
                </c:pt>
                <c:pt idx="78" c:formatCode="yyyy/m/d">
                  <c:v>44753</c:v>
                </c:pt>
                <c:pt idx="79" c:formatCode="yyyy/m/d">
                  <c:v>44760</c:v>
                </c:pt>
                <c:pt idx="80" c:formatCode="yyyy/m/d">
                  <c:v>44767</c:v>
                </c:pt>
                <c:pt idx="81" c:formatCode="yyyy/m/d">
                  <c:v>44774</c:v>
                </c:pt>
                <c:pt idx="82" c:formatCode="yyyy/m/d">
                  <c:v>44781</c:v>
                </c:pt>
                <c:pt idx="83" c:formatCode="yyyy/m/d">
                  <c:v>44788</c:v>
                </c:pt>
                <c:pt idx="84" c:formatCode="yyyy/m/d">
                  <c:v>44795</c:v>
                </c:pt>
                <c:pt idx="85" c:formatCode="yyyy/m/d">
                  <c:v>44802</c:v>
                </c:pt>
                <c:pt idx="86" c:formatCode="yyyy/m/d">
                  <c:v>44809</c:v>
                </c:pt>
                <c:pt idx="87" c:formatCode="yyyy/m/d">
                  <c:v>44816</c:v>
                </c:pt>
                <c:pt idx="88" c:formatCode="yyyy/m/d">
                  <c:v>44823</c:v>
                </c:pt>
                <c:pt idx="89" c:formatCode="yyyy/m/d">
                  <c:v>44830</c:v>
                </c:pt>
                <c:pt idx="90" c:formatCode="yyyy/m/d">
                  <c:v>44837</c:v>
                </c:pt>
                <c:pt idx="91" c:formatCode="yyyy/m/d">
                  <c:v>44844</c:v>
                </c:pt>
                <c:pt idx="92" c:formatCode="yyyy/m/d">
                  <c:v>44851</c:v>
                </c:pt>
                <c:pt idx="93" c:formatCode="yyyy/m/d">
                  <c:v>44858</c:v>
                </c:pt>
                <c:pt idx="94" c:formatCode="yyyy/m/d">
                  <c:v>44865</c:v>
                </c:pt>
                <c:pt idx="95" c:formatCode="yyyy/m/d">
                  <c:v>44872</c:v>
                </c:pt>
                <c:pt idx="96" c:formatCode="yyyy/m/d">
                  <c:v>44879</c:v>
                </c:pt>
                <c:pt idx="97" c:formatCode="yyyy/m/d">
                  <c:v>44886</c:v>
                </c:pt>
                <c:pt idx="98" c:formatCode="yyyy/m/d">
                  <c:v>44893</c:v>
                </c:pt>
              </c:numCache>
            </c:numRef>
          </c:cat>
          <c:val>
            <c:numRef>
              <c:f>NAND!$M$127:$M$225</c:f>
              <c:numCache>
                <c:formatCode>0%</c:formatCode>
                <c:ptCount val="99"/>
                <c:pt idx="0">
                  <c:v>-0.00319488817891356</c:v>
                </c:pt>
                <c:pt idx="1">
                  <c:v>-0.00366300366300365</c:v>
                </c:pt>
                <c:pt idx="2">
                  <c:v>-0.000919117647058876</c:v>
                </c:pt>
                <c:pt idx="3">
                  <c:v>0.000459981600736015</c:v>
                </c:pt>
                <c:pt idx="4">
                  <c:v>-0.00045977011494247</c:v>
                </c:pt>
                <c:pt idx="5">
                  <c:v>0</c:v>
                </c:pt>
                <c:pt idx="6">
                  <c:v>0</c:v>
                </c:pt>
                <c:pt idx="7">
                  <c:v>0</c:v>
                </c:pt>
                <c:pt idx="8">
                  <c:v>0.0119595216191353</c:v>
                </c:pt>
                <c:pt idx="9">
                  <c:v>0.00954545454545452</c:v>
                </c:pt>
                <c:pt idx="10">
                  <c:v>0.0288158487167942</c:v>
                </c:pt>
                <c:pt idx="11">
                  <c:v>0.0157549234135668</c:v>
                </c:pt>
                <c:pt idx="12">
                  <c:v>-0.000861697544162099</c:v>
                </c:pt>
                <c:pt idx="13">
                  <c:v>-0.000431220353600659</c:v>
                </c:pt>
                <c:pt idx="14">
                  <c:v>-0.00647109577221749</c:v>
                </c:pt>
                <c:pt idx="15">
                  <c:v>-0.00130264871906216</c:v>
                </c:pt>
                <c:pt idx="16">
                  <c:v>0</c:v>
                </c:pt>
                <c:pt idx="17">
                  <c:v>-0.000434782608695561</c:v>
                </c:pt>
                <c:pt idx="18">
                  <c:v>0.00173988690735105</c:v>
                </c:pt>
                <c:pt idx="19">
                  <c:v>0</c:v>
                </c:pt>
                <c:pt idx="20">
                  <c:v>0.176726009552757</c:v>
                </c:pt>
                <c:pt idx="21">
                  <c:v>-0.0151291512915129</c:v>
                </c:pt>
                <c:pt idx="22">
                  <c:v>-0.00562008242787571</c:v>
                </c:pt>
                <c:pt idx="23">
                  <c:v>-0.00263752825923136</c:v>
                </c:pt>
                <c:pt idx="24">
                  <c:v>-0.00566679259539093</c:v>
                </c:pt>
                <c:pt idx="25">
                  <c:v>-0.00531914893617025</c:v>
                </c:pt>
                <c:pt idx="26">
                  <c:v>-0.00114591291061872</c:v>
                </c:pt>
                <c:pt idx="27">
                  <c:v>0.0133843212237093</c:v>
                </c:pt>
                <c:pt idx="28">
                  <c:v>0</c:v>
                </c:pt>
                <c:pt idx="29">
                  <c:v>-0.000377358490565971</c:v>
                </c:pt>
                <c:pt idx="30">
                  <c:v>0</c:v>
                </c:pt>
                <c:pt idx="31">
                  <c:v>-0.000377500943752329</c:v>
                </c:pt>
                <c:pt idx="32">
                  <c:v>-0.00453172205438068</c:v>
                </c:pt>
                <c:pt idx="33">
                  <c:v>-0.0121396054628224</c:v>
                </c:pt>
                <c:pt idx="34">
                  <c:v>-0.00960061443932403</c:v>
                </c:pt>
                <c:pt idx="35">
                  <c:v>-0.000387747188833054</c:v>
                </c:pt>
                <c:pt idx="36">
                  <c:v>-0.00387897595034903</c:v>
                </c:pt>
                <c:pt idx="37">
                  <c:v>-0.0194704049844238</c:v>
                </c:pt>
                <c:pt idx="38">
                  <c:v>-0.00873709293089742</c:v>
                </c:pt>
                <c:pt idx="39">
                  <c:v>-0.0192307692307693</c:v>
                </c:pt>
                <c:pt idx="40">
                  <c:v>0</c:v>
                </c:pt>
                <c:pt idx="41">
                  <c:v>-0.0498366013071895</c:v>
                </c:pt>
                <c:pt idx="42">
                  <c:v>-0.0429922613929493</c:v>
                </c:pt>
                <c:pt idx="43">
                  <c:v>-0.00808625336927216</c:v>
                </c:pt>
                <c:pt idx="44">
                  <c:v>-0.00362318840579712</c:v>
                </c:pt>
                <c:pt idx="45">
                  <c:v>-0.0136363636363638</c:v>
                </c:pt>
                <c:pt idx="46">
                  <c:v>-0.0276497695852534</c:v>
                </c:pt>
                <c:pt idx="47">
                  <c:v>-0.018957345971564</c:v>
                </c:pt>
                <c:pt idx="48">
                  <c:v>-0.00483091787439605</c:v>
                </c:pt>
                <c:pt idx="49">
                  <c:v>-0.00485436893203894</c:v>
                </c:pt>
                <c:pt idx="50">
                  <c:v>0</c:v>
                </c:pt>
                <c:pt idx="51">
                  <c:v>0.00487804878048781</c:v>
                </c:pt>
                <c:pt idx="52">
                  <c:v>0.00485436893203883</c:v>
                </c:pt>
                <c:pt idx="53">
                  <c:v>0.00483091787439616</c:v>
                </c:pt>
                <c:pt idx="54">
                  <c:v>0.00480769230769229</c:v>
                </c:pt>
                <c:pt idx="55">
                  <c:v>0</c:v>
                </c:pt>
                <c:pt idx="56">
                  <c:v>0</c:v>
                </c:pt>
                <c:pt idx="57">
                  <c:v>0.0287081339712918</c:v>
                </c:pt>
                <c:pt idx="58">
                  <c:v>0.0651162790697675</c:v>
                </c:pt>
                <c:pt idx="59">
                  <c:v>0.00873362445414849</c:v>
                </c:pt>
                <c:pt idx="60">
                  <c:v>0.0173160173160174</c:v>
                </c:pt>
                <c:pt idx="61">
                  <c:v>0.00851063829787235</c:v>
                </c:pt>
                <c:pt idx="62">
                  <c:v>0</c:v>
                </c:pt>
                <c:pt idx="63">
                  <c:v>-0.00421940928270048</c:v>
                </c:pt>
                <c:pt idx="64">
                  <c:v>-0.0127118644067796</c:v>
                </c:pt>
                <c:pt idx="65">
                  <c:v>-0.0128755364806868</c:v>
                </c:pt>
                <c:pt idx="66">
                  <c:v>0</c:v>
                </c:pt>
                <c:pt idx="67">
                  <c:v>-0.00434782608695639</c:v>
                </c:pt>
                <c:pt idx="68">
                  <c:v>-0.0262008733624455</c:v>
                </c:pt>
                <c:pt idx="69">
                  <c:v>-0.00896860986547088</c:v>
                </c:pt>
                <c:pt idx="70">
                  <c:v>-0.00904977375565608</c:v>
                </c:pt>
                <c:pt idx="71">
                  <c:v>-0.0091324200913242</c:v>
                </c:pt>
                <c:pt idx="72">
                  <c:v>-0.032258064516129</c:v>
                </c:pt>
                <c:pt idx="73">
                  <c:v>-0.00952380952380949</c:v>
                </c:pt>
                <c:pt idx="74">
                  <c:v>-0.0432692307692308</c:v>
                </c:pt>
                <c:pt idx="75">
                  <c:v>-0.0100502512562815</c:v>
                </c:pt>
                <c:pt idx="76">
                  <c:v>-0.0152284263959391</c:v>
                </c:pt>
                <c:pt idx="77">
                  <c:v>-0.0670103092783505</c:v>
                </c:pt>
                <c:pt idx="78">
                  <c:v>-0.011049723756906</c:v>
                </c:pt>
                <c:pt idx="79">
                  <c:v>0</c:v>
                </c:pt>
                <c:pt idx="80">
                  <c:v>0</c:v>
                </c:pt>
                <c:pt idx="81">
                  <c:v>0</c:v>
                </c:pt>
                <c:pt idx="82">
                  <c:v>-0.005586592178771</c:v>
                </c:pt>
                <c:pt idx="83">
                  <c:v>0</c:v>
                </c:pt>
                <c:pt idx="84">
                  <c:v>-0.0617977528089888</c:v>
                </c:pt>
                <c:pt idx="85">
                  <c:v>-0.0718562874251496</c:v>
                </c:pt>
                <c:pt idx="86">
                  <c:v>-0.0387096774193548</c:v>
                </c:pt>
                <c:pt idx="87">
                  <c:v>-0.00671140939597314</c:v>
                </c:pt>
                <c:pt idx="88">
                  <c:v>-0.0067567567567568</c:v>
                </c:pt>
                <c:pt idx="89">
                  <c:v>-0.0272108843537415</c:v>
                </c:pt>
                <c:pt idx="90">
                  <c:v>-0.020979020979021</c:v>
                </c:pt>
                <c:pt idx="91">
                  <c:v>-0.0142857142857143</c:v>
                </c:pt>
                <c:pt idx="92">
                  <c:v>-0.00724637681159401</c:v>
                </c:pt>
                <c:pt idx="93">
                  <c:v>-0.0145985401459854</c:v>
                </c:pt>
                <c:pt idx="94">
                  <c:v>-0.0444444444444445</c:v>
                </c:pt>
                <c:pt idx="95">
                  <c:v>-0.0387596899224807</c:v>
                </c:pt>
                <c:pt idx="96">
                  <c:v>-0.0725806451612904</c:v>
                </c:pt>
                <c:pt idx="97">
                  <c:v>-0.034782608695652</c:v>
                </c:pt>
                <c:pt idx="98">
                  <c:v>-0.00900900900900903</c:v>
                </c:pt>
              </c:numCache>
            </c:numRef>
          </c:val>
          <c:smooth val="0"/>
        </c:ser>
        <c:dLbls>
          <c:showLegendKey val="0"/>
          <c:showVal val="0"/>
          <c:showCatName val="0"/>
          <c:showSerName val="0"/>
          <c:showPercent val="0"/>
          <c:showBubbleSize val="0"/>
        </c:dLbls>
        <c:marker val="0"/>
        <c:smooth val="0"/>
        <c:axId val="139672224"/>
        <c:axId val="1984130272"/>
      </c:lineChart>
      <c:catAx>
        <c:axId val="139647424"/>
        <c:scaling>
          <c:orientation val="minMax"/>
        </c:scaling>
        <c:delete val="0"/>
        <c:axPos val="b"/>
        <c:numFmt formatCode="[$-409]dd\-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984156896"/>
        <c:crosses val="autoZero"/>
        <c:auto val="0"/>
        <c:lblAlgn val="ctr"/>
        <c:lblOffset val="100"/>
        <c:tickMarkSkip val="4"/>
        <c:noMultiLvlLbl val="0"/>
      </c:catAx>
      <c:valAx>
        <c:axId val="1984156896"/>
        <c:scaling>
          <c:orientation val="minMax"/>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_(* #,##0.0_);_(* \(#,##0.0\);_(* &quot;-&quot;?_);_(@_)"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39647424"/>
        <c:crosses val="autoZero"/>
        <c:crossBetween val="between"/>
      </c:valAx>
      <c:dateAx>
        <c:axId val="139672224"/>
        <c:scaling>
          <c:orientation val="minMax"/>
        </c:scaling>
        <c:delete val="1"/>
        <c:axPos val="b"/>
        <c:numFmt formatCode="m/d/yyyy" sourceLinked="1"/>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984130272"/>
        <c:crosses val="autoZero"/>
        <c:auto val="1"/>
        <c:lblOffset val="100"/>
        <c:baseTimeUnit val="days"/>
      </c:dateAx>
      <c:valAx>
        <c:axId val="1984130272"/>
        <c:scaling>
          <c:orientation val="minMax"/>
        </c:scaling>
        <c:delete val="0"/>
        <c:axPos val="r"/>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WoW</a:t>
                </a:r>
                <a:endParaRPr lang="en-US"/>
              </a:p>
            </c:rich>
          </c:tx>
          <c:layout/>
          <c:overlay val="0"/>
        </c:title>
        <c:numFmt formatCode="0%" sourceLinked="1"/>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39672224"/>
        <c:crosses val="max"/>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d3205326-8107-42ce-bb1d-a4bc27bc6337}"/>
      </c:ext>
    </c:extLst>
  </c:chart>
  <c:spPr>
    <a:ln w="25400" cap="flat" cmpd="sng" algn="ctr">
      <a:noFill/>
      <a:prstDash val="solid"/>
      <a:round/>
    </a:ln>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sz="1000" b="1" i="0" u="none" strike="noStrike" baseline="0">
                <a:effectLst/>
              </a:rPr>
              <a:t>NAND Wafer (3D QLC 1Tb) </a:t>
            </a:r>
            <a:r>
              <a:rPr lang="en-US"/>
              <a:t>Contract Price &amp; MoM</a:t>
            </a:r>
            <a:endParaRPr lang="en-US"/>
          </a:p>
        </c:rich>
      </c:tx>
      <c:layout/>
      <c:overlay val="0"/>
    </c:title>
    <c:autoTitleDeleted val="0"/>
    <c:plotArea>
      <c:layout>
        <c:manualLayout>
          <c:layoutTarget val="inner"/>
          <c:xMode val="edge"/>
          <c:yMode val="edge"/>
          <c:x val="0.0862010752537419"/>
          <c:y val="0.162667048344297"/>
          <c:w val="0.846639192908175"/>
          <c:h val="0.544856338220596"/>
        </c:manualLayout>
      </c:layout>
      <c:barChart>
        <c:barDir val="col"/>
        <c:grouping val="clustered"/>
        <c:varyColors val="0"/>
        <c:ser>
          <c:idx val="0"/>
          <c:order val="0"/>
          <c:tx>
            <c:strRef>
              <c:f>NAND!$AM$25</c:f>
              <c:strCache>
                <c:ptCount val="1"/>
                <c:pt idx="0">
                  <c:v>Price</c:v>
                </c:pt>
              </c:strCache>
            </c:strRef>
          </c:tx>
          <c:invertIfNegative val="0"/>
          <c:dLbls>
            <c:delete val="1"/>
          </c:dLbls>
          <c:cat>
            <c:numRef>
              <c:f>NAND!$AL$67:$AL$145</c:f>
              <c:numCache>
                <c:formatCode>yyyy/m/d</c:formatCode>
                <c:ptCount val="79"/>
                <c:pt idx="0" c:formatCode="yyyy/m/d">
                  <c:v>44227</c:v>
                </c:pt>
                <c:pt idx="1" c:formatCode="yyyy/m/d">
                  <c:v>44255</c:v>
                </c:pt>
                <c:pt idx="2" c:formatCode="yyyy/m/d">
                  <c:v>44286</c:v>
                </c:pt>
                <c:pt idx="3" c:formatCode="yyyy/m/d">
                  <c:v>44316</c:v>
                </c:pt>
                <c:pt idx="4" c:formatCode="yyyy/m/d">
                  <c:v>44347</c:v>
                </c:pt>
                <c:pt idx="5" c:formatCode="yyyy/m/d">
                  <c:v>44377</c:v>
                </c:pt>
                <c:pt idx="6" c:formatCode="yyyy/m/d">
                  <c:v>44408</c:v>
                </c:pt>
                <c:pt idx="7" c:formatCode="yyyy/m/d">
                  <c:v>44439</c:v>
                </c:pt>
                <c:pt idx="8" c:formatCode="yyyy/m/d">
                  <c:v>44469</c:v>
                </c:pt>
                <c:pt idx="9" c:formatCode="yyyy/m/d">
                  <c:v>44500</c:v>
                </c:pt>
                <c:pt idx="10" c:formatCode="yyyy/m/d">
                  <c:v>44530</c:v>
                </c:pt>
                <c:pt idx="11" c:formatCode="yyyy/m/d">
                  <c:v>44561</c:v>
                </c:pt>
                <c:pt idx="12" c:formatCode="yyyy/m/d">
                  <c:v>44592</c:v>
                </c:pt>
                <c:pt idx="13" c:formatCode="yyyy/m/d">
                  <c:v>44620</c:v>
                </c:pt>
                <c:pt idx="14" c:formatCode="yyyy/m/d">
                  <c:v>44651</c:v>
                </c:pt>
                <c:pt idx="15" c:formatCode="yyyy/m/d">
                  <c:v>44681</c:v>
                </c:pt>
                <c:pt idx="16" c:formatCode="yyyy/m/d">
                  <c:v>44712</c:v>
                </c:pt>
                <c:pt idx="17" c:formatCode="yyyy/m/d">
                  <c:v>44742</c:v>
                </c:pt>
                <c:pt idx="18" c:formatCode="yyyy/m/d">
                  <c:v>44773</c:v>
                </c:pt>
                <c:pt idx="19" c:formatCode="yyyy/m/d">
                  <c:v>44804</c:v>
                </c:pt>
                <c:pt idx="20" c:formatCode="yyyy/m/d">
                  <c:v>44834</c:v>
                </c:pt>
                <c:pt idx="21" c:formatCode="yyyy/m/d">
                  <c:v>44865</c:v>
                </c:pt>
                <c:pt idx="22" c:formatCode="yyyy/m/d">
                  <c:v>44895</c:v>
                </c:pt>
                <c:pt idx="23" c:formatCode="yyyy/m/d">
                  <c:v>44926</c:v>
                </c:pt>
                <c:pt idx="24" c:formatCode="yyyy/m/d">
                  <c:v>44957</c:v>
                </c:pt>
                <c:pt idx="25" c:formatCode="yyyy/m/d">
                  <c:v>44985</c:v>
                </c:pt>
                <c:pt idx="26" c:formatCode="yyyy/m/d">
                  <c:v>45016</c:v>
                </c:pt>
                <c:pt idx="27" c:formatCode="yyyy/m/d">
                  <c:v>45046</c:v>
                </c:pt>
                <c:pt idx="28" c:formatCode="yyyy/m/d">
                  <c:v>45077</c:v>
                </c:pt>
                <c:pt idx="29" c:formatCode="yyyy/m/d">
                  <c:v>45107</c:v>
                </c:pt>
                <c:pt idx="30" c:formatCode="yyyy/m/d">
                  <c:v>45138</c:v>
                </c:pt>
                <c:pt idx="31" c:formatCode="yyyy/m/d">
                  <c:v>45169</c:v>
                </c:pt>
                <c:pt idx="32" c:formatCode="yyyy/m/d">
                  <c:v>45199</c:v>
                </c:pt>
                <c:pt idx="33" c:formatCode="yyyy/m/d">
                  <c:v>45230</c:v>
                </c:pt>
                <c:pt idx="34" c:formatCode="yyyy/m/d">
                  <c:v>45260</c:v>
                </c:pt>
                <c:pt idx="35" c:formatCode="yyyy/m/d">
                  <c:v>45291</c:v>
                </c:pt>
                <c:pt idx="36" c:formatCode="yyyy/m/d">
                  <c:v>45322</c:v>
                </c:pt>
                <c:pt idx="37" c:formatCode="yyyy/m/d">
                  <c:v>45351</c:v>
                </c:pt>
                <c:pt idx="38" c:formatCode="yyyy/m/d">
                  <c:v>45382</c:v>
                </c:pt>
                <c:pt idx="39" c:formatCode="yyyy/m/d">
                  <c:v>45412</c:v>
                </c:pt>
                <c:pt idx="40" c:formatCode="yyyy/m/d">
                  <c:v>45443</c:v>
                </c:pt>
                <c:pt idx="41" c:formatCode="yyyy/m/d">
                  <c:v>45473</c:v>
                </c:pt>
                <c:pt idx="42" c:formatCode="yyyy/m/d">
                  <c:v>45504</c:v>
                </c:pt>
                <c:pt idx="43" c:formatCode="yyyy/m/d">
                  <c:v>45535</c:v>
                </c:pt>
                <c:pt idx="44" c:formatCode="yyyy/m/d">
                  <c:v>45565</c:v>
                </c:pt>
                <c:pt idx="45" c:formatCode="yyyy/m/d">
                  <c:v>45596</c:v>
                </c:pt>
                <c:pt idx="46" c:formatCode="yyyy/m/d">
                  <c:v>45626</c:v>
                </c:pt>
                <c:pt idx="47" c:formatCode="yyyy/m/d">
                  <c:v>45657</c:v>
                </c:pt>
                <c:pt idx="48" c:formatCode="yyyy/m/d">
                  <c:v>45688</c:v>
                </c:pt>
                <c:pt idx="49" c:formatCode="yyyy/m/d">
                  <c:v>45716</c:v>
                </c:pt>
                <c:pt idx="50" c:formatCode="yyyy/m/d">
                  <c:v>45747</c:v>
                </c:pt>
                <c:pt idx="51" c:formatCode="yyyy/m/d">
                  <c:v>45777</c:v>
                </c:pt>
                <c:pt idx="52" c:formatCode="yyyy/m/d">
                  <c:v>45808</c:v>
                </c:pt>
                <c:pt idx="53" c:formatCode="yyyy/m/d">
                  <c:v>45838</c:v>
                </c:pt>
                <c:pt idx="54" c:formatCode="yyyy/m/d">
                  <c:v>45869</c:v>
                </c:pt>
                <c:pt idx="55" c:formatCode="yyyy/m/d">
                  <c:v>45900</c:v>
                </c:pt>
                <c:pt idx="56" c:formatCode="yyyy/m/d">
                  <c:v>45930</c:v>
                </c:pt>
                <c:pt idx="57" c:formatCode="yyyy/m/d">
                  <c:v>45961</c:v>
                </c:pt>
                <c:pt idx="58" c:formatCode="yyyy/m/d">
                  <c:v>45991</c:v>
                </c:pt>
                <c:pt idx="59" c:formatCode="yyyy/m/d">
                  <c:v>46022</c:v>
                </c:pt>
                <c:pt idx="60" c:formatCode="yyyy/m/d">
                  <c:v>46053</c:v>
                </c:pt>
                <c:pt idx="61" c:formatCode="yyyy/m/d">
                  <c:v>46081</c:v>
                </c:pt>
                <c:pt idx="62" c:formatCode="yyyy/m/d">
                  <c:v>46112</c:v>
                </c:pt>
                <c:pt idx="63" c:formatCode="yyyy/m/d">
                  <c:v>46142</c:v>
                </c:pt>
                <c:pt idx="64" c:formatCode="yyyy/m/d">
                  <c:v>46173</c:v>
                </c:pt>
              </c:numCache>
            </c:numRef>
          </c:cat>
          <c:val>
            <c:numRef>
              <c:f>NAND!$AU$67:$AU$145</c:f>
              <c:numCache>
                <c:formatCode>#,##0.000</c:formatCode>
                <c:ptCount val="79"/>
                <c:pt idx="0">
                  <c:v>0.061875</c:v>
                </c:pt>
                <c:pt idx="1">
                  <c:v>0.0621875</c:v>
                </c:pt>
                <c:pt idx="2">
                  <c:v>0.0621875</c:v>
                </c:pt>
                <c:pt idx="3">
                  <c:v>0.063671875</c:v>
                </c:pt>
                <c:pt idx="4">
                  <c:v>0.063671875</c:v>
                </c:pt>
                <c:pt idx="5">
                  <c:v>0.065625</c:v>
                </c:pt>
                <c:pt idx="6">
                  <c:v>0.06625</c:v>
                </c:pt>
                <c:pt idx="7">
                  <c:v>0.06625</c:v>
                </c:pt>
                <c:pt idx="8">
                  <c:v>0.0640625</c:v>
                </c:pt>
                <c:pt idx="9">
                  <c:v>0.061875</c:v>
                </c:pt>
                <c:pt idx="10">
                  <c:v>0.061171875</c:v>
                </c:pt>
                <c:pt idx="11">
                  <c:v>0.061171875</c:v>
                </c:pt>
                <c:pt idx="12">
                  <c:v>0.061171875</c:v>
                </c:pt>
                <c:pt idx="13">
                  <c:v>0.06640625</c:v>
                </c:pt>
                <c:pt idx="14">
                  <c:v>0.0703125</c:v>
                </c:pt>
                <c:pt idx="15">
                  <c:v>0.0703125</c:v>
                </c:pt>
                <c:pt idx="16">
                  <c:v>0.067421875</c:v>
                </c:pt>
                <c:pt idx="17">
                  <c:v>0.0609375</c:v>
                </c:pt>
                <c:pt idx="18">
                  <c:v>0.055859375</c:v>
                </c:pt>
                <c:pt idx="19">
                  <c:v>0.0453125</c:v>
                </c:pt>
                <c:pt idx="20">
                  <c:v>0.04140625</c:v>
                </c:pt>
                <c:pt idx="21">
                  <c:v>0.035546875</c:v>
                </c:pt>
                <c:pt idx="22">
                  <c:v>0.03359375</c:v>
                </c:pt>
                <c:pt idx="23">
                  <c:v>0.033046875</c:v>
                </c:pt>
                <c:pt idx="24">
                  <c:v>0.03265625</c:v>
                </c:pt>
                <c:pt idx="25">
                  <c:v>0.03265625</c:v>
                </c:pt>
                <c:pt idx="26">
                  <c:v>0.03</c:v>
                </c:pt>
                <c:pt idx="27">
                  <c:v>0.028125</c:v>
                </c:pt>
                <c:pt idx="28">
                  <c:v>0.028125</c:v>
                </c:pt>
                <c:pt idx="29">
                  <c:v>0.028125</c:v>
                </c:pt>
                <c:pt idx="30">
                  <c:v>0.028125</c:v>
                </c:pt>
                <c:pt idx="31">
                  <c:v>0.028125</c:v>
                </c:pt>
                <c:pt idx="32">
                  <c:v>0.028515625</c:v>
                </c:pt>
                <c:pt idx="33">
                  <c:v>0.03203125</c:v>
                </c:pt>
                <c:pt idx="34">
                  <c:v>0.040625</c:v>
                </c:pt>
                <c:pt idx="35">
                  <c:v>0.044140625</c:v>
                </c:pt>
                <c:pt idx="36">
                  <c:v>0.046875</c:v>
                </c:pt>
                <c:pt idx="37">
                  <c:v>0.04921875</c:v>
                </c:pt>
                <c:pt idx="38">
                  <c:v>0.05625</c:v>
                </c:pt>
                <c:pt idx="39">
                  <c:v>0.05625</c:v>
                </c:pt>
                <c:pt idx="40">
                  <c:v>0.05625</c:v>
                </c:pt>
                <c:pt idx="41">
                  <c:v>0.05625</c:v>
                </c:pt>
                <c:pt idx="42">
                  <c:v>0.05625</c:v>
                </c:pt>
                <c:pt idx="43">
                  <c:v>0.053828125</c:v>
                </c:pt>
                <c:pt idx="44">
                  <c:v>0.048671875</c:v>
                </c:pt>
                <c:pt idx="45">
                  <c:v>0.046640625</c:v>
                </c:pt>
                <c:pt idx="46">
                  <c:v>0.0396875</c:v>
                </c:pt>
                <c:pt idx="47">
                  <c:v>0.036953125</c:v>
                </c:pt>
                <c:pt idx="48">
                  <c:v>0.035625</c:v>
                </c:pt>
                <c:pt idx="49">
                  <c:v>0.03515625</c:v>
                </c:pt>
                <c:pt idx="50">
                  <c:v>0.037734375</c:v>
                </c:pt>
                <c:pt idx="51">
                  <c:v>0.041328125</c:v>
                </c:pt>
                <c:pt idx="52">
                  <c:v>0.041953125</c:v>
                </c:pt>
                <c:pt idx="53">
                  <c:v>0.042578125</c:v>
                </c:pt>
                <c:pt idx="54">
                  <c:v>0.044375</c:v>
                </c:pt>
                <c:pt idx="55">
                  <c:v>0.045078125</c:v>
                </c:pt>
                <c:pt idx="56">
                  <c:v>0.04609375</c:v>
                </c:pt>
                <c:pt idx="57">
                  <c:v>0.05875</c:v>
                </c:pt>
                <c:pt idx="58">
                  <c:v>0.09203125</c:v>
                </c:pt>
                <c:pt idx="59">
                  <c:v>0.123359375</c:v>
                </c:pt>
                <c:pt idx="60">
                  <c:v>0.1609375</c:v>
                </c:pt>
                <c:pt idx="61">
                  <c:v>0.18796875</c:v>
                </c:pt>
                <c:pt idx="62">
                  <c:v>0.2246875</c:v>
                </c:pt>
                <c:pt idx="63">
                  <c:v>0.232421875</c:v>
                </c:pt>
                <c:pt idx="64">
                  <c:v>0.236484375</c:v>
                </c:pt>
              </c:numCache>
            </c:numRef>
          </c:val>
        </c:ser>
        <c:dLbls>
          <c:showLegendKey val="0"/>
          <c:showVal val="0"/>
          <c:showCatName val="0"/>
          <c:showSerName val="0"/>
          <c:showPercent val="0"/>
          <c:showBubbleSize val="0"/>
        </c:dLbls>
        <c:gapWidth val="66"/>
        <c:axId val="1428906976"/>
        <c:axId val="1475104800"/>
      </c:barChart>
      <c:lineChart>
        <c:grouping val="standard"/>
        <c:varyColors val="0"/>
        <c:ser>
          <c:idx val="1"/>
          <c:order val="1"/>
          <c:tx>
            <c:strRef>
              <c:f>NAND!$AV$22</c:f>
              <c:strCache>
                <c:ptCount val="1"/>
                <c:pt idx="0">
                  <c:v>MoM</c:v>
                </c:pt>
              </c:strCache>
            </c:strRef>
          </c:tx>
          <c:marker>
            <c:symbol val="square"/>
            <c:size val="3"/>
          </c:marker>
          <c:dLbls>
            <c:delete val="1"/>
          </c:dLbls>
          <c:val>
            <c:numRef>
              <c:f>NAND!$AY$67:$AY$145</c:f>
              <c:numCache>
                <c:formatCode>0%</c:formatCode>
                <c:ptCount val="79"/>
                <c:pt idx="1">
                  <c:v>0.00505050505050497</c:v>
                </c:pt>
                <c:pt idx="2">
                  <c:v>0</c:v>
                </c:pt>
                <c:pt idx="3">
                  <c:v>0.0238693467336684</c:v>
                </c:pt>
                <c:pt idx="4">
                  <c:v>0</c:v>
                </c:pt>
                <c:pt idx="5">
                  <c:v>0.0306748466257669</c:v>
                </c:pt>
                <c:pt idx="6">
                  <c:v>0.00952380952380949</c:v>
                </c:pt>
                <c:pt idx="7">
                  <c:v>0</c:v>
                </c:pt>
                <c:pt idx="8">
                  <c:v>-0.0330188679245285</c:v>
                </c:pt>
                <c:pt idx="9">
                  <c:v>-0.0341463414634146</c:v>
                </c:pt>
                <c:pt idx="10">
                  <c:v>-0.0113636363636364</c:v>
                </c:pt>
                <c:pt idx="11">
                  <c:v>0</c:v>
                </c:pt>
                <c:pt idx="12">
                  <c:v>0</c:v>
                </c:pt>
                <c:pt idx="13">
                  <c:v>0.0855683269476373</c:v>
                </c:pt>
                <c:pt idx="14">
                  <c:v>0.0588235294117647</c:v>
                </c:pt>
                <c:pt idx="15">
                  <c:v>0</c:v>
                </c:pt>
                <c:pt idx="16">
                  <c:v>-0.041111111111111</c:v>
                </c:pt>
                <c:pt idx="17">
                  <c:v>-0.0961761297798379</c:v>
                </c:pt>
                <c:pt idx="18" c:formatCode="0.0%">
                  <c:v>-0.0833333333333333</c:v>
                </c:pt>
                <c:pt idx="19" c:formatCode="0.0%">
                  <c:v>-0.188811188811189</c:v>
                </c:pt>
                <c:pt idx="20" c:formatCode="0.0%">
                  <c:v>-0.0862068965517241</c:v>
                </c:pt>
                <c:pt idx="21" c:formatCode="0.0%">
                  <c:v>-0.141509433962264</c:v>
                </c:pt>
                <c:pt idx="22" c:formatCode="0.0%">
                  <c:v>-0.054945054945055</c:v>
                </c:pt>
                <c:pt idx="23" c:formatCode="0.0%">
                  <c:v>-0.0162790697674418</c:v>
                </c:pt>
                <c:pt idx="24" c:formatCode="0.0%">
                  <c:v>-0.0118203309692673</c:v>
                </c:pt>
                <c:pt idx="25" c:formatCode="0.0%">
                  <c:v>0</c:v>
                </c:pt>
                <c:pt idx="26" c:formatCode="0.0%">
                  <c:v>-0.0813397129186603</c:v>
                </c:pt>
                <c:pt idx="27" c:formatCode="0.0%">
                  <c:v>-0.0624999999999999</c:v>
                </c:pt>
                <c:pt idx="28" c:formatCode="0.0%">
                  <c:v>0</c:v>
                </c:pt>
                <c:pt idx="29" c:formatCode="0.0%">
                  <c:v>0</c:v>
                </c:pt>
                <c:pt idx="30" c:formatCode="0.0%">
                  <c:v>0</c:v>
                </c:pt>
                <c:pt idx="31" c:formatCode="0.0%">
                  <c:v>0</c:v>
                </c:pt>
                <c:pt idx="32" c:formatCode="0.0%">
                  <c:v>0.0138888888888888</c:v>
                </c:pt>
                <c:pt idx="33" c:formatCode="0.0%">
                  <c:v>0.123287671232877</c:v>
                </c:pt>
                <c:pt idx="34" c:formatCode="0.0%">
                  <c:v>0.26829268292683</c:v>
                </c:pt>
                <c:pt idx="35" c:formatCode="0.0%">
                  <c:v>0.0865384615384617</c:v>
                </c:pt>
                <c:pt idx="36" c:formatCode="0.0%">
                  <c:v>0.0619469026548671</c:v>
                </c:pt>
                <c:pt idx="37" c:formatCode="0.0%">
                  <c:v>0.05</c:v>
                </c:pt>
                <c:pt idx="38" c:formatCode="0.0%">
                  <c:v>0.142857142857143</c:v>
                </c:pt>
                <c:pt idx="39" c:formatCode="0.0%">
                  <c:v>0</c:v>
                </c:pt>
                <c:pt idx="40" c:formatCode="0.0%">
                  <c:v>0</c:v>
                </c:pt>
                <c:pt idx="41" c:formatCode="0.0%">
                  <c:v>0</c:v>
                </c:pt>
                <c:pt idx="42" c:formatCode="0.0%">
                  <c:v>0</c:v>
                </c:pt>
                <c:pt idx="43" c:formatCode="0.0%">
                  <c:v>-0.0430555555555556</c:v>
                </c:pt>
                <c:pt idx="44" c:formatCode="0.0%">
                  <c:v>-0.0957910014513788</c:v>
                </c:pt>
                <c:pt idx="45" c:formatCode="0.0%">
                  <c:v>-0.041733547351525</c:v>
                </c:pt>
                <c:pt idx="46" c:formatCode="0.0%">
                  <c:v>-0.149078726968174</c:v>
                </c:pt>
                <c:pt idx="47" c:formatCode="0.0%">
                  <c:v>-0.0688976377952755</c:v>
                </c:pt>
                <c:pt idx="48" c:formatCode="0.0%">
                  <c:v>-0.035940803382664</c:v>
                </c:pt>
                <c:pt idx="49" c:formatCode="0.0%">
                  <c:v>-0.013157894736842</c:v>
                </c:pt>
                <c:pt idx="50" c:formatCode="0.0%">
                  <c:v>0.0733333333333333</c:v>
                </c:pt>
                <c:pt idx="51" c:formatCode="0.0%">
                  <c:v>0.0952380952380951</c:v>
                </c:pt>
                <c:pt idx="52" c:formatCode="0.0%">
                  <c:v>0.0151228733459357</c:v>
                </c:pt>
                <c:pt idx="53" c:formatCode="0.0%">
                  <c:v>0.0148975791433892</c:v>
                </c:pt>
                <c:pt idx="54" c:formatCode="0.0%">
                  <c:v>0.0422018348623852</c:v>
                </c:pt>
                <c:pt idx="55" c:formatCode="0.0%">
                  <c:v>0.0158450704225352</c:v>
                </c:pt>
                <c:pt idx="56" c:formatCode="0.0%">
                  <c:v>0.0225303292894281</c:v>
                </c:pt>
                <c:pt idx="57" c:formatCode="0.0%">
                  <c:v>0.274576271186441</c:v>
                </c:pt>
                <c:pt idx="58" c:formatCode="0.0%">
                  <c:v>0.566489361702128</c:v>
                </c:pt>
                <c:pt idx="59" c:formatCode="0.0%">
                  <c:v>0.340407470288625</c:v>
                </c:pt>
                <c:pt idx="60" c:formatCode="0.0%">
                  <c:v>0.304623179227359</c:v>
                </c:pt>
                <c:pt idx="61" c:formatCode="0.0%">
                  <c:v>0.167961165048544</c:v>
                </c:pt>
                <c:pt idx="62" c:formatCode="0.0%">
                  <c:v>0.195344970906068</c:v>
                </c:pt>
                <c:pt idx="63" c:formatCode="0.0%">
                  <c:v>0.0344228094575798</c:v>
                </c:pt>
                <c:pt idx="64" c:formatCode="0.0%">
                  <c:v>0.0174789915966387</c:v>
                </c:pt>
              </c:numCache>
            </c:numRef>
          </c:val>
          <c:smooth val="0"/>
        </c:ser>
        <c:dLbls>
          <c:showLegendKey val="0"/>
          <c:showVal val="0"/>
          <c:showCatName val="0"/>
          <c:showSerName val="0"/>
          <c:showPercent val="0"/>
          <c:showBubbleSize val="0"/>
        </c:dLbls>
        <c:marker val="1"/>
        <c:smooth val="0"/>
        <c:axId val="948129024"/>
        <c:axId val="948124032"/>
      </c:lineChart>
      <c:dateAx>
        <c:axId val="1428906976"/>
        <c:scaling>
          <c:orientation val="minMax"/>
        </c:scaling>
        <c:delete val="0"/>
        <c:axPos val="b"/>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475104800"/>
        <c:crosses val="autoZero"/>
        <c:auto val="1"/>
        <c:lblOffset val="100"/>
        <c:baseTimeUnit val="months"/>
        <c:majorUnit val="3"/>
        <c:majorTimeUnit val="months"/>
      </c:dateAx>
      <c:valAx>
        <c:axId val="1475104800"/>
        <c:scaling>
          <c:orientation val="minMax"/>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US$/GB</a:t>
                </a:r>
                <a:endParaRPr lang="en-US"/>
              </a:p>
            </c:rich>
          </c:tx>
          <c:layout/>
          <c:overlay val="0"/>
        </c:title>
        <c:numFmt formatCode="#,##0.0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428906976"/>
        <c:crosses val="autoZero"/>
        <c:crossBetween val="between"/>
      </c:valAx>
      <c:catAx>
        <c:axId val="948129024"/>
        <c:scaling>
          <c:orientation val="minMax"/>
        </c:scaling>
        <c:delete val="1"/>
        <c:axPos val="b"/>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948124032"/>
        <c:crosses val="autoZero"/>
        <c:auto val="1"/>
        <c:lblAlgn val="ctr"/>
        <c:lblOffset val="100"/>
        <c:noMultiLvlLbl val="0"/>
      </c:catAx>
      <c:valAx>
        <c:axId val="948124032"/>
        <c:scaling>
          <c:orientation val="minMax"/>
        </c:scaling>
        <c:delete val="0"/>
        <c:axPos val="r"/>
        <c:majorGridlines>
          <c:spPr>
            <a:ln w="12700" cap="flat" cmpd="sng" algn="ctr">
              <a:solidFill>
                <a:schemeClr val="bg1">
                  <a:lumMod val="85000"/>
                </a:schemeClr>
              </a:solidFill>
              <a:prstDash val="solid"/>
              <a:round/>
            </a:ln>
          </c:spPr>
        </c:majorGridlines>
        <c:numFmt formatCode="0%" sourceLinked="1"/>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948129024"/>
        <c:crosses val="max"/>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5e9f43b2-ce19-49f6-9fcd-a66e8a9f41e1}"/>
      </c:ext>
    </c:extLst>
  </c:chart>
  <c:spPr>
    <a:ln w="3175" cap="flat" cmpd="sng" algn="ctr">
      <a:solidFill>
        <a:srgbClr val="FFFFFF"/>
      </a:solidFill>
      <a:prstDash val="solid"/>
      <a:round/>
    </a:ln>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NAND Wafer (3D TLC 32GB) Spot Price &amp; WoW</a:t>
            </a:r>
            <a:endParaRPr lang="en-US"/>
          </a:p>
        </c:rich>
      </c:tx>
      <c:layout/>
      <c:overlay val="0"/>
    </c:title>
    <c:autoTitleDeleted val="0"/>
    <c:plotArea>
      <c:layout/>
      <c:barChart>
        <c:barDir val="col"/>
        <c:grouping val="clustered"/>
        <c:varyColors val="0"/>
        <c:ser>
          <c:idx val="0"/>
          <c:order val="0"/>
          <c:tx>
            <c:strRef>
              <c:f>NAND!$G$23</c:f>
              <c:strCache>
                <c:ptCount val="1"/>
                <c:pt idx="0">
                  <c:v>3D TLC 512Gb</c:v>
                </c:pt>
              </c:strCache>
            </c:strRef>
          </c:tx>
          <c:spPr>
            <a:ln>
              <a:solidFill>
                <a:schemeClr val="tx1"/>
              </a:solidFill>
            </a:ln>
          </c:spPr>
          <c:invertIfNegative val="0"/>
          <c:dLbls>
            <c:delete val="1"/>
          </c:dLbls>
          <c:cat>
            <c:numRef>
              <c:f>NAND!$E$127:$E$175</c:f>
              <c:numCache>
                <c:formatCode>yyyy/m/d</c:formatCode>
                <c:ptCount val="49"/>
                <c:pt idx="0" c:formatCode="yyyy/m/d">
                  <c:v>44200</c:v>
                </c:pt>
                <c:pt idx="1" c:formatCode="yyyy/m/d">
                  <c:v>44207</c:v>
                </c:pt>
                <c:pt idx="2" c:formatCode="yyyy/m/d">
                  <c:v>44214</c:v>
                </c:pt>
                <c:pt idx="3" c:formatCode="yyyy/m/d">
                  <c:v>44221</c:v>
                </c:pt>
                <c:pt idx="4" c:formatCode="yyyy/m/d">
                  <c:v>44228</c:v>
                </c:pt>
                <c:pt idx="5" c:formatCode="yyyy/m/d">
                  <c:v>44235</c:v>
                </c:pt>
                <c:pt idx="6" c:formatCode="yyyy/m/d">
                  <c:v>44244</c:v>
                </c:pt>
                <c:pt idx="7" c:formatCode="yyyy/m/d">
                  <c:v>44249</c:v>
                </c:pt>
                <c:pt idx="8" c:formatCode="yyyy/m/d">
                  <c:v>44256</c:v>
                </c:pt>
                <c:pt idx="9" c:formatCode="yyyy/m/d">
                  <c:v>44263</c:v>
                </c:pt>
                <c:pt idx="10" c:formatCode="yyyy/m/d">
                  <c:v>44270</c:v>
                </c:pt>
                <c:pt idx="11" c:formatCode="yyyy/m/d">
                  <c:v>44277</c:v>
                </c:pt>
                <c:pt idx="12" c:formatCode="yyyy/m/d">
                  <c:v>44284</c:v>
                </c:pt>
                <c:pt idx="13" c:formatCode="yyyy/m/d">
                  <c:v>44292</c:v>
                </c:pt>
                <c:pt idx="14" c:formatCode="yyyy/m/d">
                  <c:v>44298</c:v>
                </c:pt>
                <c:pt idx="15" c:formatCode="yyyy/m/d">
                  <c:v>44305</c:v>
                </c:pt>
                <c:pt idx="16" c:formatCode="yyyy/m/d">
                  <c:v>44312</c:v>
                </c:pt>
                <c:pt idx="17" c:formatCode="yyyy/m/d">
                  <c:v>44319</c:v>
                </c:pt>
                <c:pt idx="18" c:formatCode="yyyy/m/d">
                  <c:v>44326</c:v>
                </c:pt>
                <c:pt idx="19" c:formatCode="yyyy/m/d">
                  <c:v>44333</c:v>
                </c:pt>
                <c:pt idx="20" c:formatCode="yyyy/m/d">
                  <c:v>44340</c:v>
                </c:pt>
                <c:pt idx="21" c:formatCode="yyyy/m/d">
                  <c:v>44347</c:v>
                </c:pt>
                <c:pt idx="22" c:formatCode="yyyy/m/d">
                  <c:v>44354</c:v>
                </c:pt>
                <c:pt idx="23" c:formatCode="yyyy/m/d">
                  <c:v>44362</c:v>
                </c:pt>
                <c:pt idx="24" c:formatCode="yyyy/m/d">
                  <c:v>44368</c:v>
                </c:pt>
                <c:pt idx="25" c:formatCode="yyyy/m/d">
                  <c:v>44375</c:v>
                </c:pt>
                <c:pt idx="26" c:formatCode="yyyy/m/d">
                  <c:v>44382</c:v>
                </c:pt>
                <c:pt idx="27" c:formatCode="yyyy/m/d">
                  <c:v>44389</c:v>
                </c:pt>
                <c:pt idx="28" c:formatCode="yyyy/m/d">
                  <c:v>44396</c:v>
                </c:pt>
                <c:pt idx="29" c:formatCode="yyyy/m/d">
                  <c:v>44403</c:v>
                </c:pt>
                <c:pt idx="30" c:formatCode="yyyy/m/d">
                  <c:v>44410</c:v>
                </c:pt>
                <c:pt idx="31" c:formatCode="yyyy/m/d">
                  <c:v>44417</c:v>
                </c:pt>
                <c:pt idx="32" c:formatCode="yyyy/m/d">
                  <c:v>44424</c:v>
                </c:pt>
                <c:pt idx="33" c:formatCode="yyyy/m/d">
                  <c:v>44431</c:v>
                </c:pt>
                <c:pt idx="34" c:formatCode="yyyy/m/d">
                  <c:v>44438</c:v>
                </c:pt>
                <c:pt idx="35" c:formatCode="yyyy/m/d">
                  <c:v>44445</c:v>
                </c:pt>
                <c:pt idx="36" c:formatCode="yyyy/m/d">
                  <c:v>44452</c:v>
                </c:pt>
                <c:pt idx="37" c:formatCode="yyyy/m/d">
                  <c:v>44461</c:v>
                </c:pt>
                <c:pt idx="38" c:formatCode="yyyy/m/d">
                  <c:v>44466</c:v>
                </c:pt>
                <c:pt idx="39" c:formatCode="yyyy/m/d">
                  <c:v>44473</c:v>
                </c:pt>
                <c:pt idx="40" c:formatCode="yyyy/m/d">
                  <c:v>44480</c:v>
                </c:pt>
                <c:pt idx="41" c:formatCode="yyyy/m/d">
                  <c:v>44487</c:v>
                </c:pt>
                <c:pt idx="42" c:formatCode="yyyy/m/d">
                  <c:v>44494</c:v>
                </c:pt>
                <c:pt idx="43" c:formatCode="yyyy/m/d">
                  <c:v>44501</c:v>
                </c:pt>
                <c:pt idx="44" c:formatCode="yyyy/m/d">
                  <c:v>44508</c:v>
                </c:pt>
                <c:pt idx="45" c:formatCode="yyyy/m/d">
                  <c:v>44515</c:v>
                </c:pt>
                <c:pt idx="46" c:formatCode="yyyy/m/d">
                  <c:v>44522</c:v>
                </c:pt>
                <c:pt idx="47" c:formatCode="yyyy/m/d">
                  <c:v>44529</c:v>
                </c:pt>
                <c:pt idx="48" c:formatCode="yyyy/m/d">
                  <c:v>44536</c:v>
                </c:pt>
              </c:numCache>
            </c:numRef>
          </c:cat>
          <c:val>
            <c:numRef>
              <c:f>NAND!$G$127:$G$175</c:f>
              <c:numCache>
                <c:formatCode>#,##0.00</c:formatCode>
                <c:ptCount val="49"/>
                <c:pt idx="0">
                  <c:v>4.275</c:v>
                </c:pt>
                <c:pt idx="1">
                  <c:v>4.269</c:v>
                </c:pt>
                <c:pt idx="2">
                  <c:v>4.267</c:v>
                </c:pt>
                <c:pt idx="3">
                  <c:v>4.267</c:v>
                </c:pt>
                <c:pt idx="4">
                  <c:v>4.263</c:v>
                </c:pt>
                <c:pt idx="5">
                  <c:v>4.263</c:v>
                </c:pt>
                <c:pt idx="6">
                  <c:v>4.263</c:v>
                </c:pt>
                <c:pt idx="7">
                  <c:v>4.263</c:v>
                </c:pt>
                <c:pt idx="8">
                  <c:v>4.301</c:v>
                </c:pt>
                <c:pt idx="9">
                  <c:v>4.353</c:v>
                </c:pt>
                <c:pt idx="10">
                  <c:v>4.445</c:v>
                </c:pt>
                <c:pt idx="11">
                  <c:v>4.508</c:v>
                </c:pt>
                <c:pt idx="12">
                  <c:v>4.504</c:v>
                </c:pt>
                <c:pt idx="13">
                  <c:v>4.5</c:v>
                </c:pt>
                <c:pt idx="14">
                  <c:v>4.486</c:v>
                </c:pt>
                <c:pt idx="15">
                  <c:v>4.484</c:v>
                </c:pt>
                <c:pt idx="16">
                  <c:v>4.484</c:v>
                </c:pt>
                <c:pt idx="17">
                  <c:v>4.481</c:v>
                </c:pt>
                <c:pt idx="18">
                  <c:v>4.484</c:v>
                </c:pt>
                <c:pt idx="19">
                  <c:v>4.482</c:v>
                </c:pt>
                <c:pt idx="20">
                  <c:v>4.972</c:v>
                </c:pt>
                <c:pt idx="21">
                  <c:v>4.926</c:v>
                </c:pt>
                <c:pt idx="22">
                  <c:v>4.908</c:v>
                </c:pt>
                <c:pt idx="23">
                  <c:v>4.89</c:v>
                </c:pt>
                <c:pt idx="24">
                  <c:v>4.882</c:v>
                </c:pt>
                <c:pt idx="25">
                  <c:v>4.855</c:v>
                </c:pt>
                <c:pt idx="26">
                  <c:v>4.863</c:v>
                </c:pt>
                <c:pt idx="27">
                  <c:v>4.882</c:v>
                </c:pt>
                <c:pt idx="28">
                  <c:v>4.89</c:v>
                </c:pt>
                <c:pt idx="29">
                  <c:v>4.889</c:v>
                </c:pt>
                <c:pt idx="30">
                  <c:v>4.894</c:v>
                </c:pt>
                <c:pt idx="31">
                  <c:v>4.892</c:v>
                </c:pt>
                <c:pt idx="32">
                  <c:v>4.879</c:v>
                </c:pt>
                <c:pt idx="33">
                  <c:v>4.867</c:v>
                </c:pt>
                <c:pt idx="34">
                  <c:v>4.802</c:v>
                </c:pt>
                <c:pt idx="35">
                  <c:v>4.738</c:v>
                </c:pt>
                <c:pt idx="36">
                  <c:v>4.713</c:v>
                </c:pt>
                <c:pt idx="37">
                  <c:v>4.654</c:v>
                </c:pt>
                <c:pt idx="38">
                  <c:v>4.612</c:v>
                </c:pt>
                <c:pt idx="39">
                  <c:v>4.504</c:v>
                </c:pt>
                <c:pt idx="40">
                  <c:v>4.504</c:v>
                </c:pt>
                <c:pt idx="41">
                  <c:v>4.382</c:v>
                </c:pt>
                <c:pt idx="42">
                  <c:v>4.318</c:v>
                </c:pt>
                <c:pt idx="43">
                  <c:v>4.256</c:v>
                </c:pt>
                <c:pt idx="44">
                  <c:v>4.22</c:v>
                </c:pt>
                <c:pt idx="45">
                  <c:v>4.17</c:v>
                </c:pt>
                <c:pt idx="46">
                  <c:v>4.09</c:v>
                </c:pt>
                <c:pt idx="47">
                  <c:v>4.04</c:v>
                </c:pt>
                <c:pt idx="48">
                  <c:v>4.02</c:v>
                </c:pt>
              </c:numCache>
            </c:numRef>
          </c:val>
        </c:ser>
        <c:dLbls>
          <c:showLegendKey val="0"/>
          <c:showVal val="0"/>
          <c:showCatName val="0"/>
          <c:showSerName val="0"/>
          <c:showPercent val="0"/>
          <c:showBubbleSize val="0"/>
        </c:dLbls>
        <c:gapWidth val="150"/>
        <c:axId val="139647424"/>
        <c:axId val="1984156896"/>
      </c:barChart>
      <c:lineChart>
        <c:grouping val="standard"/>
        <c:varyColors val="0"/>
        <c:ser>
          <c:idx val="2"/>
          <c:order val="1"/>
          <c:tx>
            <c:strRef>
              <c:f>NAND!$P$24</c:f>
              <c:strCache>
                <c:ptCount val="1"/>
                <c:pt idx="0">
                  <c:v>3D TLC 512Gb WoW</c:v>
                </c:pt>
              </c:strCache>
            </c:strRef>
          </c:tx>
          <c:spPr>
            <a:ln w="38100" cap="rnd" cmpd="sng" algn="ctr">
              <a:solidFill>
                <a:schemeClr val="tx1"/>
              </a:solidFill>
              <a:prstDash val="solid"/>
              <a:round/>
            </a:ln>
          </c:spPr>
          <c:marker>
            <c:symbol val="triangle"/>
            <c:size val="3"/>
            <c:spPr>
              <a:solidFill>
                <a:schemeClr val="tx1"/>
              </a:solidFill>
              <a:ln w="12700" cap="flat" cmpd="sng" algn="ctr">
                <a:solidFill>
                  <a:schemeClr val="tx1"/>
                </a:solidFill>
                <a:prstDash val="solid"/>
                <a:round/>
              </a:ln>
            </c:spPr>
          </c:marker>
          <c:dLbls>
            <c:delete val="1"/>
          </c:dLbls>
          <c:cat>
            <c:numRef>
              <c:f>NAND!$E$127:$E$175</c:f>
              <c:numCache>
                <c:formatCode>yyyy/m/d</c:formatCode>
                <c:ptCount val="49"/>
                <c:pt idx="0" c:formatCode="yyyy/m/d">
                  <c:v>44200</c:v>
                </c:pt>
                <c:pt idx="1" c:formatCode="yyyy/m/d">
                  <c:v>44207</c:v>
                </c:pt>
                <c:pt idx="2" c:formatCode="yyyy/m/d">
                  <c:v>44214</c:v>
                </c:pt>
                <c:pt idx="3" c:formatCode="yyyy/m/d">
                  <c:v>44221</c:v>
                </c:pt>
                <c:pt idx="4" c:formatCode="yyyy/m/d">
                  <c:v>44228</c:v>
                </c:pt>
                <c:pt idx="5" c:formatCode="yyyy/m/d">
                  <c:v>44235</c:v>
                </c:pt>
                <c:pt idx="6" c:formatCode="yyyy/m/d">
                  <c:v>44244</c:v>
                </c:pt>
                <c:pt idx="7" c:formatCode="yyyy/m/d">
                  <c:v>44249</c:v>
                </c:pt>
                <c:pt idx="8" c:formatCode="yyyy/m/d">
                  <c:v>44256</c:v>
                </c:pt>
                <c:pt idx="9" c:formatCode="yyyy/m/d">
                  <c:v>44263</c:v>
                </c:pt>
                <c:pt idx="10" c:formatCode="yyyy/m/d">
                  <c:v>44270</c:v>
                </c:pt>
                <c:pt idx="11" c:formatCode="yyyy/m/d">
                  <c:v>44277</c:v>
                </c:pt>
                <c:pt idx="12" c:formatCode="yyyy/m/d">
                  <c:v>44284</c:v>
                </c:pt>
                <c:pt idx="13" c:formatCode="yyyy/m/d">
                  <c:v>44292</c:v>
                </c:pt>
                <c:pt idx="14" c:formatCode="yyyy/m/d">
                  <c:v>44298</c:v>
                </c:pt>
                <c:pt idx="15" c:formatCode="yyyy/m/d">
                  <c:v>44305</c:v>
                </c:pt>
                <c:pt idx="16" c:formatCode="yyyy/m/d">
                  <c:v>44312</c:v>
                </c:pt>
                <c:pt idx="17" c:formatCode="yyyy/m/d">
                  <c:v>44319</c:v>
                </c:pt>
                <c:pt idx="18" c:formatCode="yyyy/m/d">
                  <c:v>44326</c:v>
                </c:pt>
                <c:pt idx="19" c:formatCode="yyyy/m/d">
                  <c:v>44333</c:v>
                </c:pt>
                <c:pt idx="20" c:formatCode="yyyy/m/d">
                  <c:v>44340</c:v>
                </c:pt>
                <c:pt idx="21" c:formatCode="yyyy/m/d">
                  <c:v>44347</c:v>
                </c:pt>
                <c:pt idx="22" c:formatCode="yyyy/m/d">
                  <c:v>44354</c:v>
                </c:pt>
                <c:pt idx="23" c:formatCode="yyyy/m/d">
                  <c:v>44362</c:v>
                </c:pt>
                <c:pt idx="24" c:formatCode="yyyy/m/d">
                  <c:v>44368</c:v>
                </c:pt>
                <c:pt idx="25" c:formatCode="yyyy/m/d">
                  <c:v>44375</c:v>
                </c:pt>
                <c:pt idx="26" c:formatCode="yyyy/m/d">
                  <c:v>44382</c:v>
                </c:pt>
                <c:pt idx="27" c:formatCode="yyyy/m/d">
                  <c:v>44389</c:v>
                </c:pt>
                <c:pt idx="28" c:formatCode="yyyy/m/d">
                  <c:v>44396</c:v>
                </c:pt>
                <c:pt idx="29" c:formatCode="yyyy/m/d">
                  <c:v>44403</c:v>
                </c:pt>
                <c:pt idx="30" c:formatCode="yyyy/m/d">
                  <c:v>44410</c:v>
                </c:pt>
                <c:pt idx="31" c:formatCode="yyyy/m/d">
                  <c:v>44417</c:v>
                </c:pt>
                <c:pt idx="32" c:formatCode="yyyy/m/d">
                  <c:v>44424</c:v>
                </c:pt>
                <c:pt idx="33" c:formatCode="yyyy/m/d">
                  <c:v>44431</c:v>
                </c:pt>
                <c:pt idx="34" c:formatCode="yyyy/m/d">
                  <c:v>44438</c:v>
                </c:pt>
                <c:pt idx="35" c:formatCode="yyyy/m/d">
                  <c:v>44445</c:v>
                </c:pt>
                <c:pt idx="36" c:formatCode="yyyy/m/d">
                  <c:v>44452</c:v>
                </c:pt>
                <c:pt idx="37" c:formatCode="yyyy/m/d">
                  <c:v>44461</c:v>
                </c:pt>
                <c:pt idx="38" c:formatCode="yyyy/m/d">
                  <c:v>44466</c:v>
                </c:pt>
                <c:pt idx="39" c:formatCode="yyyy/m/d">
                  <c:v>44473</c:v>
                </c:pt>
                <c:pt idx="40" c:formatCode="yyyy/m/d">
                  <c:v>44480</c:v>
                </c:pt>
                <c:pt idx="41" c:formatCode="yyyy/m/d">
                  <c:v>44487</c:v>
                </c:pt>
                <c:pt idx="42" c:formatCode="yyyy/m/d">
                  <c:v>44494</c:v>
                </c:pt>
                <c:pt idx="43" c:formatCode="yyyy/m/d">
                  <c:v>44501</c:v>
                </c:pt>
                <c:pt idx="44" c:formatCode="yyyy/m/d">
                  <c:v>44508</c:v>
                </c:pt>
                <c:pt idx="45" c:formatCode="yyyy/m/d">
                  <c:v>44515</c:v>
                </c:pt>
                <c:pt idx="46" c:formatCode="yyyy/m/d">
                  <c:v>44522</c:v>
                </c:pt>
                <c:pt idx="47" c:formatCode="yyyy/m/d">
                  <c:v>44529</c:v>
                </c:pt>
                <c:pt idx="48" c:formatCode="yyyy/m/d">
                  <c:v>44536</c:v>
                </c:pt>
              </c:numCache>
            </c:numRef>
          </c:cat>
          <c:val>
            <c:numRef>
              <c:f>NAND!$P$127:$P$175</c:f>
              <c:numCache>
                <c:formatCode>0%</c:formatCode>
                <c:ptCount val="49"/>
                <c:pt idx="0">
                  <c:v>-0.0032641641408252</c:v>
                </c:pt>
                <c:pt idx="1">
                  <c:v>-0.00140350877192985</c:v>
                </c:pt>
                <c:pt idx="2">
                  <c:v>-0.00046849379245717</c:v>
                </c:pt>
                <c:pt idx="3">
                  <c:v>0</c:v>
                </c:pt>
                <c:pt idx="4">
                  <c:v>-0.000937426763534255</c:v>
                </c:pt>
                <c:pt idx="5">
                  <c:v>0</c:v>
                </c:pt>
                <c:pt idx="6">
                  <c:v>0</c:v>
                </c:pt>
                <c:pt idx="7">
                  <c:v>0</c:v>
                </c:pt>
                <c:pt idx="8">
                  <c:v>0.00891391039174305</c:v>
                </c:pt>
                <c:pt idx="9">
                  <c:v>0.0120902115787025</c:v>
                </c:pt>
                <c:pt idx="10">
                  <c:v>0.0211348495290606</c:v>
                </c:pt>
                <c:pt idx="11">
                  <c:v>0.0141732283464566</c:v>
                </c:pt>
                <c:pt idx="12">
                  <c:v>-0.000887311446317707</c:v>
                </c:pt>
                <c:pt idx="13">
                  <c:v>-0.000888099467140191</c:v>
                </c:pt>
                <c:pt idx="14">
                  <c:v>-0.00311111111111118</c:v>
                </c:pt>
                <c:pt idx="15">
                  <c:v>-0.000445831475702096</c:v>
                </c:pt>
                <c:pt idx="16">
                  <c:v>0</c:v>
                </c:pt>
                <c:pt idx="17">
                  <c:v>-0.000669045495093723</c:v>
                </c:pt>
                <c:pt idx="18">
                  <c:v>0.000669493416648015</c:v>
                </c:pt>
                <c:pt idx="19">
                  <c:v>-0.000446030330062408</c:v>
                </c:pt>
                <c:pt idx="20">
                  <c:v>0.109326193663543</c:v>
                </c:pt>
                <c:pt idx="21">
                  <c:v>-0.0092518101367659</c:v>
                </c:pt>
                <c:pt idx="22">
                  <c:v>-0.00365408038976855</c:v>
                </c:pt>
                <c:pt idx="23">
                  <c:v>-0.00366748166259179</c:v>
                </c:pt>
                <c:pt idx="24">
                  <c:v>-0.00163599182004093</c:v>
                </c:pt>
                <c:pt idx="25">
                  <c:v>-0.00553052027857415</c:v>
                </c:pt>
                <c:pt idx="26">
                  <c:v>0.00164778578784763</c:v>
                </c:pt>
                <c:pt idx="27">
                  <c:v>0.00390705325930485</c:v>
                </c:pt>
                <c:pt idx="28">
                  <c:v>0.00163867267513318</c:v>
                </c:pt>
                <c:pt idx="29">
                  <c:v>-0.000204498977504963</c:v>
                </c:pt>
                <c:pt idx="30">
                  <c:v>0.00102270402945392</c:v>
                </c:pt>
                <c:pt idx="31">
                  <c:v>-0.000408663669799747</c:v>
                </c:pt>
                <c:pt idx="32">
                  <c:v>-0.00265739983646784</c:v>
                </c:pt>
                <c:pt idx="33">
                  <c:v>-0.00245952039352315</c:v>
                </c:pt>
                <c:pt idx="34">
                  <c:v>-0.0133552496404357</c:v>
                </c:pt>
                <c:pt idx="35">
                  <c:v>-0.0133277800916283</c:v>
                </c:pt>
                <c:pt idx="36">
                  <c:v>-0.00527648796960756</c:v>
                </c:pt>
                <c:pt idx="37">
                  <c:v>-0.012518565669425</c:v>
                </c:pt>
                <c:pt idx="38">
                  <c:v>-0.00902449505801461</c:v>
                </c:pt>
                <c:pt idx="39">
                  <c:v>-0.0234171725932352</c:v>
                </c:pt>
                <c:pt idx="40">
                  <c:v>0</c:v>
                </c:pt>
                <c:pt idx="41">
                  <c:v>-0.0270870337477798</c:v>
                </c:pt>
                <c:pt idx="42">
                  <c:v>-0.0146052031036057</c:v>
                </c:pt>
                <c:pt idx="43">
                  <c:v>-0.0143584993052338</c:v>
                </c:pt>
                <c:pt idx="44">
                  <c:v>-0.0084586466165415</c:v>
                </c:pt>
                <c:pt idx="45">
                  <c:v>-0.0118483412322274</c:v>
                </c:pt>
                <c:pt idx="46">
                  <c:v>-0.0191846522781774</c:v>
                </c:pt>
                <c:pt idx="47">
                  <c:v>-0.0122249388753056</c:v>
                </c:pt>
                <c:pt idx="48">
                  <c:v>-0.00495049504950507</c:v>
                </c:pt>
              </c:numCache>
            </c:numRef>
          </c:val>
          <c:smooth val="0"/>
        </c:ser>
        <c:dLbls>
          <c:showLegendKey val="0"/>
          <c:showVal val="0"/>
          <c:showCatName val="0"/>
          <c:showSerName val="0"/>
          <c:showPercent val="0"/>
          <c:showBubbleSize val="0"/>
        </c:dLbls>
        <c:marker val="1"/>
        <c:smooth val="0"/>
        <c:axId val="139672224"/>
        <c:axId val="1984130272"/>
      </c:lineChart>
      <c:catAx>
        <c:axId val="139647424"/>
        <c:scaling>
          <c:orientation val="minMax"/>
        </c:scaling>
        <c:delete val="0"/>
        <c:axPos val="b"/>
        <c:numFmt formatCode="[$-409]dd\-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984156896"/>
        <c:crosses val="autoZero"/>
        <c:auto val="0"/>
        <c:lblAlgn val="ctr"/>
        <c:lblOffset val="100"/>
        <c:noMultiLvlLbl val="0"/>
      </c:catAx>
      <c:valAx>
        <c:axId val="1984156896"/>
        <c:scaling>
          <c:orientation val="minMax"/>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_(* #,##0.0_);_(* \(#,##0.0\);_(* &quot;-&quot;?_);_(@_)"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39647424"/>
        <c:crosses val="autoZero"/>
        <c:crossBetween val="between"/>
      </c:valAx>
      <c:dateAx>
        <c:axId val="139672224"/>
        <c:scaling>
          <c:orientation val="minMax"/>
        </c:scaling>
        <c:delete val="1"/>
        <c:axPos val="b"/>
        <c:numFmt formatCode="m/d/yyyy" sourceLinked="1"/>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984130272"/>
        <c:crosses val="autoZero"/>
        <c:auto val="1"/>
        <c:lblOffset val="100"/>
        <c:baseTimeUnit val="days"/>
      </c:dateAx>
      <c:valAx>
        <c:axId val="1984130272"/>
        <c:scaling>
          <c:orientation val="minMax"/>
        </c:scaling>
        <c:delete val="0"/>
        <c:axPos val="r"/>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WoW</a:t>
                </a:r>
                <a:endParaRPr lang="en-US"/>
              </a:p>
            </c:rich>
          </c:tx>
          <c:layout/>
          <c:overlay val="0"/>
        </c:title>
        <c:numFmt formatCode="0%" sourceLinked="1"/>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39672224"/>
        <c:crosses val="max"/>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cb60b1e3-cacc-4c40-9582-0c8a70030a67}"/>
      </c:ext>
    </c:extLst>
  </c:chart>
  <c:spPr>
    <a:ln w="6350" cap="flat" cmpd="sng" algn="ctr">
      <a:noFill/>
      <a:prstDash val="solid"/>
      <a:round/>
    </a:ln>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sz="1000" b="1" i="0" u="none" strike="noStrike" baseline="0">
                <a:effectLst/>
              </a:rPr>
              <a:t>NAND Wafer </a:t>
            </a:r>
            <a:r>
              <a:rPr lang="en-US"/>
              <a:t>Contract Price &amp; MoM </a:t>
            </a:r>
            <a:endParaRPr lang="en-US"/>
          </a:p>
        </c:rich>
      </c:tx>
      <c:layout/>
      <c:overlay val="0"/>
    </c:title>
    <c:autoTitleDeleted val="0"/>
    <c:plotArea>
      <c:layout>
        <c:manualLayout>
          <c:layoutTarget val="inner"/>
          <c:xMode val="edge"/>
          <c:yMode val="edge"/>
          <c:x val="0.085334634649862"/>
          <c:y val="0.158453277374631"/>
          <c:w val="0.835483534647469"/>
          <c:h val="0.556744551584845"/>
        </c:manualLayout>
      </c:layout>
      <c:barChart>
        <c:barDir val="col"/>
        <c:grouping val="clustered"/>
        <c:varyColors val="0"/>
        <c:ser>
          <c:idx val="4"/>
          <c:order val="4"/>
          <c:tx>
            <c:strRef>
              <c:f>NAND!$AU$23</c:f>
              <c:strCache>
                <c:ptCount val="1"/>
                <c:pt idx="0">
                  <c:v>3D QLC 1Tb</c:v>
                </c:pt>
              </c:strCache>
            </c:strRef>
          </c:tx>
          <c:spPr>
            <a:ln>
              <a:solidFill>
                <a:schemeClr val="tx1"/>
              </a:solidFill>
            </a:ln>
          </c:spPr>
          <c:invertIfNegative val="0"/>
          <c:dLbls>
            <c:delete val="1"/>
          </c:dLbls>
          <c:cat>
            <c:numRef>
              <c:f>NAND!$AL$67:$AL$201</c:f>
              <c:numCache>
                <c:formatCode>yyyy/m/d</c:formatCode>
                <c:ptCount val="135"/>
                <c:pt idx="0" c:formatCode="yyyy/m/d">
                  <c:v>44227</c:v>
                </c:pt>
                <c:pt idx="1" c:formatCode="yyyy/m/d">
                  <c:v>44255</c:v>
                </c:pt>
                <c:pt idx="2" c:formatCode="yyyy/m/d">
                  <c:v>44286</c:v>
                </c:pt>
                <c:pt idx="3" c:formatCode="yyyy/m/d">
                  <c:v>44316</c:v>
                </c:pt>
                <c:pt idx="4" c:formatCode="yyyy/m/d">
                  <c:v>44347</c:v>
                </c:pt>
                <c:pt idx="5" c:formatCode="yyyy/m/d">
                  <c:v>44377</c:v>
                </c:pt>
                <c:pt idx="6" c:formatCode="yyyy/m/d">
                  <c:v>44408</c:v>
                </c:pt>
                <c:pt idx="7" c:formatCode="yyyy/m/d">
                  <c:v>44439</c:v>
                </c:pt>
                <c:pt idx="8" c:formatCode="yyyy/m/d">
                  <c:v>44469</c:v>
                </c:pt>
                <c:pt idx="9" c:formatCode="yyyy/m/d">
                  <c:v>44500</c:v>
                </c:pt>
                <c:pt idx="10" c:formatCode="yyyy/m/d">
                  <c:v>44530</c:v>
                </c:pt>
                <c:pt idx="11" c:formatCode="yyyy/m/d">
                  <c:v>44561</c:v>
                </c:pt>
                <c:pt idx="12" c:formatCode="yyyy/m/d">
                  <c:v>44592</c:v>
                </c:pt>
                <c:pt idx="13" c:formatCode="yyyy/m/d">
                  <c:v>44620</c:v>
                </c:pt>
                <c:pt idx="14" c:formatCode="yyyy/m/d">
                  <c:v>44651</c:v>
                </c:pt>
                <c:pt idx="15" c:formatCode="yyyy/m/d">
                  <c:v>44681</c:v>
                </c:pt>
                <c:pt idx="16" c:formatCode="yyyy/m/d">
                  <c:v>44712</c:v>
                </c:pt>
                <c:pt idx="17" c:formatCode="yyyy/m/d">
                  <c:v>44742</c:v>
                </c:pt>
                <c:pt idx="18" c:formatCode="yyyy/m/d">
                  <c:v>44773</c:v>
                </c:pt>
                <c:pt idx="19" c:formatCode="yyyy/m/d">
                  <c:v>44804</c:v>
                </c:pt>
                <c:pt idx="20" c:formatCode="yyyy/m/d">
                  <c:v>44834</c:v>
                </c:pt>
                <c:pt idx="21" c:formatCode="yyyy/m/d">
                  <c:v>44865</c:v>
                </c:pt>
                <c:pt idx="22" c:formatCode="yyyy/m/d">
                  <c:v>44895</c:v>
                </c:pt>
                <c:pt idx="23" c:formatCode="yyyy/m/d">
                  <c:v>44926</c:v>
                </c:pt>
                <c:pt idx="24" c:formatCode="yyyy/m/d">
                  <c:v>44957</c:v>
                </c:pt>
                <c:pt idx="25" c:formatCode="yyyy/m/d">
                  <c:v>44985</c:v>
                </c:pt>
                <c:pt idx="26" c:formatCode="yyyy/m/d">
                  <c:v>45016</c:v>
                </c:pt>
                <c:pt idx="27" c:formatCode="yyyy/m/d">
                  <c:v>45046</c:v>
                </c:pt>
                <c:pt idx="28" c:formatCode="yyyy/m/d">
                  <c:v>45077</c:v>
                </c:pt>
                <c:pt idx="29" c:formatCode="yyyy/m/d">
                  <c:v>45107</c:v>
                </c:pt>
                <c:pt idx="30" c:formatCode="yyyy/m/d">
                  <c:v>45138</c:v>
                </c:pt>
                <c:pt idx="31" c:formatCode="yyyy/m/d">
                  <c:v>45169</c:v>
                </c:pt>
                <c:pt idx="32" c:formatCode="yyyy/m/d">
                  <c:v>45199</c:v>
                </c:pt>
                <c:pt idx="33" c:formatCode="yyyy/m/d">
                  <c:v>45230</c:v>
                </c:pt>
                <c:pt idx="34" c:formatCode="yyyy/m/d">
                  <c:v>45260</c:v>
                </c:pt>
                <c:pt idx="35" c:formatCode="yyyy/m/d">
                  <c:v>45291</c:v>
                </c:pt>
                <c:pt idx="36" c:formatCode="yyyy/m/d">
                  <c:v>45322</c:v>
                </c:pt>
                <c:pt idx="37" c:formatCode="yyyy/m/d">
                  <c:v>45351</c:v>
                </c:pt>
                <c:pt idx="38" c:formatCode="yyyy/m/d">
                  <c:v>45382</c:v>
                </c:pt>
                <c:pt idx="39" c:formatCode="yyyy/m/d">
                  <c:v>45412</c:v>
                </c:pt>
                <c:pt idx="40" c:formatCode="yyyy/m/d">
                  <c:v>45443</c:v>
                </c:pt>
                <c:pt idx="41" c:formatCode="yyyy/m/d">
                  <c:v>45473</c:v>
                </c:pt>
                <c:pt idx="42" c:formatCode="yyyy/m/d">
                  <c:v>45504</c:v>
                </c:pt>
                <c:pt idx="43" c:formatCode="yyyy/m/d">
                  <c:v>45535</c:v>
                </c:pt>
                <c:pt idx="44" c:formatCode="yyyy/m/d">
                  <c:v>45565</c:v>
                </c:pt>
                <c:pt idx="45" c:formatCode="yyyy/m/d">
                  <c:v>45596</c:v>
                </c:pt>
                <c:pt idx="46" c:formatCode="yyyy/m/d">
                  <c:v>45626</c:v>
                </c:pt>
                <c:pt idx="47" c:formatCode="yyyy/m/d">
                  <c:v>45657</c:v>
                </c:pt>
                <c:pt idx="48" c:formatCode="yyyy/m/d">
                  <c:v>45688</c:v>
                </c:pt>
                <c:pt idx="49" c:formatCode="yyyy/m/d">
                  <c:v>45716</c:v>
                </c:pt>
                <c:pt idx="50" c:formatCode="yyyy/m/d">
                  <c:v>45747</c:v>
                </c:pt>
                <c:pt idx="51" c:formatCode="yyyy/m/d">
                  <c:v>45777</c:v>
                </c:pt>
                <c:pt idx="52" c:formatCode="yyyy/m/d">
                  <c:v>45808</c:v>
                </c:pt>
                <c:pt idx="53" c:formatCode="yyyy/m/d">
                  <c:v>45838</c:v>
                </c:pt>
                <c:pt idx="54" c:formatCode="yyyy/m/d">
                  <c:v>45869</c:v>
                </c:pt>
                <c:pt idx="55" c:formatCode="yyyy/m/d">
                  <c:v>45900</c:v>
                </c:pt>
                <c:pt idx="56" c:formatCode="yyyy/m/d">
                  <c:v>45930</c:v>
                </c:pt>
                <c:pt idx="57" c:formatCode="yyyy/m/d">
                  <c:v>45961</c:v>
                </c:pt>
                <c:pt idx="58" c:formatCode="yyyy/m/d">
                  <c:v>45991</c:v>
                </c:pt>
                <c:pt idx="59" c:formatCode="yyyy/m/d">
                  <c:v>46022</c:v>
                </c:pt>
                <c:pt idx="60" c:formatCode="yyyy/m/d">
                  <c:v>46053</c:v>
                </c:pt>
                <c:pt idx="61" c:formatCode="yyyy/m/d">
                  <c:v>46081</c:v>
                </c:pt>
                <c:pt idx="62" c:formatCode="yyyy/m/d">
                  <c:v>46112</c:v>
                </c:pt>
                <c:pt idx="63" c:formatCode="yyyy/m/d">
                  <c:v>46142</c:v>
                </c:pt>
                <c:pt idx="64" c:formatCode="yyyy/m/d">
                  <c:v>46173</c:v>
                </c:pt>
              </c:numCache>
            </c:numRef>
          </c:cat>
          <c:val>
            <c:numRef>
              <c:f>NAND!$AU$67:$AU$201</c:f>
              <c:numCache>
                <c:formatCode>#,##0.000</c:formatCode>
                <c:ptCount val="135"/>
                <c:pt idx="0">
                  <c:v>0.061875</c:v>
                </c:pt>
                <c:pt idx="1">
                  <c:v>0.0621875</c:v>
                </c:pt>
                <c:pt idx="2">
                  <c:v>0.0621875</c:v>
                </c:pt>
                <c:pt idx="3">
                  <c:v>0.063671875</c:v>
                </c:pt>
                <c:pt idx="4">
                  <c:v>0.063671875</c:v>
                </c:pt>
                <c:pt idx="5">
                  <c:v>0.065625</c:v>
                </c:pt>
                <c:pt idx="6">
                  <c:v>0.06625</c:v>
                </c:pt>
                <c:pt idx="7">
                  <c:v>0.06625</c:v>
                </c:pt>
                <c:pt idx="8">
                  <c:v>0.0640625</c:v>
                </c:pt>
                <c:pt idx="9">
                  <c:v>0.061875</c:v>
                </c:pt>
                <c:pt idx="10">
                  <c:v>0.061171875</c:v>
                </c:pt>
                <c:pt idx="11">
                  <c:v>0.061171875</c:v>
                </c:pt>
                <c:pt idx="12">
                  <c:v>0.061171875</c:v>
                </c:pt>
                <c:pt idx="13">
                  <c:v>0.06640625</c:v>
                </c:pt>
                <c:pt idx="14">
                  <c:v>0.0703125</c:v>
                </c:pt>
                <c:pt idx="15">
                  <c:v>0.0703125</c:v>
                </c:pt>
                <c:pt idx="16">
                  <c:v>0.067421875</c:v>
                </c:pt>
                <c:pt idx="17">
                  <c:v>0.0609375</c:v>
                </c:pt>
                <c:pt idx="18">
                  <c:v>0.055859375</c:v>
                </c:pt>
                <c:pt idx="19">
                  <c:v>0.0453125</c:v>
                </c:pt>
                <c:pt idx="20">
                  <c:v>0.04140625</c:v>
                </c:pt>
                <c:pt idx="21">
                  <c:v>0.035546875</c:v>
                </c:pt>
                <c:pt idx="22">
                  <c:v>0.03359375</c:v>
                </c:pt>
                <c:pt idx="23">
                  <c:v>0.033046875</c:v>
                </c:pt>
                <c:pt idx="24">
                  <c:v>0.03265625</c:v>
                </c:pt>
                <c:pt idx="25">
                  <c:v>0.03265625</c:v>
                </c:pt>
                <c:pt idx="26">
                  <c:v>0.03</c:v>
                </c:pt>
                <c:pt idx="27">
                  <c:v>0.028125</c:v>
                </c:pt>
                <c:pt idx="28">
                  <c:v>0.028125</c:v>
                </c:pt>
                <c:pt idx="29">
                  <c:v>0.028125</c:v>
                </c:pt>
                <c:pt idx="30">
                  <c:v>0.028125</c:v>
                </c:pt>
                <c:pt idx="31">
                  <c:v>0.028125</c:v>
                </c:pt>
                <c:pt idx="32">
                  <c:v>0.028515625</c:v>
                </c:pt>
                <c:pt idx="33">
                  <c:v>0.03203125</c:v>
                </c:pt>
                <c:pt idx="34">
                  <c:v>0.040625</c:v>
                </c:pt>
                <c:pt idx="35">
                  <c:v>0.044140625</c:v>
                </c:pt>
                <c:pt idx="36">
                  <c:v>0.046875</c:v>
                </c:pt>
                <c:pt idx="37">
                  <c:v>0.04921875</c:v>
                </c:pt>
                <c:pt idx="38">
                  <c:v>0.05625</c:v>
                </c:pt>
                <c:pt idx="39">
                  <c:v>0.05625</c:v>
                </c:pt>
                <c:pt idx="40">
                  <c:v>0.05625</c:v>
                </c:pt>
                <c:pt idx="41">
                  <c:v>0.05625</c:v>
                </c:pt>
                <c:pt idx="42">
                  <c:v>0.05625</c:v>
                </c:pt>
                <c:pt idx="43">
                  <c:v>0.053828125</c:v>
                </c:pt>
                <c:pt idx="44">
                  <c:v>0.048671875</c:v>
                </c:pt>
                <c:pt idx="45">
                  <c:v>0.046640625</c:v>
                </c:pt>
                <c:pt idx="46">
                  <c:v>0.0396875</c:v>
                </c:pt>
                <c:pt idx="47">
                  <c:v>0.036953125</c:v>
                </c:pt>
                <c:pt idx="48">
                  <c:v>0.035625</c:v>
                </c:pt>
                <c:pt idx="49">
                  <c:v>0.03515625</c:v>
                </c:pt>
                <c:pt idx="50">
                  <c:v>0.037734375</c:v>
                </c:pt>
                <c:pt idx="51">
                  <c:v>0.041328125</c:v>
                </c:pt>
                <c:pt idx="52">
                  <c:v>0.041953125</c:v>
                </c:pt>
                <c:pt idx="53">
                  <c:v>0.042578125</c:v>
                </c:pt>
                <c:pt idx="54">
                  <c:v>0.044375</c:v>
                </c:pt>
                <c:pt idx="55">
                  <c:v>0.045078125</c:v>
                </c:pt>
                <c:pt idx="56">
                  <c:v>0.04609375</c:v>
                </c:pt>
                <c:pt idx="57">
                  <c:v>0.05875</c:v>
                </c:pt>
                <c:pt idx="58">
                  <c:v>0.09203125</c:v>
                </c:pt>
                <c:pt idx="59">
                  <c:v>0.123359375</c:v>
                </c:pt>
                <c:pt idx="60">
                  <c:v>0.1609375</c:v>
                </c:pt>
                <c:pt idx="61">
                  <c:v>0.18796875</c:v>
                </c:pt>
                <c:pt idx="62">
                  <c:v>0.2246875</c:v>
                </c:pt>
                <c:pt idx="63">
                  <c:v>0.232421875</c:v>
                </c:pt>
                <c:pt idx="64">
                  <c:v>0.236484375</c:v>
                </c:pt>
              </c:numCache>
            </c:numRef>
          </c:val>
        </c:ser>
        <c:dLbls>
          <c:showLegendKey val="0"/>
          <c:showVal val="0"/>
          <c:showCatName val="0"/>
          <c:showSerName val="0"/>
          <c:showPercent val="0"/>
          <c:showBubbleSize val="0"/>
        </c:dLbls>
        <c:gapWidth val="50"/>
        <c:axId val="1428906976"/>
        <c:axId val="1475104800"/>
        <c:extLst>
          <c:ext xmlns:c15="http://schemas.microsoft.com/office/drawing/2012/chart" uri="{02D57815-91ED-43cb-92C2-25804820EDAC}">
            <c15:filteredBarSeries>
              <c15:ser>
                <c:idx val="0"/>
                <c:order val="0"/>
                <c:tx>
                  <c:strRef>
                    <c:extLst>
                      <c:ext uri="{02D57815-91ED-43cb-92C2-25804820EDAC}">
                        <c15:formulaRef>
                          <c15:sqref>NAND!$AS$23</c15:sqref>
                        </c15:formulaRef>
                      </c:ext>
                    </c:extLst>
                    <c:strCache>
                      <c:ptCount val="1"/>
                      <c:pt idx="0">
                        <c:v>3D TLC 512Gb</c:v>
                      </c:pt>
                    </c:strCache>
                  </c:strRef>
                </c:tx>
                <c:spPr>
                  <a:ln w="12700">
                    <a:solidFill>
                      <a:srgbClr val="000000"/>
                    </a:solidFill>
                    <a:prstDash val="solid"/>
                  </a:ln>
                </c:spPr>
                <c:invertIfNegative val="0"/>
                <c:dLbls>
                  <c:delete val="1"/>
                </c:dLbls>
                <c:cat>
                  <c:numRef>
                    <c:extLst>
                      <c:ext uri="{02D57815-91ED-43cb-92C2-25804820EDAC}">
                        <c15:fullRef>
                          <c15:sqref/>
                        </c15:fullRef>
                        <c15:formulaRef>
                          <c15:sqref>NAND!$AL$67:$AL$201</c15:sqref>
                        </c15:formulaRef>
                      </c:ext>
                    </c:extLst>
                    <c:numCache>
                      <c:formatCode>yyyy/m/d</c:formatCode>
                      <c:ptCount val="135"/>
                      <c:pt idx="0" c:formatCode="yyyy/m/d">
                        <c:v>44227</c:v>
                      </c:pt>
                      <c:pt idx="1" c:formatCode="yyyy/m/d">
                        <c:v>44255</c:v>
                      </c:pt>
                      <c:pt idx="2" c:formatCode="yyyy/m/d">
                        <c:v>44286</c:v>
                      </c:pt>
                      <c:pt idx="3" c:formatCode="yyyy/m/d">
                        <c:v>44316</c:v>
                      </c:pt>
                      <c:pt idx="4" c:formatCode="yyyy/m/d">
                        <c:v>44347</c:v>
                      </c:pt>
                      <c:pt idx="5" c:formatCode="yyyy/m/d">
                        <c:v>44377</c:v>
                      </c:pt>
                      <c:pt idx="6" c:formatCode="yyyy/m/d">
                        <c:v>44408</c:v>
                      </c:pt>
                      <c:pt idx="7" c:formatCode="yyyy/m/d">
                        <c:v>44439</c:v>
                      </c:pt>
                      <c:pt idx="8" c:formatCode="yyyy/m/d">
                        <c:v>44469</c:v>
                      </c:pt>
                      <c:pt idx="9" c:formatCode="yyyy/m/d">
                        <c:v>44500</c:v>
                      </c:pt>
                      <c:pt idx="10" c:formatCode="yyyy/m/d">
                        <c:v>44530</c:v>
                      </c:pt>
                      <c:pt idx="11" c:formatCode="yyyy/m/d">
                        <c:v>44561</c:v>
                      </c:pt>
                      <c:pt idx="12" c:formatCode="yyyy/m/d">
                        <c:v>44592</c:v>
                      </c:pt>
                      <c:pt idx="13" c:formatCode="yyyy/m/d">
                        <c:v>44620</c:v>
                      </c:pt>
                      <c:pt idx="14" c:formatCode="yyyy/m/d">
                        <c:v>44651</c:v>
                      </c:pt>
                      <c:pt idx="15" c:formatCode="yyyy/m/d">
                        <c:v>44681</c:v>
                      </c:pt>
                      <c:pt idx="16" c:formatCode="yyyy/m/d">
                        <c:v>44712</c:v>
                      </c:pt>
                      <c:pt idx="17" c:formatCode="yyyy/m/d">
                        <c:v>44742</c:v>
                      </c:pt>
                      <c:pt idx="18" c:formatCode="yyyy/m/d">
                        <c:v>44773</c:v>
                      </c:pt>
                      <c:pt idx="19" c:formatCode="yyyy/m/d">
                        <c:v>44804</c:v>
                      </c:pt>
                      <c:pt idx="20" c:formatCode="yyyy/m/d">
                        <c:v>44834</c:v>
                      </c:pt>
                      <c:pt idx="21" c:formatCode="yyyy/m/d">
                        <c:v>44865</c:v>
                      </c:pt>
                      <c:pt idx="22" c:formatCode="yyyy/m/d">
                        <c:v>44895</c:v>
                      </c:pt>
                      <c:pt idx="23" c:formatCode="yyyy/m/d">
                        <c:v>44926</c:v>
                      </c:pt>
                      <c:pt idx="24" c:formatCode="yyyy/m/d">
                        <c:v>44957</c:v>
                      </c:pt>
                      <c:pt idx="25" c:formatCode="yyyy/m/d">
                        <c:v>44985</c:v>
                      </c:pt>
                      <c:pt idx="26" c:formatCode="yyyy/m/d">
                        <c:v>45016</c:v>
                      </c:pt>
                      <c:pt idx="27" c:formatCode="yyyy/m/d">
                        <c:v>45046</c:v>
                      </c:pt>
                      <c:pt idx="28" c:formatCode="yyyy/m/d">
                        <c:v>45077</c:v>
                      </c:pt>
                      <c:pt idx="29" c:formatCode="yyyy/m/d">
                        <c:v>45107</c:v>
                      </c:pt>
                      <c:pt idx="30" c:formatCode="yyyy/m/d">
                        <c:v>45138</c:v>
                      </c:pt>
                      <c:pt idx="31" c:formatCode="yyyy/m/d">
                        <c:v>45169</c:v>
                      </c:pt>
                      <c:pt idx="32" c:formatCode="yyyy/m/d">
                        <c:v>45199</c:v>
                      </c:pt>
                      <c:pt idx="33" c:formatCode="yyyy/m/d">
                        <c:v>45230</c:v>
                      </c:pt>
                      <c:pt idx="34" c:formatCode="yyyy/m/d">
                        <c:v>45260</c:v>
                      </c:pt>
                      <c:pt idx="35" c:formatCode="yyyy/m/d">
                        <c:v>45291</c:v>
                      </c:pt>
                      <c:pt idx="36" c:formatCode="yyyy/m/d">
                        <c:v>45322</c:v>
                      </c:pt>
                      <c:pt idx="37" c:formatCode="yyyy/m/d">
                        <c:v>45351</c:v>
                      </c:pt>
                      <c:pt idx="38" c:formatCode="yyyy/m/d">
                        <c:v>45382</c:v>
                      </c:pt>
                      <c:pt idx="39" c:formatCode="yyyy/m/d">
                        <c:v>45412</c:v>
                      </c:pt>
                      <c:pt idx="40" c:formatCode="yyyy/m/d">
                        <c:v>45443</c:v>
                      </c:pt>
                      <c:pt idx="41" c:formatCode="yyyy/m/d">
                        <c:v>45473</c:v>
                      </c:pt>
                      <c:pt idx="42" c:formatCode="yyyy/m/d">
                        <c:v>45504</c:v>
                      </c:pt>
                      <c:pt idx="43" c:formatCode="yyyy/m/d">
                        <c:v>45535</c:v>
                      </c:pt>
                      <c:pt idx="44" c:formatCode="yyyy/m/d">
                        <c:v>45565</c:v>
                      </c:pt>
                      <c:pt idx="45" c:formatCode="yyyy/m/d">
                        <c:v>45596</c:v>
                      </c:pt>
                      <c:pt idx="46" c:formatCode="yyyy/m/d">
                        <c:v>45626</c:v>
                      </c:pt>
                      <c:pt idx="47" c:formatCode="yyyy/m/d">
                        <c:v>45657</c:v>
                      </c:pt>
                      <c:pt idx="48" c:formatCode="yyyy/m/d">
                        <c:v>45688</c:v>
                      </c:pt>
                      <c:pt idx="49" c:formatCode="yyyy/m/d">
                        <c:v>45716</c:v>
                      </c:pt>
                      <c:pt idx="50" c:formatCode="yyyy/m/d">
                        <c:v>45747</c:v>
                      </c:pt>
                      <c:pt idx="51" c:formatCode="yyyy/m/d">
                        <c:v>45777</c:v>
                      </c:pt>
                      <c:pt idx="52" c:formatCode="yyyy/m/d">
                        <c:v>45808</c:v>
                      </c:pt>
                      <c:pt idx="53" c:formatCode="yyyy/m/d">
                        <c:v>45838</c:v>
                      </c:pt>
                      <c:pt idx="54" c:formatCode="yyyy/m/d">
                        <c:v>45869</c:v>
                      </c:pt>
                      <c:pt idx="55" c:formatCode="yyyy/m/d">
                        <c:v>45900</c:v>
                      </c:pt>
                      <c:pt idx="56" c:formatCode="yyyy/m/d">
                        <c:v>45930</c:v>
                      </c:pt>
                      <c:pt idx="57" c:formatCode="yyyy/m/d">
                        <c:v>45961</c:v>
                      </c:pt>
                      <c:pt idx="58" c:formatCode="yyyy/m/d">
                        <c:v>45991</c:v>
                      </c:pt>
                      <c:pt idx="59" c:formatCode="yyyy/m/d">
                        <c:v>46022</c:v>
                      </c:pt>
                      <c:pt idx="60" c:formatCode="yyyy/m/d">
                        <c:v>46053</c:v>
                      </c:pt>
                      <c:pt idx="61" c:formatCode="yyyy/m/d">
                        <c:v>46081</c:v>
                      </c:pt>
                      <c:pt idx="62" c:formatCode="yyyy/m/d">
                        <c:v>46112</c:v>
                      </c:pt>
                      <c:pt idx="63" c:formatCode="yyyy/m/d">
                        <c:v>46142</c:v>
                      </c:pt>
                      <c:pt idx="64" c:formatCode="yyyy/m/d">
                        <c:v>46173</c:v>
                      </c:pt>
                    </c:numCache>
                  </c:numRef>
                </c:cat>
                <c:val>
                  <c:numRef>
                    <c:extLst>
                      <c:ext uri="{02D57815-91ED-43cb-92C2-25804820EDAC}">
                        <c15:formulaRef>
                          <c15:sqref>NAND!$AS$43:$AS$201</c15:sqref>
                        </c15:formulaRef>
                      </c:ext>
                    </c:extLst>
                    <c:numCache>
                      <c:formatCode>#,##0.000</c:formatCode>
                      <c:ptCount val="159"/>
                      <c:pt idx="0">
                        <c:v>0.08421875</c:v>
                      </c:pt>
                      <c:pt idx="1">
                        <c:v>0.0759375</c:v>
                      </c:pt>
                      <c:pt idx="2">
                        <c:v>0.06828125</c:v>
                      </c:pt>
                      <c:pt idx="3">
                        <c:v>0.063125</c:v>
                      </c:pt>
                      <c:pt idx="4">
                        <c:v>0.060625</c:v>
                      </c:pt>
                      <c:pt idx="5">
                        <c:v>0.0596875</c:v>
                      </c:pt>
                      <c:pt idx="6">
                        <c:v>0.07</c:v>
                      </c:pt>
                      <c:pt idx="7">
                        <c:v>0.0703125</c:v>
                      </c:pt>
                      <c:pt idx="8">
                        <c:v>0.0703125</c:v>
                      </c:pt>
                      <c:pt idx="9">
                        <c:v>0.06890625</c:v>
                      </c:pt>
                      <c:pt idx="10">
                        <c:v>0.0703125</c:v>
                      </c:pt>
                      <c:pt idx="11">
                        <c:v>0.07359375</c:v>
                      </c:pt>
                      <c:pt idx="12">
                        <c:v>0.08234375</c:v>
                      </c:pt>
                      <c:pt idx="13">
                        <c:v>0.08484375</c:v>
                      </c:pt>
                      <c:pt idx="14">
                        <c:v>0.08640625</c:v>
                      </c:pt>
                      <c:pt idx="15">
                        <c:v>0.08640625</c:v>
                      </c:pt>
                      <c:pt idx="16">
                        <c:v>0.08578125</c:v>
                      </c:pt>
                      <c:pt idx="17">
                        <c:v>0.08375</c:v>
                      </c:pt>
                      <c:pt idx="18">
                        <c:v>0.083125</c:v>
                      </c:pt>
                      <c:pt idx="19">
                        <c:v>0.0775</c:v>
                      </c:pt>
                      <c:pt idx="20">
                        <c:v>0.0775</c:v>
                      </c:pt>
                      <c:pt idx="21">
                        <c:v>0.0734375</c:v>
                      </c:pt>
                      <c:pt idx="22">
                        <c:v>0.06875</c:v>
                      </c:pt>
                      <c:pt idx="23">
                        <c:v>0.06859375</c:v>
                      </c:pt>
                      <c:pt idx="24">
                        <c:v>0.06828125</c:v>
                      </c:pt>
                      <c:pt idx="25">
                        <c:v>0.0709375</c:v>
                      </c:pt>
                      <c:pt idx="26">
                        <c:v>0.07171875</c:v>
                      </c:pt>
                      <c:pt idx="27">
                        <c:v>0.07265625</c:v>
                      </c:pt>
                      <c:pt idx="28">
                        <c:v>0.075</c:v>
                      </c:pt>
                      <c:pt idx="29">
                        <c:v>0.07828125</c:v>
                      </c:pt>
                      <c:pt idx="30">
                        <c:v>0.07890625</c:v>
                      </c:pt>
                      <c:pt idx="31">
                        <c:v>0.07828125</c:v>
                      </c:pt>
                      <c:pt idx="32">
                        <c:v>0.07328125</c:v>
                      </c:pt>
                      <c:pt idx="33">
                        <c:v>0.06859375</c:v>
                      </c:pt>
                      <c:pt idx="34">
                        <c:v>0.06671875</c:v>
                      </c:pt>
                      <c:pt idx="35">
                        <c:v>0.06421875</c:v>
                      </c:pt>
                      <c:pt idx="36">
                        <c:v>0.06421875</c:v>
                      </c:pt>
                      <c:pt idx="37">
                        <c:v>0.0703125</c:v>
                      </c:pt>
                      <c:pt idx="38">
                        <c:v>0.074375</c:v>
                      </c:pt>
                      <c:pt idx="39">
                        <c:v>0.074375</c:v>
                      </c:pt>
                      <c:pt idx="40">
                        <c:v>0.071875</c:v>
                      </c:pt>
                      <c:pt idx="41">
                        <c:v>0.06375</c:v>
                      </c:pt>
                      <c:pt idx="42">
                        <c:v>0.05765625</c:v>
                      </c:pt>
                      <c:pt idx="43">
                        <c:v>0.04765625</c:v>
                      </c:pt>
                      <c:pt idx="44">
                        <c:v>0.041875</c:v>
                      </c:pt>
                      <c:pt idx="45">
                        <c:v>0.03796875</c:v>
                      </c:pt>
                      <c:pt idx="46">
                        <c:v>0.035</c:v>
                      </c:pt>
                      <c:pt idx="47">
                        <c:v>0.0334375</c:v>
                      </c:pt>
                      <c:pt idx="48">
                        <c:v>0.03296875</c:v>
                      </c:pt>
                      <c:pt idx="49">
                        <c:v>0.03296875</c:v>
                      </c:pt>
                      <c:pt idx="50">
                        <c:v>0.02890625</c:v>
                      </c:pt>
                      <c:pt idx="51">
                        <c:v>0.0271875</c:v>
                      </c:pt>
                      <c:pt idx="52">
                        <c:v>0.0271875</c:v>
                      </c:pt>
                      <c:pt idx="53">
                        <c:v>0.0271875</c:v>
                      </c:pt>
                      <c:pt idx="54">
                        <c:v>0.0271875</c:v>
                      </c:pt>
                      <c:pt idx="55">
                        <c:v>0.02796875</c:v>
                      </c:pt>
                      <c:pt idx="56">
                        <c:v>0.02859375</c:v>
                      </c:pt>
                      <c:pt idx="57">
                        <c:v>0.03296875</c:v>
                      </c:pt>
                      <c:pt idx="58">
                        <c:v>0.04234375</c:v>
                      </c:pt>
                      <c:pt idx="59">
                        <c:v>0.04875</c:v>
                      </c:pt>
                      <c:pt idx="60">
                        <c:v>0.05203125</c:v>
                      </c:pt>
                      <c:pt idx="61">
                        <c:v>0.05453125</c:v>
                      </c:pt>
                      <c:pt idx="62">
                        <c:v>0.064375</c:v>
                      </c:pt>
                      <c:pt idx="63">
                        <c:v>0.064375</c:v>
                      </c:pt>
                      <c:pt idx="64">
                        <c:v>0.064375</c:v>
                      </c:pt>
                      <c:pt idx="65">
                        <c:v>0.0659375</c:v>
                      </c:pt>
                      <c:pt idx="66">
                        <c:v>0.0659375</c:v>
                      </c:pt>
                      <c:pt idx="67">
                        <c:v>0.06484375</c:v>
                      </c:pt>
                      <c:pt idx="68">
                        <c:v>0.06125</c:v>
                      </c:pt>
                      <c:pt idx="69">
                        <c:v>0.058125</c:v>
                      </c:pt>
                      <c:pt idx="70">
                        <c:v>0.04828125</c:v>
                      </c:pt>
                      <c:pt idx="71">
                        <c:v>0.040625</c:v>
                      </c:pt>
                      <c:pt idx="72">
                        <c:v>0.039375</c:v>
                      </c:pt>
                      <c:pt idx="73">
                        <c:v>0.03859375</c:v>
                      </c:pt>
                      <c:pt idx="74">
                        <c:v>0.0425</c:v>
                      </c:pt>
                      <c:pt idx="75">
                        <c:v>0.04671875</c:v>
                      </c:pt>
                      <c:pt idx="76">
                        <c:v>0.04796875</c:v>
                      </c:pt>
                      <c:pt idx="77">
                        <c:v>0.04890625</c:v>
                      </c:pt>
                      <c:pt idx="78">
                        <c:v>0.0509375</c:v>
                      </c:pt>
                      <c:pt idx="79">
                        <c:v>0.05265625</c:v>
                      </c:pt>
                      <c:pt idx="80">
                        <c:v>0.054375</c:v>
                      </c:pt>
                      <c:pt idx="81">
                        <c:v>0.08</c:v>
                      </c:pt>
                      <c:pt idx="82">
                        <c:v>0.1325</c:v>
                      </c:pt>
                      <c:pt idx="83">
                        <c:v>0.19</c:v>
                      </c:pt>
                      <c:pt idx="84">
                        <c:v>0.2521875</c:v>
                      </c:pt>
                      <c:pt idx="85">
                        <c:v>0.3121875</c:v>
                      </c:pt>
                      <c:pt idx="86">
                        <c:v>0.37015625</c:v>
                      </c:pt>
                      <c:pt idx="87">
                        <c:v>0.38859375</c:v>
                      </c:pt>
                      <c:pt idx="88">
                        <c:v>0.3978125</c:v>
                      </c:pt>
                    </c:numCache>
                  </c:numRef>
                </c:val>
              </c15:ser>
            </c15:filteredBarSeries>
            <c15:filteredBarSeries>
              <c15:ser>
                <c:idx val="2"/>
                <c:order val="1"/>
                <c:tx>
                  <c:strRef>
                    <c:extLst>
                      <c:ext uri="{02D57815-91ED-43cb-92C2-25804820EDAC}">
                        <c15:formulaRef>
                          <c15:sqref>NAND!$AR$23</c15:sqref>
                        </c15:formulaRef>
                      </c:ext>
                    </c:extLst>
                    <c:strCache>
                      <c:ptCount val="1"/>
                      <c:pt idx="0">
                        <c:v>3D TLC 256Gb</c:v>
                      </c:pt>
                    </c:strCache>
                  </c:strRef>
                </c:tx>
                <c:spPr>
                  <a:ln>
                    <a:solidFill>
                      <a:schemeClr val="tx1"/>
                    </a:solidFill>
                  </a:ln>
                </c:spPr>
                <c:invertIfNegative val="0"/>
                <c:dLbls>
                  <c:delete val="1"/>
                </c:dLbls>
                <c:cat>
                  <c:numRef>
                    <c:extLst>
                      <c:ext uri="{02D57815-91ED-43cb-92C2-25804820EDAC}">
                        <c15:fullRef>
                          <c15:sqref/>
                        </c15:fullRef>
                        <c15:formulaRef>
                          <c15:sqref>NAND!$AL$67:$AL$201</c15:sqref>
                        </c15:formulaRef>
                      </c:ext>
                    </c:extLst>
                    <c:numCache>
                      <c:formatCode>yyyy/m/d</c:formatCode>
                      <c:ptCount val="135"/>
                      <c:pt idx="0" c:formatCode="yyyy/m/d">
                        <c:v>44227</c:v>
                      </c:pt>
                      <c:pt idx="1" c:formatCode="yyyy/m/d">
                        <c:v>44255</c:v>
                      </c:pt>
                      <c:pt idx="2" c:formatCode="yyyy/m/d">
                        <c:v>44286</c:v>
                      </c:pt>
                      <c:pt idx="3" c:formatCode="yyyy/m/d">
                        <c:v>44316</c:v>
                      </c:pt>
                      <c:pt idx="4" c:formatCode="yyyy/m/d">
                        <c:v>44347</c:v>
                      </c:pt>
                      <c:pt idx="5" c:formatCode="yyyy/m/d">
                        <c:v>44377</c:v>
                      </c:pt>
                      <c:pt idx="6" c:formatCode="yyyy/m/d">
                        <c:v>44408</c:v>
                      </c:pt>
                      <c:pt idx="7" c:formatCode="yyyy/m/d">
                        <c:v>44439</c:v>
                      </c:pt>
                      <c:pt idx="8" c:formatCode="yyyy/m/d">
                        <c:v>44469</c:v>
                      </c:pt>
                      <c:pt idx="9" c:formatCode="yyyy/m/d">
                        <c:v>44500</c:v>
                      </c:pt>
                      <c:pt idx="10" c:formatCode="yyyy/m/d">
                        <c:v>44530</c:v>
                      </c:pt>
                      <c:pt idx="11" c:formatCode="yyyy/m/d">
                        <c:v>44561</c:v>
                      </c:pt>
                      <c:pt idx="12" c:formatCode="yyyy/m/d">
                        <c:v>44592</c:v>
                      </c:pt>
                      <c:pt idx="13" c:formatCode="yyyy/m/d">
                        <c:v>44620</c:v>
                      </c:pt>
                      <c:pt idx="14" c:formatCode="yyyy/m/d">
                        <c:v>44651</c:v>
                      </c:pt>
                      <c:pt idx="15" c:formatCode="yyyy/m/d">
                        <c:v>44681</c:v>
                      </c:pt>
                      <c:pt idx="16" c:formatCode="yyyy/m/d">
                        <c:v>44712</c:v>
                      </c:pt>
                      <c:pt idx="17" c:formatCode="yyyy/m/d">
                        <c:v>44742</c:v>
                      </c:pt>
                      <c:pt idx="18" c:formatCode="yyyy/m/d">
                        <c:v>44773</c:v>
                      </c:pt>
                      <c:pt idx="19" c:formatCode="yyyy/m/d">
                        <c:v>44804</c:v>
                      </c:pt>
                      <c:pt idx="20" c:formatCode="yyyy/m/d">
                        <c:v>44834</c:v>
                      </c:pt>
                      <c:pt idx="21" c:formatCode="yyyy/m/d">
                        <c:v>44865</c:v>
                      </c:pt>
                      <c:pt idx="22" c:formatCode="yyyy/m/d">
                        <c:v>44895</c:v>
                      </c:pt>
                      <c:pt idx="23" c:formatCode="yyyy/m/d">
                        <c:v>44926</c:v>
                      </c:pt>
                      <c:pt idx="24" c:formatCode="yyyy/m/d">
                        <c:v>44957</c:v>
                      </c:pt>
                      <c:pt idx="25" c:formatCode="yyyy/m/d">
                        <c:v>44985</c:v>
                      </c:pt>
                      <c:pt idx="26" c:formatCode="yyyy/m/d">
                        <c:v>45016</c:v>
                      </c:pt>
                      <c:pt idx="27" c:formatCode="yyyy/m/d">
                        <c:v>45046</c:v>
                      </c:pt>
                      <c:pt idx="28" c:formatCode="yyyy/m/d">
                        <c:v>45077</c:v>
                      </c:pt>
                      <c:pt idx="29" c:formatCode="yyyy/m/d">
                        <c:v>45107</c:v>
                      </c:pt>
                      <c:pt idx="30" c:formatCode="yyyy/m/d">
                        <c:v>45138</c:v>
                      </c:pt>
                      <c:pt idx="31" c:formatCode="yyyy/m/d">
                        <c:v>45169</c:v>
                      </c:pt>
                      <c:pt idx="32" c:formatCode="yyyy/m/d">
                        <c:v>45199</c:v>
                      </c:pt>
                      <c:pt idx="33" c:formatCode="yyyy/m/d">
                        <c:v>45230</c:v>
                      </c:pt>
                      <c:pt idx="34" c:formatCode="yyyy/m/d">
                        <c:v>45260</c:v>
                      </c:pt>
                      <c:pt idx="35" c:formatCode="yyyy/m/d">
                        <c:v>45291</c:v>
                      </c:pt>
                      <c:pt idx="36" c:formatCode="yyyy/m/d">
                        <c:v>45322</c:v>
                      </c:pt>
                      <c:pt idx="37" c:formatCode="yyyy/m/d">
                        <c:v>45351</c:v>
                      </c:pt>
                      <c:pt idx="38" c:formatCode="yyyy/m/d">
                        <c:v>45382</c:v>
                      </c:pt>
                      <c:pt idx="39" c:formatCode="yyyy/m/d">
                        <c:v>45412</c:v>
                      </c:pt>
                      <c:pt idx="40" c:formatCode="yyyy/m/d">
                        <c:v>45443</c:v>
                      </c:pt>
                      <c:pt idx="41" c:formatCode="yyyy/m/d">
                        <c:v>45473</c:v>
                      </c:pt>
                      <c:pt idx="42" c:formatCode="yyyy/m/d">
                        <c:v>45504</c:v>
                      </c:pt>
                      <c:pt idx="43" c:formatCode="yyyy/m/d">
                        <c:v>45535</c:v>
                      </c:pt>
                      <c:pt idx="44" c:formatCode="yyyy/m/d">
                        <c:v>45565</c:v>
                      </c:pt>
                      <c:pt idx="45" c:formatCode="yyyy/m/d">
                        <c:v>45596</c:v>
                      </c:pt>
                      <c:pt idx="46" c:formatCode="yyyy/m/d">
                        <c:v>45626</c:v>
                      </c:pt>
                      <c:pt idx="47" c:formatCode="yyyy/m/d">
                        <c:v>45657</c:v>
                      </c:pt>
                      <c:pt idx="48" c:formatCode="yyyy/m/d">
                        <c:v>45688</c:v>
                      </c:pt>
                      <c:pt idx="49" c:formatCode="yyyy/m/d">
                        <c:v>45716</c:v>
                      </c:pt>
                      <c:pt idx="50" c:formatCode="yyyy/m/d">
                        <c:v>45747</c:v>
                      </c:pt>
                      <c:pt idx="51" c:formatCode="yyyy/m/d">
                        <c:v>45777</c:v>
                      </c:pt>
                      <c:pt idx="52" c:formatCode="yyyy/m/d">
                        <c:v>45808</c:v>
                      </c:pt>
                      <c:pt idx="53" c:formatCode="yyyy/m/d">
                        <c:v>45838</c:v>
                      </c:pt>
                      <c:pt idx="54" c:formatCode="yyyy/m/d">
                        <c:v>45869</c:v>
                      </c:pt>
                      <c:pt idx="55" c:formatCode="yyyy/m/d">
                        <c:v>45900</c:v>
                      </c:pt>
                      <c:pt idx="56" c:formatCode="yyyy/m/d">
                        <c:v>45930</c:v>
                      </c:pt>
                      <c:pt idx="57" c:formatCode="yyyy/m/d">
                        <c:v>45961</c:v>
                      </c:pt>
                      <c:pt idx="58" c:formatCode="yyyy/m/d">
                        <c:v>45991</c:v>
                      </c:pt>
                      <c:pt idx="59" c:formatCode="yyyy/m/d">
                        <c:v>46022</c:v>
                      </c:pt>
                      <c:pt idx="60" c:formatCode="yyyy/m/d">
                        <c:v>46053</c:v>
                      </c:pt>
                      <c:pt idx="61" c:formatCode="yyyy/m/d">
                        <c:v>46081</c:v>
                      </c:pt>
                      <c:pt idx="62" c:formatCode="yyyy/m/d">
                        <c:v>46112</c:v>
                      </c:pt>
                      <c:pt idx="63" c:formatCode="yyyy/m/d">
                        <c:v>46142</c:v>
                      </c:pt>
                      <c:pt idx="64" c:formatCode="yyyy/m/d">
                        <c:v>46173</c:v>
                      </c:pt>
                    </c:numCache>
                  </c:numRef>
                </c:cat>
                <c:val>
                  <c:numRef>
                    <c:extLst>
                      <c:ext uri="{02D57815-91ED-43cb-92C2-25804820EDAC}">
                        <c15:formulaRef>
                          <c15:sqref>NAND!$AR$43:$AR$201</c15:sqref>
                        </c15:formulaRef>
                      </c:ext>
                    </c:extLst>
                    <c:numCache>
                      <c:formatCode>#,##0.000</c:formatCode>
                      <c:ptCount val="159"/>
                      <c:pt idx="0">
                        <c:v>0.0809375</c:v>
                      </c:pt>
                      <c:pt idx="1">
                        <c:v>0.07625</c:v>
                      </c:pt>
                      <c:pt idx="2">
                        <c:v>0.0684375</c:v>
                      </c:pt>
                      <c:pt idx="3">
                        <c:v>0.063125</c:v>
                      </c:pt>
                      <c:pt idx="4">
                        <c:v>0.0609375</c:v>
                      </c:pt>
                      <c:pt idx="5">
                        <c:v>0.06</c:v>
                      </c:pt>
                      <c:pt idx="6">
                        <c:v>0.070625</c:v>
                      </c:pt>
                      <c:pt idx="7">
                        <c:v>0.0734375</c:v>
                      </c:pt>
                      <c:pt idx="8">
                        <c:v>0.0734375</c:v>
                      </c:pt>
                      <c:pt idx="9">
                        <c:v>0.073125</c:v>
                      </c:pt>
                      <c:pt idx="10">
                        <c:v>0.07375</c:v>
                      </c:pt>
                      <c:pt idx="11">
                        <c:v>0.084375</c:v>
                      </c:pt>
                      <c:pt idx="12">
                        <c:v>0.0915625</c:v>
                      </c:pt>
                      <c:pt idx="13">
                        <c:v>0.0959375</c:v>
                      </c:pt>
                      <c:pt idx="14">
                        <c:v>0.0971875</c:v>
                      </c:pt>
                      <c:pt idx="15">
                        <c:v>0.0971875</c:v>
                      </c:pt>
                      <c:pt idx="16">
                        <c:v>0.0965625</c:v>
                      </c:pt>
                      <c:pt idx="17">
                        <c:v>0.0965625</c:v>
                      </c:pt>
                      <c:pt idx="18">
                        <c:v>0.0890625</c:v>
                      </c:pt>
                      <c:pt idx="19">
                        <c:v>0.079375</c:v>
                      </c:pt>
                      <c:pt idx="20">
                        <c:v>0.079375</c:v>
                      </c:pt>
                      <c:pt idx="21">
                        <c:v>0.0784375</c:v>
                      </c:pt>
                      <c:pt idx="22">
                        <c:v>0.074375</c:v>
                      </c:pt>
                      <c:pt idx="23">
                        <c:v>0.0734375</c:v>
                      </c:pt>
                      <c:pt idx="24">
                        <c:v>0.073125</c:v>
                      </c:pt>
                      <c:pt idx="25">
                        <c:v>0.0775</c:v>
                      </c:pt>
                      <c:pt idx="26">
                        <c:v>0.07875</c:v>
                      </c:pt>
                      <c:pt idx="27">
                        <c:v>0.080625</c:v>
                      </c:pt>
                      <c:pt idx="28">
                        <c:v>0.0825</c:v>
                      </c:pt>
                      <c:pt idx="29">
                        <c:v>0.085625</c:v>
                      </c:pt>
                      <c:pt idx="30">
                        <c:v>0.086875</c:v>
                      </c:pt>
                      <c:pt idx="31">
                        <c:v>0.086875</c:v>
                      </c:pt>
                      <c:pt idx="32">
                        <c:v>0.0828125</c:v>
                      </c:pt>
                      <c:pt idx="33">
                        <c:v>0.076875</c:v>
                      </c:pt>
                      <c:pt idx="34">
                        <c:v>0.0765625</c:v>
                      </c:pt>
                      <c:pt idx="35">
                        <c:v>0.075625</c:v>
                      </c:pt>
                      <c:pt idx="36">
                        <c:v>0.075625</c:v>
                      </c:pt>
                      <c:pt idx="37">
                        <c:v>0.081875</c:v>
                      </c:pt>
                      <c:pt idx="38">
                        <c:v>0.08375</c:v>
                      </c:pt>
                      <c:pt idx="39">
                        <c:v>0.08375</c:v>
                      </c:pt>
                      <c:pt idx="40">
                        <c:v>0.08125</c:v>
                      </c:pt>
                      <c:pt idx="41">
                        <c:v>0.0721875</c:v>
                      </c:pt>
                      <c:pt idx="42">
                        <c:v>0.066875</c:v>
                      </c:pt>
                      <c:pt idx="43">
                        <c:v>0.05375</c:v>
                      </c:pt>
                      <c:pt idx="44">
                        <c:v>0.048125</c:v>
                      </c:pt>
                      <c:pt idx="45">
                        <c:v>0.0425</c:v>
                      </c:pt>
                      <c:pt idx="46">
                        <c:v>0.04</c:v>
                      </c:pt>
                      <c:pt idx="47">
                        <c:v>0.0384375</c:v>
                      </c:pt>
                      <c:pt idx="48">
                        <c:v>0.038125</c:v>
                      </c:pt>
                      <c:pt idx="49">
                        <c:v>0.038125</c:v>
                      </c:pt>
                      <c:pt idx="50">
                        <c:v>0.0353125</c:v>
                      </c:pt>
                      <c:pt idx="51">
                        <c:v>0.0334375</c:v>
                      </c:pt>
                      <c:pt idx="52">
                        <c:v>0.0334375</c:v>
                      </c:pt>
                      <c:pt idx="53">
                        <c:v>0.0334375</c:v>
                      </c:pt>
                      <c:pt idx="54">
                        <c:v>0.0334375</c:v>
                      </c:pt>
                      <c:pt idx="55">
                        <c:v>0.0334375</c:v>
                      </c:pt>
                      <c:pt idx="56">
                        <c:v>0.0334375</c:v>
                      </c:pt>
                      <c:pt idx="57">
                        <c:v>0.0375</c:v>
                      </c:pt>
                      <c:pt idx="58">
                        <c:v>0.0521875</c:v>
                      </c:pt>
                      <c:pt idx="59">
                        <c:v>0.0565625</c:v>
                      </c:pt>
                      <c:pt idx="60">
                        <c:v>0.0565625</c:v>
                      </c:pt>
                      <c:pt idx="61">
                        <c:v>0.0565625</c:v>
                      </c:pt>
                      <c:pt idx="62">
                        <c:v>0.0659375</c:v>
                      </c:pt>
                      <c:pt idx="63">
                        <c:v>0.0659375</c:v>
                      </c:pt>
                      <c:pt idx="64">
                        <c:v>0.0659375</c:v>
                      </c:pt>
                      <c:pt idx="65">
                        <c:v>0.0671875</c:v>
                      </c:pt>
                      <c:pt idx="66">
                        <c:v>0.0671875</c:v>
                      </c:pt>
                      <c:pt idx="67">
                        <c:v>0.0646875</c:v>
                      </c:pt>
                      <c:pt idx="68">
                        <c:v>0.058125</c:v>
                      </c:pt>
                      <c:pt idx="69">
                        <c:v>0.054375</c:v>
                      </c:pt>
                      <c:pt idx="70">
                        <c:v>0.046875</c:v>
                      </c:pt>
                      <c:pt idx="71">
                        <c:v>0.0465625</c:v>
                      </c:pt>
                      <c:pt idx="72">
                        <c:v>0.048125</c:v>
                      </c:pt>
                      <c:pt idx="73">
                        <c:v>0.05</c:v>
                      </c:pt>
                      <c:pt idx="74">
                        <c:v>0.05625</c:v>
                      </c:pt>
                      <c:pt idx="75">
                        <c:v>0.064375</c:v>
                      </c:pt>
                      <c:pt idx="76">
                        <c:v>0.068125</c:v>
                      </c:pt>
                      <c:pt idx="77">
                        <c:v>0.0740625</c:v>
                      </c:pt>
                      <c:pt idx="78">
                        <c:v>0.08</c:v>
                      </c:pt>
                      <c:pt idx="79">
                        <c:v>0.08375</c:v>
                      </c:pt>
                      <c:pt idx="80">
                        <c:v>0.0878125</c:v>
                      </c:pt>
                      <c:pt idx="81">
                        <c:v>0.1128125</c:v>
                      </c:pt>
                      <c:pt idx="82">
                        <c:v>0.1525</c:v>
                      </c:pt>
                      <c:pt idx="83">
                        <c:v>0.21125</c:v>
                      </c:pt>
                      <c:pt idx="84">
                        <c:v>0.279375</c:v>
                      </c:pt>
                      <c:pt idx="85">
                        <c:v>0.33375</c:v>
                      </c:pt>
                      <c:pt idx="86">
                        <c:v>0.431875</c:v>
                      </c:pt>
                      <c:pt idx="87">
                        <c:v>0.4659375</c:v>
                      </c:pt>
                      <c:pt idx="88">
                        <c:v>0.4809375</c:v>
                      </c:pt>
                    </c:numCache>
                  </c:numRef>
                </c:val>
              </c15:ser>
            </c15:filteredBarSeries>
          </c:ext>
        </c:extLst>
      </c:barChart>
      <c:lineChart>
        <c:grouping val="standard"/>
        <c:varyColors val="0"/>
        <c:ser>
          <c:idx val="5"/>
          <c:order val="5"/>
          <c:tx>
            <c:strRef>
              <c:f>NAND!$AY$23</c:f>
              <c:strCache>
                <c:ptCount val="1"/>
                <c:pt idx="0">
                  <c:v>3D QLC 1Tb MoM</c:v>
                </c:pt>
              </c:strCache>
            </c:strRef>
          </c:tx>
          <c:spPr>
            <a:ln w="12700" cap="rnd" cmpd="sng" algn="ctr">
              <a:solidFill>
                <a:schemeClr val="tx1"/>
              </a:solidFill>
              <a:prstDash val="solid"/>
              <a:round/>
            </a:ln>
          </c:spPr>
          <c:marker>
            <c:symbol val="diamond"/>
            <c:size val="5"/>
            <c:spPr>
              <a:solidFill>
                <a:schemeClr val="tx1"/>
              </a:solidFill>
              <a:ln w="12700" cap="flat" cmpd="sng" algn="ctr">
                <a:noFill/>
                <a:prstDash val="solid"/>
                <a:round/>
              </a:ln>
            </c:spPr>
          </c:marker>
          <c:dLbls>
            <c:delete val="1"/>
          </c:dLbls>
          <c:cat>
            <c:numRef>
              <c:f>NAND!$AL$201:$AL$667</c:f>
              <c:numCache>
                <c:formatCode>[$-409]mmm\-yy;@</c:formatCode>
                <c:ptCount val="467"/>
              </c:numCache>
            </c:numRef>
          </c:cat>
          <c:val>
            <c:numRef>
              <c:f>NAND!$AY$67:$AY$201</c:f>
              <c:numCache>
                <c:formatCode>0%</c:formatCode>
                <c:ptCount val="135"/>
                <c:pt idx="1">
                  <c:v>0.00505050505050497</c:v>
                </c:pt>
                <c:pt idx="2">
                  <c:v>0</c:v>
                </c:pt>
                <c:pt idx="3">
                  <c:v>0.0238693467336684</c:v>
                </c:pt>
                <c:pt idx="4">
                  <c:v>0</c:v>
                </c:pt>
                <c:pt idx="5">
                  <c:v>0.0306748466257669</c:v>
                </c:pt>
                <c:pt idx="6">
                  <c:v>0.00952380952380949</c:v>
                </c:pt>
                <c:pt idx="7">
                  <c:v>0</c:v>
                </c:pt>
                <c:pt idx="8">
                  <c:v>-0.0330188679245285</c:v>
                </c:pt>
                <c:pt idx="9">
                  <c:v>-0.0341463414634146</c:v>
                </c:pt>
                <c:pt idx="10">
                  <c:v>-0.0113636363636364</c:v>
                </c:pt>
                <c:pt idx="11">
                  <c:v>0</c:v>
                </c:pt>
                <c:pt idx="12">
                  <c:v>0</c:v>
                </c:pt>
                <c:pt idx="13">
                  <c:v>0.0855683269476373</c:v>
                </c:pt>
                <c:pt idx="14">
                  <c:v>0.0588235294117647</c:v>
                </c:pt>
                <c:pt idx="15">
                  <c:v>0</c:v>
                </c:pt>
                <c:pt idx="16">
                  <c:v>-0.041111111111111</c:v>
                </c:pt>
                <c:pt idx="17">
                  <c:v>-0.0961761297798379</c:v>
                </c:pt>
                <c:pt idx="18" c:formatCode="0.0%">
                  <c:v>-0.0833333333333333</c:v>
                </c:pt>
                <c:pt idx="19" c:formatCode="0.0%">
                  <c:v>-0.188811188811189</c:v>
                </c:pt>
                <c:pt idx="20" c:formatCode="0.0%">
                  <c:v>-0.0862068965517241</c:v>
                </c:pt>
                <c:pt idx="21" c:formatCode="0.0%">
                  <c:v>-0.141509433962264</c:v>
                </c:pt>
                <c:pt idx="22" c:formatCode="0.0%">
                  <c:v>-0.054945054945055</c:v>
                </c:pt>
                <c:pt idx="23" c:formatCode="0.0%">
                  <c:v>-0.0162790697674418</c:v>
                </c:pt>
                <c:pt idx="24" c:formatCode="0.0%">
                  <c:v>-0.0118203309692673</c:v>
                </c:pt>
                <c:pt idx="25" c:formatCode="0.0%">
                  <c:v>0</c:v>
                </c:pt>
                <c:pt idx="26" c:formatCode="0.0%">
                  <c:v>-0.0813397129186603</c:v>
                </c:pt>
                <c:pt idx="27" c:formatCode="0.0%">
                  <c:v>-0.0624999999999999</c:v>
                </c:pt>
                <c:pt idx="28" c:formatCode="0.0%">
                  <c:v>0</c:v>
                </c:pt>
                <c:pt idx="29" c:formatCode="0.0%">
                  <c:v>0</c:v>
                </c:pt>
                <c:pt idx="30" c:formatCode="0.0%">
                  <c:v>0</c:v>
                </c:pt>
                <c:pt idx="31" c:formatCode="0.0%">
                  <c:v>0</c:v>
                </c:pt>
                <c:pt idx="32" c:formatCode="0.0%">
                  <c:v>0.0138888888888888</c:v>
                </c:pt>
                <c:pt idx="33" c:formatCode="0.0%">
                  <c:v>0.123287671232877</c:v>
                </c:pt>
                <c:pt idx="34" c:formatCode="0.0%">
                  <c:v>0.26829268292683</c:v>
                </c:pt>
                <c:pt idx="35" c:formatCode="0.0%">
                  <c:v>0.0865384615384617</c:v>
                </c:pt>
                <c:pt idx="36" c:formatCode="0.0%">
                  <c:v>0.0619469026548671</c:v>
                </c:pt>
                <c:pt idx="37" c:formatCode="0.0%">
                  <c:v>0.05</c:v>
                </c:pt>
                <c:pt idx="38" c:formatCode="0.0%">
                  <c:v>0.142857142857143</c:v>
                </c:pt>
                <c:pt idx="39" c:formatCode="0.0%">
                  <c:v>0</c:v>
                </c:pt>
                <c:pt idx="40" c:formatCode="0.0%">
                  <c:v>0</c:v>
                </c:pt>
                <c:pt idx="41" c:formatCode="0.0%">
                  <c:v>0</c:v>
                </c:pt>
                <c:pt idx="42" c:formatCode="0.0%">
                  <c:v>0</c:v>
                </c:pt>
                <c:pt idx="43" c:formatCode="0.0%">
                  <c:v>-0.0430555555555556</c:v>
                </c:pt>
                <c:pt idx="44" c:formatCode="0.0%">
                  <c:v>-0.0957910014513788</c:v>
                </c:pt>
                <c:pt idx="45" c:formatCode="0.0%">
                  <c:v>-0.041733547351525</c:v>
                </c:pt>
                <c:pt idx="46" c:formatCode="0.0%">
                  <c:v>-0.149078726968174</c:v>
                </c:pt>
                <c:pt idx="47" c:formatCode="0.0%">
                  <c:v>-0.0688976377952755</c:v>
                </c:pt>
                <c:pt idx="48" c:formatCode="0.0%">
                  <c:v>-0.035940803382664</c:v>
                </c:pt>
                <c:pt idx="49" c:formatCode="0.0%">
                  <c:v>-0.013157894736842</c:v>
                </c:pt>
                <c:pt idx="50" c:formatCode="0.0%">
                  <c:v>0.0733333333333333</c:v>
                </c:pt>
                <c:pt idx="51" c:formatCode="0.0%">
                  <c:v>0.0952380952380951</c:v>
                </c:pt>
                <c:pt idx="52" c:formatCode="0.0%">
                  <c:v>0.0151228733459357</c:v>
                </c:pt>
                <c:pt idx="53" c:formatCode="0.0%">
                  <c:v>0.0148975791433892</c:v>
                </c:pt>
                <c:pt idx="54" c:formatCode="0.0%">
                  <c:v>0.0422018348623852</c:v>
                </c:pt>
                <c:pt idx="55" c:formatCode="0.0%">
                  <c:v>0.0158450704225352</c:v>
                </c:pt>
                <c:pt idx="56" c:formatCode="0.0%">
                  <c:v>0.0225303292894281</c:v>
                </c:pt>
                <c:pt idx="57" c:formatCode="0.0%">
                  <c:v>0.274576271186441</c:v>
                </c:pt>
                <c:pt idx="58" c:formatCode="0.0%">
                  <c:v>0.566489361702128</c:v>
                </c:pt>
                <c:pt idx="59" c:formatCode="0.0%">
                  <c:v>0.340407470288625</c:v>
                </c:pt>
                <c:pt idx="60" c:formatCode="0.0%">
                  <c:v>0.304623179227359</c:v>
                </c:pt>
                <c:pt idx="61" c:formatCode="0.0%">
                  <c:v>0.167961165048544</c:v>
                </c:pt>
                <c:pt idx="62" c:formatCode="0.0%">
                  <c:v>0.195344970906068</c:v>
                </c:pt>
                <c:pt idx="63" c:formatCode="0.0%">
                  <c:v>0.0344228094575798</c:v>
                </c:pt>
                <c:pt idx="64" c:formatCode="0.0%">
                  <c:v>0.0174789915966387</c:v>
                </c:pt>
              </c:numCache>
            </c:numRef>
          </c:val>
          <c:smooth val="0"/>
        </c:ser>
        <c:dLbls>
          <c:showLegendKey val="0"/>
          <c:showVal val="0"/>
          <c:showCatName val="0"/>
          <c:showSerName val="0"/>
          <c:showPercent val="0"/>
          <c:showBubbleSize val="0"/>
        </c:dLbls>
        <c:marker val="1"/>
        <c:smooth val="0"/>
        <c:axId val="1481768320"/>
        <c:axId val="1071090016"/>
        <c:extLst>
          <c:ext xmlns:c15="http://schemas.microsoft.com/office/drawing/2012/chart" uri="{02D57815-91ED-43cb-92C2-25804820EDAC}">
            <c15:filteredLineSeries>
              <c15:ser>
                <c:idx val="1"/>
                <c:order val="2"/>
                <c:tx>
                  <c:strRef>
                    <c:extLst>
                      <c:ext uri="{02D57815-91ED-43cb-92C2-25804820EDAC}">
                        <c15:formulaRef>
                          <c15:sqref>NAND!$AW$23</c15:sqref>
                        </c15:formulaRef>
                      </c:ext>
                    </c:extLst>
                    <c:strCache>
                      <c:ptCount val="1"/>
                      <c:pt idx="0">
                        <c:v>3D TLC 512Gb MoM</c:v>
                      </c:pt>
                    </c:strCache>
                  </c:strRef>
                </c:tx>
                <c:spPr>
                  <a:ln w="12700" cap="rnd" cmpd="sng" algn="ctr">
                    <a:solidFill>
                      <a:srgbClr val="FF0000"/>
                    </a:solidFill>
                    <a:prstDash val="solid"/>
                    <a:round/>
                  </a:ln>
                </c:spPr>
                <c:marker>
                  <c:symbol val="star"/>
                  <c:size val="3"/>
                  <c:spPr>
                    <a:solidFill>
                      <a:srgbClr val="FF0000"/>
                    </a:solidFill>
                    <a:ln w="12700" cap="flat" cmpd="sng" algn="ctr">
                      <a:solidFill>
                        <a:srgbClr val="FF0000"/>
                      </a:solidFill>
                      <a:prstDash val="solid"/>
                      <a:round/>
                    </a:ln>
                  </c:spPr>
                </c:marker>
                <c:dLbls>
                  <c:delete val="1"/>
                </c:dLbls>
                <c:cat>
                  <c:numRef>
                    <c:extLst>
                      <c:ext uri="{02D57815-91ED-43cb-92C2-25804820EDAC}">
                        <c15:fullRef>
                          <c15:sqref/>
                        </c15:fullRef>
                        <c15:formulaRef>
                          <c15:sqref>NAND!$AL$201:$AL$667</c15:sqref>
                        </c15:formulaRef>
                      </c:ext>
                    </c:extLst>
                    <c:numCache>
                      <c:formatCode>[$-409]mmm\-yy;@</c:formatCode>
                      <c:ptCount val="467"/>
                    </c:numCache>
                  </c:numRef>
                </c:cat>
                <c:val>
                  <c:numRef>
                    <c:extLst>
                      <c:ext uri="{02D57815-91ED-43cb-92C2-25804820EDAC}">
                        <c15:formulaRef>
                          <c15:sqref>NAND!$AW$43:$AW$201</c15:sqref>
                        </c15:formulaRef>
                      </c:ext>
                    </c:extLst>
                    <c:numCache>
                      <c:formatCode>0%</c:formatCode>
                      <c:ptCount val="159"/>
                      <c:pt idx="0">
                        <c:v>-0.0493827160493827</c:v>
                      </c:pt>
                      <c:pt idx="1">
                        <c:v>-0.098330241187384</c:v>
                      </c:pt>
                      <c:pt idx="2">
                        <c:v>-0.10082304526749</c:v>
                      </c:pt>
                      <c:pt idx="3">
                        <c:v>-0.0755148741418764</c:v>
                      </c:pt>
                      <c:pt idx="4">
                        <c:v>-0.0396039603960396</c:v>
                      </c:pt>
                      <c:pt idx="5">
                        <c:v>-0.0154639175257733</c:v>
                      </c:pt>
                      <c:pt idx="6">
                        <c:v>0.172774869109948</c:v>
                      </c:pt>
                      <c:pt idx="7">
                        <c:v>0.00446428571428559</c:v>
                      </c:pt>
                      <c:pt idx="8">
                        <c:v>0</c:v>
                      </c:pt>
                      <c:pt idx="9">
                        <c:v>-0.02</c:v>
                      </c:pt>
                      <c:pt idx="10">
                        <c:v>0.0204081632653061</c:v>
                      </c:pt>
                      <c:pt idx="11">
                        <c:v>0.0466666666666666</c:v>
                      </c:pt>
                      <c:pt idx="12">
                        <c:v>0.118895966029724</c:v>
                      </c:pt>
                      <c:pt idx="13">
                        <c:v>0.0303605313092978</c:v>
                      </c:pt>
                      <c:pt idx="14">
                        <c:v>0.0184162062615103</c:v>
                      </c:pt>
                      <c:pt idx="15">
                        <c:v>0</c:v>
                      </c:pt>
                      <c:pt idx="16">
                        <c:v>-0.00723327305605792</c:v>
                      </c:pt>
                      <c:pt idx="17">
                        <c:v>-0.02367941712204</c:v>
                      </c:pt>
                      <c:pt idx="18">
                        <c:v>-0.0074626865671642</c:v>
                      </c:pt>
                      <c:pt idx="19">
                        <c:v>-0.0676691729323309</c:v>
                      </c:pt>
                      <c:pt idx="20">
                        <c:v>0</c:v>
                      </c:pt>
                      <c:pt idx="21">
                        <c:v>-0.0524193548387096</c:v>
                      </c:pt>
                      <c:pt idx="22">
                        <c:v>-0.0638297872340425</c:v>
                      </c:pt>
                      <c:pt idx="23">
                        <c:v>-0.00227272727272743</c:v>
                      </c:pt>
                      <c:pt idx="24">
                        <c:v>-0.00455580865603633</c:v>
                      </c:pt>
                      <c:pt idx="25">
                        <c:v>0.0389016018306636</c:v>
                      </c:pt>
                      <c:pt idx="26">
                        <c:v>0.0110132158590308</c:v>
                      </c:pt>
                      <c:pt idx="27">
                        <c:v>0.0130718954248368</c:v>
                      </c:pt>
                      <c:pt idx="28">
                        <c:v>0.032258064516129</c:v>
                      </c:pt>
                      <c:pt idx="29">
                        <c:v>0.04375</c:v>
                      </c:pt>
                      <c:pt idx="30">
                        <c:v>0.00798403193612773</c:v>
                      </c:pt>
                      <c:pt idx="31">
                        <c:v>-0.00792079207920793</c:v>
                      </c:pt>
                      <c:pt idx="32">
                        <c:v>-0.0638722554890219</c:v>
                      </c:pt>
                      <c:pt idx="33">
                        <c:v>-0.0639658848614074</c:v>
                      </c:pt>
                      <c:pt idx="34">
                        <c:v>-0.0273348519362187</c:v>
                      </c:pt>
                      <c:pt idx="35">
                        <c:v>-0.037470725995316</c:v>
                      </c:pt>
                      <c:pt idx="36">
                        <c:v>0</c:v>
                      </c:pt>
                      <c:pt idx="37">
                        <c:v>0.0948905109489051</c:v>
                      </c:pt>
                      <c:pt idx="38">
                        <c:v>0.0577777777777777</c:v>
                      </c:pt>
                      <c:pt idx="39">
                        <c:v>0</c:v>
                      </c:pt>
                      <c:pt idx="40">
                        <c:v>-0.0336134453781513</c:v>
                      </c:pt>
                      <c:pt idx="41">
                        <c:v>-0.113043478260869</c:v>
                      </c:pt>
                      <c:pt idx="42" c:formatCode="0.0%">
                        <c:v>-0.0955882352941176</c:v>
                      </c:pt>
                      <c:pt idx="43" c:formatCode="0.0%">
                        <c:v>-0.173441734417344</c:v>
                      </c:pt>
                      <c:pt idx="44" c:formatCode="0.0%">
                        <c:v>-0.121311475409836</c:v>
                      </c:pt>
                      <c:pt idx="45" c:formatCode="0.0%">
                        <c:v>-0.0932835820895522</c:v>
                      </c:pt>
                      <c:pt idx="46" c:formatCode="0.0%">
                        <c:v>-0.0781893004115226</c:v>
                      </c:pt>
                      <c:pt idx="47" c:formatCode="0.0%">
                        <c:v>-0.0446428571428572</c:v>
                      </c:pt>
                      <c:pt idx="48" c:formatCode="0.0%">
                        <c:v>-0.0140186915887852</c:v>
                      </c:pt>
                      <c:pt idx="49" c:formatCode="0.0%">
                        <c:v>0</c:v>
                      </c:pt>
                      <c:pt idx="50" c:formatCode="0.0%">
                        <c:v>-0.123222748815166</c:v>
                      </c:pt>
                      <c:pt idx="51" c:formatCode="0.0%">
                        <c:v>-0.0594594594594595</c:v>
                      </c:pt>
                      <c:pt idx="52" c:formatCode="0.0%">
                        <c:v>0</c:v>
                      </c:pt>
                      <c:pt idx="53" c:formatCode="0.0%">
                        <c:v>0</c:v>
                      </c:pt>
                      <c:pt idx="54" c:formatCode="0.0%">
                        <c:v>0</c:v>
                      </c:pt>
                      <c:pt idx="55" c:formatCode="0.0%">
                        <c:v>0.0287356321839081</c:v>
                      </c:pt>
                      <c:pt idx="56" c:formatCode="0.0%">
                        <c:v>0.0223463687150838</c:v>
                      </c:pt>
                      <c:pt idx="57" c:formatCode="0.0%">
                        <c:v>0.153005464480874</c:v>
                      </c:pt>
                      <c:pt idx="58" c:formatCode="0.0%">
                        <c:v>0.28436018957346</c:v>
                      </c:pt>
                      <c:pt idx="59" c:formatCode="0.0%">
                        <c:v>0.151291512915129</c:v>
                      </c:pt>
                      <c:pt idx="60" c:formatCode="0.0%">
                        <c:v>0.0673076923076923</c:v>
                      </c:pt>
                      <c:pt idx="61" c:formatCode="0.0%">
                        <c:v>0.0480480480480481</c:v>
                      </c:pt>
                      <c:pt idx="62" c:formatCode="0.0%">
                        <c:v>0.180515759312321</c:v>
                      </c:pt>
                      <c:pt idx="63" c:formatCode="0.0%">
                        <c:v>0</c:v>
                      </c:pt>
                      <c:pt idx="64" c:formatCode="0.0%">
                        <c:v>0</c:v>
                      </c:pt>
                      <c:pt idx="65" c:formatCode="0.0%">
                        <c:v>0.0242718446601942</c:v>
                      </c:pt>
                      <c:pt idx="66" c:formatCode="0.0%">
                        <c:v>0</c:v>
                      </c:pt>
                      <c:pt idx="67" c:formatCode="0.0%">
                        <c:v>-0.0165876777251184</c:v>
                      </c:pt>
                      <c:pt idx="68" c:formatCode="0.0%">
                        <c:v>-0.055421686746988</c:v>
                      </c:pt>
                      <c:pt idx="69" c:formatCode="0.0%">
                        <c:v>-0.0510204081632653</c:v>
                      </c:pt>
                      <c:pt idx="70" c:formatCode="0.0%">
                        <c:v>-0.169354838709677</c:v>
                      </c:pt>
                      <c:pt idx="71" c:formatCode="0.0%">
                        <c:v>-0.158576051779935</c:v>
                      </c:pt>
                      <c:pt idx="72" c:formatCode="0.0%">
                        <c:v>-0.0307692307692308</c:v>
                      </c:pt>
                      <c:pt idx="73" c:formatCode="0.0%">
                        <c:v>-0.0198412698412698</c:v>
                      </c:pt>
                      <c:pt idx="74" c:formatCode="0.0%">
                        <c:v>0.101214574898785</c:v>
                      </c:pt>
                      <c:pt idx="75" c:formatCode="0.0%">
                        <c:v>0.099264705882353</c:v>
                      </c:pt>
                      <c:pt idx="76" c:formatCode="0.0%">
                        <c:v>0.0267558528428093</c:v>
                      </c:pt>
                      <c:pt idx="77" c:formatCode="0.0%">
                        <c:v>0.0195439739413681</c:v>
                      </c:pt>
                      <c:pt idx="78" c:formatCode="0.0%">
                        <c:v>0.0415335463258786</c:v>
                      </c:pt>
                      <c:pt idx="79" c:formatCode="0.0%">
                        <c:v>0.0337423312883436</c:v>
                      </c:pt>
                      <c:pt idx="80" c:formatCode="0.0%">
                        <c:v>0.032640949554896</c:v>
                      </c:pt>
                      <c:pt idx="81" c:formatCode="0.0%">
                        <c:v>0.471264367816092</c:v>
                      </c:pt>
                      <c:pt idx="82" c:formatCode="0.0%">
                        <c:v>0.65625</c:v>
                      </c:pt>
                      <c:pt idx="83" c:formatCode="0.0%">
                        <c:v>0.433962264150943</c:v>
                      </c:pt>
                      <c:pt idx="84" c:formatCode="0.0%">
                        <c:v>0.327302631578947</c:v>
                      </c:pt>
                      <c:pt idx="85" c:formatCode="0.0%">
                        <c:v>0.237918215613383</c:v>
                      </c:pt>
                      <c:pt idx="86" c:formatCode="0.0%">
                        <c:v>0.185685685685686</c:v>
                      </c:pt>
                      <c:pt idx="87" c:formatCode="0.0%">
                        <c:v>0.0498100464330942</c:v>
                      </c:pt>
                      <c:pt idx="88" c:formatCode="0.0%">
                        <c:v>0.0237233614796943</c:v>
                      </c:pt>
                    </c:numCache>
                  </c:numRef>
                </c:val>
                <c:smooth val="0"/>
              </c15:ser>
            </c15:filteredLineSeries>
            <c15:filteredLineSeries>
              <c15:ser>
                <c:idx val="3"/>
                <c:order val="3"/>
                <c:tx>
                  <c:strRef>
                    <c:extLst>
                      <c:ext uri="{02D57815-91ED-43cb-92C2-25804820EDAC}">
                        <c15:formulaRef>
                          <c15:sqref>NAND!$AV$23</c15:sqref>
                        </c15:formulaRef>
                      </c:ext>
                    </c:extLst>
                    <c:strCache>
                      <c:ptCount val="1"/>
                      <c:pt idx="0">
                        <c:v>3D TLC 256Gb MoM</c:v>
                      </c:pt>
                    </c:strCache>
                  </c:strRef>
                </c:tx>
                <c:spPr>
                  <a:ln w="12700" cap="rnd" cmpd="sng" algn="ctr">
                    <a:solidFill>
                      <a:schemeClr val="tx1"/>
                    </a:solidFill>
                    <a:prstDash val="solid"/>
                    <a:round/>
                  </a:ln>
                </c:spPr>
                <c:marker>
                  <c:symbol val="triangle"/>
                  <c:size val="3"/>
                  <c:spPr>
                    <a:solidFill>
                      <a:schemeClr val="tx1"/>
                    </a:solidFill>
                    <a:ln w="12700" cap="flat" cmpd="sng" algn="ctr">
                      <a:solidFill>
                        <a:schemeClr val="tx1"/>
                      </a:solidFill>
                      <a:prstDash val="solid"/>
                      <a:round/>
                    </a:ln>
                  </c:spPr>
                </c:marker>
                <c:dLbls>
                  <c:delete val="1"/>
                </c:dLbls>
                <c:cat>
                  <c:numRef>
                    <c:extLst>
                      <c:ext uri="{02D57815-91ED-43cb-92C2-25804820EDAC}">
                        <c15:fullRef>
                          <c15:sqref/>
                        </c15:fullRef>
                        <c15:formulaRef>
                          <c15:sqref>NAND!$AL$201:$AL$667</c15:sqref>
                        </c15:formulaRef>
                      </c:ext>
                    </c:extLst>
                    <c:numCache>
                      <c:formatCode>[$-409]mmm\-yy;@</c:formatCode>
                      <c:ptCount val="467"/>
                    </c:numCache>
                  </c:numRef>
                </c:cat>
                <c:val>
                  <c:numRef>
                    <c:extLst>
                      <c:ext uri="{02D57815-91ED-43cb-92C2-25804820EDAC}">
                        <c15:formulaRef>
                          <c15:sqref>NAND!$AV$43:$AV$201</c15:sqref>
                        </c15:formulaRef>
                      </c:ext>
                    </c:extLst>
                    <c:numCache>
                      <c:formatCode>0%</c:formatCode>
                      <c:ptCount val="159"/>
                      <c:pt idx="0">
                        <c:v>-0.0371747211895911</c:v>
                      </c:pt>
                      <c:pt idx="1">
                        <c:v>-0.0579150579150579</c:v>
                      </c:pt>
                      <c:pt idx="2">
                        <c:v>-0.102459016393443</c:v>
                      </c:pt>
                      <c:pt idx="3">
                        <c:v>-0.0776255707762556</c:v>
                      </c:pt>
                      <c:pt idx="4">
                        <c:v>-0.0346534653465347</c:v>
                      </c:pt>
                      <c:pt idx="5">
                        <c:v>-0.0153846153846154</c:v>
                      </c:pt>
                      <c:pt idx="6">
                        <c:v>0.177083333333333</c:v>
                      </c:pt>
                      <c:pt idx="7">
                        <c:v>0.0398230088495577</c:v>
                      </c:pt>
                      <c:pt idx="8">
                        <c:v>0</c:v>
                      </c:pt>
                      <c:pt idx="9">
                        <c:v>-0.00425531914893629</c:v>
                      </c:pt>
                      <c:pt idx="10">
                        <c:v>0.00854700854700852</c:v>
                      </c:pt>
                      <c:pt idx="11">
                        <c:v>0.14406779661017</c:v>
                      </c:pt>
                      <c:pt idx="12">
                        <c:v>0.0851851851851853</c:v>
                      </c:pt>
                      <c:pt idx="13">
                        <c:v>0.0477815699658701</c:v>
                      </c:pt>
                      <c:pt idx="14">
                        <c:v>0.0130293159609121</c:v>
                      </c:pt>
                      <c:pt idx="15">
                        <c:v>0</c:v>
                      </c:pt>
                      <c:pt idx="16">
                        <c:v>-0.00643086816720262</c:v>
                      </c:pt>
                      <c:pt idx="17">
                        <c:v>0</c:v>
                      </c:pt>
                      <c:pt idx="18">
                        <c:v>-0.0776699029126213</c:v>
                      </c:pt>
                      <c:pt idx="19">
                        <c:v>-0.108771929824561</c:v>
                      </c:pt>
                      <c:pt idx="20">
                        <c:v>0</c:v>
                      </c:pt>
                      <c:pt idx="21">
                        <c:v>-0.0118110236220473</c:v>
                      </c:pt>
                      <c:pt idx="22">
                        <c:v>-0.0517928286852589</c:v>
                      </c:pt>
                      <c:pt idx="23">
                        <c:v>-0.0126050420168067</c:v>
                      </c:pt>
                      <c:pt idx="24">
                        <c:v>-0.00425531914893629</c:v>
                      </c:pt>
                      <c:pt idx="25">
                        <c:v>0.0598290598290598</c:v>
                      </c:pt>
                      <c:pt idx="26">
                        <c:v>0.0161290322580645</c:v>
                      </c:pt>
                      <c:pt idx="27">
                        <c:v>0.0238095238095237</c:v>
                      </c:pt>
                      <c:pt idx="28">
                        <c:v>0.0232558139534884</c:v>
                      </c:pt>
                      <c:pt idx="29">
                        <c:v>0.0378787878787878</c:v>
                      </c:pt>
                      <c:pt idx="30">
                        <c:v>0.0145985401459852</c:v>
                      </c:pt>
                      <c:pt idx="31">
                        <c:v>0</c:v>
                      </c:pt>
                      <c:pt idx="32">
                        <c:v>-0.0467625899280575</c:v>
                      </c:pt>
                      <c:pt idx="33">
                        <c:v>-0.0716981132075472</c:v>
                      </c:pt>
                      <c:pt idx="34">
                        <c:v>-0.00406504065040647</c:v>
                      </c:pt>
                      <c:pt idx="35">
                        <c:v>-0.0122448979591838</c:v>
                      </c:pt>
                      <c:pt idx="36">
                        <c:v>0</c:v>
                      </c:pt>
                      <c:pt idx="37">
                        <c:v>0.0826446280991737</c:v>
                      </c:pt>
                      <c:pt idx="38">
                        <c:v>0.0229007633587786</c:v>
                      </c:pt>
                      <c:pt idx="39">
                        <c:v>0</c:v>
                      </c:pt>
                      <c:pt idx="40">
                        <c:v>-0.0298507462686567</c:v>
                      </c:pt>
                      <c:pt idx="41">
                        <c:v>-0.111538461538462</c:v>
                      </c:pt>
                      <c:pt idx="42" c:formatCode="0.0%">
                        <c:v>-0.0735930735930735</c:v>
                      </c:pt>
                      <c:pt idx="43" c:formatCode="0.0%">
                        <c:v>-0.196261682242991</c:v>
                      </c:pt>
                      <c:pt idx="44" c:formatCode="0.0%">
                        <c:v>-0.104651162790698</c:v>
                      </c:pt>
                      <c:pt idx="45" c:formatCode="0.0%">
                        <c:v>-0.116883116883117</c:v>
                      </c:pt>
                      <c:pt idx="46" c:formatCode="0.0%">
                        <c:v>-0.0588235294117647</c:v>
                      </c:pt>
                      <c:pt idx="47" c:formatCode="0.0%">
                        <c:v>-0.0390625</c:v>
                      </c:pt>
                      <c:pt idx="48" c:formatCode="0.0%">
                        <c:v>-0.00813008130081305</c:v>
                      </c:pt>
                      <c:pt idx="49" c:formatCode="0.0%">
                        <c:v>0</c:v>
                      </c:pt>
                      <c:pt idx="50" c:formatCode="0.0%">
                        <c:v>-0.0737704918032788</c:v>
                      </c:pt>
                      <c:pt idx="51" c:formatCode="0.0%">
                        <c:v>-0.0530973451327432</c:v>
                      </c:pt>
                      <c:pt idx="52" c:formatCode="0.0%">
                        <c:v>0</c:v>
                      </c:pt>
                      <c:pt idx="53" c:formatCode="0.0%">
                        <c:v>0</c:v>
                      </c:pt>
                      <c:pt idx="54" c:formatCode="0.0%">
                        <c:v>0</c:v>
                      </c:pt>
                      <c:pt idx="55" c:formatCode="0.0%">
                        <c:v>0</c:v>
                      </c:pt>
                      <c:pt idx="56" c:formatCode="0.0%">
                        <c:v>0</c:v>
                      </c:pt>
                      <c:pt idx="57" c:formatCode="0.0%">
                        <c:v>0.121495327102804</c:v>
                      </c:pt>
                      <c:pt idx="58" c:formatCode="0.0%">
                        <c:v>0.391666666666667</c:v>
                      </c:pt>
                      <c:pt idx="59" c:formatCode="0.0%">
                        <c:v>0.0838323353293413</c:v>
                      </c:pt>
                      <c:pt idx="60" c:formatCode="0.0%">
                        <c:v>0</c:v>
                      </c:pt>
                      <c:pt idx="61" c:formatCode="0.0%">
                        <c:v>0</c:v>
                      </c:pt>
                      <c:pt idx="62" c:formatCode="0.0%">
                        <c:v>0.165745856353591</c:v>
                      </c:pt>
                      <c:pt idx="63" c:formatCode="0.0%">
                        <c:v>0</c:v>
                      </c:pt>
                      <c:pt idx="64" c:formatCode="0.0%">
                        <c:v>0</c:v>
                      </c:pt>
                      <c:pt idx="65" c:formatCode="0.0%">
                        <c:v>0.018957345971564</c:v>
                      </c:pt>
                      <c:pt idx="66" c:formatCode="0.0%">
                        <c:v>0</c:v>
                      </c:pt>
                      <c:pt idx="67" c:formatCode="0.0%">
                        <c:v>-0.0372093023255814</c:v>
                      </c:pt>
                      <c:pt idx="68" c:formatCode="0.0%">
                        <c:v>-0.101449275362319</c:v>
                      </c:pt>
                      <c:pt idx="69" c:formatCode="0.0%">
                        <c:v>-0.0645161290322581</c:v>
                      </c:pt>
                      <c:pt idx="70" c:formatCode="0.0%">
                        <c:v>-0.137931034482759</c:v>
                      </c:pt>
                      <c:pt idx="71" c:formatCode="0.0%">
                        <c:v>-0.00666666666666671</c:v>
                      </c:pt>
                      <c:pt idx="72" c:formatCode="0.0%">
                        <c:v>0.0335570469798658</c:v>
                      </c:pt>
                      <c:pt idx="73" c:formatCode="0.0%">
                        <c:v>0.0389610389610391</c:v>
                      </c:pt>
                      <c:pt idx="74" c:formatCode="0.0%">
                        <c:v>0.125</c:v>
                      </c:pt>
                      <c:pt idx="75" c:formatCode="0.0%">
                        <c:v>0.144444444444444</c:v>
                      </c:pt>
                      <c:pt idx="76" c:formatCode="0.0%">
                        <c:v>0.058252427184466</c:v>
                      </c:pt>
                      <c:pt idx="77" c:formatCode="0.0%">
                        <c:v>0.0871559633027523</c:v>
                      </c:pt>
                      <c:pt idx="78" c:formatCode="0.0%">
                        <c:v>0.0801687763713079</c:v>
                      </c:pt>
                      <c:pt idx="79" c:formatCode="0.0%">
                        <c:v>0.046875</c:v>
                      </c:pt>
                      <c:pt idx="80" c:formatCode="0.0%">
                        <c:v>0.0485074626865671</c:v>
                      </c:pt>
                      <c:pt idx="81" c:formatCode="0.0%">
                        <c:v>0.284697508896797</c:v>
                      </c:pt>
                      <c:pt idx="82" c:formatCode="0.0%">
                        <c:v>0.35180055401662</c:v>
                      </c:pt>
                      <c:pt idx="83" c:formatCode="0.0%">
                        <c:v>0.385245901639344</c:v>
                      </c:pt>
                      <c:pt idx="84" c:formatCode="0.0%">
                        <c:v>0.322485207100592</c:v>
                      </c:pt>
                      <c:pt idx="85" c:formatCode="0.0%">
                        <c:v>0.194630872483222</c:v>
                      </c:pt>
                      <c:pt idx="86" c:formatCode="0.0%">
                        <c:v>0.294007490636704</c:v>
                      </c:pt>
                      <c:pt idx="87" c:formatCode="0.0%">
                        <c:v>0.0788712011577424</c:v>
                      </c:pt>
                      <c:pt idx="88" c:formatCode="0.0%">
                        <c:v>0.0321931589537223</c:v>
                      </c:pt>
                    </c:numCache>
                  </c:numRef>
                </c:val>
                <c:smooth val="0"/>
              </c15:ser>
            </c15:filteredLineSeries>
          </c:ext>
        </c:extLst>
      </c:lineChart>
      <c:dateAx>
        <c:axId val="1428906976"/>
        <c:scaling>
          <c:orientation val="minMax"/>
        </c:scaling>
        <c:delete val="0"/>
        <c:axPos val="b"/>
        <c:majorGridlines>
          <c:spPr>
            <a:ln w="12700" cap="flat" cmpd="sng" algn="ctr">
              <a:solidFill>
                <a:schemeClr val="tx1">
                  <a:tint val="75000"/>
                </a:schemeClr>
              </a:solidFill>
              <a:prstDash val="dash"/>
              <a:round/>
            </a:ln>
          </c:spPr>
        </c:majorGridlines>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475104800"/>
        <c:crosses val="autoZero"/>
        <c:auto val="1"/>
        <c:lblOffset val="100"/>
        <c:baseTimeUnit val="months"/>
        <c:majorUnit val="1"/>
        <c:majorTimeUnit val="months"/>
      </c:dateAx>
      <c:valAx>
        <c:axId val="1475104800"/>
        <c:scaling>
          <c:orientation val="minMax"/>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US$/GB</a:t>
                </a:r>
                <a:endParaRPr lang="en-US"/>
              </a:p>
            </c:rich>
          </c:tx>
          <c:layout/>
          <c:overlay val="0"/>
        </c:title>
        <c:numFmt formatCode="#,##0.0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428906976"/>
        <c:crosses val="autoZero"/>
        <c:crossBetween val="between"/>
        <c:majorUnit val="0.02"/>
      </c:valAx>
      <c:catAx>
        <c:axId val="1481768320"/>
        <c:scaling>
          <c:orientation val="minMax"/>
        </c:scaling>
        <c:delete val="1"/>
        <c:axPos val="b"/>
        <c:numFmt formatCode="[$-409]mmm\-yy;@" sourceLinked="1"/>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071090016"/>
        <c:crosses val="autoZero"/>
        <c:auto val="1"/>
        <c:lblAlgn val="ctr"/>
        <c:lblOffset val="100"/>
        <c:noMultiLvlLbl val="0"/>
      </c:catAx>
      <c:valAx>
        <c:axId val="1071090016"/>
        <c:scaling>
          <c:orientation val="minMax"/>
          <c:max val="0.15"/>
        </c:scaling>
        <c:delete val="0"/>
        <c:axPos val="r"/>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MoM</a:t>
                </a:r>
                <a:endParaRPr lang="en-US"/>
              </a:p>
            </c:rich>
          </c:tx>
          <c:layout/>
          <c:overlay val="0"/>
        </c:title>
        <c:numFmt formatCode="0%" sourceLinked="1"/>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481768320"/>
        <c:crosses val="max"/>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468b5991-649b-4a3b-87a0-c22e912ff5ce}"/>
      </c:ext>
    </c:extLst>
  </c:chart>
  <c:spPr>
    <a:ln w="3175" cap="flat" cmpd="sng" algn="ctr">
      <a:solidFill>
        <a:srgbClr val="FFFFFF"/>
      </a:solidFill>
      <a:prstDash val="solid"/>
      <a:round/>
    </a:ln>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NAND Wafer (3D TLC 32GB) Spot Price &amp; WoW</a:t>
            </a:r>
            <a:endParaRPr lang="en-US"/>
          </a:p>
        </c:rich>
      </c:tx>
      <c:layout/>
      <c:overlay val="0"/>
    </c:title>
    <c:autoTitleDeleted val="0"/>
    <c:plotArea>
      <c:layout/>
      <c:barChart>
        <c:barDir val="col"/>
        <c:grouping val="clustered"/>
        <c:varyColors val="0"/>
        <c:ser>
          <c:idx val="0"/>
          <c:order val="0"/>
          <c:tx>
            <c:strRef>
              <c:f>NAND!$I$23</c:f>
              <c:strCache>
                <c:ptCount val="1"/>
                <c:pt idx="0">
                  <c:v>3D TLC 256Gb</c:v>
                </c:pt>
              </c:strCache>
            </c:strRef>
          </c:tx>
          <c:spPr>
            <a:ln>
              <a:solidFill>
                <a:schemeClr val="tx1"/>
              </a:solidFill>
            </a:ln>
          </c:spPr>
          <c:invertIfNegative val="0"/>
          <c:dLbls>
            <c:delete val="1"/>
          </c:dLbls>
          <c:cat>
            <c:numRef>
              <c:f>NAND!$E$127:$E$175</c:f>
              <c:numCache>
                <c:formatCode>yyyy/m/d</c:formatCode>
                <c:ptCount val="49"/>
                <c:pt idx="0" c:formatCode="yyyy/m/d">
                  <c:v>44200</c:v>
                </c:pt>
                <c:pt idx="1" c:formatCode="yyyy/m/d">
                  <c:v>44207</c:v>
                </c:pt>
                <c:pt idx="2" c:formatCode="yyyy/m/d">
                  <c:v>44214</c:v>
                </c:pt>
                <c:pt idx="3" c:formatCode="yyyy/m/d">
                  <c:v>44221</c:v>
                </c:pt>
                <c:pt idx="4" c:formatCode="yyyy/m/d">
                  <c:v>44228</c:v>
                </c:pt>
                <c:pt idx="5" c:formatCode="yyyy/m/d">
                  <c:v>44235</c:v>
                </c:pt>
                <c:pt idx="6" c:formatCode="yyyy/m/d">
                  <c:v>44244</c:v>
                </c:pt>
                <c:pt idx="7" c:formatCode="yyyy/m/d">
                  <c:v>44249</c:v>
                </c:pt>
                <c:pt idx="8" c:formatCode="yyyy/m/d">
                  <c:v>44256</c:v>
                </c:pt>
                <c:pt idx="9" c:formatCode="yyyy/m/d">
                  <c:v>44263</c:v>
                </c:pt>
                <c:pt idx="10" c:formatCode="yyyy/m/d">
                  <c:v>44270</c:v>
                </c:pt>
                <c:pt idx="11" c:formatCode="yyyy/m/d">
                  <c:v>44277</c:v>
                </c:pt>
                <c:pt idx="12" c:formatCode="yyyy/m/d">
                  <c:v>44284</c:v>
                </c:pt>
                <c:pt idx="13" c:formatCode="yyyy/m/d">
                  <c:v>44292</c:v>
                </c:pt>
                <c:pt idx="14" c:formatCode="yyyy/m/d">
                  <c:v>44298</c:v>
                </c:pt>
                <c:pt idx="15" c:formatCode="yyyy/m/d">
                  <c:v>44305</c:v>
                </c:pt>
                <c:pt idx="16" c:formatCode="yyyy/m/d">
                  <c:v>44312</c:v>
                </c:pt>
                <c:pt idx="17" c:formatCode="yyyy/m/d">
                  <c:v>44319</c:v>
                </c:pt>
                <c:pt idx="18" c:formatCode="yyyy/m/d">
                  <c:v>44326</c:v>
                </c:pt>
                <c:pt idx="19" c:formatCode="yyyy/m/d">
                  <c:v>44333</c:v>
                </c:pt>
                <c:pt idx="20" c:formatCode="yyyy/m/d">
                  <c:v>44340</c:v>
                </c:pt>
                <c:pt idx="21" c:formatCode="yyyy/m/d">
                  <c:v>44347</c:v>
                </c:pt>
                <c:pt idx="22" c:formatCode="yyyy/m/d">
                  <c:v>44354</c:v>
                </c:pt>
                <c:pt idx="23" c:formatCode="yyyy/m/d">
                  <c:v>44362</c:v>
                </c:pt>
                <c:pt idx="24" c:formatCode="yyyy/m/d">
                  <c:v>44368</c:v>
                </c:pt>
                <c:pt idx="25" c:formatCode="yyyy/m/d">
                  <c:v>44375</c:v>
                </c:pt>
                <c:pt idx="26" c:formatCode="yyyy/m/d">
                  <c:v>44382</c:v>
                </c:pt>
                <c:pt idx="27" c:formatCode="yyyy/m/d">
                  <c:v>44389</c:v>
                </c:pt>
                <c:pt idx="28" c:formatCode="yyyy/m/d">
                  <c:v>44396</c:v>
                </c:pt>
                <c:pt idx="29" c:formatCode="yyyy/m/d">
                  <c:v>44403</c:v>
                </c:pt>
                <c:pt idx="30" c:formatCode="yyyy/m/d">
                  <c:v>44410</c:v>
                </c:pt>
                <c:pt idx="31" c:formatCode="yyyy/m/d">
                  <c:v>44417</c:v>
                </c:pt>
                <c:pt idx="32" c:formatCode="yyyy/m/d">
                  <c:v>44424</c:v>
                </c:pt>
                <c:pt idx="33" c:formatCode="yyyy/m/d">
                  <c:v>44431</c:v>
                </c:pt>
                <c:pt idx="34" c:formatCode="yyyy/m/d">
                  <c:v>44438</c:v>
                </c:pt>
                <c:pt idx="35" c:formatCode="yyyy/m/d">
                  <c:v>44445</c:v>
                </c:pt>
                <c:pt idx="36" c:formatCode="yyyy/m/d">
                  <c:v>44452</c:v>
                </c:pt>
                <c:pt idx="37" c:formatCode="yyyy/m/d">
                  <c:v>44461</c:v>
                </c:pt>
                <c:pt idx="38" c:formatCode="yyyy/m/d">
                  <c:v>44466</c:v>
                </c:pt>
                <c:pt idx="39" c:formatCode="yyyy/m/d">
                  <c:v>44473</c:v>
                </c:pt>
                <c:pt idx="40" c:formatCode="yyyy/m/d">
                  <c:v>44480</c:v>
                </c:pt>
                <c:pt idx="41" c:formatCode="yyyy/m/d">
                  <c:v>44487</c:v>
                </c:pt>
                <c:pt idx="42" c:formatCode="yyyy/m/d">
                  <c:v>44494</c:v>
                </c:pt>
                <c:pt idx="43" c:formatCode="yyyy/m/d">
                  <c:v>44501</c:v>
                </c:pt>
                <c:pt idx="44" c:formatCode="yyyy/m/d">
                  <c:v>44508</c:v>
                </c:pt>
                <c:pt idx="45" c:formatCode="yyyy/m/d">
                  <c:v>44515</c:v>
                </c:pt>
                <c:pt idx="46" c:formatCode="yyyy/m/d">
                  <c:v>44522</c:v>
                </c:pt>
                <c:pt idx="47" c:formatCode="yyyy/m/d">
                  <c:v>44529</c:v>
                </c:pt>
                <c:pt idx="48" c:formatCode="yyyy/m/d">
                  <c:v>44536</c:v>
                </c:pt>
              </c:numCache>
            </c:numRef>
          </c:cat>
          <c:val>
            <c:numRef>
              <c:f>NAND!$F$127:$F$175</c:f>
              <c:numCache>
                <c:formatCode>#,##0.00</c:formatCode>
                <c:ptCount val="49"/>
                <c:pt idx="0">
                  <c:v>2.184</c:v>
                </c:pt>
                <c:pt idx="1">
                  <c:v>2.176</c:v>
                </c:pt>
                <c:pt idx="2">
                  <c:v>2.174</c:v>
                </c:pt>
                <c:pt idx="3">
                  <c:v>2.175</c:v>
                </c:pt>
                <c:pt idx="4">
                  <c:v>2.174</c:v>
                </c:pt>
                <c:pt idx="5">
                  <c:v>2.174</c:v>
                </c:pt>
                <c:pt idx="6">
                  <c:v>2.174</c:v>
                </c:pt>
                <c:pt idx="7">
                  <c:v>2.174</c:v>
                </c:pt>
                <c:pt idx="8">
                  <c:v>2.2</c:v>
                </c:pt>
                <c:pt idx="9">
                  <c:v>2.221</c:v>
                </c:pt>
                <c:pt idx="10">
                  <c:v>2.285</c:v>
                </c:pt>
                <c:pt idx="11">
                  <c:v>2.321</c:v>
                </c:pt>
                <c:pt idx="12">
                  <c:v>2.319</c:v>
                </c:pt>
                <c:pt idx="13">
                  <c:v>2.318</c:v>
                </c:pt>
                <c:pt idx="14">
                  <c:v>2.303</c:v>
                </c:pt>
                <c:pt idx="15">
                  <c:v>2.3</c:v>
                </c:pt>
                <c:pt idx="16">
                  <c:v>2.3</c:v>
                </c:pt>
                <c:pt idx="17">
                  <c:v>2.299</c:v>
                </c:pt>
                <c:pt idx="18">
                  <c:v>2.303</c:v>
                </c:pt>
                <c:pt idx="19">
                  <c:v>2.303</c:v>
                </c:pt>
                <c:pt idx="20">
                  <c:v>2.71</c:v>
                </c:pt>
                <c:pt idx="21">
                  <c:v>2.669</c:v>
                </c:pt>
                <c:pt idx="22">
                  <c:v>2.654</c:v>
                </c:pt>
                <c:pt idx="23">
                  <c:v>2.647</c:v>
                </c:pt>
                <c:pt idx="24">
                  <c:v>2.632</c:v>
                </c:pt>
                <c:pt idx="25">
                  <c:v>2.618</c:v>
                </c:pt>
                <c:pt idx="26">
                  <c:v>2.615</c:v>
                </c:pt>
                <c:pt idx="27">
                  <c:v>2.65</c:v>
                </c:pt>
                <c:pt idx="28">
                  <c:v>2.65</c:v>
                </c:pt>
                <c:pt idx="29">
                  <c:v>2.649</c:v>
                </c:pt>
                <c:pt idx="30">
                  <c:v>2.649</c:v>
                </c:pt>
                <c:pt idx="31">
                  <c:v>2.648</c:v>
                </c:pt>
                <c:pt idx="32">
                  <c:v>2.636</c:v>
                </c:pt>
                <c:pt idx="33">
                  <c:v>2.604</c:v>
                </c:pt>
                <c:pt idx="34">
                  <c:v>2.579</c:v>
                </c:pt>
                <c:pt idx="35">
                  <c:v>2.578</c:v>
                </c:pt>
                <c:pt idx="36">
                  <c:v>2.568</c:v>
                </c:pt>
                <c:pt idx="37">
                  <c:v>2.518</c:v>
                </c:pt>
                <c:pt idx="38">
                  <c:v>2.496</c:v>
                </c:pt>
                <c:pt idx="39">
                  <c:v>2.448</c:v>
                </c:pt>
                <c:pt idx="40">
                  <c:v>2.448</c:v>
                </c:pt>
                <c:pt idx="41">
                  <c:v>2.326</c:v>
                </c:pt>
                <c:pt idx="42">
                  <c:v>2.226</c:v>
                </c:pt>
                <c:pt idx="43">
                  <c:v>2.208</c:v>
                </c:pt>
                <c:pt idx="44">
                  <c:v>2.2</c:v>
                </c:pt>
                <c:pt idx="45">
                  <c:v>2.17</c:v>
                </c:pt>
                <c:pt idx="46">
                  <c:v>2.11</c:v>
                </c:pt>
                <c:pt idx="47">
                  <c:v>2.07</c:v>
                </c:pt>
                <c:pt idx="48">
                  <c:v>2.06</c:v>
                </c:pt>
              </c:numCache>
            </c:numRef>
          </c:val>
        </c:ser>
        <c:dLbls>
          <c:showLegendKey val="0"/>
          <c:showVal val="0"/>
          <c:showCatName val="0"/>
          <c:showSerName val="0"/>
          <c:showPercent val="0"/>
          <c:showBubbleSize val="0"/>
        </c:dLbls>
        <c:gapWidth val="150"/>
        <c:axId val="139647424"/>
        <c:axId val="1984156896"/>
      </c:barChart>
      <c:lineChart>
        <c:grouping val="standard"/>
        <c:varyColors val="0"/>
        <c:ser>
          <c:idx val="2"/>
          <c:order val="1"/>
          <c:tx>
            <c:strRef>
              <c:f>NAND!$M$24</c:f>
              <c:strCache>
                <c:ptCount val="1"/>
                <c:pt idx="0">
                  <c:v>3D TLC 256Gb WoW</c:v>
                </c:pt>
              </c:strCache>
            </c:strRef>
          </c:tx>
          <c:spPr>
            <a:ln w="12700" cap="rnd" cmpd="sng" algn="ctr">
              <a:solidFill>
                <a:schemeClr val="tx1"/>
              </a:solidFill>
              <a:prstDash val="solid"/>
              <a:round/>
            </a:ln>
          </c:spPr>
          <c:marker>
            <c:symbol val="triangle"/>
            <c:size val="3"/>
            <c:spPr>
              <a:solidFill>
                <a:schemeClr val="tx1"/>
              </a:solidFill>
              <a:ln w="12700" cap="flat" cmpd="sng" algn="ctr">
                <a:solidFill>
                  <a:schemeClr val="tx1"/>
                </a:solidFill>
                <a:prstDash val="solid"/>
                <a:round/>
              </a:ln>
            </c:spPr>
          </c:marker>
          <c:dLbls>
            <c:delete val="1"/>
          </c:dLbls>
          <c:cat>
            <c:numRef>
              <c:f>NAND!$E$127:$E$175</c:f>
              <c:numCache>
                <c:formatCode>yyyy/m/d</c:formatCode>
                <c:ptCount val="49"/>
                <c:pt idx="0" c:formatCode="yyyy/m/d">
                  <c:v>44200</c:v>
                </c:pt>
                <c:pt idx="1" c:formatCode="yyyy/m/d">
                  <c:v>44207</c:v>
                </c:pt>
                <c:pt idx="2" c:formatCode="yyyy/m/d">
                  <c:v>44214</c:v>
                </c:pt>
                <c:pt idx="3" c:formatCode="yyyy/m/d">
                  <c:v>44221</c:v>
                </c:pt>
                <c:pt idx="4" c:formatCode="yyyy/m/d">
                  <c:v>44228</c:v>
                </c:pt>
                <c:pt idx="5" c:formatCode="yyyy/m/d">
                  <c:v>44235</c:v>
                </c:pt>
                <c:pt idx="6" c:formatCode="yyyy/m/d">
                  <c:v>44244</c:v>
                </c:pt>
                <c:pt idx="7" c:formatCode="yyyy/m/d">
                  <c:v>44249</c:v>
                </c:pt>
                <c:pt idx="8" c:formatCode="yyyy/m/d">
                  <c:v>44256</c:v>
                </c:pt>
                <c:pt idx="9" c:formatCode="yyyy/m/d">
                  <c:v>44263</c:v>
                </c:pt>
                <c:pt idx="10" c:formatCode="yyyy/m/d">
                  <c:v>44270</c:v>
                </c:pt>
                <c:pt idx="11" c:formatCode="yyyy/m/d">
                  <c:v>44277</c:v>
                </c:pt>
                <c:pt idx="12" c:formatCode="yyyy/m/d">
                  <c:v>44284</c:v>
                </c:pt>
                <c:pt idx="13" c:formatCode="yyyy/m/d">
                  <c:v>44292</c:v>
                </c:pt>
                <c:pt idx="14" c:formatCode="yyyy/m/d">
                  <c:v>44298</c:v>
                </c:pt>
                <c:pt idx="15" c:formatCode="yyyy/m/d">
                  <c:v>44305</c:v>
                </c:pt>
                <c:pt idx="16" c:formatCode="yyyy/m/d">
                  <c:v>44312</c:v>
                </c:pt>
                <c:pt idx="17" c:formatCode="yyyy/m/d">
                  <c:v>44319</c:v>
                </c:pt>
                <c:pt idx="18" c:formatCode="yyyy/m/d">
                  <c:v>44326</c:v>
                </c:pt>
                <c:pt idx="19" c:formatCode="yyyy/m/d">
                  <c:v>44333</c:v>
                </c:pt>
                <c:pt idx="20" c:formatCode="yyyy/m/d">
                  <c:v>44340</c:v>
                </c:pt>
                <c:pt idx="21" c:formatCode="yyyy/m/d">
                  <c:v>44347</c:v>
                </c:pt>
                <c:pt idx="22" c:formatCode="yyyy/m/d">
                  <c:v>44354</c:v>
                </c:pt>
                <c:pt idx="23" c:formatCode="yyyy/m/d">
                  <c:v>44362</c:v>
                </c:pt>
                <c:pt idx="24" c:formatCode="yyyy/m/d">
                  <c:v>44368</c:v>
                </c:pt>
                <c:pt idx="25" c:formatCode="yyyy/m/d">
                  <c:v>44375</c:v>
                </c:pt>
                <c:pt idx="26" c:formatCode="yyyy/m/d">
                  <c:v>44382</c:v>
                </c:pt>
                <c:pt idx="27" c:formatCode="yyyy/m/d">
                  <c:v>44389</c:v>
                </c:pt>
                <c:pt idx="28" c:formatCode="yyyy/m/d">
                  <c:v>44396</c:v>
                </c:pt>
                <c:pt idx="29" c:formatCode="yyyy/m/d">
                  <c:v>44403</c:v>
                </c:pt>
                <c:pt idx="30" c:formatCode="yyyy/m/d">
                  <c:v>44410</c:v>
                </c:pt>
                <c:pt idx="31" c:formatCode="yyyy/m/d">
                  <c:v>44417</c:v>
                </c:pt>
                <c:pt idx="32" c:formatCode="yyyy/m/d">
                  <c:v>44424</c:v>
                </c:pt>
                <c:pt idx="33" c:formatCode="yyyy/m/d">
                  <c:v>44431</c:v>
                </c:pt>
                <c:pt idx="34" c:formatCode="yyyy/m/d">
                  <c:v>44438</c:v>
                </c:pt>
                <c:pt idx="35" c:formatCode="yyyy/m/d">
                  <c:v>44445</c:v>
                </c:pt>
                <c:pt idx="36" c:formatCode="yyyy/m/d">
                  <c:v>44452</c:v>
                </c:pt>
                <c:pt idx="37" c:formatCode="yyyy/m/d">
                  <c:v>44461</c:v>
                </c:pt>
                <c:pt idx="38" c:formatCode="yyyy/m/d">
                  <c:v>44466</c:v>
                </c:pt>
                <c:pt idx="39" c:formatCode="yyyy/m/d">
                  <c:v>44473</c:v>
                </c:pt>
                <c:pt idx="40" c:formatCode="yyyy/m/d">
                  <c:v>44480</c:v>
                </c:pt>
                <c:pt idx="41" c:formatCode="yyyy/m/d">
                  <c:v>44487</c:v>
                </c:pt>
                <c:pt idx="42" c:formatCode="yyyy/m/d">
                  <c:v>44494</c:v>
                </c:pt>
                <c:pt idx="43" c:formatCode="yyyy/m/d">
                  <c:v>44501</c:v>
                </c:pt>
                <c:pt idx="44" c:formatCode="yyyy/m/d">
                  <c:v>44508</c:v>
                </c:pt>
                <c:pt idx="45" c:formatCode="yyyy/m/d">
                  <c:v>44515</c:v>
                </c:pt>
                <c:pt idx="46" c:formatCode="yyyy/m/d">
                  <c:v>44522</c:v>
                </c:pt>
                <c:pt idx="47" c:formatCode="yyyy/m/d">
                  <c:v>44529</c:v>
                </c:pt>
                <c:pt idx="48" c:formatCode="yyyy/m/d">
                  <c:v>44536</c:v>
                </c:pt>
              </c:numCache>
            </c:numRef>
          </c:cat>
          <c:val>
            <c:numRef>
              <c:f>NAND!$M$127:$M$175</c:f>
              <c:numCache>
                <c:formatCode>0%</c:formatCode>
                <c:ptCount val="49"/>
                <c:pt idx="0">
                  <c:v>-0.00319488817891356</c:v>
                </c:pt>
                <c:pt idx="1">
                  <c:v>-0.00366300366300365</c:v>
                </c:pt>
                <c:pt idx="2">
                  <c:v>-0.000919117647058876</c:v>
                </c:pt>
                <c:pt idx="3">
                  <c:v>0.000459981600736015</c:v>
                </c:pt>
                <c:pt idx="4">
                  <c:v>-0.00045977011494247</c:v>
                </c:pt>
                <c:pt idx="5">
                  <c:v>0</c:v>
                </c:pt>
                <c:pt idx="6">
                  <c:v>0</c:v>
                </c:pt>
                <c:pt idx="7">
                  <c:v>0</c:v>
                </c:pt>
                <c:pt idx="8">
                  <c:v>0.0119595216191353</c:v>
                </c:pt>
                <c:pt idx="9">
                  <c:v>0.00954545454545452</c:v>
                </c:pt>
                <c:pt idx="10">
                  <c:v>0.0288158487167942</c:v>
                </c:pt>
                <c:pt idx="11">
                  <c:v>0.0157549234135668</c:v>
                </c:pt>
                <c:pt idx="12">
                  <c:v>-0.000861697544162099</c:v>
                </c:pt>
                <c:pt idx="13">
                  <c:v>-0.000431220353600659</c:v>
                </c:pt>
                <c:pt idx="14">
                  <c:v>-0.00647109577221749</c:v>
                </c:pt>
                <c:pt idx="15">
                  <c:v>-0.00130264871906216</c:v>
                </c:pt>
                <c:pt idx="16">
                  <c:v>0</c:v>
                </c:pt>
                <c:pt idx="17">
                  <c:v>-0.000434782608695561</c:v>
                </c:pt>
                <c:pt idx="18">
                  <c:v>0.00173988690735105</c:v>
                </c:pt>
                <c:pt idx="19">
                  <c:v>0</c:v>
                </c:pt>
                <c:pt idx="20">
                  <c:v>0.176726009552757</c:v>
                </c:pt>
                <c:pt idx="21">
                  <c:v>-0.0151291512915129</c:v>
                </c:pt>
                <c:pt idx="22">
                  <c:v>-0.00562008242787571</c:v>
                </c:pt>
                <c:pt idx="23">
                  <c:v>-0.00263752825923136</c:v>
                </c:pt>
                <c:pt idx="24">
                  <c:v>-0.00566679259539093</c:v>
                </c:pt>
                <c:pt idx="25">
                  <c:v>-0.00531914893617025</c:v>
                </c:pt>
                <c:pt idx="26">
                  <c:v>-0.00114591291061872</c:v>
                </c:pt>
                <c:pt idx="27">
                  <c:v>0.0133843212237093</c:v>
                </c:pt>
                <c:pt idx="28">
                  <c:v>0</c:v>
                </c:pt>
                <c:pt idx="29">
                  <c:v>-0.000377358490565971</c:v>
                </c:pt>
                <c:pt idx="30">
                  <c:v>0</c:v>
                </c:pt>
                <c:pt idx="31">
                  <c:v>-0.000377500943752329</c:v>
                </c:pt>
                <c:pt idx="32">
                  <c:v>-0.00453172205438068</c:v>
                </c:pt>
                <c:pt idx="33">
                  <c:v>-0.0121396054628224</c:v>
                </c:pt>
                <c:pt idx="34">
                  <c:v>-0.00960061443932403</c:v>
                </c:pt>
                <c:pt idx="35">
                  <c:v>-0.000387747188833054</c:v>
                </c:pt>
                <c:pt idx="36">
                  <c:v>-0.00387897595034903</c:v>
                </c:pt>
                <c:pt idx="37">
                  <c:v>-0.0194704049844238</c:v>
                </c:pt>
                <c:pt idx="38">
                  <c:v>-0.00873709293089742</c:v>
                </c:pt>
                <c:pt idx="39">
                  <c:v>-0.0192307692307693</c:v>
                </c:pt>
                <c:pt idx="40">
                  <c:v>0</c:v>
                </c:pt>
                <c:pt idx="41">
                  <c:v>-0.0498366013071895</c:v>
                </c:pt>
                <c:pt idx="42">
                  <c:v>-0.0429922613929493</c:v>
                </c:pt>
                <c:pt idx="43">
                  <c:v>-0.00808625336927216</c:v>
                </c:pt>
                <c:pt idx="44">
                  <c:v>-0.00362318840579712</c:v>
                </c:pt>
                <c:pt idx="45">
                  <c:v>-0.0136363636363638</c:v>
                </c:pt>
                <c:pt idx="46">
                  <c:v>-0.0276497695852534</c:v>
                </c:pt>
                <c:pt idx="47">
                  <c:v>-0.018957345971564</c:v>
                </c:pt>
                <c:pt idx="48">
                  <c:v>-0.00483091787439605</c:v>
                </c:pt>
              </c:numCache>
            </c:numRef>
          </c:val>
          <c:smooth val="0"/>
        </c:ser>
        <c:dLbls>
          <c:showLegendKey val="0"/>
          <c:showVal val="0"/>
          <c:showCatName val="0"/>
          <c:showSerName val="0"/>
          <c:showPercent val="0"/>
          <c:showBubbleSize val="0"/>
        </c:dLbls>
        <c:marker val="1"/>
        <c:smooth val="0"/>
        <c:axId val="139672224"/>
        <c:axId val="1984130272"/>
      </c:lineChart>
      <c:catAx>
        <c:axId val="139647424"/>
        <c:scaling>
          <c:orientation val="minMax"/>
        </c:scaling>
        <c:delete val="0"/>
        <c:axPos val="b"/>
        <c:numFmt formatCode="[$-409]dd\-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984156896"/>
        <c:crosses val="autoZero"/>
        <c:auto val="0"/>
        <c:lblAlgn val="ctr"/>
        <c:lblOffset val="100"/>
        <c:noMultiLvlLbl val="0"/>
      </c:catAx>
      <c:valAx>
        <c:axId val="1984156896"/>
        <c:scaling>
          <c:orientation val="minMax"/>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_(* #,##0.0_);_(* \(#,##0.0\);_(* &quot;-&quot;?_);_(@_)"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39647424"/>
        <c:crosses val="autoZero"/>
        <c:crossBetween val="between"/>
      </c:valAx>
      <c:dateAx>
        <c:axId val="139672224"/>
        <c:scaling>
          <c:orientation val="minMax"/>
        </c:scaling>
        <c:delete val="1"/>
        <c:axPos val="b"/>
        <c:numFmt formatCode="m/d/yyyy" sourceLinked="1"/>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984130272"/>
        <c:crosses val="autoZero"/>
        <c:auto val="1"/>
        <c:lblOffset val="100"/>
        <c:baseTimeUnit val="days"/>
      </c:dateAx>
      <c:valAx>
        <c:axId val="1984130272"/>
        <c:scaling>
          <c:orientation val="minMax"/>
        </c:scaling>
        <c:delete val="0"/>
        <c:axPos val="r"/>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MoM</a:t>
                </a:r>
                <a:endParaRPr lang="en-US"/>
              </a:p>
            </c:rich>
          </c:tx>
          <c:layout/>
          <c:overlay val="0"/>
        </c:title>
        <c:numFmt formatCode="0%" sourceLinked="1"/>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39672224"/>
        <c:crosses val="max"/>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26b8eb0a-0337-4fca-9e32-4257d52796be}"/>
      </c:ext>
    </c:extLst>
  </c:chart>
  <c:spPr>
    <a:ln w="6350" cap="flat" cmpd="sng" algn="ctr">
      <a:noFill/>
      <a:prstDash val="solid"/>
      <a:round/>
    </a:ln>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eMMC/UFS Package Contract Price &amp; QoQ</a:t>
            </a:r>
            <a:endParaRPr lang="en-US"/>
          </a:p>
        </c:rich>
      </c:tx>
      <c:layout/>
      <c:overlay val="0"/>
    </c:title>
    <c:autoTitleDeleted val="0"/>
    <c:plotArea>
      <c:layout>
        <c:manualLayout>
          <c:layoutTarget val="inner"/>
          <c:xMode val="edge"/>
          <c:yMode val="edge"/>
          <c:x val="0.0871364783264826"/>
          <c:y val="0.133979964786003"/>
          <c:w val="0.823406610511324"/>
          <c:h val="0.605899460346922"/>
        </c:manualLayout>
      </c:layout>
      <c:barChart>
        <c:barDir val="col"/>
        <c:grouping val="clustered"/>
        <c:varyColors val="0"/>
        <c:ser>
          <c:idx val="0"/>
          <c:order val="1"/>
          <c:tx>
            <c:strRef>
              <c:f>NAND!$BR$23</c:f>
              <c:strCache>
                <c:ptCount val="1"/>
                <c:pt idx="0">
                  <c:v>eMMC TLC 128GB</c:v>
                </c:pt>
              </c:strCache>
            </c:strRef>
          </c:tx>
          <c:spPr>
            <a:solidFill>
              <a:schemeClr val="accent3"/>
            </a:solidFill>
            <a:ln w="9525">
              <a:noFill/>
              <a:prstDash val="solid"/>
            </a:ln>
          </c:spPr>
          <c:invertIfNegative val="0"/>
          <c:dLbls>
            <c:delete val="1"/>
          </c:dLbls>
          <c:cat>
            <c:strRef>
              <c:f>NAND!$BK$33:$BK$66</c:f>
              <c:strCache>
                <c:ptCount val="34"/>
                <c:pt idx="0" c:formatCode="#,##0.0">
                  <c:v>1Q18</c:v>
                </c:pt>
                <c:pt idx="1" c:formatCode="#,##0.0">
                  <c:v>2Q18</c:v>
                </c:pt>
                <c:pt idx="2" c:formatCode="#,##0.0">
                  <c:v>3Q18</c:v>
                </c:pt>
                <c:pt idx="3" c:formatCode="#,##0.0">
                  <c:v>4Q18</c:v>
                </c:pt>
                <c:pt idx="4" c:formatCode="#,##0.0">
                  <c:v>1Q19</c:v>
                </c:pt>
                <c:pt idx="5" c:formatCode="#,##0.0">
                  <c:v>2Q19</c:v>
                </c:pt>
                <c:pt idx="6" c:formatCode="#,##0.0">
                  <c:v>3Q19</c:v>
                </c:pt>
                <c:pt idx="7" c:formatCode="#,##0.0">
                  <c:v>4Q19</c:v>
                </c:pt>
                <c:pt idx="8" c:formatCode="#,##0.0">
                  <c:v>1Q20</c:v>
                </c:pt>
                <c:pt idx="9" c:formatCode="#,##0.0">
                  <c:v>2Q20</c:v>
                </c:pt>
                <c:pt idx="10" c:formatCode="#,##0.0">
                  <c:v>3Q20</c:v>
                </c:pt>
                <c:pt idx="11" c:formatCode="#,##0.0">
                  <c:v>4Q20</c:v>
                </c:pt>
                <c:pt idx="12" c:formatCode="#,##0.0">
                  <c:v>1Q21</c:v>
                </c:pt>
                <c:pt idx="13" c:formatCode="#,##0.0">
                  <c:v>2Q21</c:v>
                </c:pt>
                <c:pt idx="14" c:formatCode="#,##0.0">
                  <c:v>3Q21</c:v>
                </c:pt>
                <c:pt idx="15" c:formatCode="yyyy/m/d">
                  <c:v>4Q21</c:v>
                </c:pt>
                <c:pt idx="16" c:formatCode="yyyy/m/d">
                  <c:v>1Q22</c:v>
                </c:pt>
                <c:pt idx="17" c:formatCode="yyyy/m/d">
                  <c:v>2Q22</c:v>
                </c:pt>
                <c:pt idx="18" c:formatCode="yyyy/m/d">
                  <c:v>3Q22</c:v>
                </c:pt>
                <c:pt idx="19" c:formatCode="yyyy/m/d">
                  <c:v>4Q22</c:v>
                </c:pt>
                <c:pt idx="20" c:formatCode="yyyy/m/d">
                  <c:v>1Q23</c:v>
                </c:pt>
                <c:pt idx="21" c:formatCode="yyyy/m/d">
                  <c:v>2Q23</c:v>
                </c:pt>
                <c:pt idx="22" c:formatCode="yyyy/m/d">
                  <c:v>3Q23</c:v>
                </c:pt>
                <c:pt idx="23" c:formatCode="yyyy/m/d">
                  <c:v>4Q23</c:v>
                </c:pt>
                <c:pt idx="24" c:formatCode="yyyy/m/d">
                  <c:v>1Q24</c:v>
                </c:pt>
                <c:pt idx="25" c:formatCode="yyyy/m/d">
                  <c:v>2Q24</c:v>
                </c:pt>
                <c:pt idx="26" c:formatCode="yyyy/m/d">
                  <c:v>3Q24</c:v>
                </c:pt>
                <c:pt idx="27" c:formatCode="yyyy/m/d">
                  <c:v>4Q24</c:v>
                </c:pt>
                <c:pt idx="28" c:formatCode="yyyy/m/d">
                  <c:v>1Q25</c:v>
                </c:pt>
                <c:pt idx="29" c:formatCode="yyyy/m/d">
                  <c:v>2Q25</c:v>
                </c:pt>
                <c:pt idx="30" c:formatCode="yyyy/m/d">
                  <c:v>3Q25</c:v>
                </c:pt>
                <c:pt idx="31" c:formatCode="yyyy/m/d">
                  <c:v>4Q25</c:v>
                </c:pt>
                <c:pt idx="32" c:formatCode="yyyy/m/d">
                  <c:v>1Q26</c:v>
                </c:pt>
                <c:pt idx="33" c:formatCode="yyyy/m/d">
                  <c:v>2Q26</c:v>
                </c:pt>
              </c:strCache>
            </c:strRef>
          </c:cat>
          <c:val>
            <c:numRef>
              <c:f>NAND!$BR$33:$BR$66</c:f>
              <c:numCache>
                <c:formatCode>#,##0.000</c:formatCode>
                <c:ptCount val="34"/>
                <c:pt idx="0">
                  <c:v>0.31015625</c:v>
                </c:pt>
                <c:pt idx="1">
                  <c:v>0.29765625</c:v>
                </c:pt>
                <c:pt idx="2">
                  <c:v>0.2765625</c:v>
                </c:pt>
                <c:pt idx="3">
                  <c:v>0.23125</c:v>
                </c:pt>
                <c:pt idx="4">
                  <c:v>0.18796875</c:v>
                </c:pt>
                <c:pt idx="5">
                  <c:v>0.146171875</c:v>
                </c:pt>
                <c:pt idx="6">
                  <c:v>0.13921875</c:v>
                </c:pt>
                <c:pt idx="7">
                  <c:v>0.13921875</c:v>
                </c:pt>
                <c:pt idx="8">
                  <c:v>0.14359375</c:v>
                </c:pt>
                <c:pt idx="9">
                  <c:v>0.14921875</c:v>
                </c:pt>
                <c:pt idx="10">
                  <c:v>0.14921875</c:v>
                </c:pt>
                <c:pt idx="11">
                  <c:v>0.1484375</c:v>
                </c:pt>
                <c:pt idx="12">
                  <c:v>0.1484375</c:v>
                </c:pt>
                <c:pt idx="13">
                  <c:v>0.15328125</c:v>
                </c:pt>
                <c:pt idx="14">
                  <c:v>0.15625</c:v>
                </c:pt>
                <c:pt idx="15">
                  <c:v>0.15078125</c:v>
                </c:pt>
                <c:pt idx="16">
                  <c:v>0.145625</c:v>
                </c:pt>
                <c:pt idx="17">
                  <c:v>0.14625</c:v>
                </c:pt>
                <c:pt idx="18">
                  <c:v>0.125234375</c:v>
                </c:pt>
                <c:pt idx="19">
                  <c:v>0.10546875</c:v>
                </c:pt>
                <c:pt idx="20">
                  <c:v>0.0946875</c:v>
                </c:pt>
                <c:pt idx="21">
                  <c:v>0.07578125</c:v>
                </c:pt>
                <c:pt idx="22">
                  <c:v>0.071171875</c:v>
                </c:pt>
                <c:pt idx="23">
                  <c:v>0.07515625</c:v>
                </c:pt>
                <c:pt idx="24">
                  <c:v>0.08390625</c:v>
                </c:pt>
                <c:pt idx="25">
                  <c:v>0.08015625</c:v>
                </c:pt>
                <c:pt idx="26">
                  <c:v>0.08015625</c:v>
                </c:pt>
                <c:pt idx="27">
                  <c:v>0.069765625</c:v>
                </c:pt>
                <c:pt idx="28">
                  <c:v>0.056875</c:v>
                </c:pt>
                <c:pt idx="29">
                  <c:v>0.06203125</c:v>
                </c:pt>
                <c:pt idx="30">
                  <c:v>0.06109375</c:v>
                </c:pt>
                <c:pt idx="31">
                  <c:v>0.066640625</c:v>
                </c:pt>
                <c:pt idx="32">
                  <c:v>0.131484375</c:v>
                </c:pt>
                <c:pt idx="33">
                  <c:v>0.230625</c:v>
                </c:pt>
              </c:numCache>
            </c:numRef>
          </c:val>
        </c:ser>
        <c:ser>
          <c:idx val="2"/>
          <c:order val="3"/>
          <c:tx>
            <c:strRef>
              <c:f>NAND!$BU$23</c:f>
              <c:strCache>
                <c:ptCount val="1"/>
                <c:pt idx="0">
                  <c:v>UFS 256GB</c:v>
                </c:pt>
              </c:strCache>
            </c:strRef>
          </c:tx>
          <c:spPr>
            <a:solidFill>
              <a:schemeClr val="accent2"/>
            </a:solidFill>
            <a:ln w="9525">
              <a:solidFill>
                <a:schemeClr val="accent2"/>
              </a:solidFill>
              <a:prstDash val="solid"/>
            </a:ln>
          </c:spPr>
          <c:invertIfNegative val="0"/>
          <c:dLbls>
            <c:delete val="1"/>
          </c:dLbls>
          <c:cat>
            <c:strRef>
              <c:f>NAND!$BK$33:$BK$66</c:f>
              <c:strCache>
                <c:ptCount val="34"/>
                <c:pt idx="0" c:formatCode="#,##0.0">
                  <c:v>1Q18</c:v>
                </c:pt>
                <c:pt idx="1" c:formatCode="#,##0.0">
                  <c:v>2Q18</c:v>
                </c:pt>
                <c:pt idx="2" c:formatCode="#,##0.0">
                  <c:v>3Q18</c:v>
                </c:pt>
                <c:pt idx="3" c:formatCode="#,##0.0">
                  <c:v>4Q18</c:v>
                </c:pt>
                <c:pt idx="4" c:formatCode="#,##0.0">
                  <c:v>1Q19</c:v>
                </c:pt>
                <c:pt idx="5" c:formatCode="#,##0.0">
                  <c:v>2Q19</c:v>
                </c:pt>
                <c:pt idx="6" c:formatCode="#,##0.0">
                  <c:v>3Q19</c:v>
                </c:pt>
                <c:pt idx="7" c:formatCode="#,##0.0">
                  <c:v>4Q19</c:v>
                </c:pt>
                <c:pt idx="8" c:formatCode="#,##0.0">
                  <c:v>1Q20</c:v>
                </c:pt>
                <c:pt idx="9" c:formatCode="#,##0.0">
                  <c:v>2Q20</c:v>
                </c:pt>
                <c:pt idx="10" c:formatCode="#,##0.0">
                  <c:v>3Q20</c:v>
                </c:pt>
                <c:pt idx="11" c:formatCode="#,##0.0">
                  <c:v>4Q20</c:v>
                </c:pt>
                <c:pt idx="12" c:formatCode="#,##0.0">
                  <c:v>1Q21</c:v>
                </c:pt>
                <c:pt idx="13" c:formatCode="#,##0.0">
                  <c:v>2Q21</c:v>
                </c:pt>
                <c:pt idx="14" c:formatCode="#,##0.0">
                  <c:v>3Q21</c:v>
                </c:pt>
                <c:pt idx="15" c:formatCode="yyyy/m/d">
                  <c:v>4Q21</c:v>
                </c:pt>
                <c:pt idx="16" c:formatCode="yyyy/m/d">
                  <c:v>1Q22</c:v>
                </c:pt>
                <c:pt idx="17" c:formatCode="yyyy/m/d">
                  <c:v>2Q22</c:v>
                </c:pt>
                <c:pt idx="18" c:formatCode="yyyy/m/d">
                  <c:v>3Q22</c:v>
                </c:pt>
                <c:pt idx="19" c:formatCode="yyyy/m/d">
                  <c:v>4Q22</c:v>
                </c:pt>
                <c:pt idx="20" c:formatCode="yyyy/m/d">
                  <c:v>1Q23</c:v>
                </c:pt>
                <c:pt idx="21" c:formatCode="yyyy/m/d">
                  <c:v>2Q23</c:v>
                </c:pt>
                <c:pt idx="22" c:formatCode="yyyy/m/d">
                  <c:v>3Q23</c:v>
                </c:pt>
                <c:pt idx="23" c:formatCode="yyyy/m/d">
                  <c:v>4Q23</c:v>
                </c:pt>
                <c:pt idx="24" c:formatCode="yyyy/m/d">
                  <c:v>1Q24</c:v>
                </c:pt>
                <c:pt idx="25" c:formatCode="yyyy/m/d">
                  <c:v>2Q24</c:v>
                </c:pt>
                <c:pt idx="26" c:formatCode="yyyy/m/d">
                  <c:v>3Q24</c:v>
                </c:pt>
                <c:pt idx="27" c:formatCode="yyyy/m/d">
                  <c:v>4Q24</c:v>
                </c:pt>
                <c:pt idx="28" c:formatCode="yyyy/m/d">
                  <c:v>1Q25</c:v>
                </c:pt>
                <c:pt idx="29" c:formatCode="yyyy/m/d">
                  <c:v>2Q25</c:v>
                </c:pt>
                <c:pt idx="30" c:formatCode="yyyy/m/d">
                  <c:v>3Q25</c:v>
                </c:pt>
                <c:pt idx="31" c:formatCode="yyyy/m/d">
                  <c:v>4Q25</c:v>
                </c:pt>
                <c:pt idx="32" c:formatCode="yyyy/m/d">
                  <c:v>1Q26</c:v>
                </c:pt>
                <c:pt idx="33" c:formatCode="yyyy/m/d">
                  <c:v>2Q26</c:v>
                </c:pt>
              </c:strCache>
            </c:strRef>
          </c:cat>
          <c:val>
            <c:numRef>
              <c:f>NAND!$BU$33:$BU$66</c:f>
              <c:numCache>
                <c:formatCode>#,##0.000</c:formatCode>
                <c:ptCount val="34"/>
                <c:pt idx="1">
                  <c:v>0.3046875</c:v>
                </c:pt>
                <c:pt idx="2">
                  <c:v>0.271484375</c:v>
                </c:pt>
                <c:pt idx="3">
                  <c:v>0.225</c:v>
                </c:pt>
                <c:pt idx="4">
                  <c:v>0.14140625</c:v>
                </c:pt>
                <c:pt idx="5">
                  <c:v>0.106875</c:v>
                </c:pt>
                <c:pt idx="6">
                  <c:v>0.102734375</c:v>
                </c:pt>
                <c:pt idx="7">
                  <c:v>0.104296875</c:v>
                </c:pt>
                <c:pt idx="8">
                  <c:v>0.106953125</c:v>
                </c:pt>
                <c:pt idx="9">
                  <c:v>0.10921875</c:v>
                </c:pt>
                <c:pt idx="10">
                  <c:v>0.10765625</c:v>
                </c:pt>
                <c:pt idx="11">
                  <c:v>0.106484375</c:v>
                </c:pt>
                <c:pt idx="12">
                  <c:v>0.103046875</c:v>
                </c:pt>
                <c:pt idx="13">
                  <c:v>0.107421875</c:v>
                </c:pt>
                <c:pt idx="14">
                  <c:v>0.11359375</c:v>
                </c:pt>
                <c:pt idx="15">
                  <c:v>0.107734375</c:v>
                </c:pt>
                <c:pt idx="16">
                  <c:v>0.098828125</c:v>
                </c:pt>
                <c:pt idx="17">
                  <c:v>0.10078125</c:v>
                </c:pt>
                <c:pt idx="18">
                  <c:v>0.094765625</c:v>
                </c:pt>
                <c:pt idx="19">
                  <c:v>0.071015625</c:v>
                </c:pt>
                <c:pt idx="20">
                  <c:v>0.060390625</c:v>
                </c:pt>
                <c:pt idx="21">
                  <c:v>0.048359375</c:v>
                </c:pt>
                <c:pt idx="22">
                  <c:v>0.04453125</c:v>
                </c:pt>
                <c:pt idx="23">
                  <c:v>0.05125</c:v>
                </c:pt>
                <c:pt idx="24">
                  <c:v>0.065625</c:v>
                </c:pt>
                <c:pt idx="25">
                  <c:v>0.0846875</c:v>
                </c:pt>
                <c:pt idx="26">
                  <c:v>0.08921875</c:v>
                </c:pt>
                <c:pt idx="27">
                  <c:v>0.0779296875</c:v>
                </c:pt>
                <c:pt idx="28">
                  <c:v>0.0603125</c:v>
                </c:pt>
                <c:pt idx="29">
                  <c:v>0.06421875</c:v>
                </c:pt>
                <c:pt idx="30">
                  <c:v>0.0633203125</c:v>
                </c:pt>
                <c:pt idx="31">
                  <c:v>0.0682421875</c:v>
                </c:pt>
                <c:pt idx="32">
                  <c:v>0.1309765625</c:v>
                </c:pt>
                <c:pt idx="33">
                  <c:v>0.2358203125</c:v>
                </c:pt>
              </c:numCache>
            </c:numRef>
          </c:val>
        </c:ser>
        <c:dLbls>
          <c:showLegendKey val="0"/>
          <c:showVal val="0"/>
          <c:showCatName val="0"/>
          <c:showSerName val="0"/>
          <c:showPercent val="0"/>
          <c:showBubbleSize val="0"/>
        </c:dLbls>
        <c:gapWidth val="66"/>
        <c:axId val="1341051183"/>
        <c:axId val="1281690735"/>
        <c:extLst>
          <c:ext xmlns:c15="http://schemas.microsoft.com/office/drawing/2012/chart" uri="{02D57815-91ED-43cb-92C2-25804820EDAC}">
            <c15:filteredBarSeries>
              <c15:ser>
                <c:idx val="6"/>
                <c:order val="0"/>
                <c:tx>
                  <c:strRef>
                    <c:extLst>
                      <c:ext uri="{02D57815-91ED-43cb-92C2-25804820EDAC}">
                        <c15:formulaRef>
                          <c15:sqref>NAND!$BS$23</c15:sqref>
                        </c15:formulaRef>
                      </c:ext>
                    </c:extLst>
                    <c:strCache>
                      <c:ptCount val="1"/>
                      <c:pt idx="0">
                        <c:v>eMMC MLC 16GB</c:v>
                      </c:pt>
                    </c:strCache>
                  </c:strRef>
                </c:tx>
                <c:spPr>
                  <a:solidFill>
                    <a:schemeClr val="accent1"/>
                  </a:solidFill>
                  <a:ln>
                    <a:solidFill>
                      <a:srgbClr val="000000"/>
                    </a:solidFill>
                  </a:ln>
                </c:spPr>
                <c:invertIfNegative val="0"/>
                <c:dLbls>
                  <c:delete val="1"/>
                </c:dLbls>
                <c:cat>
                  <c:strRef>
                    <c:extLst>
                      <c:ext uri="{02D57815-91ED-43cb-92C2-25804820EDAC}">
                        <c15:fullRef>
                          <c15:sqref/>
                        </c15:fullRef>
                        <c15:formulaRef>
                          <c15:sqref>NAND!$BK$33:$BK$66</c15:sqref>
                        </c15:formulaRef>
                      </c:ext>
                    </c:extLst>
                    <c:strCache>
                      <c:ptCount val="34"/>
                      <c:pt idx="0" c:formatCode="#,##0.0">
                        <c:v>1Q18</c:v>
                      </c:pt>
                      <c:pt idx="1" c:formatCode="#,##0.0">
                        <c:v>2Q18</c:v>
                      </c:pt>
                      <c:pt idx="2" c:formatCode="#,##0.0">
                        <c:v>3Q18</c:v>
                      </c:pt>
                      <c:pt idx="3" c:formatCode="#,##0.0">
                        <c:v>4Q18</c:v>
                      </c:pt>
                      <c:pt idx="4" c:formatCode="#,##0.0">
                        <c:v>1Q19</c:v>
                      </c:pt>
                      <c:pt idx="5" c:formatCode="#,##0.0">
                        <c:v>2Q19</c:v>
                      </c:pt>
                      <c:pt idx="6" c:formatCode="#,##0.0">
                        <c:v>3Q19</c:v>
                      </c:pt>
                      <c:pt idx="7" c:formatCode="#,##0.0">
                        <c:v>4Q19</c:v>
                      </c:pt>
                      <c:pt idx="8" c:formatCode="#,##0.0">
                        <c:v>1Q20</c:v>
                      </c:pt>
                      <c:pt idx="9" c:formatCode="#,##0.0">
                        <c:v>2Q20</c:v>
                      </c:pt>
                      <c:pt idx="10" c:formatCode="#,##0.0">
                        <c:v>3Q20</c:v>
                      </c:pt>
                      <c:pt idx="11" c:formatCode="#,##0.0">
                        <c:v>4Q20</c:v>
                      </c:pt>
                      <c:pt idx="12" c:formatCode="#,##0.0">
                        <c:v>1Q21</c:v>
                      </c:pt>
                      <c:pt idx="13" c:formatCode="#,##0.0">
                        <c:v>2Q21</c:v>
                      </c:pt>
                      <c:pt idx="14" c:formatCode="#,##0.0">
                        <c:v>3Q21</c:v>
                      </c:pt>
                      <c:pt idx="15" c:formatCode="yyyy/m/d">
                        <c:v>4Q21</c:v>
                      </c:pt>
                      <c:pt idx="16" c:formatCode="yyyy/m/d">
                        <c:v>1Q22</c:v>
                      </c:pt>
                      <c:pt idx="17" c:formatCode="yyyy/m/d">
                        <c:v>2Q22</c:v>
                      </c:pt>
                      <c:pt idx="18" c:formatCode="yyyy/m/d">
                        <c:v>3Q22</c:v>
                      </c:pt>
                      <c:pt idx="19" c:formatCode="yyyy/m/d">
                        <c:v>4Q22</c:v>
                      </c:pt>
                      <c:pt idx="20" c:formatCode="yyyy/m/d">
                        <c:v>1Q23</c:v>
                      </c:pt>
                      <c:pt idx="21" c:formatCode="yyyy/m/d">
                        <c:v>2Q23</c:v>
                      </c:pt>
                      <c:pt idx="22" c:formatCode="yyyy/m/d">
                        <c:v>3Q23</c:v>
                      </c:pt>
                      <c:pt idx="23" c:formatCode="yyyy/m/d">
                        <c:v>4Q23</c:v>
                      </c:pt>
                      <c:pt idx="24" c:formatCode="yyyy/m/d">
                        <c:v>1Q24</c:v>
                      </c:pt>
                      <c:pt idx="25" c:formatCode="yyyy/m/d">
                        <c:v>2Q24</c:v>
                      </c:pt>
                      <c:pt idx="26" c:formatCode="yyyy/m/d">
                        <c:v>3Q24</c:v>
                      </c:pt>
                      <c:pt idx="27" c:formatCode="yyyy/m/d">
                        <c:v>4Q24</c:v>
                      </c:pt>
                      <c:pt idx="28" c:formatCode="yyyy/m/d">
                        <c:v>1Q25</c:v>
                      </c:pt>
                      <c:pt idx="29" c:formatCode="yyyy/m/d">
                        <c:v>2Q25</c:v>
                      </c:pt>
                      <c:pt idx="30" c:formatCode="yyyy/m/d">
                        <c:v>3Q25</c:v>
                      </c:pt>
                      <c:pt idx="31" c:formatCode="yyyy/m/d">
                        <c:v>4Q25</c:v>
                      </c:pt>
                      <c:pt idx="32" c:formatCode="yyyy/m/d">
                        <c:v>1Q26</c:v>
                      </c:pt>
                      <c:pt idx="33" c:formatCode="yyyy/m/d">
                        <c:v>2Q26</c:v>
                      </c:pt>
                    </c:strCache>
                  </c:strRef>
                </c:cat>
                <c:val>
                  <c:numRef>
                    <c:extLst>
                      <c:ext uri="{02D57815-91ED-43cb-92C2-25804820EDAC}">
                        <c15:formulaRef>
                          <c15:sqref>NAND!$BS$33:$BS$51</c15:sqref>
                        </c15:formulaRef>
                      </c:ext>
                    </c:extLst>
                    <c:numCache>
                      <c:formatCode>#,##0.000</c:formatCode>
                      <c:ptCount val="19"/>
                      <c:pt idx="0">
                        <c:v>0.37875</c:v>
                      </c:pt>
                      <c:pt idx="1">
                        <c:v>0.37875</c:v>
                      </c:pt>
                      <c:pt idx="2">
                        <c:v>0.3525</c:v>
                      </c:pt>
                      <c:pt idx="3">
                        <c:v>0.30375</c:v>
                      </c:pt>
                      <c:pt idx="4">
                        <c:v>0.275</c:v>
                      </c:pt>
                      <c:pt idx="5">
                        <c:v>0.225625</c:v>
                      </c:pt>
                      <c:pt idx="6">
                        <c:v>0.196875</c:v>
                      </c:pt>
                      <c:pt idx="7">
                        <c:v>0.2225</c:v>
                      </c:pt>
                      <c:pt idx="8">
                        <c:v>0.244375</c:v>
                      </c:pt>
                      <c:pt idx="9">
                        <c:v>0.259375</c:v>
                      </c:pt>
                      <c:pt idx="10">
                        <c:v>0.224375</c:v>
                      </c:pt>
                      <c:pt idx="11">
                        <c:v>0.216875</c:v>
                      </c:pt>
                      <c:pt idx="12">
                        <c:v>0.22125</c:v>
                      </c:pt>
                      <c:pt idx="13">
                        <c:v>0.250625</c:v>
                      </c:pt>
                      <c:pt idx="14">
                        <c:v>0.26375</c:v>
                      </c:pt>
                      <c:pt idx="15">
                        <c:v>0.245625</c:v>
                      </c:pt>
                      <c:pt idx="16">
                        <c:v>0.239375</c:v>
                      </c:pt>
                      <c:pt idx="17">
                        <c:v>0.249375</c:v>
                      </c:pt>
                      <c:pt idx="18">
                        <c:v>0.23125</c:v>
                      </c:pt>
                    </c:numCache>
                  </c:numRef>
                </c:val>
              </c15:ser>
            </c15:filteredBarSeries>
            <c15:filteredBarSeries>
              <c15:ser>
                <c:idx val="1"/>
                <c:order val="2"/>
                <c:tx>
                  <c:strRef>
                    <c:extLst>
                      <c:ext uri="{02D57815-91ED-43cb-92C2-25804820EDAC}">
                        <c15:formulaRef>
                          <c15:sqref>NAND!$BT$23</c15:sqref>
                        </c15:formulaRef>
                      </c:ext>
                    </c:extLst>
                    <c:strCache>
                      <c:ptCount val="1"/>
                      <c:pt idx="0">
                        <c:v>UFS 128GB</c:v>
                      </c:pt>
                    </c:strCache>
                  </c:strRef>
                </c:tx>
                <c:spPr>
                  <a:solidFill>
                    <a:schemeClr val="accent1"/>
                  </a:solidFill>
                  <a:ln w="9525">
                    <a:solidFill>
                      <a:schemeClr val="accent1"/>
                    </a:solidFill>
                    <a:prstDash val="solid"/>
                  </a:ln>
                </c:spPr>
                <c:invertIfNegative val="0"/>
                <c:dLbls>
                  <c:delete val="1"/>
                </c:dLbls>
                <c:cat>
                  <c:strRef>
                    <c:extLst>
                      <c:ext uri="{02D57815-91ED-43cb-92C2-25804820EDAC}">
                        <c15:fullRef>
                          <c15:sqref/>
                        </c15:fullRef>
                        <c15:formulaRef>
                          <c15:sqref>NAND!$BK$33:$BK$66</c15:sqref>
                        </c15:formulaRef>
                      </c:ext>
                    </c:extLst>
                    <c:strCache>
                      <c:ptCount val="34"/>
                      <c:pt idx="0" c:formatCode="#,##0.0">
                        <c:v>1Q18</c:v>
                      </c:pt>
                      <c:pt idx="1" c:formatCode="#,##0.0">
                        <c:v>2Q18</c:v>
                      </c:pt>
                      <c:pt idx="2" c:formatCode="#,##0.0">
                        <c:v>3Q18</c:v>
                      </c:pt>
                      <c:pt idx="3" c:formatCode="#,##0.0">
                        <c:v>4Q18</c:v>
                      </c:pt>
                      <c:pt idx="4" c:formatCode="#,##0.0">
                        <c:v>1Q19</c:v>
                      </c:pt>
                      <c:pt idx="5" c:formatCode="#,##0.0">
                        <c:v>2Q19</c:v>
                      </c:pt>
                      <c:pt idx="6" c:formatCode="#,##0.0">
                        <c:v>3Q19</c:v>
                      </c:pt>
                      <c:pt idx="7" c:formatCode="#,##0.0">
                        <c:v>4Q19</c:v>
                      </c:pt>
                      <c:pt idx="8" c:formatCode="#,##0.0">
                        <c:v>1Q20</c:v>
                      </c:pt>
                      <c:pt idx="9" c:formatCode="#,##0.0">
                        <c:v>2Q20</c:v>
                      </c:pt>
                      <c:pt idx="10" c:formatCode="#,##0.0">
                        <c:v>3Q20</c:v>
                      </c:pt>
                      <c:pt idx="11" c:formatCode="#,##0.0">
                        <c:v>4Q20</c:v>
                      </c:pt>
                      <c:pt idx="12" c:formatCode="#,##0.0">
                        <c:v>1Q21</c:v>
                      </c:pt>
                      <c:pt idx="13" c:formatCode="#,##0.0">
                        <c:v>2Q21</c:v>
                      </c:pt>
                      <c:pt idx="14" c:formatCode="#,##0.0">
                        <c:v>3Q21</c:v>
                      </c:pt>
                      <c:pt idx="15" c:formatCode="yyyy/m/d">
                        <c:v>4Q21</c:v>
                      </c:pt>
                      <c:pt idx="16" c:formatCode="yyyy/m/d">
                        <c:v>1Q22</c:v>
                      </c:pt>
                      <c:pt idx="17" c:formatCode="yyyy/m/d">
                        <c:v>2Q22</c:v>
                      </c:pt>
                      <c:pt idx="18" c:formatCode="yyyy/m/d">
                        <c:v>3Q22</c:v>
                      </c:pt>
                      <c:pt idx="19" c:formatCode="yyyy/m/d">
                        <c:v>4Q22</c:v>
                      </c:pt>
                      <c:pt idx="20" c:formatCode="yyyy/m/d">
                        <c:v>1Q23</c:v>
                      </c:pt>
                      <c:pt idx="21" c:formatCode="yyyy/m/d">
                        <c:v>2Q23</c:v>
                      </c:pt>
                      <c:pt idx="22" c:formatCode="yyyy/m/d">
                        <c:v>3Q23</c:v>
                      </c:pt>
                      <c:pt idx="23" c:formatCode="yyyy/m/d">
                        <c:v>4Q23</c:v>
                      </c:pt>
                      <c:pt idx="24" c:formatCode="yyyy/m/d">
                        <c:v>1Q24</c:v>
                      </c:pt>
                      <c:pt idx="25" c:formatCode="yyyy/m/d">
                        <c:v>2Q24</c:v>
                      </c:pt>
                      <c:pt idx="26" c:formatCode="yyyy/m/d">
                        <c:v>3Q24</c:v>
                      </c:pt>
                      <c:pt idx="27" c:formatCode="yyyy/m/d">
                        <c:v>4Q24</c:v>
                      </c:pt>
                      <c:pt idx="28" c:formatCode="yyyy/m/d">
                        <c:v>1Q25</c:v>
                      </c:pt>
                      <c:pt idx="29" c:formatCode="yyyy/m/d">
                        <c:v>2Q25</c:v>
                      </c:pt>
                      <c:pt idx="30" c:formatCode="yyyy/m/d">
                        <c:v>3Q25</c:v>
                      </c:pt>
                      <c:pt idx="31" c:formatCode="yyyy/m/d">
                        <c:v>4Q25</c:v>
                      </c:pt>
                      <c:pt idx="32" c:formatCode="yyyy/m/d">
                        <c:v>1Q26</c:v>
                      </c:pt>
                      <c:pt idx="33" c:formatCode="yyyy/m/d">
                        <c:v>2Q26</c:v>
                      </c:pt>
                    </c:strCache>
                  </c:strRef>
                </c:cat>
                <c:val>
                  <c:numRef>
                    <c:extLst>
                      <c:ext uri="{02D57815-91ED-43cb-92C2-25804820EDAC}">
                        <c15:formulaRef>
                          <c15:sqref>NAND!$BT$33:$BT$59</c15:sqref>
                        </c15:formulaRef>
                      </c:ext>
                    </c:extLst>
                    <c:numCache>
                      <c:formatCode>#,##0.000</c:formatCode>
                      <c:ptCount val="27"/>
                      <c:pt idx="0">
                        <c:v>0.328125</c:v>
                      </c:pt>
                      <c:pt idx="1">
                        <c:v>0.28515625</c:v>
                      </c:pt>
                      <c:pt idx="2">
                        <c:v>0.26484375</c:v>
                      </c:pt>
                      <c:pt idx="3">
                        <c:v>0.22421875</c:v>
                      </c:pt>
                      <c:pt idx="4">
                        <c:v>0.1859375</c:v>
                      </c:pt>
                      <c:pt idx="5">
                        <c:v>0.14484375</c:v>
                      </c:pt>
                      <c:pt idx="6">
                        <c:v>0.135625</c:v>
                      </c:pt>
                      <c:pt idx="7">
                        <c:v>0.135859375</c:v>
                      </c:pt>
                      <c:pt idx="8">
                        <c:v>0.13703125</c:v>
                      </c:pt>
                      <c:pt idx="9">
                        <c:v>0.1403125</c:v>
                      </c:pt>
                      <c:pt idx="10">
                        <c:v>0.13734375</c:v>
                      </c:pt>
                      <c:pt idx="11">
                        <c:v>0.13515625</c:v>
                      </c:pt>
                      <c:pt idx="12">
                        <c:v>0.129375</c:v>
                      </c:pt>
                      <c:pt idx="13">
                        <c:v>0.135</c:v>
                      </c:pt>
                      <c:pt idx="14">
                        <c:v>0.1409375</c:v>
                      </c:pt>
                      <c:pt idx="15">
                        <c:v>0.13234375</c:v>
                      </c:pt>
                      <c:pt idx="16">
                        <c:v>0.12171875</c:v>
                      </c:pt>
                      <c:pt idx="17">
                        <c:v>0.12421875</c:v>
                      </c:pt>
                      <c:pt idx="18">
                        <c:v>0.10359375</c:v>
                      </c:pt>
                      <c:pt idx="19">
                        <c:v>0.0771875</c:v>
                      </c:pt>
                      <c:pt idx="20">
                        <c:v>0.065625</c:v>
                      </c:pt>
                      <c:pt idx="21">
                        <c:v>0.05375</c:v>
                      </c:pt>
                      <c:pt idx="22">
                        <c:v>0.05046875</c:v>
                      </c:pt>
                      <c:pt idx="23">
                        <c:v>0.05515625</c:v>
                      </c:pt>
                      <c:pt idx="24">
                        <c:v>0.0703125</c:v>
                      </c:pt>
                      <c:pt idx="25">
                        <c:v>0.07796875</c:v>
                      </c:pt>
                      <c:pt idx="26">
                        <c:v>0.08390625</c:v>
                      </c:pt>
                    </c:numCache>
                  </c:numRef>
                </c:val>
              </c15:ser>
            </c15:filteredBarSeries>
          </c:ext>
        </c:extLst>
      </c:barChart>
      <c:lineChart>
        <c:grouping val="standard"/>
        <c:varyColors val="0"/>
        <c:ser>
          <c:idx val="3"/>
          <c:order val="5"/>
          <c:tx>
            <c:strRef>
              <c:f>NAND!$BW$23</c:f>
              <c:strCache>
                <c:ptCount val="1"/>
                <c:pt idx="0">
                  <c:v>QoQ eMMC TLC 128GB</c:v>
                </c:pt>
              </c:strCache>
            </c:strRef>
          </c:tx>
          <c:spPr>
            <a:ln w="12700" cap="rnd" cmpd="sng" algn="ctr">
              <a:solidFill>
                <a:schemeClr val="accent1"/>
              </a:solidFill>
              <a:prstDash val="solid"/>
              <a:round/>
            </a:ln>
          </c:spPr>
          <c:marker>
            <c:symbol val="x"/>
            <c:size val="4"/>
            <c:spPr>
              <a:noFill/>
              <a:ln w="12700" cap="flat" cmpd="sng" algn="ctr">
                <a:solidFill>
                  <a:schemeClr val="accent1"/>
                </a:solidFill>
                <a:prstDash val="solid"/>
                <a:round/>
              </a:ln>
            </c:spPr>
          </c:marker>
          <c:dLbls>
            <c:delete val="1"/>
          </c:dLbls>
          <c:val>
            <c:numRef>
              <c:f>NAND!$BW$33:$BW$66</c:f>
              <c:numCache>
                <c:formatCode>0%</c:formatCode>
                <c:ptCount val="34"/>
                <c:pt idx="0">
                  <c:v>-0.0317073170731706</c:v>
                </c:pt>
                <c:pt idx="1">
                  <c:v>-0.0403022670025189</c:v>
                </c:pt>
                <c:pt idx="2">
                  <c:v>-0.0708661417322836</c:v>
                </c:pt>
                <c:pt idx="3">
                  <c:v>-0.163841807909604</c:v>
                </c:pt>
                <c:pt idx="4">
                  <c:v>-0.187162162162162</c:v>
                </c:pt>
                <c:pt idx="5">
                  <c:v>-0.22236076475478</c:v>
                </c:pt>
                <c:pt idx="6">
                  <c:v>-0.0475681453768039</c:v>
                </c:pt>
                <c:pt idx="7">
                  <c:v>0</c:v>
                </c:pt>
                <c:pt idx="8">
                  <c:v>0.0314253647586979</c:v>
                </c:pt>
                <c:pt idx="9">
                  <c:v>0.0391730141458109</c:v>
                </c:pt>
                <c:pt idx="10">
                  <c:v>0</c:v>
                </c:pt>
                <c:pt idx="11">
                  <c:v>-0.0052356020942409</c:v>
                </c:pt>
                <c:pt idx="12">
                  <c:v>0</c:v>
                </c:pt>
                <c:pt idx="13">
                  <c:v>0.0326315789473686</c:v>
                </c:pt>
                <c:pt idx="14">
                  <c:v>0.019367991845056</c:v>
                </c:pt>
                <c:pt idx="15">
                  <c:v>-0.0349999999999999</c:v>
                </c:pt>
                <c:pt idx="16" c:formatCode="0.0%">
                  <c:v>-0.0341968911917099</c:v>
                </c:pt>
                <c:pt idx="17" c:formatCode="0.0%">
                  <c:v>0.0042918454935621</c:v>
                </c:pt>
                <c:pt idx="18" c:formatCode="0.0%">
                  <c:v>-0.143696581196581</c:v>
                </c:pt>
                <c:pt idx="19" c:formatCode="0.0%">
                  <c:v>-0.157829070492826</c:v>
                </c:pt>
                <c:pt idx="20" c:formatCode="0.0%">
                  <c:v>-0.102222222222222</c:v>
                </c:pt>
                <c:pt idx="21" c:formatCode="0.0%">
                  <c:v>-0.1996699669967</c:v>
                </c:pt>
                <c:pt idx="22" c:formatCode="0.0%">
                  <c:v>-0.0608247422680412</c:v>
                </c:pt>
                <c:pt idx="23" c:formatCode="0.0%">
                  <c:v>0.0559824368825466</c:v>
                </c:pt>
                <c:pt idx="24" c:formatCode="0.0%">
                  <c:v>0.116424116424116</c:v>
                </c:pt>
                <c:pt idx="25" c:formatCode="0.0%">
                  <c:v>-0.0446927374301677</c:v>
                </c:pt>
                <c:pt idx="26" c:formatCode="0.0%">
                  <c:v>0</c:v>
                </c:pt>
                <c:pt idx="27" c:formatCode="0.0%">
                  <c:v>-0.12962962962963</c:v>
                </c:pt>
                <c:pt idx="28" c:formatCode="0.0%">
                  <c:v>-0.184770436730123</c:v>
                </c:pt>
                <c:pt idx="29" c:formatCode="0.0%">
                  <c:v>0.0906593406593408</c:v>
                </c:pt>
                <c:pt idx="30" c:formatCode="0.0%">
                  <c:v>-0.0151133501259446</c:v>
                </c:pt>
                <c:pt idx="31" c:formatCode="0.0%">
                  <c:v>0.0907928388746801</c:v>
                </c:pt>
                <c:pt idx="32" c:formatCode="0.0%">
                  <c:v>0.973036342321219</c:v>
                </c:pt>
                <c:pt idx="33" c:formatCode="0.0%">
                  <c:v>0.754010695187166</c:v>
                </c:pt>
              </c:numCache>
            </c:numRef>
          </c:val>
          <c:smooth val="0"/>
        </c:ser>
        <c:ser>
          <c:idx val="5"/>
          <c:order val="7"/>
          <c:tx>
            <c:strRef>
              <c:f>NAND!$BZ$23</c:f>
              <c:strCache>
                <c:ptCount val="1"/>
                <c:pt idx="0">
                  <c:v>QoQ UFS 256GB</c:v>
                </c:pt>
              </c:strCache>
            </c:strRef>
          </c:tx>
          <c:spPr>
            <a:ln w="12700" cap="rnd" cmpd="sng" algn="ctr">
              <a:solidFill>
                <a:schemeClr val="accent4"/>
              </a:solidFill>
              <a:prstDash val="solid"/>
              <a:round/>
            </a:ln>
          </c:spPr>
          <c:marker>
            <c:symbol val="circle"/>
            <c:size val="4"/>
            <c:spPr>
              <a:solidFill>
                <a:schemeClr val="accent4"/>
              </a:solidFill>
              <a:ln w="12700" cap="flat" cmpd="sng" algn="ctr">
                <a:solidFill>
                  <a:schemeClr val="accent4"/>
                </a:solidFill>
                <a:prstDash val="solid"/>
                <a:round/>
              </a:ln>
            </c:spPr>
          </c:marker>
          <c:dLbls>
            <c:delete val="1"/>
          </c:dLbls>
          <c:val>
            <c:numRef>
              <c:f>NAND!$BZ$33:$BZ$66</c:f>
              <c:numCache>
                <c:formatCode>0%</c:formatCode>
                <c:ptCount val="34"/>
                <c:pt idx="2">
                  <c:v>-0.108974358974359</c:v>
                </c:pt>
                <c:pt idx="3">
                  <c:v>-0.171223021582734</c:v>
                </c:pt>
                <c:pt idx="4">
                  <c:v>-0.371527777777778</c:v>
                </c:pt>
                <c:pt idx="5">
                  <c:v>-0.244198895027624</c:v>
                </c:pt>
                <c:pt idx="6">
                  <c:v>-0.0387426900584795</c:v>
                </c:pt>
                <c:pt idx="7">
                  <c:v>0.0152091254752851</c:v>
                </c:pt>
                <c:pt idx="8">
                  <c:v>0.0254681647940074</c:v>
                </c:pt>
                <c:pt idx="9">
                  <c:v>0.02118334550767</c:v>
                </c:pt>
                <c:pt idx="10">
                  <c:v>-0.0143061516452075</c:v>
                </c:pt>
                <c:pt idx="11">
                  <c:v>-0.0108853410740202</c:v>
                </c:pt>
                <c:pt idx="12">
                  <c:v>-0.0322817314746883</c:v>
                </c:pt>
                <c:pt idx="13">
                  <c:v>0.0424564063684609</c:v>
                </c:pt>
                <c:pt idx="14">
                  <c:v>0.0574545454545454</c:v>
                </c:pt>
                <c:pt idx="15">
                  <c:v>-0.0515818431911967</c:v>
                </c:pt>
                <c:pt idx="16" c:formatCode="0.0%">
                  <c:v>-0.0826686004350978</c:v>
                </c:pt>
                <c:pt idx="17" c:formatCode="0.0%">
                  <c:v>0.0197628458498025</c:v>
                </c:pt>
                <c:pt idx="18" c:formatCode="0.0%">
                  <c:v>-0.0596899224806201</c:v>
                </c:pt>
                <c:pt idx="19" c:formatCode="0.0%">
                  <c:v>-0.250618301731245</c:v>
                </c:pt>
                <c:pt idx="20" c:formatCode="0.0%">
                  <c:v>-0.14961496149615</c:v>
                </c:pt>
                <c:pt idx="21" c:formatCode="0.0%">
                  <c:v>-0.199223803363519</c:v>
                </c:pt>
                <c:pt idx="22" c:formatCode="0.0%">
                  <c:v>-0.0791599353796446</c:v>
                </c:pt>
                <c:pt idx="23" c:formatCode="0.0%">
                  <c:v>0.150877192982456</c:v>
                </c:pt>
                <c:pt idx="24" c:formatCode="0.0%">
                  <c:v>0.280487804878049</c:v>
                </c:pt>
                <c:pt idx="25" c:formatCode="0.0%">
                  <c:v>0.29047619047619</c:v>
                </c:pt>
                <c:pt idx="26" c:formatCode="0.0%">
                  <c:v>0.0535055350553506</c:v>
                </c:pt>
                <c:pt idx="27" c:formatCode="0.0%">
                  <c:v>-0.126532399299475</c:v>
                </c:pt>
                <c:pt idx="28" c:formatCode="0.0%">
                  <c:v>-0.226065162907268</c:v>
                </c:pt>
                <c:pt idx="29" c:formatCode="0.0%">
                  <c:v>0.0647668393782383</c:v>
                </c:pt>
                <c:pt idx="30" c:formatCode="0.0%">
                  <c:v>-0.0139902676399027</c:v>
                </c:pt>
                <c:pt idx="31" c:formatCode="0.0%">
                  <c:v>0.0777297964219616</c:v>
                </c:pt>
                <c:pt idx="32" c:formatCode="0.0%">
                  <c:v>0.919290211791643</c:v>
                </c:pt>
                <c:pt idx="33" c:formatCode="0.0%">
                  <c:v>0.800477184610796</c:v>
                </c:pt>
              </c:numCache>
            </c:numRef>
          </c:val>
          <c:smooth val="0"/>
        </c:ser>
        <c:dLbls>
          <c:showLegendKey val="0"/>
          <c:showVal val="0"/>
          <c:showCatName val="0"/>
          <c:showSerName val="0"/>
          <c:showPercent val="0"/>
          <c:showBubbleSize val="0"/>
        </c:dLbls>
        <c:marker val="1"/>
        <c:smooth val="0"/>
        <c:axId val="1339623087"/>
        <c:axId val="1342488863"/>
        <c:extLst>
          <c:ext xmlns:c15="http://schemas.microsoft.com/office/drawing/2012/chart" uri="{02D57815-91ED-43cb-92C2-25804820EDAC}">
            <c15:filteredLineSeries>
              <c15:ser>
                <c:idx val="7"/>
                <c:order val="4"/>
                <c:tx>
                  <c:strRef>
                    <c:extLst>
                      <c:ext uri="{02D57815-91ED-43cb-92C2-25804820EDAC}">
                        <c15:formulaRef>
                          <c15:sqref>NAND!$BX$23</c15:sqref>
                        </c15:formulaRef>
                      </c:ext>
                    </c:extLst>
                    <c:strCache>
                      <c:ptCount val="1"/>
                      <c:pt idx="0">
                        <c:v>QoQ eMMC MLC 16GB</c:v>
                      </c:pt>
                    </c:strCache>
                  </c:strRef>
                </c:tx>
                <c:marker>
                  <c:symbol val="triangle"/>
                  <c:size val="4"/>
                  <c:spPr>
                    <a:solidFill>
                      <a:schemeClr val="accent5"/>
                    </a:solidFill>
                  </c:spPr>
                </c:marker>
                <c:dLbls>
                  <c:delete val="1"/>
                </c:dLbls>
                <c:val>
                  <c:numRef>
                    <c:extLst>
                      <c:ext uri="{02D57815-91ED-43cb-92C2-25804820EDAC}">
                        <c15:formulaRef>
                          <c15:sqref>NAND!$BX$33:$BX$51</c15:sqref>
                        </c15:formulaRef>
                      </c:ext>
                    </c:extLst>
                    <c:numCache>
                      <c:formatCode>0%</c:formatCode>
                      <c:ptCount val="19"/>
                      <c:pt idx="0">
                        <c:v>0.00664451827242529</c:v>
                      </c:pt>
                      <c:pt idx="1">
                        <c:v>0</c:v>
                      </c:pt>
                      <c:pt idx="2">
                        <c:v>-0.0693069306930693</c:v>
                      </c:pt>
                      <c:pt idx="3">
                        <c:v>-0.138297872340425</c:v>
                      </c:pt>
                      <c:pt idx="4">
                        <c:v>-0.0946502057613169</c:v>
                      </c:pt>
                      <c:pt idx="5">
                        <c:v>-0.179545454545455</c:v>
                      </c:pt>
                      <c:pt idx="6">
                        <c:v>-0.127423822714681</c:v>
                      </c:pt>
                      <c:pt idx="7">
                        <c:v>0.13015873015873</c:v>
                      </c:pt>
                      <c:pt idx="8">
                        <c:v>0.098314606741573</c:v>
                      </c:pt>
                      <c:pt idx="9">
                        <c:v>0.0613810741687979</c:v>
                      </c:pt>
                      <c:pt idx="10">
                        <c:v>-0.134939759036145</c:v>
                      </c:pt>
                      <c:pt idx="11">
                        <c:v>-0.0334261838440111</c:v>
                      </c:pt>
                      <c:pt idx="12">
                        <c:v>0.0201729106628241</c:v>
                      </c:pt>
                      <c:pt idx="13">
                        <c:v>0.132768361581921</c:v>
                      </c:pt>
                      <c:pt idx="14">
                        <c:v>0.0523690773067331</c:v>
                      </c:pt>
                      <c:pt idx="15">
                        <c:v>-0.0687203791469193</c:v>
                      </c:pt>
                      <c:pt idx="16" c:formatCode="0.0%">
                        <c:v>-0.0254452926208651</c:v>
                      </c:pt>
                      <c:pt idx="17" c:formatCode="0.0%">
                        <c:v>0.04177545691906</c:v>
                      </c:pt>
                      <c:pt idx="18" c:formatCode="0.0%">
                        <c:v>-0.0726817042606517</c:v>
                      </c:pt>
                    </c:numCache>
                  </c:numRef>
                </c:val>
                <c:smooth val="0"/>
              </c15:ser>
            </c15:filteredLineSeries>
            <c15:filteredLineSeries>
              <c15:ser>
                <c:idx val="4"/>
                <c:order val="6"/>
                <c:tx>
                  <c:strRef>
                    <c:extLst>
                      <c:ext uri="{02D57815-91ED-43cb-92C2-25804820EDAC}">
                        <c15:formulaRef>
                          <c15:sqref>NAND!$BY$23</c15:sqref>
                        </c15:formulaRef>
                      </c:ext>
                    </c:extLst>
                    <c:strCache>
                      <c:ptCount val="1"/>
                      <c:pt idx="0">
                        <c:v>QoQ UFS 128GB</c:v>
                      </c:pt>
                    </c:strCache>
                  </c:strRef>
                </c:tx>
                <c:spPr>
                  <a:ln w="12700" cap="rnd" cmpd="sng" algn="ctr">
                    <a:solidFill>
                      <a:schemeClr val="accent3"/>
                    </a:solidFill>
                    <a:prstDash val="solid"/>
                    <a:round/>
                  </a:ln>
                </c:spPr>
                <c:marker>
                  <c:symbol val="diamond"/>
                  <c:size val="4"/>
                  <c:spPr>
                    <a:solidFill>
                      <a:schemeClr val="accent3"/>
                    </a:solidFill>
                    <a:ln w="12700" cap="flat" cmpd="sng" algn="ctr">
                      <a:solidFill>
                        <a:schemeClr val="accent3"/>
                      </a:solidFill>
                      <a:prstDash val="solid"/>
                      <a:round/>
                    </a:ln>
                  </c:spPr>
                </c:marker>
                <c:dLbls>
                  <c:delete val="1"/>
                </c:dLbls>
                <c:val>
                  <c:numRef>
                    <c:extLst>
                      <c:ext uri="{02D57815-91ED-43cb-92C2-25804820EDAC}">
                        <c15:formulaRef>
                          <c15:sqref>NAND!$BY$33:$BY$59</c15:sqref>
                        </c15:formulaRef>
                      </c:ext>
                    </c:extLst>
                    <c:numCache>
                      <c:formatCode>0%</c:formatCode>
                      <c:ptCount val="27"/>
                      <c:pt idx="0">
                        <c:v>-0.0277777777777778</c:v>
                      </c:pt>
                      <c:pt idx="1">
                        <c:v>-0.130952380952381</c:v>
                      </c:pt>
                      <c:pt idx="2">
                        <c:v>-0.0712328767123288</c:v>
                      </c:pt>
                      <c:pt idx="3">
                        <c:v>-0.153392330383481</c:v>
                      </c:pt>
                      <c:pt idx="4">
                        <c:v>-0.170731707317073</c:v>
                      </c:pt>
                      <c:pt idx="5">
                        <c:v>-0.221008403361345</c:v>
                      </c:pt>
                      <c:pt idx="6">
                        <c:v>-0.0636461704422869</c:v>
                      </c:pt>
                      <c:pt idx="7">
                        <c:v>0.00172811059907851</c:v>
                      </c:pt>
                      <c:pt idx="8">
                        <c:v>0.00862564692351908</c:v>
                      </c:pt>
                      <c:pt idx="9">
                        <c:v>0.0239452679589511</c:v>
                      </c:pt>
                      <c:pt idx="10">
                        <c:v>-0.0211581291759467</c:v>
                      </c:pt>
                      <c:pt idx="11">
                        <c:v>-0.0159271899886233</c:v>
                      </c:pt>
                      <c:pt idx="12">
                        <c:v>-0.0427745664739886</c:v>
                      </c:pt>
                      <c:pt idx="13">
                        <c:v>0.0434782608695654</c:v>
                      </c:pt>
                      <c:pt idx="14">
                        <c:v>0.0439814814814814</c:v>
                      </c:pt>
                      <c:pt idx="15">
                        <c:v>-0.0609756097560974</c:v>
                      </c:pt>
                      <c:pt idx="16" c:formatCode="0.0%">
                        <c:v>-0.0802833530106258</c:v>
                      </c:pt>
                      <c:pt idx="17" c:formatCode="0.0%">
                        <c:v>0.0205391527599488</c:v>
                      </c:pt>
                      <c:pt idx="18" c:formatCode="0.0%">
                        <c:v>-0.166037735849057</c:v>
                      </c:pt>
                      <c:pt idx="19" c:formatCode="0.0%">
                        <c:v>-0.254901960784314</c:v>
                      </c:pt>
                      <c:pt idx="20" c:formatCode="0.0%">
                        <c:v>-0.149797570850203</c:v>
                      </c:pt>
                      <c:pt idx="21" c:formatCode="0.0%">
                        <c:v>-0.180952380952381</c:v>
                      </c:pt>
                      <c:pt idx="22" c:formatCode="0.0%">
                        <c:v>-0.061046511627907</c:v>
                      </c:pt>
                      <c:pt idx="23" c:formatCode="0.0%">
                        <c:v>0.0928792569659442</c:v>
                      </c:pt>
                      <c:pt idx="24" c:formatCode="0.0%">
                        <c:v>0.274787535410765</c:v>
                      </c:pt>
                      <c:pt idx="25" c:formatCode="0.0%">
                        <c:v>0.108888888888889</c:v>
                      </c:pt>
                      <c:pt idx="26" c:formatCode="0.0%">
                        <c:v>0.0761523046092185</c:v>
                      </c:pt>
                    </c:numCache>
                  </c:numRef>
                </c:val>
                <c:smooth val="0"/>
              </c15:ser>
            </c15:filteredLineSeries>
          </c:ext>
        </c:extLst>
      </c:lineChart>
      <c:catAx>
        <c:axId val="1341051183"/>
        <c:scaling>
          <c:orientation val="minMax"/>
        </c:scaling>
        <c:delete val="0"/>
        <c:axPos val="b"/>
        <c:majorGridlines>
          <c:spPr>
            <a:ln w="12700" cap="flat" cmpd="sng" algn="ctr">
              <a:solidFill>
                <a:schemeClr val="tx1">
                  <a:tint val="75000"/>
                </a:schemeClr>
              </a:solidFill>
              <a:prstDash val="dash"/>
              <a:round/>
            </a:ln>
          </c:spPr>
        </c:majorGridlines>
        <c:numFmt formatCode="General"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281690735"/>
        <c:crosses val="autoZero"/>
        <c:auto val="1"/>
        <c:lblAlgn val="ctr"/>
        <c:lblOffset val="100"/>
        <c:tickMarkSkip val="4"/>
        <c:noMultiLvlLbl val="0"/>
      </c:catAx>
      <c:valAx>
        <c:axId val="1281690735"/>
        <c:scaling>
          <c:orientation val="minMax"/>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 US$/GB</a:t>
                </a:r>
                <a:endParaRPr lang="en-US"/>
              </a:p>
            </c:rich>
          </c:tx>
          <c:layout/>
          <c:overlay val="0"/>
        </c:title>
        <c:numFmt formatCode="#,##0.0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341051183"/>
        <c:crosses val="autoZero"/>
        <c:crossBetween val="between"/>
      </c:valAx>
      <c:catAx>
        <c:axId val="1339623087"/>
        <c:scaling>
          <c:orientation val="minMax"/>
        </c:scaling>
        <c:delete val="1"/>
        <c:axPos val="b"/>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342488863"/>
        <c:crosses val="autoZero"/>
        <c:auto val="1"/>
        <c:lblAlgn val="ctr"/>
        <c:lblOffset val="100"/>
        <c:noMultiLvlLbl val="0"/>
      </c:catAx>
      <c:valAx>
        <c:axId val="1342488863"/>
        <c:scaling>
          <c:orientation val="minMax"/>
        </c:scaling>
        <c:delete val="0"/>
        <c:axPos val="r"/>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QoQ</a:t>
                </a:r>
                <a:endParaRPr lang="en-US"/>
              </a:p>
            </c:rich>
          </c:tx>
          <c:layout/>
          <c:overlay val="0"/>
        </c:title>
        <c:numFmt formatCode="0%" sourceLinked="1"/>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339623087"/>
        <c:crosses val="max"/>
        <c:crossBetween val="between"/>
      </c:valAx>
      <c:spPr>
        <a:noFill/>
        <a:ln w="25400">
          <a:noFill/>
        </a:ln>
      </c:spPr>
    </c:plotArea>
    <c:legend>
      <c:legendPos val="b"/>
      <c:layout>
        <c:manualLayout>
          <c:xMode val="edge"/>
          <c:yMode val="edge"/>
          <c:x val="0.0209947864589222"/>
          <c:y val="0.901671873560732"/>
          <c:w val="0.951776790899041"/>
          <c:h val="0.0688819535774182"/>
        </c:manualLayout>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ae33a897-2261-426e-a337-57cedb3ca90f}"/>
      </c:ext>
    </c:extLst>
  </c:chart>
  <c:spPr>
    <a:solidFill>
      <a:srgbClr val="FFFFFF"/>
    </a:solidFill>
    <a:ln w="3175" cap="flat" cmpd="sng" algn="ctr">
      <a:solidFill>
        <a:srgbClr val="FFFFFF"/>
      </a:solidFill>
      <a:prstDash val="solid"/>
      <a:round/>
    </a:ln>
    <a:effectLst/>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NAND Wafer (3D TLC 64GB) Spot Price &amp; WoW</a:t>
            </a:r>
            <a:endParaRPr lang="en-US"/>
          </a:p>
        </c:rich>
      </c:tx>
      <c:layout/>
      <c:overlay val="0"/>
    </c:title>
    <c:autoTitleDeleted val="0"/>
    <c:plotArea>
      <c:layout/>
      <c:barChart>
        <c:barDir val="col"/>
        <c:grouping val="clustered"/>
        <c:varyColors val="0"/>
        <c:ser>
          <c:idx val="0"/>
          <c:order val="0"/>
          <c:tx>
            <c:strRef>
              <c:f>NAND!$G$23</c:f>
              <c:strCache>
                <c:ptCount val="1"/>
                <c:pt idx="0">
                  <c:v>3D TLC 512Gb</c:v>
                </c:pt>
              </c:strCache>
            </c:strRef>
          </c:tx>
          <c:spPr>
            <a:solidFill>
              <a:schemeClr val="accent1">
                <a:alpha val="50000"/>
              </a:schemeClr>
            </a:solidFill>
            <a:ln w="12700">
              <a:solidFill>
                <a:srgbClr val="000000"/>
              </a:solidFill>
              <a:prstDash val="solid"/>
            </a:ln>
          </c:spPr>
          <c:invertIfNegative val="0"/>
          <c:dLbls>
            <c:delete val="1"/>
          </c:dLbls>
          <c:cat>
            <c:numRef>
              <c:f>NAND!$E$127:$E$175</c:f>
              <c:numCache>
                <c:formatCode>yyyy/m/d</c:formatCode>
                <c:ptCount val="49"/>
                <c:pt idx="0" c:formatCode="yyyy/m/d">
                  <c:v>44200</c:v>
                </c:pt>
                <c:pt idx="1" c:formatCode="yyyy/m/d">
                  <c:v>44207</c:v>
                </c:pt>
                <c:pt idx="2" c:formatCode="yyyy/m/d">
                  <c:v>44214</c:v>
                </c:pt>
                <c:pt idx="3" c:formatCode="yyyy/m/d">
                  <c:v>44221</c:v>
                </c:pt>
                <c:pt idx="4" c:formatCode="yyyy/m/d">
                  <c:v>44228</c:v>
                </c:pt>
                <c:pt idx="5" c:formatCode="yyyy/m/d">
                  <c:v>44235</c:v>
                </c:pt>
                <c:pt idx="6" c:formatCode="yyyy/m/d">
                  <c:v>44244</c:v>
                </c:pt>
                <c:pt idx="7" c:formatCode="yyyy/m/d">
                  <c:v>44249</c:v>
                </c:pt>
                <c:pt idx="8" c:formatCode="yyyy/m/d">
                  <c:v>44256</c:v>
                </c:pt>
                <c:pt idx="9" c:formatCode="yyyy/m/d">
                  <c:v>44263</c:v>
                </c:pt>
                <c:pt idx="10" c:formatCode="yyyy/m/d">
                  <c:v>44270</c:v>
                </c:pt>
                <c:pt idx="11" c:formatCode="yyyy/m/d">
                  <c:v>44277</c:v>
                </c:pt>
                <c:pt idx="12" c:formatCode="yyyy/m/d">
                  <c:v>44284</c:v>
                </c:pt>
                <c:pt idx="13" c:formatCode="yyyy/m/d">
                  <c:v>44292</c:v>
                </c:pt>
                <c:pt idx="14" c:formatCode="yyyy/m/d">
                  <c:v>44298</c:v>
                </c:pt>
                <c:pt idx="15" c:formatCode="yyyy/m/d">
                  <c:v>44305</c:v>
                </c:pt>
                <c:pt idx="16" c:formatCode="yyyy/m/d">
                  <c:v>44312</c:v>
                </c:pt>
                <c:pt idx="17" c:formatCode="yyyy/m/d">
                  <c:v>44319</c:v>
                </c:pt>
                <c:pt idx="18" c:formatCode="yyyy/m/d">
                  <c:v>44326</c:v>
                </c:pt>
                <c:pt idx="19" c:formatCode="yyyy/m/d">
                  <c:v>44333</c:v>
                </c:pt>
                <c:pt idx="20" c:formatCode="yyyy/m/d">
                  <c:v>44340</c:v>
                </c:pt>
                <c:pt idx="21" c:formatCode="yyyy/m/d">
                  <c:v>44347</c:v>
                </c:pt>
                <c:pt idx="22" c:formatCode="yyyy/m/d">
                  <c:v>44354</c:v>
                </c:pt>
                <c:pt idx="23" c:formatCode="yyyy/m/d">
                  <c:v>44362</c:v>
                </c:pt>
                <c:pt idx="24" c:formatCode="yyyy/m/d">
                  <c:v>44368</c:v>
                </c:pt>
                <c:pt idx="25" c:formatCode="yyyy/m/d">
                  <c:v>44375</c:v>
                </c:pt>
                <c:pt idx="26" c:formatCode="yyyy/m/d">
                  <c:v>44382</c:v>
                </c:pt>
                <c:pt idx="27" c:formatCode="yyyy/m/d">
                  <c:v>44389</c:v>
                </c:pt>
                <c:pt idx="28" c:formatCode="yyyy/m/d">
                  <c:v>44396</c:v>
                </c:pt>
                <c:pt idx="29" c:formatCode="yyyy/m/d">
                  <c:v>44403</c:v>
                </c:pt>
                <c:pt idx="30" c:formatCode="yyyy/m/d">
                  <c:v>44410</c:v>
                </c:pt>
                <c:pt idx="31" c:formatCode="yyyy/m/d">
                  <c:v>44417</c:v>
                </c:pt>
                <c:pt idx="32" c:formatCode="yyyy/m/d">
                  <c:v>44424</c:v>
                </c:pt>
                <c:pt idx="33" c:formatCode="yyyy/m/d">
                  <c:v>44431</c:v>
                </c:pt>
                <c:pt idx="34" c:formatCode="yyyy/m/d">
                  <c:v>44438</c:v>
                </c:pt>
                <c:pt idx="35" c:formatCode="yyyy/m/d">
                  <c:v>44445</c:v>
                </c:pt>
                <c:pt idx="36" c:formatCode="yyyy/m/d">
                  <c:v>44452</c:v>
                </c:pt>
                <c:pt idx="37" c:formatCode="yyyy/m/d">
                  <c:v>44461</c:v>
                </c:pt>
                <c:pt idx="38" c:formatCode="yyyy/m/d">
                  <c:v>44466</c:v>
                </c:pt>
                <c:pt idx="39" c:formatCode="yyyy/m/d">
                  <c:v>44473</c:v>
                </c:pt>
                <c:pt idx="40" c:formatCode="yyyy/m/d">
                  <c:v>44480</c:v>
                </c:pt>
                <c:pt idx="41" c:formatCode="yyyy/m/d">
                  <c:v>44487</c:v>
                </c:pt>
                <c:pt idx="42" c:formatCode="yyyy/m/d">
                  <c:v>44494</c:v>
                </c:pt>
                <c:pt idx="43" c:formatCode="yyyy/m/d">
                  <c:v>44501</c:v>
                </c:pt>
                <c:pt idx="44" c:formatCode="yyyy/m/d">
                  <c:v>44508</c:v>
                </c:pt>
                <c:pt idx="45" c:formatCode="yyyy/m/d">
                  <c:v>44515</c:v>
                </c:pt>
                <c:pt idx="46" c:formatCode="yyyy/m/d">
                  <c:v>44522</c:v>
                </c:pt>
                <c:pt idx="47" c:formatCode="yyyy/m/d">
                  <c:v>44529</c:v>
                </c:pt>
                <c:pt idx="48" c:formatCode="yyyy/m/d">
                  <c:v>44536</c:v>
                </c:pt>
              </c:numCache>
            </c:numRef>
          </c:cat>
          <c:val>
            <c:numRef>
              <c:f>NAND!$G$127:$G$175</c:f>
              <c:numCache>
                <c:formatCode>#,##0.00</c:formatCode>
                <c:ptCount val="49"/>
                <c:pt idx="0">
                  <c:v>4.275</c:v>
                </c:pt>
                <c:pt idx="1">
                  <c:v>4.269</c:v>
                </c:pt>
                <c:pt idx="2">
                  <c:v>4.267</c:v>
                </c:pt>
                <c:pt idx="3">
                  <c:v>4.267</c:v>
                </c:pt>
                <c:pt idx="4">
                  <c:v>4.263</c:v>
                </c:pt>
                <c:pt idx="5">
                  <c:v>4.263</c:v>
                </c:pt>
                <c:pt idx="6">
                  <c:v>4.263</c:v>
                </c:pt>
                <c:pt idx="7">
                  <c:v>4.263</c:v>
                </c:pt>
                <c:pt idx="8">
                  <c:v>4.301</c:v>
                </c:pt>
                <c:pt idx="9">
                  <c:v>4.353</c:v>
                </c:pt>
                <c:pt idx="10">
                  <c:v>4.445</c:v>
                </c:pt>
                <c:pt idx="11">
                  <c:v>4.508</c:v>
                </c:pt>
                <c:pt idx="12">
                  <c:v>4.504</c:v>
                </c:pt>
                <c:pt idx="13">
                  <c:v>4.5</c:v>
                </c:pt>
                <c:pt idx="14">
                  <c:v>4.486</c:v>
                </c:pt>
                <c:pt idx="15">
                  <c:v>4.484</c:v>
                </c:pt>
                <c:pt idx="16">
                  <c:v>4.484</c:v>
                </c:pt>
                <c:pt idx="17">
                  <c:v>4.481</c:v>
                </c:pt>
                <c:pt idx="18">
                  <c:v>4.484</c:v>
                </c:pt>
                <c:pt idx="19">
                  <c:v>4.482</c:v>
                </c:pt>
                <c:pt idx="20">
                  <c:v>4.972</c:v>
                </c:pt>
                <c:pt idx="21">
                  <c:v>4.926</c:v>
                </c:pt>
                <c:pt idx="22">
                  <c:v>4.908</c:v>
                </c:pt>
                <c:pt idx="23">
                  <c:v>4.89</c:v>
                </c:pt>
                <c:pt idx="24">
                  <c:v>4.882</c:v>
                </c:pt>
                <c:pt idx="25">
                  <c:v>4.855</c:v>
                </c:pt>
                <c:pt idx="26">
                  <c:v>4.863</c:v>
                </c:pt>
                <c:pt idx="27">
                  <c:v>4.882</c:v>
                </c:pt>
                <c:pt idx="28">
                  <c:v>4.89</c:v>
                </c:pt>
                <c:pt idx="29">
                  <c:v>4.889</c:v>
                </c:pt>
                <c:pt idx="30">
                  <c:v>4.894</c:v>
                </c:pt>
                <c:pt idx="31">
                  <c:v>4.892</c:v>
                </c:pt>
                <c:pt idx="32">
                  <c:v>4.879</c:v>
                </c:pt>
                <c:pt idx="33">
                  <c:v>4.867</c:v>
                </c:pt>
                <c:pt idx="34">
                  <c:v>4.802</c:v>
                </c:pt>
                <c:pt idx="35">
                  <c:v>4.738</c:v>
                </c:pt>
                <c:pt idx="36">
                  <c:v>4.713</c:v>
                </c:pt>
                <c:pt idx="37">
                  <c:v>4.654</c:v>
                </c:pt>
                <c:pt idx="38">
                  <c:v>4.612</c:v>
                </c:pt>
                <c:pt idx="39">
                  <c:v>4.504</c:v>
                </c:pt>
                <c:pt idx="40">
                  <c:v>4.504</c:v>
                </c:pt>
                <c:pt idx="41">
                  <c:v>4.382</c:v>
                </c:pt>
                <c:pt idx="42">
                  <c:v>4.318</c:v>
                </c:pt>
                <c:pt idx="43">
                  <c:v>4.256</c:v>
                </c:pt>
                <c:pt idx="44">
                  <c:v>4.22</c:v>
                </c:pt>
                <c:pt idx="45">
                  <c:v>4.17</c:v>
                </c:pt>
                <c:pt idx="46">
                  <c:v>4.09</c:v>
                </c:pt>
                <c:pt idx="47">
                  <c:v>4.04</c:v>
                </c:pt>
                <c:pt idx="48">
                  <c:v>4.02</c:v>
                </c:pt>
              </c:numCache>
            </c:numRef>
          </c:val>
        </c:ser>
        <c:dLbls>
          <c:showLegendKey val="0"/>
          <c:showVal val="0"/>
          <c:showCatName val="0"/>
          <c:showSerName val="0"/>
          <c:showPercent val="0"/>
          <c:showBubbleSize val="0"/>
        </c:dLbls>
        <c:gapWidth val="0"/>
        <c:axId val="139647424"/>
        <c:axId val="1984156896"/>
      </c:barChart>
      <c:lineChart>
        <c:grouping val="standard"/>
        <c:varyColors val="0"/>
        <c:ser>
          <c:idx val="2"/>
          <c:order val="1"/>
          <c:tx>
            <c:strRef>
              <c:f>NAND!$P$24</c:f>
              <c:strCache>
                <c:ptCount val="1"/>
                <c:pt idx="0">
                  <c:v>3D TLC 512Gb WoW</c:v>
                </c:pt>
              </c:strCache>
            </c:strRef>
          </c:tx>
          <c:spPr>
            <a:ln w="12700" cap="rnd" cmpd="sng" algn="ctr">
              <a:solidFill>
                <a:srgbClr val="000000"/>
              </a:solidFill>
              <a:prstDash val="solid"/>
              <a:round/>
            </a:ln>
          </c:spPr>
          <c:marker>
            <c:symbol val="none"/>
          </c:marker>
          <c:dLbls>
            <c:delete val="1"/>
          </c:dLbls>
          <c:cat>
            <c:numRef>
              <c:f>NAND!$E$127:$E$175</c:f>
              <c:numCache>
                <c:formatCode>yyyy/m/d</c:formatCode>
                <c:ptCount val="49"/>
                <c:pt idx="0" c:formatCode="yyyy/m/d">
                  <c:v>44200</c:v>
                </c:pt>
                <c:pt idx="1" c:formatCode="yyyy/m/d">
                  <c:v>44207</c:v>
                </c:pt>
                <c:pt idx="2" c:formatCode="yyyy/m/d">
                  <c:v>44214</c:v>
                </c:pt>
                <c:pt idx="3" c:formatCode="yyyy/m/d">
                  <c:v>44221</c:v>
                </c:pt>
                <c:pt idx="4" c:formatCode="yyyy/m/d">
                  <c:v>44228</c:v>
                </c:pt>
                <c:pt idx="5" c:formatCode="yyyy/m/d">
                  <c:v>44235</c:v>
                </c:pt>
                <c:pt idx="6" c:formatCode="yyyy/m/d">
                  <c:v>44244</c:v>
                </c:pt>
                <c:pt idx="7" c:formatCode="yyyy/m/d">
                  <c:v>44249</c:v>
                </c:pt>
                <c:pt idx="8" c:formatCode="yyyy/m/d">
                  <c:v>44256</c:v>
                </c:pt>
                <c:pt idx="9" c:formatCode="yyyy/m/d">
                  <c:v>44263</c:v>
                </c:pt>
                <c:pt idx="10" c:formatCode="yyyy/m/d">
                  <c:v>44270</c:v>
                </c:pt>
                <c:pt idx="11" c:formatCode="yyyy/m/d">
                  <c:v>44277</c:v>
                </c:pt>
                <c:pt idx="12" c:formatCode="yyyy/m/d">
                  <c:v>44284</c:v>
                </c:pt>
                <c:pt idx="13" c:formatCode="yyyy/m/d">
                  <c:v>44292</c:v>
                </c:pt>
                <c:pt idx="14" c:formatCode="yyyy/m/d">
                  <c:v>44298</c:v>
                </c:pt>
                <c:pt idx="15" c:formatCode="yyyy/m/d">
                  <c:v>44305</c:v>
                </c:pt>
                <c:pt idx="16" c:formatCode="yyyy/m/d">
                  <c:v>44312</c:v>
                </c:pt>
                <c:pt idx="17" c:formatCode="yyyy/m/d">
                  <c:v>44319</c:v>
                </c:pt>
                <c:pt idx="18" c:formatCode="yyyy/m/d">
                  <c:v>44326</c:v>
                </c:pt>
                <c:pt idx="19" c:formatCode="yyyy/m/d">
                  <c:v>44333</c:v>
                </c:pt>
                <c:pt idx="20" c:formatCode="yyyy/m/d">
                  <c:v>44340</c:v>
                </c:pt>
                <c:pt idx="21" c:formatCode="yyyy/m/d">
                  <c:v>44347</c:v>
                </c:pt>
                <c:pt idx="22" c:formatCode="yyyy/m/d">
                  <c:v>44354</c:v>
                </c:pt>
                <c:pt idx="23" c:formatCode="yyyy/m/d">
                  <c:v>44362</c:v>
                </c:pt>
                <c:pt idx="24" c:formatCode="yyyy/m/d">
                  <c:v>44368</c:v>
                </c:pt>
                <c:pt idx="25" c:formatCode="yyyy/m/d">
                  <c:v>44375</c:v>
                </c:pt>
                <c:pt idx="26" c:formatCode="yyyy/m/d">
                  <c:v>44382</c:v>
                </c:pt>
                <c:pt idx="27" c:formatCode="yyyy/m/d">
                  <c:v>44389</c:v>
                </c:pt>
                <c:pt idx="28" c:formatCode="yyyy/m/d">
                  <c:v>44396</c:v>
                </c:pt>
                <c:pt idx="29" c:formatCode="yyyy/m/d">
                  <c:v>44403</c:v>
                </c:pt>
                <c:pt idx="30" c:formatCode="yyyy/m/d">
                  <c:v>44410</c:v>
                </c:pt>
                <c:pt idx="31" c:formatCode="yyyy/m/d">
                  <c:v>44417</c:v>
                </c:pt>
                <c:pt idx="32" c:formatCode="yyyy/m/d">
                  <c:v>44424</c:v>
                </c:pt>
                <c:pt idx="33" c:formatCode="yyyy/m/d">
                  <c:v>44431</c:v>
                </c:pt>
                <c:pt idx="34" c:formatCode="yyyy/m/d">
                  <c:v>44438</c:v>
                </c:pt>
                <c:pt idx="35" c:formatCode="yyyy/m/d">
                  <c:v>44445</c:v>
                </c:pt>
                <c:pt idx="36" c:formatCode="yyyy/m/d">
                  <c:v>44452</c:v>
                </c:pt>
                <c:pt idx="37" c:formatCode="yyyy/m/d">
                  <c:v>44461</c:v>
                </c:pt>
                <c:pt idx="38" c:formatCode="yyyy/m/d">
                  <c:v>44466</c:v>
                </c:pt>
                <c:pt idx="39" c:formatCode="yyyy/m/d">
                  <c:v>44473</c:v>
                </c:pt>
                <c:pt idx="40" c:formatCode="yyyy/m/d">
                  <c:v>44480</c:v>
                </c:pt>
                <c:pt idx="41" c:formatCode="yyyy/m/d">
                  <c:v>44487</c:v>
                </c:pt>
                <c:pt idx="42" c:formatCode="yyyy/m/d">
                  <c:v>44494</c:v>
                </c:pt>
                <c:pt idx="43" c:formatCode="yyyy/m/d">
                  <c:v>44501</c:v>
                </c:pt>
                <c:pt idx="44" c:formatCode="yyyy/m/d">
                  <c:v>44508</c:v>
                </c:pt>
                <c:pt idx="45" c:formatCode="yyyy/m/d">
                  <c:v>44515</c:v>
                </c:pt>
                <c:pt idx="46" c:formatCode="yyyy/m/d">
                  <c:v>44522</c:v>
                </c:pt>
                <c:pt idx="47" c:formatCode="yyyy/m/d">
                  <c:v>44529</c:v>
                </c:pt>
                <c:pt idx="48" c:formatCode="yyyy/m/d">
                  <c:v>44536</c:v>
                </c:pt>
              </c:numCache>
            </c:numRef>
          </c:cat>
          <c:val>
            <c:numRef>
              <c:f>NAND!$P$127:$P$175</c:f>
              <c:numCache>
                <c:formatCode>0%</c:formatCode>
                <c:ptCount val="49"/>
                <c:pt idx="0">
                  <c:v>-0.0032641641408252</c:v>
                </c:pt>
                <c:pt idx="1">
                  <c:v>-0.00140350877192985</c:v>
                </c:pt>
                <c:pt idx="2">
                  <c:v>-0.00046849379245717</c:v>
                </c:pt>
                <c:pt idx="3">
                  <c:v>0</c:v>
                </c:pt>
                <c:pt idx="4">
                  <c:v>-0.000937426763534255</c:v>
                </c:pt>
                <c:pt idx="5">
                  <c:v>0</c:v>
                </c:pt>
                <c:pt idx="6">
                  <c:v>0</c:v>
                </c:pt>
                <c:pt idx="7">
                  <c:v>0</c:v>
                </c:pt>
                <c:pt idx="8">
                  <c:v>0.00891391039174305</c:v>
                </c:pt>
                <c:pt idx="9">
                  <c:v>0.0120902115787025</c:v>
                </c:pt>
                <c:pt idx="10">
                  <c:v>0.0211348495290606</c:v>
                </c:pt>
                <c:pt idx="11">
                  <c:v>0.0141732283464566</c:v>
                </c:pt>
                <c:pt idx="12">
                  <c:v>-0.000887311446317707</c:v>
                </c:pt>
                <c:pt idx="13">
                  <c:v>-0.000888099467140191</c:v>
                </c:pt>
                <c:pt idx="14">
                  <c:v>-0.00311111111111118</c:v>
                </c:pt>
                <c:pt idx="15">
                  <c:v>-0.000445831475702096</c:v>
                </c:pt>
                <c:pt idx="16">
                  <c:v>0</c:v>
                </c:pt>
                <c:pt idx="17">
                  <c:v>-0.000669045495093723</c:v>
                </c:pt>
                <c:pt idx="18">
                  <c:v>0.000669493416648015</c:v>
                </c:pt>
                <c:pt idx="19">
                  <c:v>-0.000446030330062408</c:v>
                </c:pt>
                <c:pt idx="20">
                  <c:v>0.109326193663543</c:v>
                </c:pt>
                <c:pt idx="21">
                  <c:v>-0.0092518101367659</c:v>
                </c:pt>
                <c:pt idx="22">
                  <c:v>-0.00365408038976855</c:v>
                </c:pt>
                <c:pt idx="23">
                  <c:v>-0.00366748166259179</c:v>
                </c:pt>
                <c:pt idx="24">
                  <c:v>-0.00163599182004093</c:v>
                </c:pt>
                <c:pt idx="25">
                  <c:v>-0.00553052027857415</c:v>
                </c:pt>
                <c:pt idx="26">
                  <c:v>0.00164778578784763</c:v>
                </c:pt>
                <c:pt idx="27">
                  <c:v>0.00390705325930485</c:v>
                </c:pt>
                <c:pt idx="28">
                  <c:v>0.00163867267513318</c:v>
                </c:pt>
                <c:pt idx="29">
                  <c:v>-0.000204498977504963</c:v>
                </c:pt>
                <c:pt idx="30">
                  <c:v>0.00102270402945392</c:v>
                </c:pt>
                <c:pt idx="31">
                  <c:v>-0.000408663669799747</c:v>
                </c:pt>
                <c:pt idx="32">
                  <c:v>-0.00265739983646784</c:v>
                </c:pt>
                <c:pt idx="33">
                  <c:v>-0.00245952039352315</c:v>
                </c:pt>
                <c:pt idx="34">
                  <c:v>-0.0133552496404357</c:v>
                </c:pt>
                <c:pt idx="35">
                  <c:v>-0.0133277800916283</c:v>
                </c:pt>
                <c:pt idx="36">
                  <c:v>-0.00527648796960756</c:v>
                </c:pt>
                <c:pt idx="37">
                  <c:v>-0.012518565669425</c:v>
                </c:pt>
                <c:pt idx="38">
                  <c:v>-0.00902449505801461</c:v>
                </c:pt>
                <c:pt idx="39">
                  <c:v>-0.0234171725932352</c:v>
                </c:pt>
                <c:pt idx="40">
                  <c:v>0</c:v>
                </c:pt>
                <c:pt idx="41">
                  <c:v>-0.0270870337477798</c:v>
                </c:pt>
                <c:pt idx="42">
                  <c:v>-0.0146052031036057</c:v>
                </c:pt>
                <c:pt idx="43">
                  <c:v>-0.0143584993052338</c:v>
                </c:pt>
                <c:pt idx="44">
                  <c:v>-0.0084586466165415</c:v>
                </c:pt>
                <c:pt idx="45">
                  <c:v>-0.0118483412322274</c:v>
                </c:pt>
                <c:pt idx="46">
                  <c:v>-0.0191846522781774</c:v>
                </c:pt>
                <c:pt idx="47">
                  <c:v>-0.0122249388753056</c:v>
                </c:pt>
                <c:pt idx="48">
                  <c:v>-0.00495049504950507</c:v>
                </c:pt>
              </c:numCache>
            </c:numRef>
          </c:val>
          <c:smooth val="0"/>
        </c:ser>
        <c:dLbls>
          <c:showLegendKey val="0"/>
          <c:showVal val="0"/>
          <c:showCatName val="0"/>
          <c:showSerName val="0"/>
          <c:showPercent val="0"/>
          <c:showBubbleSize val="0"/>
        </c:dLbls>
        <c:marker val="0"/>
        <c:smooth val="0"/>
        <c:axId val="139672224"/>
        <c:axId val="1984130272"/>
      </c:lineChart>
      <c:catAx>
        <c:axId val="139647424"/>
        <c:scaling>
          <c:orientation val="minMax"/>
        </c:scaling>
        <c:delete val="0"/>
        <c:axPos val="b"/>
        <c:numFmt formatCode="[$-409]dd\-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984156896"/>
        <c:crosses val="autoZero"/>
        <c:auto val="0"/>
        <c:lblAlgn val="ctr"/>
        <c:lblOffset val="100"/>
        <c:tickMarkSkip val="4"/>
        <c:noMultiLvlLbl val="0"/>
      </c:catAx>
      <c:valAx>
        <c:axId val="1984156896"/>
        <c:scaling>
          <c:orientation val="minMax"/>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_(* #,##0_);_(* \(#,##0\);_(* &quot;-&quot;_);_(@_)"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39647424"/>
        <c:crosses val="autoZero"/>
        <c:crossBetween val="between"/>
      </c:valAx>
      <c:dateAx>
        <c:axId val="139672224"/>
        <c:scaling>
          <c:orientation val="minMax"/>
        </c:scaling>
        <c:delete val="1"/>
        <c:axPos val="b"/>
        <c:numFmt formatCode="m/d/yyyy" sourceLinked="1"/>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984130272"/>
        <c:crosses val="autoZero"/>
        <c:auto val="1"/>
        <c:lblOffset val="100"/>
        <c:baseTimeUnit val="days"/>
      </c:dateAx>
      <c:valAx>
        <c:axId val="1984130272"/>
        <c:scaling>
          <c:orientation val="minMax"/>
        </c:scaling>
        <c:delete val="0"/>
        <c:axPos val="r"/>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WoW</a:t>
                </a:r>
                <a:endParaRPr lang="en-US"/>
              </a:p>
            </c:rich>
          </c:tx>
          <c:layout/>
          <c:overlay val="0"/>
        </c:title>
        <c:numFmt formatCode="0%" sourceLinked="1"/>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39672224"/>
        <c:crosses val="max"/>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a15c553f-7129-4d28-9307-3665c022158c}"/>
      </c:ext>
    </c:extLst>
  </c:chart>
  <c:spPr>
    <a:ln w="25400" cap="flat" cmpd="sng" algn="ctr">
      <a:noFill/>
      <a:prstDash val="solid"/>
      <a:round/>
    </a:ln>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NAND Wafer </a:t>
            </a:r>
            <a:r>
              <a:rPr lang="en-US" sz="1000" b="1" i="0" u="none" strike="noStrike" baseline="0">
                <a:effectLst/>
              </a:rPr>
              <a:t>(3D TLC/QLC </a:t>
            </a:r>
            <a:r>
              <a:rPr lang="en-US" altLang="zh-CN" sz="1000" b="1" i="0" u="none" strike="noStrike" baseline="0">
                <a:effectLst/>
              </a:rPr>
              <a:t>1Tb</a:t>
            </a:r>
            <a:r>
              <a:rPr lang="en-US" sz="1000" b="1" i="0" u="none" strike="noStrike" baseline="0">
                <a:effectLst/>
              </a:rPr>
              <a:t>) </a:t>
            </a:r>
            <a:r>
              <a:rPr lang="en-US"/>
              <a:t>Spot &amp; Contract Price</a:t>
            </a:r>
            <a:endParaRPr lang="en-US"/>
          </a:p>
        </c:rich>
      </c:tx>
      <c:layout/>
      <c:overlay val="0"/>
    </c:title>
    <c:autoTitleDeleted val="0"/>
    <c:plotArea>
      <c:layout>
        <c:manualLayout>
          <c:layoutTarget val="inner"/>
          <c:xMode val="edge"/>
          <c:yMode val="edge"/>
          <c:x val="0.0742247786579002"/>
          <c:y val="0.146628739307569"/>
          <c:w val="0.902779324936866"/>
          <c:h val="0.550536041812073"/>
        </c:manualLayout>
      </c:layout>
      <c:lineChart>
        <c:grouping val="standard"/>
        <c:varyColors val="0"/>
        <c:ser>
          <c:idx val="0"/>
          <c:order val="0"/>
          <c:tx>
            <c:strRef>
              <c:f>NAND!$BF$26</c:f>
              <c:strCache>
                <c:ptCount val="1"/>
                <c:pt idx="0">
                  <c:v>Spot</c:v>
                </c:pt>
              </c:strCache>
            </c:strRef>
          </c:tx>
          <c:marker>
            <c:symbol val="none"/>
          </c:marker>
          <c:dLbls>
            <c:delete val="1"/>
          </c:dLbls>
          <c:cat>
            <c:numRef>
              <c:f>NAND!$BA$127:$BA$500</c:f>
              <c:numCache>
                <c:formatCode>yyyy/m/d</c:formatCode>
                <c:ptCount val="374"/>
                <c:pt idx="0" c:formatCode="yyyy/m/d">
                  <c:v>44200</c:v>
                </c:pt>
                <c:pt idx="1" c:formatCode="yyyy/m/d">
                  <c:v>44207</c:v>
                </c:pt>
                <c:pt idx="2" c:formatCode="yyyy/m/d">
                  <c:v>44214</c:v>
                </c:pt>
                <c:pt idx="3" c:formatCode="yyyy/m/d">
                  <c:v>44221</c:v>
                </c:pt>
                <c:pt idx="4" c:formatCode="yyyy/m/d">
                  <c:v>44228</c:v>
                </c:pt>
                <c:pt idx="5" c:formatCode="yyyy/m/d">
                  <c:v>44235</c:v>
                </c:pt>
                <c:pt idx="6" c:formatCode="yyyy/m/d">
                  <c:v>44244</c:v>
                </c:pt>
                <c:pt idx="7" c:formatCode="yyyy/m/d">
                  <c:v>44249</c:v>
                </c:pt>
                <c:pt idx="8" c:formatCode="yyyy/m/d">
                  <c:v>44256</c:v>
                </c:pt>
                <c:pt idx="9" c:formatCode="yyyy/m/d">
                  <c:v>44263</c:v>
                </c:pt>
                <c:pt idx="10" c:formatCode="yyyy/m/d">
                  <c:v>44270</c:v>
                </c:pt>
                <c:pt idx="11" c:formatCode="yyyy/m/d">
                  <c:v>44277</c:v>
                </c:pt>
                <c:pt idx="12" c:formatCode="yyyy/m/d">
                  <c:v>44284</c:v>
                </c:pt>
                <c:pt idx="13" c:formatCode="yyyy/m/d">
                  <c:v>44292</c:v>
                </c:pt>
                <c:pt idx="14" c:formatCode="yyyy/m/d">
                  <c:v>44298</c:v>
                </c:pt>
                <c:pt idx="15" c:formatCode="yyyy/m/d">
                  <c:v>44305</c:v>
                </c:pt>
                <c:pt idx="16" c:formatCode="yyyy/m/d">
                  <c:v>44312</c:v>
                </c:pt>
                <c:pt idx="17" c:formatCode="yyyy/m/d">
                  <c:v>44319</c:v>
                </c:pt>
                <c:pt idx="18" c:formatCode="yyyy/m/d">
                  <c:v>44326</c:v>
                </c:pt>
                <c:pt idx="19" c:formatCode="yyyy/m/d">
                  <c:v>44333</c:v>
                </c:pt>
                <c:pt idx="20" c:formatCode="yyyy/m/d">
                  <c:v>44340</c:v>
                </c:pt>
                <c:pt idx="21" c:formatCode="yyyy/m/d">
                  <c:v>44347</c:v>
                </c:pt>
                <c:pt idx="22" c:formatCode="yyyy/m/d">
                  <c:v>44354</c:v>
                </c:pt>
                <c:pt idx="23" c:formatCode="yyyy/m/d">
                  <c:v>44362</c:v>
                </c:pt>
                <c:pt idx="24" c:formatCode="yyyy/m/d">
                  <c:v>44368</c:v>
                </c:pt>
                <c:pt idx="25" c:formatCode="yyyy/m/d">
                  <c:v>44375</c:v>
                </c:pt>
                <c:pt idx="26" c:formatCode="yyyy/m/d">
                  <c:v>44382</c:v>
                </c:pt>
                <c:pt idx="27" c:formatCode="yyyy/m/d">
                  <c:v>44389</c:v>
                </c:pt>
                <c:pt idx="28" c:formatCode="yyyy/m/d">
                  <c:v>44396</c:v>
                </c:pt>
                <c:pt idx="29" c:formatCode="yyyy/m/d">
                  <c:v>44403</c:v>
                </c:pt>
                <c:pt idx="30" c:formatCode="yyyy/m/d">
                  <c:v>44410</c:v>
                </c:pt>
                <c:pt idx="31" c:formatCode="yyyy/m/d">
                  <c:v>44417</c:v>
                </c:pt>
                <c:pt idx="32" c:formatCode="yyyy/m/d">
                  <c:v>44424</c:v>
                </c:pt>
                <c:pt idx="33" c:formatCode="yyyy/m/d">
                  <c:v>44431</c:v>
                </c:pt>
                <c:pt idx="34" c:formatCode="yyyy/m/d">
                  <c:v>44438</c:v>
                </c:pt>
                <c:pt idx="35" c:formatCode="yyyy/m/d">
                  <c:v>44445</c:v>
                </c:pt>
                <c:pt idx="36" c:formatCode="yyyy/m/d">
                  <c:v>44452</c:v>
                </c:pt>
                <c:pt idx="37" c:formatCode="yyyy/m/d">
                  <c:v>44461</c:v>
                </c:pt>
                <c:pt idx="38" c:formatCode="yyyy/m/d">
                  <c:v>44466</c:v>
                </c:pt>
                <c:pt idx="39" c:formatCode="yyyy/m/d">
                  <c:v>44473</c:v>
                </c:pt>
                <c:pt idx="40" c:formatCode="yyyy/m/d">
                  <c:v>44480</c:v>
                </c:pt>
                <c:pt idx="41" c:formatCode="yyyy/m/d">
                  <c:v>44487</c:v>
                </c:pt>
                <c:pt idx="42" c:formatCode="yyyy/m/d">
                  <c:v>44494</c:v>
                </c:pt>
                <c:pt idx="43" c:formatCode="yyyy/m/d">
                  <c:v>44501</c:v>
                </c:pt>
                <c:pt idx="44" c:formatCode="yyyy/m/d">
                  <c:v>44508</c:v>
                </c:pt>
                <c:pt idx="45" c:formatCode="yyyy/m/d">
                  <c:v>44515</c:v>
                </c:pt>
                <c:pt idx="46" c:formatCode="yyyy/m/d">
                  <c:v>44522</c:v>
                </c:pt>
                <c:pt idx="47" c:formatCode="yyyy/m/d">
                  <c:v>44529</c:v>
                </c:pt>
                <c:pt idx="48" c:formatCode="yyyy/m/d">
                  <c:v>44536</c:v>
                </c:pt>
                <c:pt idx="49" c:formatCode="yyyy/m/d">
                  <c:v>44543</c:v>
                </c:pt>
                <c:pt idx="50" c:formatCode="yyyy/m/d">
                  <c:v>44550</c:v>
                </c:pt>
                <c:pt idx="51" c:formatCode="yyyy/m/d">
                  <c:v>44557</c:v>
                </c:pt>
                <c:pt idx="52" c:formatCode="yyyy/m/d">
                  <c:v>44564</c:v>
                </c:pt>
                <c:pt idx="53" c:formatCode="yyyy/m/d">
                  <c:v>44571</c:v>
                </c:pt>
                <c:pt idx="54" c:formatCode="yyyy/m/d">
                  <c:v>44578</c:v>
                </c:pt>
                <c:pt idx="55" c:formatCode="yyyy/m/d">
                  <c:v>44585</c:v>
                </c:pt>
                <c:pt idx="56" c:formatCode="yyyy/m/d">
                  <c:v>44599</c:v>
                </c:pt>
                <c:pt idx="57" c:formatCode="yyyy/m/d">
                  <c:v>44606</c:v>
                </c:pt>
                <c:pt idx="58" c:formatCode="yyyy/m/d">
                  <c:v>44613</c:v>
                </c:pt>
                <c:pt idx="59" c:formatCode="yyyy/m/d">
                  <c:v>44620</c:v>
                </c:pt>
                <c:pt idx="60" c:formatCode="yyyy/m/d">
                  <c:v>44627</c:v>
                </c:pt>
                <c:pt idx="61" c:formatCode="yyyy/m/d">
                  <c:v>44634</c:v>
                </c:pt>
                <c:pt idx="62" c:formatCode="yyyy/m/d">
                  <c:v>44641</c:v>
                </c:pt>
                <c:pt idx="63" c:formatCode="yyyy/m/d">
                  <c:v>44648</c:v>
                </c:pt>
                <c:pt idx="64" c:formatCode="yyyy/m/d">
                  <c:v>44657</c:v>
                </c:pt>
                <c:pt idx="65" c:formatCode="yyyy/m/d">
                  <c:v>44662</c:v>
                </c:pt>
                <c:pt idx="66" c:formatCode="yyyy/m/d">
                  <c:v>44669</c:v>
                </c:pt>
                <c:pt idx="67" c:formatCode="yyyy/m/d">
                  <c:v>44676</c:v>
                </c:pt>
                <c:pt idx="68" c:formatCode="yyyy/m/d">
                  <c:v>44684</c:v>
                </c:pt>
                <c:pt idx="69" c:formatCode="yyyy/m/d">
                  <c:v>44690</c:v>
                </c:pt>
                <c:pt idx="70" c:formatCode="yyyy/m/d">
                  <c:v>44697</c:v>
                </c:pt>
                <c:pt idx="71" c:formatCode="yyyy/m/d">
                  <c:v>44704</c:v>
                </c:pt>
                <c:pt idx="72" c:formatCode="yyyy/m/d">
                  <c:v>44711</c:v>
                </c:pt>
                <c:pt idx="73" c:formatCode="yyyy/m/d">
                  <c:v>44718</c:v>
                </c:pt>
                <c:pt idx="74" c:formatCode="yyyy/m/d">
                  <c:v>44725</c:v>
                </c:pt>
                <c:pt idx="75" c:formatCode="yyyy/m/d">
                  <c:v>44732</c:v>
                </c:pt>
                <c:pt idx="76" c:formatCode="yyyy/m/d">
                  <c:v>44739</c:v>
                </c:pt>
                <c:pt idx="77" c:formatCode="yyyy/m/d">
                  <c:v>44746</c:v>
                </c:pt>
                <c:pt idx="78" c:formatCode="yyyy/m/d">
                  <c:v>44753</c:v>
                </c:pt>
                <c:pt idx="79" c:formatCode="yyyy/m/d">
                  <c:v>44760</c:v>
                </c:pt>
                <c:pt idx="80" c:formatCode="yyyy/m/d">
                  <c:v>44767</c:v>
                </c:pt>
                <c:pt idx="81" c:formatCode="yyyy/m/d">
                  <c:v>44774</c:v>
                </c:pt>
                <c:pt idx="82" c:formatCode="yyyy/m/d">
                  <c:v>44781</c:v>
                </c:pt>
                <c:pt idx="83" c:formatCode="yyyy/m/d">
                  <c:v>44788</c:v>
                </c:pt>
                <c:pt idx="84" c:formatCode="yyyy/m/d">
                  <c:v>44795</c:v>
                </c:pt>
                <c:pt idx="85" c:formatCode="yyyy/m/d">
                  <c:v>44802</c:v>
                </c:pt>
                <c:pt idx="86" c:formatCode="yyyy/m/d">
                  <c:v>44809</c:v>
                </c:pt>
                <c:pt idx="87" c:formatCode="yyyy/m/d">
                  <c:v>44816</c:v>
                </c:pt>
                <c:pt idx="88" c:formatCode="yyyy/m/d">
                  <c:v>44823</c:v>
                </c:pt>
                <c:pt idx="89" c:formatCode="yyyy/m/d">
                  <c:v>44830</c:v>
                </c:pt>
                <c:pt idx="90" c:formatCode="yyyy/m/d">
                  <c:v>44837</c:v>
                </c:pt>
                <c:pt idx="91" c:formatCode="yyyy/m/d">
                  <c:v>44844</c:v>
                </c:pt>
                <c:pt idx="92" c:formatCode="yyyy/m/d">
                  <c:v>44851</c:v>
                </c:pt>
                <c:pt idx="93" c:formatCode="yyyy/m/d">
                  <c:v>44858</c:v>
                </c:pt>
                <c:pt idx="94" c:formatCode="yyyy/m/d">
                  <c:v>44865</c:v>
                </c:pt>
                <c:pt idx="95" c:formatCode="yyyy/m/d">
                  <c:v>44872</c:v>
                </c:pt>
                <c:pt idx="96" c:formatCode="yyyy/m/d">
                  <c:v>44879</c:v>
                </c:pt>
                <c:pt idx="97" c:formatCode="yyyy/m/d">
                  <c:v>44886</c:v>
                </c:pt>
                <c:pt idx="98" c:formatCode="yyyy/m/d">
                  <c:v>44893</c:v>
                </c:pt>
                <c:pt idx="99" c:formatCode="yyyy/m/d">
                  <c:v>44900</c:v>
                </c:pt>
                <c:pt idx="100" c:formatCode="yyyy/m/d">
                  <c:v>44907</c:v>
                </c:pt>
                <c:pt idx="101" c:formatCode="yyyy/m/d">
                  <c:v>44914</c:v>
                </c:pt>
                <c:pt idx="102" c:formatCode="yyyy/m/d">
                  <c:v>44921</c:v>
                </c:pt>
                <c:pt idx="103" c:formatCode="yyyy/m/d">
                  <c:v>44928</c:v>
                </c:pt>
                <c:pt idx="104" c:formatCode="yyyy/m/d">
                  <c:v>44935</c:v>
                </c:pt>
                <c:pt idx="105" c:formatCode="yyyy/m/d">
                  <c:v>44942</c:v>
                </c:pt>
                <c:pt idx="106" c:formatCode="yyyy/m/d">
                  <c:v>44956</c:v>
                </c:pt>
                <c:pt idx="107" c:formatCode="yyyy/m/d">
                  <c:v>44963</c:v>
                </c:pt>
                <c:pt idx="108" c:formatCode="yyyy/m/d">
                  <c:v>44970</c:v>
                </c:pt>
                <c:pt idx="109" c:formatCode="yyyy/m/d">
                  <c:v>44977</c:v>
                </c:pt>
                <c:pt idx="110" c:formatCode="yyyy/m/d">
                  <c:v>44984</c:v>
                </c:pt>
                <c:pt idx="111" c:formatCode="yyyy/m/d">
                  <c:v>44991</c:v>
                </c:pt>
                <c:pt idx="112" c:formatCode="yyyy/m/d">
                  <c:v>44998</c:v>
                </c:pt>
                <c:pt idx="113" c:formatCode="yyyy/m/d">
                  <c:v>45005</c:v>
                </c:pt>
                <c:pt idx="114" c:formatCode="yyyy/m/d">
                  <c:v>45012</c:v>
                </c:pt>
                <c:pt idx="115" c:formatCode="yyyy/m/d">
                  <c:v>45019</c:v>
                </c:pt>
                <c:pt idx="116" c:formatCode="yyyy/m/d">
                  <c:v>45026</c:v>
                </c:pt>
                <c:pt idx="117" c:formatCode="yyyy/m/d">
                  <c:v>45033</c:v>
                </c:pt>
                <c:pt idx="118" c:formatCode="yyyy/m/d">
                  <c:v>45040</c:v>
                </c:pt>
                <c:pt idx="119" c:formatCode="yyyy/m/d">
                  <c:v>45047</c:v>
                </c:pt>
                <c:pt idx="120" c:formatCode="yyyy/m/d">
                  <c:v>45054</c:v>
                </c:pt>
                <c:pt idx="121" c:formatCode="yyyy/m/d">
                  <c:v>45061</c:v>
                </c:pt>
                <c:pt idx="122" c:formatCode="yyyy/m/d">
                  <c:v>45068</c:v>
                </c:pt>
                <c:pt idx="123" c:formatCode="yyyy/m/d">
                  <c:v>45075</c:v>
                </c:pt>
                <c:pt idx="124" c:formatCode="yyyy/m/d">
                  <c:v>45082</c:v>
                </c:pt>
                <c:pt idx="125" c:formatCode="yyyy/m/d">
                  <c:v>45089</c:v>
                </c:pt>
                <c:pt idx="126" c:formatCode="yyyy/m/d">
                  <c:v>45096</c:v>
                </c:pt>
                <c:pt idx="127" c:formatCode="yyyy/m/d">
                  <c:v>45103</c:v>
                </c:pt>
                <c:pt idx="128" c:formatCode="yyyy/m/d">
                  <c:v>45110</c:v>
                </c:pt>
                <c:pt idx="129" c:formatCode="yyyy/m/d">
                  <c:v>45117</c:v>
                </c:pt>
                <c:pt idx="130" c:formatCode="yyyy/m/d">
                  <c:v>45124</c:v>
                </c:pt>
                <c:pt idx="131" c:formatCode="yyyy/m/d">
                  <c:v>45131</c:v>
                </c:pt>
                <c:pt idx="132" c:formatCode="yyyy/m/d">
                  <c:v>45138</c:v>
                </c:pt>
                <c:pt idx="133" c:formatCode="yyyy/m/d">
                  <c:v>45145</c:v>
                </c:pt>
                <c:pt idx="134" c:formatCode="yyyy/m/d">
                  <c:v>45152</c:v>
                </c:pt>
                <c:pt idx="135" c:formatCode="yyyy/m/d">
                  <c:v>45159</c:v>
                </c:pt>
                <c:pt idx="136" c:formatCode="yyyy/m/d">
                  <c:v>45166</c:v>
                </c:pt>
                <c:pt idx="137" c:formatCode="yyyy/m/d">
                  <c:v>45173</c:v>
                </c:pt>
                <c:pt idx="138" c:formatCode="yyyy/m/d">
                  <c:v>45180</c:v>
                </c:pt>
                <c:pt idx="139" c:formatCode="yyyy/m/d">
                  <c:v>45187</c:v>
                </c:pt>
                <c:pt idx="140" c:formatCode="yyyy/m/d">
                  <c:v>45194</c:v>
                </c:pt>
                <c:pt idx="141" c:formatCode="yyyy/m/d">
                  <c:v>45201</c:v>
                </c:pt>
                <c:pt idx="142" c:formatCode="yyyy/m/d">
                  <c:v>45208</c:v>
                </c:pt>
                <c:pt idx="143" c:formatCode="yyyy/m/d">
                  <c:v>45215</c:v>
                </c:pt>
                <c:pt idx="144" c:formatCode="yyyy/m/d">
                  <c:v>45222</c:v>
                </c:pt>
                <c:pt idx="145" c:formatCode="yyyy/m/d">
                  <c:v>45229</c:v>
                </c:pt>
                <c:pt idx="146" c:formatCode="yyyy/m/d">
                  <c:v>45236</c:v>
                </c:pt>
                <c:pt idx="147" c:formatCode="yyyy/m/d">
                  <c:v>45243</c:v>
                </c:pt>
                <c:pt idx="148" c:formatCode="yyyy/m/d">
                  <c:v>45250</c:v>
                </c:pt>
                <c:pt idx="149" c:formatCode="yyyy/m/d">
                  <c:v>45257</c:v>
                </c:pt>
                <c:pt idx="150" c:formatCode="yyyy/m/d">
                  <c:v>45264</c:v>
                </c:pt>
                <c:pt idx="151" c:formatCode="yyyy/m/d">
                  <c:v>45271</c:v>
                </c:pt>
                <c:pt idx="152" c:formatCode="yyyy/m/d">
                  <c:v>45278</c:v>
                </c:pt>
                <c:pt idx="153" c:formatCode="yyyy/m/d">
                  <c:v>45285</c:v>
                </c:pt>
                <c:pt idx="154" c:formatCode="yyyy/m/d">
                  <c:v>45292</c:v>
                </c:pt>
                <c:pt idx="155" c:formatCode="yyyy/m/d">
                  <c:v>45299</c:v>
                </c:pt>
                <c:pt idx="156" c:formatCode="yyyy/m/d">
                  <c:v>45306</c:v>
                </c:pt>
                <c:pt idx="157" c:formatCode="yyyy/m/d">
                  <c:v>45313</c:v>
                </c:pt>
                <c:pt idx="158" c:formatCode="yyyy/m/d">
                  <c:v>45320</c:v>
                </c:pt>
                <c:pt idx="159" c:formatCode="yyyy/m/d">
                  <c:v>45327</c:v>
                </c:pt>
                <c:pt idx="160" c:formatCode="yyyy/m/d">
                  <c:v>45334</c:v>
                </c:pt>
                <c:pt idx="161" c:formatCode="yyyy/m/d">
                  <c:v>45341</c:v>
                </c:pt>
                <c:pt idx="162" c:formatCode="yyyy/m/d">
                  <c:v>45348</c:v>
                </c:pt>
                <c:pt idx="163" c:formatCode="yyyy/m/d">
                  <c:v>45355</c:v>
                </c:pt>
                <c:pt idx="164" c:formatCode="yyyy/m/d">
                  <c:v>45362</c:v>
                </c:pt>
                <c:pt idx="165" c:formatCode="yyyy/m/d">
                  <c:v>45369</c:v>
                </c:pt>
                <c:pt idx="166" c:formatCode="yyyy/m/d">
                  <c:v>45376</c:v>
                </c:pt>
                <c:pt idx="167" c:formatCode="yyyy/m/d">
                  <c:v>45383</c:v>
                </c:pt>
                <c:pt idx="168" c:formatCode="yyyy/m/d">
                  <c:v>45390</c:v>
                </c:pt>
                <c:pt idx="169" c:formatCode="yyyy/m/d">
                  <c:v>45397</c:v>
                </c:pt>
                <c:pt idx="170" c:formatCode="yyyy/m/d">
                  <c:v>45404</c:v>
                </c:pt>
                <c:pt idx="171" c:formatCode="yyyy/m/d">
                  <c:v>45411</c:v>
                </c:pt>
                <c:pt idx="172" c:formatCode="yyyy/m/d">
                  <c:v>45418</c:v>
                </c:pt>
                <c:pt idx="173" c:formatCode="yyyy/m/d">
                  <c:v>45425</c:v>
                </c:pt>
                <c:pt idx="174" c:formatCode="yyyy/m/d">
                  <c:v>45432</c:v>
                </c:pt>
                <c:pt idx="175" c:formatCode="yyyy/m/d">
                  <c:v>45439</c:v>
                </c:pt>
                <c:pt idx="176" c:formatCode="yyyy/m/d">
                  <c:v>45446</c:v>
                </c:pt>
                <c:pt idx="177" c:formatCode="yyyy/m/d">
                  <c:v>45454</c:v>
                </c:pt>
                <c:pt idx="178" c:formatCode="yyyy/m/d">
                  <c:v>45460</c:v>
                </c:pt>
                <c:pt idx="179" c:formatCode="yyyy/m/d">
                  <c:v>45467</c:v>
                </c:pt>
                <c:pt idx="180" c:formatCode="yyyy/m/d">
                  <c:v>45474</c:v>
                </c:pt>
                <c:pt idx="181" c:formatCode="yyyy/m/d">
                  <c:v>45481</c:v>
                </c:pt>
                <c:pt idx="182" c:formatCode="yyyy/m/d">
                  <c:v>45488</c:v>
                </c:pt>
                <c:pt idx="183" c:formatCode="yyyy/m/d">
                  <c:v>45495</c:v>
                </c:pt>
                <c:pt idx="184" c:formatCode="yyyy/m/d">
                  <c:v>45502</c:v>
                </c:pt>
                <c:pt idx="185" c:formatCode="yyyy/m/d">
                  <c:v>45509</c:v>
                </c:pt>
                <c:pt idx="186" c:formatCode="yyyy/m/d">
                  <c:v>45516</c:v>
                </c:pt>
                <c:pt idx="187" c:formatCode="yyyy/m/d">
                  <c:v>45523</c:v>
                </c:pt>
                <c:pt idx="188" c:formatCode="yyyy/m/d">
                  <c:v>45530</c:v>
                </c:pt>
                <c:pt idx="189" c:formatCode="yyyy/m/d">
                  <c:v>45537</c:v>
                </c:pt>
                <c:pt idx="190" c:formatCode="yyyy/m/d">
                  <c:v>45544</c:v>
                </c:pt>
                <c:pt idx="191" c:formatCode="yyyy/m/d">
                  <c:v>45551</c:v>
                </c:pt>
                <c:pt idx="192" c:formatCode="yyyy/m/d">
                  <c:v>45558</c:v>
                </c:pt>
                <c:pt idx="193" c:formatCode="yyyy/m/d">
                  <c:v>45565</c:v>
                </c:pt>
                <c:pt idx="194" c:formatCode="yyyy/m/d">
                  <c:v>45572</c:v>
                </c:pt>
                <c:pt idx="195" c:formatCode="yyyy/m/d">
                  <c:v>45579</c:v>
                </c:pt>
                <c:pt idx="196" c:formatCode="yyyy/m/d">
                  <c:v>45586</c:v>
                </c:pt>
                <c:pt idx="197" c:formatCode="yyyy/m/d">
                  <c:v>45593</c:v>
                </c:pt>
                <c:pt idx="198" c:formatCode="yyyy/m/d">
                  <c:v>45600</c:v>
                </c:pt>
                <c:pt idx="199" c:formatCode="yyyy/m/d">
                  <c:v>45607</c:v>
                </c:pt>
                <c:pt idx="200" c:formatCode="yyyy/m/d">
                  <c:v>45614</c:v>
                </c:pt>
                <c:pt idx="201" c:formatCode="yyyy/m/d">
                  <c:v>45621</c:v>
                </c:pt>
                <c:pt idx="202" c:formatCode="yyyy/m/d">
                  <c:v>45628</c:v>
                </c:pt>
                <c:pt idx="203" c:formatCode="yyyy/m/d">
                  <c:v>45635</c:v>
                </c:pt>
                <c:pt idx="204" c:formatCode="yyyy/m/d">
                  <c:v>45642</c:v>
                </c:pt>
                <c:pt idx="205" c:formatCode="yyyy/m/d">
                  <c:v>45649</c:v>
                </c:pt>
                <c:pt idx="206" c:formatCode="yyyy/m/d">
                  <c:v>45656</c:v>
                </c:pt>
                <c:pt idx="207" c:formatCode="yyyy/m/d">
                  <c:v>45663</c:v>
                </c:pt>
                <c:pt idx="208" c:formatCode="yyyy/m/d">
                  <c:v>45670</c:v>
                </c:pt>
                <c:pt idx="209" c:formatCode="yyyy/m/d">
                  <c:v>45677</c:v>
                </c:pt>
                <c:pt idx="210" c:formatCode="yyyy/m/d">
                  <c:v>45684</c:v>
                </c:pt>
                <c:pt idx="211" c:formatCode="yyyy/m/d">
                  <c:v>45691</c:v>
                </c:pt>
                <c:pt idx="212" c:formatCode="yyyy/m/d">
                  <c:v>45698</c:v>
                </c:pt>
                <c:pt idx="213" c:formatCode="yyyy/m/d">
                  <c:v>45705</c:v>
                </c:pt>
                <c:pt idx="214" c:formatCode="yyyy/m/d">
                  <c:v>45712</c:v>
                </c:pt>
                <c:pt idx="215" c:formatCode="yyyy/m/d">
                  <c:v>45719</c:v>
                </c:pt>
                <c:pt idx="216" c:formatCode="yyyy/m/d">
                  <c:v>45726</c:v>
                </c:pt>
                <c:pt idx="217" c:formatCode="yyyy/m/d">
                  <c:v>45733</c:v>
                </c:pt>
                <c:pt idx="218" c:formatCode="yyyy/m/d">
                  <c:v>45740</c:v>
                </c:pt>
                <c:pt idx="219" c:formatCode="yyyy/m/d">
                  <c:v>45747</c:v>
                </c:pt>
                <c:pt idx="220" c:formatCode="yyyy/m/d">
                  <c:v>45754</c:v>
                </c:pt>
                <c:pt idx="221" c:formatCode="yyyy/m/d">
                  <c:v>45761</c:v>
                </c:pt>
                <c:pt idx="222" c:formatCode="yyyy/m/d">
                  <c:v>45768</c:v>
                </c:pt>
                <c:pt idx="223" c:formatCode="yyyy/m/d">
                  <c:v>45775</c:v>
                </c:pt>
                <c:pt idx="224" c:formatCode="yyyy/m/d">
                  <c:v>45782</c:v>
                </c:pt>
                <c:pt idx="225" c:formatCode="yyyy/m/d">
                  <c:v>45789</c:v>
                </c:pt>
                <c:pt idx="226" c:formatCode="yyyy/m/d">
                  <c:v>45796</c:v>
                </c:pt>
                <c:pt idx="227" c:formatCode="yyyy/m/d">
                  <c:v>45803</c:v>
                </c:pt>
                <c:pt idx="228" c:formatCode="yyyy/m/d">
                  <c:v>45810</c:v>
                </c:pt>
                <c:pt idx="229" c:formatCode="yyyy/m/d">
                  <c:v>45817</c:v>
                </c:pt>
                <c:pt idx="230" c:formatCode="yyyy/m/d">
                  <c:v>45824</c:v>
                </c:pt>
                <c:pt idx="231" c:formatCode="yyyy/m/d">
                  <c:v>45831</c:v>
                </c:pt>
                <c:pt idx="232" c:formatCode="yyyy/m/d">
                  <c:v>45838</c:v>
                </c:pt>
                <c:pt idx="233" c:formatCode="yyyy/m/d">
                  <c:v>45845</c:v>
                </c:pt>
                <c:pt idx="234" c:formatCode="yyyy/m/d">
                  <c:v>45852</c:v>
                </c:pt>
                <c:pt idx="235" c:formatCode="yyyy/m/d">
                  <c:v>45859</c:v>
                </c:pt>
                <c:pt idx="236" c:formatCode="yyyy/m/d">
                  <c:v>45866</c:v>
                </c:pt>
                <c:pt idx="237" c:formatCode="yyyy/m/d">
                  <c:v>45873</c:v>
                </c:pt>
                <c:pt idx="238" c:formatCode="yyyy/m/d">
                  <c:v>45880</c:v>
                </c:pt>
                <c:pt idx="239" c:formatCode="yyyy/m/d">
                  <c:v>45887</c:v>
                </c:pt>
                <c:pt idx="240" c:formatCode="yyyy/m/d">
                  <c:v>45894</c:v>
                </c:pt>
                <c:pt idx="241" c:formatCode="yyyy/m/d">
                  <c:v>45901</c:v>
                </c:pt>
                <c:pt idx="242" c:formatCode="yyyy/m/d">
                  <c:v>45908</c:v>
                </c:pt>
                <c:pt idx="243" c:formatCode="yyyy/m/d">
                  <c:v>45915</c:v>
                </c:pt>
                <c:pt idx="244" c:formatCode="yyyy/m/d">
                  <c:v>45922</c:v>
                </c:pt>
                <c:pt idx="245" c:formatCode="yyyy/m/d">
                  <c:v>45929</c:v>
                </c:pt>
                <c:pt idx="246" c:formatCode="yyyy/m/d">
                  <c:v>45936</c:v>
                </c:pt>
                <c:pt idx="247" c:formatCode="yyyy/m/d">
                  <c:v>45943</c:v>
                </c:pt>
                <c:pt idx="248" c:formatCode="yyyy/m/d">
                  <c:v>45950</c:v>
                </c:pt>
                <c:pt idx="249" c:formatCode="yyyy/m/d">
                  <c:v>45957</c:v>
                </c:pt>
                <c:pt idx="250" c:formatCode="yyyy/m/d">
                  <c:v>45964</c:v>
                </c:pt>
                <c:pt idx="251" c:formatCode="yyyy/m/d">
                  <c:v>45971</c:v>
                </c:pt>
                <c:pt idx="252" c:formatCode="yyyy/m/d">
                  <c:v>45978</c:v>
                </c:pt>
                <c:pt idx="253" c:formatCode="yyyy/m/d">
                  <c:v>45985</c:v>
                </c:pt>
                <c:pt idx="254" c:formatCode="yyyy/m/d">
                  <c:v>45992</c:v>
                </c:pt>
                <c:pt idx="255" c:formatCode="yyyy/m/d">
                  <c:v>45999</c:v>
                </c:pt>
                <c:pt idx="256" c:formatCode="yyyy/m/d">
                  <c:v>46006</c:v>
                </c:pt>
                <c:pt idx="257" c:formatCode="yyyy/m/d">
                  <c:v>46013</c:v>
                </c:pt>
                <c:pt idx="258" c:formatCode="yyyy/m/d">
                  <c:v>46020</c:v>
                </c:pt>
                <c:pt idx="259" c:formatCode="yyyy/m/d">
                  <c:v>46027</c:v>
                </c:pt>
                <c:pt idx="260" c:formatCode="yyyy/m/d">
                  <c:v>46034</c:v>
                </c:pt>
                <c:pt idx="261" c:formatCode="yyyy/m/d">
                  <c:v>46041</c:v>
                </c:pt>
                <c:pt idx="262" c:formatCode="yyyy/m/d">
                  <c:v>46048</c:v>
                </c:pt>
                <c:pt idx="263" c:formatCode="yyyy/m/d">
                  <c:v>46055</c:v>
                </c:pt>
                <c:pt idx="264" c:formatCode="yyyy/m/d">
                  <c:v>46062</c:v>
                </c:pt>
                <c:pt idx="265" c:formatCode="yyyy/m/d">
                  <c:v>46076</c:v>
                </c:pt>
                <c:pt idx="266" c:formatCode="yyyy/m/d">
                  <c:v>46083</c:v>
                </c:pt>
                <c:pt idx="267" c:formatCode="yyyy/m/d">
                  <c:v>46090</c:v>
                </c:pt>
                <c:pt idx="268" c:formatCode="yyyy/m/d">
                  <c:v>46097</c:v>
                </c:pt>
                <c:pt idx="269" c:formatCode="yyyy/m/d">
                  <c:v>46104</c:v>
                </c:pt>
                <c:pt idx="270" c:formatCode="yyyy/m/d">
                  <c:v>46111</c:v>
                </c:pt>
                <c:pt idx="271" c:formatCode="yyyy/m/d">
                  <c:v>46119</c:v>
                </c:pt>
                <c:pt idx="272" c:formatCode="yyyy/m/d">
                  <c:v>46125</c:v>
                </c:pt>
                <c:pt idx="273" c:formatCode="yyyy/m/d">
                  <c:v>46132</c:v>
                </c:pt>
                <c:pt idx="274" c:formatCode="yyyy/m/d">
                  <c:v>46139</c:v>
                </c:pt>
                <c:pt idx="275" c:formatCode="yyyy/m/d">
                  <c:v>46146</c:v>
                </c:pt>
                <c:pt idx="276" c:formatCode="yyyy/m/d">
                  <c:v>46153</c:v>
                </c:pt>
                <c:pt idx="277" c:formatCode="yyyy/m/d">
                  <c:v>46160</c:v>
                </c:pt>
                <c:pt idx="278" c:formatCode="yyyy/m/d">
                  <c:v>46167</c:v>
                </c:pt>
                <c:pt idx="279" c:formatCode="yyyy/m/d">
                  <c:v>46174</c:v>
                </c:pt>
              </c:numCache>
            </c:numRef>
          </c:cat>
          <c:val>
            <c:numRef>
              <c:f>NAND!$BF$127:$BF$500</c:f>
              <c:numCache>
                <c:formatCode>_(* #,##0.00_);_(* \(#,##0.00\);_(* "-"??_);_(@_)</c:formatCode>
                <c:ptCount val="374"/>
                <c:pt idx="100">
                  <c:v>3.742</c:v>
                </c:pt>
                <c:pt idx="101">
                  <c:v>3.729</c:v>
                </c:pt>
                <c:pt idx="102">
                  <c:v>3.683</c:v>
                </c:pt>
                <c:pt idx="103">
                  <c:v>3.65</c:v>
                </c:pt>
                <c:pt idx="104">
                  <c:v>3.642</c:v>
                </c:pt>
                <c:pt idx="105">
                  <c:v>3.621</c:v>
                </c:pt>
                <c:pt idx="106">
                  <c:v>3.621</c:v>
                </c:pt>
                <c:pt idx="107">
                  <c:v>3.604</c:v>
                </c:pt>
                <c:pt idx="108">
                  <c:v>3.583</c:v>
                </c:pt>
                <c:pt idx="109">
                  <c:v>3.563</c:v>
                </c:pt>
                <c:pt idx="110">
                  <c:v>3.542</c:v>
                </c:pt>
                <c:pt idx="111">
                  <c:v>3.483</c:v>
                </c:pt>
                <c:pt idx="112">
                  <c:v>3.217</c:v>
                </c:pt>
                <c:pt idx="113">
                  <c:v>3.152</c:v>
                </c:pt>
                <c:pt idx="114">
                  <c:v>3.069</c:v>
                </c:pt>
                <c:pt idx="115">
                  <c:v>3.048</c:v>
                </c:pt>
                <c:pt idx="116">
                  <c:v>3.038</c:v>
                </c:pt>
                <c:pt idx="117">
                  <c:v>3.008</c:v>
                </c:pt>
                <c:pt idx="118">
                  <c:v>2.958</c:v>
                </c:pt>
                <c:pt idx="119">
                  <c:v>2.958</c:v>
                </c:pt>
                <c:pt idx="120">
                  <c:v>2.9</c:v>
                </c:pt>
                <c:pt idx="121">
                  <c:v>2.898</c:v>
                </c:pt>
                <c:pt idx="122">
                  <c:v>2.892</c:v>
                </c:pt>
                <c:pt idx="123">
                  <c:v>2.838</c:v>
                </c:pt>
                <c:pt idx="124">
                  <c:v>2.834</c:v>
                </c:pt>
                <c:pt idx="125">
                  <c:v>2.829</c:v>
                </c:pt>
                <c:pt idx="126">
                  <c:v>2.808</c:v>
                </c:pt>
                <c:pt idx="127">
                  <c:v>2.808</c:v>
                </c:pt>
                <c:pt idx="128">
                  <c:v>2.804</c:v>
                </c:pt>
                <c:pt idx="129">
                  <c:v>2.788</c:v>
                </c:pt>
                <c:pt idx="130">
                  <c:v>2.779</c:v>
                </c:pt>
                <c:pt idx="131">
                  <c:v>2.781</c:v>
                </c:pt>
                <c:pt idx="132">
                  <c:v>2.804</c:v>
                </c:pt>
                <c:pt idx="133">
                  <c:v>2.838</c:v>
                </c:pt>
                <c:pt idx="134">
                  <c:v>2.858</c:v>
                </c:pt>
                <c:pt idx="135">
                  <c:v>2.955</c:v>
                </c:pt>
                <c:pt idx="136">
                  <c:v>3.05</c:v>
                </c:pt>
                <c:pt idx="137">
                  <c:v>3.071</c:v>
                </c:pt>
                <c:pt idx="138">
                  <c:v>3.2</c:v>
                </c:pt>
                <c:pt idx="139">
                  <c:v>3.402</c:v>
                </c:pt>
                <c:pt idx="140">
                  <c:v>3.528</c:v>
                </c:pt>
                <c:pt idx="141">
                  <c:v>3.569</c:v>
                </c:pt>
                <c:pt idx="142">
                  <c:v>3.577</c:v>
                </c:pt>
                <c:pt idx="143">
                  <c:v>3.815</c:v>
                </c:pt>
                <c:pt idx="144">
                  <c:v>3.981</c:v>
                </c:pt>
                <c:pt idx="145">
                  <c:v>4.365</c:v>
                </c:pt>
                <c:pt idx="146">
                  <c:v>4.609</c:v>
                </c:pt>
                <c:pt idx="147">
                  <c:v>4.912</c:v>
                </c:pt>
                <c:pt idx="148">
                  <c:v>4.912</c:v>
                </c:pt>
                <c:pt idx="149">
                  <c:v>5.394</c:v>
                </c:pt>
                <c:pt idx="150">
                  <c:v>5.406</c:v>
                </c:pt>
                <c:pt idx="151">
                  <c:v>5.421</c:v>
                </c:pt>
                <c:pt idx="152">
                  <c:v>5.706</c:v>
                </c:pt>
                <c:pt idx="153">
                  <c:v>5.976</c:v>
                </c:pt>
                <c:pt idx="154">
                  <c:v>5.962</c:v>
                </c:pt>
                <c:pt idx="155">
                  <c:v>5.947</c:v>
                </c:pt>
                <c:pt idx="156">
                  <c:v>5.947</c:v>
                </c:pt>
                <c:pt idx="157">
                  <c:v>5.971</c:v>
                </c:pt>
                <c:pt idx="158">
                  <c:v>6.059</c:v>
                </c:pt>
                <c:pt idx="159">
                  <c:v>6.059</c:v>
                </c:pt>
                <c:pt idx="160">
                  <c:v>6.059</c:v>
                </c:pt>
                <c:pt idx="161">
                  <c:v>6.059</c:v>
                </c:pt>
                <c:pt idx="162">
                  <c:v>6.129</c:v>
                </c:pt>
                <c:pt idx="163">
                  <c:v>6.415</c:v>
                </c:pt>
                <c:pt idx="164">
                  <c:v>6.385</c:v>
                </c:pt>
                <c:pt idx="165">
                  <c:v>6.835</c:v>
                </c:pt>
                <c:pt idx="166">
                  <c:v>6.806</c:v>
                </c:pt>
                <c:pt idx="167">
                  <c:v>6.806</c:v>
                </c:pt>
                <c:pt idx="168">
                  <c:v>6.806</c:v>
                </c:pt>
                <c:pt idx="169">
                  <c:v>6.971</c:v>
                </c:pt>
                <c:pt idx="170">
                  <c:v>7.059</c:v>
                </c:pt>
                <c:pt idx="171">
                  <c:v>7.118</c:v>
                </c:pt>
                <c:pt idx="172">
                  <c:v>7.197</c:v>
                </c:pt>
                <c:pt idx="173">
                  <c:v>7.147</c:v>
                </c:pt>
                <c:pt idx="174">
                  <c:v>6.985</c:v>
                </c:pt>
                <c:pt idx="175">
                  <c:v>6.876</c:v>
                </c:pt>
                <c:pt idx="176">
                  <c:v>6.829</c:v>
                </c:pt>
                <c:pt idx="177">
                  <c:v>6.712</c:v>
                </c:pt>
                <c:pt idx="178">
                  <c:v>6.668</c:v>
                </c:pt>
                <c:pt idx="179">
                  <c:v>6.624</c:v>
                </c:pt>
                <c:pt idx="180">
                  <c:v>6.624</c:v>
                </c:pt>
                <c:pt idx="181">
                  <c:v>6.59</c:v>
                </c:pt>
                <c:pt idx="182">
                  <c:v>6.57</c:v>
                </c:pt>
                <c:pt idx="183">
                  <c:v>6.56</c:v>
                </c:pt>
                <c:pt idx="184">
                  <c:v>6.56</c:v>
                </c:pt>
                <c:pt idx="185">
                  <c:v>6.54</c:v>
                </c:pt>
                <c:pt idx="186">
                  <c:v>6.53</c:v>
                </c:pt>
                <c:pt idx="187">
                  <c:v>6.53</c:v>
                </c:pt>
                <c:pt idx="188">
                  <c:v>6.52</c:v>
                </c:pt>
                <c:pt idx="189">
                  <c:v>6.52</c:v>
                </c:pt>
                <c:pt idx="190">
                  <c:v>6.32</c:v>
                </c:pt>
                <c:pt idx="191">
                  <c:v>6.3</c:v>
                </c:pt>
                <c:pt idx="192">
                  <c:v>6.3</c:v>
                </c:pt>
                <c:pt idx="193">
                  <c:v>6.05</c:v>
                </c:pt>
                <c:pt idx="194">
                  <c:v>6.01</c:v>
                </c:pt>
                <c:pt idx="195">
                  <c:v>6</c:v>
                </c:pt>
                <c:pt idx="196">
                  <c:v>5.93</c:v>
                </c:pt>
                <c:pt idx="197">
                  <c:v>5.72</c:v>
                </c:pt>
                <c:pt idx="198">
                  <c:v>5.21</c:v>
                </c:pt>
                <c:pt idx="199">
                  <c:v>5.17</c:v>
                </c:pt>
                <c:pt idx="200">
                  <c:v>5.14</c:v>
                </c:pt>
                <c:pt idx="201">
                  <c:v>5.13</c:v>
                </c:pt>
                <c:pt idx="202">
                  <c:v>5.11</c:v>
                </c:pt>
                <c:pt idx="203">
                  <c:v>5.08</c:v>
                </c:pt>
                <c:pt idx="204">
                  <c:v>5.07</c:v>
                </c:pt>
                <c:pt idx="205">
                  <c:v>5.06</c:v>
                </c:pt>
                <c:pt idx="206">
                  <c:v>5.09</c:v>
                </c:pt>
                <c:pt idx="207">
                  <c:v>5.07</c:v>
                </c:pt>
                <c:pt idx="208">
                  <c:v>5.06</c:v>
                </c:pt>
                <c:pt idx="209">
                  <c:v>5.01</c:v>
                </c:pt>
                <c:pt idx="210">
                  <c:v>5</c:v>
                </c:pt>
                <c:pt idx="211">
                  <c:v>5</c:v>
                </c:pt>
                <c:pt idx="212">
                  <c:v>5</c:v>
                </c:pt>
                <c:pt idx="213">
                  <c:v>4.97</c:v>
                </c:pt>
                <c:pt idx="214">
                  <c:v>4.96</c:v>
                </c:pt>
                <c:pt idx="215">
                  <c:v>4.97</c:v>
                </c:pt>
                <c:pt idx="216">
                  <c:v>4.98</c:v>
                </c:pt>
                <c:pt idx="217">
                  <c:v>5.05</c:v>
                </c:pt>
                <c:pt idx="218">
                  <c:v>5.11</c:v>
                </c:pt>
                <c:pt idx="219">
                  <c:v>5.17</c:v>
                </c:pt>
                <c:pt idx="220">
                  <c:v>5.17</c:v>
                </c:pt>
                <c:pt idx="221">
                  <c:v>5.16</c:v>
                </c:pt>
                <c:pt idx="222">
                  <c:v>5.18</c:v>
                </c:pt>
                <c:pt idx="223">
                  <c:v>5.17</c:v>
                </c:pt>
                <c:pt idx="224">
                  <c:v>5.16</c:v>
                </c:pt>
                <c:pt idx="225">
                  <c:v>5.15</c:v>
                </c:pt>
                <c:pt idx="226">
                  <c:v>5.15</c:v>
                </c:pt>
                <c:pt idx="227">
                  <c:v>5.14</c:v>
                </c:pt>
                <c:pt idx="228">
                  <c:v>5.13</c:v>
                </c:pt>
                <c:pt idx="229">
                  <c:v>5.11</c:v>
                </c:pt>
                <c:pt idx="230">
                  <c:v>5.08</c:v>
                </c:pt>
                <c:pt idx="231">
                  <c:v>5.07</c:v>
                </c:pt>
                <c:pt idx="232">
                  <c:v>5.06</c:v>
                </c:pt>
                <c:pt idx="233">
                  <c:v>5.06</c:v>
                </c:pt>
                <c:pt idx="234">
                  <c:v>5.05</c:v>
                </c:pt>
                <c:pt idx="235">
                  <c:v>5.06</c:v>
                </c:pt>
                <c:pt idx="236">
                  <c:v>5.12</c:v>
                </c:pt>
                <c:pt idx="237">
                  <c:v>5.12</c:v>
                </c:pt>
                <c:pt idx="238">
                  <c:v>5.1</c:v>
                </c:pt>
                <c:pt idx="239">
                  <c:v>5.1</c:v>
                </c:pt>
                <c:pt idx="240">
                  <c:v>5.1</c:v>
                </c:pt>
                <c:pt idx="241">
                  <c:v>5.09</c:v>
                </c:pt>
                <c:pt idx="242">
                  <c:v>5.07</c:v>
                </c:pt>
                <c:pt idx="243">
                  <c:v>5.07</c:v>
                </c:pt>
                <c:pt idx="244">
                  <c:v>5.29</c:v>
                </c:pt>
                <c:pt idx="245">
                  <c:v>5.58</c:v>
                </c:pt>
                <c:pt idx="246">
                  <c:v>5.83</c:v>
                </c:pt>
                <c:pt idx="247">
                  <c:v>5.97</c:v>
                </c:pt>
                <c:pt idx="248">
                  <c:v>6.42</c:v>
                </c:pt>
                <c:pt idx="249">
                  <c:v>6.67</c:v>
                </c:pt>
                <c:pt idx="250">
                  <c:v>7.53</c:v>
                </c:pt>
                <c:pt idx="251">
                  <c:v>8.47</c:v>
                </c:pt>
                <c:pt idx="252">
                  <c:v>9.92</c:v>
                </c:pt>
                <c:pt idx="253">
                  <c:v>12.43</c:v>
                </c:pt>
                <c:pt idx="254">
                  <c:v>12.63</c:v>
                </c:pt>
                <c:pt idx="255">
                  <c:v>12.64</c:v>
                </c:pt>
                <c:pt idx="256">
                  <c:v>12.63</c:v>
                </c:pt>
                <c:pt idx="257">
                  <c:v>14.68</c:v>
                </c:pt>
                <c:pt idx="258">
                  <c:v>16.67</c:v>
                </c:pt>
                <c:pt idx="259">
                  <c:v>17.08</c:v>
                </c:pt>
                <c:pt idx="260">
                  <c:v>17.92</c:v>
                </c:pt>
                <c:pt idx="261">
                  <c:v>18.42</c:v>
                </c:pt>
                <c:pt idx="262">
                  <c:v>19.5</c:v>
                </c:pt>
                <c:pt idx="263">
                  <c:v>21.17</c:v>
                </c:pt>
                <c:pt idx="264">
                  <c:v>21.54</c:v>
                </c:pt>
                <c:pt idx="265">
                  <c:v>21.54</c:v>
                </c:pt>
                <c:pt idx="266">
                  <c:v>24.42</c:v>
                </c:pt>
                <c:pt idx="267">
                  <c:v>27.75</c:v>
                </c:pt>
                <c:pt idx="268">
                  <c:v>28.17</c:v>
                </c:pt>
                <c:pt idx="269">
                  <c:v>27.92</c:v>
                </c:pt>
                <c:pt idx="270">
                  <c:v>27.17</c:v>
                </c:pt>
                <c:pt idx="271">
                  <c:v>26.67</c:v>
                </c:pt>
                <c:pt idx="272">
                  <c:v>25.75</c:v>
                </c:pt>
                <c:pt idx="273">
                  <c:v>25.58</c:v>
                </c:pt>
                <c:pt idx="274">
                  <c:v>25.17</c:v>
                </c:pt>
                <c:pt idx="275">
                  <c:v>24.88</c:v>
                </c:pt>
                <c:pt idx="276">
                  <c:v>25.04</c:v>
                </c:pt>
                <c:pt idx="277">
                  <c:v>25.29</c:v>
                </c:pt>
                <c:pt idx="278">
                  <c:v>25.21</c:v>
                </c:pt>
                <c:pt idx="279">
                  <c:v>25.31</c:v>
                </c:pt>
              </c:numCache>
            </c:numRef>
          </c:val>
          <c:smooth val="0"/>
        </c:ser>
        <c:ser>
          <c:idx val="1"/>
          <c:order val="1"/>
          <c:tx>
            <c:strRef>
              <c:f>NAND!$BG$26</c:f>
              <c:strCache>
                <c:ptCount val="1"/>
                <c:pt idx="0">
                  <c:v>Contract</c:v>
                </c:pt>
              </c:strCache>
            </c:strRef>
          </c:tx>
          <c:marker>
            <c:symbol val="none"/>
          </c:marker>
          <c:dLbls>
            <c:delete val="1"/>
          </c:dLbls>
          <c:cat>
            <c:numRef>
              <c:f>NAND!$BA$127:$BA$500</c:f>
              <c:numCache>
                <c:formatCode>yyyy/m/d</c:formatCode>
                <c:ptCount val="374"/>
                <c:pt idx="0" c:formatCode="yyyy/m/d">
                  <c:v>44200</c:v>
                </c:pt>
                <c:pt idx="1" c:formatCode="yyyy/m/d">
                  <c:v>44207</c:v>
                </c:pt>
                <c:pt idx="2" c:formatCode="yyyy/m/d">
                  <c:v>44214</c:v>
                </c:pt>
                <c:pt idx="3" c:formatCode="yyyy/m/d">
                  <c:v>44221</c:v>
                </c:pt>
                <c:pt idx="4" c:formatCode="yyyy/m/d">
                  <c:v>44228</c:v>
                </c:pt>
                <c:pt idx="5" c:formatCode="yyyy/m/d">
                  <c:v>44235</c:v>
                </c:pt>
                <c:pt idx="6" c:formatCode="yyyy/m/d">
                  <c:v>44244</c:v>
                </c:pt>
                <c:pt idx="7" c:formatCode="yyyy/m/d">
                  <c:v>44249</c:v>
                </c:pt>
                <c:pt idx="8" c:formatCode="yyyy/m/d">
                  <c:v>44256</c:v>
                </c:pt>
                <c:pt idx="9" c:formatCode="yyyy/m/d">
                  <c:v>44263</c:v>
                </c:pt>
                <c:pt idx="10" c:formatCode="yyyy/m/d">
                  <c:v>44270</c:v>
                </c:pt>
                <c:pt idx="11" c:formatCode="yyyy/m/d">
                  <c:v>44277</c:v>
                </c:pt>
                <c:pt idx="12" c:formatCode="yyyy/m/d">
                  <c:v>44284</c:v>
                </c:pt>
                <c:pt idx="13" c:formatCode="yyyy/m/d">
                  <c:v>44292</c:v>
                </c:pt>
                <c:pt idx="14" c:formatCode="yyyy/m/d">
                  <c:v>44298</c:v>
                </c:pt>
                <c:pt idx="15" c:formatCode="yyyy/m/d">
                  <c:v>44305</c:v>
                </c:pt>
                <c:pt idx="16" c:formatCode="yyyy/m/d">
                  <c:v>44312</c:v>
                </c:pt>
                <c:pt idx="17" c:formatCode="yyyy/m/d">
                  <c:v>44319</c:v>
                </c:pt>
                <c:pt idx="18" c:formatCode="yyyy/m/d">
                  <c:v>44326</c:v>
                </c:pt>
                <c:pt idx="19" c:formatCode="yyyy/m/d">
                  <c:v>44333</c:v>
                </c:pt>
                <c:pt idx="20" c:formatCode="yyyy/m/d">
                  <c:v>44340</c:v>
                </c:pt>
                <c:pt idx="21" c:formatCode="yyyy/m/d">
                  <c:v>44347</c:v>
                </c:pt>
                <c:pt idx="22" c:formatCode="yyyy/m/d">
                  <c:v>44354</c:v>
                </c:pt>
                <c:pt idx="23" c:formatCode="yyyy/m/d">
                  <c:v>44362</c:v>
                </c:pt>
                <c:pt idx="24" c:formatCode="yyyy/m/d">
                  <c:v>44368</c:v>
                </c:pt>
                <c:pt idx="25" c:formatCode="yyyy/m/d">
                  <c:v>44375</c:v>
                </c:pt>
                <c:pt idx="26" c:formatCode="yyyy/m/d">
                  <c:v>44382</c:v>
                </c:pt>
                <c:pt idx="27" c:formatCode="yyyy/m/d">
                  <c:v>44389</c:v>
                </c:pt>
                <c:pt idx="28" c:formatCode="yyyy/m/d">
                  <c:v>44396</c:v>
                </c:pt>
                <c:pt idx="29" c:formatCode="yyyy/m/d">
                  <c:v>44403</c:v>
                </c:pt>
                <c:pt idx="30" c:formatCode="yyyy/m/d">
                  <c:v>44410</c:v>
                </c:pt>
                <c:pt idx="31" c:formatCode="yyyy/m/d">
                  <c:v>44417</c:v>
                </c:pt>
                <c:pt idx="32" c:formatCode="yyyy/m/d">
                  <c:v>44424</c:v>
                </c:pt>
                <c:pt idx="33" c:formatCode="yyyy/m/d">
                  <c:v>44431</c:v>
                </c:pt>
                <c:pt idx="34" c:formatCode="yyyy/m/d">
                  <c:v>44438</c:v>
                </c:pt>
                <c:pt idx="35" c:formatCode="yyyy/m/d">
                  <c:v>44445</c:v>
                </c:pt>
                <c:pt idx="36" c:formatCode="yyyy/m/d">
                  <c:v>44452</c:v>
                </c:pt>
                <c:pt idx="37" c:formatCode="yyyy/m/d">
                  <c:v>44461</c:v>
                </c:pt>
                <c:pt idx="38" c:formatCode="yyyy/m/d">
                  <c:v>44466</c:v>
                </c:pt>
                <c:pt idx="39" c:formatCode="yyyy/m/d">
                  <c:v>44473</c:v>
                </c:pt>
                <c:pt idx="40" c:formatCode="yyyy/m/d">
                  <c:v>44480</c:v>
                </c:pt>
                <c:pt idx="41" c:formatCode="yyyy/m/d">
                  <c:v>44487</c:v>
                </c:pt>
                <c:pt idx="42" c:formatCode="yyyy/m/d">
                  <c:v>44494</c:v>
                </c:pt>
                <c:pt idx="43" c:formatCode="yyyy/m/d">
                  <c:v>44501</c:v>
                </c:pt>
                <c:pt idx="44" c:formatCode="yyyy/m/d">
                  <c:v>44508</c:v>
                </c:pt>
                <c:pt idx="45" c:formatCode="yyyy/m/d">
                  <c:v>44515</c:v>
                </c:pt>
                <c:pt idx="46" c:formatCode="yyyy/m/d">
                  <c:v>44522</c:v>
                </c:pt>
                <c:pt idx="47" c:formatCode="yyyy/m/d">
                  <c:v>44529</c:v>
                </c:pt>
                <c:pt idx="48" c:formatCode="yyyy/m/d">
                  <c:v>44536</c:v>
                </c:pt>
                <c:pt idx="49" c:formatCode="yyyy/m/d">
                  <c:v>44543</c:v>
                </c:pt>
                <c:pt idx="50" c:formatCode="yyyy/m/d">
                  <c:v>44550</c:v>
                </c:pt>
                <c:pt idx="51" c:formatCode="yyyy/m/d">
                  <c:v>44557</c:v>
                </c:pt>
                <c:pt idx="52" c:formatCode="yyyy/m/d">
                  <c:v>44564</c:v>
                </c:pt>
                <c:pt idx="53" c:formatCode="yyyy/m/d">
                  <c:v>44571</c:v>
                </c:pt>
                <c:pt idx="54" c:formatCode="yyyy/m/d">
                  <c:v>44578</c:v>
                </c:pt>
                <c:pt idx="55" c:formatCode="yyyy/m/d">
                  <c:v>44585</c:v>
                </c:pt>
                <c:pt idx="56" c:formatCode="yyyy/m/d">
                  <c:v>44599</c:v>
                </c:pt>
                <c:pt idx="57" c:formatCode="yyyy/m/d">
                  <c:v>44606</c:v>
                </c:pt>
                <c:pt idx="58" c:formatCode="yyyy/m/d">
                  <c:v>44613</c:v>
                </c:pt>
                <c:pt idx="59" c:formatCode="yyyy/m/d">
                  <c:v>44620</c:v>
                </c:pt>
                <c:pt idx="60" c:formatCode="yyyy/m/d">
                  <c:v>44627</c:v>
                </c:pt>
                <c:pt idx="61" c:formatCode="yyyy/m/d">
                  <c:v>44634</c:v>
                </c:pt>
                <c:pt idx="62" c:formatCode="yyyy/m/d">
                  <c:v>44641</c:v>
                </c:pt>
                <c:pt idx="63" c:formatCode="yyyy/m/d">
                  <c:v>44648</c:v>
                </c:pt>
                <c:pt idx="64" c:formatCode="yyyy/m/d">
                  <c:v>44657</c:v>
                </c:pt>
                <c:pt idx="65" c:formatCode="yyyy/m/d">
                  <c:v>44662</c:v>
                </c:pt>
                <c:pt idx="66" c:formatCode="yyyy/m/d">
                  <c:v>44669</c:v>
                </c:pt>
                <c:pt idx="67" c:formatCode="yyyy/m/d">
                  <c:v>44676</c:v>
                </c:pt>
                <c:pt idx="68" c:formatCode="yyyy/m/d">
                  <c:v>44684</c:v>
                </c:pt>
                <c:pt idx="69" c:formatCode="yyyy/m/d">
                  <c:v>44690</c:v>
                </c:pt>
                <c:pt idx="70" c:formatCode="yyyy/m/d">
                  <c:v>44697</c:v>
                </c:pt>
                <c:pt idx="71" c:formatCode="yyyy/m/d">
                  <c:v>44704</c:v>
                </c:pt>
                <c:pt idx="72" c:formatCode="yyyy/m/d">
                  <c:v>44711</c:v>
                </c:pt>
                <c:pt idx="73" c:formatCode="yyyy/m/d">
                  <c:v>44718</c:v>
                </c:pt>
                <c:pt idx="74" c:formatCode="yyyy/m/d">
                  <c:v>44725</c:v>
                </c:pt>
                <c:pt idx="75" c:formatCode="yyyy/m/d">
                  <c:v>44732</c:v>
                </c:pt>
                <c:pt idx="76" c:formatCode="yyyy/m/d">
                  <c:v>44739</c:v>
                </c:pt>
                <c:pt idx="77" c:formatCode="yyyy/m/d">
                  <c:v>44746</c:v>
                </c:pt>
                <c:pt idx="78" c:formatCode="yyyy/m/d">
                  <c:v>44753</c:v>
                </c:pt>
                <c:pt idx="79" c:formatCode="yyyy/m/d">
                  <c:v>44760</c:v>
                </c:pt>
                <c:pt idx="80" c:formatCode="yyyy/m/d">
                  <c:v>44767</c:v>
                </c:pt>
                <c:pt idx="81" c:formatCode="yyyy/m/d">
                  <c:v>44774</c:v>
                </c:pt>
                <c:pt idx="82" c:formatCode="yyyy/m/d">
                  <c:v>44781</c:v>
                </c:pt>
                <c:pt idx="83" c:formatCode="yyyy/m/d">
                  <c:v>44788</c:v>
                </c:pt>
                <c:pt idx="84" c:formatCode="yyyy/m/d">
                  <c:v>44795</c:v>
                </c:pt>
                <c:pt idx="85" c:formatCode="yyyy/m/d">
                  <c:v>44802</c:v>
                </c:pt>
                <c:pt idx="86" c:formatCode="yyyy/m/d">
                  <c:v>44809</c:v>
                </c:pt>
                <c:pt idx="87" c:formatCode="yyyy/m/d">
                  <c:v>44816</c:v>
                </c:pt>
                <c:pt idx="88" c:formatCode="yyyy/m/d">
                  <c:v>44823</c:v>
                </c:pt>
                <c:pt idx="89" c:formatCode="yyyy/m/d">
                  <c:v>44830</c:v>
                </c:pt>
                <c:pt idx="90" c:formatCode="yyyy/m/d">
                  <c:v>44837</c:v>
                </c:pt>
                <c:pt idx="91" c:formatCode="yyyy/m/d">
                  <c:v>44844</c:v>
                </c:pt>
                <c:pt idx="92" c:formatCode="yyyy/m/d">
                  <c:v>44851</c:v>
                </c:pt>
                <c:pt idx="93" c:formatCode="yyyy/m/d">
                  <c:v>44858</c:v>
                </c:pt>
                <c:pt idx="94" c:formatCode="yyyy/m/d">
                  <c:v>44865</c:v>
                </c:pt>
                <c:pt idx="95" c:formatCode="yyyy/m/d">
                  <c:v>44872</c:v>
                </c:pt>
                <c:pt idx="96" c:formatCode="yyyy/m/d">
                  <c:v>44879</c:v>
                </c:pt>
                <c:pt idx="97" c:formatCode="yyyy/m/d">
                  <c:v>44886</c:v>
                </c:pt>
                <c:pt idx="98" c:formatCode="yyyy/m/d">
                  <c:v>44893</c:v>
                </c:pt>
                <c:pt idx="99" c:formatCode="yyyy/m/d">
                  <c:v>44900</c:v>
                </c:pt>
                <c:pt idx="100" c:formatCode="yyyy/m/d">
                  <c:v>44907</c:v>
                </c:pt>
                <c:pt idx="101" c:formatCode="yyyy/m/d">
                  <c:v>44914</c:v>
                </c:pt>
                <c:pt idx="102" c:formatCode="yyyy/m/d">
                  <c:v>44921</c:v>
                </c:pt>
                <c:pt idx="103" c:formatCode="yyyy/m/d">
                  <c:v>44928</c:v>
                </c:pt>
                <c:pt idx="104" c:formatCode="yyyy/m/d">
                  <c:v>44935</c:v>
                </c:pt>
                <c:pt idx="105" c:formatCode="yyyy/m/d">
                  <c:v>44942</c:v>
                </c:pt>
                <c:pt idx="106" c:formatCode="yyyy/m/d">
                  <c:v>44956</c:v>
                </c:pt>
                <c:pt idx="107" c:formatCode="yyyy/m/d">
                  <c:v>44963</c:v>
                </c:pt>
                <c:pt idx="108" c:formatCode="yyyy/m/d">
                  <c:v>44970</c:v>
                </c:pt>
                <c:pt idx="109" c:formatCode="yyyy/m/d">
                  <c:v>44977</c:v>
                </c:pt>
                <c:pt idx="110" c:formatCode="yyyy/m/d">
                  <c:v>44984</c:v>
                </c:pt>
                <c:pt idx="111" c:formatCode="yyyy/m/d">
                  <c:v>44991</c:v>
                </c:pt>
                <c:pt idx="112" c:formatCode="yyyy/m/d">
                  <c:v>44998</c:v>
                </c:pt>
                <c:pt idx="113" c:formatCode="yyyy/m/d">
                  <c:v>45005</c:v>
                </c:pt>
                <c:pt idx="114" c:formatCode="yyyy/m/d">
                  <c:v>45012</c:v>
                </c:pt>
                <c:pt idx="115" c:formatCode="yyyy/m/d">
                  <c:v>45019</c:v>
                </c:pt>
                <c:pt idx="116" c:formatCode="yyyy/m/d">
                  <c:v>45026</c:v>
                </c:pt>
                <c:pt idx="117" c:formatCode="yyyy/m/d">
                  <c:v>45033</c:v>
                </c:pt>
                <c:pt idx="118" c:formatCode="yyyy/m/d">
                  <c:v>45040</c:v>
                </c:pt>
                <c:pt idx="119" c:formatCode="yyyy/m/d">
                  <c:v>45047</c:v>
                </c:pt>
                <c:pt idx="120" c:formatCode="yyyy/m/d">
                  <c:v>45054</c:v>
                </c:pt>
                <c:pt idx="121" c:formatCode="yyyy/m/d">
                  <c:v>45061</c:v>
                </c:pt>
                <c:pt idx="122" c:formatCode="yyyy/m/d">
                  <c:v>45068</c:v>
                </c:pt>
                <c:pt idx="123" c:formatCode="yyyy/m/d">
                  <c:v>45075</c:v>
                </c:pt>
                <c:pt idx="124" c:formatCode="yyyy/m/d">
                  <c:v>45082</c:v>
                </c:pt>
                <c:pt idx="125" c:formatCode="yyyy/m/d">
                  <c:v>45089</c:v>
                </c:pt>
                <c:pt idx="126" c:formatCode="yyyy/m/d">
                  <c:v>45096</c:v>
                </c:pt>
                <c:pt idx="127" c:formatCode="yyyy/m/d">
                  <c:v>45103</c:v>
                </c:pt>
                <c:pt idx="128" c:formatCode="yyyy/m/d">
                  <c:v>45110</c:v>
                </c:pt>
                <c:pt idx="129" c:formatCode="yyyy/m/d">
                  <c:v>45117</c:v>
                </c:pt>
                <c:pt idx="130" c:formatCode="yyyy/m/d">
                  <c:v>45124</c:v>
                </c:pt>
                <c:pt idx="131" c:formatCode="yyyy/m/d">
                  <c:v>45131</c:v>
                </c:pt>
                <c:pt idx="132" c:formatCode="yyyy/m/d">
                  <c:v>45138</c:v>
                </c:pt>
                <c:pt idx="133" c:formatCode="yyyy/m/d">
                  <c:v>45145</c:v>
                </c:pt>
                <c:pt idx="134" c:formatCode="yyyy/m/d">
                  <c:v>45152</c:v>
                </c:pt>
                <c:pt idx="135" c:formatCode="yyyy/m/d">
                  <c:v>45159</c:v>
                </c:pt>
                <c:pt idx="136" c:formatCode="yyyy/m/d">
                  <c:v>45166</c:v>
                </c:pt>
                <c:pt idx="137" c:formatCode="yyyy/m/d">
                  <c:v>45173</c:v>
                </c:pt>
                <c:pt idx="138" c:formatCode="yyyy/m/d">
                  <c:v>45180</c:v>
                </c:pt>
                <c:pt idx="139" c:formatCode="yyyy/m/d">
                  <c:v>45187</c:v>
                </c:pt>
                <c:pt idx="140" c:formatCode="yyyy/m/d">
                  <c:v>45194</c:v>
                </c:pt>
                <c:pt idx="141" c:formatCode="yyyy/m/d">
                  <c:v>45201</c:v>
                </c:pt>
                <c:pt idx="142" c:formatCode="yyyy/m/d">
                  <c:v>45208</c:v>
                </c:pt>
                <c:pt idx="143" c:formatCode="yyyy/m/d">
                  <c:v>45215</c:v>
                </c:pt>
                <c:pt idx="144" c:formatCode="yyyy/m/d">
                  <c:v>45222</c:v>
                </c:pt>
                <c:pt idx="145" c:formatCode="yyyy/m/d">
                  <c:v>45229</c:v>
                </c:pt>
                <c:pt idx="146" c:formatCode="yyyy/m/d">
                  <c:v>45236</c:v>
                </c:pt>
                <c:pt idx="147" c:formatCode="yyyy/m/d">
                  <c:v>45243</c:v>
                </c:pt>
                <c:pt idx="148" c:formatCode="yyyy/m/d">
                  <c:v>45250</c:v>
                </c:pt>
                <c:pt idx="149" c:formatCode="yyyy/m/d">
                  <c:v>45257</c:v>
                </c:pt>
                <c:pt idx="150" c:formatCode="yyyy/m/d">
                  <c:v>45264</c:v>
                </c:pt>
                <c:pt idx="151" c:formatCode="yyyy/m/d">
                  <c:v>45271</c:v>
                </c:pt>
                <c:pt idx="152" c:formatCode="yyyy/m/d">
                  <c:v>45278</c:v>
                </c:pt>
                <c:pt idx="153" c:formatCode="yyyy/m/d">
                  <c:v>45285</c:v>
                </c:pt>
                <c:pt idx="154" c:formatCode="yyyy/m/d">
                  <c:v>45292</c:v>
                </c:pt>
                <c:pt idx="155" c:formatCode="yyyy/m/d">
                  <c:v>45299</c:v>
                </c:pt>
                <c:pt idx="156" c:formatCode="yyyy/m/d">
                  <c:v>45306</c:v>
                </c:pt>
                <c:pt idx="157" c:formatCode="yyyy/m/d">
                  <c:v>45313</c:v>
                </c:pt>
                <c:pt idx="158" c:formatCode="yyyy/m/d">
                  <c:v>45320</c:v>
                </c:pt>
                <c:pt idx="159" c:formatCode="yyyy/m/d">
                  <c:v>45327</c:v>
                </c:pt>
                <c:pt idx="160" c:formatCode="yyyy/m/d">
                  <c:v>45334</c:v>
                </c:pt>
                <c:pt idx="161" c:formatCode="yyyy/m/d">
                  <c:v>45341</c:v>
                </c:pt>
                <c:pt idx="162" c:formatCode="yyyy/m/d">
                  <c:v>45348</c:v>
                </c:pt>
                <c:pt idx="163" c:formatCode="yyyy/m/d">
                  <c:v>45355</c:v>
                </c:pt>
                <c:pt idx="164" c:formatCode="yyyy/m/d">
                  <c:v>45362</c:v>
                </c:pt>
                <c:pt idx="165" c:formatCode="yyyy/m/d">
                  <c:v>45369</c:v>
                </c:pt>
                <c:pt idx="166" c:formatCode="yyyy/m/d">
                  <c:v>45376</c:v>
                </c:pt>
                <c:pt idx="167" c:formatCode="yyyy/m/d">
                  <c:v>45383</c:v>
                </c:pt>
                <c:pt idx="168" c:formatCode="yyyy/m/d">
                  <c:v>45390</c:v>
                </c:pt>
                <c:pt idx="169" c:formatCode="yyyy/m/d">
                  <c:v>45397</c:v>
                </c:pt>
                <c:pt idx="170" c:formatCode="yyyy/m/d">
                  <c:v>45404</c:v>
                </c:pt>
                <c:pt idx="171" c:formatCode="yyyy/m/d">
                  <c:v>45411</c:v>
                </c:pt>
                <c:pt idx="172" c:formatCode="yyyy/m/d">
                  <c:v>45418</c:v>
                </c:pt>
                <c:pt idx="173" c:formatCode="yyyy/m/d">
                  <c:v>45425</c:v>
                </c:pt>
                <c:pt idx="174" c:formatCode="yyyy/m/d">
                  <c:v>45432</c:v>
                </c:pt>
                <c:pt idx="175" c:formatCode="yyyy/m/d">
                  <c:v>45439</c:v>
                </c:pt>
                <c:pt idx="176" c:formatCode="yyyy/m/d">
                  <c:v>45446</c:v>
                </c:pt>
                <c:pt idx="177" c:formatCode="yyyy/m/d">
                  <c:v>45454</c:v>
                </c:pt>
                <c:pt idx="178" c:formatCode="yyyy/m/d">
                  <c:v>45460</c:v>
                </c:pt>
                <c:pt idx="179" c:formatCode="yyyy/m/d">
                  <c:v>45467</c:v>
                </c:pt>
                <c:pt idx="180" c:formatCode="yyyy/m/d">
                  <c:v>45474</c:v>
                </c:pt>
                <c:pt idx="181" c:formatCode="yyyy/m/d">
                  <c:v>45481</c:v>
                </c:pt>
                <c:pt idx="182" c:formatCode="yyyy/m/d">
                  <c:v>45488</c:v>
                </c:pt>
                <c:pt idx="183" c:formatCode="yyyy/m/d">
                  <c:v>45495</c:v>
                </c:pt>
                <c:pt idx="184" c:formatCode="yyyy/m/d">
                  <c:v>45502</c:v>
                </c:pt>
                <c:pt idx="185" c:formatCode="yyyy/m/d">
                  <c:v>45509</c:v>
                </c:pt>
                <c:pt idx="186" c:formatCode="yyyy/m/d">
                  <c:v>45516</c:v>
                </c:pt>
                <c:pt idx="187" c:formatCode="yyyy/m/d">
                  <c:v>45523</c:v>
                </c:pt>
                <c:pt idx="188" c:formatCode="yyyy/m/d">
                  <c:v>45530</c:v>
                </c:pt>
                <c:pt idx="189" c:formatCode="yyyy/m/d">
                  <c:v>45537</c:v>
                </c:pt>
                <c:pt idx="190" c:formatCode="yyyy/m/d">
                  <c:v>45544</c:v>
                </c:pt>
                <c:pt idx="191" c:formatCode="yyyy/m/d">
                  <c:v>45551</c:v>
                </c:pt>
                <c:pt idx="192" c:formatCode="yyyy/m/d">
                  <c:v>45558</c:v>
                </c:pt>
                <c:pt idx="193" c:formatCode="yyyy/m/d">
                  <c:v>45565</c:v>
                </c:pt>
                <c:pt idx="194" c:formatCode="yyyy/m/d">
                  <c:v>45572</c:v>
                </c:pt>
                <c:pt idx="195" c:formatCode="yyyy/m/d">
                  <c:v>45579</c:v>
                </c:pt>
                <c:pt idx="196" c:formatCode="yyyy/m/d">
                  <c:v>45586</c:v>
                </c:pt>
                <c:pt idx="197" c:formatCode="yyyy/m/d">
                  <c:v>45593</c:v>
                </c:pt>
                <c:pt idx="198" c:formatCode="yyyy/m/d">
                  <c:v>45600</c:v>
                </c:pt>
                <c:pt idx="199" c:formatCode="yyyy/m/d">
                  <c:v>45607</c:v>
                </c:pt>
                <c:pt idx="200" c:formatCode="yyyy/m/d">
                  <c:v>45614</c:v>
                </c:pt>
                <c:pt idx="201" c:formatCode="yyyy/m/d">
                  <c:v>45621</c:v>
                </c:pt>
                <c:pt idx="202" c:formatCode="yyyy/m/d">
                  <c:v>45628</c:v>
                </c:pt>
                <c:pt idx="203" c:formatCode="yyyy/m/d">
                  <c:v>45635</c:v>
                </c:pt>
                <c:pt idx="204" c:formatCode="yyyy/m/d">
                  <c:v>45642</c:v>
                </c:pt>
                <c:pt idx="205" c:formatCode="yyyy/m/d">
                  <c:v>45649</c:v>
                </c:pt>
                <c:pt idx="206" c:formatCode="yyyy/m/d">
                  <c:v>45656</c:v>
                </c:pt>
                <c:pt idx="207" c:formatCode="yyyy/m/d">
                  <c:v>45663</c:v>
                </c:pt>
                <c:pt idx="208" c:formatCode="yyyy/m/d">
                  <c:v>45670</c:v>
                </c:pt>
                <c:pt idx="209" c:formatCode="yyyy/m/d">
                  <c:v>45677</c:v>
                </c:pt>
                <c:pt idx="210" c:formatCode="yyyy/m/d">
                  <c:v>45684</c:v>
                </c:pt>
                <c:pt idx="211" c:formatCode="yyyy/m/d">
                  <c:v>45691</c:v>
                </c:pt>
                <c:pt idx="212" c:formatCode="yyyy/m/d">
                  <c:v>45698</c:v>
                </c:pt>
                <c:pt idx="213" c:formatCode="yyyy/m/d">
                  <c:v>45705</c:v>
                </c:pt>
                <c:pt idx="214" c:formatCode="yyyy/m/d">
                  <c:v>45712</c:v>
                </c:pt>
                <c:pt idx="215" c:formatCode="yyyy/m/d">
                  <c:v>45719</c:v>
                </c:pt>
                <c:pt idx="216" c:formatCode="yyyy/m/d">
                  <c:v>45726</c:v>
                </c:pt>
                <c:pt idx="217" c:formatCode="yyyy/m/d">
                  <c:v>45733</c:v>
                </c:pt>
                <c:pt idx="218" c:formatCode="yyyy/m/d">
                  <c:v>45740</c:v>
                </c:pt>
                <c:pt idx="219" c:formatCode="yyyy/m/d">
                  <c:v>45747</c:v>
                </c:pt>
                <c:pt idx="220" c:formatCode="yyyy/m/d">
                  <c:v>45754</c:v>
                </c:pt>
                <c:pt idx="221" c:formatCode="yyyy/m/d">
                  <c:v>45761</c:v>
                </c:pt>
                <c:pt idx="222" c:formatCode="yyyy/m/d">
                  <c:v>45768</c:v>
                </c:pt>
                <c:pt idx="223" c:formatCode="yyyy/m/d">
                  <c:v>45775</c:v>
                </c:pt>
                <c:pt idx="224" c:formatCode="yyyy/m/d">
                  <c:v>45782</c:v>
                </c:pt>
                <c:pt idx="225" c:formatCode="yyyy/m/d">
                  <c:v>45789</c:v>
                </c:pt>
                <c:pt idx="226" c:formatCode="yyyy/m/d">
                  <c:v>45796</c:v>
                </c:pt>
                <c:pt idx="227" c:formatCode="yyyy/m/d">
                  <c:v>45803</c:v>
                </c:pt>
                <c:pt idx="228" c:formatCode="yyyy/m/d">
                  <c:v>45810</c:v>
                </c:pt>
                <c:pt idx="229" c:formatCode="yyyy/m/d">
                  <c:v>45817</c:v>
                </c:pt>
                <c:pt idx="230" c:formatCode="yyyy/m/d">
                  <c:v>45824</c:v>
                </c:pt>
                <c:pt idx="231" c:formatCode="yyyy/m/d">
                  <c:v>45831</c:v>
                </c:pt>
                <c:pt idx="232" c:formatCode="yyyy/m/d">
                  <c:v>45838</c:v>
                </c:pt>
                <c:pt idx="233" c:formatCode="yyyy/m/d">
                  <c:v>45845</c:v>
                </c:pt>
                <c:pt idx="234" c:formatCode="yyyy/m/d">
                  <c:v>45852</c:v>
                </c:pt>
                <c:pt idx="235" c:formatCode="yyyy/m/d">
                  <c:v>45859</c:v>
                </c:pt>
                <c:pt idx="236" c:formatCode="yyyy/m/d">
                  <c:v>45866</c:v>
                </c:pt>
                <c:pt idx="237" c:formatCode="yyyy/m/d">
                  <c:v>45873</c:v>
                </c:pt>
                <c:pt idx="238" c:formatCode="yyyy/m/d">
                  <c:v>45880</c:v>
                </c:pt>
                <c:pt idx="239" c:formatCode="yyyy/m/d">
                  <c:v>45887</c:v>
                </c:pt>
                <c:pt idx="240" c:formatCode="yyyy/m/d">
                  <c:v>45894</c:v>
                </c:pt>
                <c:pt idx="241" c:formatCode="yyyy/m/d">
                  <c:v>45901</c:v>
                </c:pt>
                <c:pt idx="242" c:formatCode="yyyy/m/d">
                  <c:v>45908</c:v>
                </c:pt>
                <c:pt idx="243" c:formatCode="yyyy/m/d">
                  <c:v>45915</c:v>
                </c:pt>
                <c:pt idx="244" c:formatCode="yyyy/m/d">
                  <c:v>45922</c:v>
                </c:pt>
                <c:pt idx="245" c:formatCode="yyyy/m/d">
                  <c:v>45929</c:v>
                </c:pt>
                <c:pt idx="246" c:formatCode="yyyy/m/d">
                  <c:v>45936</c:v>
                </c:pt>
                <c:pt idx="247" c:formatCode="yyyy/m/d">
                  <c:v>45943</c:v>
                </c:pt>
                <c:pt idx="248" c:formatCode="yyyy/m/d">
                  <c:v>45950</c:v>
                </c:pt>
                <c:pt idx="249" c:formatCode="yyyy/m/d">
                  <c:v>45957</c:v>
                </c:pt>
                <c:pt idx="250" c:formatCode="yyyy/m/d">
                  <c:v>45964</c:v>
                </c:pt>
                <c:pt idx="251" c:formatCode="yyyy/m/d">
                  <c:v>45971</c:v>
                </c:pt>
                <c:pt idx="252" c:formatCode="yyyy/m/d">
                  <c:v>45978</c:v>
                </c:pt>
                <c:pt idx="253" c:formatCode="yyyy/m/d">
                  <c:v>45985</c:v>
                </c:pt>
                <c:pt idx="254" c:formatCode="yyyy/m/d">
                  <c:v>45992</c:v>
                </c:pt>
                <c:pt idx="255" c:formatCode="yyyy/m/d">
                  <c:v>45999</c:v>
                </c:pt>
                <c:pt idx="256" c:formatCode="yyyy/m/d">
                  <c:v>46006</c:v>
                </c:pt>
                <c:pt idx="257" c:formatCode="yyyy/m/d">
                  <c:v>46013</c:v>
                </c:pt>
                <c:pt idx="258" c:formatCode="yyyy/m/d">
                  <c:v>46020</c:v>
                </c:pt>
                <c:pt idx="259" c:formatCode="yyyy/m/d">
                  <c:v>46027</c:v>
                </c:pt>
                <c:pt idx="260" c:formatCode="yyyy/m/d">
                  <c:v>46034</c:v>
                </c:pt>
                <c:pt idx="261" c:formatCode="yyyy/m/d">
                  <c:v>46041</c:v>
                </c:pt>
                <c:pt idx="262" c:formatCode="yyyy/m/d">
                  <c:v>46048</c:v>
                </c:pt>
                <c:pt idx="263" c:formatCode="yyyy/m/d">
                  <c:v>46055</c:v>
                </c:pt>
                <c:pt idx="264" c:formatCode="yyyy/m/d">
                  <c:v>46062</c:v>
                </c:pt>
                <c:pt idx="265" c:formatCode="yyyy/m/d">
                  <c:v>46076</c:v>
                </c:pt>
                <c:pt idx="266" c:formatCode="yyyy/m/d">
                  <c:v>46083</c:v>
                </c:pt>
                <c:pt idx="267" c:formatCode="yyyy/m/d">
                  <c:v>46090</c:v>
                </c:pt>
                <c:pt idx="268" c:formatCode="yyyy/m/d">
                  <c:v>46097</c:v>
                </c:pt>
                <c:pt idx="269" c:formatCode="yyyy/m/d">
                  <c:v>46104</c:v>
                </c:pt>
                <c:pt idx="270" c:formatCode="yyyy/m/d">
                  <c:v>46111</c:v>
                </c:pt>
                <c:pt idx="271" c:formatCode="yyyy/m/d">
                  <c:v>46119</c:v>
                </c:pt>
                <c:pt idx="272" c:formatCode="yyyy/m/d">
                  <c:v>46125</c:v>
                </c:pt>
                <c:pt idx="273" c:formatCode="yyyy/m/d">
                  <c:v>46132</c:v>
                </c:pt>
                <c:pt idx="274" c:formatCode="yyyy/m/d">
                  <c:v>46139</c:v>
                </c:pt>
                <c:pt idx="275" c:formatCode="yyyy/m/d">
                  <c:v>46146</c:v>
                </c:pt>
                <c:pt idx="276" c:formatCode="yyyy/m/d">
                  <c:v>46153</c:v>
                </c:pt>
                <c:pt idx="277" c:formatCode="yyyy/m/d">
                  <c:v>46160</c:v>
                </c:pt>
                <c:pt idx="278" c:formatCode="yyyy/m/d">
                  <c:v>46167</c:v>
                </c:pt>
                <c:pt idx="279" c:formatCode="yyyy/m/d">
                  <c:v>46174</c:v>
                </c:pt>
              </c:numCache>
            </c:numRef>
          </c:cat>
          <c:val>
            <c:numRef>
              <c:f>NAND!$BG$127:$BG$500</c:f>
              <c:numCache>
                <c:formatCode>_(* #,##0.00_);_(* \(#,##0.00\);_(* "-"??_);_(@_)</c:formatCode>
                <c:ptCount val="374"/>
                <c:pt idx="0">
                  <c:v>7.92</c:v>
                </c:pt>
                <c:pt idx="1">
                  <c:v>7.92</c:v>
                </c:pt>
                <c:pt idx="2">
                  <c:v>7.92</c:v>
                </c:pt>
                <c:pt idx="3">
                  <c:v>7.92</c:v>
                </c:pt>
                <c:pt idx="4">
                  <c:v>7.96</c:v>
                </c:pt>
                <c:pt idx="5">
                  <c:v>7.96</c:v>
                </c:pt>
                <c:pt idx="6">
                  <c:v>7.96</c:v>
                </c:pt>
                <c:pt idx="7">
                  <c:v>7.96</c:v>
                </c:pt>
                <c:pt idx="8">
                  <c:v>7.96</c:v>
                </c:pt>
                <c:pt idx="9">
                  <c:v>7.96</c:v>
                </c:pt>
                <c:pt idx="10">
                  <c:v>7.96</c:v>
                </c:pt>
                <c:pt idx="11">
                  <c:v>7.96</c:v>
                </c:pt>
                <c:pt idx="12">
                  <c:v>7.96</c:v>
                </c:pt>
                <c:pt idx="13">
                  <c:v>8.15</c:v>
                </c:pt>
                <c:pt idx="14">
                  <c:v>8.15</c:v>
                </c:pt>
                <c:pt idx="15">
                  <c:v>8.15</c:v>
                </c:pt>
                <c:pt idx="16">
                  <c:v>8.15</c:v>
                </c:pt>
                <c:pt idx="17">
                  <c:v>8.15</c:v>
                </c:pt>
                <c:pt idx="18">
                  <c:v>8.15</c:v>
                </c:pt>
                <c:pt idx="19">
                  <c:v>8.15</c:v>
                </c:pt>
                <c:pt idx="20">
                  <c:v>8.15</c:v>
                </c:pt>
                <c:pt idx="21">
                  <c:v>8.15</c:v>
                </c:pt>
                <c:pt idx="22">
                  <c:v>8.4</c:v>
                </c:pt>
                <c:pt idx="23">
                  <c:v>8.4</c:v>
                </c:pt>
                <c:pt idx="24">
                  <c:v>8.4</c:v>
                </c:pt>
                <c:pt idx="25">
                  <c:v>8.4</c:v>
                </c:pt>
                <c:pt idx="26">
                  <c:v>8.48</c:v>
                </c:pt>
                <c:pt idx="27">
                  <c:v>8.48</c:v>
                </c:pt>
                <c:pt idx="28">
                  <c:v>8.48</c:v>
                </c:pt>
                <c:pt idx="29">
                  <c:v>8.48</c:v>
                </c:pt>
                <c:pt idx="30">
                  <c:v>8.48</c:v>
                </c:pt>
                <c:pt idx="31">
                  <c:v>8.48</c:v>
                </c:pt>
                <c:pt idx="32">
                  <c:v>8.48</c:v>
                </c:pt>
                <c:pt idx="33">
                  <c:v>8.48</c:v>
                </c:pt>
                <c:pt idx="34">
                  <c:v>8.48</c:v>
                </c:pt>
                <c:pt idx="35">
                  <c:v>8.2</c:v>
                </c:pt>
                <c:pt idx="36">
                  <c:v>8.2</c:v>
                </c:pt>
                <c:pt idx="37">
                  <c:v>8.2</c:v>
                </c:pt>
                <c:pt idx="38">
                  <c:v>8.2</c:v>
                </c:pt>
                <c:pt idx="39">
                  <c:v>7.92</c:v>
                </c:pt>
                <c:pt idx="40">
                  <c:v>7.92</c:v>
                </c:pt>
                <c:pt idx="41">
                  <c:v>7.92</c:v>
                </c:pt>
                <c:pt idx="42">
                  <c:v>7.92</c:v>
                </c:pt>
                <c:pt idx="43">
                  <c:v>7.83</c:v>
                </c:pt>
                <c:pt idx="44">
                  <c:v>7.83</c:v>
                </c:pt>
                <c:pt idx="45">
                  <c:v>7.83</c:v>
                </c:pt>
                <c:pt idx="46">
                  <c:v>7.83</c:v>
                </c:pt>
                <c:pt idx="47">
                  <c:v>7.83</c:v>
                </c:pt>
                <c:pt idx="48">
                  <c:v>7.83</c:v>
                </c:pt>
                <c:pt idx="49">
                  <c:v>7.83</c:v>
                </c:pt>
                <c:pt idx="50">
                  <c:v>7.83</c:v>
                </c:pt>
                <c:pt idx="51">
                  <c:v>7.83</c:v>
                </c:pt>
                <c:pt idx="52">
                  <c:v>7.83</c:v>
                </c:pt>
                <c:pt idx="53">
                  <c:v>7.83</c:v>
                </c:pt>
                <c:pt idx="54">
                  <c:v>7.83</c:v>
                </c:pt>
                <c:pt idx="55">
                  <c:v>7.83</c:v>
                </c:pt>
                <c:pt idx="56">
                  <c:v>8.715</c:v>
                </c:pt>
                <c:pt idx="57">
                  <c:v>8.715</c:v>
                </c:pt>
                <c:pt idx="58">
                  <c:v>8.715</c:v>
                </c:pt>
                <c:pt idx="59">
                  <c:v>8.715</c:v>
                </c:pt>
                <c:pt idx="60">
                  <c:v>9.18</c:v>
                </c:pt>
                <c:pt idx="61">
                  <c:v>9.18</c:v>
                </c:pt>
                <c:pt idx="62">
                  <c:v>9.18</c:v>
                </c:pt>
                <c:pt idx="63">
                  <c:v>9.18</c:v>
                </c:pt>
                <c:pt idx="64">
                  <c:v>9.18</c:v>
                </c:pt>
                <c:pt idx="65">
                  <c:v>9.18</c:v>
                </c:pt>
                <c:pt idx="66">
                  <c:v>9.18</c:v>
                </c:pt>
                <c:pt idx="67">
                  <c:v>9.18</c:v>
                </c:pt>
                <c:pt idx="68">
                  <c:v>8.79</c:v>
                </c:pt>
                <c:pt idx="69">
                  <c:v>8.79</c:v>
                </c:pt>
                <c:pt idx="70">
                  <c:v>8.79</c:v>
                </c:pt>
                <c:pt idx="71">
                  <c:v>8.79</c:v>
                </c:pt>
                <c:pt idx="72">
                  <c:v>8.79</c:v>
                </c:pt>
                <c:pt idx="73">
                  <c:v>7.94</c:v>
                </c:pt>
                <c:pt idx="74">
                  <c:v>7.94</c:v>
                </c:pt>
                <c:pt idx="75">
                  <c:v>7.94</c:v>
                </c:pt>
                <c:pt idx="76">
                  <c:v>7.94</c:v>
                </c:pt>
                <c:pt idx="77">
                  <c:v>7.34</c:v>
                </c:pt>
                <c:pt idx="78">
                  <c:v>7.34</c:v>
                </c:pt>
                <c:pt idx="79">
                  <c:v>7.34</c:v>
                </c:pt>
                <c:pt idx="80">
                  <c:v>7.34</c:v>
                </c:pt>
                <c:pt idx="81">
                  <c:v>5.925</c:v>
                </c:pt>
                <c:pt idx="82">
                  <c:v>5.925</c:v>
                </c:pt>
                <c:pt idx="83">
                  <c:v>5.925</c:v>
                </c:pt>
                <c:pt idx="84">
                  <c:v>5.925</c:v>
                </c:pt>
                <c:pt idx="85">
                  <c:v>5.925</c:v>
                </c:pt>
                <c:pt idx="86">
                  <c:v>5.325</c:v>
                </c:pt>
                <c:pt idx="87">
                  <c:v>5.325</c:v>
                </c:pt>
                <c:pt idx="88">
                  <c:v>5.325</c:v>
                </c:pt>
                <c:pt idx="89">
                  <c:v>5.325</c:v>
                </c:pt>
                <c:pt idx="90">
                  <c:v>4.675</c:v>
                </c:pt>
                <c:pt idx="91">
                  <c:v>4.675</c:v>
                </c:pt>
                <c:pt idx="92">
                  <c:v>4.675</c:v>
                </c:pt>
                <c:pt idx="93">
                  <c:v>4.675</c:v>
                </c:pt>
                <c:pt idx="94">
                  <c:v>4.675</c:v>
                </c:pt>
                <c:pt idx="95">
                  <c:v>4.415</c:v>
                </c:pt>
                <c:pt idx="96">
                  <c:v>4.415</c:v>
                </c:pt>
                <c:pt idx="97">
                  <c:v>4.415</c:v>
                </c:pt>
                <c:pt idx="98">
                  <c:v>4.415</c:v>
                </c:pt>
                <c:pt idx="99">
                  <c:v>4.255</c:v>
                </c:pt>
                <c:pt idx="100">
                  <c:v>4.255</c:v>
                </c:pt>
                <c:pt idx="101">
                  <c:v>4.255</c:v>
                </c:pt>
                <c:pt idx="102">
                  <c:v>4.255</c:v>
                </c:pt>
                <c:pt idx="103">
                  <c:v>4.195</c:v>
                </c:pt>
                <c:pt idx="104">
                  <c:v>4.195</c:v>
                </c:pt>
                <c:pt idx="105">
                  <c:v>4.195</c:v>
                </c:pt>
                <c:pt idx="106">
                  <c:v>4.195</c:v>
                </c:pt>
                <c:pt idx="107">
                  <c:v>4.195</c:v>
                </c:pt>
                <c:pt idx="108">
                  <c:v>4.195</c:v>
                </c:pt>
                <c:pt idx="109">
                  <c:v>4.195</c:v>
                </c:pt>
                <c:pt idx="110">
                  <c:v>4.195</c:v>
                </c:pt>
                <c:pt idx="111">
                  <c:v>3.85</c:v>
                </c:pt>
                <c:pt idx="112">
                  <c:v>3.85</c:v>
                </c:pt>
                <c:pt idx="113">
                  <c:v>3.85</c:v>
                </c:pt>
                <c:pt idx="114">
                  <c:v>3.85</c:v>
                </c:pt>
                <c:pt idx="115">
                  <c:v>3.61</c:v>
                </c:pt>
                <c:pt idx="116">
                  <c:v>3.61</c:v>
                </c:pt>
                <c:pt idx="117">
                  <c:v>3.61</c:v>
                </c:pt>
                <c:pt idx="118">
                  <c:v>3.61</c:v>
                </c:pt>
                <c:pt idx="119">
                  <c:v>3.61</c:v>
                </c:pt>
                <c:pt idx="120">
                  <c:v>3.61</c:v>
                </c:pt>
                <c:pt idx="121">
                  <c:v>3.61</c:v>
                </c:pt>
                <c:pt idx="122">
                  <c:v>3.61</c:v>
                </c:pt>
                <c:pt idx="123">
                  <c:v>3.61</c:v>
                </c:pt>
                <c:pt idx="124">
                  <c:v>3.61</c:v>
                </c:pt>
                <c:pt idx="125">
                  <c:v>3.61</c:v>
                </c:pt>
                <c:pt idx="126">
                  <c:v>3.61</c:v>
                </c:pt>
                <c:pt idx="127">
                  <c:v>3.61</c:v>
                </c:pt>
                <c:pt idx="128">
                  <c:v>3.61</c:v>
                </c:pt>
                <c:pt idx="129">
                  <c:v>3.61</c:v>
                </c:pt>
                <c:pt idx="130">
                  <c:v>3.61</c:v>
                </c:pt>
                <c:pt idx="131">
                  <c:v>3.61</c:v>
                </c:pt>
                <c:pt idx="132">
                  <c:v>3.61</c:v>
                </c:pt>
                <c:pt idx="133">
                  <c:v>3.61</c:v>
                </c:pt>
                <c:pt idx="134">
                  <c:v>3.61</c:v>
                </c:pt>
                <c:pt idx="135">
                  <c:v>3.61</c:v>
                </c:pt>
                <c:pt idx="136">
                  <c:v>3.61</c:v>
                </c:pt>
                <c:pt idx="137">
                  <c:v>3.675</c:v>
                </c:pt>
                <c:pt idx="138">
                  <c:v>3.675</c:v>
                </c:pt>
                <c:pt idx="139">
                  <c:v>3.675</c:v>
                </c:pt>
                <c:pt idx="140">
                  <c:v>3.675</c:v>
                </c:pt>
                <c:pt idx="141">
                  <c:v>4.125</c:v>
                </c:pt>
                <c:pt idx="142">
                  <c:v>4.125</c:v>
                </c:pt>
                <c:pt idx="143">
                  <c:v>4.125</c:v>
                </c:pt>
                <c:pt idx="144">
                  <c:v>4.125</c:v>
                </c:pt>
                <c:pt idx="145">
                  <c:v>4.125</c:v>
                </c:pt>
                <c:pt idx="146">
                  <c:v>5.22</c:v>
                </c:pt>
                <c:pt idx="147">
                  <c:v>5.22</c:v>
                </c:pt>
                <c:pt idx="148">
                  <c:v>5.22</c:v>
                </c:pt>
                <c:pt idx="149">
                  <c:v>5.22</c:v>
                </c:pt>
                <c:pt idx="150">
                  <c:v>5.945</c:v>
                </c:pt>
                <c:pt idx="151">
                  <c:v>5.945</c:v>
                </c:pt>
                <c:pt idx="152">
                  <c:v>5.945</c:v>
                </c:pt>
                <c:pt idx="153">
                  <c:v>5.945</c:v>
                </c:pt>
                <c:pt idx="154">
                  <c:v>6.31</c:v>
                </c:pt>
                <c:pt idx="155">
                  <c:v>6.31</c:v>
                </c:pt>
                <c:pt idx="156">
                  <c:v>6.31</c:v>
                </c:pt>
                <c:pt idx="157">
                  <c:v>6.31</c:v>
                </c:pt>
                <c:pt idx="158">
                  <c:v>6.31</c:v>
                </c:pt>
                <c:pt idx="159">
                  <c:v>6.605</c:v>
                </c:pt>
                <c:pt idx="160">
                  <c:v>6.605</c:v>
                </c:pt>
                <c:pt idx="161">
                  <c:v>6.605</c:v>
                </c:pt>
                <c:pt idx="162">
                  <c:v>6.605</c:v>
                </c:pt>
                <c:pt idx="163">
                  <c:v>7.575</c:v>
                </c:pt>
                <c:pt idx="164">
                  <c:v>7.575</c:v>
                </c:pt>
                <c:pt idx="165">
                  <c:v>7.575</c:v>
                </c:pt>
                <c:pt idx="166">
                  <c:v>7.575</c:v>
                </c:pt>
                <c:pt idx="167">
                  <c:v>7.575</c:v>
                </c:pt>
                <c:pt idx="168">
                  <c:v>7.575</c:v>
                </c:pt>
                <c:pt idx="169">
                  <c:v>7.575</c:v>
                </c:pt>
                <c:pt idx="170">
                  <c:v>7.575</c:v>
                </c:pt>
                <c:pt idx="171">
                  <c:v>7.575</c:v>
                </c:pt>
                <c:pt idx="172">
                  <c:v>7.575</c:v>
                </c:pt>
                <c:pt idx="173">
                  <c:v>7.575</c:v>
                </c:pt>
                <c:pt idx="174">
                  <c:v>7.575</c:v>
                </c:pt>
                <c:pt idx="175">
                  <c:v>7.575</c:v>
                </c:pt>
                <c:pt idx="176">
                  <c:v>7.575</c:v>
                </c:pt>
                <c:pt idx="177">
                  <c:v>7.575</c:v>
                </c:pt>
                <c:pt idx="178">
                  <c:v>7.575</c:v>
                </c:pt>
                <c:pt idx="179">
                  <c:v>7.575</c:v>
                </c:pt>
                <c:pt idx="180">
                  <c:v>7.575</c:v>
                </c:pt>
                <c:pt idx="181">
                  <c:v>7.575</c:v>
                </c:pt>
                <c:pt idx="182">
                  <c:v>7.575</c:v>
                </c:pt>
                <c:pt idx="183">
                  <c:v>7.575</c:v>
                </c:pt>
                <c:pt idx="184">
                  <c:v>7.575</c:v>
                </c:pt>
                <c:pt idx="185">
                  <c:v>7.27</c:v>
                </c:pt>
                <c:pt idx="186">
                  <c:v>7.27</c:v>
                </c:pt>
                <c:pt idx="187">
                  <c:v>7.27</c:v>
                </c:pt>
                <c:pt idx="188">
                  <c:v>7.27</c:v>
                </c:pt>
                <c:pt idx="189">
                  <c:v>6.625</c:v>
                </c:pt>
                <c:pt idx="190">
                  <c:v>6.625</c:v>
                </c:pt>
                <c:pt idx="191">
                  <c:v>6.625</c:v>
                </c:pt>
                <c:pt idx="192">
                  <c:v>6.625</c:v>
                </c:pt>
                <c:pt idx="193">
                  <c:v>6.625</c:v>
                </c:pt>
                <c:pt idx="194">
                  <c:v>6.35</c:v>
                </c:pt>
                <c:pt idx="195">
                  <c:v>6.35</c:v>
                </c:pt>
                <c:pt idx="196">
                  <c:v>6.35</c:v>
                </c:pt>
                <c:pt idx="197">
                  <c:v>6.35</c:v>
                </c:pt>
                <c:pt idx="198">
                  <c:v>5.34</c:v>
                </c:pt>
                <c:pt idx="199">
                  <c:v>5.34</c:v>
                </c:pt>
                <c:pt idx="200">
                  <c:v>5.34</c:v>
                </c:pt>
                <c:pt idx="201">
                  <c:v>5.34</c:v>
                </c:pt>
                <c:pt idx="202">
                  <c:v>4.91</c:v>
                </c:pt>
                <c:pt idx="203">
                  <c:v>4.91</c:v>
                </c:pt>
                <c:pt idx="204">
                  <c:v>4.91</c:v>
                </c:pt>
                <c:pt idx="205">
                  <c:v>4.91</c:v>
                </c:pt>
                <c:pt idx="206">
                  <c:v>4.91</c:v>
                </c:pt>
                <c:pt idx="207">
                  <c:v>4.68</c:v>
                </c:pt>
                <c:pt idx="208">
                  <c:v>4.68</c:v>
                </c:pt>
                <c:pt idx="209">
                  <c:v>4.68</c:v>
                </c:pt>
                <c:pt idx="210">
                  <c:v>4.68</c:v>
                </c:pt>
                <c:pt idx="211">
                  <c:v>4.64</c:v>
                </c:pt>
                <c:pt idx="212">
                  <c:v>4.64</c:v>
                </c:pt>
                <c:pt idx="213">
                  <c:v>4.64</c:v>
                </c:pt>
                <c:pt idx="214">
                  <c:v>4.64</c:v>
                </c:pt>
                <c:pt idx="215">
                  <c:v>5.03</c:v>
                </c:pt>
                <c:pt idx="216">
                  <c:v>5.03</c:v>
                </c:pt>
                <c:pt idx="217">
                  <c:v>5.03</c:v>
                </c:pt>
                <c:pt idx="218">
                  <c:v>5.03</c:v>
                </c:pt>
                <c:pt idx="219">
                  <c:v>5.03</c:v>
                </c:pt>
                <c:pt idx="220">
                  <c:v>5.505</c:v>
                </c:pt>
                <c:pt idx="221">
                  <c:v>5.505</c:v>
                </c:pt>
                <c:pt idx="222">
                  <c:v>5.505</c:v>
                </c:pt>
                <c:pt idx="223">
                  <c:v>5.505</c:v>
                </c:pt>
                <c:pt idx="224">
                  <c:v>5.61</c:v>
                </c:pt>
                <c:pt idx="225">
                  <c:v>5.61</c:v>
                </c:pt>
                <c:pt idx="226">
                  <c:v>5.61</c:v>
                </c:pt>
                <c:pt idx="227">
                  <c:v>5.61</c:v>
                </c:pt>
                <c:pt idx="228">
                  <c:v>5.68</c:v>
                </c:pt>
                <c:pt idx="229">
                  <c:v>5.68</c:v>
                </c:pt>
                <c:pt idx="230">
                  <c:v>5.68</c:v>
                </c:pt>
                <c:pt idx="231">
                  <c:v>5.68</c:v>
                </c:pt>
                <c:pt idx="232">
                  <c:v>5.68</c:v>
                </c:pt>
                <c:pt idx="233">
                  <c:v>5.79</c:v>
                </c:pt>
                <c:pt idx="234">
                  <c:v>5.79</c:v>
                </c:pt>
                <c:pt idx="235">
                  <c:v>5.79</c:v>
                </c:pt>
                <c:pt idx="236">
                  <c:v>5.79</c:v>
                </c:pt>
                <c:pt idx="237">
                  <c:v>5.855</c:v>
                </c:pt>
                <c:pt idx="238">
                  <c:v>5.855</c:v>
                </c:pt>
                <c:pt idx="239">
                  <c:v>5.855</c:v>
                </c:pt>
                <c:pt idx="240">
                  <c:v>5.855</c:v>
                </c:pt>
                <c:pt idx="241">
                  <c:v>5.98</c:v>
                </c:pt>
                <c:pt idx="242">
                  <c:v>5.98</c:v>
                </c:pt>
                <c:pt idx="243">
                  <c:v>5.98</c:v>
                </c:pt>
                <c:pt idx="244">
                  <c:v>5.98</c:v>
                </c:pt>
                <c:pt idx="245">
                  <c:v>5.98</c:v>
                </c:pt>
                <c:pt idx="246">
                  <c:v>7.82</c:v>
                </c:pt>
                <c:pt idx="247">
                  <c:v>7.82</c:v>
                </c:pt>
                <c:pt idx="248">
                  <c:v>7.82</c:v>
                </c:pt>
                <c:pt idx="249">
                  <c:v>7.82</c:v>
                </c:pt>
                <c:pt idx="250">
                  <c:v>12.435</c:v>
                </c:pt>
                <c:pt idx="251">
                  <c:v>12.435</c:v>
                </c:pt>
                <c:pt idx="252">
                  <c:v>12.435</c:v>
                </c:pt>
                <c:pt idx="253">
                  <c:v>12.435</c:v>
                </c:pt>
                <c:pt idx="254">
                  <c:v>16.37</c:v>
                </c:pt>
                <c:pt idx="255">
                  <c:v>16.37</c:v>
                </c:pt>
                <c:pt idx="256">
                  <c:v>16.37</c:v>
                </c:pt>
                <c:pt idx="257">
                  <c:v>16.37</c:v>
                </c:pt>
                <c:pt idx="258">
                  <c:v>16.37</c:v>
                </c:pt>
                <c:pt idx="259">
                  <c:v>21.15</c:v>
                </c:pt>
                <c:pt idx="260">
                  <c:v>21.15</c:v>
                </c:pt>
                <c:pt idx="261">
                  <c:v>21.15</c:v>
                </c:pt>
                <c:pt idx="262">
                  <c:v>21.15</c:v>
                </c:pt>
                <c:pt idx="263">
                  <c:v>24.565</c:v>
                </c:pt>
                <c:pt idx="264">
                  <c:v>24.565</c:v>
                </c:pt>
                <c:pt idx="265">
                  <c:v>24.565</c:v>
                </c:pt>
                <c:pt idx="266">
                  <c:v>28.89</c:v>
                </c:pt>
                <c:pt idx="267">
                  <c:v>28.89</c:v>
                </c:pt>
                <c:pt idx="268">
                  <c:v>28.89</c:v>
                </c:pt>
                <c:pt idx="269">
                  <c:v>28.89</c:v>
                </c:pt>
                <c:pt idx="270">
                  <c:v>28.89</c:v>
                </c:pt>
                <c:pt idx="271">
                  <c:v>30.225</c:v>
                </c:pt>
                <c:pt idx="272">
                  <c:v>30.225</c:v>
                </c:pt>
                <c:pt idx="273">
                  <c:v>30.225</c:v>
                </c:pt>
                <c:pt idx="274">
                  <c:v>30.225</c:v>
                </c:pt>
                <c:pt idx="275">
                  <c:v>30.765</c:v>
                </c:pt>
                <c:pt idx="276">
                  <c:v>30.765</c:v>
                </c:pt>
                <c:pt idx="277">
                  <c:v>30.765</c:v>
                </c:pt>
                <c:pt idx="278">
                  <c:v>30.765</c:v>
                </c:pt>
                <c:pt idx="279">
                  <c:v>#N/A</c:v>
                </c:pt>
              </c:numCache>
            </c:numRef>
          </c:val>
          <c:smooth val="0"/>
        </c:ser>
        <c:dLbls>
          <c:showLegendKey val="0"/>
          <c:showVal val="0"/>
          <c:showCatName val="0"/>
          <c:showSerName val="0"/>
          <c:showPercent val="0"/>
          <c:showBubbleSize val="0"/>
        </c:dLbls>
        <c:marker val="0"/>
        <c:smooth val="0"/>
        <c:axId val="1725516239"/>
        <c:axId val="1527998815"/>
      </c:lineChart>
      <c:dateAx>
        <c:axId val="1725516239"/>
        <c:scaling>
          <c:orientation val="minMax"/>
        </c:scaling>
        <c:delete val="0"/>
        <c:axPos val="b"/>
        <c:majorGridlines>
          <c:spPr>
            <a:ln w="12700" cap="flat" cmpd="sng" algn="ctr">
              <a:solidFill>
                <a:schemeClr val="tx1">
                  <a:tint val="75000"/>
                </a:schemeClr>
              </a:solidFill>
              <a:prstDash val="dash"/>
              <a:round/>
            </a:ln>
          </c:spPr>
        </c:majorGridlines>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527998815"/>
        <c:crosses val="autoZero"/>
        <c:auto val="1"/>
        <c:lblOffset val="100"/>
        <c:baseTimeUnit val="days"/>
        <c:majorUnit val="3"/>
        <c:majorTimeUnit val="months"/>
      </c:dateAx>
      <c:valAx>
        <c:axId val="1527998815"/>
        <c:scaling>
          <c:orientation val="minMax"/>
        </c:scaling>
        <c:delete val="0"/>
        <c:axPos val="l"/>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_(* #,##0_);_(* \(#,##0\);_(* &quot;-&quot;_);_(@_)"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25516239"/>
        <c:crosses val="autoZero"/>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838c5195-5f0d-4c2f-86f6-e19ff407b62b}"/>
      </c:ext>
    </c:extLst>
  </c:chart>
  <c:spPr>
    <a:ln w="3175" cap="flat" cmpd="sng" algn="ctr">
      <a:solidFill>
        <a:srgbClr val="FEFFFF"/>
      </a:solidFill>
      <a:prstDash val="solid"/>
      <a:round/>
    </a:ln>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512GB UFS Package Contract Price &amp; QoQ</a:t>
            </a:r>
            <a:endParaRPr lang="en-US"/>
          </a:p>
        </c:rich>
      </c:tx>
      <c:layout/>
      <c:overlay val="0"/>
    </c:title>
    <c:autoTitleDeleted val="0"/>
    <c:plotArea>
      <c:layout>
        <c:manualLayout>
          <c:layoutTarget val="inner"/>
          <c:xMode val="edge"/>
          <c:yMode val="edge"/>
          <c:x val="0.0807733446428953"/>
          <c:y val="0.133979964786003"/>
          <c:w val="0.827648685792504"/>
          <c:h val="0.616206391839507"/>
        </c:manualLayout>
      </c:layout>
      <c:barChart>
        <c:barDir val="col"/>
        <c:grouping val="clustered"/>
        <c:varyColors val="0"/>
        <c:ser>
          <c:idx val="0"/>
          <c:order val="1"/>
          <c:tx>
            <c:strRef>
              <c:f>NAND!$BV$23</c:f>
              <c:strCache>
                <c:ptCount val="1"/>
                <c:pt idx="0">
                  <c:v>UFS 512GB</c:v>
                </c:pt>
              </c:strCache>
            </c:strRef>
          </c:tx>
          <c:spPr>
            <a:solidFill>
              <a:schemeClr val="accent3"/>
            </a:solidFill>
          </c:spPr>
          <c:invertIfNegative val="0"/>
          <c:dLbls>
            <c:delete val="1"/>
          </c:dLbls>
          <c:cat>
            <c:strRef>
              <c:f>NAND!$BK$45:$BK$66</c:f>
              <c:strCache>
                <c:ptCount val="22"/>
                <c:pt idx="0" c:formatCode="#,##0.0">
                  <c:v>1Q21</c:v>
                </c:pt>
                <c:pt idx="1" c:formatCode="#,##0.0">
                  <c:v>2Q21</c:v>
                </c:pt>
                <c:pt idx="2" c:formatCode="#,##0.0">
                  <c:v>3Q21</c:v>
                </c:pt>
                <c:pt idx="3" c:formatCode="yyyy/m/d">
                  <c:v>4Q21</c:v>
                </c:pt>
                <c:pt idx="4" c:formatCode="yyyy/m/d">
                  <c:v>1Q22</c:v>
                </c:pt>
                <c:pt idx="5" c:formatCode="yyyy/m/d">
                  <c:v>2Q22</c:v>
                </c:pt>
                <c:pt idx="6" c:formatCode="yyyy/m/d">
                  <c:v>3Q22</c:v>
                </c:pt>
                <c:pt idx="7" c:formatCode="yyyy/m/d">
                  <c:v>4Q22</c:v>
                </c:pt>
                <c:pt idx="8" c:formatCode="yyyy/m/d">
                  <c:v>1Q23</c:v>
                </c:pt>
                <c:pt idx="9" c:formatCode="yyyy/m/d">
                  <c:v>2Q23</c:v>
                </c:pt>
                <c:pt idx="10" c:formatCode="yyyy/m/d">
                  <c:v>3Q23</c:v>
                </c:pt>
                <c:pt idx="11" c:formatCode="yyyy/m/d">
                  <c:v>4Q23</c:v>
                </c:pt>
                <c:pt idx="12" c:formatCode="yyyy/m/d">
                  <c:v>1Q24</c:v>
                </c:pt>
                <c:pt idx="13" c:formatCode="yyyy/m/d">
                  <c:v>2Q24</c:v>
                </c:pt>
                <c:pt idx="14" c:formatCode="yyyy/m/d">
                  <c:v>3Q24</c:v>
                </c:pt>
                <c:pt idx="15" c:formatCode="yyyy/m/d">
                  <c:v>4Q24</c:v>
                </c:pt>
                <c:pt idx="16" c:formatCode="yyyy/m/d">
                  <c:v>1Q25</c:v>
                </c:pt>
                <c:pt idx="17" c:formatCode="yyyy/m/d">
                  <c:v>2Q25</c:v>
                </c:pt>
                <c:pt idx="18" c:formatCode="yyyy/m/d">
                  <c:v>3Q25</c:v>
                </c:pt>
                <c:pt idx="19" c:formatCode="yyyy/m/d">
                  <c:v>4Q25</c:v>
                </c:pt>
                <c:pt idx="20" c:formatCode="yyyy/m/d">
                  <c:v>1Q26</c:v>
                </c:pt>
                <c:pt idx="21" c:formatCode="yyyy/m/d">
                  <c:v>2Q26</c:v>
                </c:pt>
              </c:strCache>
            </c:strRef>
          </c:cat>
          <c:val>
            <c:numRef>
              <c:f>NAND!$BV$45:$BV$66</c:f>
              <c:numCache>
                <c:formatCode>#,##0.000</c:formatCode>
                <c:ptCount val="22"/>
                <c:pt idx="0">
                  <c:v>0.1048828125</c:v>
                </c:pt>
                <c:pt idx="1">
                  <c:v>0.1078125</c:v>
                </c:pt>
                <c:pt idx="2">
                  <c:v>0.1111328125</c:v>
                </c:pt>
                <c:pt idx="3">
                  <c:v>0.1062890625</c:v>
                </c:pt>
                <c:pt idx="4">
                  <c:v>0.098046875</c:v>
                </c:pt>
                <c:pt idx="5">
                  <c:v>0.0994140625</c:v>
                </c:pt>
                <c:pt idx="6">
                  <c:v>0.0953125</c:v>
                </c:pt>
                <c:pt idx="7">
                  <c:v>0.07103515625</c:v>
                </c:pt>
                <c:pt idx="8">
                  <c:v>0.060390625</c:v>
                </c:pt>
                <c:pt idx="9">
                  <c:v>0.0478515625</c:v>
                </c:pt>
                <c:pt idx="10">
                  <c:v>0.04404296875</c:v>
                </c:pt>
                <c:pt idx="11">
                  <c:v>0.05</c:v>
                </c:pt>
                <c:pt idx="12">
                  <c:v>0.062890625</c:v>
                </c:pt>
                <c:pt idx="13">
                  <c:v>0.070625</c:v>
                </c:pt>
                <c:pt idx="14">
                  <c:v>0.073046875</c:v>
                </c:pt>
                <c:pt idx="15">
                  <c:v>0.0671875</c:v>
                </c:pt>
                <c:pt idx="16">
                  <c:v>0.0615234375</c:v>
                </c:pt>
                <c:pt idx="17">
                  <c:v>0.065390625</c:v>
                </c:pt>
                <c:pt idx="18">
                  <c:v>0.064453125</c:v>
                </c:pt>
                <c:pt idx="19">
                  <c:v>0.0670703125</c:v>
                </c:pt>
                <c:pt idx="20">
                  <c:v>0.132265625</c:v>
                </c:pt>
                <c:pt idx="21">
                  <c:v>0.2380859375</c:v>
                </c:pt>
              </c:numCache>
            </c:numRef>
          </c:val>
        </c:ser>
        <c:dLbls>
          <c:showLegendKey val="0"/>
          <c:showVal val="0"/>
          <c:showCatName val="0"/>
          <c:showSerName val="0"/>
          <c:showPercent val="0"/>
          <c:showBubbleSize val="0"/>
        </c:dLbls>
        <c:gapWidth val="66"/>
        <c:axId val="1341051183"/>
        <c:axId val="1281690735"/>
        <c:extLst>
          <c:ext xmlns:c15="http://schemas.microsoft.com/office/drawing/2012/chart" uri="{02D57815-91ED-43cb-92C2-25804820EDAC}">
            <c15:filteredBarSeries>
              <c15:ser>
                <c:idx val="6"/>
                <c:order val="0"/>
                <c:tx>
                  <c:strRef>
                    <c:extLst>
                      <c:ext uri="{02D57815-91ED-43cb-92C2-25804820EDAC}">
                        <c15:formulaRef>
                          <c15:sqref>NAND!$BS$23</c15:sqref>
                        </c15:formulaRef>
                      </c:ext>
                    </c:extLst>
                    <c:strCache>
                      <c:ptCount val="1"/>
                      <c:pt idx="0">
                        <c:v>eMMC MLC 16GB</c:v>
                      </c:pt>
                    </c:strCache>
                  </c:strRef>
                </c:tx>
                <c:spPr>
                  <a:solidFill>
                    <a:schemeClr val="accent1"/>
                  </a:solidFill>
                  <a:ln>
                    <a:solidFill>
                      <a:srgbClr val="000000"/>
                    </a:solidFill>
                  </a:ln>
                </c:spPr>
                <c:invertIfNegative val="0"/>
                <c:dLbls>
                  <c:delete val="1"/>
                </c:dLbls>
                <c:cat>
                  <c:strRef>
                    <c:extLst>
                      <c:ext uri="{02D57815-91ED-43cb-92C2-25804820EDAC}">
                        <c15:fullRef>
                          <c15:sqref/>
                        </c15:fullRef>
                        <c15:formulaRef>
                          <c15:sqref>NAND!$BK$45:$BK$66</c15:sqref>
                        </c15:formulaRef>
                      </c:ext>
                    </c:extLst>
                    <c:strCache>
                      <c:ptCount val="22"/>
                      <c:pt idx="0" c:formatCode="#,##0.0">
                        <c:v>1Q21</c:v>
                      </c:pt>
                      <c:pt idx="1" c:formatCode="#,##0.0">
                        <c:v>2Q21</c:v>
                      </c:pt>
                      <c:pt idx="2" c:formatCode="#,##0.0">
                        <c:v>3Q21</c:v>
                      </c:pt>
                      <c:pt idx="3" c:formatCode="yyyy/m/d">
                        <c:v>4Q21</c:v>
                      </c:pt>
                      <c:pt idx="4" c:formatCode="yyyy/m/d">
                        <c:v>1Q22</c:v>
                      </c:pt>
                      <c:pt idx="5" c:formatCode="yyyy/m/d">
                        <c:v>2Q22</c:v>
                      </c:pt>
                      <c:pt idx="6" c:formatCode="yyyy/m/d">
                        <c:v>3Q22</c:v>
                      </c:pt>
                      <c:pt idx="7" c:formatCode="yyyy/m/d">
                        <c:v>4Q22</c:v>
                      </c:pt>
                      <c:pt idx="8" c:formatCode="yyyy/m/d">
                        <c:v>1Q23</c:v>
                      </c:pt>
                      <c:pt idx="9" c:formatCode="yyyy/m/d">
                        <c:v>2Q23</c:v>
                      </c:pt>
                      <c:pt idx="10" c:formatCode="yyyy/m/d">
                        <c:v>3Q23</c:v>
                      </c:pt>
                      <c:pt idx="11" c:formatCode="yyyy/m/d">
                        <c:v>4Q23</c:v>
                      </c:pt>
                      <c:pt idx="12" c:formatCode="yyyy/m/d">
                        <c:v>1Q24</c:v>
                      </c:pt>
                      <c:pt idx="13" c:formatCode="yyyy/m/d">
                        <c:v>2Q24</c:v>
                      </c:pt>
                      <c:pt idx="14" c:formatCode="yyyy/m/d">
                        <c:v>3Q24</c:v>
                      </c:pt>
                      <c:pt idx="15" c:formatCode="yyyy/m/d">
                        <c:v>4Q24</c:v>
                      </c:pt>
                      <c:pt idx="16" c:formatCode="yyyy/m/d">
                        <c:v>1Q25</c:v>
                      </c:pt>
                      <c:pt idx="17" c:formatCode="yyyy/m/d">
                        <c:v>2Q25</c:v>
                      </c:pt>
                      <c:pt idx="18" c:formatCode="yyyy/m/d">
                        <c:v>3Q25</c:v>
                      </c:pt>
                      <c:pt idx="19" c:formatCode="yyyy/m/d">
                        <c:v>4Q25</c:v>
                      </c:pt>
                      <c:pt idx="20" c:formatCode="yyyy/m/d">
                        <c:v>1Q26</c:v>
                      </c:pt>
                      <c:pt idx="21" c:formatCode="yyyy/m/d">
                        <c:v>2Q26</c:v>
                      </c:pt>
                    </c:strCache>
                  </c:strRef>
                </c:cat>
                <c:val>
                  <c:numRef>
                    <c:extLst>
                      <c:ext uri="{02D57815-91ED-43cb-92C2-25804820EDAC}">
                        <c15:formulaRef>
                          <c15:sqref>NAND!$BS$33:$BS$51</c15:sqref>
                        </c15:formulaRef>
                      </c:ext>
                    </c:extLst>
                    <c:numCache>
                      <c:formatCode>#,##0.000</c:formatCode>
                      <c:ptCount val="19"/>
                      <c:pt idx="0">
                        <c:v>0.37875</c:v>
                      </c:pt>
                      <c:pt idx="1">
                        <c:v>0.37875</c:v>
                      </c:pt>
                      <c:pt idx="2">
                        <c:v>0.3525</c:v>
                      </c:pt>
                      <c:pt idx="3">
                        <c:v>0.30375</c:v>
                      </c:pt>
                      <c:pt idx="4">
                        <c:v>0.275</c:v>
                      </c:pt>
                      <c:pt idx="5">
                        <c:v>0.225625</c:v>
                      </c:pt>
                      <c:pt idx="6">
                        <c:v>0.196875</c:v>
                      </c:pt>
                      <c:pt idx="7">
                        <c:v>0.2225</c:v>
                      </c:pt>
                      <c:pt idx="8">
                        <c:v>0.244375</c:v>
                      </c:pt>
                      <c:pt idx="9">
                        <c:v>0.259375</c:v>
                      </c:pt>
                      <c:pt idx="10">
                        <c:v>0.224375</c:v>
                      </c:pt>
                      <c:pt idx="11">
                        <c:v>0.216875</c:v>
                      </c:pt>
                      <c:pt idx="12">
                        <c:v>0.22125</c:v>
                      </c:pt>
                      <c:pt idx="13">
                        <c:v>0.250625</c:v>
                      </c:pt>
                      <c:pt idx="14">
                        <c:v>0.26375</c:v>
                      </c:pt>
                      <c:pt idx="15">
                        <c:v>0.245625</c:v>
                      </c:pt>
                      <c:pt idx="16">
                        <c:v>0.239375</c:v>
                      </c:pt>
                      <c:pt idx="17">
                        <c:v>0.249375</c:v>
                      </c:pt>
                      <c:pt idx="18">
                        <c:v>0.23125</c:v>
                      </c:pt>
                    </c:numCache>
                  </c:numRef>
                </c:val>
              </c15:ser>
            </c15:filteredBarSeries>
            <c15:filteredBarSeries>
              <c15:ser>
                <c:idx val="1"/>
                <c:order val="2"/>
                <c:tx>
                  <c:strRef>
                    <c:extLst>
                      <c:ext uri="{02D57815-91ED-43cb-92C2-25804820EDAC}">
                        <c15:formulaRef>
                          <c15:sqref>NAND!$BT$23</c15:sqref>
                        </c15:formulaRef>
                      </c:ext>
                    </c:extLst>
                    <c:strCache>
                      <c:ptCount val="1"/>
                      <c:pt idx="0">
                        <c:v>UFS 128GB</c:v>
                      </c:pt>
                    </c:strCache>
                  </c:strRef>
                </c:tx>
                <c:spPr>
                  <a:solidFill>
                    <a:schemeClr val="accent1"/>
                  </a:solidFill>
                  <a:ln w="9525">
                    <a:solidFill>
                      <a:schemeClr val="accent1"/>
                    </a:solidFill>
                    <a:prstDash val="solid"/>
                  </a:ln>
                </c:spPr>
                <c:invertIfNegative val="0"/>
                <c:dLbls>
                  <c:delete val="1"/>
                </c:dLbls>
                <c:cat>
                  <c:strRef>
                    <c:extLst>
                      <c:ext uri="{02D57815-91ED-43cb-92C2-25804820EDAC}">
                        <c15:fullRef>
                          <c15:sqref/>
                        </c15:fullRef>
                        <c15:formulaRef>
                          <c15:sqref>NAND!$BK$45:$BK$66</c15:sqref>
                        </c15:formulaRef>
                      </c:ext>
                    </c:extLst>
                    <c:strCache>
                      <c:ptCount val="22"/>
                      <c:pt idx="0" c:formatCode="#,##0.0">
                        <c:v>1Q21</c:v>
                      </c:pt>
                      <c:pt idx="1" c:formatCode="#,##0.0">
                        <c:v>2Q21</c:v>
                      </c:pt>
                      <c:pt idx="2" c:formatCode="#,##0.0">
                        <c:v>3Q21</c:v>
                      </c:pt>
                      <c:pt idx="3" c:formatCode="yyyy/m/d">
                        <c:v>4Q21</c:v>
                      </c:pt>
                      <c:pt idx="4" c:formatCode="yyyy/m/d">
                        <c:v>1Q22</c:v>
                      </c:pt>
                      <c:pt idx="5" c:formatCode="yyyy/m/d">
                        <c:v>2Q22</c:v>
                      </c:pt>
                      <c:pt idx="6" c:formatCode="yyyy/m/d">
                        <c:v>3Q22</c:v>
                      </c:pt>
                      <c:pt idx="7" c:formatCode="yyyy/m/d">
                        <c:v>4Q22</c:v>
                      </c:pt>
                      <c:pt idx="8" c:formatCode="yyyy/m/d">
                        <c:v>1Q23</c:v>
                      </c:pt>
                      <c:pt idx="9" c:formatCode="yyyy/m/d">
                        <c:v>2Q23</c:v>
                      </c:pt>
                      <c:pt idx="10" c:formatCode="yyyy/m/d">
                        <c:v>3Q23</c:v>
                      </c:pt>
                      <c:pt idx="11" c:formatCode="yyyy/m/d">
                        <c:v>4Q23</c:v>
                      </c:pt>
                      <c:pt idx="12" c:formatCode="yyyy/m/d">
                        <c:v>1Q24</c:v>
                      </c:pt>
                      <c:pt idx="13" c:formatCode="yyyy/m/d">
                        <c:v>2Q24</c:v>
                      </c:pt>
                      <c:pt idx="14" c:formatCode="yyyy/m/d">
                        <c:v>3Q24</c:v>
                      </c:pt>
                      <c:pt idx="15" c:formatCode="yyyy/m/d">
                        <c:v>4Q24</c:v>
                      </c:pt>
                      <c:pt idx="16" c:formatCode="yyyy/m/d">
                        <c:v>1Q25</c:v>
                      </c:pt>
                      <c:pt idx="17" c:formatCode="yyyy/m/d">
                        <c:v>2Q25</c:v>
                      </c:pt>
                      <c:pt idx="18" c:formatCode="yyyy/m/d">
                        <c:v>3Q25</c:v>
                      </c:pt>
                      <c:pt idx="19" c:formatCode="yyyy/m/d">
                        <c:v>4Q25</c:v>
                      </c:pt>
                      <c:pt idx="20" c:formatCode="yyyy/m/d">
                        <c:v>1Q26</c:v>
                      </c:pt>
                      <c:pt idx="21" c:formatCode="yyyy/m/d">
                        <c:v>2Q26</c:v>
                      </c:pt>
                    </c:strCache>
                  </c:strRef>
                </c:cat>
                <c:val>
                  <c:numRef>
                    <c:extLst>
                      <c:ext uri="{02D57815-91ED-43cb-92C2-25804820EDAC}">
                        <c15:formulaRef>
                          <c15:sqref>NAND!$BT$33:$BT$59</c15:sqref>
                        </c15:formulaRef>
                      </c:ext>
                    </c:extLst>
                    <c:numCache>
                      <c:formatCode>#,##0.000</c:formatCode>
                      <c:ptCount val="27"/>
                      <c:pt idx="0">
                        <c:v>0.328125</c:v>
                      </c:pt>
                      <c:pt idx="1">
                        <c:v>0.28515625</c:v>
                      </c:pt>
                      <c:pt idx="2">
                        <c:v>0.26484375</c:v>
                      </c:pt>
                      <c:pt idx="3">
                        <c:v>0.22421875</c:v>
                      </c:pt>
                      <c:pt idx="4">
                        <c:v>0.1859375</c:v>
                      </c:pt>
                      <c:pt idx="5">
                        <c:v>0.14484375</c:v>
                      </c:pt>
                      <c:pt idx="6">
                        <c:v>0.135625</c:v>
                      </c:pt>
                      <c:pt idx="7">
                        <c:v>0.135859375</c:v>
                      </c:pt>
                      <c:pt idx="8">
                        <c:v>0.13703125</c:v>
                      </c:pt>
                      <c:pt idx="9">
                        <c:v>0.1403125</c:v>
                      </c:pt>
                      <c:pt idx="10">
                        <c:v>0.13734375</c:v>
                      </c:pt>
                      <c:pt idx="11">
                        <c:v>0.13515625</c:v>
                      </c:pt>
                      <c:pt idx="12">
                        <c:v>0.129375</c:v>
                      </c:pt>
                      <c:pt idx="13">
                        <c:v>0.135</c:v>
                      </c:pt>
                      <c:pt idx="14">
                        <c:v>0.1409375</c:v>
                      </c:pt>
                      <c:pt idx="15">
                        <c:v>0.13234375</c:v>
                      </c:pt>
                      <c:pt idx="16">
                        <c:v>0.12171875</c:v>
                      </c:pt>
                      <c:pt idx="17">
                        <c:v>0.12421875</c:v>
                      </c:pt>
                      <c:pt idx="18">
                        <c:v>0.10359375</c:v>
                      </c:pt>
                      <c:pt idx="19">
                        <c:v>0.0771875</c:v>
                      </c:pt>
                      <c:pt idx="20">
                        <c:v>0.065625</c:v>
                      </c:pt>
                      <c:pt idx="21">
                        <c:v>0.05375</c:v>
                      </c:pt>
                      <c:pt idx="22">
                        <c:v>0.05046875</c:v>
                      </c:pt>
                      <c:pt idx="23">
                        <c:v>0.05515625</c:v>
                      </c:pt>
                      <c:pt idx="24">
                        <c:v>0.0703125</c:v>
                      </c:pt>
                      <c:pt idx="25">
                        <c:v>0.07796875</c:v>
                      </c:pt>
                      <c:pt idx="26">
                        <c:v>0.08390625</c:v>
                      </c:pt>
                    </c:numCache>
                  </c:numRef>
                </c:val>
              </c15:ser>
            </c15:filteredBarSeries>
          </c:ext>
        </c:extLst>
      </c:barChart>
      <c:lineChart>
        <c:grouping val="standard"/>
        <c:varyColors val="0"/>
        <c:ser>
          <c:idx val="3"/>
          <c:order val="4"/>
          <c:tx>
            <c:strRef>
              <c:f>NAND!$CA$23</c:f>
              <c:strCache>
                <c:ptCount val="1"/>
                <c:pt idx="0">
                  <c:v>QoQ UFS 512GB</c:v>
                </c:pt>
              </c:strCache>
            </c:strRef>
          </c:tx>
          <c:spPr>
            <a:ln w="12700" cap="rnd" cmpd="sng" algn="ctr">
              <a:solidFill>
                <a:schemeClr val="accent4">
                  <a:shade val="76667"/>
                </a:schemeClr>
              </a:solidFill>
              <a:prstDash val="solid"/>
              <a:round/>
            </a:ln>
          </c:spPr>
          <c:marker>
            <c:symbol val="x"/>
            <c:size val="4"/>
            <c:spPr>
              <a:noFill/>
              <a:ln w="12700" cap="flat" cmpd="sng" algn="ctr">
                <a:solidFill>
                  <a:schemeClr val="accent1"/>
                </a:solidFill>
                <a:prstDash val="solid"/>
                <a:round/>
              </a:ln>
            </c:spPr>
          </c:marker>
          <c:dLbls>
            <c:delete val="1"/>
          </c:dLbls>
          <c:val>
            <c:numRef>
              <c:f>NAND!$CA$45:$CA$66</c:f>
              <c:numCache>
                <c:formatCode>0%</c:formatCode>
                <c:ptCount val="22"/>
                <c:pt idx="0">
                  <c:v>-0.0478723404255318</c:v>
                </c:pt>
                <c:pt idx="1">
                  <c:v>0.0279329608938548</c:v>
                </c:pt>
                <c:pt idx="2">
                  <c:v>0.0307971014492754</c:v>
                </c:pt>
                <c:pt idx="3">
                  <c:v>-0.043585237258348</c:v>
                </c:pt>
                <c:pt idx="4" c:formatCode="0.0%">
                  <c:v>-0.0775450202131569</c:v>
                </c:pt>
                <c:pt idx="5" c:formatCode="0.0%">
                  <c:v>0.0139442231075697</c:v>
                </c:pt>
                <c:pt idx="6" c:formatCode="0.0%">
                  <c:v>-0.0412573673870335</c:v>
                </c:pt>
                <c:pt idx="7" c:formatCode="0.0%">
                  <c:v>-0.254713114754098</c:v>
                </c:pt>
                <c:pt idx="8" c:formatCode="0.0%">
                  <c:v>-0.149848776464119</c:v>
                </c:pt>
                <c:pt idx="9" c:formatCode="0.0%">
                  <c:v>-0.207632600258732</c:v>
                </c:pt>
                <c:pt idx="10" c:formatCode="0.0%">
                  <c:v>-0.0795918367346938</c:v>
                </c:pt>
                <c:pt idx="11" c:formatCode="0.0%">
                  <c:v>0.135254988913525</c:v>
                </c:pt>
                <c:pt idx="12" c:formatCode="0.0%">
                  <c:v>0.2578125</c:v>
                </c:pt>
                <c:pt idx="13" c:formatCode="0.0%">
                  <c:v>0.122981366459627</c:v>
                </c:pt>
                <c:pt idx="14" c:formatCode="0.0%">
                  <c:v>0.0342920353982301</c:v>
                </c:pt>
                <c:pt idx="15" c:formatCode="0.0%">
                  <c:v>-0.0802139037433155</c:v>
                </c:pt>
                <c:pt idx="16" c:formatCode="0.0%">
                  <c:v>-0.0843023255813953</c:v>
                </c:pt>
                <c:pt idx="17" c:formatCode="0.0%">
                  <c:v>0.0628571428571427</c:v>
                </c:pt>
                <c:pt idx="18" c:formatCode="0.0%">
                  <c:v>-0.0143369175627239</c:v>
                </c:pt>
                <c:pt idx="19" c:formatCode="0.0%">
                  <c:v>0.0406060606060608</c:v>
                </c:pt>
                <c:pt idx="20" c:formatCode="0.0%">
                  <c:v>0.972044263249854</c:v>
                </c:pt>
                <c:pt idx="21" c:formatCode="0.0%">
                  <c:v>0.800059066745422</c:v>
                </c:pt>
              </c:numCache>
            </c:numRef>
          </c:val>
          <c:smooth val="0"/>
        </c:ser>
        <c:dLbls>
          <c:showLegendKey val="0"/>
          <c:showVal val="0"/>
          <c:showCatName val="0"/>
          <c:showSerName val="0"/>
          <c:showPercent val="0"/>
          <c:showBubbleSize val="0"/>
        </c:dLbls>
        <c:marker val="1"/>
        <c:smooth val="0"/>
        <c:axId val="1339623087"/>
        <c:axId val="1342488863"/>
        <c:extLst>
          <c:ext xmlns:c15="http://schemas.microsoft.com/office/drawing/2012/chart" uri="{02D57815-91ED-43cb-92C2-25804820EDAC}">
            <c15:filteredLineSeries>
              <c15:ser>
                <c:idx val="7"/>
                <c:order val="3"/>
                <c:tx>
                  <c:strRef>
                    <c:extLst>
                      <c:ext uri="{02D57815-91ED-43cb-92C2-25804820EDAC}">
                        <c15:formulaRef>
                          <c15:sqref>NAND!$BX$23</c15:sqref>
                        </c15:formulaRef>
                      </c:ext>
                    </c:extLst>
                    <c:strCache>
                      <c:ptCount val="1"/>
                      <c:pt idx="0">
                        <c:v>QoQ eMMC MLC 16GB</c:v>
                      </c:pt>
                    </c:strCache>
                  </c:strRef>
                </c:tx>
                <c:marker>
                  <c:symbol val="triangle"/>
                  <c:size val="4"/>
                  <c:spPr>
                    <a:solidFill>
                      <a:schemeClr val="accent5"/>
                    </a:solidFill>
                  </c:spPr>
                </c:marker>
                <c:dLbls>
                  <c:delete val="1"/>
                </c:dLbls>
                <c:val>
                  <c:numRef>
                    <c:extLst>
                      <c:ext uri="{02D57815-91ED-43cb-92C2-25804820EDAC}">
                        <c15:formulaRef>
                          <c15:sqref>NAND!$BX$33:$BX$51</c15:sqref>
                        </c15:formulaRef>
                      </c:ext>
                    </c:extLst>
                    <c:numCache>
                      <c:formatCode>0%</c:formatCode>
                      <c:ptCount val="19"/>
                      <c:pt idx="0">
                        <c:v>0.00664451827242529</c:v>
                      </c:pt>
                      <c:pt idx="1">
                        <c:v>0</c:v>
                      </c:pt>
                      <c:pt idx="2">
                        <c:v>-0.0693069306930693</c:v>
                      </c:pt>
                      <c:pt idx="3">
                        <c:v>-0.138297872340425</c:v>
                      </c:pt>
                      <c:pt idx="4">
                        <c:v>-0.0946502057613169</c:v>
                      </c:pt>
                      <c:pt idx="5">
                        <c:v>-0.179545454545455</c:v>
                      </c:pt>
                      <c:pt idx="6">
                        <c:v>-0.127423822714681</c:v>
                      </c:pt>
                      <c:pt idx="7">
                        <c:v>0.13015873015873</c:v>
                      </c:pt>
                      <c:pt idx="8">
                        <c:v>0.098314606741573</c:v>
                      </c:pt>
                      <c:pt idx="9">
                        <c:v>0.0613810741687979</c:v>
                      </c:pt>
                      <c:pt idx="10">
                        <c:v>-0.134939759036145</c:v>
                      </c:pt>
                      <c:pt idx="11">
                        <c:v>-0.0334261838440111</c:v>
                      </c:pt>
                      <c:pt idx="12">
                        <c:v>0.0201729106628241</c:v>
                      </c:pt>
                      <c:pt idx="13">
                        <c:v>0.132768361581921</c:v>
                      </c:pt>
                      <c:pt idx="14">
                        <c:v>0.0523690773067331</c:v>
                      </c:pt>
                      <c:pt idx="15">
                        <c:v>-0.0687203791469193</c:v>
                      </c:pt>
                      <c:pt idx="16" c:formatCode="0.0%">
                        <c:v>-0.0254452926208651</c:v>
                      </c:pt>
                      <c:pt idx="17" c:formatCode="0.0%">
                        <c:v>0.04177545691906</c:v>
                      </c:pt>
                      <c:pt idx="18" c:formatCode="0.0%">
                        <c:v>-0.0726817042606517</c:v>
                      </c:pt>
                    </c:numCache>
                  </c:numRef>
                </c:val>
                <c:smooth val="0"/>
              </c15:ser>
            </c15:filteredLineSeries>
            <c15:filteredLineSeries>
              <c15:ser>
                <c:idx val="4"/>
                <c:order val="5"/>
                <c:tx>
                  <c:strRef>
                    <c:extLst>
                      <c:ext uri="{02D57815-91ED-43cb-92C2-25804820EDAC}">
                        <c15:formulaRef>
                          <c15:sqref>NAND!$BY$23</c15:sqref>
                        </c15:formulaRef>
                      </c:ext>
                    </c:extLst>
                    <c:strCache>
                      <c:ptCount val="1"/>
                      <c:pt idx="0">
                        <c:v>QoQ UFS 128GB</c:v>
                      </c:pt>
                    </c:strCache>
                  </c:strRef>
                </c:tx>
                <c:spPr>
                  <a:ln w="12700" cap="rnd" cmpd="sng" algn="ctr">
                    <a:solidFill>
                      <a:schemeClr val="accent3"/>
                    </a:solidFill>
                    <a:prstDash val="solid"/>
                    <a:round/>
                  </a:ln>
                </c:spPr>
                <c:marker>
                  <c:symbol val="diamond"/>
                  <c:size val="4"/>
                  <c:spPr>
                    <a:solidFill>
                      <a:schemeClr val="accent3"/>
                    </a:solidFill>
                    <a:ln w="12700" cap="flat" cmpd="sng" algn="ctr">
                      <a:solidFill>
                        <a:schemeClr val="accent3"/>
                      </a:solidFill>
                      <a:prstDash val="solid"/>
                      <a:round/>
                    </a:ln>
                  </c:spPr>
                </c:marker>
                <c:dLbls>
                  <c:delete val="1"/>
                </c:dLbls>
                <c:val>
                  <c:numRef>
                    <c:extLst>
                      <c:ext uri="{02D57815-91ED-43cb-92C2-25804820EDAC}">
                        <c15:formulaRef>
                          <c15:sqref>NAND!$BY$33:$BY$59</c15:sqref>
                        </c15:formulaRef>
                      </c:ext>
                    </c:extLst>
                    <c:numCache>
                      <c:formatCode>0%</c:formatCode>
                      <c:ptCount val="27"/>
                      <c:pt idx="0">
                        <c:v>-0.0277777777777778</c:v>
                      </c:pt>
                      <c:pt idx="1">
                        <c:v>-0.130952380952381</c:v>
                      </c:pt>
                      <c:pt idx="2">
                        <c:v>-0.0712328767123288</c:v>
                      </c:pt>
                      <c:pt idx="3">
                        <c:v>-0.153392330383481</c:v>
                      </c:pt>
                      <c:pt idx="4">
                        <c:v>-0.170731707317073</c:v>
                      </c:pt>
                      <c:pt idx="5">
                        <c:v>-0.221008403361345</c:v>
                      </c:pt>
                      <c:pt idx="6">
                        <c:v>-0.0636461704422869</c:v>
                      </c:pt>
                      <c:pt idx="7">
                        <c:v>0.00172811059907851</c:v>
                      </c:pt>
                      <c:pt idx="8">
                        <c:v>0.00862564692351908</c:v>
                      </c:pt>
                      <c:pt idx="9">
                        <c:v>0.0239452679589511</c:v>
                      </c:pt>
                      <c:pt idx="10">
                        <c:v>-0.0211581291759467</c:v>
                      </c:pt>
                      <c:pt idx="11">
                        <c:v>-0.0159271899886233</c:v>
                      </c:pt>
                      <c:pt idx="12">
                        <c:v>-0.0427745664739886</c:v>
                      </c:pt>
                      <c:pt idx="13">
                        <c:v>0.0434782608695654</c:v>
                      </c:pt>
                      <c:pt idx="14">
                        <c:v>0.0439814814814814</c:v>
                      </c:pt>
                      <c:pt idx="15">
                        <c:v>-0.0609756097560974</c:v>
                      </c:pt>
                      <c:pt idx="16" c:formatCode="0.0%">
                        <c:v>-0.0802833530106258</c:v>
                      </c:pt>
                      <c:pt idx="17" c:formatCode="0.0%">
                        <c:v>0.0205391527599488</c:v>
                      </c:pt>
                      <c:pt idx="18" c:formatCode="0.0%">
                        <c:v>-0.166037735849057</c:v>
                      </c:pt>
                      <c:pt idx="19" c:formatCode="0.0%">
                        <c:v>-0.254901960784314</c:v>
                      </c:pt>
                      <c:pt idx="20" c:formatCode="0.0%">
                        <c:v>-0.149797570850203</c:v>
                      </c:pt>
                      <c:pt idx="21" c:formatCode="0.0%">
                        <c:v>-0.180952380952381</c:v>
                      </c:pt>
                      <c:pt idx="22" c:formatCode="0.0%">
                        <c:v>-0.061046511627907</c:v>
                      </c:pt>
                      <c:pt idx="23" c:formatCode="0.0%">
                        <c:v>0.0928792569659442</c:v>
                      </c:pt>
                      <c:pt idx="24" c:formatCode="0.0%">
                        <c:v>0.274787535410765</c:v>
                      </c:pt>
                      <c:pt idx="25" c:formatCode="0.0%">
                        <c:v>0.108888888888889</c:v>
                      </c:pt>
                      <c:pt idx="26" c:formatCode="0.0%">
                        <c:v>0.0761523046092185</c:v>
                      </c:pt>
                    </c:numCache>
                  </c:numRef>
                </c:val>
                <c:smooth val="0"/>
              </c15:ser>
            </c15:filteredLineSeries>
          </c:ext>
        </c:extLst>
      </c:lineChart>
      <c:catAx>
        <c:axId val="1341051183"/>
        <c:scaling>
          <c:orientation val="minMax"/>
        </c:scaling>
        <c:delete val="0"/>
        <c:axPos val="b"/>
        <c:majorGridlines>
          <c:spPr>
            <a:ln w="12700" cap="flat" cmpd="sng" algn="ctr">
              <a:solidFill>
                <a:schemeClr val="tx1">
                  <a:tint val="75000"/>
                </a:schemeClr>
              </a:solidFill>
              <a:prstDash val="dash"/>
              <a:round/>
            </a:ln>
          </c:spPr>
        </c:majorGridlines>
        <c:numFmt formatCode="General"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281690735"/>
        <c:crosses val="autoZero"/>
        <c:auto val="1"/>
        <c:lblAlgn val="ctr"/>
        <c:lblOffset val="100"/>
        <c:tickMarkSkip val="4"/>
        <c:noMultiLvlLbl val="0"/>
      </c:catAx>
      <c:valAx>
        <c:axId val="1281690735"/>
        <c:scaling>
          <c:orientation val="minMax"/>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 US$/GB</a:t>
                </a:r>
                <a:endParaRPr lang="en-US"/>
              </a:p>
            </c:rich>
          </c:tx>
          <c:layout/>
          <c:overlay val="0"/>
        </c:title>
        <c:numFmt formatCode="#,##0.00"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341051183"/>
        <c:crosses val="autoZero"/>
        <c:crossBetween val="between"/>
      </c:valAx>
      <c:catAx>
        <c:axId val="1339623087"/>
        <c:scaling>
          <c:orientation val="minMax"/>
        </c:scaling>
        <c:delete val="1"/>
        <c:axPos val="b"/>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342488863"/>
        <c:crosses val="autoZero"/>
        <c:auto val="1"/>
        <c:lblAlgn val="ctr"/>
        <c:lblOffset val="100"/>
        <c:noMultiLvlLbl val="0"/>
      </c:catAx>
      <c:valAx>
        <c:axId val="1342488863"/>
        <c:scaling>
          <c:orientation val="minMax"/>
        </c:scaling>
        <c:delete val="0"/>
        <c:axPos val="r"/>
        <c:majorGridlines>
          <c:spPr>
            <a:ln w="12700" cap="flat" cmpd="sng" algn="ctr">
              <a:solidFill>
                <a:schemeClr val="tx1">
                  <a:tint val="75000"/>
                </a:schemeClr>
              </a:solidFill>
              <a:prstDash val="dash"/>
              <a:round/>
            </a:ln>
          </c:spPr>
        </c:majorGridlines>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QoQ</a:t>
                </a:r>
                <a:endParaRPr lang="en-US"/>
              </a:p>
            </c:rich>
          </c:tx>
          <c:layout/>
          <c:overlay val="0"/>
        </c:title>
        <c:numFmt formatCode="0%" sourceLinked="1"/>
        <c:majorTickMark val="out"/>
        <c:minorTickMark val="none"/>
        <c:tickLblPos val="nextTo"/>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339623087"/>
        <c:crosses val="max"/>
        <c:crossBetween val="between"/>
      </c:valAx>
      <c:spPr>
        <a:noFill/>
        <a:ln w="25400">
          <a:noFill/>
        </a:ln>
      </c:spPr>
    </c:plotArea>
    <c:legend>
      <c:legendPos val="b"/>
      <c:layout>
        <c:manualLayout>
          <c:xMode val="edge"/>
          <c:yMode val="edge"/>
          <c:x val="0.0209947864589222"/>
          <c:y val="0.901671873560732"/>
          <c:w val="0.951776790899041"/>
          <c:h val="0.0688819535774182"/>
        </c:manualLayout>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4186da9c-7f5f-4b49-9d72-21f13e66c04a}"/>
      </c:ext>
    </c:extLst>
  </c:chart>
  <c:spPr>
    <a:solidFill>
      <a:srgbClr val="FFFFFF"/>
    </a:solidFill>
    <a:ln w="3175" cap="flat" cmpd="sng" algn="ctr">
      <a:solidFill>
        <a:srgbClr val="FFFFFF"/>
      </a:solidFill>
      <a:prstDash val="solid"/>
      <a:round/>
    </a:ln>
    <a:effectLst/>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NAND Wafer </a:t>
            </a:r>
            <a:r>
              <a:rPr lang="en-US" sz="1000" b="1" i="0" u="none" strike="noStrike" baseline="0">
                <a:effectLst/>
              </a:rPr>
              <a:t>(3D TLC </a:t>
            </a:r>
            <a:r>
              <a:rPr lang="en-US" altLang="zh-CN" sz="1000" b="1" i="0" u="none" strike="noStrike" baseline="0">
                <a:effectLst/>
              </a:rPr>
              <a:t>512Gb</a:t>
            </a:r>
            <a:r>
              <a:rPr lang="en-US" sz="1000" b="1" i="0" u="none" strike="noStrike" baseline="0">
                <a:effectLst/>
              </a:rPr>
              <a:t>) </a:t>
            </a:r>
            <a:r>
              <a:rPr lang="en-US"/>
              <a:t>Spot &amp; Contract Price</a:t>
            </a:r>
            <a:endParaRPr lang="en-US"/>
          </a:p>
        </c:rich>
      </c:tx>
      <c:layout/>
      <c:overlay val="0"/>
    </c:title>
    <c:autoTitleDeleted val="0"/>
    <c:plotArea>
      <c:layout>
        <c:manualLayout>
          <c:layoutTarget val="inner"/>
          <c:xMode val="edge"/>
          <c:yMode val="edge"/>
          <c:x val="0.0699827587966516"/>
          <c:y val="0.162089034102512"/>
          <c:w val="0.907021288293529"/>
          <c:h val="0.535075734738794"/>
        </c:manualLayout>
      </c:layout>
      <c:lineChart>
        <c:grouping val="standard"/>
        <c:varyColors val="0"/>
        <c:ser>
          <c:idx val="0"/>
          <c:order val="0"/>
          <c:tx>
            <c:strRef>
              <c:f>NAND!$BD$26</c:f>
              <c:strCache>
                <c:ptCount val="1"/>
                <c:pt idx="0">
                  <c:v>Spot</c:v>
                </c:pt>
              </c:strCache>
            </c:strRef>
          </c:tx>
          <c:spPr>
            <a:ln w="38100" cap="rnd" cmpd="sng" algn="ctr">
              <a:solidFill>
                <a:schemeClr val="accent1"/>
              </a:solidFill>
              <a:prstDash val="solid"/>
              <a:round/>
            </a:ln>
          </c:spPr>
          <c:marker>
            <c:symbol val="none"/>
          </c:marker>
          <c:dLbls>
            <c:delete val="1"/>
          </c:dLbls>
          <c:cat>
            <c:numRef>
              <c:f>NAND!$BA$27:$BA$388</c:f>
              <c:numCache>
                <c:formatCode>yyyy/m/d</c:formatCode>
                <c:ptCount val="362"/>
                <c:pt idx="0" c:formatCode="yyyy/m/d">
                  <c:v>43479</c:v>
                </c:pt>
                <c:pt idx="1" c:formatCode="yyyy/m/d">
                  <c:v>43493</c:v>
                </c:pt>
                <c:pt idx="2" c:formatCode="yyyy/m/d">
                  <c:v>43507</c:v>
                </c:pt>
                <c:pt idx="3" c:formatCode="yyyy/m/d">
                  <c:v>43514</c:v>
                </c:pt>
                <c:pt idx="4" c:formatCode="yyyy/m/d">
                  <c:v>43521</c:v>
                </c:pt>
                <c:pt idx="5" c:formatCode="yyyy/m/d">
                  <c:v>43528</c:v>
                </c:pt>
                <c:pt idx="6" c:formatCode="yyyy/m/d">
                  <c:v>43535</c:v>
                </c:pt>
                <c:pt idx="7" c:formatCode="yyyy/m/d">
                  <c:v>43542</c:v>
                </c:pt>
                <c:pt idx="8" c:formatCode="yyyy/m/d">
                  <c:v>43549</c:v>
                </c:pt>
                <c:pt idx="9" c:formatCode="yyyy/m/d">
                  <c:v>43556</c:v>
                </c:pt>
                <c:pt idx="10" c:formatCode="yyyy/m/d">
                  <c:v>43563</c:v>
                </c:pt>
                <c:pt idx="11" c:formatCode="yyyy/m/d">
                  <c:v>43570</c:v>
                </c:pt>
                <c:pt idx="12" c:formatCode="yyyy/m/d">
                  <c:v>43577</c:v>
                </c:pt>
                <c:pt idx="13" c:formatCode="yyyy/m/d">
                  <c:v>43584</c:v>
                </c:pt>
                <c:pt idx="14" c:formatCode="yyyy/m/d">
                  <c:v>43591</c:v>
                </c:pt>
                <c:pt idx="15" c:formatCode="yyyy/m/d">
                  <c:v>43598</c:v>
                </c:pt>
                <c:pt idx="16" c:formatCode="yyyy/m/d">
                  <c:v>43605</c:v>
                </c:pt>
                <c:pt idx="17" c:formatCode="yyyy/m/d">
                  <c:v>43612</c:v>
                </c:pt>
                <c:pt idx="18" c:formatCode="yyyy/m/d">
                  <c:v>43619</c:v>
                </c:pt>
                <c:pt idx="19" c:formatCode="yyyy/m/d">
                  <c:v>43626</c:v>
                </c:pt>
                <c:pt idx="20" c:formatCode="yyyy/m/d">
                  <c:v>43633</c:v>
                </c:pt>
                <c:pt idx="21" c:formatCode="yyyy/m/d">
                  <c:v>43640</c:v>
                </c:pt>
                <c:pt idx="22" c:formatCode="yyyy/m/d">
                  <c:v>43647</c:v>
                </c:pt>
                <c:pt idx="23" c:formatCode="yyyy/m/d">
                  <c:v>43654</c:v>
                </c:pt>
                <c:pt idx="24" c:formatCode="yyyy/m/d">
                  <c:v>43661</c:v>
                </c:pt>
                <c:pt idx="25" c:formatCode="yyyy/m/d">
                  <c:v>43668</c:v>
                </c:pt>
                <c:pt idx="26" c:formatCode="yyyy/m/d">
                  <c:v>43675</c:v>
                </c:pt>
                <c:pt idx="27" c:formatCode="yyyy/m/d">
                  <c:v>43682</c:v>
                </c:pt>
                <c:pt idx="28" c:formatCode="yyyy/m/d">
                  <c:v>43689</c:v>
                </c:pt>
                <c:pt idx="29" c:formatCode="yyyy/m/d">
                  <c:v>43696</c:v>
                </c:pt>
                <c:pt idx="30" c:formatCode="yyyy/m/d">
                  <c:v>43703</c:v>
                </c:pt>
                <c:pt idx="31" c:formatCode="yyyy/m/d">
                  <c:v>43710</c:v>
                </c:pt>
                <c:pt idx="32" c:formatCode="yyyy/m/d">
                  <c:v>43717</c:v>
                </c:pt>
                <c:pt idx="33" c:formatCode="yyyy/m/d">
                  <c:v>43724</c:v>
                </c:pt>
                <c:pt idx="34" c:formatCode="yyyy/m/d">
                  <c:v>43731</c:v>
                </c:pt>
                <c:pt idx="35" c:formatCode="yyyy/m/d">
                  <c:v>43738</c:v>
                </c:pt>
                <c:pt idx="36" c:formatCode="yyyy/m/d">
                  <c:v>43745</c:v>
                </c:pt>
                <c:pt idx="37" c:formatCode="yyyy/m/d">
                  <c:v>43752</c:v>
                </c:pt>
                <c:pt idx="38" c:formatCode="yyyy/m/d">
                  <c:v>43759</c:v>
                </c:pt>
                <c:pt idx="39" c:formatCode="yyyy/m/d">
                  <c:v>43766</c:v>
                </c:pt>
                <c:pt idx="40" c:formatCode="yyyy/m/d">
                  <c:v>43773</c:v>
                </c:pt>
                <c:pt idx="41" c:formatCode="yyyy/m/d">
                  <c:v>43780</c:v>
                </c:pt>
                <c:pt idx="42" c:formatCode="yyyy/m/d">
                  <c:v>43787</c:v>
                </c:pt>
                <c:pt idx="43" c:formatCode="yyyy/m/d">
                  <c:v>43794</c:v>
                </c:pt>
                <c:pt idx="44" c:formatCode="yyyy/m/d">
                  <c:v>43801</c:v>
                </c:pt>
                <c:pt idx="45" c:formatCode="yyyy/m/d">
                  <c:v>43808</c:v>
                </c:pt>
                <c:pt idx="46" c:formatCode="yyyy/m/d">
                  <c:v>43815</c:v>
                </c:pt>
                <c:pt idx="47" c:formatCode="yyyy/m/d">
                  <c:v>43822</c:v>
                </c:pt>
                <c:pt idx="48" c:formatCode="yyyy/m/d">
                  <c:v>43829</c:v>
                </c:pt>
                <c:pt idx="49" c:formatCode="yyyy/m/d">
                  <c:v>43836</c:v>
                </c:pt>
                <c:pt idx="50" c:formatCode="yyyy/m/d">
                  <c:v>43843</c:v>
                </c:pt>
                <c:pt idx="51" c:formatCode="yyyy/m/d">
                  <c:v>43850</c:v>
                </c:pt>
                <c:pt idx="52" c:formatCode="yyyy/m/d">
                  <c:v>43864</c:v>
                </c:pt>
                <c:pt idx="53" c:formatCode="yyyy/m/d">
                  <c:v>43871</c:v>
                </c:pt>
                <c:pt idx="54" c:formatCode="yyyy/m/d">
                  <c:v>43878</c:v>
                </c:pt>
                <c:pt idx="55" c:formatCode="yyyy/m/d">
                  <c:v>43885</c:v>
                </c:pt>
                <c:pt idx="56" c:formatCode="yyyy/m/d">
                  <c:v>43892</c:v>
                </c:pt>
                <c:pt idx="57" c:formatCode="yyyy/m/d">
                  <c:v>43899</c:v>
                </c:pt>
                <c:pt idx="58" c:formatCode="yyyy/m/d">
                  <c:v>43906</c:v>
                </c:pt>
                <c:pt idx="59" c:formatCode="yyyy/m/d">
                  <c:v>43913</c:v>
                </c:pt>
                <c:pt idx="60" c:formatCode="yyyy/m/d">
                  <c:v>43920</c:v>
                </c:pt>
                <c:pt idx="61" c:formatCode="yyyy/m/d">
                  <c:v>43927</c:v>
                </c:pt>
                <c:pt idx="62" c:formatCode="yyyy/m/d">
                  <c:v>43934</c:v>
                </c:pt>
                <c:pt idx="63" c:formatCode="yyyy/m/d">
                  <c:v>43941</c:v>
                </c:pt>
                <c:pt idx="64" c:formatCode="yyyy/m/d">
                  <c:v>43948</c:v>
                </c:pt>
                <c:pt idx="65" c:formatCode="yyyy/m/d">
                  <c:v>43955</c:v>
                </c:pt>
                <c:pt idx="66" c:formatCode="yyyy/m/d">
                  <c:v>43962</c:v>
                </c:pt>
                <c:pt idx="67" c:formatCode="yyyy/m/d">
                  <c:v>43969</c:v>
                </c:pt>
                <c:pt idx="68" c:formatCode="yyyy/m/d">
                  <c:v>43976</c:v>
                </c:pt>
                <c:pt idx="69" c:formatCode="yyyy/m/d">
                  <c:v>43983</c:v>
                </c:pt>
                <c:pt idx="70" c:formatCode="yyyy/m/d">
                  <c:v>43990</c:v>
                </c:pt>
                <c:pt idx="71" c:formatCode="yyyy/m/d">
                  <c:v>43997</c:v>
                </c:pt>
                <c:pt idx="72" c:formatCode="yyyy/m/d">
                  <c:v>44004</c:v>
                </c:pt>
                <c:pt idx="73" c:formatCode="yyyy/m/d">
                  <c:v>44011</c:v>
                </c:pt>
                <c:pt idx="74" c:formatCode="yyyy/m/d">
                  <c:v>44018</c:v>
                </c:pt>
                <c:pt idx="75" c:formatCode="yyyy/m/d">
                  <c:v>44025</c:v>
                </c:pt>
                <c:pt idx="76" c:formatCode="yyyy/m/d">
                  <c:v>44032</c:v>
                </c:pt>
                <c:pt idx="77" c:formatCode="yyyy/m/d">
                  <c:v>44039</c:v>
                </c:pt>
                <c:pt idx="78" c:formatCode="yyyy/m/d">
                  <c:v>44046</c:v>
                </c:pt>
                <c:pt idx="79" c:formatCode="yyyy/m/d">
                  <c:v>44053</c:v>
                </c:pt>
                <c:pt idx="80" c:formatCode="yyyy/m/d">
                  <c:v>44060</c:v>
                </c:pt>
                <c:pt idx="81" c:formatCode="yyyy/m/d">
                  <c:v>44067</c:v>
                </c:pt>
                <c:pt idx="82" c:formatCode="yyyy/m/d">
                  <c:v>44074</c:v>
                </c:pt>
                <c:pt idx="83" c:formatCode="yyyy/m/d">
                  <c:v>44081</c:v>
                </c:pt>
                <c:pt idx="84" c:formatCode="yyyy/m/d">
                  <c:v>44088</c:v>
                </c:pt>
                <c:pt idx="85" c:formatCode="yyyy/m/d">
                  <c:v>44095</c:v>
                </c:pt>
                <c:pt idx="86" c:formatCode="yyyy/m/d">
                  <c:v>44102</c:v>
                </c:pt>
                <c:pt idx="87" c:formatCode="yyyy/m/d">
                  <c:v>44109</c:v>
                </c:pt>
                <c:pt idx="88" c:formatCode="yyyy/m/d">
                  <c:v>44116</c:v>
                </c:pt>
                <c:pt idx="89" c:formatCode="yyyy/m/d">
                  <c:v>44123</c:v>
                </c:pt>
                <c:pt idx="90" c:formatCode="yyyy/m/d">
                  <c:v>44130</c:v>
                </c:pt>
                <c:pt idx="91" c:formatCode="yyyy/m/d">
                  <c:v>44137</c:v>
                </c:pt>
                <c:pt idx="92" c:formatCode="yyyy/m/d">
                  <c:v>44144</c:v>
                </c:pt>
                <c:pt idx="93" c:formatCode="yyyy/m/d">
                  <c:v>44151</c:v>
                </c:pt>
                <c:pt idx="94" c:formatCode="yyyy/m/d">
                  <c:v>44158</c:v>
                </c:pt>
                <c:pt idx="95" c:formatCode="yyyy/m/d">
                  <c:v>44165</c:v>
                </c:pt>
                <c:pt idx="96" c:formatCode="yyyy/m/d">
                  <c:v>44172</c:v>
                </c:pt>
                <c:pt idx="97" c:formatCode="yyyy/m/d">
                  <c:v>44179</c:v>
                </c:pt>
                <c:pt idx="98" c:formatCode="yyyy/m/d">
                  <c:v>44186</c:v>
                </c:pt>
                <c:pt idx="99" c:formatCode="yyyy/m/d">
                  <c:v>44193</c:v>
                </c:pt>
                <c:pt idx="100" c:formatCode="yyyy/m/d">
                  <c:v>44200</c:v>
                </c:pt>
                <c:pt idx="101" c:formatCode="yyyy/m/d">
                  <c:v>44207</c:v>
                </c:pt>
                <c:pt idx="102" c:formatCode="yyyy/m/d">
                  <c:v>44214</c:v>
                </c:pt>
                <c:pt idx="103" c:formatCode="yyyy/m/d">
                  <c:v>44221</c:v>
                </c:pt>
                <c:pt idx="104" c:formatCode="yyyy/m/d">
                  <c:v>44228</c:v>
                </c:pt>
                <c:pt idx="105" c:formatCode="yyyy/m/d">
                  <c:v>44235</c:v>
                </c:pt>
                <c:pt idx="106" c:formatCode="yyyy/m/d">
                  <c:v>44244</c:v>
                </c:pt>
                <c:pt idx="107" c:formatCode="yyyy/m/d">
                  <c:v>44249</c:v>
                </c:pt>
                <c:pt idx="108" c:formatCode="yyyy/m/d">
                  <c:v>44256</c:v>
                </c:pt>
                <c:pt idx="109" c:formatCode="yyyy/m/d">
                  <c:v>44263</c:v>
                </c:pt>
                <c:pt idx="110" c:formatCode="yyyy/m/d">
                  <c:v>44270</c:v>
                </c:pt>
                <c:pt idx="111" c:formatCode="yyyy/m/d">
                  <c:v>44277</c:v>
                </c:pt>
                <c:pt idx="112" c:formatCode="yyyy/m/d">
                  <c:v>44284</c:v>
                </c:pt>
                <c:pt idx="113" c:formatCode="yyyy/m/d">
                  <c:v>44292</c:v>
                </c:pt>
                <c:pt idx="114" c:formatCode="yyyy/m/d">
                  <c:v>44298</c:v>
                </c:pt>
                <c:pt idx="115" c:formatCode="yyyy/m/d">
                  <c:v>44305</c:v>
                </c:pt>
                <c:pt idx="116" c:formatCode="yyyy/m/d">
                  <c:v>44312</c:v>
                </c:pt>
                <c:pt idx="117" c:formatCode="yyyy/m/d">
                  <c:v>44319</c:v>
                </c:pt>
                <c:pt idx="118" c:formatCode="yyyy/m/d">
                  <c:v>44326</c:v>
                </c:pt>
                <c:pt idx="119" c:formatCode="yyyy/m/d">
                  <c:v>44333</c:v>
                </c:pt>
                <c:pt idx="120" c:formatCode="yyyy/m/d">
                  <c:v>44340</c:v>
                </c:pt>
                <c:pt idx="121" c:formatCode="yyyy/m/d">
                  <c:v>44347</c:v>
                </c:pt>
                <c:pt idx="122" c:formatCode="yyyy/m/d">
                  <c:v>44354</c:v>
                </c:pt>
                <c:pt idx="123" c:formatCode="yyyy/m/d">
                  <c:v>44362</c:v>
                </c:pt>
                <c:pt idx="124" c:formatCode="yyyy/m/d">
                  <c:v>44368</c:v>
                </c:pt>
                <c:pt idx="125" c:formatCode="yyyy/m/d">
                  <c:v>44375</c:v>
                </c:pt>
                <c:pt idx="126" c:formatCode="yyyy/m/d">
                  <c:v>44382</c:v>
                </c:pt>
                <c:pt idx="127" c:formatCode="yyyy/m/d">
                  <c:v>44389</c:v>
                </c:pt>
                <c:pt idx="128" c:formatCode="yyyy/m/d">
                  <c:v>44396</c:v>
                </c:pt>
                <c:pt idx="129" c:formatCode="yyyy/m/d">
                  <c:v>44403</c:v>
                </c:pt>
                <c:pt idx="130" c:formatCode="yyyy/m/d">
                  <c:v>44410</c:v>
                </c:pt>
                <c:pt idx="131" c:formatCode="yyyy/m/d">
                  <c:v>44417</c:v>
                </c:pt>
                <c:pt idx="132" c:formatCode="yyyy/m/d">
                  <c:v>44424</c:v>
                </c:pt>
                <c:pt idx="133" c:formatCode="yyyy/m/d">
                  <c:v>44431</c:v>
                </c:pt>
                <c:pt idx="134" c:formatCode="yyyy/m/d">
                  <c:v>44438</c:v>
                </c:pt>
                <c:pt idx="135" c:formatCode="yyyy/m/d">
                  <c:v>44445</c:v>
                </c:pt>
                <c:pt idx="136" c:formatCode="yyyy/m/d">
                  <c:v>44452</c:v>
                </c:pt>
                <c:pt idx="137" c:formatCode="yyyy/m/d">
                  <c:v>44461</c:v>
                </c:pt>
                <c:pt idx="138" c:formatCode="yyyy/m/d">
                  <c:v>44466</c:v>
                </c:pt>
                <c:pt idx="139" c:formatCode="yyyy/m/d">
                  <c:v>44473</c:v>
                </c:pt>
                <c:pt idx="140" c:formatCode="yyyy/m/d">
                  <c:v>44480</c:v>
                </c:pt>
                <c:pt idx="141" c:formatCode="yyyy/m/d">
                  <c:v>44487</c:v>
                </c:pt>
                <c:pt idx="142" c:formatCode="yyyy/m/d">
                  <c:v>44494</c:v>
                </c:pt>
                <c:pt idx="143" c:formatCode="yyyy/m/d">
                  <c:v>44501</c:v>
                </c:pt>
                <c:pt idx="144" c:formatCode="yyyy/m/d">
                  <c:v>44508</c:v>
                </c:pt>
                <c:pt idx="145" c:formatCode="yyyy/m/d">
                  <c:v>44515</c:v>
                </c:pt>
                <c:pt idx="146" c:formatCode="yyyy/m/d">
                  <c:v>44522</c:v>
                </c:pt>
                <c:pt idx="147" c:formatCode="yyyy/m/d">
                  <c:v>44529</c:v>
                </c:pt>
                <c:pt idx="148" c:formatCode="yyyy/m/d">
                  <c:v>44536</c:v>
                </c:pt>
                <c:pt idx="149" c:formatCode="yyyy/m/d">
                  <c:v>44543</c:v>
                </c:pt>
                <c:pt idx="150" c:formatCode="yyyy/m/d">
                  <c:v>44550</c:v>
                </c:pt>
                <c:pt idx="151" c:formatCode="yyyy/m/d">
                  <c:v>44557</c:v>
                </c:pt>
                <c:pt idx="152" c:formatCode="yyyy/m/d">
                  <c:v>44564</c:v>
                </c:pt>
                <c:pt idx="153" c:formatCode="yyyy/m/d">
                  <c:v>44571</c:v>
                </c:pt>
                <c:pt idx="154" c:formatCode="yyyy/m/d">
                  <c:v>44578</c:v>
                </c:pt>
                <c:pt idx="155" c:formatCode="yyyy/m/d">
                  <c:v>44585</c:v>
                </c:pt>
                <c:pt idx="156" c:formatCode="yyyy/m/d">
                  <c:v>44599</c:v>
                </c:pt>
                <c:pt idx="157" c:formatCode="yyyy/m/d">
                  <c:v>44606</c:v>
                </c:pt>
                <c:pt idx="158" c:formatCode="yyyy/m/d">
                  <c:v>44613</c:v>
                </c:pt>
                <c:pt idx="159" c:formatCode="yyyy/m/d">
                  <c:v>44620</c:v>
                </c:pt>
                <c:pt idx="160" c:formatCode="yyyy/m/d">
                  <c:v>44627</c:v>
                </c:pt>
                <c:pt idx="161" c:formatCode="yyyy/m/d">
                  <c:v>44634</c:v>
                </c:pt>
                <c:pt idx="162" c:formatCode="yyyy/m/d">
                  <c:v>44641</c:v>
                </c:pt>
                <c:pt idx="163" c:formatCode="yyyy/m/d">
                  <c:v>44648</c:v>
                </c:pt>
                <c:pt idx="164" c:formatCode="yyyy/m/d">
                  <c:v>44657</c:v>
                </c:pt>
                <c:pt idx="165" c:formatCode="yyyy/m/d">
                  <c:v>44662</c:v>
                </c:pt>
                <c:pt idx="166" c:formatCode="yyyy/m/d">
                  <c:v>44669</c:v>
                </c:pt>
                <c:pt idx="167" c:formatCode="yyyy/m/d">
                  <c:v>44676</c:v>
                </c:pt>
                <c:pt idx="168" c:formatCode="yyyy/m/d">
                  <c:v>44684</c:v>
                </c:pt>
                <c:pt idx="169" c:formatCode="yyyy/m/d">
                  <c:v>44690</c:v>
                </c:pt>
                <c:pt idx="170" c:formatCode="yyyy/m/d">
                  <c:v>44697</c:v>
                </c:pt>
                <c:pt idx="171" c:formatCode="yyyy/m/d">
                  <c:v>44704</c:v>
                </c:pt>
                <c:pt idx="172" c:formatCode="yyyy/m/d">
                  <c:v>44711</c:v>
                </c:pt>
                <c:pt idx="173" c:formatCode="yyyy/m/d">
                  <c:v>44718</c:v>
                </c:pt>
                <c:pt idx="174" c:formatCode="yyyy/m/d">
                  <c:v>44725</c:v>
                </c:pt>
                <c:pt idx="175" c:formatCode="yyyy/m/d">
                  <c:v>44732</c:v>
                </c:pt>
                <c:pt idx="176" c:formatCode="yyyy/m/d">
                  <c:v>44739</c:v>
                </c:pt>
                <c:pt idx="177" c:formatCode="yyyy/m/d">
                  <c:v>44746</c:v>
                </c:pt>
                <c:pt idx="178" c:formatCode="yyyy/m/d">
                  <c:v>44753</c:v>
                </c:pt>
                <c:pt idx="179" c:formatCode="yyyy/m/d">
                  <c:v>44760</c:v>
                </c:pt>
                <c:pt idx="180" c:formatCode="yyyy/m/d">
                  <c:v>44767</c:v>
                </c:pt>
                <c:pt idx="181" c:formatCode="yyyy/m/d">
                  <c:v>44774</c:v>
                </c:pt>
                <c:pt idx="182" c:formatCode="yyyy/m/d">
                  <c:v>44781</c:v>
                </c:pt>
                <c:pt idx="183" c:formatCode="yyyy/m/d">
                  <c:v>44788</c:v>
                </c:pt>
                <c:pt idx="184" c:formatCode="yyyy/m/d">
                  <c:v>44795</c:v>
                </c:pt>
                <c:pt idx="185" c:formatCode="yyyy/m/d">
                  <c:v>44802</c:v>
                </c:pt>
                <c:pt idx="186" c:formatCode="yyyy/m/d">
                  <c:v>44809</c:v>
                </c:pt>
                <c:pt idx="187" c:formatCode="yyyy/m/d">
                  <c:v>44816</c:v>
                </c:pt>
                <c:pt idx="188" c:formatCode="yyyy/m/d">
                  <c:v>44823</c:v>
                </c:pt>
                <c:pt idx="189" c:formatCode="yyyy/m/d">
                  <c:v>44830</c:v>
                </c:pt>
                <c:pt idx="190" c:formatCode="yyyy/m/d">
                  <c:v>44837</c:v>
                </c:pt>
                <c:pt idx="191" c:formatCode="yyyy/m/d">
                  <c:v>44844</c:v>
                </c:pt>
                <c:pt idx="192" c:formatCode="yyyy/m/d">
                  <c:v>44851</c:v>
                </c:pt>
                <c:pt idx="193" c:formatCode="yyyy/m/d">
                  <c:v>44858</c:v>
                </c:pt>
                <c:pt idx="194" c:formatCode="yyyy/m/d">
                  <c:v>44865</c:v>
                </c:pt>
                <c:pt idx="195" c:formatCode="yyyy/m/d">
                  <c:v>44872</c:v>
                </c:pt>
                <c:pt idx="196" c:formatCode="yyyy/m/d">
                  <c:v>44879</c:v>
                </c:pt>
                <c:pt idx="197" c:formatCode="yyyy/m/d">
                  <c:v>44886</c:v>
                </c:pt>
                <c:pt idx="198" c:formatCode="yyyy/m/d">
                  <c:v>44893</c:v>
                </c:pt>
                <c:pt idx="199" c:formatCode="yyyy/m/d">
                  <c:v>44900</c:v>
                </c:pt>
                <c:pt idx="200" c:formatCode="yyyy/m/d">
                  <c:v>44907</c:v>
                </c:pt>
                <c:pt idx="201" c:formatCode="yyyy/m/d">
                  <c:v>44914</c:v>
                </c:pt>
                <c:pt idx="202" c:formatCode="yyyy/m/d">
                  <c:v>44921</c:v>
                </c:pt>
                <c:pt idx="203" c:formatCode="yyyy/m/d">
                  <c:v>44928</c:v>
                </c:pt>
                <c:pt idx="204" c:formatCode="yyyy/m/d">
                  <c:v>44935</c:v>
                </c:pt>
                <c:pt idx="205" c:formatCode="yyyy/m/d">
                  <c:v>44942</c:v>
                </c:pt>
                <c:pt idx="206" c:formatCode="yyyy/m/d">
                  <c:v>44956</c:v>
                </c:pt>
                <c:pt idx="207" c:formatCode="yyyy/m/d">
                  <c:v>44963</c:v>
                </c:pt>
                <c:pt idx="208" c:formatCode="yyyy/m/d">
                  <c:v>44970</c:v>
                </c:pt>
                <c:pt idx="209" c:formatCode="yyyy/m/d">
                  <c:v>44977</c:v>
                </c:pt>
                <c:pt idx="210" c:formatCode="yyyy/m/d">
                  <c:v>44984</c:v>
                </c:pt>
                <c:pt idx="211" c:formatCode="yyyy/m/d">
                  <c:v>44991</c:v>
                </c:pt>
                <c:pt idx="212" c:formatCode="yyyy/m/d">
                  <c:v>44998</c:v>
                </c:pt>
                <c:pt idx="213" c:formatCode="yyyy/m/d">
                  <c:v>45005</c:v>
                </c:pt>
                <c:pt idx="214" c:formatCode="yyyy/m/d">
                  <c:v>45012</c:v>
                </c:pt>
                <c:pt idx="215" c:formatCode="yyyy/m/d">
                  <c:v>45019</c:v>
                </c:pt>
                <c:pt idx="216" c:formatCode="yyyy/m/d">
                  <c:v>45026</c:v>
                </c:pt>
                <c:pt idx="217" c:formatCode="yyyy/m/d">
                  <c:v>45033</c:v>
                </c:pt>
                <c:pt idx="218" c:formatCode="yyyy/m/d">
                  <c:v>45040</c:v>
                </c:pt>
                <c:pt idx="219" c:formatCode="yyyy/m/d">
                  <c:v>45047</c:v>
                </c:pt>
                <c:pt idx="220" c:formatCode="yyyy/m/d">
                  <c:v>45054</c:v>
                </c:pt>
                <c:pt idx="221" c:formatCode="yyyy/m/d">
                  <c:v>45061</c:v>
                </c:pt>
                <c:pt idx="222" c:formatCode="yyyy/m/d">
                  <c:v>45068</c:v>
                </c:pt>
                <c:pt idx="223" c:formatCode="yyyy/m/d">
                  <c:v>45075</c:v>
                </c:pt>
                <c:pt idx="224" c:formatCode="yyyy/m/d">
                  <c:v>45082</c:v>
                </c:pt>
                <c:pt idx="225" c:formatCode="yyyy/m/d">
                  <c:v>45089</c:v>
                </c:pt>
                <c:pt idx="226" c:formatCode="yyyy/m/d">
                  <c:v>45096</c:v>
                </c:pt>
                <c:pt idx="227" c:formatCode="yyyy/m/d">
                  <c:v>45103</c:v>
                </c:pt>
                <c:pt idx="228" c:formatCode="yyyy/m/d">
                  <c:v>45110</c:v>
                </c:pt>
                <c:pt idx="229" c:formatCode="yyyy/m/d">
                  <c:v>45117</c:v>
                </c:pt>
                <c:pt idx="230" c:formatCode="yyyy/m/d">
                  <c:v>45124</c:v>
                </c:pt>
                <c:pt idx="231" c:formatCode="yyyy/m/d">
                  <c:v>45131</c:v>
                </c:pt>
                <c:pt idx="232" c:formatCode="yyyy/m/d">
                  <c:v>45138</c:v>
                </c:pt>
                <c:pt idx="233" c:formatCode="yyyy/m/d">
                  <c:v>45145</c:v>
                </c:pt>
                <c:pt idx="234" c:formatCode="yyyy/m/d">
                  <c:v>45152</c:v>
                </c:pt>
                <c:pt idx="235" c:formatCode="yyyy/m/d">
                  <c:v>45159</c:v>
                </c:pt>
                <c:pt idx="236" c:formatCode="yyyy/m/d">
                  <c:v>45166</c:v>
                </c:pt>
                <c:pt idx="237" c:formatCode="yyyy/m/d">
                  <c:v>45173</c:v>
                </c:pt>
                <c:pt idx="238" c:formatCode="yyyy/m/d">
                  <c:v>45180</c:v>
                </c:pt>
                <c:pt idx="239" c:formatCode="yyyy/m/d">
                  <c:v>45187</c:v>
                </c:pt>
                <c:pt idx="240" c:formatCode="yyyy/m/d">
                  <c:v>45194</c:v>
                </c:pt>
                <c:pt idx="241" c:formatCode="yyyy/m/d">
                  <c:v>45201</c:v>
                </c:pt>
                <c:pt idx="242" c:formatCode="yyyy/m/d">
                  <c:v>45208</c:v>
                </c:pt>
                <c:pt idx="243" c:formatCode="yyyy/m/d">
                  <c:v>45215</c:v>
                </c:pt>
                <c:pt idx="244" c:formatCode="yyyy/m/d">
                  <c:v>45222</c:v>
                </c:pt>
                <c:pt idx="245" c:formatCode="yyyy/m/d">
                  <c:v>45229</c:v>
                </c:pt>
                <c:pt idx="246" c:formatCode="yyyy/m/d">
                  <c:v>45236</c:v>
                </c:pt>
                <c:pt idx="247" c:formatCode="yyyy/m/d">
                  <c:v>45243</c:v>
                </c:pt>
                <c:pt idx="248" c:formatCode="yyyy/m/d">
                  <c:v>45250</c:v>
                </c:pt>
                <c:pt idx="249" c:formatCode="yyyy/m/d">
                  <c:v>45257</c:v>
                </c:pt>
                <c:pt idx="250" c:formatCode="yyyy/m/d">
                  <c:v>45264</c:v>
                </c:pt>
                <c:pt idx="251" c:formatCode="yyyy/m/d">
                  <c:v>45271</c:v>
                </c:pt>
                <c:pt idx="252" c:formatCode="yyyy/m/d">
                  <c:v>45278</c:v>
                </c:pt>
                <c:pt idx="253" c:formatCode="yyyy/m/d">
                  <c:v>45285</c:v>
                </c:pt>
                <c:pt idx="254" c:formatCode="yyyy/m/d">
                  <c:v>45292</c:v>
                </c:pt>
                <c:pt idx="255" c:formatCode="yyyy/m/d">
                  <c:v>45299</c:v>
                </c:pt>
                <c:pt idx="256" c:formatCode="yyyy/m/d">
                  <c:v>45306</c:v>
                </c:pt>
                <c:pt idx="257" c:formatCode="yyyy/m/d">
                  <c:v>45313</c:v>
                </c:pt>
                <c:pt idx="258" c:formatCode="yyyy/m/d">
                  <c:v>45320</c:v>
                </c:pt>
                <c:pt idx="259" c:formatCode="yyyy/m/d">
                  <c:v>45327</c:v>
                </c:pt>
                <c:pt idx="260" c:formatCode="yyyy/m/d">
                  <c:v>45334</c:v>
                </c:pt>
                <c:pt idx="261" c:formatCode="yyyy/m/d">
                  <c:v>45341</c:v>
                </c:pt>
                <c:pt idx="262" c:formatCode="yyyy/m/d">
                  <c:v>45348</c:v>
                </c:pt>
                <c:pt idx="263" c:formatCode="yyyy/m/d">
                  <c:v>45355</c:v>
                </c:pt>
                <c:pt idx="264" c:formatCode="yyyy/m/d">
                  <c:v>45362</c:v>
                </c:pt>
                <c:pt idx="265" c:formatCode="yyyy/m/d">
                  <c:v>45369</c:v>
                </c:pt>
                <c:pt idx="266" c:formatCode="yyyy/m/d">
                  <c:v>45376</c:v>
                </c:pt>
                <c:pt idx="267" c:formatCode="yyyy/m/d">
                  <c:v>45383</c:v>
                </c:pt>
                <c:pt idx="268" c:formatCode="yyyy/m/d">
                  <c:v>45390</c:v>
                </c:pt>
                <c:pt idx="269" c:formatCode="yyyy/m/d">
                  <c:v>45397</c:v>
                </c:pt>
                <c:pt idx="270" c:formatCode="yyyy/m/d">
                  <c:v>45404</c:v>
                </c:pt>
                <c:pt idx="271" c:formatCode="yyyy/m/d">
                  <c:v>45411</c:v>
                </c:pt>
                <c:pt idx="272" c:formatCode="yyyy/m/d">
                  <c:v>45418</c:v>
                </c:pt>
                <c:pt idx="273" c:formatCode="yyyy/m/d">
                  <c:v>45425</c:v>
                </c:pt>
                <c:pt idx="274" c:formatCode="yyyy/m/d">
                  <c:v>45432</c:v>
                </c:pt>
                <c:pt idx="275" c:formatCode="yyyy/m/d">
                  <c:v>45439</c:v>
                </c:pt>
                <c:pt idx="276" c:formatCode="yyyy/m/d">
                  <c:v>45446</c:v>
                </c:pt>
                <c:pt idx="277" c:formatCode="yyyy/m/d">
                  <c:v>45454</c:v>
                </c:pt>
                <c:pt idx="278" c:formatCode="yyyy/m/d">
                  <c:v>45460</c:v>
                </c:pt>
                <c:pt idx="279" c:formatCode="yyyy/m/d">
                  <c:v>45467</c:v>
                </c:pt>
                <c:pt idx="280" c:formatCode="yyyy/m/d">
                  <c:v>45474</c:v>
                </c:pt>
                <c:pt idx="281" c:formatCode="yyyy/m/d">
                  <c:v>45481</c:v>
                </c:pt>
                <c:pt idx="282" c:formatCode="yyyy/m/d">
                  <c:v>45488</c:v>
                </c:pt>
                <c:pt idx="283" c:formatCode="yyyy/m/d">
                  <c:v>45495</c:v>
                </c:pt>
                <c:pt idx="284" c:formatCode="yyyy/m/d">
                  <c:v>45502</c:v>
                </c:pt>
                <c:pt idx="285" c:formatCode="yyyy/m/d">
                  <c:v>45509</c:v>
                </c:pt>
                <c:pt idx="286" c:formatCode="yyyy/m/d">
                  <c:v>45516</c:v>
                </c:pt>
                <c:pt idx="287" c:formatCode="yyyy/m/d">
                  <c:v>45523</c:v>
                </c:pt>
                <c:pt idx="288" c:formatCode="yyyy/m/d">
                  <c:v>45530</c:v>
                </c:pt>
                <c:pt idx="289" c:formatCode="yyyy/m/d">
                  <c:v>45537</c:v>
                </c:pt>
                <c:pt idx="290" c:formatCode="yyyy/m/d">
                  <c:v>45544</c:v>
                </c:pt>
                <c:pt idx="291" c:formatCode="yyyy/m/d">
                  <c:v>45551</c:v>
                </c:pt>
                <c:pt idx="292" c:formatCode="yyyy/m/d">
                  <c:v>45558</c:v>
                </c:pt>
                <c:pt idx="293" c:formatCode="yyyy/m/d">
                  <c:v>45565</c:v>
                </c:pt>
                <c:pt idx="294" c:formatCode="yyyy/m/d">
                  <c:v>45572</c:v>
                </c:pt>
                <c:pt idx="295" c:formatCode="yyyy/m/d">
                  <c:v>45579</c:v>
                </c:pt>
                <c:pt idx="296" c:formatCode="yyyy/m/d">
                  <c:v>45586</c:v>
                </c:pt>
                <c:pt idx="297" c:formatCode="yyyy/m/d">
                  <c:v>45593</c:v>
                </c:pt>
                <c:pt idx="298" c:formatCode="yyyy/m/d">
                  <c:v>45600</c:v>
                </c:pt>
                <c:pt idx="299" c:formatCode="yyyy/m/d">
                  <c:v>45607</c:v>
                </c:pt>
                <c:pt idx="300" c:formatCode="yyyy/m/d">
                  <c:v>45614</c:v>
                </c:pt>
                <c:pt idx="301" c:formatCode="yyyy/m/d">
                  <c:v>45621</c:v>
                </c:pt>
                <c:pt idx="302" c:formatCode="yyyy/m/d">
                  <c:v>45628</c:v>
                </c:pt>
                <c:pt idx="303" c:formatCode="yyyy/m/d">
                  <c:v>45635</c:v>
                </c:pt>
                <c:pt idx="304" c:formatCode="yyyy/m/d">
                  <c:v>45642</c:v>
                </c:pt>
                <c:pt idx="305" c:formatCode="yyyy/m/d">
                  <c:v>45649</c:v>
                </c:pt>
                <c:pt idx="306" c:formatCode="yyyy/m/d">
                  <c:v>45656</c:v>
                </c:pt>
                <c:pt idx="307" c:formatCode="yyyy/m/d">
                  <c:v>45663</c:v>
                </c:pt>
                <c:pt idx="308" c:formatCode="yyyy/m/d">
                  <c:v>45670</c:v>
                </c:pt>
                <c:pt idx="309" c:formatCode="yyyy/m/d">
                  <c:v>45677</c:v>
                </c:pt>
                <c:pt idx="310" c:formatCode="yyyy/m/d">
                  <c:v>45684</c:v>
                </c:pt>
                <c:pt idx="311" c:formatCode="yyyy/m/d">
                  <c:v>45691</c:v>
                </c:pt>
                <c:pt idx="312" c:formatCode="yyyy/m/d">
                  <c:v>45698</c:v>
                </c:pt>
                <c:pt idx="313" c:formatCode="yyyy/m/d">
                  <c:v>45705</c:v>
                </c:pt>
                <c:pt idx="314" c:formatCode="yyyy/m/d">
                  <c:v>45712</c:v>
                </c:pt>
                <c:pt idx="315" c:formatCode="yyyy/m/d">
                  <c:v>45719</c:v>
                </c:pt>
                <c:pt idx="316" c:formatCode="yyyy/m/d">
                  <c:v>45726</c:v>
                </c:pt>
                <c:pt idx="317" c:formatCode="yyyy/m/d">
                  <c:v>45733</c:v>
                </c:pt>
                <c:pt idx="318" c:formatCode="yyyy/m/d">
                  <c:v>45740</c:v>
                </c:pt>
                <c:pt idx="319" c:formatCode="yyyy/m/d">
                  <c:v>45747</c:v>
                </c:pt>
                <c:pt idx="320" c:formatCode="yyyy/m/d">
                  <c:v>45754</c:v>
                </c:pt>
                <c:pt idx="321" c:formatCode="yyyy/m/d">
                  <c:v>45761</c:v>
                </c:pt>
                <c:pt idx="322" c:formatCode="yyyy/m/d">
                  <c:v>45768</c:v>
                </c:pt>
                <c:pt idx="323" c:formatCode="yyyy/m/d">
                  <c:v>45775</c:v>
                </c:pt>
                <c:pt idx="324" c:formatCode="yyyy/m/d">
                  <c:v>45782</c:v>
                </c:pt>
                <c:pt idx="325" c:formatCode="yyyy/m/d">
                  <c:v>45789</c:v>
                </c:pt>
                <c:pt idx="326" c:formatCode="yyyy/m/d">
                  <c:v>45796</c:v>
                </c:pt>
                <c:pt idx="327" c:formatCode="yyyy/m/d">
                  <c:v>45803</c:v>
                </c:pt>
                <c:pt idx="328" c:formatCode="yyyy/m/d">
                  <c:v>45810</c:v>
                </c:pt>
                <c:pt idx="329" c:formatCode="yyyy/m/d">
                  <c:v>45817</c:v>
                </c:pt>
                <c:pt idx="330" c:formatCode="yyyy/m/d">
                  <c:v>45824</c:v>
                </c:pt>
                <c:pt idx="331" c:formatCode="yyyy/m/d">
                  <c:v>45831</c:v>
                </c:pt>
                <c:pt idx="332" c:formatCode="yyyy/m/d">
                  <c:v>45838</c:v>
                </c:pt>
                <c:pt idx="333" c:formatCode="yyyy/m/d">
                  <c:v>45845</c:v>
                </c:pt>
                <c:pt idx="334" c:formatCode="yyyy/m/d">
                  <c:v>45852</c:v>
                </c:pt>
                <c:pt idx="335" c:formatCode="yyyy/m/d">
                  <c:v>45859</c:v>
                </c:pt>
                <c:pt idx="336" c:formatCode="yyyy/m/d">
                  <c:v>45866</c:v>
                </c:pt>
                <c:pt idx="337" c:formatCode="yyyy/m/d">
                  <c:v>45873</c:v>
                </c:pt>
                <c:pt idx="338" c:formatCode="yyyy/m/d">
                  <c:v>45880</c:v>
                </c:pt>
                <c:pt idx="339" c:formatCode="yyyy/m/d">
                  <c:v>45887</c:v>
                </c:pt>
                <c:pt idx="340" c:formatCode="yyyy/m/d">
                  <c:v>45894</c:v>
                </c:pt>
                <c:pt idx="341" c:formatCode="yyyy/m/d">
                  <c:v>45901</c:v>
                </c:pt>
                <c:pt idx="342" c:formatCode="yyyy/m/d">
                  <c:v>45908</c:v>
                </c:pt>
                <c:pt idx="343" c:formatCode="yyyy/m/d">
                  <c:v>45915</c:v>
                </c:pt>
                <c:pt idx="344" c:formatCode="yyyy/m/d">
                  <c:v>45922</c:v>
                </c:pt>
                <c:pt idx="345" c:formatCode="yyyy/m/d">
                  <c:v>45929</c:v>
                </c:pt>
                <c:pt idx="346" c:formatCode="yyyy/m/d">
                  <c:v>45936</c:v>
                </c:pt>
                <c:pt idx="347" c:formatCode="yyyy/m/d">
                  <c:v>45943</c:v>
                </c:pt>
                <c:pt idx="348" c:formatCode="yyyy/m/d">
                  <c:v>45950</c:v>
                </c:pt>
                <c:pt idx="349" c:formatCode="yyyy/m/d">
                  <c:v>45957</c:v>
                </c:pt>
                <c:pt idx="350" c:formatCode="yyyy/m/d">
                  <c:v>45964</c:v>
                </c:pt>
                <c:pt idx="351" c:formatCode="yyyy/m/d">
                  <c:v>45971</c:v>
                </c:pt>
                <c:pt idx="352" c:formatCode="yyyy/m/d">
                  <c:v>45978</c:v>
                </c:pt>
                <c:pt idx="353" c:formatCode="yyyy/m/d">
                  <c:v>45985</c:v>
                </c:pt>
                <c:pt idx="354" c:formatCode="yyyy/m/d">
                  <c:v>45992</c:v>
                </c:pt>
                <c:pt idx="355" c:formatCode="yyyy/m/d">
                  <c:v>45999</c:v>
                </c:pt>
                <c:pt idx="356" c:formatCode="yyyy/m/d">
                  <c:v>46006</c:v>
                </c:pt>
                <c:pt idx="357" c:formatCode="yyyy/m/d">
                  <c:v>46013</c:v>
                </c:pt>
                <c:pt idx="358" c:formatCode="yyyy/m/d">
                  <c:v>46020</c:v>
                </c:pt>
                <c:pt idx="359" c:formatCode="yyyy/m/d">
                  <c:v>46027</c:v>
                </c:pt>
                <c:pt idx="360" c:formatCode="yyyy/m/d">
                  <c:v>46034</c:v>
                </c:pt>
                <c:pt idx="361" c:formatCode="yyyy/m/d">
                  <c:v>46041</c:v>
                </c:pt>
              </c:numCache>
            </c:numRef>
          </c:cat>
          <c:val>
            <c:numRef>
              <c:f>NAND!$BD$27:$BD$388</c:f>
              <c:numCache>
                <c:formatCode>_(* #,##0.00_);_(* \(#,##0.00\);_(* "-"??_);_(@_)</c:formatCode>
                <c:ptCount val="362"/>
                <c:pt idx="0">
                  <c:v>4.9</c:v>
                </c:pt>
                <c:pt idx="1">
                  <c:v>4.89</c:v>
                </c:pt>
                <c:pt idx="2">
                  <c:v>4.865</c:v>
                </c:pt>
                <c:pt idx="3">
                  <c:v>4.86</c:v>
                </c:pt>
                <c:pt idx="4">
                  <c:v>4.798</c:v>
                </c:pt>
                <c:pt idx="5">
                  <c:v>4.778</c:v>
                </c:pt>
                <c:pt idx="6">
                  <c:v>4.768</c:v>
                </c:pt>
                <c:pt idx="7">
                  <c:v>4.758</c:v>
                </c:pt>
                <c:pt idx="8">
                  <c:v>4.48</c:v>
                </c:pt>
                <c:pt idx="9">
                  <c:v>4.342</c:v>
                </c:pt>
                <c:pt idx="10">
                  <c:v>4.325</c:v>
                </c:pt>
                <c:pt idx="11">
                  <c:v>4.242</c:v>
                </c:pt>
                <c:pt idx="12">
                  <c:v>4.125</c:v>
                </c:pt>
                <c:pt idx="13">
                  <c:v>3.975</c:v>
                </c:pt>
                <c:pt idx="14">
                  <c:v>3.908</c:v>
                </c:pt>
                <c:pt idx="15">
                  <c:v>3.885</c:v>
                </c:pt>
                <c:pt idx="16">
                  <c:v>3.877</c:v>
                </c:pt>
                <c:pt idx="17">
                  <c:v>3.846</c:v>
                </c:pt>
                <c:pt idx="18">
                  <c:v>3.808</c:v>
                </c:pt>
                <c:pt idx="19">
                  <c:v>3.793</c:v>
                </c:pt>
                <c:pt idx="20">
                  <c:v>3.707</c:v>
                </c:pt>
                <c:pt idx="21">
                  <c:v>3.693</c:v>
                </c:pt>
                <c:pt idx="22">
                  <c:v>3.66</c:v>
                </c:pt>
                <c:pt idx="23">
                  <c:v>3.66</c:v>
                </c:pt>
                <c:pt idx="24">
                  <c:v>3.92</c:v>
                </c:pt>
                <c:pt idx="25">
                  <c:v>4.023</c:v>
                </c:pt>
                <c:pt idx="26">
                  <c:v>4.433</c:v>
                </c:pt>
                <c:pt idx="27">
                  <c:v>4.517</c:v>
                </c:pt>
                <c:pt idx="28">
                  <c:v>4.538</c:v>
                </c:pt>
                <c:pt idx="29">
                  <c:v>4.517</c:v>
                </c:pt>
                <c:pt idx="30">
                  <c:v>4.488</c:v>
                </c:pt>
                <c:pt idx="31">
                  <c:v>4.456</c:v>
                </c:pt>
                <c:pt idx="32">
                  <c:v>4.41</c:v>
                </c:pt>
                <c:pt idx="33">
                  <c:v>4.415</c:v>
                </c:pt>
                <c:pt idx="34">
                  <c:v>4.315</c:v>
                </c:pt>
                <c:pt idx="35">
                  <c:v>4.261</c:v>
                </c:pt>
                <c:pt idx="36">
                  <c:v>4.239</c:v>
                </c:pt>
                <c:pt idx="37">
                  <c:v>4.239</c:v>
                </c:pt>
                <c:pt idx="38">
                  <c:v>4.202</c:v>
                </c:pt>
                <c:pt idx="39">
                  <c:v>4.198</c:v>
                </c:pt>
                <c:pt idx="40">
                  <c:v>4.198</c:v>
                </c:pt>
                <c:pt idx="41">
                  <c:v>4.137</c:v>
                </c:pt>
                <c:pt idx="42">
                  <c:v>4.151</c:v>
                </c:pt>
                <c:pt idx="43">
                  <c:v>4.119</c:v>
                </c:pt>
                <c:pt idx="44">
                  <c:v>4.179</c:v>
                </c:pt>
                <c:pt idx="45">
                  <c:v>4.146</c:v>
                </c:pt>
                <c:pt idx="46">
                  <c:v>4.308</c:v>
                </c:pt>
                <c:pt idx="47">
                  <c:v>4.528</c:v>
                </c:pt>
                <c:pt idx="48">
                  <c:v>4.588</c:v>
                </c:pt>
                <c:pt idx="49">
                  <c:v>4.86</c:v>
                </c:pt>
                <c:pt idx="50">
                  <c:v>5.173</c:v>
                </c:pt>
                <c:pt idx="51">
                  <c:v>5.523</c:v>
                </c:pt>
                <c:pt idx="52">
                  <c:v>5.523</c:v>
                </c:pt>
                <c:pt idx="53">
                  <c:v>5.523</c:v>
                </c:pt>
                <c:pt idx="54">
                  <c:v>5.568</c:v>
                </c:pt>
                <c:pt idx="55">
                  <c:v>5.568</c:v>
                </c:pt>
                <c:pt idx="56">
                  <c:v>5.727</c:v>
                </c:pt>
                <c:pt idx="57">
                  <c:v>5.917</c:v>
                </c:pt>
                <c:pt idx="58">
                  <c:v>5.944</c:v>
                </c:pt>
                <c:pt idx="59">
                  <c:v>5.678</c:v>
                </c:pt>
                <c:pt idx="60">
                  <c:v>5.67</c:v>
                </c:pt>
                <c:pt idx="61">
                  <c:v>5.626</c:v>
                </c:pt>
                <c:pt idx="62">
                  <c:v>5.613</c:v>
                </c:pt>
                <c:pt idx="63">
                  <c:v>5.404</c:v>
                </c:pt>
                <c:pt idx="64">
                  <c:v>5.402</c:v>
                </c:pt>
                <c:pt idx="65">
                  <c:v>5.385</c:v>
                </c:pt>
                <c:pt idx="66">
                  <c:v>5.37</c:v>
                </c:pt>
                <c:pt idx="67">
                  <c:v>5.348</c:v>
                </c:pt>
                <c:pt idx="68">
                  <c:v>5.326</c:v>
                </c:pt>
                <c:pt idx="69">
                  <c:v>5.264</c:v>
                </c:pt>
                <c:pt idx="70">
                  <c:v>5.256</c:v>
                </c:pt>
                <c:pt idx="71">
                  <c:v>5.252</c:v>
                </c:pt>
                <c:pt idx="72">
                  <c:v>5.244</c:v>
                </c:pt>
                <c:pt idx="73">
                  <c:v>5.224</c:v>
                </c:pt>
                <c:pt idx="74">
                  <c:v>5.216</c:v>
                </c:pt>
                <c:pt idx="75">
                  <c:v>5.204</c:v>
                </c:pt>
                <c:pt idx="76">
                  <c:v>5.172</c:v>
                </c:pt>
                <c:pt idx="77">
                  <c:v>5.005</c:v>
                </c:pt>
                <c:pt idx="78">
                  <c:v>4.9</c:v>
                </c:pt>
                <c:pt idx="79">
                  <c:v>4.685</c:v>
                </c:pt>
                <c:pt idx="80">
                  <c:v>4.596</c:v>
                </c:pt>
                <c:pt idx="81">
                  <c:v>4.592</c:v>
                </c:pt>
                <c:pt idx="82">
                  <c:v>4.594</c:v>
                </c:pt>
                <c:pt idx="83">
                  <c:v>4.599</c:v>
                </c:pt>
                <c:pt idx="84">
                  <c:v>4.61</c:v>
                </c:pt>
                <c:pt idx="85">
                  <c:v>4.642</c:v>
                </c:pt>
                <c:pt idx="86">
                  <c:v>4.651</c:v>
                </c:pt>
                <c:pt idx="87">
                  <c:v>4.651</c:v>
                </c:pt>
                <c:pt idx="88">
                  <c:v>4.651</c:v>
                </c:pt>
                <c:pt idx="89">
                  <c:v>4.696</c:v>
                </c:pt>
                <c:pt idx="90">
                  <c:v>4.706</c:v>
                </c:pt>
                <c:pt idx="91">
                  <c:v>4.649</c:v>
                </c:pt>
                <c:pt idx="92">
                  <c:v>4.584</c:v>
                </c:pt>
                <c:pt idx="93">
                  <c:v>4.496</c:v>
                </c:pt>
                <c:pt idx="94">
                  <c:v>4.409</c:v>
                </c:pt>
                <c:pt idx="95">
                  <c:v>4.303</c:v>
                </c:pt>
                <c:pt idx="96">
                  <c:v>4.298</c:v>
                </c:pt>
                <c:pt idx="97">
                  <c:v>4.294</c:v>
                </c:pt>
                <c:pt idx="98">
                  <c:v>4.291</c:v>
                </c:pt>
                <c:pt idx="99">
                  <c:v>4.289</c:v>
                </c:pt>
                <c:pt idx="100">
                  <c:v>4.275</c:v>
                </c:pt>
                <c:pt idx="101">
                  <c:v>4.269</c:v>
                </c:pt>
                <c:pt idx="102">
                  <c:v>4.267</c:v>
                </c:pt>
                <c:pt idx="103">
                  <c:v>4.267</c:v>
                </c:pt>
                <c:pt idx="104">
                  <c:v>4.263</c:v>
                </c:pt>
                <c:pt idx="105">
                  <c:v>4.263</c:v>
                </c:pt>
                <c:pt idx="106">
                  <c:v>4.263</c:v>
                </c:pt>
                <c:pt idx="107">
                  <c:v>4.263</c:v>
                </c:pt>
                <c:pt idx="108">
                  <c:v>4.301</c:v>
                </c:pt>
                <c:pt idx="109">
                  <c:v>4.353</c:v>
                </c:pt>
                <c:pt idx="110">
                  <c:v>4.445</c:v>
                </c:pt>
                <c:pt idx="111">
                  <c:v>4.508</c:v>
                </c:pt>
                <c:pt idx="112">
                  <c:v>4.504</c:v>
                </c:pt>
                <c:pt idx="113">
                  <c:v>4.5</c:v>
                </c:pt>
                <c:pt idx="114">
                  <c:v>4.486</c:v>
                </c:pt>
                <c:pt idx="115">
                  <c:v>4.484</c:v>
                </c:pt>
                <c:pt idx="116">
                  <c:v>4.484</c:v>
                </c:pt>
                <c:pt idx="117">
                  <c:v>4.481</c:v>
                </c:pt>
                <c:pt idx="118">
                  <c:v>4.484</c:v>
                </c:pt>
                <c:pt idx="119">
                  <c:v>4.482</c:v>
                </c:pt>
                <c:pt idx="120">
                  <c:v>4.972</c:v>
                </c:pt>
                <c:pt idx="121">
                  <c:v>4.926</c:v>
                </c:pt>
                <c:pt idx="122">
                  <c:v>4.908</c:v>
                </c:pt>
                <c:pt idx="123">
                  <c:v>4.89</c:v>
                </c:pt>
                <c:pt idx="124">
                  <c:v>4.882</c:v>
                </c:pt>
                <c:pt idx="125">
                  <c:v>4.855</c:v>
                </c:pt>
                <c:pt idx="126">
                  <c:v>4.863</c:v>
                </c:pt>
                <c:pt idx="127">
                  <c:v>4.882</c:v>
                </c:pt>
                <c:pt idx="128">
                  <c:v>4.89</c:v>
                </c:pt>
                <c:pt idx="129">
                  <c:v>4.889</c:v>
                </c:pt>
                <c:pt idx="130">
                  <c:v>4.894</c:v>
                </c:pt>
                <c:pt idx="131">
                  <c:v>4.892</c:v>
                </c:pt>
                <c:pt idx="132">
                  <c:v>4.879</c:v>
                </c:pt>
                <c:pt idx="133">
                  <c:v>4.867</c:v>
                </c:pt>
                <c:pt idx="134">
                  <c:v>4.802</c:v>
                </c:pt>
                <c:pt idx="135">
                  <c:v>4.738</c:v>
                </c:pt>
                <c:pt idx="136">
                  <c:v>4.713</c:v>
                </c:pt>
                <c:pt idx="137">
                  <c:v>4.654</c:v>
                </c:pt>
                <c:pt idx="138">
                  <c:v>4.612</c:v>
                </c:pt>
                <c:pt idx="139">
                  <c:v>4.504</c:v>
                </c:pt>
                <c:pt idx="140">
                  <c:v>4.504</c:v>
                </c:pt>
                <c:pt idx="141">
                  <c:v>4.382</c:v>
                </c:pt>
                <c:pt idx="142">
                  <c:v>4.318</c:v>
                </c:pt>
                <c:pt idx="143">
                  <c:v>4.256</c:v>
                </c:pt>
                <c:pt idx="144">
                  <c:v>4.22</c:v>
                </c:pt>
                <c:pt idx="145">
                  <c:v>4.17</c:v>
                </c:pt>
                <c:pt idx="146">
                  <c:v>4.09</c:v>
                </c:pt>
                <c:pt idx="147">
                  <c:v>4.04</c:v>
                </c:pt>
                <c:pt idx="148">
                  <c:v>4.02</c:v>
                </c:pt>
                <c:pt idx="149">
                  <c:v>4.02</c:v>
                </c:pt>
                <c:pt idx="150">
                  <c:v>4.02</c:v>
                </c:pt>
                <c:pt idx="151">
                  <c:v>4.03</c:v>
                </c:pt>
                <c:pt idx="152">
                  <c:v>4.06</c:v>
                </c:pt>
                <c:pt idx="153">
                  <c:v>4.08</c:v>
                </c:pt>
                <c:pt idx="154">
                  <c:v>4.1</c:v>
                </c:pt>
                <c:pt idx="155">
                  <c:v>4.11</c:v>
                </c:pt>
                <c:pt idx="156">
                  <c:v>4.11</c:v>
                </c:pt>
                <c:pt idx="157">
                  <c:v>4.21</c:v>
                </c:pt>
                <c:pt idx="158">
                  <c:v>4.45</c:v>
                </c:pt>
                <c:pt idx="159">
                  <c:v>4.49</c:v>
                </c:pt>
                <c:pt idx="160">
                  <c:v>4.55</c:v>
                </c:pt>
                <c:pt idx="161">
                  <c:v>4.59</c:v>
                </c:pt>
                <c:pt idx="162">
                  <c:v>4.57</c:v>
                </c:pt>
                <c:pt idx="163">
                  <c:v>4.54</c:v>
                </c:pt>
                <c:pt idx="164">
                  <c:v>4.48</c:v>
                </c:pt>
                <c:pt idx="165">
                  <c:v>4.42</c:v>
                </c:pt>
                <c:pt idx="166">
                  <c:v>4.41</c:v>
                </c:pt>
                <c:pt idx="167">
                  <c:v>4.4</c:v>
                </c:pt>
                <c:pt idx="168">
                  <c:v>4.3</c:v>
                </c:pt>
                <c:pt idx="169">
                  <c:v>4.27</c:v>
                </c:pt>
                <c:pt idx="170">
                  <c:v>4.23</c:v>
                </c:pt>
                <c:pt idx="171">
                  <c:v>4.2</c:v>
                </c:pt>
                <c:pt idx="172">
                  <c:v>4.08</c:v>
                </c:pt>
                <c:pt idx="173">
                  <c:v>4.06</c:v>
                </c:pt>
                <c:pt idx="174">
                  <c:v>3.88</c:v>
                </c:pt>
                <c:pt idx="175">
                  <c:v>3.82</c:v>
                </c:pt>
                <c:pt idx="176">
                  <c:v>3.75</c:v>
                </c:pt>
                <c:pt idx="177">
                  <c:v>3.38</c:v>
                </c:pt>
                <c:pt idx="178">
                  <c:v>3.25</c:v>
                </c:pt>
                <c:pt idx="179">
                  <c:v>3.12</c:v>
                </c:pt>
                <c:pt idx="180">
                  <c:v>3.09</c:v>
                </c:pt>
                <c:pt idx="181">
                  <c:v>2.99</c:v>
                </c:pt>
                <c:pt idx="182">
                  <c:v>2.87</c:v>
                </c:pt>
                <c:pt idx="183">
                  <c:v>2.81</c:v>
                </c:pt>
                <c:pt idx="184">
                  <c:v>2.7</c:v>
                </c:pt>
                <c:pt idx="185">
                  <c:v>2.48</c:v>
                </c:pt>
                <c:pt idx="186">
                  <c:v>2.41</c:v>
                </c:pt>
                <c:pt idx="187">
                  <c:v>2.38</c:v>
                </c:pt>
                <c:pt idx="188">
                  <c:v>2.35</c:v>
                </c:pt>
                <c:pt idx="189">
                  <c:v>2.33</c:v>
                </c:pt>
                <c:pt idx="190">
                  <c:v>2.3</c:v>
                </c:pt>
                <c:pt idx="191">
                  <c:v>2.25</c:v>
                </c:pt>
                <c:pt idx="192">
                  <c:v>2.2</c:v>
                </c:pt>
                <c:pt idx="193">
                  <c:v>2.17</c:v>
                </c:pt>
                <c:pt idx="194">
                  <c:v>2.11</c:v>
                </c:pt>
                <c:pt idx="195">
                  <c:v>2.03</c:v>
                </c:pt>
                <c:pt idx="196">
                  <c:v>1.96</c:v>
                </c:pt>
                <c:pt idx="197">
                  <c:v>1.92</c:v>
                </c:pt>
                <c:pt idx="198">
                  <c:v>1.9</c:v>
                </c:pt>
                <c:pt idx="199">
                  <c:v>1.89</c:v>
                </c:pt>
                <c:pt idx="200">
                  <c:v>1.88</c:v>
                </c:pt>
                <c:pt idx="201">
                  <c:v>1.85</c:v>
                </c:pt>
                <c:pt idx="202">
                  <c:v>1.82</c:v>
                </c:pt>
                <c:pt idx="203">
                  <c:v>1.8</c:v>
                </c:pt>
                <c:pt idx="204">
                  <c:v>1.79</c:v>
                </c:pt>
                <c:pt idx="205">
                  <c:v>1.77</c:v>
                </c:pt>
                <c:pt idx="206">
                  <c:v>1.77</c:v>
                </c:pt>
                <c:pt idx="207">
                  <c:v>1.77</c:v>
                </c:pt>
                <c:pt idx="208">
                  <c:v>1.75</c:v>
                </c:pt>
                <c:pt idx="209">
                  <c:v>1.75</c:v>
                </c:pt>
                <c:pt idx="210">
                  <c:v>1.74</c:v>
                </c:pt>
                <c:pt idx="211">
                  <c:v>1.71</c:v>
                </c:pt>
                <c:pt idx="212">
                  <c:v>1.62</c:v>
                </c:pt>
                <c:pt idx="213">
                  <c:v>1.57</c:v>
                </c:pt>
                <c:pt idx="214">
                  <c:v>1.53</c:v>
                </c:pt>
                <c:pt idx="215">
                  <c:v>1.47</c:v>
                </c:pt>
                <c:pt idx="216">
                  <c:v>1.46</c:v>
                </c:pt>
                <c:pt idx="217">
                  <c:v>1.45</c:v>
                </c:pt>
                <c:pt idx="218">
                  <c:v>1.45</c:v>
                </c:pt>
                <c:pt idx="219">
                  <c:v>1.44</c:v>
                </c:pt>
                <c:pt idx="220">
                  <c:v>1.43</c:v>
                </c:pt>
                <c:pt idx="221">
                  <c:v>1.43</c:v>
                </c:pt>
                <c:pt idx="222">
                  <c:v>1.43</c:v>
                </c:pt>
                <c:pt idx="223">
                  <c:v>1.42</c:v>
                </c:pt>
                <c:pt idx="224">
                  <c:v>1.42</c:v>
                </c:pt>
                <c:pt idx="225">
                  <c:v>1.41</c:v>
                </c:pt>
                <c:pt idx="226">
                  <c:v>1.41</c:v>
                </c:pt>
                <c:pt idx="227">
                  <c:v>1.41</c:v>
                </c:pt>
                <c:pt idx="228">
                  <c:v>1.41</c:v>
                </c:pt>
                <c:pt idx="229">
                  <c:v>1.4</c:v>
                </c:pt>
                <c:pt idx="230">
                  <c:v>1.4</c:v>
                </c:pt>
                <c:pt idx="231">
                  <c:v>1.4</c:v>
                </c:pt>
                <c:pt idx="232">
                  <c:v>1.42</c:v>
                </c:pt>
                <c:pt idx="233">
                  <c:v>1.44</c:v>
                </c:pt>
                <c:pt idx="234">
                  <c:v>1.44</c:v>
                </c:pt>
                <c:pt idx="235">
                  <c:v>1.52</c:v>
                </c:pt>
                <c:pt idx="236">
                  <c:v>1.58</c:v>
                </c:pt>
                <c:pt idx="237">
                  <c:v>1.59</c:v>
                </c:pt>
                <c:pt idx="238">
                  <c:v>1.62</c:v>
                </c:pt>
                <c:pt idx="239">
                  <c:v>1.69</c:v>
                </c:pt>
                <c:pt idx="240">
                  <c:v>1.76</c:v>
                </c:pt>
                <c:pt idx="241">
                  <c:v>1.82</c:v>
                </c:pt>
                <c:pt idx="242">
                  <c:v>1.94</c:v>
                </c:pt>
                <c:pt idx="243">
                  <c:v>1.93</c:v>
                </c:pt>
                <c:pt idx="244">
                  <c:v>2.04</c:v>
                </c:pt>
                <c:pt idx="245">
                  <c:v>2.3</c:v>
                </c:pt>
                <c:pt idx="246">
                  <c:v>2.46</c:v>
                </c:pt>
                <c:pt idx="247">
                  <c:v>2.6</c:v>
                </c:pt>
                <c:pt idx="248">
                  <c:v>2.57</c:v>
                </c:pt>
                <c:pt idx="249">
                  <c:v>2.86</c:v>
                </c:pt>
                <c:pt idx="250">
                  <c:v>3.02</c:v>
                </c:pt>
                <c:pt idx="251">
                  <c:v>3.03</c:v>
                </c:pt>
                <c:pt idx="252">
                  <c:v>3.08</c:v>
                </c:pt>
                <c:pt idx="253">
                  <c:v>3.13</c:v>
                </c:pt>
                <c:pt idx="254">
                  <c:v>3.13</c:v>
                </c:pt>
                <c:pt idx="255">
                  <c:v>3.12</c:v>
                </c:pt>
                <c:pt idx="256">
                  <c:v>3.19</c:v>
                </c:pt>
                <c:pt idx="257">
                  <c:v>3.22</c:v>
                </c:pt>
                <c:pt idx="258">
                  <c:v>3.44</c:v>
                </c:pt>
                <c:pt idx="259">
                  <c:v>3.44</c:v>
                </c:pt>
                <c:pt idx="260">
                  <c:v>3.44</c:v>
                </c:pt>
                <c:pt idx="261">
                  <c:v>3.44</c:v>
                </c:pt>
                <c:pt idx="262">
                  <c:v>3.44</c:v>
                </c:pt>
                <c:pt idx="263">
                  <c:v>3.59</c:v>
                </c:pt>
                <c:pt idx="264">
                  <c:v>3.55</c:v>
                </c:pt>
                <c:pt idx="265">
                  <c:v>3.84</c:v>
                </c:pt>
                <c:pt idx="266">
                  <c:v>3.76</c:v>
                </c:pt>
                <c:pt idx="267">
                  <c:v>3.76</c:v>
                </c:pt>
                <c:pt idx="268">
                  <c:v>3.76</c:v>
                </c:pt>
                <c:pt idx="269">
                  <c:v>3.77</c:v>
                </c:pt>
                <c:pt idx="270">
                  <c:v>3.76</c:v>
                </c:pt>
                <c:pt idx="271">
                  <c:v>3.75</c:v>
                </c:pt>
                <c:pt idx="272">
                  <c:v>3.71</c:v>
                </c:pt>
                <c:pt idx="273">
                  <c:v>3.68</c:v>
                </c:pt>
                <c:pt idx="274">
                  <c:v>3.58</c:v>
                </c:pt>
                <c:pt idx="275">
                  <c:v>3.48</c:v>
                </c:pt>
                <c:pt idx="276">
                  <c:v>3.39</c:v>
                </c:pt>
                <c:pt idx="277">
                  <c:v>3.33</c:v>
                </c:pt>
                <c:pt idx="278">
                  <c:v>3.31</c:v>
                </c:pt>
                <c:pt idx="279">
                  <c:v>3.3</c:v>
                </c:pt>
                <c:pt idx="280">
                  <c:v>3.29</c:v>
                </c:pt>
                <c:pt idx="281">
                  <c:v>3.29</c:v>
                </c:pt>
                <c:pt idx="282">
                  <c:v>3.27</c:v>
                </c:pt>
                <c:pt idx="283">
                  <c:v>3.25</c:v>
                </c:pt>
                <c:pt idx="284">
                  <c:v>3.25</c:v>
                </c:pt>
                <c:pt idx="285">
                  <c:v>3.29</c:v>
                </c:pt>
                <c:pt idx="286">
                  <c:v>3.27</c:v>
                </c:pt>
                <c:pt idx="287">
                  <c:v>3.23</c:v>
                </c:pt>
                <c:pt idx="288">
                  <c:v>3.21</c:v>
                </c:pt>
                <c:pt idx="289">
                  <c:v>3.19</c:v>
                </c:pt>
                <c:pt idx="290">
                  <c:v>3.08</c:v>
                </c:pt>
                <c:pt idx="291">
                  <c:v>2.82</c:v>
                </c:pt>
                <c:pt idx="292">
                  <c:v>2.71</c:v>
                </c:pt>
                <c:pt idx="293">
                  <c:v>2.61</c:v>
                </c:pt>
                <c:pt idx="294">
                  <c:v>2.6</c:v>
                </c:pt>
                <c:pt idx="295">
                  <c:v>2.5</c:v>
                </c:pt>
                <c:pt idx="296">
                  <c:v>2.49</c:v>
                </c:pt>
                <c:pt idx="297">
                  <c:v>2.45</c:v>
                </c:pt>
                <c:pt idx="298">
                  <c:v>2.38</c:v>
                </c:pt>
                <c:pt idx="299">
                  <c:v>2.4</c:v>
                </c:pt>
                <c:pt idx="300">
                  <c:v>2.38</c:v>
                </c:pt>
                <c:pt idx="301">
                  <c:v>2.4</c:v>
                </c:pt>
                <c:pt idx="302">
                  <c:v>2.39</c:v>
                </c:pt>
                <c:pt idx="303">
                  <c:v>2.44</c:v>
                </c:pt>
                <c:pt idx="304">
                  <c:v>2.49</c:v>
                </c:pt>
                <c:pt idx="305">
                  <c:v>2.48</c:v>
                </c:pt>
                <c:pt idx="306">
                  <c:v>2.44</c:v>
                </c:pt>
                <c:pt idx="307">
                  <c:v>2.43</c:v>
                </c:pt>
                <c:pt idx="308">
                  <c:v>2.42</c:v>
                </c:pt>
                <c:pt idx="309">
                  <c:v>2.41</c:v>
                </c:pt>
                <c:pt idx="310">
                  <c:v>2.4</c:v>
                </c:pt>
                <c:pt idx="311">
                  <c:v>2.4</c:v>
                </c:pt>
                <c:pt idx="312">
                  <c:v>2.4</c:v>
                </c:pt>
                <c:pt idx="313">
                  <c:v>2.43</c:v>
                </c:pt>
                <c:pt idx="314">
                  <c:v>2.42</c:v>
                </c:pt>
                <c:pt idx="315">
                  <c:v>2.44</c:v>
                </c:pt>
                <c:pt idx="316">
                  <c:v>2.5</c:v>
                </c:pt>
                <c:pt idx="317">
                  <c:v>2.58</c:v>
                </c:pt>
                <c:pt idx="318">
                  <c:v>2.72</c:v>
                </c:pt>
                <c:pt idx="319">
                  <c:v>2.78</c:v>
                </c:pt>
                <c:pt idx="320">
                  <c:v>2.78</c:v>
                </c:pt>
                <c:pt idx="321">
                  <c:v>2.77</c:v>
                </c:pt>
                <c:pt idx="322">
                  <c:v>2.76</c:v>
                </c:pt>
                <c:pt idx="323">
                  <c:v>2.75</c:v>
                </c:pt>
                <c:pt idx="324">
                  <c:v>2.74</c:v>
                </c:pt>
                <c:pt idx="325">
                  <c:v>2.74</c:v>
                </c:pt>
                <c:pt idx="326">
                  <c:v>2.73</c:v>
                </c:pt>
                <c:pt idx="327">
                  <c:v>2.73</c:v>
                </c:pt>
                <c:pt idx="328">
                  <c:v>2.71</c:v>
                </c:pt>
                <c:pt idx="329">
                  <c:v>2.71</c:v>
                </c:pt>
                <c:pt idx="330">
                  <c:v>2.69</c:v>
                </c:pt>
                <c:pt idx="331">
                  <c:v>2.68</c:v>
                </c:pt>
                <c:pt idx="332">
                  <c:v>2.68</c:v>
                </c:pt>
                <c:pt idx="333">
                  <c:v>2.68</c:v>
                </c:pt>
                <c:pt idx="334">
                  <c:v>2.67</c:v>
                </c:pt>
                <c:pt idx="335">
                  <c:v>2.7</c:v>
                </c:pt>
                <c:pt idx="336">
                  <c:v>2.72</c:v>
                </c:pt>
                <c:pt idx="337">
                  <c:v>2.78</c:v>
                </c:pt>
                <c:pt idx="338">
                  <c:v>2.81</c:v>
                </c:pt>
                <c:pt idx="339">
                  <c:v>2.8</c:v>
                </c:pt>
                <c:pt idx="340">
                  <c:v>2.8</c:v>
                </c:pt>
                <c:pt idx="341">
                  <c:v>2.8</c:v>
                </c:pt>
                <c:pt idx="342">
                  <c:v>2.84</c:v>
                </c:pt>
                <c:pt idx="343">
                  <c:v>2.86</c:v>
                </c:pt>
                <c:pt idx="344">
                  <c:v>2.96</c:v>
                </c:pt>
                <c:pt idx="345">
                  <c:v>3.12</c:v>
                </c:pt>
                <c:pt idx="346">
                  <c:v>3.46</c:v>
                </c:pt>
                <c:pt idx="347">
                  <c:v>3.58</c:v>
                </c:pt>
                <c:pt idx="348">
                  <c:v>4.58</c:v>
                </c:pt>
                <c:pt idx="349">
                  <c:v>4.83</c:v>
                </c:pt>
                <c:pt idx="350">
                  <c:v>5.51</c:v>
                </c:pt>
                <c:pt idx="351">
                  <c:v>6.46</c:v>
                </c:pt>
                <c:pt idx="352">
                  <c:v>7.42</c:v>
                </c:pt>
                <c:pt idx="353">
                  <c:v>9.07</c:v>
                </c:pt>
                <c:pt idx="354">
                  <c:v>9.61</c:v>
                </c:pt>
                <c:pt idx="355">
                  <c:v>9.63</c:v>
                </c:pt>
                <c:pt idx="356">
                  <c:v>9.62</c:v>
                </c:pt>
                <c:pt idx="357">
                  <c:v>11.52</c:v>
                </c:pt>
                <c:pt idx="358">
                  <c:v>13.06</c:v>
                </c:pt>
                <c:pt idx="359">
                  <c:v>13.72</c:v>
                </c:pt>
                <c:pt idx="360">
                  <c:v>15.05</c:v>
                </c:pt>
                <c:pt idx="361">
                  <c:v>15.45</c:v>
                </c:pt>
              </c:numCache>
            </c:numRef>
          </c:val>
          <c:smooth val="0"/>
        </c:ser>
        <c:ser>
          <c:idx val="1"/>
          <c:order val="1"/>
          <c:tx>
            <c:strRef>
              <c:f>NAND!$BE$26</c:f>
              <c:strCache>
                <c:ptCount val="1"/>
                <c:pt idx="0">
                  <c:v>Contract</c:v>
                </c:pt>
              </c:strCache>
            </c:strRef>
          </c:tx>
          <c:spPr>
            <a:ln w="38100" cap="rnd" cmpd="sng" algn="ctr">
              <a:solidFill>
                <a:schemeClr val="tx1"/>
              </a:solidFill>
              <a:prstDash val="solid"/>
              <a:round/>
            </a:ln>
          </c:spPr>
          <c:marker>
            <c:symbol val="none"/>
          </c:marker>
          <c:dLbls>
            <c:delete val="1"/>
          </c:dLbls>
          <c:cat>
            <c:numRef>
              <c:f>NAND!$BA$27:$BA$388</c:f>
              <c:numCache>
                <c:formatCode>yyyy/m/d</c:formatCode>
                <c:ptCount val="362"/>
                <c:pt idx="0" c:formatCode="yyyy/m/d">
                  <c:v>43479</c:v>
                </c:pt>
                <c:pt idx="1" c:formatCode="yyyy/m/d">
                  <c:v>43493</c:v>
                </c:pt>
                <c:pt idx="2" c:formatCode="yyyy/m/d">
                  <c:v>43507</c:v>
                </c:pt>
                <c:pt idx="3" c:formatCode="yyyy/m/d">
                  <c:v>43514</c:v>
                </c:pt>
                <c:pt idx="4" c:formatCode="yyyy/m/d">
                  <c:v>43521</c:v>
                </c:pt>
                <c:pt idx="5" c:formatCode="yyyy/m/d">
                  <c:v>43528</c:v>
                </c:pt>
                <c:pt idx="6" c:formatCode="yyyy/m/d">
                  <c:v>43535</c:v>
                </c:pt>
                <c:pt idx="7" c:formatCode="yyyy/m/d">
                  <c:v>43542</c:v>
                </c:pt>
                <c:pt idx="8" c:formatCode="yyyy/m/d">
                  <c:v>43549</c:v>
                </c:pt>
                <c:pt idx="9" c:formatCode="yyyy/m/d">
                  <c:v>43556</c:v>
                </c:pt>
                <c:pt idx="10" c:formatCode="yyyy/m/d">
                  <c:v>43563</c:v>
                </c:pt>
                <c:pt idx="11" c:formatCode="yyyy/m/d">
                  <c:v>43570</c:v>
                </c:pt>
                <c:pt idx="12" c:formatCode="yyyy/m/d">
                  <c:v>43577</c:v>
                </c:pt>
                <c:pt idx="13" c:formatCode="yyyy/m/d">
                  <c:v>43584</c:v>
                </c:pt>
                <c:pt idx="14" c:formatCode="yyyy/m/d">
                  <c:v>43591</c:v>
                </c:pt>
                <c:pt idx="15" c:formatCode="yyyy/m/d">
                  <c:v>43598</c:v>
                </c:pt>
                <c:pt idx="16" c:formatCode="yyyy/m/d">
                  <c:v>43605</c:v>
                </c:pt>
                <c:pt idx="17" c:formatCode="yyyy/m/d">
                  <c:v>43612</c:v>
                </c:pt>
                <c:pt idx="18" c:formatCode="yyyy/m/d">
                  <c:v>43619</c:v>
                </c:pt>
                <c:pt idx="19" c:formatCode="yyyy/m/d">
                  <c:v>43626</c:v>
                </c:pt>
                <c:pt idx="20" c:formatCode="yyyy/m/d">
                  <c:v>43633</c:v>
                </c:pt>
                <c:pt idx="21" c:formatCode="yyyy/m/d">
                  <c:v>43640</c:v>
                </c:pt>
                <c:pt idx="22" c:formatCode="yyyy/m/d">
                  <c:v>43647</c:v>
                </c:pt>
                <c:pt idx="23" c:formatCode="yyyy/m/d">
                  <c:v>43654</c:v>
                </c:pt>
                <c:pt idx="24" c:formatCode="yyyy/m/d">
                  <c:v>43661</c:v>
                </c:pt>
                <c:pt idx="25" c:formatCode="yyyy/m/d">
                  <c:v>43668</c:v>
                </c:pt>
                <c:pt idx="26" c:formatCode="yyyy/m/d">
                  <c:v>43675</c:v>
                </c:pt>
                <c:pt idx="27" c:formatCode="yyyy/m/d">
                  <c:v>43682</c:v>
                </c:pt>
                <c:pt idx="28" c:formatCode="yyyy/m/d">
                  <c:v>43689</c:v>
                </c:pt>
                <c:pt idx="29" c:formatCode="yyyy/m/d">
                  <c:v>43696</c:v>
                </c:pt>
                <c:pt idx="30" c:formatCode="yyyy/m/d">
                  <c:v>43703</c:v>
                </c:pt>
                <c:pt idx="31" c:formatCode="yyyy/m/d">
                  <c:v>43710</c:v>
                </c:pt>
                <c:pt idx="32" c:formatCode="yyyy/m/d">
                  <c:v>43717</c:v>
                </c:pt>
                <c:pt idx="33" c:formatCode="yyyy/m/d">
                  <c:v>43724</c:v>
                </c:pt>
                <c:pt idx="34" c:formatCode="yyyy/m/d">
                  <c:v>43731</c:v>
                </c:pt>
                <c:pt idx="35" c:formatCode="yyyy/m/d">
                  <c:v>43738</c:v>
                </c:pt>
                <c:pt idx="36" c:formatCode="yyyy/m/d">
                  <c:v>43745</c:v>
                </c:pt>
                <c:pt idx="37" c:formatCode="yyyy/m/d">
                  <c:v>43752</c:v>
                </c:pt>
                <c:pt idx="38" c:formatCode="yyyy/m/d">
                  <c:v>43759</c:v>
                </c:pt>
                <c:pt idx="39" c:formatCode="yyyy/m/d">
                  <c:v>43766</c:v>
                </c:pt>
                <c:pt idx="40" c:formatCode="yyyy/m/d">
                  <c:v>43773</c:v>
                </c:pt>
                <c:pt idx="41" c:formatCode="yyyy/m/d">
                  <c:v>43780</c:v>
                </c:pt>
                <c:pt idx="42" c:formatCode="yyyy/m/d">
                  <c:v>43787</c:v>
                </c:pt>
                <c:pt idx="43" c:formatCode="yyyy/m/d">
                  <c:v>43794</c:v>
                </c:pt>
                <c:pt idx="44" c:formatCode="yyyy/m/d">
                  <c:v>43801</c:v>
                </c:pt>
                <c:pt idx="45" c:formatCode="yyyy/m/d">
                  <c:v>43808</c:v>
                </c:pt>
                <c:pt idx="46" c:formatCode="yyyy/m/d">
                  <c:v>43815</c:v>
                </c:pt>
                <c:pt idx="47" c:formatCode="yyyy/m/d">
                  <c:v>43822</c:v>
                </c:pt>
                <c:pt idx="48" c:formatCode="yyyy/m/d">
                  <c:v>43829</c:v>
                </c:pt>
                <c:pt idx="49" c:formatCode="yyyy/m/d">
                  <c:v>43836</c:v>
                </c:pt>
                <c:pt idx="50" c:formatCode="yyyy/m/d">
                  <c:v>43843</c:v>
                </c:pt>
                <c:pt idx="51" c:formatCode="yyyy/m/d">
                  <c:v>43850</c:v>
                </c:pt>
                <c:pt idx="52" c:formatCode="yyyy/m/d">
                  <c:v>43864</c:v>
                </c:pt>
                <c:pt idx="53" c:formatCode="yyyy/m/d">
                  <c:v>43871</c:v>
                </c:pt>
                <c:pt idx="54" c:formatCode="yyyy/m/d">
                  <c:v>43878</c:v>
                </c:pt>
                <c:pt idx="55" c:formatCode="yyyy/m/d">
                  <c:v>43885</c:v>
                </c:pt>
                <c:pt idx="56" c:formatCode="yyyy/m/d">
                  <c:v>43892</c:v>
                </c:pt>
                <c:pt idx="57" c:formatCode="yyyy/m/d">
                  <c:v>43899</c:v>
                </c:pt>
                <c:pt idx="58" c:formatCode="yyyy/m/d">
                  <c:v>43906</c:v>
                </c:pt>
                <c:pt idx="59" c:formatCode="yyyy/m/d">
                  <c:v>43913</c:v>
                </c:pt>
                <c:pt idx="60" c:formatCode="yyyy/m/d">
                  <c:v>43920</c:v>
                </c:pt>
                <c:pt idx="61" c:formatCode="yyyy/m/d">
                  <c:v>43927</c:v>
                </c:pt>
                <c:pt idx="62" c:formatCode="yyyy/m/d">
                  <c:v>43934</c:v>
                </c:pt>
                <c:pt idx="63" c:formatCode="yyyy/m/d">
                  <c:v>43941</c:v>
                </c:pt>
                <c:pt idx="64" c:formatCode="yyyy/m/d">
                  <c:v>43948</c:v>
                </c:pt>
                <c:pt idx="65" c:formatCode="yyyy/m/d">
                  <c:v>43955</c:v>
                </c:pt>
                <c:pt idx="66" c:formatCode="yyyy/m/d">
                  <c:v>43962</c:v>
                </c:pt>
                <c:pt idx="67" c:formatCode="yyyy/m/d">
                  <c:v>43969</c:v>
                </c:pt>
                <c:pt idx="68" c:formatCode="yyyy/m/d">
                  <c:v>43976</c:v>
                </c:pt>
                <c:pt idx="69" c:formatCode="yyyy/m/d">
                  <c:v>43983</c:v>
                </c:pt>
                <c:pt idx="70" c:formatCode="yyyy/m/d">
                  <c:v>43990</c:v>
                </c:pt>
                <c:pt idx="71" c:formatCode="yyyy/m/d">
                  <c:v>43997</c:v>
                </c:pt>
                <c:pt idx="72" c:formatCode="yyyy/m/d">
                  <c:v>44004</c:v>
                </c:pt>
                <c:pt idx="73" c:formatCode="yyyy/m/d">
                  <c:v>44011</c:v>
                </c:pt>
                <c:pt idx="74" c:formatCode="yyyy/m/d">
                  <c:v>44018</c:v>
                </c:pt>
                <c:pt idx="75" c:formatCode="yyyy/m/d">
                  <c:v>44025</c:v>
                </c:pt>
                <c:pt idx="76" c:formatCode="yyyy/m/d">
                  <c:v>44032</c:v>
                </c:pt>
                <c:pt idx="77" c:formatCode="yyyy/m/d">
                  <c:v>44039</c:v>
                </c:pt>
                <c:pt idx="78" c:formatCode="yyyy/m/d">
                  <c:v>44046</c:v>
                </c:pt>
                <c:pt idx="79" c:formatCode="yyyy/m/d">
                  <c:v>44053</c:v>
                </c:pt>
                <c:pt idx="80" c:formatCode="yyyy/m/d">
                  <c:v>44060</c:v>
                </c:pt>
                <c:pt idx="81" c:formatCode="yyyy/m/d">
                  <c:v>44067</c:v>
                </c:pt>
                <c:pt idx="82" c:formatCode="yyyy/m/d">
                  <c:v>44074</c:v>
                </c:pt>
                <c:pt idx="83" c:formatCode="yyyy/m/d">
                  <c:v>44081</c:v>
                </c:pt>
                <c:pt idx="84" c:formatCode="yyyy/m/d">
                  <c:v>44088</c:v>
                </c:pt>
                <c:pt idx="85" c:formatCode="yyyy/m/d">
                  <c:v>44095</c:v>
                </c:pt>
                <c:pt idx="86" c:formatCode="yyyy/m/d">
                  <c:v>44102</c:v>
                </c:pt>
                <c:pt idx="87" c:formatCode="yyyy/m/d">
                  <c:v>44109</c:v>
                </c:pt>
                <c:pt idx="88" c:formatCode="yyyy/m/d">
                  <c:v>44116</c:v>
                </c:pt>
                <c:pt idx="89" c:formatCode="yyyy/m/d">
                  <c:v>44123</c:v>
                </c:pt>
                <c:pt idx="90" c:formatCode="yyyy/m/d">
                  <c:v>44130</c:v>
                </c:pt>
                <c:pt idx="91" c:formatCode="yyyy/m/d">
                  <c:v>44137</c:v>
                </c:pt>
                <c:pt idx="92" c:formatCode="yyyy/m/d">
                  <c:v>44144</c:v>
                </c:pt>
                <c:pt idx="93" c:formatCode="yyyy/m/d">
                  <c:v>44151</c:v>
                </c:pt>
                <c:pt idx="94" c:formatCode="yyyy/m/d">
                  <c:v>44158</c:v>
                </c:pt>
                <c:pt idx="95" c:formatCode="yyyy/m/d">
                  <c:v>44165</c:v>
                </c:pt>
                <c:pt idx="96" c:formatCode="yyyy/m/d">
                  <c:v>44172</c:v>
                </c:pt>
                <c:pt idx="97" c:formatCode="yyyy/m/d">
                  <c:v>44179</c:v>
                </c:pt>
                <c:pt idx="98" c:formatCode="yyyy/m/d">
                  <c:v>44186</c:v>
                </c:pt>
                <c:pt idx="99" c:formatCode="yyyy/m/d">
                  <c:v>44193</c:v>
                </c:pt>
                <c:pt idx="100" c:formatCode="yyyy/m/d">
                  <c:v>44200</c:v>
                </c:pt>
                <c:pt idx="101" c:formatCode="yyyy/m/d">
                  <c:v>44207</c:v>
                </c:pt>
                <c:pt idx="102" c:formatCode="yyyy/m/d">
                  <c:v>44214</c:v>
                </c:pt>
                <c:pt idx="103" c:formatCode="yyyy/m/d">
                  <c:v>44221</c:v>
                </c:pt>
                <c:pt idx="104" c:formatCode="yyyy/m/d">
                  <c:v>44228</c:v>
                </c:pt>
                <c:pt idx="105" c:formatCode="yyyy/m/d">
                  <c:v>44235</c:v>
                </c:pt>
                <c:pt idx="106" c:formatCode="yyyy/m/d">
                  <c:v>44244</c:v>
                </c:pt>
                <c:pt idx="107" c:formatCode="yyyy/m/d">
                  <c:v>44249</c:v>
                </c:pt>
                <c:pt idx="108" c:formatCode="yyyy/m/d">
                  <c:v>44256</c:v>
                </c:pt>
                <c:pt idx="109" c:formatCode="yyyy/m/d">
                  <c:v>44263</c:v>
                </c:pt>
                <c:pt idx="110" c:formatCode="yyyy/m/d">
                  <c:v>44270</c:v>
                </c:pt>
                <c:pt idx="111" c:formatCode="yyyy/m/d">
                  <c:v>44277</c:v>
                </c:pt>
                <c:pt idx="112" c:formatCode="yyyy/m/d">
                  <c:v>44284</c:v>
                </c:pt>
                <c:pt idx="113" c:formatCode="yyyy/m/d">
                  <c:v>44292</c:v>
                </c:pt>
                <c:pt idx="114" c:formatCode="yyyy/m/d">
                  <c:v>44298</c:v>
                </c:pt>
                <c:pt idx="115" c:formatCode="yyyy/m/d">
                  <c:v>44305</c:v>
                </c:pt>
                <c:pt idx="116" c:formatCode="yyyy/m/d">
                  <c:v>44312</c:v>
                </c:pt>
                <c:pt idx="117" c:formatCode="yyyy/m/d">
                  <c:v>44319</c:v>
                </c:pt>
                <c:pt idx="118" c:formatCode="yyyy/m/d">
                  <c:v>44326</c:v>
                </c:pt>
                <c:pt idx="119" c:formatCode="yyyy/m/d">
                  <c:v>44333</c:v>
                </c:pt>
                <c:pt idx="120" c:formatCode="yyyy/m/d">
                  <c:v>44340</c:v>
                </c:pt>
                <c:pt idx="121" c:formatCode="yyyy/m/d">
                  <c:v>44347</c:v>
                </c:pt>
                <c:pt idx="122" c:formatCode="yyyy/m/d">
                  <c:v>44354</c:v>
                </c:pt>
                <c:pt idx="123" c:formatCode="yyyy/m/d">
                  <c:v>44362</c:v>
                </c:pt>
                <c:pt idx="124" c:formatCode="yyyy/m/d">
                  <c:v>44368</c:v>
                </c:pt>
                <c:pt idx="125" c:formatCode="yyyy/m/d">
                  <c:v>44375</c:v>
                </c:pt>
                <c:pt idx="126" c:formatCode="yyyy/m/d">
                  <c:v>44382</c:v>
                </c:pt>
                <c:pt idx="127" c:formatCode="yyyy/m/d">
                  <c:v>44389</c:v>
                </c:pt>
                <c:pt idx="128" c:formatCode="yyyy/m/d">
                  <c:v>44396</c:v>
                </c:pt>
                <c:pt idx="129" c:formatCode="yyyy/m/d">
                  <c:v>44403</c:v>
                </c:pt>
                <c:pt idx="130" c:formatCode="yyyy/m/d">
                  <c:v>44410</c:v>
                </c:pt>
                <c:pt idx="131" c:formatCode="yyyy/m/d">
                  <c:v>44417</c:v>
                </c:pt>
                <c:pt idx="132" c:formatCode="yyyy/m/d">
                  <c:v>44424</c:v>
                </c:pt>
                <c:pt idx="133" c:formatCode="yyyy/m/d">
                  <c:v>44431</c:v>
                </c:pt>
                <c:pt idx="134" c:formatCode="yyyy/m/d">
                  <c:v>44438</c:v>
                </c:pt>
                <c:pt idx="135" c:formatCode="yyyy/m/d">
                  <c:v>44445</c:v>
                </c:pt>
                <c:pt idx="136" c:formatCode="yyyy/m/d">
                  <c:v>44452</c:v>
                </c:pt>
                <c:pt idx="137" c:formatCode="yyyy/m/d">
                  <c:v>44461</c:v>
                </c:pt>
                <c:pt idx="138" c:formatCode="yyyy/m/d">
                  <c:v>44466</c:v>
                </c:pt>
                <c:pt idx="139" c:formatCode="yyyy/m/d">
                  <c:v>44473</c:v>
                </c:pt>
                <c:pt idx="140" c:formatCode="yyyy/m/d">
                  <c:v>44480</c:v>
                </c:pt>
                <c:pt idx="141" c:formatCode="yyyy/m/d">
                  <c:v>44487</c:v>
                </c:pt>
                <c:pt idx="142" c:formatCode="yyyy/m/d">
                  <c:v>44494</c:v>
                </c:pt>
                <c:pt idx="143" c:formatCode="yyyy/m/d">
                  <c:v>44501</c:v>
                </c:pt>
                <c:pt idx="144" c:formatCode="yyyy/m/d">
                  <c:v>44508</c:v>
                </c:pt>
                <c:pt idx="145" c:formatCode="yyyy/m/d">
                  <c:v>44515</c:v>
                </c:pt>
                <c:pt idx="146" c:formatCode="yyyy/m/d">
                  <c:v>44522</c:v>
                </c:pt>
                <c:pt idx="147" c:formatCode="yyyy/m/d">
                  <c:v>44529</c:v>
                </c:pt>
                <c:pt idx="148" c:formatCode="yyyy/m/d">
                  <c:v>44536</c:v>
                </c:pt>
                <c:pt idx="149" c:formatCode="yyyy/m/d">
                  <c:v>44543</c:v>
                </c:pt>
                <c:pt idx="150" c:formatCode="yyyy/m/d">
                  <c:v>44550</c:v>
                </c:pt>
                <c:pt idx="151" c:formatCode="yyyy/m/d">
                  <c:v>44557</c:v>
                </c:pt>
                <c:pt idx="152" c:formatCode="yyyy/m/d">
                  <c:v>44564</c:v>
                </c:pt>
                <c:pt idx="153" c:formatCode="yyyy/m/d">
                  <c:v>44571</c:v>
                </c:pt>
                <c:pt idx="154" c:formatCode="yyyy/m/d">
                  <c:v>44578</c:v>
                </c:pt>
                <c:pt idx="155" c:formatCode="yyyy/m/d">
                  <c:v>44585</c:v>
                </c:pt>
                <c:pt idx="156" c:formatCode="yyyy/m/d">
                  <c:v>44599</c:v>
                </c:pt>
                <c:pt idx="157" c:formatCode="yyyy/m/d">
                  <c:v>44606</c:v>
                </c:pt>
                <c:pt idx="158" c:formatCode="yyyy/m/d">
                  <c:v>44613</c:v>
                </c:pt>
                <c:pt idx="159" c:formatCode="yyyy/m/d">
                  <c:v>44620</c:v>
                </c:pt>
                <c:pt idx="160" c:formatCode="yyyy/m/d">
                  <c:v>44627</c:v>
                </c:pt>
                <c:pt idx="161" c:formatCode="yyyy/m/d">
                  <c:v>44634</c:v>
                </c:pt>
                <c:pt idx="162" c:formatCode="yyyy/m/d">
                  <c:v>44641</c:v>
                </c:pt>
                <c:pt idx="163" c:formatCode="yyyy/m/d">
                  <c:v>44648</c:v>
                </c:pt>
                <c:pt idx="164" c:formatCode="yyyy/m/d">
                  <c:v>44657</c:v>
                </c:pt>
                <c:pt idx="165" c:formatCode="yyyy/m/d">
                  <c:v>44662</c:v>
                </c:pt>
                <c:pt idx="166" c:formatCode="yyyy/m/d">
                  <c:v>44669</c:v>
                </c:pt>
                <c:pt idx="167" c:formatCode="yyyy/m/d">
                  <c:v>44676</c:v>
                </c:pt>
                <c:pt idx="168" c:formatCode="yyyy/m/d">
                  <c:v>44684</c:v>
                </c:pt>
                <c:pt idx="169" c:formatCode="yyyy/m/d">
                  <c:v>44690</c:v>
                </c:pt>
                <c:pt idx="170" c:formatCode="yyyy/m/d">
                  <c:v>44697</c:v>
                </c:pt>
                <c:pt idx="171" c:formatCode="yyyy/m/d">
                  <c:v>44704</c:v>
                </c:pt>
                <c:pt idx="172" c:formatCode="yyyy/m/d">
                  <c:v>44711</c:v>
                </c:pt>
                <c:pt idx="173" c:formatCode="yyyy/m/d">
                  <c:v>44718</c:v>
                </c:pt>
                <c:pt idx="174" c:formatCode="yyyy/m/d">
                  <c:v>44725</c:v>
                </c:pt>
                <c:pt idx="175" c:formatCode="yyyy/m/d">
                  <c:v>44732</c:v>
                </c:pt>
                <c:pt idx="176" c:formatCode="yyyy/m/d">
                  <c:v>44739</c:v>
                </c:pt>
                <c:pt idx="177" c:formatCode="yyyy/m/d">
                  <c:v>44746</c:v>
                </c:pt>
                <c:pt idx="178" c:formatCode="yyyy/m/d">
                  <c:v>44753</c:v>
                </c:pt>
                <c:pt idx="179" c:formatCode="yyyy/m/d">
                  <c:v>44760</c:v>
                </c:pt>
                <c:pt idx="180" c:formatCode="yyyy/m/d">
                  <c:v>44767</c:v>
                </c:pt>
                <c:pt idx="181" c:formatCode="yyyy/m/d">
                  <c:v>44774</c:v>
                </c:pt>
                <c:pt idx="182" c:formatCode="yyyy/m/d">
                  <c:v>44781</c:v>
                </c:pt>
                <c:pt idx="183" c:formatCode="yyyy/m/d">
                  <c:v>44788</c:v>
                </c:pt>
                <c:pt idx="184" c:formatCode="yyyy/m/d">
                  <c:v>44795</c:v>
                </c:pt>
                <c:pt idx="185" c:formatCode="yyyy/m/d">
                  <c:v>44802</c:v>
                </c:pt>
                <c:pt idx="186" c:formatCode="yyyy/m/d">
                  <c:v>44809</c:v>
                </c:pt>
                <c:pt idx="187" c:formatCode="yyyy/m/d">
                  <c:v>44816</c:v>
                </c:pt>
                <c:pt idx="188" c:formatCode="yyyy/m/d">
                  <c:v>44823</c:v>
                </c:pt>
                <c:pt idx="189" c:formatCode="yyyy/m/d">
                  <c:v>44830</c:v>
                </c:pt>
                <c:pt idx="190" c:formatCode="yyyy/m/d">
                  <c:v>44837</c:v>
                </c:pt>
                <c:pt idx="191" c:formatCode="yyyy/m/d">
                  <c:v>44844</c:v>
                </c:pt>
                <c:pt idx="192" c:formatCode="yyyy/m/d">
                  <c:v>44851</c:v>
                </c:pt>
                <c:pt idx="193" c:formatCode="yyyy/m/d">
                  <c:v>44858</c:v>
                </c:pt>
                <c:pt idx="194" c:formatCode="yyyy/m/d">
                  <c:v>44865</c:v>
                </c:pt>
                <c:pt idx="195" c:formatCode="yyyy/m/d">
                  <c:v>44872</c:v>
                </c:pt>
                <c:pt idx="196" c:formatCode="yyyy/m/d">
                  <c:v>44879</c:v>
                </c:pt>
                <c:pt idx="197" c:formatCode="yyyy/m/d">
                  <c:v>44886</c:v>
                </c:pt>
                <c:pt idx="198" c:formatCode="yyyy/m/d">
                  <c:v>44893</c:v>
                </c:pt>
                <c:pt idx="199" c:formatCode="yyyy/m/d">
                  <c:v>44900</c:v>
                </c:pt>
                <c:pt idx="200" c:formatCode="yyyy/m/d">
                  <c:v>44907</c:v>
                </c:pt>
                <c:pt idx="201" c:formatCode="yyyy/m/d">
                  <c:v>44914</c:v>
                </c:pt>
                <c:pt idx="202" c:formatCode="yyyy/m/d">
                  <c:v>44921</c:v>
                </c:pt>
                <c:pt idx="203" c:formatCode="yyyy/m/d">
                  <c:v>44928</c:v>
                </c:pt>
                <c:pt idx="204" c:formatCode="yyyy/m/d">
                  <c:v>44935</c:v>
                </c:pt>
                <c:pt idx="205" c:formatCode="yyyy/m/d">
                  <c:v>44942</c:v>
                </c:pt>
                <c:pt idx="206" c:formatCode="yyyy/m/d">
                  <c:v>44956</c:v>
                </c:pt>
                <c:pt idx="207" c:formatCode="yyyy/m/d">
                  <c:v>44963</c:v>
                </c:pt>
                <c:pt idx="208" c:formatCode="yyyy/m/d">
                  <c:v>44970</c:v>
                </c:pt>
                <c:pt idx="209" c:formatCode="yyyy/m/d">
                  <c:v>44977</c:v>
                </c:pt>
                <c:pt idx="210" c:formatCode="yyyy/m/d">
                  <c:v>44984</c:v>
                </c:pt>
                <c:pt idx="211" c:formatCode="yyyy/m/d">
                  <c:v>44991</c:v>
                </c:pt>
                <c:pt idx="212" c:formatCode="yyyy/m/d">
                  <c:v>44998</c:v>
                </c:pt>
                <c:pt idx="213" c:formatCode="yyyy/m/d">
                  <c:v>45005</c:v>
                </c:pt>
                <c:pt idx="214" c:formatCode="yyyy/m/d">
                  <c:v>45012</c:v>
                </c:pt>
                <c:pt idx="215" c:formatCode="yyyy/m/d">
                  <c:v>45019</c:v>
                </c:pt>
                <c:pt idx="216" c:formatCode="yyyy/m/d">
                  <c:v>45026</c:v>
                </c:pt>
                <c:pt idx="217" c:formatCode="yyyy/m/d">
                  <c:v>45033</c:v>
                </c:pt>
                <c:pt idx="218" c:formatCode="yyyy/m/d">
                  <c:v>45040</c:v>
                </c:pt>
                <c:pt idx="219" c:formatCode="yyyy/m/d">
                  <c:v>45047</c:v>
                </c:pt>
                <c:pt idx="220" c:formatCode="yyyy/m/d">
                  <c:v>45054</c:v>
                </c:pt>
                <c:pt idx="221" c:formatCode="yyyy/m/d">
                  <c:v>45061</c:v>
                </c:pt>
                <c:pt idx="222" c:formatCode="yyyy/m/d">
                  <c:v>45068</c:v>
                </c:pt>
                <c:pt idx="223" c:formatCode="yyyy/m/d">
                  <c:v>45075</c:v>
                </c:pt>
                <c:pt idx="224" c:formatCode="yyyy/m/d">
                  <c:v>45082</c:v>
                </c:pt>
                <c:pt idx="225" c:formatCode="yyyy/m/d">
                  <c:v>45089</c:v>
                </c:pt>
                <c:pt idx="226" c:formatCode="yyyy/m/d">
                  <c:v>45096</c:v>
                </c:pt>
                <c:pt idx="227" c:formatCode="yyyy/m/d">
                  <c:v>45103</c:v>
                </c:pt>
                <c:pt idx="228" c:formatCode="yyyy/m/d">
                  <c:v>45110</c:v>
                </c:pt>
                <c:pt idx="229" c:formatCode="yyyy/m/d">
                  <c:v>45117</c:v>
                </c:pt>
                <c:pt idx="230" c:formatCode="yyyy/m/d">
                  <c:v>45124</c:v>
                </c:pt>
                <c:pt idx="231" c:formatCode="yyyy/m/d">
                  <c:v>45131</c:v>
                </c:pt>
                <c:pt idx="232" c:formatCode="yyyy/m/d">
                  <c:v>45138</c:v>
                </c:pt>
                <c:pt idx="233" c:formatCode="yyyy/m/d">
                  <c:v>45145</c:v>
                </c:pt>
                <c:pt idx="234" c:formatCode="yyyy/m/d">
                  <c:v>45152</c:v>
                </c:pt>
                <c:pt idx="235" c:formatCode="yyyy/m/d">
                  <c:v>45159</c:v>
                </c:pt>
                <c:pt idx="236" c:formatCode="yyyy/m/d">
                  <c:v>45166</c:v>
                </c:pt>
                <c:pt idx="237" c:formatCode="yyyy/m/d">
                  <c:v>45173</c:v>
                </c:pt>
                <c:pt idx="238" c:formatCode="yyyy/m/d">
                  <c:v>45180</c:v>
                </c:pt>
                <c:pt idx="239" c:formatCode="yyyy/m/d">
                  <c:v>45187</c:v>
                </c:pt>
                <c:pt idx="240" c:formatCode="yyyy/m/d">
                  <c:v>45194</c:v>
                </c:pt>
                <c:pt idx="241" c:formatCode="yyyy/m/d">
                  <c:v>45201</c:v>
                </c:pt>
                <c:pt idx="242" c:formatCode="yyyy/m/d">
                  <c:v>45208</c:v>
                </c:pt>
                <c:pt idx="243" c:formatCode="yyyy/m/d">
                  <c:v>45215</c:v>
                </c:pt>
                <c:pt idx="244" c:formatCode="yyyy/m/d">
                  <c:v>45222</c:v>
                </c:pt>
                <c:pt idx="245" c:formatCode="yyyy/m/d">
                  <c:v>45229</c:v>
                </c:pt>
                <c:pt idx="246" c:formatCode="yyyy/m/d">
                  <c:v>45236</c:v>
                </c:pt>
                <c:pt idx="247" c:formatCode="yyyy/m/d">
                  <c:v>45243</c:v>
                </c:pt>
                <c:pt idx="248" c:formatCode="yyyy/m/d">
                  <c:v>45250</c:v>
                </c:pt>
                <c:pt idx="249" c:formatCode="yyyy/m/d">
                  <c:v>45257</c:v>
                </c:pt>
                <c:pt idx="250" c:formatCode="yyyy/m/d">
                  <c:v>45264</c:v>
                </c:pt>
                <c:pt idx="251" c:formatCode="yyyy/m/d">
                  <c:v>45271</c:v>
                </c:pt>
                <c:pt idx="252" c:formatCode="yyyy/m/d">
                  <c:v>45278</c:v>
                </c:pt>
                <c:pt idx="253" c:formatCode="yyyy/m/d">
                  <c:v>45285</c:v>
                </c:pt>
                <c:pt idx="254" c:formatCode="yyyy/m/d">
                  <c:v>45292</c:v>
                </c:pt>
                <c:pt idx="255" c:formatCode="yyyy/m/d">
                  <c:v>45299</c:v>
                </c:pt>
                <c:pt idx="256" c:formatCode="yyyy/m/d">
                  <c:v>45306</c:v>
                </c:pt>
                <c:pt idx="257" c:formatCode="yyyy/m/d">
                  <c:v>45313</c:v>
                </c:pt>
                <c:pt idx="258" c:formatCode="yyyy/m/d">
                  <c:v>45320</c:v>
                </c:pt>
                <c:pt idx="259" c:formatCode="yyyy/m/d">
                  <c:v>45327</c:v>
                </c:pt>
                <c:pt idx="260" c:formatCode="yyyy/m/d">
                  <c:v>45334</c:v>
                </c:pt>
                <c:pt idx="261" c:formatCode="yyyy/m/d">
                  <c:v>45341</c:v>
                </c:pt>
                <c:pt idx="262" c:formatCode="yyyy/m/d">
                  <c:v>45348</c:v>
                </c:pt>
                <c:pt idx="263" c:formatCode="yyyy/m/d">
                  <c:v>45355</c:v>
                </c:pt>
                <c:pt idx="264" c:formatCode="yyyy/m/d">
                  <c:v>45362</c:v>
                </c:pt>
                <c:pt idx="265" c:formatCode="yyyy/m/d">
                  <c:v>45369</c:v>
                </c:pt>
                <c:pt idx="266" c:formatCode="yyyy/m/d">
                  <c:v>45376</c:v>
                </c:pt>
                <c:pt idx="267" c:formatCode="yyyy/m/d">
                  <c:v>45383</c:v>
                </c:pt>
                <c:pt idx="268" c:formatCode="yyyy/m/d">
                  <c:v>45390</c:v>
                </c:pt>
                <c:pt idx="269" c:formatCode="yyyy/m/d">
                  <c:v>45397</c:v>
                </c:pt>
                <c:pt idx="270" c:formatCode="yyyy/m/d">
                  <c:v>45404</c:v>
                </c:pt>
                <c:pt idx="271" c:formatCode="yyyy/m/d">
                  <c:v>45411</c:v>
                </c:pt>
                <c:pt idx="272" c:formatCode="yyyy/m/d">
                  <c:v>45418</c:v>
                </c:pt>
                <c:pt idx="273" c:formatCode="yyyy/m/d">
                  <c:v>45425</c:v>
                </c:pt>
                <c:pt idx="274" c:formatCode="yyyy/m/d">
                  <c:v>45432</c:v>
                </c:pt>
                <c:pt idx="275" c:formatCode="yyyy/m/d">
                  <c:v>45439</c:v>
                </c:pt>
                <c:pt idx="276" c:formatCode="yyyy/m/d">
                  <c:v>45446</c:v>
                </c:pt>
                <c:pt idx="277" c:formatCode="yyyy/m/d">
                  <c:v>45454</c:v>
                </c:pt>
                <c:pt idx="278" c:formatCode="yyyy/m/d">
                  <c:v>45460</c:v>
                </c:pt>
                <c:pt idx="279" c:formatCode="yyyy/m/d">
                  <c:v>45467</c:v>
                </c:pt>
                <c:pt idx="280" c:formatCode="yyyy/m/d">
                  <c:v>45474</c:v>
                </c:pt>
                <c:pt idx="281" c:formatCode="yyyy/m/d">
                  <c:v>45481</c:v>
                </c:pt>
                <c:pt idx="282" c:formatCode="yyyy/m/d">
                  <c:v>45488</c:v>
                </c:pt>
                <c:pt idx="283" c:formatCode="yyyy/m/d">
                  <c:v>45495</c:v>
                </c:pt>
                <c:pt idx="284" c:formatCode="yyyy/m/d">
                  <c:v>45502</c:v>
                </c:pt>
                <c:pt idx="285" c:formatCode="yyyy/m/d">
                  <c:v>45509</c:v>
                </c:pt>
                <c:pt idx="286" c:formatCode="yyyy/m/d">
                  <c:v>45516</c:v>
                </c:pt>
                <c:pt idx="287" c:formatCode="yyyy/m/d">
                  <c:v>45523</c:v>
                </c:pt>
                <c:pt idx="288" c:formatCode="yyyy/m/d">
                  <c:v>45530</c:v>
                </c:pt>
                <c:pt idx="289" c:formatCode="yyyy/m/d">
                  <c:v>45537</c:v>
                </c:pt>
                <c:pt idx="290" c:formatCode="yyyy/m/d">
                  <c:v>45544</c:v>
                </c:pt>
                <c:pt idx="291" c:formatCode="yyyy/m/d">
                  <c:v>45551</c:v>
                </c:pt>
                <c:pt idx="292" c:formatCode="yyyy/m/d">
                  <c:v>45558</c:v>
                </c:pt>
                <c:pt idx="293" c:formatCode="yyyy/m/d">
                  <c:v>45565</c:v>
                </c:pt>
                <c:pt idx="294" c:formatCode="yyyy/m/d">
                  <c:v>45572</c:v>
                </c:pt>
                <c:pt idx="295" c:formatCode="yyyy/m/d">
                  <c:v>45579</c:v>
                </c:pt>
                <c:pt idx="296" c:formatCode="yyyy/m/d">
                  <c:v>45586</c:v>
                </c:pt>
                <c:pt idx="297" c:formatCode="yyyy/m/d">
                  <c:v>45593</c:v>
                </c:pt>
                <c:pt idx="298" c:formatCode="yyyy/m/d">
                  <c:v>45600</c:v>
                </c:pt>
                <c:pt idx="299" c:formatCode="yyyy/m/d">
                  <c:v>45607</c:v>
                </c:pt>
                <c:pt idx="300" c:formatCode="yyyy/m/d">
                  <c:v>45614</c:v>
                </c:pt>
                <c:pt idx="301" c:formatCode="yyyy/m/d">
                  <c:v>45621</c:v>
                </c:pt>
                <c:pt idx="302" c:formatCode="yyyy/m/d">
                  <c:v>45628</c:v>
                </c:pt>
                <c:pt idx="303" c:formatCode="yyyy/m/d">
                  <c:v>45635</c:v>
                </c:pt>
                <c:pt idx="304" c:formatCode="yyyy/m/d">
                  <c:v>45642</c:v>
                </c:pt>
                <c:pt idx="305" c:formatCode="yyyy/m/d">
                  <c:v>45649</c:v>
                </c:pt>
                <c:pt idx="306" c:formatCode="yyyy/m/d">
                  <c:v>45656</c:v>
                </c:pt>
                <c:pt idx="307" c:formatCode="yyyy/m/d">
                  <c:v>45663</c:v>
                </c:pt>
                <c:pt idx="308" c:formatCode="yyyy/m/d">
                  <c:v>45670</c:v>
                </c:pt>
                <c:pt idx="309" c:formatCode="yyyy/m/d">
                  <c:v>45677</c:v>
                </c:pt>
                <c:pt idx="310" c:formatCode="yyyy/m/d">
                  <c:v>45684</c:v>
                </c:pt>
                <c:pt idx="311" c:formatCode="yyyy/m/d">
                  <c:v>45691</c:v>
                </c:pt>
                <c:pt idx="312" c:formatCode="yyyy/m/d">
                  <c:v>45698</c:v>
                </c:pt>
                <c:pt idx="313" c:formatCode="yyyy/m/d">
                  <c:v>45705</c:v>
                </c:pt>
                <c:pt idx="314" c:formatCode="yyyy/m/d">
                  <c:v>45712</c:v>
                </c:pt>
                <c:pt idx="315" c:formatCode="yyyy/m/d">
                  <c:v>45719</c:v>
                </c:pt>
                <c:pt idx="316" c:formatCode="yyyy/m/d">
                  <c:v>45726</c:v>
                </c:pt>
                <c:pt idx="317" c:formatCode="yyyy/m/d">
                  <c:v>45733</c:v>
                </c:pt>
                <c:pt idx="318" c:formatCode="yyyy/m/d">
                  <c:v>45740</c:v>
                </c:pt>
                <c:pt idx="319" c:formatCode="yyyy/m/d">
                  <c:v>45747</c:v>
                </c:pt>
                <c:pt idx="320" c:formatCode="yyyy/m/d">
                  <c:v>45754</c:v>
                </c:pt>
                <c:pt idx="321" c:formatCode="yyyy/m/d">
                  <c:v>45761</c:v>
                </c:pt>
                <c:pt idx="322" c:formatCode="yyyy/m/d">
                  <c:v>45768</c:v>
                </c:pt>
                <c:pt idx="323" c:formatCode="yyyy/m/d">
                  <c:v>45775</c:v>
                </c:pt>
                <c:pt idx="324" c:formatCode="yyyy/m/d">
                  <c:v>45782</c:v>
                </c:pt>
                <c:pt idx="325" c:formatCode="yyyy/m/d">
                  <c:v>45789</c:v>
                </c:pt>
                <c:pt idx="326" c:formatCode="yyyy/m/d">
                  <c:v>45796</c:v>
                </c:pt>
                <c:pt idx="327" c:formatCode="yyyy/m/d">
                  <c:v>45803</c:v>
                </c:pt>
                <c:pt idx="328" c:formatCode="yyyy/m/d">
                  <c:v>45810</c:v>
                </c:pt>
                <c:pt idx="329" c:formatCode="yyyy/m/d">
                  <c:v>45817</c:v>
                </c:pt>
                <c:pt idx="330" c:formatCode="yyyy/m/d">
                  <c:v>45824</c:v>
                </c:pt>
                <c:pt idx="331" c:formatCode="yyyy/m/d">
                  <c:v>45831</c:v>
                </c:pt>
                <c:pt idx="332" c:formatCode="yyyy/m/d">
                  <c:v>45838</c:v>
                </c:pt>
                <c:pt idx="333" c:formatCode="yyyy/m/d">
                  <c:v>45845</c:v>
                </c:pt>
                <c:pt idx="334" c:formatCode="yyyy/m/d">
                  <c:v>45852</c:v>
                </c:pt>
                <c:pt idx="335" c:formatCode="yyyy/m/d">
                  <c:v>45859</c:v>
                </c:pt>
                <c:pt idx="336" c:formatCode="yyyy/m/d">
                  <c:v>45866</c:v>
                </c:pt>
                <c:pt idx="337" c:formatCode="yyyy/m/d">
                  <c:v>45873</c:v>
                </c:pt>
                <c:pt idx="338" c:formatCode="yyyy/m/d">
                  <c:v>45880</c:v>
                </c:pt>
                <c:pt idx="339" c:formatCode="yyyy/m/d">
                  <c:v>45887</c:v>
                </c:pt>
                <c:pt idx="340" c:formatCode="yyyy/m/d">
                  <c:v>45894</c:v>
                </c:pt>
                <c:pt idx="341" c:formatCode="yyyy/m/d">
                  <c:v>45901</c:v>
                </c:pt>
                <c:pt idx="342" c:formatCode="yyyy/m/d">
                  <c:v>45908</c:v>
                </c:pt>
                <c:pt idx="343" c:formatCode="yyyy/m/d">
                  <c:v>45915</c:v>
                </c:pt>
                <c:pt idx="344" c:formatCode="yyyy/m/d">
                  <c:v>45922</c:v>
                </c:pt>
                <c:pt idx="345" c:formatCode="yyyy/m/d">
                  <c:v>45929</c:v>
                </c:pt>
                <c:pt idx="346" c:formatCode="yyyy/m/d">
                  <c:v>45936</c:v>
                </c:pt>
                <c:pt idx="347" c:formatCode="yyyy/m/d">
                  <c:v>45943</c:v>
                </c:pt>
                <c:pt idx="348" c:formatCode="yyyy/m/d">
                  <c:v>45950</c:v>
                </c:pt>
                <c:pt idx="349" c:formatCode="yyyy/m/d">
                  <c:v>45957</c:v>
                </c:pt>
                <c:pt idx="350" c:formatCode="yyyy/m/d">
                  <c:v>45964</c:v>
                </c:pt>
                <c:pt idx="351" c:formatCode="yyyy/m/d">
                  <c:v>45971</c:v>
                </c:pt>
                <c:pt idx="352" c:formatCode="yyyy/m/d">
                  <c:v>45978</c:v>
                </c:pt>
                <c:pt idx="353" c:formatCode="yyyy/m/d">
                  <c:v>45985</c:v>
                </c:pt>
                <c:pt idx="354" c:formatCode="yyyy/m/d">
                  <c:v>45992</c:v>
                </c:pt>
                <c:pt idx="355" c:formatCode="yyyy/m/d">
                  <c:v>45999</c:v>
                </c:pt>
                <c:pt idx="356" c:formatCode="yyyy/m/d">
                  <c:v>46006</c:v>
                </c:pt>
                <c:pt idx="357" c:formatCode="yyyy/m/d">
                  <c:v>46013</c:v>
                </c:pt>
                <c:pt idx="358" c:formatCode="yyyy/m/d">
                  <c:v>46020</c:v>
                </c:pt>
                <c:pt idx="359" c:formatCode="yyyy/m/d">
                  <c:v>46027</c:v>
                </c:pt>
                <c:pt idx="360" c:formatCode="yyyy/m/d">
                  <c:v>46034</c:v>
                </c:pt>
                <c:pt idx="361" c:formatCode="yyyy/m/d">
                  <c:v>46041</c:v>
                </c:pt>
              </c:numCache>
            </c:numRef>
          </c:cat>
          <c:val>
            <c:numRef>
              <c:f>NAND!$BE$27:$BE$388</c:f>
              <c:numCache>
                <c:formatCode>_(* #,##0.00_);_(* \(#,##0.00\);_(* "-"??_);_(@_)</c:formatCode>
                <c:ptCount val="362"/>
                <c:pt idx="0">
                  <c:v>5.39</c:v>
                </c:pt>
                <c:pt idx="1">
                  <c:v>5.39</c:v>
                </c:pt>
                <c:pt idx="2">
                  <c:v>4.86</c:v>
                </c:pt>
                <c:pt idx="3">
                  <c:v>4.86</c:v>
                </c:pt>
                <c:pt idx="4">
                  <c:v>4.86</c:v>
                </c:pt>
                <c:pt idx="5">
                  <c:v>4.37</c:v>
                </c:pt>
                <c:pt idx="6">
                  <c:v>4.37</c:v>
                </c:pt>
                <c:pt idx="7">
                  <c:v>4.37</c:v>
                </c:pt>
                <c:pt idx="8">
                  <c:v>4.37</c:v>
                </c:pt>
                <c:pt idx="9">
                  <c:v>4.04</c:v>
                </c:pt>
                <c:pt idx="10">
                  <c:v>4.04</c:v>
                </c:pt>
                <c:pt idx="11">
                  <c:v>4.04</c:v>
                </c:pt>
                <c:pt idx="12">
                  <c:v>4.04</c:v>
                </c:pt>
                <c:pt idx="13">
                  <c:v>4.04</c:v>
                </c:pt>
                <c:pt idx="14">
                  <c:v>3.88</c:v>
                </c:pt>
                <c:pt idx="15">
                  <c:v>3.88</c:v>
                </c:pt>
                <c:pt idx="16">
                  <c:v>3.88</c:v>
                </c:pt>
                <c:pt idx="17">
                  <c:v>3.88</c:v>
                </c:pt>
                <c:pt idx="18">
                  <c:v>3.82</c:v>
                </c:pt>
                <c:pt idx="19">
                  <c:v>3.82</c:v>
                </c:pt>
                <c:pt idx="20">
                  <c:v>3.82</c:v>
                </c:pt>
                <c:pt idx="21">
                  <c:v>3.82</c:v>
                </c:pt>
                <c:pt idx="22">
                  <c:v>4.48</c:v>
                </c:pt>
                <c:pt idx="23">
                  <c:v>4.48</c:v>
                </c:pt>
                <c:pt idx="24">
                  <c:v>4.48</c:v>
                </c:pt>
                <c:pt idx="25">
                  <c:v>4.48</c:v>
                </c:pt>
                <c:pt idx="26">
                  <c:v>4.48</c:v>
                </c:pt>
                <c:pt idx="27">
                  <c:v>4.5</c:v>
                </c:pt>
                <c:pt idx="28">
                  <c:v>4.5</c:v>
                </c:pt>
                <c:pt idx="29">
                  <c:v>4.5</c:v>
                </c:pt>
                <c:pt idx="30">
                  <c:v>4.5</c:v>
                </c:pt>
                <c:pt idx="31">
                  <c:v>4.5</c:v>
                </c:pt>
                <c:pt idx="32">
                  <c:v>4.5</c:v>
                </c:pt>
                <c:pt idx="33">
                  <c:v>4.5</c:v>
                </c:pt>
                <c:pt idx="34">
                  <c:v>4.5</c:v>
                </c:pt>
                <c:pt idx="35">
                  <c:v>4.5</c:v>
                </c:pt>
                <c:pt idx="36">
                  <c:v>4.41</c:v>
                </c:pt>
                <c:pt idx="37">
                  <c:v>4.41</c:v>
                </c:pt>
                <c:pt idx="38">
                  <c:v>4.41</c:v>
                </c:pt>
                <c:pt idx="39">
                  <c:v>4.41</c:v>
                </c:pt>
                <c:pt idx="40">
                  <c:v>4.5</c:v>
                </c:pt>
                <c:pt idx="41">
                  <c:v>4.5</c:v>
                </c:pt>
                <c:pt idx="42">
                  <c:v>4.5</c:v>
                </c:pt>
                <c:pt idx="43">
                  <c:v>4.5</c:v>
                </c:pt>
                <c:pt idx="44">
                  <c:v>4.71</c:v>
                </c:pt>
                <c:pt idx="45">
                  <c:v>4.71</c:v>
                </c:pt>
                <c:pt idx="46">
                  <c:v>4.71</c:v>
                </c:pt>
                <c:pt idx="47">
                  <c:v>4.71</c:v>
                </c:pt>
                <c:pt idx="48">
                  <c:v>4.71</c:v>
                </c:pt>
                <c:pt idx="49">
                  <c:v>5.27</c:v>
                </c:pt>
                <c:pt idx="50">
                  <c:v>5.27</c:v>
                </c:pt>
                <c:pt idx="51">
                  <c:v>5.27</c:v>
                </c:pt>
                <c:pt idx="52">
                  <c:v>5.43</c:v>
                </c:pt>
                <c:pt idx="53">
                  <c:v>5.43</c:v>
                </c:pt>
                <c:pt idx="54">
                  <c:v>5.43</c:v>
                </c:pt>
                <c:pt idx="55">
                  <c:v>5.43</c:v>
                </c:pt>
                <c:pt idx="56">
                  <c:v>5.53</c:v>
                </c:pt>
                <c:pt idx="57">
                  <c:v>5.53</c:v>
                </c:pt>
                <c:pt idx="58">
                  <c:v>5.53</c:v>
                </c:pt>
                <c:pt idx="59">
                  <c:v>5.53</c:v>
                </c:pt>
                <c:pt idx="60">
                  <c:v>5.53</c:v>
                </c:pt>
                <c:pt idx="61">
                  <c:v>5.53</c:v>
                </c:pt>
                <c:pt idx="62">
                  <c:v>5.53</c:v>
                </c:pt>
                <c:pt idx="63">
                  <c:v>5.53</c:v>
                </c:pt>
                <c:pt idx="64">
                  <c:v>5.53</c:v>
                </c:pt>
                <c:pt idx="65">
                  <c:v>5.49</c:v>
                </c:pt>
                <c:pt idx="66">
                  <c:v>5.49</c:v>
                </c:pt>
                <c:pt idx="67">
                  <c:v>5.49</c:v>
                </c:pt>
                <c:pt idx="68">
                  <c:v>5.49</c:v>
                </c:pt>
                <c:pt idx="69">
                  <c:v>5.36</c:v>
                </c:pt>
                <c:pt idx="70">
                  <c:v>5.36</c:v>
                </c:pt>
                <c:pt idx="71">
                  <c:v>5.36</c:v>
                </c:pt>
                <c:pt idx="72">
                  <c:v>5.36</c:v>
                </c:pt>
                <c:pt idx="73">
                  <c:v>5.36</c:v>
                </c:pt>
                <c:pt idx="74">
                  <c:v>5.32</c:v>
                </c:pt>
                <c:pt idx="75">
                  <c:v>5.32</c:v>
                </c:pt>
                <c:pt idx="76">
                  <c:v>5.32</c:v>
                </c:pt>
                <c:pt idx="77">
                  <c:v>5.32</c:v>
                </c:pt>
                <c:pt idx="78">
                  <c:v>4.96</c:v>
                </c:pt>
                <c:pt idx="79">
                  <c:v>4.96</c:v>
                </c:pt>
                <c:pt idx="80">
                  <c:v>4.96</c:v>
                </c:pt>
                <c:pt idx="81">
                  <c:v>4.96</c:v>
                </c:pt>
                <c:pt idx="82">
                  <c:v>4.96</c:v>
                </c:pt>
                <c:pt idx="83">
                  <c:v>4.96</c:v>
                </c:pt>
                <c:pt idx="84">
                  <c:v>4.96</c:v>
                </c:pt>
                <c:pt idx="85">
                  <c:v>4.96</c:v>
                </c:pt>
                <c:pt idx="86">
                  <c:v>4.96</c:v>
                </c:pt>
                <c:pt idx="87">
                  <c:v>4.7</c:v>
                </c:pt>
                <c:pt idx="88">
                  <c:v>4.7</c:v>
                </c:pt>
                <c:pt idx="89">
                  <c:v>4.7</c:v>
                </c:pt>
                <c:pt idx="90">
                  <c:v>4.7</c:v>
                </c:pt>
                <c:pt idx="91">
                  <c:v>4.4</c:v>
                </c:pt>
                <c:pt idx="92">
                  <c:v>4.4</c:v>
                </c:pt>
                <c:pt idx="93">
                  <c:v>4.4</c:v>
                </c:pt>
                <c:pt idx="94">
                  <c:v>4.4</c:v>
                </c:pt>
                <c:pt idx="95">
                  <c:v>4.4</c:v>
                </c:pt>
                <c:pt idx="96">
                  <c:v>4.39</c:v>
                </c:pt>
                <c:pt idx="97">
                  <c:v>4.39</c:v>
                </c:pt>
                <c:pt idx="98">
                  <c:v>4.39</c:v>
                </c:pt>
                <c:pt idx="99">
                  <c:v>4.39</c:v>
                </c:pt>
                <c:pt idx="100">
                  <c:v>4.37</c:v>
                </c:pt>
                <c:pt idx="101">
                  <c:v>4.37</c:v>
                </c:pt>
                <c:pt idx="102">
                  <c:v>4.37</c:v>
                </c:pt>
                <c:pt idx="103">
                  <c:v>4.37</c:v>
                </c:pt>
                <c:pt idx="104">
                  <c:v>4.54</c:v>
                </c:pt>
                <c:pt idx="105">
                  <c:v>4.54</c:v>
                </c:pt>
                <c:pt idx="106">
                  <c:v>4.54</c:v>
                </c:pt>
                <c:pt idx="107">
                  <c:v>4.54</c:v>
                </c:pt>
                <c:pt idx="108">
                  <c:v>4.59</c:v>
                </c:pt>
                <c:pt idx="109">
                  <c:v>4.59</c:v>
                </c:pt>
                <c:pt idx="110">
                  <c:v>4.59</c:v>
                </c:pt>
                <c:pt idx="111">
                  <c:v>4.59</c:v>
                </c:pt>
                <c:pt idx="112">
                  <c:v>4.59</c:v>
                </c:pt>
                <c:pt idx="113">
                  <c:v>4.65</c:v>
                </c:pt>
                <c:pt idx="114">
                  <c:v>4.65</c:v>
                </c:pt>
                <c:pt idx="115">
                  <c:v>4.65</c:v>
                </c:pt>
                <c:pt idx="116">
                  <c:v>4.65</c:v>
                </c:pt>
                <c:pt idx="117">
                  <c:v>4.8</c:v>
                </c:pt>
                <c:pt idx="118">
                  <c:v>4.8</c:v>
                </c:pt>
                <c:pt idx="119">
                  <c:v>4.8</c:v>
                </c:pt>
                <c:pt idx="120">
                  <c:v>4.8</c:v>
                </c:pt>
                <c:pt idx="121">
                  <c:v>4.8</c:v>
                </c:pt>
                <c:pt idx="122">
                  <c:v>5.01</c:v>
                </c:pt>
                <c:pt idx="123">
                  <c:v>5.01</c:v>
                </c:pt>
                <c:pt idx="124">
                  <c:v>5.01</c:v>
                </c:pt>
                <c:pt idx="125">
                  <c:v>5.01</c:v>
                </c:pt>
                <c:pt idx="126">
                  <c:v>5.05</c:v>
                </c:pt>
                <c:pt idx="127">
                  <c:v>5.05</c:v>
                </c:pt>
                <c:pt idx="128">
                  <c:v>5.05</c:v>
                </c:pt>
                <c:pt idx="129">
                  <c:v>5.05</c:v>
                </c:pt>
                <c:pt idx="130">
                  <c:v>5.01</c:v>
                </c:pt>
                <c:pt idx="131">
                  <c:v>5.01</c:v>
                </c:pt>
                <c:pt idx="132">
                  <c:v>5.01</c:v>
                </c:pt>
                <c:pt idx="133">
                  <c:v>5.01</c:v>
                </c:pt>
                <c:pt idx="134">
                  <c:v>5.01</c:v>
                </c:pt>
                <c:pt idx="135">
                  <c:v>4.69</c:v>
                </c:pt>
                <c:pt idx="136">
                  <c:v>4.69</c:v>
                </c:pt>
                <c:pt idx="137">
                  <c:v>4.69</c:v>
                </c:pt>
                <c:pt idx="138">
                  <c:v>4.69</c:v>
                </c:pt>
                <c:pt idx="139">
                  <c:v>4.39</c:v>
                </c:pt>
                <c:pt idx="140">
                  <c:v>4.39</c:v>
                </c:pt>
                <c:pt idx="141">
                  <c:v>4.39</c:v>
                </c:pt>
                <c:pt idx="142">
                  <c:v>4.39</c:v>
                </c:pt>
                <c:pt idx="143">
                  <c:v>4.27</c:v>
                </c:pt>
                <c:pt idx="144">
                  <c:v>4.27</c:v>
                </c:pt>
                <c:pt idx="145">
                  <c:v>4.27</c:v>
                </c:pt>
                <c:pt idx="146">
                  <c:v>4.27</c:v>
                </c:pt>
                <c:pt idx="147">
                  <c:v>4.27</c:v>
                </c:pt>
                <c:pt idx="148">
                  <c:v>4.11</c:v>
                </c:pt>
                <c:pt idx="149">
                  <c:v>4.11</c:v>
                </c:pt>
                <c:pt idx="150">
                  <c:v>4.11</c:v>
                </c:pt>
                <c:pt idx="151">
                  <c:v>4.11</c:v>
                </c:pt>
                <c:pt idx="152">
                  <c:v>4.11</c:v>
                </c:pt>
                <c:pt idx="153">
                  <c:v>4.11</c:v>
                </c:pt>
                <c:pt idx="154">
                  <c:v>4.11</c:v>
                </c:pt>
                <c:pt idx="155">
                  <c:v>4.11</c:v>
                </c:pt>
                <c:pt idx="156">
                  <c:v>4.5</c:v>
                </c:pt>
                <c:pt idx="157">
                  <c:v>4.5</c:v>
                </c:pt>
                <c:pt idx="158">
                  <c:v>4.5</c:v>
                </c:pt>
                <c:pt idx="159">
                  <c:v>4.5</c:v>
                </c:pt>
                <c:pt idx="160">
                  <c:v>4.76</c:v>
                </c:pt>
                <c:pt idx="161">
                  <c:v>4.76</c:v>
                </c:pt>
                <c:pt idx="162">
                  <c:v>4.76</c:v>
                </c:pt>
                <c:pt idx="163">
                  <c:v>4.76</c:v>
                </c:pt>
                <c:pt idx="164">
                  <c:v>4.76</c:v>
                </c:pt>
                <c:pt idx="165">
                  <c:v>4.76</c:v>
                </c:pt>
                <c:pt idx="166">
                  <c:v>4.76</c:v>
                </c:pt>
                <c:pt idx="167">
                  <c:v>4.76</c:v>
                </c:pt>
                <c:pt idx="168">
                  <c:v>4.6</c:v>
                </c:pt>
                <c:pt idx="169">
                  <c:v>4.6</c:v>
                </c:pt>
                <c:pt idx="170">
                  <c:v>4.6</c:v>
                </c:pt>
                <c:pt idx="171">
                  <c:v>4.6</c:v>
                </c:pt>
                <c:pt idx="172">
                  <c:v>4.6</c:v>
                </c:pt>
                <c:pt idx="173">
                  <c:v>4.08</c:v>
                </c:pt>
                <c:pt idx="174">
                  <c:v>4.08</c:v>
                </c:pt>
                <c:pt idx="175">
                  <c:v>4.08</c:v>
                </c:pt>
                <c:pt idx="176">
                  <c:v>4.08</c:v>
                </c:pt>
                <c:pt idx="177">
                  <c:v>3.69</c:v>
                </c:pt>
                <c:pt idx="178">
                  <c:v>3.69</c:v>
                </c:pt>
                <c:pt idx="179">
                  <c:v>3.69</c:v>
                </c:pt>
                <c:pt idx="180">
                  <c:v>3.69</c:v>
                </c:pt>
                <c:pt idx="181">
                  <c:v>3.05</c:v>
                </c:pt>
                <c:pt idx="182">
                  <c:v>3.05</c:v>
                </c:pt>
                <c:pt idx="183">
                  <c:v>3.05</c:v>
                </c:pt>
                <c:pt idx="184">
                  <c:v>3.05</c:v>
                </c:pt>
                <c:pt idx="185">
                  <c:v>3.05</c:v>
                </c:pt>
                <c:pt idx="186">
                  <c:v>2.68</c:v>
                </c:pt>
                <c:pt idx="187">
                  <c:v>2.68</c:v>
                </c:pt>
                <c:pt idx="188">
                  <c:v>2.68</c:v>
                </c:pt>
                <c:pt idx="189">
                  <c:v>2.68</c:v>
                </c:pt>
                <c:pt idx="190">
                  <c:v>2.43</c:v>
                </c:pt>
                <c:pt idx="191">
                  <c:v>2.43</c:v>
                </c:pt>
                <c:pt idx="192">
                  <c:v>2.43</c:v>
                </c:pt>
                <c:pt idx="193">
                  <c:v>2.43</c:v>
                </c:pt>
                <c:pt idx="194">
                  <c:v>2.43</c:v>
                </c:pt>
                <c:pt idx="195">
                  <c:v>2.24</c:v>
                </c:pt>
                <c:pt idx="196">
                  <c:v>2.24</c:v>
                </c:pt>
                <c:pt idx="197">
                  <c:v>2.24</c:v>
                </c:pt>
                <c:pt idx="198">
                  <c:v>2.24</c:v>
                </c:pt>
                <c:pt idx="199">
                  <c:v>2.14</c:v>
                </c:pt>
                <c:pt idx="200">
                  <c:v>2.14</c:v>
                </c:pt>
                <c:pt idx="201">
                  <c:v>2.14</c:v>
                </c:pt>
                <c:pt idx="202">
                  <c:v>2.14</c:v>
                </c:pt>
                <c:pt idx="203">
                  <c:v>2.11</c:v>
                </c:pt>
                <c:pt idx="204">
                  <c:v>2.11</c:v>
                </c:pt>
                <c:pt idx="205">
                  <c:v>2.11</c:v>
                </c:pt>
                <c:pt idx="206">
                  <c:v>2.11</c:v>
                </c:pt>
                <c:pt idx="207">
                  <c:v>2.11</c:v>
                </c:pt>
                <c:pt idx="208">
                  <c:v>2.11</c:v>
                </c:pt>
                <c:pt idx="209">
                  <c:v>2.11</c:v>
                </c:pt>
                <c:pt idx="210">
                  <c:v>2.11</c:v>
                </c:pt>
                <c:pt idx="211">
                  <c:v>1.85</c:v>
                </c:pt>
                <c:pt idx="212">
                  <c:v>1.85</c:v>
                </c:pt>
                <c:pt idx="213">
                  <c:v>1.85</c:v>
                </c:pt>
                <c:pt idx="214">
                  <c:v>1.85</c:v>
                </c:pt>
                <c:pt idx="215">
                  <c:v>1.74</c:v>
                </c:pt>
                <c:pt idx="216">
                  <c:v>1.74</c:v>
                </c:pt>
                <c:pt idx="217">
                  <c:v>1.74</c:v>
                </c:pt>
                <c:pt idx="218">
                  <c:v>1.74</c:v>
                </c:pt>
                <c:pt idx="219">
                  <c:v>1.74</c:v>
                </c:pt>
                <c:pt idx="220">
                  <c:v>1.74</c:v>
                </c:pt>
                <c:pt idx="221">
                  <c:v>1.74</c:v>
                </c:pt>
                <c:pt idx="222">
                  <c:v>1.74</c:v>
                </c:pt>
                <c:pt idx="223">
                  <c:v>1.74</c:v>
                </c:pt>
                <c:pt idx="224">
                  <c:v>1.74</c:v>
                </c:pt>
                <c:pt idx="225">
                  <c:v>1.74</c:v>
                </c:pt>
                <c:pt idx="226">
                  <c:v>1.74</c:v>
                </c:pt>
                <c:pt idx="227">
                  <c:v>1.74</c:v>
                </c:pt>
                <c:pt idx="228">
                  <c:v>1.74</c:v>
                </c:pt>
                <c:pt idx="229">
                  <c:v>1.74</c:v>
                </c:pt>
                <c:pt idx="230">
                  <c:v>1.74</c:v>
                </c:pt>
                <c:pt idx="231">
                  <c:v>1.74</c:v>
                </c:pt>
                <c:pt idx="232">
                  <c:v>1.74</c:v>
                </c:pt>
                <c:pt idx="233">
                  <c:v>1.79</c:v>
                </c:pt>
                <c:pt idx="234">
                  <c:v>1.79</c:v>
                </c:pt>
                <c:pt idx="235">
                  <c:v>1.79</c:v>
                </c:pt>
                <c:pt idx="236">
                  <c:v>1.79</c:v>
                </c:pt>
                <c:pt idx="237">
                  <c:v>1.83</c:v>
                </c:pt>
                <c:pt idx="238">
                  <c:v>1.83</c:v>
                </c:pt>
                <c:pt idx="239">
                  <c:v>1.83</c:v>
                </c:pt>
                <c:pt idx="240">
                  <c:v>1.83</c:v>
                </c:pt>
                <c:pt idx="241">
                  <c:v>2.11</c:v>
                </c:pt>
                <c:pt idx="242">
                  <c:v>2.11</c:v>
                </c:pt>
                <c:pt idx="243">
                  <c:v>2.11</c:v>
                </c:pt>
                <c:pt idx="244">
                  <c:v>2.11</c:v>
                </c:pt>
                <c:pt idx="245">
                  <c:v>2.11</c:v>
                </c:pt>
                <c:pt idx="246">
                  <c:v>2.71</c:v>
                </c:pt>
                <c:pt idx="247">
                  <c:v>2.71</c:v>
                </c:pt>
                <c:pt idx="248">
                  <c:v>2.71</c:v>
                </c:pt>
                <c:pt idx="249">
                  <c:v>2.71</c:v>
                </c:pt>
                <c:pt idx="250">
                  <c:v>3.12</c:v>
                </c:pt>
                <c:pt idx="251">
                  <c:v>3.12</c:v>
                </c:pt>
                <c:pt idx="252">
                  <c:v>3.12</c:v>
                </c:pt>
                <c:pt idx="253">
                  <c:v>3.12</c:v>
                </c:pt>
                <c:pt idx="254">
                  <c:v>3.33</c:v>
                </c:pt>
                <c:pt idx="255">
                  <c:v>3.33</c:v>
                </c:pt>
                <c:pt idx="256">
                  <c:v>3.33</c:v>
                </c:pt>
                <c:pt idx="257">
                  <c:v>3.33</c:v>
                </c:pt>
                <c:pt idx="258">
                  <c:v>3.33</c:v>
                </c:pt>
                <c:pt idx="259">
                  <c:v>3.49</c:v>
                </c:pt>
                <c:pt idx="260">
                  <c:v>3.49</c:v>
                </c:pt>
                <c:pt idx="261">
                  <c:v>3.49</c:v>
                </c:pt>
                <c:pt idx="262">
                  <c:v>3.49</c:v>
                </c:pt>
                <c:pt idx="263">
                  <c:v>4.12</c:v>
                </c:pt>
                <c:pt idx="264">
                  <c:v>4.12</c:v>
                </c:pt>
                <c:pt idx="265">
                  <c:v>4.12</c:v>
                </c:pt>
                <c:pt idx="266">
                  <c:v>4.12</c:v>
                </c:pt>
                <c:pt idx="267">
                  <c:v>4.12</c:v>
                </c:pt>
                <c:pt idx="268">
                  <c:v>4.12</c:v>
                </c:pt>
                <c:pt idx="269">
                  <c:v>4.12</c:v>
                </c:pt>
                <c:pt idx="270">
                  <c:v>4.12</c:v>
                </c:pt>
                <c:pt idx="271">
                  <c:v>4.12</c:v>
                </c:pt>
                <c:pt idx="272">
                  <c:v>4.12</c:v>
                </c:pt>
                <c:pt idx="273">
                  <c:v>4.12</c:v>
                </c:pt>
                <c:pt idx="274">
                  <c:v>4.12</c:v>
                </c:pt>
                <c:pt idx="275">
                  <c:v>4.12</c:v>
                </c:pt>
                <c:pt idx="276">
                  <c:v>4.22</c:v>
                </c:pt>
                <c:pt idx="277">
                  <c:v>4.22</c:v>
                </c:pt>
                <c:pt idx="278">
                  <c:v>4.22</c:v>
                </c:pt>
                <c:pt idx="279">
                  <c:v>4.22</c:v>
                </c:pt>
                <c:pt idx="280">
                  <c:v>4.22</c:v>
                </c:pt>
                <c:pt idx="281">
                  <c:v>4.22</c:v>
                </c:pt>
                <c:pt idx="282">
                  <c:v>4.22</c:v>
                </c:pt>
                <c:pt idx="283">
                  <c:v>4.22</c:v>
                </c:pt>
                <c:pt idx="284">
                  <c:v>4.22</c:v>
                </c:pt>
                <c:pt idx="285">
                  <c:v>4.15</c:v>
                </c:pt>
                <c:pt idx="286">
                  <c:v>4.15</c:v>
                </c:pt>
                <c:pt idx="287">
                  <c:v>4.15</c:v>
                </c:pt>
                <c:pt idx="288">
                  <c:v>4.15</c:v>
                </c:pt>
                <c:pt idx="289">
                  <c:v>3.92</c:v>
                </c:pt>
                <c:pt idx="290">
                  <c:v>3.92</c:v>
                </c:pt>
                <c:pt idx="291">
                  <c:v>3.92</c:v>
                </c:pt>
                <c:pt idx="292">
                  <c:v>3.92</c:v>
                </c:pt>
                <c:pt idx="293">
                  <c:v>3.92</c:v>
                </c:pt>
                <c:pt idx="294">
                  <c:v>3.72</c:v>
                </c:pt>
                <c:pt idx="295">
                  <c:v>3.72</c:v>
                </c:pt>
                <c:pt idx="296">
                  <c:v>3.72</c:v>
                </c:pt>
                <c:pt idx="297">
                  <c:v>3.72</c:v>
                </c:pt>
                <c:pt idx="298">
                  <c:v>3.09</c:v>
                </c:pt>
                <c:pt idx="299">
                  <c:v>3.09</c:v>
                </c:pt>
                <c:pt idx="300">
                  <c:v>3.09</c:v>
                </c:pt>
                <c:pt idx="301">
                  <c:v>3.09</c:v>
                </c:pt>
                <c:pt idx="302">
                  <c:v>2.6</c:v>
                </c:pt>
                <c:pt idx="303">
                  <c:v>2.6</c:v>
                </c:pt>
                <c:pt idx="304">
                  <c:v>2.6</c:v>
                </c:pt>
                <c:pt idx="305">
                  <c:v>2.6</c:v>
                </c:pt>
                <c:pt idx="306">
                  <c:v>2.6</c:v>
                </c:pt>
                <c:pt idx="307">
                  <c:v>2.52</c:v>
                </c:pt>
                <c:pt idx="308">
                  <c:v>2.52</c:v>
                </c:pt>
                <c:pt idx="309">
                  <c:v>2.52</c:v>
                </c:pt>
                <c:pt idx="310">
                  <c:v>2.52</c:v>
                </c:pt>
                <c:pt idx="311">
                  <c:v>2.47</c:v>
                </c:pt>
                <c:pt idx="312">
                  <c:v>2.47</c:v>
                </c:pt>
                <c:pt idx="313">
                  <c:v>2.47</c:v>
                </c:pt>
                <c:pt idx="314">
                  <c:v>2.47</c:v>
                </c:pt>
                <c:pt idx="315">
                  <c:v>2.72</c:v>
                </c:pt>
                <c:pt idx="316">
                  <c:v>2.72</c:v>
                </c:pt>
                <c:pt idx="317">
                  <c:v>2.72</c:v>
                </c:pt>
                <c:pt idx="318">
                  <c:v>2.72</c:v>
                </c:pt>
                <c:pt idx="319">
                  <c:v>2.72</c:v>
                </c:pt>
                <c:pt idx="320">
                  <c:v>2.99</c:v>
                </c:pt>
                <c:pt idx="321">
                  <c:v>2.99</c:v>
                </c:pt>
                <c:pt idx="322">
                  <c:v>2.99</c:v>
                </c:pt>
                <c:pt idx="323">
                  <c:v>2.99</c:v>
                </c:pt>
                <c:pt idx="324">
                  <c:v>3.07</c:v>
                </c:pt>
                <c:pt idx="325">
                  <c:v>3.07</c:v>
                </c:pt>
                <c:pt idx="326">
                  <c:v>3.07</c:v>
                </c:pt>
                <c:pt idx="327">
                  <c:v>3.07</c:v>
                </c:pt>
                <c:pt idx="328">
                  <c:v>3.13</c:v>
                </c:pt>
                <c:pt idx="329">
                  <c:v>3.13</c:v>
                </c:pt>
                <c:pt idx="330">
                  <c:v>3.13</c:v>
                </c:pt>
                <c:pt idx="331">
                  <c:v>3.13</c:v>
                </c:pt>
                <c:pt idx="332">
                  <c:v>3.13</c:v>
                </c:pt>
                <c:pt idx="333">
                  <c:v>3.26</c:v>
                </c:pt>
                <c:pt idx="334">
                  <c:v>3.26</c:v>
                </c:pt>
                <c:pt idx="335">
                  <c:v>3.26</c:v>
                </c:pt>
                <c:pt idx="336">
                  <c:v>3.26</c:v>
                </c:pt>
                <c:pt idx="337">
                  <c:v>3.37</c:v>
                </c:pt>
                <c:pt idx="338">
                  <c:v>3.37</c:v>
                </c:pt>
                <c:pt idx="339">
                  <c:v>3.37</c:v>
                </c:pt>
                <c:pt idx="340">
                  <c:v>3.37</c:v>
                </c:pt>
                <c:pt idx="341">
                  <c:v>3.48</c:v>
                </c:pt>
                <c:pt idx="342">
                  <c:v>3.48</c:v>
                </c:pt>
                <c:pt idx="343">
                  <c:v>3.48</c:v>
                </c:pt>
                <c:pt idx="344">
                  <c:v>3.48</c:v>
                </c:pt>
                <c:pt idx="345">
                  <c:v>3.48</c:v>
                </c:pt>
                <c:pt idx="346">
                  <c:v>5.12</c:v>
                </c:pt>
                <c:pt idx="347">
                  <c:v>5.12</c:v>
                </c:pt>
                <c:pt idx="348">
                  <c:v>5.12</c:v>
                </c:pt>
                <c:pt idx="349">
                  <c:v>5.12</c:v>
                </c:pt>
                <c:pt idx="350">
                  <c:v>8.48</c:v>
                </c:pt>
                <c:pt idx="351">
                  <c:v>8.48</c:v>
                </c:pt>
                <c:pt idx="352">
                  <c:v>8.48</c:v>
                </c:pt>
                <c:pt idx="353">
                  <c:v>8.48</c:v>
                </c:pt>
                <c:pt idx="354">
                  <c:v>12.16</c:v>
                </c:pt>
                <c:pt idx="355">
                  <c:v>12.16</c:v>
                </c:pt>
                <c:pt idx="356">
                  <c:v>12.16</c:v>
                </c:pt>
                <c:pt idx="357">
                  <c:v>12.16</c:v>
                </c:pt>
                <c:pt idx="358">
                  <c:v>12.16</c:v>
                </c:pt>
                <c:pt idx="359">
                  <c:v>16.14</c:v>
                </c:pt>
                <c:pt idx="360">
                  <c:v>16.14</c:v>
                </c:pt>
                <c:pt idx="361">
                  <c:v>16.14</c:v>
                </c:pt>
              </c:numCache>
            </c:numRef>
          </c:val>
          <c:smooth val="0"/>
        </c:ser>
        <c:dLbls>
          <c:showLegendKey val="0"/>
          <c:showVal val="0"/>
          <c:showCatName val="0"/>
          <c:showSerName val="0"/>
          <c:showPercent val="0"/>
          <c:showBubbleSize val="0"/>
        </c:dLbls>
        <c:marker val="0"/>
        <c:smooth val="0"/>
        <c:axId val="1725516239"/>
        <c:axId val="1527998815"/>
      </c:lineChart>
      <c:dateAx>
        <c:axId val="1725516239"/>
        <c:scaling>
          <c:orientation val="minMax"/>
          <c:min val="44562"/>
        </c:scaling>
        <c:delete val="0"/>
        <c:axPos val="b"/>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527998815"/>
        <c:crosses val="autoZero"/>
        <c:auto val="1"/>
        <c:lblOffset val="100"/>
        <c:baseTimeUnit val="days"/>
        <c:majorUnit val="1"/>
        <c:majorTimeUnit val="months"/>
      </c:dateAx>
      <c:valAx>
        <c:axId val="1527998815"/>
        <c:scaling>
          <c:orientation val="minMax"/>
          <c:max val="7"/>
          <c:min val="1"/>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_(* #,##0_);_(* \(#,##0\);_(* &quot;-&quot;_);_(@_)"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25516239"/>
        <c:crosses val="autoZero"/>
        <c:crossBetween val="between"/>
        <c:majorUnit val="1"/>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be4223b4-46c1-4ac6-a862-3e3bd274568f}"/>
      </c:ext>
    </c:extLst>
  </c:chart>
  <c:spPr>
    <a:ln w="3175" cap="flat" cmpd="sng" algn="ctr">
      <a:solidFill>
        <a:srgbClr val="FEFFFF"/>
      </a:solidFill>
      <a:prstDash val="solid"/>
      <a:round/>
    </a:ln>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000" b="1" i="0" u="none" strike="noStrike" kern="1200" baseline="0">
                <a:solidFill>
                  <a:schemeClr val="tx1"/>
                </a:solidFill>
                <a:latin typeface="Arial" panose="020B0604020202090204"/>
                <a:ea typeface="Arial" panose="020B0604020202090204"/>
                <a:cs typeface="Arial" panose="020B0604020202090204"/>
              </a:defRPr>
            </a:pPr>
            <a:r>
              <a:rPr lang="en-US"/>
              <a:t>NAND Wafer </a:t>
            </a:r>
            <a:r>
              <a:rPr lang="en-US" sz="1000" b="1" i="0" u="none" strike="noStrike" baseline="0">
                <a:effectLst/>
              </a:rPr>
              <a:t>(3D TLC/QLC </a:t>
            </a:r>
            <a:r>
              <a:rPr lang="en-US" altLang="zh-CN" sz="1000" b="1" i="0" u="none" strike="noStrike" baseline="0">
                <a:effectLst/>
              </a:rPr>
              <a:t>1Tb</a:t>
            </a:r>
            <a:r>
              <a:rPr lang="en-US" sz="1000" b="1" i="0" u="none" strike="noStrike" baseline="0">
                <a:effectLst/>
              </a:rPr>
              <a:t>) </a:t>
            </a:r>
            <a:r>
              <a:rPr lang="en-US"/>
              <a:t>Spot &amp; Contract Price</a:t>
            </a:r>
            <a:endParaRPr lang="en-US"/>
          </a:p>
        </c:rich>
      </c:tx>
      <c:layout/>
      <c:overlay val="0"/>
    </c:title>
    <c:autoTitleDeleted val="0"/>
    <c:plotArea>
      <c:layout>
        <c:manualLayout>
          <c:layoutTarget val="inner"/>
          <c:xMode val="edge"/>
          <c:yMode val="edge"/>
          <c:x val="0.0699827587966516"/>
          <c:y val="0.162089034102512"/>
          <c:w val="0.907021288293529"/>
          <c:h val="0.535075734738794"/>
        </c:manualLayout>
      </c:layout>
      <c:lineChart>
        <c:grouping val="standard"/>
        <c:varyColors val="0"/>
        <c:ser>
          <c:idx val="0"/>
          <c:order val="0"/>
          <c:tx>
            <c:strRef>
              <c:f>NAND!$BF$26</c:f>
              <c:strCache>
                <c:ptCount val="1"/>
                <c:pt idx="0">
                  <c:v>Spot</c:v>
                </c:pt>
              </c:strCache>
            </c:strRef>
          </c:tx>
          <c:marker>
            <c:symbol val="none"/>
          </c:marker>
          <c:dLbls>
            <c:delete val="1"/>
          </c:dLbls>
          <c:cat>
            <c:numRef>
              <c:f>NAND!$BA$127:$BA$373</c:f>
              <c:numCache>
                <c:formatCode>yyyy/m/d</c:formatCode>
                <c:ptCount val="247"/>
                <c:pt idx="0" c:formatCode="yyyy/m/d">
                  <c:v>44200</c:v>
                </c:pt>
                <c:pt idx="1" c:formatCode="yyyy/m/d">
                  <c:v>44207</c:v>
                </c:pt>
                <c:pt idx="2" c:formatCode="yyyy/m/d">
                  <c:v>44214</c:v>
                </c:pt>
                <c:pt idx="3" c:formatCode="yyyy/m/d">
                  <c:v>44221</c:v>
                </c:pt>
                <c:pt idx="4" c:formatCode="yyyy/m/d">
                  <c:v>44228</c:v>
                </c:pt>
                <c:pt idx="5" c:formatCode="yyyy/m/d">
                  <c:v>44235</c:v>
                </c:pt>
                <c:pt idx="6" c:formatCode="yyyy/m/d">
                  <c:v>44244</c:v>
                </c:pt>
                <c:pt idx="7" c:formatCode="yyyy/m/d">
                  <c:v>44249</c:v>
                </c:pt>
                <c:pt idx="8" c:formatCode="yyyy/m/d">
                  <c:v>44256</c:v>
                </c:pt>
                <c:pt idx="9" c:formatCode="yyyy/m/d">
                  <c:v>44263</c:v>
                </c:pt>
                <c:pt idx="10" c:formatCode="yyyy/m/d">
                  <c:v>44270</c:v>
                </c:pt>
                <c:pt idx="11" c:formatCode="yyyy/m/d">
                  <c:v>44277</c:v>
                </c:pt>
                <c:pt idx="12" c:formatCode="yyyy/m/d">
                  <c:v>44284</c:v>
                </c:pt>
                <c:pt idx="13" c:formatCode="yyyy/m/d">
                  <c:v>44292</c:v>
                </c:pt>
                <c:pt idx="14" c:formatCode="yyyy/m/d">
                  <c:v>44298</c:v>
                </c:pt>
                <c:pt idx="15" c:formatCode="yyyy/m/d">
                  <c:v>44305</c:v>
                </c:pt>
                <c:pt idx="16" c:formatCode="yyyy/m/d">
                  <c:v>44312</c:v>
                </c:pt>
                <c:pt idx="17" c:formatCode="yyyy/m/d">
                  <c:v>44319</c:v>
                </c:pt>
                <c:pt idx="18" c:formatCode="yyyy/m/d">
                  <c:v>44326</c:v>
                </c:pt>
                <c:pt idx="19" c:formatCode="yyyy/m/d">
                  <c:v>44333</c:v>
                </c:pt>
                <c:pt idx="20" c:formatCode="yyyy/m/d">
                  <c:v>44340</c:v>
                </c:pt>
                <c:pt idx="21" c:formatCode="yyyy/m/d">
                  <c:v>44347</c:v>
                </c:pt>
                <c:pt idx="22" c:formatCode="yyyy/m/d">
                  <c:v>44354</c:v>
                </c:pt>
                <c:pt idx="23" c:formatCode="yyyy/m/d">
                  <c:v>44362</c:v>
                </c:pt>
                <c:pt idx="24" c:formatCode="yyyy/m/d">
                  <c:v>44368</c:v>
                </c:pt>
                <c:pt idx="25" c:formatCode="yyyy/m/d">
                  <c:v>44375</c:v>
                </c:pt>
                <c:pt idx="26" c:formatCode="yyyy/m/d">
                  <c:v>44382</c:v>
                </c:pt>
                <c:pt idx="27" c:formatCode="yyyy/m/d">
                  <c:v>44389</c:v>
                </c:pt>
                <c:pt idx="28" c:formatCode="yyyy/m/d">
                  <c:v>44396</c:v>
                </c:pt>
                <c:pt idx="29" c:formatCode="yyyy/m/d">
                  <c:v>44403</c:v>
                </c:pt>
                <c:pt idx="30" c:formatCode="yyyy/m/d">
                  <c:v>44410</c:v>
                </c:pt>
                <c:pt idx="31" c:formatCode="yyyy/m/d">
                  <c:v>44417</c:v>
                </c:pt>
                <c:pt idx="32" c:formatCode="yyyy/m/d">
                  <c:v>44424</c:v>
                </c:pt>
                <c:pt idx="33" c:formatCode="yyyy/m/d">
                  <c:v>44431</c:v>
                </c:pt>
                <c:pt idx="34" c:formatCode="yyyy/m/d">
                  <c:v>44438</c:v>
                </c:pt>
                <c:pt idx="35" c:formatCode="yyyy/m/d">
                  <c:v>44445</c:v>
                </c:pt>
                <c:pt idx="36" c:formatCode="yyyy/m/d">
                  <c:v>44452</c:v>
                </c:pt>
                <c:pt idx="37" c:formatCode="yyyy/m/d">
                  <c:v>44461</c:v>
                </c:pt>
                <c:pt idx="38" c:formatCode="yyyy/m/d">
                  <c:v>44466</c:v>
                </c:pt>
                <c:pt idx="39" c:formatCode="yyyy/m/d">
                  <c:v>44473</c:v>
                </c:pt>
                <c:pt idx="40" c:formatCode="yyyy/m/d">
                  <c:v>44480</c:v>
                </c:pt>
                <c:pt idx="41" c:formatCode="yyyy/m/d">
                  <c:v>44487</c:v>
                </c:pt>
                <c:pt idx="42" c:formatCode="yyyy/m/d">
                  <c:v>44494</c:v>
                </c:pt>
                <c:pt idx="43" c:formatCode="yyyy/m/d">
                  <c:v>44501</c:v>
                </c:pt>
                <c:pt idx="44" c:formatCode="yyyy/m/d">
                  <c:v>44508</c:v>
                </c:pt>
                <c:pt idx="45" c:formatCode="yyyy/m/d">
                  <c:v>44515</c:v>
                </c:pt>
                <c:pt idx="46" c:formatCode="yyyy/m/d">
                  <c:v>44522</c:v>
                </c:pt>
                <c:pt idx="47" c:formatCode="yyyy/m/d">
                  <c:v>44529</c:v>
                </c:pt>
                <c:pt idx="48" c:formatCode="yyyy/m/d">
                  <c:v>44536</c:v>
                </c:pt>
                <c:pt idx="49" c:formatCode="yyyy/m/d">
                  <c:v>44543</c:v>
                </c:pt>
                <c:pt idx="50" c:formatCode="yyyy/m/d">
                  <c:v>44550</c:v>
                </c:pt>
                <c:pt idx="51" c:formatCode="yyyy/m/d">
                  <c:v>44557</c:v>
                </c:pt>
                <c:pt idx="52" c:formatCode="yyyy/m/d">
                  <c:v>44564</c:v>
                </c:pt>
                <c:pt idx="53" c:formatCode="yyyy/m/d">
                  <c:v>44571</c:v>
                </c:pt>
                <c:pt idx="54" c:formatCode="yyyy/m/d">
                  <c:v>44578</c:v>
                </c:pt>
                <c:pt idx="55" c:formatCode="yyyy/m/d">
                  <c:v>44585</c:v>
                </c:pt>
                <c:pt idx="56" c:formatCode="yyyy/m/d">
                  <c:v>44599</c:v>
                </c:pt>
                <c:pt idx="57" c:formatCode="yyyy/m/d">
                  <c:v>44606</c:v>
                </c:pt>
                <c:pt idx="58" c:formatCode="yyyy/m/d">
                  <c:v>44613</c:v>
                </c:pt>
                <c:pt idx="59" c:formatCode="yyyy/m/d">
                  <c:v>44620</c:v>
                </c:pt>
                <c:pt idx="60" c:formatCode="yyyy/m/d">
                  <c:v>44627</c:v>
                </c:pt>
                <c:pt idx="61" c:formatCode="yyyy/m/d">
                  <c:v>44634</c:v>
                </c:pt>
                <c:pt idx="62" c:formatCode="yyyy/m/d">
                  <c:v>44641</c:v>
                </c:pt>
                <c:pt idx="63" c:formatCode="yyyy/m/d">
                  <c:v>44648</c:v>
                </c:pt>
                <c:pt idx="64" c:formatCode="yyyy/m/d">
                  <c:v>44657</c:v>
                </c:pt>
                <c:pt idx="65" c:formatCode="yyyy/m/d">
                  <c:v>44662</c:v>
                </c:pt>
                <c:pt idx="66" c:formatCode="yyyy/m/d">
                  <c:v>44669</c:v>
                </c:pt>
                <c:pt idx="67" c:formatCode="yyyy/m/d">
                  <c:v>44676</c:v>
                </c:pt>
                <c:pt idx="68" c:formatCode="yyyy/m/d">
                  <c:v>44684</c:v>
                </c:pt>
                <c:pt idx="69" c:formatCode="yyyy/m/d">
                  <c:v>44690</c:v>
                </c:pt>
                <c:pt idx="70" c:formatCode="yyyy/m/d">
                  <c:v>44697</c:v>
                </c:pt>
                <c:pt idx="71" c:formatCode="yyyy/m/d">
                  <c:v>44704</c:v>
                </c:pt>
                <c:pt idx="72" c:formatCode="yyyy/m/d">
                  <c:v>44711</c:v>
                </c:pt>
                <c:pt idx="73" c:formatCode="yyyy/m/d">
                  <c:v>44718</c:v>
                </c:pt>
                <c:pt idx="74" c:formatCode="yyyy/m/d">
                  <c:v>44725</c:v>
                </c:pt>
                <c:pt idx="75" c:formatCode="yyyy/m/d">
                  <c:v>44732</c:v>
                </c:pt>
                <c:pt idx="76" c:formatCode="yyyy/m/d">
                  <c:v>44739</c:v>
                </c:pt>
                <c:pt idx="77" c:formatCode="yyyy/m/d">
                  <c:v>44746</c:v>
                </c:pt>
                <c:pt idx="78" c:formatCode="yyyy/m/d">
                  <c:v>44753</c:v>
                </c:pt>
                <c:pt idx="79" c:formatCode="yyyy/m/d">
                  <c:v>44760</c:v>
                </c:pt>
                <c:pt idx="80" c:formatCode="yyyy/m/d">
                  <c:v>44767</c:v>
                </c:pt>
                <c:pt idx="81" c:formatCode="yyyy/m/d">
                  <c:v>44774</c:v>
                </c:pt>
                <c:pt idx="82" c:formatCode="yyyy/m/d">
                  <c:v>44781</c:v>
                </c:pt>
                <c:pt idx="83" c:formatCode="yyyy/m/d">
                  <c:v>44788</c:v>
                </c:pt>
                <c:pt idx="84" c:formatCode="yyyy/m/d">
                  <c:v>44795</c:v>
                </c:pt>
                <c:pt idx="85" c:formatCode="yyyy/m/d">
                  <c:v>44802</c:v>
                </c:pt>
                <c:pt idx="86" c:formatCode="yyyy/m/d">
                  <c:v>44809</c:v>
                </c:pt>
                <c:pt idx="87" c:formatCode="yyyy/m/d">
                  <c:v>44816</c:v>
                </c:pt>
                <c:pt idx="88" c:formatCode="yyyy/m/d">
                  <c:v>44823</c:v>
                </c:pt>
                <c:pt idx="89" c:formatCode="yyyy/m/d">
                  <c:v>44830</c:v>
                </c:pt>
                <c:pt idx="90" c:formatCode="yyyy/m/d">
                  <c:v>44837</c:v>
                </c:pt>
                <c:pt idx="91" c:formatCode="yyyy/m/d">
                  <c:v>44844</c:v>
                </c:pt>
                <c:pt idx="92" c:formatCode="yyyy/m/d">
                  <c:v>44851</c:v>
                </c:pt>
                <c:pt idx="93" c:formatCode="yyyy/m/d">
                  <c:v>44858</c:v>
                </c:pt>
                <c:pt idx="94" c:formatCode="yyyy/m/d">
                  <c:v>44865</c:v>
                </c:pt>
                <c:pt idx="95" c:formatCode="yyyy/m/d">
                  <c:v>44872</c:v>
                </c:pt>
                <c:pt idx="96" c:formatCode="yyyy/m/d">
                  <c:v>44879</c:v>
                </c:pt>
                <c:pt idx="97" c:formatCode="yyyy/m/d">
                  <c:v>44886</c:v>
                </c:pt>
                <c:pt idx="98" c:formatCode="yyyy/m/d">
                  <c:v>44893</c:v>
                </c:pt>
                <c:pt idx="99" c:formatCode="yyyy/m/d">
                  <c:v>44900</c:v>
                </c:pt>
                <c:pt idx="100" c:formatCode="yyyy/m/d">
                  <c:v>44907</c:v>
                </c:pt>
                <c:pt idx="101" c:formatCode="yyyy/m/d">
                  <c:v>44914</c:v>
                </c:pt>
                <c:pt idx="102" c:formatCode="yyyy/m/d">
                  <c:v>44921</c:v>
                </c:pt>
                <c:pt idx="103" c:formatCode="yyyy/m/d">
                  <c:v>44928</c:v>
                </c:pt>
                <c:pt idx="104" c:formatCode="yyyy/m/d">
                  <c:v>44935</c:v>
                </c:pt>
                <c:pt idx="105" c:formatCode="yyyy/m/d">
                  <c:v>44942</c:v>
                </c:pt>
                <c:pt idx="106" c:formatCode="yyyy/m/d">
                  <c:v>44956</c:v>
                </c:pt>
                <c:pt idx="107" c:formatCode="yyyy/m/d">
                  <c:v>44963</c:v>
                </c:pt>
                <c:pt idx="108" c:formatCode="yyyy/m/d">
                  <c:v>44970</c:v>
                </c:pt>
                <c:pt idx="109" c:formatCode="yyyy/m/d">
                  <c:v>44977</c:v>
                </c:pt>
                <c:pt idx="110" c:formatCode="yyyy/m/d">
                  <c:v>44984</c:v>
                </c:pt>
                <c:pt idx="111" c:formatCode="yyyy/m/d">
                  <c:v>44991</c:v>
                </c:pt>
                <c:pt idx="112" c:formatCode="yyyy/m/d">
                  <c:v>44998</c:v>
                </c:pt>
                <c:pt idx="113" c:formatCode="yyyy/m/d">
                  <c:v>45005</c:v>
                </c:pt>
                <c:pt idx="114" c:formatCode="yyyy/m/d">
                  <c:v>45012</c:v>
                </c:pt>
                <c:pt idx="115" c:formatCode="yyyy/m/d">
                  <c:v>45019</c:v>
                </c:pt>
                <c:pt idx="116" c:formatCode="yyyy/m/d">
                  <c:v>45026</c:v>
                </c:pt>
                <c:pt idx="117" c:formatCode="yyyy/m/d">
                  <c:v>45033</c:v>
                </c:pt>
                <c:pt idx="118" c:formatCode="yyyy/m/d">
                  <c:v>45040</c:v>
                </c:pt>
                <c:pt idx="119" c:formatCode="yyyy/m/d">
                  <c:v>45047</c:v>
                </c:pt>
                <c:pt idx="120" c:formatCode="yyyy/m/d">
                  <c:v>45054</c:v>
                </c:pt>
                <c:pt idx="121" c:formatCode="yyyy/m/d">
                  <c:v>45061</c:v>
                </c:pt>
                <c:pt idx="122" c:formatCode="yyyy/m/d">
                  <c:v>45068</c:v>
                </c:pt>
                <c:pt idx="123" c:formatCode="yyyy/m/d">
                  <c:v>45075</c:v>
                </c:pt>
                <c:pt idx="124" c:formatCode="yyyy/m/d">
                  <c:v>45082</c:v>
                </c:pt>
                <c:pt idx="125" c:formatCode="yyyy/m/d">
                  <c:v>45089</c:v>
                </c:pt>
                <c:pt idx="126" c:formatCode="yyyy/m/d">
                  <c:v>45096</c:v>
                </c:pt>
                <c:pt idx="127" c:formatCode="yyyy/m/d">
                  <c:v>45103</c:v>
                </c:pt>
                <c:pt idx="128" c:formatCode="yyyy/m/d">
                  <c:v>45110</c:v>
                </c:pt>
                <c:pt idx="129" c:formatCode="yyyy/m/d">
                  <c:v>45117</c:v>
                </c:pt>
                <c:pt idx="130" c:formatCode="yyyy/m/d">
                  <c:v>45124</c:v>
                </c:pt>
                <c:pt idx="131" c:formatCode="yyyy/m/d">
                  <c:v>45131</c:v>
                </c:pt>
                <c:pt idx="132" c:formatCode="yyyy/m/d">
                  <c:v>45138</c:v>
                </c:pt>
                <c:pt idx="133" c:formatCode="yyyy/m/d">
                  <c:v>45145</c:v>
                </c:pt>
                <c:pt idx="134" c:formatCode="yyyy/m/d">
                  <c:v>45152</c:v>
                </c:pt>
                <c:pt idx="135" c:formatCode="yyyy/m/d">
                  <c:v>45159</c:v>
                </c:pt>
                <c:pt idx="136" c:formatCode="yyyy/m/d">
                  <c:v>45166</c:v>
                </c:pt>
                <c:pt idx="137" c:formatCode="yyyy/m/d">
                  <c:v>45173</c:v>
                </c:pt>
                <c:pt idx="138" c:formatCode="yyyy/m/d">
                  <c:v>45180</c:v>
                </c:pt>
                <c:pt idx="139" c:formatCode="yyyy/m/d">
                  <c:v>45187</c:v>
                </c:pt>
                <c:pt idx="140" c:formatCode="yyyy/m/d">
                  <c:v>45194</c:v>
                </c:pt>
                <c:pt idx="141" c:formatCode="yyyy/m/d">
                  <c:v>45201</c:v>
                </c:pt>
                <c:pt idx="142" c:formatCode="yyyy/m/d">
                  <c:v>45208</c:v>
                </c:pt>
                <c:pt idx="143" c:formatCode="yyyy/m/d">
                  <c:v>45215</c:v>
                </c:pt>
                <c:pt idx="144" c:formatCode="yyyy/m/d">
                  <c:v>45222</c:v>
                </c:pt>
                <c:pt idx="145" c:formatCode="yyyy/m/d">
                  <c:v>45229</c:v>
                </c:pt>
                <c:pt idx="146" c:formatCode="yyyy/m/d">
                  <c:v>45236</c:v>
                </c:pt>
                <c:pt idx="147" c:formatCode="yyyy/m/d">
                  <c:v>45243</c:v>
                </c:pt>
                <c:pt idx="148" c:formatCode="yyyy/m/d">
                  <c:v>45250</c:v>
                </c:pt>
                <c:pt idx="149" c:formatCode="yyyy/m/d">
                  <c:v>45257</c:v>
                </c:pt>
                <c:pt idx="150" c:formatCode="yyyy/m/d">
                  <c:v>45264</c:v>
                </c:pt>
                <c:pt idx="151" c:formatCode="yyyy/m/d">
                  <c:v>45271</c:v>
                </c:pt>
                <c:pt idx="152" c:formatCode="yyyy/m/d">
                  <c:v>45278</c:v>
                </c:pt>
                <c:pt idx="153" c:formatCode="yyyy/m/d">
                  <c:v>45285</c:v>
                </c:pt>
                <c:pt idx="154" c:formatCode="yyyy/m/d">
                  <c:v>45292</c:v>
                </c:pt>
                <c:pt idx="155" c:formatCode="yyyy/m/d">
                  <c:v>45299</c:v>
                </c:pt>
                <c:pt idx="156" c:formatCode="yyyy/m/d">
                  <c:v>45306</c:v>
                </c:pt>
                <c:pt idx="157" c:formatCode="yyyy/m/d">
                  <c:v>45313</c:v>
                </c:pt>
                <c:pt idx="158" c:formatCode="yyyy/m/d">
                  <c:v>45320</c:v>
                </c:pt>
                <c:pt idx="159" c:formatCode="yyyy/m/d">
                  <c:v>45327</c:v>
                </c:pt>
                <c:pt idx="160" c:formatCode="yyyy/m/d">
                  <c:v>45334</c:v>
                </c:pt>
                <c:pt idx="161" c:formatCode="yyyy/m/d">
                  <c:v>45341</c:v>
                </c:pt>
                <c:pt idx="162" c:formatCode="yyyy/m/d">
                  <c:v>45348</c:v>
                </c:pt>
                <c:pt idx="163" c:formatCode="yyyy/m/d">
                  <c:v>45355</c:v>
                </c:pt>
                <c:pt idx="164" c:formatCode="yyyy/m/d">
                  <c:v>45362</c:v>
                </c:pt>
                <c:pt idx="165" c:formatCode="yyyy/m/d">
                  <c:v>45369</c:v>
                </c:pt>
                <c:pt idx="166" c:formatCode="yyyy/m/d">
                  <c:v>45376</c:v>
                </c:pt>
                <c:pt idx="167" c:formatCode="yyyy/m/d">
                  <c:v>45383</c:v>
                </c:pt>
                <c:pt idx="168" c:formatCode="yyyy/m/d">
                  <c:v>45390</c:v>
                </c:pt>
                <c:pt idx="169" c:formatCode="yyyy/m/d">
                  <c:v>45397</c:v>
                </c:pt>
                <c:pt idx="170" c:formatCode="yyyy/m/d">
                  <c:v>45404</c:v>
                </c:pt>
                <c:pt idx="171" c:formatCode="yyyy/m/d">
                  <c:v>45411</c:v>
                </c:pt>
                <c:pt idx="172" c:formatCode="yyyy/m/d">
                  <c:v>45418</c:v>
                </c:pt>
                <c:pt idx="173" c:formatCode="yyyy/m/d">
                  <c:v>45425</c:v>
                </c:pt>
                <c:pt idx="174" c:formatCode="yyyy/m/d">
                  <c:v>45432</c:v>
                </c:pt>
                <c:pt idx="175" c:formatCode="yyyy/m/d">
                  <c:v>45439</c:v>
                </c:pt>
                <c:pt idx="176" c:formatCode="yyyy/m/d">
                  <c:v>45446</c:v>
                </c:pt>
                <c:pt idx="177" c:formatCode="yyyy/m/d">
                  <c:v>45454</c:v>
                </c:pt>
                <c:pt idx="178" c:formatCode="yyyy/m/d">
                  <c:v>45460</c:v>
                </c:pt>
                <c:pt idx="179" c:formatCode="yyyy/m/d">
                  <c:v>45467</c:v>
                </c:pt>
                <c:pt idx="180" c:formatCode="yyyy/m/d">
                  <c:v>45474</c:v>
                </c:pt>
                <c:pt idx="181" c:formatCode="yyyy/m/d">
                  <c:v>45481</c:v>
                </c:pt>
                <c:pt idx="182" c:formatCode="yyyy/m/d">
                  <c:v>45488</c:v>
                </c:pt>
                <c:pt idx="183" c:formatCode="yyyy/m/d">
                  <c:v>45495</c:v>
                </c:pt>
                <c:pt idx="184" c:formatCode="yyyy/m/d">
                  <c:v>45502</c:v>
                </c:pt>
                <c:pt idx="185" c:formatCode="yyyy/m/d">
                  <c:v>45509</c:v>
                </c:pt>
                <c:pt idx="186" c:formatCode="yyyy/m/d">
                  <c:v>45516</c:v>
                </c:pt>
                <c:pt idx="187" c:formatCode="yyyy/m/d">
                  <c:v>45523</c:v>
                </c:pt>
                <c:pt idx="188" c:formatCode="yyyy/m/d">
                  <c:v>45530</c:v>
                </c:pt>
                <c:pt idx="189" c:formatCode="yyyy/m/d">
                  <c:v>45537</c:v>
                </c:pt>
                <c:pt idx="190" c:formatCode="yyyy/m/d">
                  <c:v>45544</c:v>
                </c:pt>
                <c:pt idx="191" c:formatCode="yyyy/m/d">
                  <c:v>45551</c:v>
                </c:pt>
                <c:pt idx="192" c:formatCode="yyyy/m/d">
                  <c:v>45558</c:v>
                </c:pt>
                <c:pt idx="193" c:formatCode="yyyy/m/d">
                  <c:v>45565</c:v>
                </c:pt>
                <c:pt idx="194" c:formatCode="yyyy/m/d">
                  <c:v>45572</c:v>
                </c:pt>
                <c:pt idx="195" c:formatCode="yyyy/m/d">
                  <c:v>45579</c:v>
                </c:pt>
                <c:pt idx="196" c:formatCode="yyyy/m/d">
                  <c:v>45586</c:v>
                </c:pt>
                <c:pt idx="197" c:formatCode="yyyy/m/d">
                  <c:v>45593</c:v>
                </c:pt>
                <c:pt idx="198" c:formatCode="yyyy/m/d">
                  <c:v>45600</c:v>
                </c:pt>
                <c:pt idx="199" c:formatCode="yyyy/m/d">
                  <c:v>45607</c:v>
                </c:pt>
                <c:pt idx="200" c:formatCode="yyyy/m/d">
                  <c:v>45614</c:v>
                </c:pt>
                <c:pt idx="201" c:formatCode="yyyy/m/d">
                  <c:v>45621</c:v>
                </c:pt>
                <c:pt idx="202" c:formatCode="yyyy/m/d">
                  <c:v>45628</c:v>
                </c:pt>
                <c:pt idx="203" c:formatCode="yyyy/m/d">
                  <c:v>45635</c:v>
                </c:pt>
                <c:pt idx="204" c:formatCode="yyyy/m/d">
                  <c:v>45642</c:v>
                </c:pt>
                <c:pt idx="205" c:formatCode="yyyy/m/d">
                  <c:v>45649</c:v>
                </c:pt>
                <c:pt idx="206" c:formatCode="yyyy/m/d">
                  <c:v>45656</c:v>
                </c:pt>
                <c:pt idx="207" c:formatCode="yyyy/m/d">
                  <c:v>45663</c:v>
                </c:pt>
                <c:pt idx="208" c:formatCode="yyyy/m/d">
                  <c:v>45670</c:v>
                </c:pt>
                <c:pt idx="209" c:formatCode="yyyy/m/d">
                  <c:v>45677</c:v>
                </c:pt>
                <c:pt idx="210" c:formatCode="yyyy/m/d">
                  <c:v>45684</c:v>
                </c:pt>
                <c:pt idx="211" c:formatCode="yyyy/m/d">
                  <c:v>45691</c:v>
                </c:pt>
                <c:pt idx="212" c:formatCode="yyyy/m/d">
                  <c:v>45698</c:v>
                </c:pt>
                <c:pt idx="213" c:formatCode="yyyy/m/d">
                  <c:v>45705</c:v>
                </c:pt>
                <c:pt idx="214" c:formatCode="yyyy/m/d">
                  <c:v>45712</c:v>
                </c:pt>
                <c:pt idx="215" c:formatCode="yyyy/m/d">
                  <c:v>45719</c:v>
                </c:pt>
                <c:pt idx="216" c:formatCode="yyyy/m/d">
                  <c:v>45726</c:v>
                </c:pt>
                <c:pt idx="217" c:formatCode="yyyy/m/d">
                  <c:v>45733</c:v>
                </c:pt>
                <c:pt idx="218" c:formatCode="yyyy/m/d">
                  <c:v>45740</c:v>
                </c:pt>
                <c:pt idx="219" c:formatCode="yyyy/m/d">
                  <c:v>45747</c:v>
                </c:pt>
                <c:pt idx="220" c:formatCode="yyyy/m/d">
                  <c:v>45754</c:v>
                </c:pt>
                <c:pt idx="221" c:formatCode="yyyy/m/d">
                  <c:v>45761</c:v>
                </c:pt>
                <c:pt idx="222" c:formatCode="yyyy/m/d">
                  <c:v>45768</c:v>
                </c:pt>
                <c:pt idx="223" c:formatCode="yyyy/m/d">
                  <c:v>45775</c:v>
                </c:pt>
                <c:pt idx="224" c:formatCode="yyyy/m/d">
                  <c:v>45782</c:v>
                </c:pt>
                <c:pt idx="225" c:formatCode="yyyy/m/d">
                  <c:v>45789</c:v>
                </c:pt>
                <c:pt idx="226" c:formatCode="yyyy/m/d">
                  <c:v>45796</c:v>
                </c:pt>
                <c:pt idx="227" c:formatCode="yyyy/m/d">
                  <c:v>45803</c:v>
                </c:pt>
                <c:pt idx="228" c:formatCode="yyyy/m/d">
                  <c:v>45810</c:v>
                </c:pt>
                <c:pt idx="229" c:formatCode="yyyy/m/d">
                  <c:v>45817</c:v>
                </c:pt>
                <c:pt idx="230" c:formatCode="yyyy/m/d">
                  <c:v>45824</c:v>
                </c:pt>
                <c:pt idx="231" c:formatCode="yyyy/m/d">
                  <c:v>45831</c:v>
                </c:pt>
                <c:pt idx="232" c:formatCode="yyyy/m/d">
                  <c:v>45838</c:v>
                </c:pt>
                <c:pt idx="233" c:formatCode="yyyy/m/d">
                  <c:v>45845</c:v>
                </c:pt>
                <c:pt idx="234" c:formatCode="yyyy/m/d">
                  <c:v>45852</c:v>
                </c:pt>
                <c:pt idx="235" c:formatCode="yyyy/m/d">
                  <c:v>45859</c:v>
                </c:pt>
                <c:pt idx="236" c:formatCode="yyyy/m/d">
                  <c:v>45866</c:v>
                </c:pt>
                <c:pt idx="237" c:formatCode="yyyy/m/d">
                  <c:v>45873</c:v>
                </c:pt>
                <c:pt idx="238" c:formatCode="yyyy/m/d">
                  <c:v>45880</c:v>
                </c:pt>
                <c:pt idx="239" c:formatCode="yyyy/m/d">
                  <c:v>45887</c:v>
                </c:pt>
                <c:pt idx="240" c:formatCode="yyyy/m/d">
                  <c:v>45894</c:v>
                </c:pt>
                <c:pt idx="241" c:formatCode="yyyy/m/d">
                  <c:v>45901</c:v>
                </c:pt>
                <c:pt idx="242" c:formatCode="yyyy/m/d">
                  <c:v>45908</c:v>
                </c:pt>
                <c:pt idx="243" c:formatCode="yyyy/m/d">
                  <c:v>45915</c:v>
                </c:pt>
                <c:pt idx="244" c:formatCode="yyyy/m/d">
                  <c:v>45922</c:v>
                </c:pt>
                <c:pt idx="245" c:formatCode="yyyy/m/d">
                  <c:v>45929</c:v>
                </c:pt>
                <c:pt idx="246" c:formatCode="yyyy/m/d">
                  <c:v>45936</c:v>
                </c:pt>
              </c:numCache>
            </c:numRef>
          </c:cat>
          <c:val>
            <c:numRef>
              <c:f>NAND!$BF$127:$BF$373</c:f>
              <c:numCache>
                <c:formatCode>_(* #,##0.00_);_(* \(#,##0.00\);_(* "-"??_);_(@_)</c:formatCode>
                <c:ptCount val="247"/>
                <c:pt idx="100">
                  <c:v>3.742</c:v>
                </c:pt>
                <c:pt idx="101">
                  <c:v>3.729</c:v>
                </c:pt>
                <c:pt idx="102">
                  <c:v>3.683</c:v>
                </c:pt>
                <c:pt idx="103">
                  <c:v>3.65</c:v>
                </c:pt>
                <c:pt idx="104">
                  <c:v>3.642</c:v>
                </c:pt>
                <c:pt idx="105">
                  <c:v>3.621</c:v>
                </c:pt>
                <c:pt idx="106">
                  <c:v>3.621</c:v>
                </c:pt>
                <c:pt idx="107">
                  <c:v>3.604</c:v>
                </c:pt>
                <c:pt idx="108">
                  <c:v>3.583</c:v>
                </c:pt>
                <c:pt idx="109">
                  <c:v>3.563</c:v>
                </c:pt>
                <c:pt idx="110">
                  <c:v>3.542</c:v>
                </c:pt>
                <c:pt idx="111">
                  <c:v>3.483</c:v>
                </c:pt>
                <c:pt idx="112">
                  <c:v>3.217</c:v>
                </c:pt>
                <c:pt idx="113">
                  <c:v>3.152</c:v>
                </c:pt>
                <c:pt idx="114">
                  <c:v>3.069</c:v>
                </c:pt>
                <c:pt idx="115">
                  <c:v>3.048</c:v>
                </c:pt>
                <c:pt idx="116">
                  <c:v>3.038</c:v>
                </c:pt>
                <c:pt idx="117">
                  <c:v>3.008</c:v>
                </c:pt>
                <c:pt idx="118">
                  <c:v>2.958</c:v>
                </c:pt>
                <c:pt idx="119">
                  <c:v>2.958</c:v>
                </c:pt>
                <c:pt idx="120">
                  <c:v>2.9</c:v>
                </c:pt>
                <c:pt idx="121">
                  <c:v>2.898</c:v>
                </c:pt>
                <c:pt idx="122">
                  <c:v>2.892</c:v>
                </c:pt>
                <c:pt idx="123">
                  <c:v>2.838</c:v>
                </c:pt>
                <c:pt idx="124">
                  <c:v>2.834</c:v>
                </c:pt>
                <c:pt idx="125">
                  <c:v>2.829</c:v>
                </c:pt>
                <c:pt idx="126">
                  <c:v>2.808</c:v>
                </c:pt>
                <c:pt idx="127">
                  <c:v>2.808</c:v>
                </c:pt>
                <c:pt idx="128">
                  <c:v>2.804</c:v>
                </c:pt>
                <c:pt idx="129">
                  <c:v>2.788</c:v>
                </c:pt>
                <c:pt idx="130">
                  <c:v>2.779</c:v>
                </c:pt>
                <c:pt idx="131">
                  <c:v>2.781</c:v>
                </c:pt>
                <c:pt idx="132">
                  <c:v>2.804</c:v>
                </c:pt>
                <c:pt idx="133">
                  <c:v>2.838</c:v>
                </c:pt>
                <c:pt idx="134">
                  <c:v>2.858</c:v>
                </c:pt>
                <c:pt idx="135">
                  <c:v>2.955</c:v>
                </c:pt>
                <c:pt idx="136">
                  <c:v>3.05</c:v>
                </c:pt>
                <c:pt idx="137">
                  <c:v>3.071</c:v>
                </c:pt>
                <c:pt idx="138">
                  <c:v>3.2</c:v>
                </c:pt>
                <c:pt idx="139">
                  <c:v>3.402</c:v>
                </c:pt>
                <c:pt idx="140">
                  <c:v>3.528</c:v>
                </c:pt>
                <c:pt idx="141">
                  <c:v>3.569</c:v>
                </c:pt>
                <c:pt idx="142">
                  <c:v>3.577</c:v>
                </c:pt>
                <c:pt idx="143">
                  <c:v>3.815</c:v>
                </c:pt>
                <c:pt idx="144">
                  <c:v>3.981</c:v>
                </c:pt>
                <c:pt idx="145">
                  <c:v>4.365</c:v>
                </c:pt>
                <c:pt idx="146">
                  <c:v>4.609</c:v>
                </c:pt>
                <c:pt idx="147">
                  <c:v>4.912</c:v>
                </c:pt>
                <c:pt idx="148">
                  <c:v>4.912</c:v>
                </c:pt>
                <c:pt idx="149">
                  <c:v>5.394</c:v>
                </c:pt>
                <c:pt idx="150">
                  <c:v>5.406</c:v>
                </c:pt>
                <c:pt idx="151">
                  <c:v>5.421</c:v>
                </c:pt>
                <c:pt idx="152">
                  <c:v>5.706</c:v>
                </c:pt>
                <c:pt idx="153">
                  <c:v>5.976</c:v>
                </c:pt>
                <c:pt idx="154">
                  <c:v>5.962</c:v>
                </c:pt>
                <c:pt idx="155">
                  <c:v>5.947</c:v>
                </c:pt>
                <c:pt idx="156">
                  <c:v>5.947</c:v>
                </c:pt>
                <c:pt idx="157">
                  <c:v>5.971</c:v>
                </c:pt>
                <c:pt idx="158">
                  <c:v>6.059</c:v>
                </c:pt>
                <c:pt idx="159">
                  <c:v>6.059</c:v>
                </c:pt>
                <c:pt idx="160">
                  <c:v>6.059</c:v>
                </c:pt>
                <c:pt idx="161">
                  <c:v>6.059</c:v>
                </c:pt>
                <c:pt idx="162">
                  <c:v>6.129</c:v>
                </c:pt>
                <c:pt idx="163">
                  <c:v>6.415</c:v>
                </c:pt>
                <c:pt idx="164">
                  <c:v>6.385</c:v>
                </c:pt>
                <c:pt idx="165">
                  <c:v>6.835</c:v>
                </c:pt>
                <c:pt idx="166">
                  <c:v>6.806</c:v>
                </c:pt>
                <c:pt idx="167">
                  <c:v>6.806</c:v>
                </c:pt>
                <c:pt idx="168">
                  <c:v>6.806</c:v>
                </c:pt>
                <c:pt idx="169">
                  <c:v>6.971</c:v>
                </c:pt>
                <c:pt idx="170">
                  <c:v>7.059</c:v>
                </c:pt>
                <c:pt idx="171">
                  <c:v>7.118</c:v>
                </c:pt>
                <c:pt idx="172">
                  <c:v>7.197</c:v>
                </c:pt>
                <c:pt idx="173">
                  <c:v>7.147</c:v>
                </c:pt>
                <c:pt idx="174">
                  <c:v>6.985</c:v>
                </c:pt>
                <c:pt idx="175">
                  <c:v>6.876</c:v>
                </c:pt>
                <c:pt idx="176">
                  <c:v>6.829</c:v>
                </c:pt>
                <c:pt idx="177">
                  <c:v>6.712</c:v>
                </c:pt>
                <c:pt idx="178">
                  <c:v>6.668</c:v>
                </c:pt>
                <c:pt idx="179">
                  <c:v>6.624</c:v>
                </c:pt>
                <c:pt idx="180">
                  <c:v>6.624</c:v>
                </c:pt>
                <c:pt idx="181">
                  <c:v>6.59</c:v>
                </c:pt>
                <c:pt idx="182">
                  <c:v>6.57</c:v>
                </c:pt>
                <c:pt idx="183">
                  <c:v>6.56</c:v>
                </c:pt>
                <c:pt idx="184">
                  <c:v>6.56</c:v>
                </c:pt>
                <c:pt idx="185">
                  <c:v>6.54</c:v>
                </c:pt>
                <c:pt idx="186">
                  <c:v>6.53</c:v>
                </c:pt>
                <c:pt idx="187">
                  <c:v>6.53</c:v>
                </c:pt>
                <c:pt idx="188">
                  <c:v>6.52</c:v>
                </c:pt>
                <c:pt idx="189">
                  <c:v>6.52</c:v>
                </c:pt>
                <c:pt idx="190">
                  <c:v>6.32</c:v>
                </c:pt>
                <c:pt idx="191">
                  <c:v>6.3</c:v>
                </c:pt>
                <c:pt idx="192">
                  <c:v>6.3</c:v>
                </c:pt>
                <c:pt idx="193">
                  <c:v>6.05</c:v>
                </c:pt>
                <c:pt idx="194">
                  <c:v>6.01</c:v>
                </c:pt>
                <c:pt idx="195">
                  <c:v>6</c:v>
                </c:pt>
                <c:pt idx="196">
                  <c:v>5.93</c:v>
                </c:pt>
                <c:pt idx="197">
                  <c:v>5.72</c:v>
                </c:pt>
                <c:pt idx="198">
                  <c:v>5.21</c:v>
                </c:pt>
                <c:pt idx="199">
                  <c:v>5.17</c:v>
                </c:pt>
                <c:pt idx="200">
                  <c:v>5.14</c:v>
                </c:pt>
                <c:pt idx="201">
                  <c:v>5.13</c:v>
                </c:pt>
                <c:pt idx="202">
                  <c:v>5.11</c:v>
                </c:pt>
                <c:pt idx="203">
                  <c:v>5.08</c:v>
                </c:pt>
                <c:pt idx="204">
                  <c:v>5.07</c:v>
                </c:pt>
                <c:pt idx="205">
                  <c:v>5.06</c:v>
                </c:pt>
                <c:pt idx="206">
                  <c:v>5.09</c:v>
                </c:pt>
                <c:pt idx="207">
                  <c:v>5.07</c:v>
                </c:pt>
                <c:pt idx="208">
                  <c:v>5.06</c:v>
                </c:pt>
                <c:pt idx="209">
                  <c:v>5.01</c:v>
                </c:pt>
                <c:pt idx="210">
                  <c:v>5</c:v>
                </c:pt>
                <c:pt idx="211">
                  <c:v>5</c:v>
                </c:pt>
                <c:pt idx="212">
                  <c:v>5</c:v>
                </c:pt>
                <c:pt idx="213">
                  <c:v>4.97</c:v>
                </c:pt>
                <c:pt idx="214">
                  <c:v>4.96</c:v>
                </c:pt>
                <c:pt idx="215">
                  <c:v>4.97</c:v>
                </c:pt>
                <c:pt idx="216">
                  <c:v>4.98</c:v>
                </c:pt>
                <c:pt idx="217">
                  <c:v>5.05</c:v>
                </c:pt>
                <c:pt idx="218">
                  <c:v>5.11</c:v>
                </c:pt>
                <c:pt idx="219">
                  <c:v>5.17</c:v>
                </c:pt>
                <c:pt idx="220">
                  <c:v>5.17</c:v>
                </c:pt>
                <c:pt idx="221">
                  <c:v>5.16</c:v>
                </c:pt>
                <c:pt idx="222">
                  <c:v>5.18</c:v>
                </c:pt>
                <c:pt idx="223">
                  <c:v>5.17</c:v>
                </c:pt>
                <c:pt idx="224">
                  <c:v>5.16</c:v>
                </c:pt>
                <c:pt idx="225">
                  <c:v>5.15</c:v>
                </c:pt>
                <c:pt idx="226">
                  <c:v>5.15</c:v>
                </c:pt>
                <c:pt idx="227">
                  <c:v>5.14</c:v>
                </c:pt>
                <c:pt idx="228">
                  <c:v>5.13</c:v>
                </c:pt>
                <c:pt idx="229">
                  <c:v>5.11</c:v>
                </c:pt>
                <c:pt idx="230">
                  <c:v>5.08</c:v>
                </c:pt>
                <c:pt idx="231">
                  <c:v>5.07</c:v>
                </c:pt>
                <c:pt idx="232">
                  <c:v>5.06</c:v>
                </c:pt>
                <c:pt idx="233">
                  <c:v>5.06</c:v>
                </c:pt>
                <c:pt idx="234">
                  <c:v>5.05</c:v>
                </c:pt>
                <c:pt idx="235">
                  <c:v>5.06</c:v>
                </c:pt>
                <c:pt idx="236">
                  <c:v>5.12</c:v>
                </c:pt>
                <c:pt idx="237">
                  <c:v>5.12</c:v>
                </c:pt>
                <c:pt idx="238">
                  <c:v>5.1</c:v>
                </c:pt>
                <c:pt idx="239">
                  <c:v>5.1</c:v>
                </c:pt>
                <c:pt idx="240">
                  <c:v>5.1</c:v>
                </c:pt>
                <c:pt idx="241">
                  <c:v>5.09</c:v>
                </c:pt>
                <c:pt idx="242">
                  <c:v>5.07</c:v>
                </c:pt>
                <c:pt idx="243">
                  <c:v>5.07</c:v>
                </c:pt>
                <c:pt idx="244">
                  <c:v>5.29</c:v>
                </c:pt>
                <c:pt idx="245">
                  <c:v>5.58</c:v>
                </c:pt>
                <c:pt idx="246">
                  <c:v>5.83</c:v>
                </c:pt>
              </c:numCache>
            </c:numRef>
          </c:val>
          <c:smooth val="0"/>
        </c:ser>
        <c:ser>
          <c:idx val="1"/>
          <c:order val="1"/>
          <c:tx>
            <c:strRef>
              <c:f>NAND!$BG$26</c:f>
              <c:strCache>
                <c:ptCount val="1"/>
                <c:pt idx="0">
                  <c:v>Contract</c:v>
                </c:pt>
              </c:strCache>
            </c:strRef>
          </c:tx>
          <c:marker>
            <c:symbol val="none"/>
          </c:marker>
          <c:dLbls>
            <c:delete val="1"/>
          </c:dLbls>
          <c:cat>
            <c:numRef>
              <c:f>NAND!$BA$127:$BA$373</c:f>
              <c:numCache>
                <c:formatCode>yyyy/m/d</c:formatCode>
                <c:ptCount val="247"/>
                <c:pt idx="0" c:formatCode="yyyy/m/d">
                  <c:v>44200</c:v>
                </c:pt>
                <c:pt idx="1" c:formatCode="yyyy/m/d">
                  <c:v>44207</c:v>
                </c:pt>
                <c:pt idx="2" c:formatCode="yyyy/m/d">
                  <c:v>44214</c:v>
                </c:pt>
                <c:pt idx="3" c:formatCode="yyyy/m/d">
                  <c:v>44221</c:v>
                </c:pt>
                <c:pt idx="4" c:formatCode="yyyy/m/d">
                  <c:v>44228</c:v>
                </c:pt>
                <c:pt idx="5" c:formatCode="yyyy/m/d">
                  <c:v>44235</c:v>
                </c:pt>
                <c:pt idx="6" c:formatCode="yyyy/m/d">
                  <c:v>44244</c:v>
                </c:pt>
                <c:pt idx="7" c:formatCode="yyyy/m/d">
                  <c:v>44249</c:v>
                </c:pt>
                <c:pt idx="8" c:formatCode="yyyy/m/d">
                  <c:v>44256</c:v>
                </c:pt>
                <c:pt idx="9" c:formatCode="yyyy/m/d">
                  <c:v>44263</c:v>
                </c:pt>
                <c:pt idx="10" c:formatCode="yyyy/m/d">
                  <c:v>44270</c:v>
                </c:pt>
                <c:pt idx="11" c:formatCode="yyyy/m/d">
                  <c:v>44277</c:v>
                </c:pt>
                <c:pt idx="12" c:formatCode="yyyy/m/d">
                  <c:v>44284</c:v>
                </c:pt>
                <c:pt idx="13" c:formatCode="yyyy/m/d">
                  <c:v>44292</c:v>
                </c:pt>
                <c:pt idx="14" c:formatCode="yyyy/m/d">
                  <c:v>44298</c:v>
                </c:pt>
                <c:pt idx="15" c:formatCode="yyyy/m/d">
                  <c:v>44305</c:v>
                </c:pt>
                <c:pt idx="16" c:formatCode="yyyy/m/d">
                  <c:v>44312</c:v>
                </c:pt>
                <c:pt idx="17" c:formatCode="yyyy/m/d">
                  <c:v>44319</c:v>
                </c:pt>
                <c:pt idx="18" c:formatCode="yyyy/m/d">
                  <c:v>44326</c:v>
                </c:pt>
                <c:pt idx="19" c:formatCode="yyyy/m/d">
                  <c:v>44333</c:v>
                </c:pt>
                <c:pt idx="20" c:formatCode="yyyy/m/d">
                  <c:v>44340</c:v>
                </c:pt>
                <c:pt idx="21" c:formatCode="yyyy/m/d">
                  <c:v>44347</c:v>
                </c:pt>
                <c:pt idx="22" c:formatCode="yyyy/m/d">
                  <c:v>44354</c:v>
                </c:pt>
                <c:pt idx="23" c:formatCode="yyyy/m/d">
                  <c:v>44362</c:v>
                </c:pt>
                <c:pt idx="24" c:formatCode="yyyy/m/d">
                  <c:v>44368</c:v>
                </c:pt>
                <c:pt idx="25" c:formatCode="yyyy/m/d">
                  <c:v>44375</c:v>
                </c:pt>
                <c:pt idx="26" c:formatCode="yyyy/m/d">
                  <c:v>44382</c:v>
                </c:pt>
                <c:pt idx="27" c:formatCode="yyyy/m/d">
                  <c:v>44389</c:v>
                </c:pt>
                <c:pt idx="28" c:formatCode="yyyy/m/d">
                  <c:v>44396</c:v>
                </c:pt>
                <c:pt idx="29" c:formatCode="yyyy/m/d">
                  <c:v>44403</c:v>
                </c:pt>
                <c:pt idx="30" c:formatCode="yyyy/m/d">
                  <c:v>44410</c:v>
                </c:pt>
                <c:pt idx="31" c:formatCode="yyyy/m/d">
                  <c:v>44417</c:v>
                </c:pt>
                <c:pt idx="32" c:formatCode="yyyy/m/d">
                  <c:v>44424</c:v>
                </c:pt>
                <c:pt idx="33" c:formatCode="yyyy/m/d">
                  <c:v>44431</c:v>
                </c:pt>
                <c:pt idx="34" c:formatCode="yyyy/m/d">
                  <c:v>44438</c:v>
                </c:pt>
                <c:pt idx="35" c:formatCode="yyyy/m/d">
                  <c:v>44445</c:v>
                </c:pt>
                <c:pt idx="36" c:formatCode="yyyy/m/d">
                  <c:v>44452</c:v>
                </c:pt>
                <c:pt idx="37" c:formatCode="yyyy/m/d">
                  <c:v>44461</c:v>
                </c:pt>
                <c:pt idx="38" c:formatCode="yyyy/m/d">
                  <c:v>44466</c:v>
                </c:pt>
                <c:pt idx="39" c:formatCode="yyyy/m/d">
                  <c:v>44473</c:v>
                </c:pt>
                <c:pt idx="40" c:formatCode="yyyy/m/d">
                  <c:v>44480</c:v>
                </c:pt>
                <c:pt idx="41" c:formatCode="yyyy/m/d">
                  <c:v>44487</c:v>
                </c:pt>
                <c:pt idx="42" c:formatCode="yyyy/m/d">
                  <c:v>44494</c:v>
                </c:pt>
                <c:pt idx="43" c:formatCode="yyyy/m/d">
                  <c:v>44501</c:v>
                </c:pt>
                <c:pt idx="44" c:formatCode="yyyy/m/d">
                  <c:v>44508</c:v>
                </c:pt>
                <c:pt idx="45" c:formatCode="yyyy/m/d">
                  <c:v>44515</c:v>
                </c:pt>
                <c:pt idx="46" c:formatCode="yyyy/m/d">
                  <c:v>44522</c:v>
                </c:pt>
                <c:pt idx="47" c:formatCode="yyyy/m/d">
                  <c:v>44529</c:v>
                </c:pt>
                <c:pt idx="48" c:formatCode="yyyy/m/d">
                  <c:v>44536</c:v>
                </c:pt>
                <c:pt idx="49" c:formatCode="yyyy/m/d">
                  <c:v>44543</c:v>
                </c:pt>
                <c:pt idx="50" c:formatCode="yyyy/m/d">
                  <c:v>44550</c:v>
                </c:pt>
                <c:pt idx="51" c:formatCode="yyyy/m/d">
                  <c:v>44557</c:v>
                </c:pt>
                <c:pt idx="52" c:formatCode="yyyy/m/d">
                  <c:v>44564</c:v>
                </c:pt>
                <c:pt idx="53" c:formatCode="yyyy/m/d">
                  <c:v>44571</c:v>
                </c:pt>
                <c:pt idx="54" c:formatCode="yyyy/m/d">
                  <c:v>44578</c:v>
                </c:pt>
                <c:pt idx="55" c:formatCode="yyyy/m/d">
                  <c:v>44585</c:v>
                </c:pt>
                <c:pt idx="56" c:formatCode="yyyy/m/d">
                  <c:v>44599</c:v>
                </c:pt>
                <c:pt idx="57" c:formatCode="yyyy/m/d">
                  <c:v>44606</c:v>
                </c:pt>
                <c:pt idx="58" c:formatCode="yyyy/m/d">
                  <c:v>44613</c:v>
                </c:pt>
                <c:pt idx="59" c:formatCode="yyyy/m/d">
                  <c:v>44620</c:v>
                </c:pt>
                <c:pt idx="60" c:formatCode="yyyy/m/d">
                  <c:v>44627</c:v>
                </c:pt>
                <c:pt idx="61" c:formatCode="yyyy/m/d">
                  <c:v>44634</c:v>
                </c:pt>
                <c:pt idx="62" c:formatCode="yyyy/m/d">
                  <c:v>44641</c:v>
                </c:pt>
                <c:pt idx="63" c:formatCode="yyyy/m/d">
                  <c:v>44648</c:v>
                </c:pt>
                <c:pt idx="64" c:formatCode="yyyy/m/d">
                  <c:v>44657</c:v>
                </c:pt>
                <c:pt idx="65" c:formatCode="yyyy/m/d">
                  <c:v>44662</c:v>
                </c:pt>
                <c:pt idx="66" c:formatCode="yyyy/m/d">
                  <c:v>44669</c:v>
                </c:pt>
                <c:pt idx="67" c:formatCode="yyyy/m/d">
                  <c:v>44676</c:v>
                </c:pt>
                <c:pt idx="68" c:formatCode="yyyy/m/d">
                  <c:v>44684</c:v>
                </c:pt>
                <c:pt idx="69" c:formatCode="yyyy/m/d">
                  <c:v>44690</c:v>
                </c:pt>
                <c:pt idx="70" c:formatCode="yyyy/m/d">
                  <c:v>44697</c:v>
                </c:pt>
                <c:pt idx="71" c:formatCode="yyyy/m/d">
                  <c:v>44704</c:v>
                </c:pt>
                <c:pt idx="72" c:formatCode="yyyy/m/d">
                  <c:v>44711</c:v>
                </c:pt>
                <c:pt idx="73" c:formatCode="yyyy/m/d">
                  <c:v>44718</c:v>
                </c:pt>
                <c:pt idx="74" c:formatCode="yyyy/m/d">
                  <c:v>44725</c:v>
                </c:pt>
                <c:pt idx="75" c:formatCode="yyyy/m/d">
                  <c:v>44732</c:v>
                </c:pt>
                <c:pt idx="76" c:formatCode="yyyy/m/d">
                  <c:v>44739</c:v>
                </c:pt>
                <c:pt idx="77" c:formatCode="yyyy/m/d">
                  <c:v>44746</c:v>
                </c:pt>
                <c:pt idx="78" c:formatCode="yyyy/m/d">
                  <c:v>44753</c:v>
                </c:pt>
                <c:pt idx="79" c:formatCode="yyyy/m/d">
                  <c:v>44760</c:v>
                </c:pt>
                <c:pt idx="80" c:formatCode="yyyy/m/d">
                  <c:v>44767</c:v>
                </c:pt>
                <c:pt idx="81" c:formatCode="yyyy/m/d">
                  <c:v>44774</c:v>
                </c:pt>
                <c:pt idx="82" c:formatCode="yyyy/m/d">
                  <c:v>44781</c:v>
                </c:pt>
                <c:pt idx="83" c:formatCode="yyyy/m/d">
                  <c:v>44788</c:v>
                </c:pt>
                <c:pt idx="84" c:formatCode="yyyy/m/d">
                  <c:v>44795</c:v>
                </c:pt>
                <c:pt idx="85" c:formatCode="yyyy/m/d">
                  <c:v>44802</c:v>
                </c:pt>
                <c:pt idx="86" c:formatCode="yyyy/m/d">
                  <c:v>44809</c:v>
                </c:pt>
                <c:pt idx="87" c:formatCode="yyyy/m/d">
                  <c:v>44816</c:v>
                </c:pt>
                <c:pt idx="88" c:formatCode="yyyy/m/d">
                  <c:v>44823</c:v>
                </c:pt>
                <c:pt idx="89" c:formatCode="yyyy/m/d">
                  <c:v>44830</c:v>
                </c:pt>
                <c:pt idx="90" c:formatCode="yyyy/m/d">
                  <c:v>44837</c:v>
                </c:pt>
                <c:pt idx="91" c:formatCode="yyyy/m/d">
                  <c:v>44844</c:v>
                </c:pt>
                <c:pt idx="92" c:formatCode="yyyy/m/d">
                  <c:v>44851</c:v>
                </c:pt>
                <c:pt idx="93" c:formatCode="yyyy/m/d">
                  <c:v>44858</c:v>
                </c:pt>
                <c:pt idx="94" c:formatCode="yyyy/m/d">
                  <c:v>44865</c:v>
                </c:pt>
                <c:pt idx="95" c:formatCode="yyyy/m/d">
                  <c:v>44872</c:v>
                </c:pt>
                <c:pt idx="96" c:formatCode="yyyy/m/d">
                  <c:v>44879</c:v>
                </c:pt>
                <c:pt idx="97" c:formatCode="yyyy/m/d">
                  <c:v>44886</c:v>
                </c:pt>
                <c:pt idx="98" c:formatCode="yyyy/m/d">
                  <c:v>44893</c:v>
                </c:pt>
                <c:pt idx="99" c:formatCode="yyyy/m/d">
                  <c:v>44900</c:v>
                </c:pt>
                <c:pt idx="100" c:formatCode="yyyy/m/d">
                  <c:v>44907</c:v>
                </c:pt>
                <c:pt idx="101" c:formatCode="yyyy/m/d">
                  <c:v>44914</c:v>
                </c:pt>
                <c:pt idx="102" c:formatCode="yyyy/m/d">
                  <c:v>44921</c:v>
                </c:pt>
                <c:pt idx="103" c:formatCode="yyyy/m/d">
                  <c:v>44928</c:v>
                </c:pt>
                <c:pt idx="104" c:formatCode="yyyy/m/d">
                  <c:v>44935</c:v>
                </c:pt>
                <c:pt idx="105" c:formatCode="yyyy/m/d">
                  <c:v>44942</c:v>
                </c:pt>
                <c:pt idx="106" c:formatCode="yyyy/m/d">
                  <c:v>44956</c:v>
                </c:pt>
                <c:pt idx="107" c:formatCode="yyyy/m/d">
                  <c:v>44963</c:v>
                </c:pt>
                <c:pt idx="108" c:formatCode="yyyy/m/d">
                  <c:v>44970</c:v>
                </c:pt>
                <c:pt idx="109" c:formatCode="yyyy/m/d">
                  <c:v>44977</c:v>
                </c:pt>
                <c:pt idx="110" c:formatCode="yyyy/m/d">
                  <c:v>44984</c:v>
                </c:pt>
                <c:pt idx="111" c:formatCode="yyyy/m/d">
                  <c:v>44991</c:v>
                </c:pt>
                <c:pt idx="112" c:formatCode="yyyy/m/d">
                  <c:v>44998</c:v>
                </c:pt>
                <c:pt idx="113" c:formatCode="yyyy/m/d">
                  <c:v>45005</c:v>
                </c:pt>
                <c:pt idx="114" c:formatCode="yyyy/m/d">
                  <c:v>45012</c:v>
                </c:pt>
                <c:pt idx="115" c:formatCode="yyyy/m/d">
                  <c:v>45019</c:v>
                </c:pt>
                <c:pt idx="116" c:formatCode="yyyy/m/d">
                  <c:v>45026</c:v>
                </c:pt>
                <c:pt idx="117" c:formatCode="yyyy/m/d">
                  <c:v>45033</c:v>
                </c:pt>
                <c:pt idx="118" c:formatCode="yyyy/m/d">
                  <c:v>45040</c:v>
                </c:pt>
                <c:pt idx="119" c:formatCode="yyyy/m/d">
                  <c:v>45047</c:v>
                </c:pt>
                <c:pt idx="120" c:formatCode="yyyy/m/d">
                  <c:v>45054</c:v>
                </c:pt>
                <c:pt idx="121" c:formatCode="yyyy/m/d">
                  <c:v>45061</c:v>
                </c:pt>
                <c:pt idx="122" c:formatCode="yyyy/m/d">
                  <c:v>45068</c:v>
                </c:pt>
                <c:pt idx="123" c:formatCode="yyyy/m/d">
                  <c:v>45075</c:v>
                </c:pt>
                <c:pt idx="124" c:formatCode="yyyy/m/d">
                  <c:v>45082</c:v>
                </c:pt>
                <c:pt idx="125" c:formatCode="yyyy/m/d">
                  <c:v>45089</c:v>
                </c:pt>
                <c:pt idx="126" c:formatCode="yyyy/m/d">
                  <c:v>45096</c:v>
                </c:pt>
                <c:pt idx="127" c:formatCode="yyyy/m/d">
                  <c:v>45103</c:v>
                </c:pt>
                <c:pt idx="128" c:formatCode="yyyy/m/d">
                  <c:v>45110</c:v>
                </c:pt>
                <c:pt idx="129" c:formatCode="yyyy/m/d">
                  <c:v>45117</c:v>
                </c:pt>
                <c:pt idx="130" c:formatCode="yyyy/m/d">
                  <c:v>45124</c:v>
                </c:pt>
                <c:pt idx="131" c:formatCode="yyyy/m/d">
                  <c:v>45131</c:v>
                </c:pt>
                <c:pt idx="132" c:formatCode="yyyy/m/d">
                  <c:v>45138</c:v>
                </c:pt>
                <c:pt idx="133" c:formatCode="yyyy/m/d">
                  <c:v>45145</c:v>
                </c:pt>
                <c:pt idx="134" c:formatCode="yyyy/m/d">
                  <c:v>45152</c:v>
                </c:pt>
                <c:pt idx="135" c:formatCode="yyyy/m/d">
                  <c:v>45159</c:v>
                </c:pt>
                <c:pt idx="136" c:formatCode="yyyy/m/d">
                  <c:v>45166</c:v>
                </c:pt>
                <c:pt idx="137" c:formatCode="yyyy/m/d">
                  <c:v>45173</c:v>
                </c:pt>
                <c:pt idx="138" c:formatCode="yyyy/m/d">
                  <c:v>45180</c:v>
                </c:pt>
                <c:pt idx="139" c:formatCode="yyyy/m/d">
                  <c:v>45187</c:v>
                </c:pt>
                <c:pt idx="140" c:formatCode="yyyy/m/d">
                  <c:v>45194</c:v>
                </c:pt>
                <c:pt idx="141" c:formatCode="yyyy/m/d">
                  <c:v>45201</c:v>
                </c:pt>
                <c:pt idx="142" c:formatCode="yyyy/m/d">
                  <c:v>45208</c:v>
                </c:pt>
                <c:pt idx="143" c:formatCode="yyyy/m/d">
                  <c:v>45215</c:v>
                </c:pt>
                <c:pt idx="144" c:formatCode="yyyy/m/d">
                  <c:v>45222</c:v>
                </c:pt>
                <c:pt idx="145" c:formatCode="yyyy/m/d">
                  <c:v>45229</c:v>
                </c:pt>
                <c:pt idx="146" c:formatCode="yyyy/m/d">
                  <c:v>45236</c:v>
                </c:pt>
                <c:pt idx="147" c:formatCode="yyyy/m/d">
                  <c:v>45243</c:v>
                </c:pt>
                <c:pt idx="148" c:formatCode="yyyy/m/d">
                  <c:v>45250</c:v>
                </c:pt>
                <c:pt idx="149" c:formatCode="yyyy/m/d">
                  <c:v>45257</c:v>
                </c:pt>
                <c:pt idx="150" c:formatCode="yyyy/m/d">
                  <c:v>45264</c:v>
                </c:pt>
                <c:pt idx="151" c:formatCode="yyyy/m/d">
                  <c:v>45271</c:v>
                </c:pt>
                <c:pt idx="152" c:formatCode="yyyy/m/d">
                  <c:v>45278</c:v>
                </c:pt>
                <c:pt idx="153" c:formatCode="yyyy/m/d">
                  <c:v>45285</c:v>
                </c:pt>
                <c:pt idx="154" c:formatCode="yyyy/m/d">
                  <c:v>45292</c:v>
                </c:pt>
                <c:pt idx="155" c:formatCode="yyyy/m/d">
                  <c:v>45299</c:v>
                </c:pt>
                <c:pt idx="156" c:formatCode="yyyy/m/d">
                  <c:v>45306</c:v>
                </c:pt>
                <c:pt idx="157" c:formatCode="yyyy/m/d">
                  <c:v>45313</c:v>
                </c:pt>
                <c:pt idx="158" c:formatCode="yyyy/m/d">
                  <c:v>45320</c:v>
                </c:pt>
                <c:pt idx="159" c:formatCode="yyyy/m/d">
                  <c:v>45327</c:v>
                </c:pt>
                <c:pt idx="160" c:formatCode="yyyy/m/d">
                  <c:v>45334</c:v>
                </c:pt>
                <c:pt idx="161" c:formatCode="yyyy/m/d">
                  <c:v>45341</c:v>
                </c:pt>
                <c:pt idx="162" c:formatCode="yyyy/m/d">
                  <c:v>45348</c:v>
                </c:pt>
                <c:pt idx="163" c:formatCode="yyyy/m/d">
                  <c:v>45355</c:v>
                </c:pt>
                <c:pt idx="164" c:formatCode="yyyy/m/d">
                  <c:v>45362</c:v>
                </c:pt>
                <c:pt idx="165" c:formatCode="yyyy/m/d">
                  <c:v>45369</c:v>
                </c:pt>
                <c:pt idx="166" c:formatCode="yyyy/m/d">
                  <c:v>45376</c:v>
                </c:pt>
                <c:pt idx="167" c:formatCode="yyyy/m/d">
                  <c:v>45383</c:v>
                </c:pt>
                <c:pt idx="168" c:formatCode="yyyy/m/d">
                  <c:v>45390</c:v>
                </c:pt>
                <c:pt idx="169" c:formatCode="yyyy/m/d">
                  <c:v>45397</c:v>
                </c:pt>
                <c:pt idx="170" c:formatCode="yyyy/m/d">
                  <c:v>45404</c:v>
                </c:pt>
                <c:pt idx="171" c:formatCode="yyyy/m/d">
                  <c:v>45411</c:v>
                </c:pt>
                <c:pt idx="172" c:formatCode="yyyy/m/d">
                  <c:v>45418</c:v>
                </c:pt>
                <c:pt idx="173" c:formatCode="yyyy/m/d">
                  <c:v>45425</c:v>
                </c:pt>
                <c:pt idx="174" c:formatCode="yyyy/m/d">
                  <c:v>45432</c:v>
                </c:pt>
                <c:pt idx="175" c:formatCode="yyyy/m/d">
                  <c:v>45439</c:v>
                </c:pt>
                <c:pt idx="176" c:formatCode="yyyy/m/d">
                  <c:v>45446</c:v>
                </c:pt>
                <c:pt idx="177" c:formatCode="yyyy/m/d">
                  <c:v>45454</c:v>
                </c:pt>
                <c:pt idx="178" c:formatCode="yyyy/m/d">
                  <c:v>45460</c:v>
                </c:pt>
                <c:pt idx="179" c:formatCode="yyyy/m/d">
                  <c:v>45467</c:v>
                </c:pt>
                <c:pt idx="180" c:formatCode="yyyy/m/d">
                  <c:v>45474</c:v>
                </c:pt>
                <c:pt idx="181" c:formatCode="yyyy/m/d">
                  <c:v>45481</c:v>
                </c:pt>
                <c:pt idx="182" c:formatCode="yyyy/m/d">
                  <c:v>45488</c:v>
                </c:pt>
                <c:pt idx="183" c:formatCode="yyyy/m/d">
                  <c:v>45495</c:v>
                </c:pt>
                <c:pt idx="184" c:formatCode="yyyy/m/d">
                  <c:v>45502</c:v>
                </c:pt>
                <c:pt idx="185" c:formatCode="yyyy/m/d">
                  <c:v>45509</c:v>
                </c:pt>
                <c:pt idx="186" c:formatCode="yyyy/m/d">
                  <c:v>45516</c:v>
                </c:pt>
                <c:pt idx="187" c:formatCode="yyyy/m/d">
                  <c:v>45523</c:v>
                </c:pt>
                <c:pt idx="188" c:formatCode="yyyy/m/d">
                  <c:v>45530</c:v>
                </c:pt>
                <c:pt idx="189" c:formatCode="yyyy/m/d">
                  <c:v>45537</c:v>
                </c:pt>
                <c:pt idx="190" c:formatCode="yyyy/m/d">
                  <c:v>45544</c:v>
                </c:pt>
                <c:pt idx="191" c:formatCode="yyyy/m/d">
                  <c:v>45551</c:v>
                </c:pt>
                <c:pt idx="192" c:formatCode="yyyy/m/d">
                  <c:v>45558</c:v>
                </c:pt>
                <c:pt idx="193" c:formatCode="yyyy/m/d">
                  <c:v>45565</c:v>
                </c:pt>
                <c:pt idx="194" c:formatCode="yyyy/m/d">
                  <c:v>45572</c:v>
                </c:pt>
                <c:pt idx="195" c:formatCode="yyyy/m/d">
                  <c:v>45579</c:v>
                </c:pt>
                <c:pt idx="196" c:formatCode="yyyy/m/d">
                  <c:v>45586</c:v>
                </c:pt>
                <c:pt idx="197" c:formatCode="yyyy/m/d">
                  <c:v>45593</c:v>
                </c:pt>
                <c:pt idx="198" c:formatCode="yyyy/m/d">
                  <c:v>45600</c:v>
                </c:pt>
                <c:pt idx="199" c:formatCode="yyyy/m/d">
                  <c:v>45607</c:v>
                </c:pt>
                <c:pt idx="200" c:formatCode="yyyy/m/d">
                  <c:v>45614</c:v>
                </c:pt>
                <c:pt idx="201" c:formatCode="yyyy/m/d">
                  <c:v>45621</c:v>
                </c:pt>
                <c:pt idx="202" c:formatCode="yyyy/m/d">
                  <c:v>45628</c:v>
                </c:pt>
                <c:pt idx="203" c:formatCode="yyyy/m/d">
                  <c:v>45635</c:v>
                </c:pt>
                <c:pt idx="204" c:formatCode="yyyy/m/d">
                  <c:v>45642</c:v>
                </c:pt>
                <c:pt idx="205" c:formatCode="yyyy/m/d">
                  <c:v>45649</c:v>
                </c:pt>
                <c:pt idx="206" c:formatCode="yyyy/m/d">
                  <c:v>45656</c:v>
                </c:pt>
                <c:pt idx="207" c:formatCode="yyyy/m/d">
                  <c:v>45663</c:v>
                </c:pt>
                <c:pt idx="208" c:formatCode="yyyy/m/d">
                  <c:v>45670</c:v>
                </c:pt>
                <c:pt idx="209" c:formatCode="yyyy/m/d">
                  <c:v>45677</c:v>
                </c:pt>
                <c:pt idx="210" c:formatCode="yyyy/m/d">
                  <c:v>45684</c:v>
                </c:pt>
                <c:pt idx="211" c:formatCode="yyyy/m/d">
                  <c:v>45691</c:v>
                </c:pt>
                <c:pt idx="212" c:formatCode="yyyy/m/d">
                  <c:v>45698</c:v>
                </c:pt>
                <c:pt idx="213" c:formatCode="yyyy/m/d">
                  <c:v>45705</c:v>
                </c:pt>
                <c:pt idx="214" c:formatCode="yyyy/m/d">
                  <c:v>45712</c:v>
                </c:pt>
                <c:pt idx="215" c:formatCode="yyyy/m/d">
                  <c:v>45719</c:v>
                </c:pt>
                <c:pt idx="216" c:formatCode="yyyy/m/d">
                  <c:v>45726</c:v>
                </c:pt>
                <c:pt idx="217" c:formatCode="yyyy/m/d">
                  <c:v>45733</c:v>
                </c:pt>
                <c:pt idx="218" c:formatCode="yyyy/m/d">
                  <c:v>45740</c:v>
                </c:pt>
                <c:pt idx="219" c:formatCode="yyyy/m/d">
                  <c:v>45747</c:v>
                </c:pt>
                <c:pt idx="220" c:formatCode="yyyy/m/d">
                  <c:v>45754</c:v>
                </c:pt>
                <c:pt idx="221" c:formatCode="yyyy/m/d">
                  <c:v>45761</c:v>
                </c:pt>
                <c:pt idx="222" c:formatCode="yyyy/m/d">
                  <c:v>45768</c:v>
                </c:pt>
                <c:pt idx="223" c:formatCode="yyyy/m/d">
                  <c:v>45775</c:v>
                </c:pt>
                <c:pt idx="224" c:formatCode="yyyy/m/d">
                  <c:v>45782</c:v>
                </c:pt>
                <c:pt idx="225" c:formatCode="yyyy/m/d">
                  <c:v>45789</c:v>
                </c:pt>
                <c:pt idx="226" c:formatCode="yyyy/m/d">
                  <c:v>45796</c:v>
                </c:pt>
                <c:pt idx="227" c:formatCode="yyyy/m/d">
                  <c:v>45803</c:v>
                </c:pt>
                <c:pt idx="228" c:formatCode="yyyy/m/d">
                  <c:v>45810</c:v>
                </c:pt>
                <c:pt idx="229" c:formatCode="yyyy/m/d">
                  <c:v>45817</c:v>
                </c:pt>
                <c:pt idx="230" c:formatCode="yyyy/m/d">
                  <c:v>45824</c:v>
                </c:pt>
                <c:pt idx="231" c:formatCode="yyyy/m/d">
                  <c:v>45831</c:v>
                </c:pt>
                <c:pt idx="232" c:formatCode="yyyy/m/d">
                  <c:v>45838</c:v>
                </c:pt>
                <c:pt idx="233" c:formatCode="yyyy/m/d">
                  <c:v>45845</c:v>
                </c:pt>
                <c:pt idx="234" c:formatCode="yyyy/m/d">
                  <c:v>45852</c:v>
                </c:pt>
                <c:pt idx="235" c:formatCode="yyyy/m/d">
                  <c:v>45859</c:v>
                </c:pt>
                <c:pt idx="236" c:formatCode="yyyy/m/d">
                  <c:v>45866</c:v>
                </c:pt>
                <c:pt idx="237" c:formatCode="yyyy/m/d">
                  <c:v>45873</c:v>
                </c:pt>
                <c:pt idx="238" c:formatCode="yyyy/m/d">
                  <c:v>45880</c:v>
                </c:pt>
                <c:pt idx="239" c:formatCode="yyyy/m/d">
                  <c:v>45887</c:v>
                </c:pt>
                <c:pt idx="240" c:formatCode="yyyy/m/d">
                  <c:v>45894</c:v>
                </c:pt>
                <c:pt idx="241" c:formatCode="yyyy/m/d">
                  <c:v>45901</c:v>
                </c:pt>
                <c:pt idx="242" c:formatCode="yyyy/m/d">
                  <c:v>45908</c:v>
                </c:pt>
                <c:pt idx="243" c:formatCode="yyyy/m/d">
                  <c:v>45915</c:v>
                </c:pt>
                <c:pt idx="244" c:formatCode="yyyy/m/d">
                  <c:v>45922</c:v>
                </c:pt>
                <c:pt idx="245" c:formatCode="yyyy/m/d">
                  <c:v>45929</c:v>
                </c:pt>
                <c:pt idx="246" c:formatCode="yyyy/m/d">
                  <c:v>45936</c:v>
                </c:pt>
              </c:numCache>
            </c:numRef>
          </c:cat>
          <c:val>
            <c:numRef>
              <c:f>NAND!$BG$127:$BG$373</c:f>
              <c:numCache>
                <c:formatCode>_(* #,##0.00_);_(* \(#,##0.00\);_(* "-"??_);_(@_)</c:formatCode>
                <c:ptCount val="247"/>
                <c:pt idx="0">
                  <c:v>7.92</c:v>
                </c:pt>
                <c:pt idx="1">
                  <c:v>7.92</c:v>
                </c:pt>
                <c:pt idx="2">
                  <c:v>7.92</c:v>
                </c:pt>
                <c:pt idx="3">
                  <c:v>7.92</c:v>
                </c:pt>
                <c:pt idx="4">
                  <c:v>7.96</c:v>
                </c:pt>
                <c:pt idx="5">
                  <c:v>7.96</c:v>
                </c:pt>
                <c:pt idx="6">
                  <c:v>7.96</c:v>
                </c:pt>
                <c:pt idx="7">
                  <c:v>7.96</c:v>
                </c:pt>
                <c:pt idx="8">
                  <c:v>7.96</c:v>
                </c:pt>
                <c:pt idx="9">
                  <c:v>7.96</c:v>
                </c:pt>
                <c:pt idx="10">
                  <c:v>7.96</c:v>
                </c:pt>
                <c:pt idx="11">
                  <c:v>7.96</c:v>
                </c:pt>
                <c:pt idx="12">
                  <c:v>7.96</c:v>
                </c:pt>
                <c:pt idx="13">
                  <c:v>8.15</c:v>
                </c:pt>
                <c:pt idx="14">
                  <c:v>8.15</c:v>
                </c:pt>
                <c:pt idx="15">
                  <c:v>8.15</c:v>
                </c:pt>
                <c:pt idx="16">
                  <c:v>8.15</c:v>
                </c:pt>
                <c:pt idx="17">
                  <c:v>8.15</c:v>
                </c:pt>
                <c:pt idx="18">
                  <c:v>8.15</c:v>
                </c:pt>
                <c:pt idx="19">
                  <c:v>8.15</c:v>
                </c:pt>
                <c:pt idx="20">
                  <c:v>8.15</c:v>
                </c:pt>
                <c:pt idx="21">
                  <c:v>8.15</c:v>
                </c:pt>
                <c:pt idx="22">
                  <c:v>8.4</c:v>
                </c:pt>
                <c:pt idx="23">
                  <c:v>8.4</c:v>
                </c:pt>
                <c:pt idx="24">
                  <c:v>8.4</c:v>
                </c:pt>
                <c:pt idx="25">
                  <c:v>8.4</c:v>
                </c:pt>
                <c:pt idx="26">
                  <c:v>8.48</c:v>
                </c:pt>
                <c:pt idx="27">
                  <c:v>8.48</c:v>
                </c:pt>
                <c:pt idx="28">
                  <c:v>8.48</c:v>
                </c:pt>
                <c:pt idx="29">
                  <c:v>8.48</c:v>
                </c:pt>
                <c:pt idx="30">
                  <c:v>8.48</c:v>
                </c:pt>
                <c:pt idx="31">
                  <c:v>8.48</c:v>
                </c:pt>
                <c:pt idx="32">
                  <c:v>8.48</c:v>
                </c:pt>
                <c:pt idx="33">
                  <c:v>8.48</c:v>
                </c:pt>
                <c:pt idx="34">
                  <c:v>8.48</c:v>
                </c:pt>
                <c:pt idx="35">
                  <c:v>8.2</c:v>
                </c:pt>
                <c:pt idx="36">
                  <c:v>8.2</c:v>
                </c:pt>
                <c:pt idx="37">
                  <c:v>8.2</c:v>
                </c:pt>
                <c:pt idx="38">
                  <c:v>8.2</c:v>
                </c:pt>
                <c:pt idx="39">
                  <c:v>7.92</c:v>
                </c:pt>
                <c:pt idx="40">
                  <c:v>7.92</c:v>
                </c:pt>
                <c:pt idx="41">
                  <c:v>7.92</c:v>
                </c:pt>
                <c:pt idx="42">
                  <c:v>7.92</c:v>
                </c:pt>
                <c:pt idx="43">
                  <c:v>7.83</c:v>
                </c:pt>
                <c:pt idx="44">
                  <c:v>7.83</c:v>
                </c:pt>
                <c:pt idx="45">
                  <c:v>7.83</c:v>
                </c:pt>
                <c:pt idx="46">
                  <c:v>7.83</c:v>
                </c:pt>
                <c:pt idx="47">
                  <c:v>7.83</c:v>
                </c:pt>
                <c:pt idx="48">
                  <c:v>7.83</c:v>
                </c:pt>
                <c:pt idx="49">
                  <c:v>7.83</c:v>
                </c:pt>
                <c:pt idx="50">
                  <c:v>7.83</c:v>
                </c:pt>
                <c:pt idx="51">
                  <c:v>7.83</c:v>
                </c:pt>
                <c:pt idx="52">
                  <c:v>7.83</c:v>
                </c:pt>
                <c:pt idx="53">
                  <c:v>7.83</c:v>
                </c:pt>
                <c:pt idx="54">
                  <c:v>7.83</c:v>
                </c:pt>
                <c:pt idx="55">
                  <c:v>7.83</c:v>
                </c:pt>
                <c:pt idx="56">
                  <c:v>8.715</c:v>
                </c:pt>
                <c:pt idx="57">
                  <c:v>8.715</c:v>
                </c:pt>
                <c:pt idx="58">
                  <c:v>8.715</c:v>
                </c:pt>
                <c:pt idx="59">
                  <c:v>8.715</c:v>
                </c:pt>
                <c:pt idx="60">
                  <c:v>9.18</c:v>
                </c:pt>
                <c:pt idx="61">
                  <c:v>9.18</c:v>
                </c:pt>
                <c:pt idx="62">
                  <c:v>9.18</c:v>
                </c:pt>
                <c:pt idx="63">
                  <c:v>9.18</c:v>
                </c:pt>
                <c:pt idx="64">
                  <c:v>9.18</c:v>
                </c:pt>
                <c:pt idx="65">
                  <c:v>9.18</c:v>
                </c:pt>
                <c:pt idx="66">
                  <c:v>9.18</c:v>
                </c:pt>
                <c:pt idx="67">
                  <c:v>9.18</c:v>
                </c:pt>
                <c:pt idx="68">
                  <c:v>8.79</c:v>
                </c:pt>
                <c:pt idx="69">
                  <c:v>8.79</c:v>
                </c:pt>
                <c:pt idx="70">
                  <c:v>8.79</c:v>
                </c:pt>
                <c:pt idx="71">
                  <c:v>8.79</c:v>
                </c:pt>
                <c:pt idx="72">
                  <c:v>8.79</c:v>
                </c:pt>
                <c:pt idx="73">
                  <c:v>7.94</c:v>
                </c:pt>
                <c:pt idx="74">
                  <c:v>7.94</c:v>
                </c:pt>
                <c:pt idx="75">
                  <c:v>7.94</c:v>
                </c:pt>
                <c:pt idx="76">
                  <c:v>7.94</c:v>
                </c:pt>
                <c:pt idx="77">
                  <c:v>7.34</c:v>
                </c:pt>
                <c:pt idx="78">
                  <c:v>7.34</c:v>
                </c:pt>
                <c:pt idx="79">
                  <c:v>7.34</c:v>
                </c:pt>
                <c:pt idx="80">
                  <c:v>7.34</c:v>
                </c:pt>
                <c:pt idx="81">
                  <c:v>5.925</c:v>
                </c:pt>
                <c:pt idx="82">
                  <c:v>5.925</c:v>
                </c:pt>
                <c:pt idx="83">
                  <c:v>5.925</c:v>
                </c:pt>
                <c:pt idx="84">
                  <c:v>5.925</c:v>
                </c:pt>
                <c:pt idx="85">
                  <c:v>5.925</c:v>
                </c:pt>
                <c:pt idx="86">
                  <c:v>5.325</c:v>
                </c:pt>
                <c:pt idx="87">
                  <c:v>5.325</c:v>
                </c:pt>
                <c:pt idx="88">
                  <c:v>5.325</c:v>
                </c:pt>
                <c:pt idx="89">
                  <c:v>5.325</c:v>
                </c:pt>
                <c:pt idx="90">
                  <c:v>4.675</c:v>
                </c:pt>
                <c:pt idx="91">
                  <c:v>4.675</c:v>
                </c:pt>
                <c:pt idx="92">
                  <c:v>4.675</c:v>
                </c:pt>
                <c:pt idx="93">
                  <c:v>4.675</c:v>
                </c:pt>
                <c:pt idx="94">
                  <c:v>4.675</c:v>
                </c:pt>
                <c:pt idx="95">
                  <c:v>4.415</c:v>
                </c:pt>
                <c:pt idx="96">
                  <c:v>4.415</c:v>
                </c:pt>
                <c:pt idx="97">
                  <c:v>4.415</c:v>
                </c:pt>
                <c:pt idx="98">
                  <c:v>4.415</c:v>
                </c:pt>
                <c:pt idx="99">
                  <c:v>4.255</c:v>
                </c:pt>
                <c:pt idx="100">
                  <c:v>4.255</c:v>
                </c:pt>
                <c:pt idx="101">
                  <c:v>4.255</c:v>
                </c:pt>
                <c:pt idx="102">
                  <c:v>4.255</c:v>
                </c:pt>
                <c:pt idx="103">
                  <c:v>4.195</c:v>
                </c:pt>
                <c:pt idx="104">
                  <c:v>4.195</c:v>
                </c:pt>
                <c:pt idx="105">
                  <c:v>4.195</c:v>
                </c:pt>
                <c:pt idx="106">
                  <c:v>4.195</c:v>
                </c:pt>
                <c:pt idx="107">
                  <c:v>4.195</c:v>
                </c:pt>
                <c:pt idx="108">
                  <c:v>4.195</c:v>
                </c:pt>
                <c:pt idx="109">
                  <c:v>4.195</c:v>
                </c:pt>
                <c:pt idx="110">
                  <c:v>4.195</c:v>
                </c:pt>
                <c:pt idx="111">
                  <c:v>3.85</c:v>
                </c:pt>
                <c:pt idx="112">
                  <c:v>3.85</c:v>
                </c:pt>
                <c:pt idx="113">
                  <c:v>3.85</c:v>
                </c:pt>
                <c:pt idx="114">
                  <c:v>3.85</c:v>
                </c:pt>
                <c:pt idx="115">
                  <c:v>3.61</c:v>
                </c:pt>
                <c:pt idx="116">
                  <c:v>3.61</c:v>
                </c:pt>
                <c:pt idx="117">
                  <c:v>3.61</c:v>
                </c:pt>
                <c:pt idx="118">
                  <c:v>3.61</c:v>
                </c:pt>
                <c:pt idx="119">
                  <c:v>3.61</c:v>
                </c:pt>
                <c:pt idx="120">
                  <c:v>3.61</c:v>
                </c:pt>
                <c:pt idx="121">
                  <c:v>3.61</c:v>
                </c:pt>
                <c:pt idx="122">
                  <c:v>3.61</c:v>
                </c:pt>
                <c:pt idx="123">
                  <c:v>3.61</c:v>
                </c:pt>
                <c:pt idx="124">
                  <c:v>3.61</c:v>
                </c:pt>
                <c:pt idx="125">
                  <c:v>3.61</c:v>
                </c:pt>
                <c:pt idx="126">
                  <c:v>3.61</c:v>
                </c:pt>
                <c:pt idx="127">
                  <c:v>3.61</c:v>
                </c:pt>
                <c:pt idx="128">
                  <c:v>3.61</c:v>
                </c:pt>
                <c:pt idx="129">
                  <c:v>3.61</c:v>
                </c:pt>
                <c:pt idx="130">
                  <c:v>3.61</c:v>
                </c:pt>
                <c:pt idx="131">
                  <c:v>3.61</c:v>
                </c:pt>
                <c:pt idx="132">
                  <c:v>3.61</c:v>
                </c:pt>
                <c:pt idx="133">
                  <c:v>3.61</c:v>
                </c:pt>
                <c:pt idx="134">
                  <c:v>3.61</c:v>
                </c:pt>
                <c:pt idx="135">
                  <c:v>3.61</c:v>
                </c:pt>
                <c:pt idx="136">
                  <c:v>3.61</c:v>
                </c:pt>
                <c:pt idx="137">
                  <c:v>3.675</c:v>
                </c:pt>
                <c:pt idx="138">
                  <c:v>3.675</c:v>
                </c:pt>
                <c:pt idx="139">
                  <c:v>3.675</c:v>
                </c:pt>
                <c:pt idx="140">
                  <c:v>3.675</c:v>
                </c:pt>
                <c:pt idx="141">
                  <c:v>4.125</c:v>
                </c:pt>
                <c:pt idx="142">
                  <c:v>4.125</c:v>
                </c:pt>
                <c:pt idx="143">
                  <c:v>4.125</c:v>
                </c:pt>
                <c:pt idx="144">
                  <c:v>4.125</c:v>
                </c:pt>
                <c:pt idx="145">
                  <c:v>4.125</c:v>
                </c:pt>
                <c:pt idx="146">
                  <c:v>5.22</c:v>
                </c:pt>
                <c:pt idx="147">
                  <c:v>5.22</c:v>
                </c:pt>
                <c:pt idx="148">
                  <c:v>5.22</c:v>
                </c:pt>
                <c:pt idx="149">
                  <c:v>5.22</c:v>
                </c:pt>
                <c:pt idx="150">
                  <c:v>5.945</c:v>
                </c:pt>
                <c:pt idx="151">
                  <c:v>5.945</c:v>
                </c:pt>
                <c:pt idx="152">
                  <c:v>5.945</c:v>
                </c:pt>
                <c:pt idx="153">
                  <c:v>5.945</c:v>
                </c:pt>
                <c:pt idx="154">
                  <c:v>6.31</c:v>
                </c:pt>
                <c:pt idx="155">
                  <c:v>6.31</c:v>
                </c:pt>
                <c:pt idx="156">
                  <c:v>6.31</c:v>
                </c:pt>
                <c:pt idx="157">
                  <c:v>6.31</c:v>
                </c:pt>
                <c:pt idx="158">
                  <c:v>6.31</c:v>
                </c:pt>
                <c:pt idx="159">
                  <c:v>6.605</c:v>
                </c:pt>
                <c:pt idx="160">
                  <c:v>6.605</c:v>
                </c:pt>
                <c:pt idx="161">
                  <c:v>6.605</c:v>
                </c:pt>
                <c:pt idx="162">
                  <c:v>6.605</c:v>
                </c:pt>
                <c:pt idx="163">
                  <c:v>7.575</c:v>
                </c:pt>
                <c:pt idx="164">
                  <c:v>7.575</c:v>
                </c:pt>
                <c:pt idx="165">
                  <c:v>7.575</c:v>
                </c:pt>
                <c:pt idx="166">
                  <c:v>7.575</c:v>
                </c:pt>
                <c:pt idx="167">
                  <c:v>7.575</c:v>
                </c:pt>
                <c:pt idx="168">
                  <c:v>7.575</c:v>
                </c:pt>
                <c:pt idx="169">
                  <c:v>7.575</c:v>
                </c:pt>
                <c:pt idx="170">
                  <c:v>7.575</c:v>
                </c:pt>
                <c:pt idx="171">
                  <c:v>7.575</c:v>
                </c:pt>
                <c:pt idx="172">
                  <c:v>7.575</c:v>
                </c:pt>
                <c:pt idx="173">
                  <c:v>7.575</c:v>
                </c:pt>
                <c:pt idx="174">
                  <c:v>7.575</c:v>
                </c:pt>
                <c:pt idx="175">
                  <c:v>7.575</c:v>
                </c:pt>
                <c:pt idx="176">
                  <c:v>7.575</c:v>
                </c:pt>
                <c:pt idx="177">
                  <c:v>7.575</c:v>
                </c:pt>
                <c:pt idx="178">
                  <c:v>7.575</c:v>
                </c:pt>
                <c:pt idx="179">
                  <c:v>7.575</c:v>
                </c:pt>
                <c:pt idx="180">
                  <c:v>7.575</c:v>
                </c:pt>
                <c:pt idx="181">
                  <c:v>7.575</c:v>
                </c:pt>
                <c:pt idx="182">
                  <c:v>7.575</c:v>
                </c:pt>
                <c:pt idx="183">
                  <c:v>7.575</c:v>
                </c:pt>
                <c:pt idx="184">
                  <c:v>7.575</c:v>
                </c:pt>
                <c:pt idx="185">
                  <c:v>7.27</c:v>
                </c:pt>
                <c:pt idx="186">
                  <c:v>7.27</c:v>
                </c:pt>
                <c:pt idx="187">
                  <c:v>7.27</c:v>
                </c:pt>
                <c:pt idx="188">
                  <c:v>7.27</c:v>
                </c:pt>
                <c:pt idx="189">
                  <c:v>6.625</c:v>
                </c:pt>
                <c:pt idx="190">
                  <c:v>6.625</c:v>
                </c:pt>
                <c:pt idx="191">
                  <c:v>6.625</c:v>
                </c:pt>
                <c:pt idx="192">
                  <c:v>6.625</c:v>
                </c:pt>
                <c:pt idx="193">
                  <c:v>6.625</c:v>
                </c:pt>
                <c:pt idx="194">
                  <c:v>6.35</c:v>
                </c:pt>
                <c:pt idx="195">
                  <c:v>6.35</c:v>
                </c:pt>
                <c:pt idx="196">
                  <c:v>6.35</c:v>
                </c:pt>
                <c:pt idx="197">
                  <c:v>6.35</c:v>
                </c:pt>
                <c:pt idx="198">
                  <c:v>5.34</c:v>
                </c:pt>
                <c:pt idx="199">
                  <c:v>5.34</c:v>
                </c:pt>
                <c:pt idx="200">
                  <c:v>5.34</c:v>
                </c:pt>
                <c:pt idx="201">
                  <c:v>5.34</c:v>
                </c:pt>
                <c:pt idx="202">
                  <c:v>4.91</c:v>
                </c:pt>
                <c:pt idx="203">
                  <c:v>4.91</c:v>
                </c:pt>
                <c:pt idx="204">
                  <c:v>4.91</c:v>
                </c:pt>
                <c:pt idx="205">
                  <c:v>4.91</c:v>
                </c:pt>
                <c:pt idx="206">
                  <c:v>4.91</c:v>
                </c:pt>
                <c:pt idx="207">
                  <c:v>4.68</c:v>
                </c:pt>
                <c:pt idx="208">
                  <c:v>4.68</c:v>
                </c:pt>
                <c:pt idx="209">
                  <c:v>4.68</c:v>
                </c:pt>
                <c:pt idx="210">
                  <c:v>4.68</c:v>
                </c:pt>
                <c:pt idx="211">
                  <c:v>4.64</c:v>
                </c:pt>
                <c:pt idx="212">
                  <c:v>4.64</c:v>
                </c:pt>
                <c:pt idx="213">
                  <c:v>4.64</c:v>
                </c:pt>
                <c:pt idx="214">
                  <c:v>4.64</c:v>
                </c:pt>
                <c:pt idx="215">
                  <c:v>5.03</c:v>
                </c:pt>
                <c:pt idx="216">
                  <c:v>5.03</c:v>
                </c:pt>
                <c:pt idx="217">
                  <c:v>5.03</c:v>
                </c:pt>
                <c:pt idx="218">
                  <c:v>5.03</c:v>
                </c:pt>
                <c:pt idx="219">
                  <c:v>5.03</c:v>
                </c:pt>
                <c:pt idx="220">
                  <c:v>5.505</c:v>
                </c:pt>
                <c:pt idx="221">
                  <c:v>5.505</c:v>
                </c:pt>
                <c:pt idx="222">
                  <c:v>5.505</c:v>
                </c:pt>
                <c:pt idx="223">
                  <c:v>5.505</c:v>
                </c:pt>
                <c:pt idx="224">
                  <c:v>5.61</c:v>
                </c:pt>
                <c:pt idx="225">
                  <c:v>5.61</c:v>
                </c:pt>
                <c:pt idx="226">
                  <c:v>5.61</c:v>
                </c:pt>
                <c:pt idx="227">
                  <c:v>5.61</c:v>
                </c:pt>
                <c:pt idx="228">
                  <c:v>5.68</c:v>
                </c:pt>
                <c:pt idx="229">
                  <c:v>5.68</c:v>
                </c:pt>
                <c:pt idx="230">
                  <c:v>5.68</c:v>
                </c:pt>
                <c:pt idx="231">
                  <c:v>5.68</c:v>
                </c:pt>
                <c:pt idx="232">
                  <c:v>5.68</c:v>
                </c:pt>
                <c:pt idx="233">
                  <c:v>5.79</c:v>
                </c:pt>
                <c:pt idx="234">
                  <c:v>5.79</c:v>
                </c:pt>
                <c:pt idx="235">
                  <c:v>5.79</c:v>
                </c:pt>
                <c:pt idx="236">
                  <c:v>5.79</c:v>
                </c:pt>
                <c:pt idx="237">
                  <c:v>5.855</c:v>
                </c:pt>
                <c:pt idx="238">
                  <c:v>5.855</c:v>
                </c:pt>
                <c:pt idx="239">
                  <c:v>5.855</c:v>
                </c:pt>
                <c:pt idx="240">
                  <c:v>5.855</c:v>
                </c:pt>
                <c:pt idx="241">
                  <c:v>5.98</c:v>
                </c:pt>
                <c:pt idx="242">
                  <c:v>5.98</c:v>
                </c:pt>
                <c:pt idx="243">
                  <c:v>5.98</c:v>
                </c:pt>
                <c:pt idx="244">
                  <c:v>5.98</c:v>
                </c:pt>
                <c:pt idx="245">
                  <c:v>5.98</c:v>
                </c:pt>
                <c:pt idx="246">
                  <c:v>7.82</c:v>
                </c:pt>
              </c:numCache>
            </c:numRef>
          </c:val>
          <c:smooth val="0"/>
        </c:ser>
        <c:dLbls>
          <c:showLegendKey val="0"/>
          <c:showVal val="0"/>
          <c:showCatName val="0"/>
          <c:showSerName val="0"/>
          <c:showPercent val="0"/>
          <c:showBubbleSize val="0"/>
        </c:dLbls>
        <c:marker val="0"/>
        <c:smooth val="0"/>
        <c:axId val="1725516239"/>
        <c:axId val="1527998815"/>
      </c:lineChart>
      <c:dateAx>
        <c:axId val="1725516239"/>
        <c:scaling>
          <c:orientation val="minMax"/>
          <c:min val="44565"/>
        </c:scaling>
        <c:delete val="0"/>
        <c:axPos val="b"/>
        <c:numFmt formatCode="[$-409]mmm\-yy;@" sourceLinked="0"/>
        <c:majorTickMark val="out"/>
        <c:minorTickMark val="none"/>
        <c:tickLblPos val="low"/>
        <c:spPr>
          <a:ln w="12700" cap="flat" cmpd="sng" algn="ctr">
            <a:solidFill>
              <a:srgbClr val="000000"/>
            </a:solidFill>
            <a:prstDash val="solid"/>
            <a:round/>
          </a:ln>
        </c:spPr>
        <c:txPr>
          <a:bodyPr rot="-54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527998815"/>
        <c:crosses val="autoZero"/>
        <c:auto val="1"/>
        <c:lblOffset val="100"/>
        <c:baseTimeUnit val="days"/>
        <c:majorUnit val="1"/>
        <c:majorTimeUnit val="months"/>
      </c:dateAx>
      <c:valAx>
        <c:axId val="1527998815"/>
        <c:scaling>
          <c:orientation val="minMax"/>
          <c:min val="2"/>
        </c:scaling>
        <c:delete val="0"/>
        <c:axPos val="l"/>
        <c:title>
          <c:tx>
            <c:rich>
              <a:bodyPr rot="-5400000" spcFirstLastPara="0" vertOverflow="ellipsis" vert="horz" wrap="square" anchor="ctr" anchorCtr="1"/>
              <a:lstStyle/>
              <a:p>
                <a:pPr>
                  <a:defRPr lang="zh-CN" sz="800" b="1" i="0" u="none" strike="noStrike" kern="1200" baseline="0">
                    <a:solidFill>
                      <a:schemeClr val="tx1"/>
                    </a:solidFill>
                    <a:latin typeface="Arial" panose="020B0604020202090204"/>
                    <a:ea typeface="Arial" panose="020B0604020202090204"/>
                    <a:cs typeface="Arial" panose="020B0604020202090204"/>
                  </a:defRPr>
                </a:pPr>
                <a:r>
                  <a:rPr lang="en-US"/>
                  <a:t>US$</a:t>
                </a:r>
                <a:endParaRPr lang="en-US"/>
              </a:p>
            </c:rich>
          </c:tx>
          <c:layout/>
          <c:overlay val="0"/>
        </c:title>
        <c:numFmt formatCode="_(* #,##0_);_(* \(#,##0\);_(* &quot;-&quot;_);_(@_)" sourceLinked="0"/>
        <c:majorTickMark val="out"/>
        <c:minorTickMark val="none"/>
        <c:tickLblPos val="nextTo"/>
        <c:spPr>
          <a:ln w="12700" cap="flat" cmpd="sng" algn="ctr">
            <a:solidFill>
              <a:srgbClr val="000000"/>
            </a:solidFill>
            <a:prstDash val="solid"/>
            <a:round/>
          </a:ln>
        </c:spPr>
        <c:txPr>
          <a:bodyPr rot="-6000000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crossAx val="1725516239"/>
        <c:crosses val="autoZero"/>
        <c:crossBetween val="between"/>
      </c:valAx>
      <c:spPr>
        <a:noFill/>
        <a:ln w="25400">
          <a:noFill/>
        </a:ln>
      </c:spPr>
    </c:plotArea>
    <c:legend>
      <c:legendPos val="b"/>
      <c:layout/>
      <c:overlay val="0"/>
      <c:spPr>
        <a:ln w="12700">
          <a:solidFill>
            <a:srgbClr val="000000"/>
          </a:solidFill>
          <a:prstDash val="solid"/>
        </a:ln>
      </c:spPr>
      <c:txPr>
        <a:bodyPr rot="0" spcFirstLastPara="0" vertOverflow="ellipsis" vert="horz" wrap="square" anchor="ctr" anchorCtr="1"/>
        <a:lstStyle/>
        <a:p>
          <a:pPr>
            <a:defRPr lang="zh-CN" sz="800" b="0" i="0" u="none" strike="noStrike" kern="1200" baseline="0">
              <a:solidFill>
                <a:schemeClr val="tx1"/>
              </a:solidFill>
              <a:latin typeface="Arial" panose="020B0604020202090204"/>
              <a:ea typeface="Arial" panose="020B0604020202090204"/>
              <a:cs typeface="Arial" panose="020B0604020202090204"/>
            </a:defRPr>
          </a:pPr>
        </a:p>
      </c:txPr>
    </c:legend>
    <c:plotVisOnly val="1"/>
    <c:dispBlanksAs val="gap"/>
    <c:showDLblsOverMax val="0"/>
    <c:extLst>
      <c:ext uri="{0b15fc19-7d7d-44ad-8c2d-2c3a37ce22c3}">
        <chartProps xmlns="https://web.wps.cn/et/2018/main" chartId="{bd06897e-db3b-4efa-95fb-4ff9976faf81}"/>
      </c:ext>
    </c:extLst>
  </c:chart>
  <c:spPr>
    <a:ln w="3175" cap="flat" cmpd="sng" algn="ctr">
      <a:solidFill>
        <a:srgbClr val="FEFFFF"/>
      </a:solidFill>
      <a:prstDash val="solid"/>
      <a:round/>
    </a:ln>
  </c:spPr>
  <c:txPr>
    <a:bodyPr/>
    <a:lstStyle/>
    <a:p>
      <a:pPr>
        <a:defRPr lang="zh-CN" sz="800">
          <a:solidFill>
            <a:schemeClr val="tx1"/>
          </a:solidFill>
          <a:latin typeface="Arial" panose="020B0604020202090204"/>
          <a:ea typeface="Arial" panose="020B0604020202090204"/>
          <a:cs typeface="Arial" panose="020B0604020202090204"/>
        </a:defRPr>
      </a:pPr>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9" Type="http://schemas.openxmlformats.org/officeDocument/2006/relationships/chart" Target="../charts/chart11.xml"/><Relationship Id="rId8" Type="http://schemas.openxmlformats.org/officeDocument/2006/relationships/chart" Target="../charts/chart10.xml"/><Relationship Id="rId7" Type="http://schemas.openxmlformats.org/officeDocument/2006/relationships/chart" Target="../charts/chart9.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3" Type="http://schemas.openxmlformats.org/officeDocument/2006/relationships/chart" Target="../charts/chart5.xml"/><Relationship Id="rId22" Type="http://schemas.openxmlformats.org/officeDocument/2006/relationships/chart" Target="../charts/chart24.xml"/><Relationship Id="rId21" Type="http://schemas.openxmlformats.org/officeDocument/2006/relationships/chart" Target="../charts/chart23.xml"/><Relationship Id="rId20" Type="http://schemas.openxmlformats.org/officeDocument/2006/relationships/chart" Target="../charts/chart22.xml"/><Relationship Id="rId2" Type="http://schemas.openxmlformats.org/officeDocument/2006/relationships/chart" Target="../charts/chart4.xml"/><Relationship Id="rId19" Type="http://schemas.openxmlformats.org/officeDocument/2006/relationships/chart" Target="../charts/chart21.xml"/><Relationship Id="rId18" Type="http://schemas.openxmlformats.org/officeDocument/2006/relationships/chart" Target="../charts/chart20.xml"/><Relationship Id="rId17" Type="http://schemas.openxmlformats.org/officeDocument/2006/relationships/chart" Target="../charts/chart19.xml"/><Relationship Id="rId16" Type="http://schemas.openxmlformats.org/officeDocument/2006/relationships/chart" Target="../charts/chart18.xml"/><Relationship Id="rId15" Type="http://schemas.openxmlformats.org/officeDocument/2006/relationships/chart" Target="../charts/chart17.xml"/><Relationship Id="rId14" Type="http://schemas.openxmlformats.org/officeDocument/2006/relationships/chart" Target="../charts/chart16.xml"/><Relationship Id="rId13" Type="http://schemas.openxmlformats.org/officeDocument/2006/relationships/chart" Target="../charts/chart15.xml"/><Relationship Id="rId12" Type="http://schemas.openxmlformats.org/officeDocument/2006/relationships/chart" Target="../charts/chart14.xml"/><Relationship Id="rId11" Type="http://schemas.openxmlformats.org/officeDocument/2006/relationships/chart" Target="../charts/chart13.xml"/><Relationship Id="rId10" Type="http://schemas.openxmlformats.org/officeDocument/2006/relationships/chart" Target="../charts/chart12.xml"/><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9" Type="http://schemas.openxmlformats.org/officeDocument/2006/relationships/chart" Target="../charts/chart33.xml"/><Relationship Id="rId8" Type="http://schemas.openxmlformats.org/officeDocument/2006/relationships/chart" Target="../charts/chart32.xml"/><Relationship Id="rId7" Type="http://schemas.openxmlformats.org/officeDocument/2006/relationships/chart" Target="../charts/chart31.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 Id="rId3" Type="http://schemas.openxmlformats.org/officeDocument/2006/relationships/chart" Target="../charts/chart27.xml"/><Relationship Id="rId2" Type="http://schemas.openxmlformats.org/officeDocument/2006/relationships/chart" Target="../charts/chart26.xml"/><Relationship Id="rId17" Type="http://schemas.openxmlformats.org/officeDocument/2006/relationships/chart" Target="../charts/chart41.xml"/><Relationship Id="rId16" Type="http://schemas.openxmlformats.org/officeDocument/2006/relationships/chart" Target="../charts/chart40.xml"/><Relationship Id="rId15" Type="http://schemas.openxmlformats.org/officeDocument/2006/relationships/chart" Target="../charts/chart39.xml"/><Relationship Id="rId14" Type="http://schemas.openxmlformats.org/officeDocument/2006/relationships/chart" Target="../charts/chart38.xml"/><Relationship Id="rId13" Type="http://schemas.openxmlformats.org/officeDocument/2006/relationships/chart" Target="../charts/chart37.xml"/><Relationship Id="rId12" Type="http://schemas.openxmlformats.org/officeDocument/2006/relationships/chart" Target="../charts/chart36.xml"/><Relationship Id="rId11" Type="http://schemas.openxmlformats.org/officeDocument/2006/relationships/chart" Target="../charts/chart35.xml"/><Relationship Id="rId10" Type="http://schemas.openxmlformats.org/officeDocument/2006/relationships/chart" Target="../charts/chart34.xml"/><Relationship Id="rId1" Type="http://schemas.openxmlformats.org/officeDocument/2006/relationships/chart" Target="../charts/chart25.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0</xdr:colOff>
      <xdr:row>7</xdr:row>
      <xdr:rowOff>0</xdr:rowOff>
    </xdr:from>
    <xdr:to>
      <xdr:col>19</xdr:col>
      <xdr:colOff>100298</xdr:colOff>
      <xdr:row>12</xdr:row>
      <xdr:rowOff>21811</xdr:rowOff>
    </xdr:to>
    <xdr:pic>
      <xdr:nvPicPr>
        <xdr:cNvPr id="2" name="Picture 1" descr="AB Bernstein"/>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8412480" y="1351280"/>
          <a:ext cx="3676015" cy="986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17</xdr:col>
      <xdr:colOff>36289</xdr:colOff>
      <xdr:row>95</xdr:row>
      <xdr:rowOff>150184</xdr:rowOff>
    </xdr:from>
    <xdr:to>
      <xdr:col>20</xdr:col>
      <xdr:colOff>148161</xdr:colOff>
      <xdr:row>114</xdr:row>
      <xdr:rowOff>51760</xdr:rowOff>
    </xdr:to>
    <xdr:graphicFrame>
      <xdr:nvGraphicFramePr>
        <xdr:cNvPr id="2" name="Chart 1"/>
        <xdr:cNvGraphicFramePr/>
      </xdr:nvGraphicFramePr>
      <xdr:xfrm>
        <a:off x="11358880" y="14728190"/>
        <a:ext cx="0" cy="34671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560293</xdr:colOff>
      <xdr:row>95</xdr:row>
      <xdr:rowOff>113364</xdr:rowOff>
    </xdr:from>
    <xdr:to>
      <xdr:col>26</xdr:col>
      <xdr:colOff>119716</xdr:colOff>
      <xdr:row>114</xdr:row>
      <xdr:rowOff>19982</xdr:rowOff>
    </xdr:to>
    <xdr:graphicFrame>
      <xdr:nvGraphicFramePr>
        <xdr:cNvPr id="3" name="Chart 2"/>
        <xdr:cNvGraphicFramePr/>
      </xdr:nvGraphicFramePr>
      <xdr:xfrm>
        <a:off x="11358880" y="14691360"/>
        <a:ext cx="0" cy="34721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4</xdr:col>
      <xdr:colOff>0</xdr:colOff>
      <xdr:row>2</xdr:row>
      <xdr:rowOff>118223</xdr:rowOff>
    </xdr:from>
    <xdr:to>
      <xdr:col>4</xdr:col>
      <xdr:colOff>0</xdr:colOff>
      <xdr:row>19</xdr:row>
      <xdr:rowOff>0</xdr:rowOff>
    </xdr:to>
    <xdr:graphicFrame>
      <xdr:nvGraphicFramePr>
        <xdr:cNvPr id="2" name="Chart 1"/>
        <xdr:cNvGraphicFramePr/>
      </xdr:nvGraphicFramePr>
      <xdr:xfrm>
        <a:off x="1696720" y="504190"/>
        <a:ext cx="0" cy="297053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xdr:row>
      <xdr:rowOff>85725</xdr:rowOff>
    </xdr:from>
    <xdr:to>
      <xdr:col>4</xdr:col>
      <xdr:colOff>0</xdr:colOff>
      <xdr:row>19</xdr:row>
      <xdr:rowOff>0</xdr:rowOff>
    </xdr:to>
    <xdr:graphicFrame>
      <xdr:nvGraphicFramePr>
        <xdr:cNvPr id="3" name="Chart 2"/>
        <xdr:cNvGraphicFramePr/>
      </xdr:nvGraphicFramePr>
      <xdr:xfrm>
        <a:off x="1696720" y="278765"/>
        <a:ext cx="0" cy="319595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11206</xdr:colOff>
      <xdr:row>0</xdr:row>
      <xdr:rowOff>0</xdr:rowOff>
    </xdr:from>
    <xdr:to>
      <xdr:col>11</xdr:col>
      <xdr:colOff>547781</xdr:colOff>
      <xdr:row>15</xdr:row>
      <xdr:rowOff>111125</xdr:rowOff>
    </xdr:to>
    <xdr:graphicFrame>
      <xdr:nvGraphicFramePr>
        <xdr:cNvPr id="4" name="Chart 3"/>
        <xdr:cNvGraphicFramePr/>
      </xdr:nvGraphicFramePr>
      <xdr:xfrm>
        <a:off x="213995" y="0"/>
        <a:ext cx="6398895" cy="300672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49</xdr:col>
      <xdr:colOff>314276</xdr:colOff>
      <xdr:row>0</xdr:row>
      <xdr:rowOff>0</xdr:rowOff>
    </xdr:from>
    <xdr:to>
      <xdr:col>58</xdr:col>
      <xdr:colOff>103419</xdr:colOff>
      <xdr:row>15</xdr:row>
      <xdr:rowOff>106082</xdr:rowOff>
    </xdr:to>
    <xdr:graphicFrame>
      <xdr:nvGraphicFramePr>
        <xdr:cNvPr id="5" name="Chart 4"/>
        <xdr:cNvGraphicFramePr/>
      </xdr:nvGraphicFramePr>
      <xdr:xfrm>
        <a:off x="33668970" y="0"/>
        <a:ext cx="6443980" cy="300164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149</xdr:col>
      <xdr:colOff>201913</xdr:colOff>
      <xdr:row>2</xdr:row>
      <xdr:rowOff>100856</xdr:rowOff>
    </xdr:from>
    <xdr:to>
      <xdr:col>159</xdr:col>
      <xdr:colOff>314906</xdr:colOff>
      <xdr:row>19</xdr:row>
      <xdr:rowOff>44825</xdr:rowOff>
    </xdr:to>
    <xdr:graphicFrame>
      <xdr:nvGraphicFramePr>
        <xdr:cNvPr id="6" name="Chart 5"/>
        <xdr:cNvGraphicFramePr/>
      </xdr:nvGraphicFramePr>
      <xdr:xfrm>
        <a:off x="103426895" y="486410"/>
        <a:ext cx="6412230" cy="30327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133</xdr:col>
      <xdr:colOff>464554</xdr:colOff>
      <xdr:row>0</xdr:row>
      <xdr:rowOff>0</xdr:rowOff>
    </xdr:from>
    <xdr:to>
      <xdr:col>137</xdr:col>
      <xdr:colOff>58154</xdr:colOff>
      <xdr:row>19</xdr:row>
      <xdr:rowOff>44450</xdr:rowOff>
    </xdr:to>
    <xdr:graphicFrame>
      <xdr:nvGraphicFramePr>
        <xdr:cNvPr id="7" name="Chart 6"/>
        <xdr:cNvGraphicFramePr/>
      </xdr:nvGraphicFramePr>
      <xdr:xfrm>
        <a:off x="91497785" y="0"/>
        <a:ext cx="3088640" cy="351917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69</xdr:col>
      <xdr:colOff>569696</xdr:colOff>
      <xdr:row>0</xdr:row>
      <xdr:rowOff>0</xdr:rowOff>
    </xdr:from>
    <xdr:to>
      <xdr:col>82</xdr:col>
      <xdr:colOff>249021</xdr:colOff>
      <xdr:row>15</xdr:row>
      <xdr:rowOff>111125</xdr:rowOff>
    </xdr:to>
    <xdr:graphicFrame>
      <xdr:nvGraphicFramePr>
        <xdr:cNvPr id="8" name="Chart 1a"/>
        <xdr:cNvGraphicFramePr/>
      </xdr:nvGraphicFramePr>
      <xdr:xfrm>
        <a:off x="47772955" y="0"/>
        <a:ext cx="6456045" cy="300672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41</xdr:col>
      <xdr:colOff>352559</xdr:colOff>
      <xdr:row>0</xdr:row>
      <xdr:rowOff>11206</xdr:rowOff>
    </xdr:from>
    <xdr:to>
      <xdr:col>48</xdr:col>
      <xdr:colOff>547355</xdr:colOff>
      <xdr:row>15</xdr:row>
      <xdr:rowOff>117099</xdr:rowOff>
    </xdr:to>
    <xdr:graphicFrame>
      <xdr:nvGraphicFramePr>
        <xdr:cNvPr id="9" name="bb_Q0RCMjJDQUVCREVBNDZEMj"/>
        <xdr:cNvGraphicFramePr/>
      </xdr:nvGraphicFramePr>
      <xdr:xfrm>
        <a:off x="26768425" y="10795"/>
        <a:ext cx="6432550" cy="300164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118</xdr:col>
      <xdr:colOff>409575</xdr:colOff>
      <xdr:row>0</xdr:row>
      <xdr:rowOff>0</xdr:rowOff>
    </xdr:from>
    <xdr:to>
      <xdr:col>122</xdr:col>
      <xdr:colOff>374650</xdr:colOff>
      <xdr:row>19</xdr:row>
      <xdr:rowOff>44450</xdr:rowOff>
    </xdr:to>
    <xdr:graphicFrame>
      <xdr:nvGraphicFramePr>
        <xdr:cNvPr id="10" name="Chart 1d"/>
        <xdr:cNvGraphicFramePr/>
      </xdr:nvGraphicFramePr>
      <xdr:xfrm>
        <a:off x="80521175" y="0"/>
        <a:ext cx="3063875" cy="351917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78440</xdr:colOff>
      <xdr:row>0</xdr:row>
      <xdr:rowOff>0</xdr:rowOff>
    </xdr:from>
    <xdr:to>
      <xdr:col>22</xdr:col>
      <xdr:colOff>270994</xdr:colOff>
      <xdr:row>15</xdr:row>
      <xdr:rowOff>111125</xdr:rowOff>
    </xdr:to>
    <xdr:graphicFrame>
      <xdr:nvGraphicFramePr>
        <xdr:cNvPr id="11" name="Chart 1b"/>
        <xdr:cNvGraphicFramePr/>
      </xdr:nvGraphicFramePr>
      <xdr:xfrm>
        <a:off x="6793865" y="0"/>
        <a:ext cx="6430645" cy="3006725"/>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90</xdr:col>
      <xdr:colOff>632572</xdr:colOff>
      <xdr:row>0</xdr:row>
      <xdr:rowOff>0</xdr:rowOff>
    </xdr:from>
    <xdr:to>
      <xdr:col>98</xdr:col>
      <xdr:colOff>216647</xdr:colOff>
      <xdr:row>15</xdr:row>
      <xdr:rowOff>111125</xdr:rowOff>
    </xdr:to>
    <xdr:graphicFrame>
      <xdr:nvGraphicFramePr>
        <xdr:cNvPr id="12" name="Chart 19a"/>
        <xdr:cNvGraphicFramePr/>
      </xdr:nvGraphicFramePr>
      <xdr:xfrm>
        <a:off x="60789820" y="0"/>
        <a:ext cx="6462395" cy="3006725"/>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98</xdr:col>
      <xdr:colOff>351864</xdr:colOff>
      <xdr:row>0</xdr:row>
      <xdr:rowOff>0</xdr:rowOff>
    </xdr:from>
    <xdr:to>
      <xdr:col>102</xdr:col>
      <xdr:colOff>116914</xdr:colOff>
      <xdr:row>19</xdr:row>
      <xdr:rowOff>44450</xdr:rowOff>
    </xdr:to>
    <xdr:graphicFrame>
      <xdr:nvGraphicFramePr>
        <xdr:cNvPr id="13" name="Chart 1f"/>
        <xdr:cNvGraphicFramePr/>
      </xdr:nvGraphicFramePr>
      <xdr:xfrm>
        <a:off x="67387470" y="0"/>
        <a:ext cx="3077210" cy="351917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138</xdr:col>
      <xdr:colOff>78442</xdr:colOff>
      <xdr:row>0</xdr:row>
      <xdr:rowOff>0</xdr:rowOff>
    </xdr:from>
    <xdr:to>
      <xdr:col>142</xdr:col>
      <xdr:colOff>157817</xdr:colOff>
      <xdr:row>19</xdr:row>
      <xdr:rowOff>44450</xdr:rowOff>
    </xdr:to>
    <xdr:graphicFrame>
      <xdr:nvGraphicFramePr>
        <xdr:cNvPr id="14" name="Chart 13"/>
        <xdr:cNvGraphicFramePr/>
      </xdr:nvGraphicFramePr>
      <xdr:xfrm>
        <a:off x="95460185" y="0"/>
        <a:ext cx="3056255" cy="351917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102</xdr:col>
      <xdr:colOff>252691</xdr:colOff>
      <xdr:row>0</xdr:row>
      <xdr:rowOff>0</xdr:rowOff>
    </xdr:from>
    <xdr:to>
      <xdr:col>107</xdr:col>
      <xdr:colOff>222809</xdr:colOff>
      <xdr:row>19</xdr:row>
      <xdr:rowOff>44451</xdr:rowOff>
    </xdr:to>
    <xdr:graphicFrame>
      <xdr:nvGraphicFramePr>
        <xdr:cNvPr id="15" name="Chart 1g"/>
        <xdr:cNvGraphicFramePr/>
      </xdr:nvGraphicFramePr>
      <xdr:xfrm>
        <a:off x="70599935" y="0"/>
        <a:ext cx="3068955" cy="351917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143</xdr:col>
      <xdr:colOff>0</xdr:colOff>
      <xdr:row>0</xdr:row>
      <xdr:rowOff>0</xdr:rowOff>
    </xdr:from>
    <xdr:to>
      <xdr:col>147</xdr:col>
      <xdr:colOff>222250</xdr:colOff>
      <xdr:row>19</xdr:row>
      <xdr:rowOff>44450</xdr:rowOff>
    </xdr:to>
    <xdr:graphicFrame>
      <xdr:nvGraphicFramePr>
        <xdr:cNvPr id="16" name="Chart 15"/>
        <xdr:cNvGraphicFramePr/>
      </xdr:nvGraphicFramePr>
      <xdr:xfrm>
        <a:off x="99141280" y="0"/>
        <a:ext cx="3046730" cy="351917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638735</xdr:colOff>
      <xdr:row>0</xdr:row>
      <xdr:rowOff>0</xdr:rowOff>
    </xdr:from>
    <xdr:to>
      <xdr:col>32</xdr:col>
      <xdr:colOff>43516</xdr:colOff>
      <xdr:row>15</xdr:row>
      <xdr:rowOff>111125</xdr:rowOff>
    </xdr:to>
    <xdr:graphicFrame>
      <xdr:nvGraphicFramePr>
        <xdr:cNvPr id="17" name="Chart 16"/>
        <xdr:cNvGraphicFramePr/>
      </xdr:nvGraphicFramePr>
      <xdr:xfrm>
        <a:off x="13592175" y="0"/>
        <a:ext cx="6415405" cy="3006725"/>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32</xdr:col>
      <xdr:colOff>291353</xdr:colOff>
      <xdr:row>0</xdr:row>
      <xdr:rowOff>0</xdr:rowOff>
    </xdr:from>
    <xdr:to>
      <xdr:col>41</xdr:col>
      <xdr:colOff>237377</xdr:colOff>
      <xdr:row>15</xdr:row>
      <xdr:rowOff>111125</xdr:rowOff>
    </xdr:to>
    <xdr:graphicFrame>
      <xdr:nvGraphicFramePr>
        <xdr:cNvPr id="18" name="Chart 1h"/>
        <xdr:cNvGraphicFramePr/>
      </xdr:nvGraphicFramePr>
      <xdr:xfrm>
        <a:off x="20255230" y="0"/>
        <a:ext cx="6397625" cy="3006725"/>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82</xdr:col>
      <xdr:colOff>295275</xdr:colOff>
      <xdr:row>0</xdr:row>
      <xdr:rowOff>0</xdr:rowOff>
    </xdr:from>
    <xdr:to>
      <xdr:col>90</xdr:col>
      <xdr:colOff>555907</xdr:colOff>
      <xdr:row>15</xdr:row>
      <xdr:rowOff>120930</xdr:rowOff>
    </xdr:to>
    <xdr:graphicFrame>
      <xdr:nvGraphicFramePr>
        <xdr:cNvPr id="19" name="Chart 19"/>
        <xdr:cNvGraphicFramePr/>
      </xdr:nvGraphicFramePr>
      <xdr:xfrm>
        <a:off x="54275355" y="0"/>
        <a:ext cx="6437630" cy="301625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107</xdr:col>
      <xdr:colOff>337296</xdr:colOff>
      <xdr:row>0</xdr:row>
      <xdr:rowOff>0</xdr:rowOff>
    </xdr:from>
    <xdr:to>
      <xdr:col>118</xdr:col>
      <xdr:colOff>121396</xdr:colOff>
      <xdr:row>15</xdr:row>
      <xdr:rowOff>111125</xdr:rowOff>
    </xdr:to>
    <xdr:graphicFrame>
      <xdr:nvGraphicFramePr>
        <xdr:cNvPr id="20" name="Chart 1c"/>
        <xdr:cNvGraphicFramePr/>
      </xdr:nvGraphicFramePr>
      <xdr:xfrm>
        <a:off x="73783825" y="0"/>
        <a:ext cx="6449060" cy="3006725"/>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123</xdr:col>
      <xdr:colOff>371475</xdr:colOff>
      <xdr:row>0</xdr:row>
      <xdr:rowOff>0</xdr:rowOff>
    </xdr:from>
    <xdr:to>
      <xdr:col>127</xdr:col>
      <xdr:colOff>269875</xdr:colOff>
      <xdr:row>19</xdr:row>
      <xdr:rowOff>44450</xdr:rowOff>
    </xdr:to>
    <xdr:graphicFrame>
      <xdr:nvGraphicFramePr>
        <xdr:cNvPr id="21" name="Chart 1e"/>
        <xdr:cNvGraphicFramePr/>
      </xdr:nvGraphicFramePr>
      <xdr:xfrm>
        <a:off x="84374355" y="0"/>
        <a:ext cx="3068320" cy="351917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128</xdr:col>
      <xdr:colOff>112057</xdr:colOff>
      <xdr:row>0</xdr:row>
      <xdr:rowOff>0</xdr:rowOff>
    </xdr:from>
    <xdr:to>
      <xdr:col>133</xdr:col>
      <xdr:colOff>105707</xdr:colOff>
      <xdr:row>19</xdr:row>
      <xdr:rowOff>44450</xdr:rowOff>
    </xdr:to>
    <xdr:graphicFrame>
      <xdr:nvGraphicFramePr>
        <xdr:cNvPr id="22" name="Chart 21"/>
        <xdr:cNvGraphicFramePr/>
      </xdr:nvGraphicFramePr>
      <xdr:xfrm>
        <a:off x="88077040" y="0"/>
        <a:ext cx="3061970" cy="351917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58</xdr:col>
      <xdr:colOff>476250</xdr:colOff>
      <xdr:row>0</xdr:row>
      <xdr:rowOff>0</xdr:rowOff>
    </xdr:from>
    <xdr:to>
      <xdr:col>68</xdr:col>
      <xdr:colOff>426197</xdr:colOff>
      <xdr:row>15</xdr:row>
      <xdr:rowOff>106082</xdr:rowOff>
    </xdr:to>
    <xdr:graphicFrame>
      <xdr:nvGraphicFramePr>
        <xdr:cNvPr id="23" name="Chart 22"/>
        <xdr:cNvGraphicFramePr/>
      </xdr:nvGraphicFramePr>
      <xdr:xfrm>
        <a:off x="40486330" y="0"/>
        <a:ext cx="6442075" cy="3001645"/>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0.80959</cdr:x>
      <cdr:y>0.02165</cdr:y>
    </cdr:from>
    <cdr:to>
      <cdr:x>0.9845</cdr:x>
      <cdr:y>0.08799</cdr:y>
    </cdr:to>
    <cdr:sp>
      <cdr:nvSpPr>
        <cdr:cNvPr id="2" name="矩形 1"/>
        <cdr:cNvSpPr/>
      </cdr:nvSpPr>
      <cdr:spPr xmlns:a="http://schemas.openxmlformats.org/drawingml/2006/main">
        <a:xfrm xmlns:a="http://schemas.openxmlformats.org/drawingml/2006/main">
          <a:off x="4805017" y="67365"/>
          <a:ext cx="1038105" cy="206467"/>
        </a:xfrm>
        <a:prstGeom xmlns:a="http://schemas.openxmlformats.org/drawingml/2006/main" prst="rect">
          <a:avLst/>
        </a:prstGeom>
      </cdr:spPr>
      <cdr:txBody xmlns:a="http://schemas.openxmlformats.org/drawingml/2006/main">
        <a:bodyPr wrap="none" lIns="0" tIns="0" rIns="0" bIns="0" rtlCol="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r"/>
          <a:r>
            <a:rPr lang="en-US" sz="700">
              <a:latin typeface="Arial" panose="020B0604020202090204" pitchFamily="7" charset="0"/>
              <a:cs typeface="Arial" panose="020B0604020202090204" pitchFamily="7" charset="0"/>
            </a:rPr>
            <a:t>Current spot: $0.99/Gb</a:t>
          </a:r>
          <a:endParaRPr lang="en-US" sz="700">
            <a:latin typeface="Arial" panose="020B0604020202090204" pitchFamily="7" charset="0"/>
            <a:cs typeface="Arial" panose="020B0604020202090204" pitchFamily="7" charset="0"/>
          </a:endParaRPr>
        </a:p>
        <a:p>
          <a:pPr algn="r"/>
          <a:r>
            <a:rPr lang="en-US" sz="700">
              <a:latin typeface="Arial" panose="020B0604020202090204" pitchFamily="7" charset="0"/>
              <a:cs typeface="Arial" panose="020B0604020202090204" pitchFamily="7" charset="0"/>
            </a:rPr>
            <a:t>Current contract: $0.</a:t>
          </a:r>
          <a:r>
            <a:rPr lang="en-US" altLang="zh-CN" sz="700">
              <a:latin typeface="Arial" panose="020B0604020202090204" pitchFamily="7" charset="0"/>
              <a:cs typeface="Arial" panose="020B0604020202090204" pitchFamily="7" charset="0"/>
            </a:rPr>
            <a:t>88</a:t>
          </a:r>
          <a:r>
            <a:rPr lang="en-US" sz="700">
              <a:latin typeface="Arial" panose="020B0604020202090204" pitchFamily="7" charset="0"/>
              <a:cs typeface="Arial" panose="020B0604020202090204" pitchFamily="7" charset="0"/>
            </a:rPr>
            <a:t>/Gb</a:t>
          </a:r>
          <a:endParaRPr lang="en-US" sz="700">
            <a:latin typeface="Arial" panose="020B0604020202090204" pitchFamily="7" charset="0"/>
            <a:cs typeface="Arial" panose="020B0604020202090204" pitchFamily="7"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0.71274</cdr:x>
      <cdr:y>0.06115</cdr:y>
    </cdr:from>
    <cdr:to>
      <cdr:x>0.98146</cdr:x>
      <cdr:y>0.20673</cdr:y>
    </cdr:to>
    <cdr:sp>
      <cdr:nvSpPr>
        <cdr:cNvPr id="2" name="矩形 1"/>
        <cdr:cNvSpPr/>
      </cdr:nvSpPr>
      <cdr:spPr xmlns:a="http://schemas.openxmlformats.org/drawingml/2006/main">
        <a:xfrm xmlns:a="http://schemas.openxmlformats.org/drawingml/2006/main">
          <a:off x="4190983" y="180962"/>
          <a:ext cx="1580101" cy="430786"/>
        </a:xfrm>
        <a:prstGeom xmlns:a="http://schemas.openxmlformats.org/drawingml/2006/main" prst="rect">
          <a:avLst/>
        </a:prstGeom>
      </cdr:spPr>
      <cdr:txBody xmlns:a="http://schemas.openxmlformats.org/drawingml/2006/main">
        <a:bodyPr wrap="none" rtlCol="0"/>
        <a:lstStyle>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a:pPr algn="r"/>
          <a:r>
            <a:rPr lang="en-US" sz="900"/>
            <a:t>Current spot: $0.99/Gb</a:t>
          </a:r>
          <a:endParaRPr lang="en-US" sz="900"/>
        </a:p>
        <a:p>
          <a:pPr algn="r"/>
          <a:r>
            <a:rPr lang="en-US" sz="900"/>
            <a:t>Latest contract: $0.88/Gb</a:t>
          </a:r>
          <a:endParaRPr lang="en-US" sz="900"/>
        </a:p>
      </cdr:txBody>
    </cdr:sp>
  </cdr:relSizeAnchor>
</c:userShapes>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12</xdr:col>
      <xdr:colOff>105260</xdr:colOff>
      <xdr:row>0</xdr:row>
      <xdr:rowOff>0</xdr:rowOff>
    </xdr:from>
    <xdr:to>
      <xdr:col>22</xdr:col>
      <xdr:colOff>232260</xdr:colOff>
      <xdr:row>15</xdr:row>
      <xdr:rowOff>111125</xdr:rowOff>
    </xdr:to>
    <xdr:graphicFrame>
      <xdr:nvGraphicFramePr>
        <xdr:cNvPr id="2" name="Chart 1"/>
        <xdr:cNvGraphicFramePr/>
      </xdr:nvGraphicFramePr>
      <xdr:xfrm>
        <a:off x="8161655" y="0"/>
        <a:ext cx="6426200" cy="30067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137</xdr:col>
      <xdr:colOff>386382</xdr:colOff>
      <xdr:row>0</xdr:row>
      <xdr:rowOff>0</xdr:rowOff>
    </xdr:from>
    <xdr:to>
      <xdr:col>147</xdr:col>
      <xdr:colOff>322882</xdr:colOff>
      <xdr:row>15</xdr:row>
      <xdr:rowOff>111126</xdr:rowOff>
    </xdr:to>
    <xdr:graphicFrame>
      <xdr:nvGraphicFramePr>
        <xdr:cNvPr id="3" name="Chart 4"/>
        <xdr:cNvGraphicFramePr/>
      </xdr:nvGraphicFramePr>
      <xdr:xfrm>
        <a:off x="79522320" y="0"/>
        <a:ext cx="6438900" cy="300672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59</xdr:col>
      <xdr:colOff>191419</xdr:colOff>
      <xdr:row>0</xdr:row>
      <xdr:rowOff>0</xdr:rowOff>
    </xdr:from>
    <xdr:to>
      <xdr:col>69</xdr:col>
      <xdr:colOff>261269</xdr:colOff>
      <xdr:row>15</xdr:row>
      <xdr:rowOff>111125</xdr:rowOff>
    </xdr:to>
    <xdr:graphicFrame>
      <xdr:nvGraphicFramePr>
        <xdr:cNvPr id="4" name="Chart 1b"/>
        <xdr:cNvGraphicFramePr/>
      </xdr:nvGraphicFramePr>
      <xdr:xfrm>
        <a:off x="37986335" y="0"/>
        <a:ext cx="6430010" cy="300672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70</xdr:col>
      <xdr:colOff>190915</xdr:colOff>
      <xdr:row>0</xdr:row>
      <xdr:rowOff>0</xdr:rowOff>
    </xdr:from>
    <xdr:to>
      <xdr:col>80</xdr:col>
      <xdr:colOff>317915</xdr:colOff>
      <xdr:row>15</xdr:row>
      <xdr:rowOff>111125</xdr:rowOff>
    </xdr:to>
    <xdr:graphicFrame>
      <xdr:nvGraphicFramePr>
        <xdr:cNvPr id="5" name="Chart 4"/>
        <xdr:cNvGraphicFramePr/>
      </xdr:nvGraphicFramePr>
      <xdr:xfrm>
        <a:off x="44975780" y="0"/>
        <a:ext cx="6426200" cy="300672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99833</xdr:colOff>
      <xdr:row>0</xdr:row>
      <xdr:rowOff>0</xdr:rowOff>
    </xdr:from>
    <xdr:to>
      <xdr:col>11</xdr:col>
      <xdr:colOff>347058</xdr:colOff>
      <xdr:row>15</xdr:row>
      <xdr:rowOff>110903</xdr:rowOff>
    </xdr:to>
    <xdr:graphicFrame>
      <xdr:nvGraphicFramePr>
        <xdr:cNvPr id="6" name="Chart 5"/>
        <xdr:cNvGraphicFramePr/>
      </xdr:nvGraphicFramePr>
      <xdr:xfrm>
        <a:off x="993775" y="0"/>
        <a:ext cx="6779895" cy="300609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48</xdr:col>
      <xdr:colOff>38657</xdr:colOff>
      <xdr:row>2</xdr:row>
      <xdr:rowOff>22415</xdr:rowOff>
    </xdr:from>
    <xdr:to>
      <xdr:col>57</xdr:col>
      <xdr:colOff>384732</xdr:colOff>
      <xdr:row>17</xdr:row>
      <xdr:rowOff>128498</xdr:rowOff>
    </xdr:to>
    <xdr:graphicFrame>
      <xdr:nvGraphicFramePr>
        <xdr:cNvPr id="7" name="Chart 6"/>
        <xdr:cNvGraphicFramePr/>
      </xdr:nvGraphicFramePr>
      <xdr:xfrm>
        <a:off x="30467300" y="408305"/>
        <a:ext cx="6411595" cy="300164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38</xdr:col>
      <xdr:colOff>554957</xdr:colOff>
      <xdr:row>0</xdr:row>
      <xdr:rowOff>0</xdr:rowOff>
    </xdr:from>
    <xdr:to>
      <xdr:col>42</xdr:col>
      <xdr:colOff>526384</xdr:colOff>
      <xdr:row>15</xdr:row>
      <xdr:rowOff>104723</xdr:rowOff>
    </xdr:to>
    <xdr:graphicFrame>
      <xdr:nvGraphicFramePr>
        <xdr:cNvPr id="8" name="Chart 1"/>
        <xdr:cNvGraphicFramePr/>
      </xdr:nvGraphicFramePr>
      <xdr:xfrm>
        <a:off x="23780115" y="0"/>
        <a:ext cx="3060065" cy="29997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250264</xdr:colOff>
      <xdr:row>0</xdr:row>
      <xdr:rowOff>26894</xdr:rowOff>
    </xdr:from>
    <xdr:to>
      <xdr:col>37</xdr:col>
      <xdr:colOff>855755</xdr:colOff>
      <xdr:row>15</xdr:row>
      <xdr:rowOff>132977</xdr:rowOff>
    </xdr:to>
    <xdr:graphicFrame>
      <xdr:nvGraphicFramePr>
        <xdr:cNvPr id="9" name="Chart 8"/>
        <xdr:cNvGraphicFramePr/>
      </xdr:nvGraphicFramePr>
      <xdr:xfrm>
        <a:off x="16587470" y="26670"/>
        <a:ext cx="6396355" cy="300164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36</xdr:col>
      <xdr:colOff>0</xdr:colOff>
      <xdr:row>205</xdr:row>
      <xdr:rowOff>0</xdr:rowOff>
    </xdr:from>
    <xdr:to>
      <xdr:col>48</xdr:col>
      <xdr:colOff>318620</xdr:colOff>
      <xdr:row>220</xdr:row>
      <xdr:rowOff>106083</xdr:rowOff>
    </xdr:to>
    <xdr:graphicFrame>
      <xdr:nvGraphicFramePr>
        <xdr:cNvPr id="10" name="Chart 1" hidden="1"/>
        <xdr:cNvGraphicFramePr/>
      </xdr:nvGraphicFramePr>
      <xdr:xfrm>
        <a:off x="21498560" y="43580050"/>
        <a:ext cx="9248775" cy="330644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92</xdr:col>
      <xdr:colOff>89649</xdr:colOff>
      <xdr:row>0</xdr:row>
      <xdr:rowOff>0</xdr:rowOff>
    </xdr:from>
    <xdr:to>
      <xdr:col>102</xdr:col>
      <xdr:colOff>1893</xdr:colOff>
      <xdr:row>15</xdr:row>
      <xdr:rowOff>102525</xdr:rowOff>
    </xdr:to>
    <xdr:graphicFrame>
      <xdr:nvGraphicFramePr>
        <xdr:cNvPr id="11" name="Chart 10"/>
        <xdr:cNvGraphicFramePr/>
      </xdr:nvGraphicFramePr>
      <xdr:xfrm>
        <a:off x="59068335" y="0"/>
        <a:ext cx="6414135" cy="2997835"/>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36</xdr:col>
      <xdr:colOff>0</xdr:colOff>
      <xdr:row>221</xdr:row>
      <xdr:rowOff>0</xdr:rowOff>
    </xdr:from>
    <xdr:to>
      <xdr:col>46</xdr:col>
      <xdr:colOff>198156</xdr:colOff>
      <xdr:row>236</xdr:row>
      <xdr:rowOff>106082</xdr:rowOff>
    </xdr:to>
    <xdr:graphicFrame>
      <xdr:nvGraphicFramePr>
        <xdr:cNvPr id="12" name="Chart 1" hidden="1"/>
        <xdr:cNvGraphicFramePr/>
      </xdr:nvGraphicFramePr>
      <xdr:xfrm>
        <a:off x="21498560" y="46993810"/>
        <a:ext cx="7818120" cy="3306445"/>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102</xdr:col>
      <xdr:colOff>217393</xdr:colOff>
      <xdr:row>0</xdr:row>
      <xdr:rowOff>0</xdr:rowOff>
    </xdr:from>
    <xdr:to>
      <xdr:col>112</xdr:col>
      <xdr:colOff>153893</xdr:colOff>
      <xdr:row>15</xdr:row>
      <xdr:rowOff>111125</xdr:rowOff>
    </xdr:to>
    <xdr:graphicFrame>
      <xdr:nvGraphicFramePr>
        <xdr:cNvPr id="13" name="Chart 1a"/>
        <xdr:cNvGraphicFramePr/>
      </xdr:nvGraphicFramePr>
      <xdr:xfrm>
        <a:off x="65698370" y="0"/>
        <a:ext cx="6438900" cy="3006725"/>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43</xdr:col>
      <xdr:colOff>204408</xdr:colOff>
      <xdr:row>0</xdr:row>
      <xdr:rowOff>0</xdr:rowOff>
    </xdr:from>
    <xdr:to>
      <xdr:col>47</xdr:col>
      <xdr:colOff>607099</xdr:colOff>
      <xdr:row>15</xdr:row>
      <xdr:rowOff>112485</xdr:rowOff>
    </xdr:to>
    <xdr:graphicFrame>
      <xdr:nvGraphicFramePr>
        <xdr:cNvPr id="14" name="Chart 1"/>
        <xdr:cNvGraphicFramePr/>
      </xdr:nvGraphicFramePr>
      <xdr:xfrm>
        <a:off x="27290395" y="0"/>
        <a:ext cx="3065145" cy="3007995"/>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81</xdr:col>
      <xdr:colOff>313766</xdr:colOff>
      <xdr:row>0</xdr:row>
      <xdr:rowOff>0</xdr:rowOff>
    </xdr:from>
    <xdr:to>
      <xdr:col>91</xdr:col>
      <xdr:colOff>250266</xdr:colOff>
      <xdr:row>15</xdr:row>
      <xdr:rowOff>111125</xdr:rowOff>
    </xdr:to>
    <xdr:graphicFrame>
      <xdr:nvGraphicFramePr>
        <xdr:cNvPr id="15" name="Chart 4a"/>
        <xdr:cNvGraphicFramePr/>
      </xdr:nvGraphicFramePr>
      <xdr:xfrm>
        <a:off x="52139850" y="0"/>
        <a:ext cx="6438900" cy="3006725"/>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113</xdr:col>
      <xdr:colOff>33616</xdr:colOff>
      <xdr:row>0</xdr:row>
      <xdr:rowOff>0</xdr:rowOff>
    </xdr:from>
    <xdr:to>
      <xdr:col>136</xdr:col>
      <xdr:colOff>575234</xdr:colOff>
      <xdr:row>15</xdr:row>
      <xdr:rowOff>111125</xdr:rowOff>
    </xdr:to>
    <xdr:graphicFrame>
      <xdr:nvGraphicFramePr>
        <xdr:cNvPr id="16" name="Chart 1c"/>
        <xdr:cNvGraphicFramePr/>
      </xdr:nvGraphicFramePr>
      <xdr:xfrm>
        <a:off x="72666860" y="0"/>
        <a:ext cx="6393815" cy="3006725"/>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78</xdr:col>
      <xdr:colOff>0</xdr:colOff>
      <xdr:row>325</xdr:row>
      <xdr:rowOff>0</xdr:rowOff>
    </xdr:from>
    <xdr:to>
      <xdr:col>87</xdr:col>
      <xdr:colOff>514164</xdr:colOff>
      <xdr:row>340</xdr:row>
      <xdr:rowOff>111126</xdr:rowOff>
    </xdr:to>
    <xdr:graphicFrame>
      <xdr:nvGraphicFramePr>
        <xdr:cNvPr id="17" name="Chart 16"/>
        <xdr:cNvGraphicFramePr/>
      </xdr:nvGraphicFramePr>
      <xdr:xfrm>
        <a:off x="49824640" y="69183250"/>
        <a:ext cx="6416675" cy="3311525"/>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90</xdr:col>
      <xdr:colOff>0</xdr:colOff>
      <xdr:row>328</xdr:row>
      <xdr:rowOff>0</xdr:rowOff>
    </xdr:from>
    <xdr:to>
      <xdr:col>99</xdr:col>
      <xdr:colOff>581399</xdr:colOff>
      <xdr:row>343</xdr:row>
      <xdr:rowOff>111125</xdr:rowOff>
    </xdr:to>
    <xdr:graphicFrame>
      <xdr:nvGraphicFramePr>
        <xdr:cNvPr id="18" name="Chart 4b"/>
        <xdr:cNvGraphicFramePr/>
      </xdr:nvGraphicFramePr>
      <xdr:xfrm>
        <a:off x="57678320" y="69823330"/>
        <a:ext cx="6433185" cy="3311525"/>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0.9054</cdr:x>
      <cdr:y>0.46381</cdr:y>
    </cdr:from>
    <cdr:to>
      <cdr:x>0.99278</cdr:x>
      <cdr:y>0.60023</cdr:y>
    </cdr:to>
    <cdr:sp>
      <cdr:nvSpPr>
        <cdr:cNvPr id="2" name="椭圆 1"/>
        <cdr:cNvSpPr/>
      </cdr:nvSpPr>
      <cdr:spPr xmlns:a="http://schemas.openxmlformats.org/drawingml/2006/main">
        <a:xfrm xmlns:a="http://schemas.openxmlformats.org/drawingml/2006/main">
          <a:off x="5457265" y="1143000"/>
          <a:ext cx="526676" cy="336177"/>
        </a:xfrm>
        <a:prstGeom xmlns:a="http://schemas.openxmlformats.org/drawingml/2006/main" prst="ellipse">
          <a:avLst/>
        </a:prstGeom>
        <a:noFill/>
        <a:ln>
          <a:solidFill>
            <a:srgbClr val="C0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xmlns:a="http://schemas.openxmlformats.org/drawingml/2006/main">
        <a:bodyPr vertOverflow="clip"/>
        <a:lstStyle/>
        <a:p>
          <a:endParaRPr lang="en-US"/>
        </a:p>
      </cdr:txBody>
    </cdr:sp>
  </cdr:relSizeAnchor>
  <cdr:relSizeAnchor xmlns:cdr="http://schemas.openxmlformats.org/drawingml/2006/chartDrawing">
    <cdr:from>
      <cdr:x>0.80315</cdr:x>
      <cdr:y>0.25009</cdr:y>
    </cdr:from>
    <cdr:to>
      <cdr:x>0.97791</cdr:x>
      <cdr:y>0.55476</cdr:y>
    </cdr:to>
    <cdr:sp>
      <cdr:nvSpPr>
        <cdr:cNvPr id="3" name="矩形 2"/>
        <cdr:cNvSpPr/>
      </cdr:nvSpPr>
      <cdr:spPr xmlns:a="http://schemas.openxmlformats.org/drawingml/2006/main">
        <a:xfrm xmlns:a="http://schemas.openxmlformats.org/drawingml/2006/main">
          <a:off x="4840941" y="616324"/>
          <a:ext cx="1053353" cy="750794"/>
        </a:xfrm>
        <a:prstGeom xmlns:a="http://schemas.openxmlformats.org/drawingml/2006/main" prst="rect">
          <a:avLst/>
        </a:prstGeom>
      </cdr:spPr>
      <cdr:txBody xmlns:a="http://schemas.openxmlformats.org/drawingml/2006/main">
        <a:bodyPr vertOverflow="clip" wrap="square" rtlCol="0"/>
        <a:lstStyle/>
        <a:p>
          <a:r>
            <a:rPr lang="en-US" sz="1000">
              <a:latin typeface="Arial" panose="020B0604020202090204" pitchFamily="7" charset="0"/>
              <a:cs typeface="Arial" panose="020B0604020202090204" pitchFamily="7" charset="0"/>
            </a:rPr>
            <a:t>Spot Price flattish since early Apr</a:t>
          </a:r>
          <a:endParaRPr lang="en-US" sz="1000">
            <a:latin typeface="Arial" panose="020B0604020202090204" pitchFamily="7" charset="0"/>
            <a:cs typeface="Arial" panose="020B0604020202090204" pitchFamily="7"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0.81802</cdr:x>
      <cdr:y>0.41167</cdr:y>
    </cdr:from>
    <cdr:to>
      <cdr:x>0.99191</cdr:x>
      <cdr:y>0.54809</cdr:y>
    </cdr:to>
    <cdr:sp>
      <cdr:nvSpPr>
        <cdr:cNvPr id="2" name="椭圆 1"/>
        <cdr:cNvSpPr/>
      </cdr:nvSpPr>
      <cdr:spPr xmlns:a="http://schemas.openxmlformats.org/drawingml/2006/main">
        <a:xfrm xmlns:a="http://schemas.openxmlformats.org/drawingml/2006/main">
          <a:off x="4930588" y="1014506"/>
          <a:ext cx="1048123" cy="336177"/>
        </a:xfrm>
        <a:prstGeom xmlns:a="http://schemas.openxmlformats.org/drawingml/2006/main" prst="ellipse">
          <a:avLst/>
        </a:prstGeom>
        <a:noFill/>
        <a:ln>
          <a:solidFill>
            <a:srgbClr val="C0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xmlns:a="http://schemas.openxmlformats.org/drawingml/2006/main">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cdr:txBody>
    </cdr:sp>
  </cdr:relSizeAnchor>
  <cdr:relSizeAnchor xmlns:cdr="http://schemas.openxmlformats.org/drawingml/2006/chartDrawing">
    <cdr:from>
      <cdr:x>0.80972</cdr:x>
      <cdr:y>0.17067</cdr:y>
    </cdr:from>
    <cdr:to>
      <cdr:x>0.98448</cdr:x>
      <cdr:y>0.47533</cdr:y>
    </cdr:to>
    <cdr:sp>
      <cdr:nvSpPr>
        <cdr:cNvPr id="3" name="矩形 2"/>
        <cdr:cNvSpPr/>
      </cdr:nvSpPr>
      <cdr:spPr xmlns:a="http://schemas.openxmlformats.org/drawingml/2006/main">
        <a:xfrm xmlns:a="http://schemas.openxmlformats.org/drawingml/2006/main">
          <a:off x="4880535" y="420594"/>
          <a:ext cx="1053353" cy="750794"/>
        </a:xfrm>
        <a:prstGeom xmlns:a="http://schemas.openxmlformats.org/drawingml/2006/main" prst="rect">
          <a:avLst/>
        </a:prstGeom>
      </cdr:spPr>
      <cdr:txBody xmlns:a="http://schemas.openxmlformats.org/drawingml/2006/main">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1000">
              <a:latin typeface="Arial" panose="020B0604020202090204" pitchFamily="7" charset="0"/>
              <a:cs typeface="Arial" panose="020B0604020202090204" pitchFamily="7" charset="0"/>
            </a:rPr>
            <a:t>Spot Price flattish since early Nov 2024</a:t>
          </a:r>
          <a:endParaRPr lang="en-US" sz="1000">
            <a:latin typeface="Arial" panose="020B0604020202090204" pitchFamily="7" charset="0"/>
            <a:cs typeface="Arial" panose="020B0604020202090204" pitchFamily="7" charset="0"/>
          </a:endParaRPr>
        </a:p>
      </cdr:txBody>
    </cdr:sp>
  </cdr:relSizeAnchor>
</c:userShapes>
</file>

<file path=xl/theme/theme1.xml><?xml version="1.0" encoding="utf-8"?>
<a:theme xmlns:a="http://schemas.openxmlformats.org/drawingml/2006/main" name="Office Theme">
  <a:themeElements>
    <a:clrScheme name="SCBATMTheme">
      <a:dk1>
        <a:srgbClr val="000000"/>
      </a:dk1>
      <a:lt1>
        <a:srgbClr val="FFFFFF"/>
      </a:lt1>
      <a:dk2>
        <a:srgbClr val="C0C0C0"/>
      </a:dk2>
      <a:lt2>
        <a:srgbClr val="F0F0F0"/>
      </a:lt2>
      <a:accent1>
        <a:srgbClr val="1E9BD7"/>
      </a:accent1>
      <a:accent2>
        <a:srgbClr val="1F497D"/>
      </a:accent2>
      <a:accent3>
        <a:srgbClr val="1CD8C0"/>
      </a:accent3>
      <a:accent4>
        <a:srgbClr val="0E6C60"/>
      </a:accent4>
      <a:accent5>
        <a:srgbClr val="8C8C8C"/>
      </a:accent5>
      <a:accent6>
        <a:srgbClr val="43377D"/>
      </a:accent6>
      <a:hlink>
        <a:srgbClr val="1E9BD7"/>
      </a:hlink>
      <a:folHlink>
        <a:srgbClr val="353535"/>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3" Type="http://schemas.openxmlformats.org/officeDocument/2006/relationships/hyperlink" Target="mailto:mark.li@bernsteinsg.com" TargetMode="External"/><Relationship Id="rId2" Type="http://schemas.openxmlformats.org/officeDocument/2006/relationships/hyperlink" Target="mailto:edward.hou@bernsteinsg.com"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3:AI58"/>
  <sheetViews>
    <sheetView zoomScale="70" zoomScaleNormal="70" zoomScaleSheetLayoutView="70" workbookViewId="0">
      <selection activeCell="AG31" sqref="AG31"/>
    </sheetView>
  </sheetViews>
  <sheetFormatPr defaultColWidth="9.14285714285714" defaultRowHeight="15.2"/>
  <cols>
    <col min="1" max="7" width="9.14285714285714" style="398"/>
    <col min="8" max="8" width="5.57142857142857" style="398" customWidth="1"/>
    <col min="9" max="12" width="9.14285714285714" style="398"/>
    <col min="13" max="13" width="12.1428571428571" style="398" customWidth="1"/>
    <col min="14" max="14" width="4.57142857142857" style="398" customWidth="1"/>
    <col min="15" max="19" width="9.14285714285714" style="398"/>
    <col min="20" max="21" width="4.57142857142857" style="398" customWidth="1"/>
    <col min="22" max="22" width="6.42857142857143" style="398" customWidth="1"/>
    <col min="23" max="23" width="4.57142857142857" style="398" customWidth="1"/>
    <col min="24" max="28" width="9.14285714285714" style="398"/>
    <col min="29" max="29" width="4.57142857142857" style="398" customWidth="1"/>
    <col min="30" max="30" width="6.42857142857143" style="398" customWidth="1"/>
    <col min="31" max="16384" width="9.14285714285714" style="398"/>
  </cols>
  <sheetData>
    <row r="3" spans="10:10">
      <c r="J3" s="398" t="s">
        <v>0</v>
      </c>
    </row>
    <row r="21" ht="40" spans="4:30">
      <c r="D21" s="399"/>
    </row>
    <row r="22" ht="5.1" customHeight="1"/>
    <row r="23" ht="5.1" customHeight="1" spans="4:30">
      <c r="D23" s="400"/>
      <c r="E23" s="400"/>
      <c r="F23" s="400"/>
      <c r="G23" s="400"/>
      <c r="H23" s="400"/>
      <c r="I23" s="400"/>
      <c r="J23" s="400"/>
      <c r="K23" s="400"/>
      <c r="L23" s="400"/>
      <c r="M23" s="400"/>
      <c r="N23" s="400"/>
      <c r="O23" s="400"/>
      <c r="P23" s="400"/>
      <c r="Q23" s="400"/>
      <c r="R23" s="400"/>
      <c r="S23" s="400"/>
      <c r="T23" s="400"/>
      <c r="U23" s="400"/>
      <c r="V23" s="400"/>
      <c r="W23" s="400"/>
      <c r="X23" s="400"/>
      <c r="Y23" s="400"/>
      <c r="Z23" s="400"/>
      <c r="AA23" s="400"/>
      <c r="AB23" s="400"/>
      <c r="AC23" s="400"/>
      <c r="AD23" s="400"/>
    </row>
    <row r="25" ht="9.95" customHeight="1"/>
    <row r="26" ht="9.95" customHeight="1"/>
    <row r="27" ht="9.95" customHeight="1"/>
    <row r="28" ht="9.95" customHeight="1"/>
    <row r="29" ht="9.95" customHeight="1"/>
    <row r="30" ht="51.2" spans="4:30">
      <c r="D30" s="401" t="s">
        <v>1</v>
      </c>
    </row>
    <row r="33" ht="26" spans="4:8">
      <c r="D33" s="402">
        <f ca="1">TODAY()</f>
        <v>46213</v>
      </c>
      <c r="E33" s="402"/>
      <c r="F33" s="402"/>
      <c r="G33" s="402"/>
    </row>
    <row r="42" ht="23.2" spans="4:8">
      <c r="D42" s="403" t="s">
        <v>2</v>
      </c>
    </row>
    <row r="43" ht="26" spans="4:8">
      <c r="D43" s="404" t="s">
        <v>3</v>
      </c>
    </row>
    <row r="44" ht="12" customHeight="1"/>
    <row r="45" ht="12" customHeight="1"/>
    <row r="46" ht="33" customHeight="1" spans="4:8">
      <c r="D46" s="405" t="s">
        <v>4</v>
      </c>
      <c r="E46" s="406"/>
      <c r="F46" s="406"/>
      <c r="G46" s="406"/>
      <c r="H46" s="406"/>
    </row>
    <row r="47" ht="33" customHeight="1" spans="4:8">
      <c r="D47" s="405"/>
      <c r="E47" s="406"/>
      <c r="F47" s="406"/>
      <c r="G47" s="406"/>
      <c r="H47" s="406"/>
    </row>
    <row r="48" ht="12" customHeight="1" spans="4:8">
      <c r="D48" s="405"/>
      <c r="E48" s="406"/>
      <c r="F48" s="406"/>
      <c r="G48" s="406"/>
      <c r="H48" s="406"/>
    </row>
    <row r="49" ht="28.8" spans="4:35">
      <c r="D49" s="406"/>
      <c r="E49" s="406"/>
      <c r="F49" s="406"/>
      <c r="G49" s="406"/>
      <c r="H49" s="407" t="s">
        <v>5</v>
      </c>
      <c r="I49" s="406"/>
      <c r="J49" s="406"/>
      <c r="K49" s="407"/>
      <c r="L49" s="406"/>
      <c r="N49" s="406"/>
      <c r="O49" s="407" t="s">
        <v>6</v>
      </c>
      <c r="P49" s="406"/>
      <c r="Q49" s="406"/>
      <c r="R49" s="407"/>
      <c r="S49" s="407"/>
      <c r="U49" s="407"/>
      <c r="W49" s="407"/>
      <c r="X49" s="407" t="s">
        <v>7</v>
      </c>
    </row>
    <row r="50" ht="28.8" spans="4:35">
      <c r="D50" s="406"/>
      <c r="E50" s="406"/>
      <c r="F50" s="406"/>
      <c r="G50" s="406"/>
      <c r="H50" s="407" t="s">
        <v>8</v>
      </c>
      <c r="I50" s="406"/>
      <c r="J50" s="406"/>
      <c r="K50" s="407"/>
      <c r="L50" s="406"/>
      <c r="N50" s="406"/>
      <c r="O50" s="407" t="s">
        <v>9</v>
      </c>
      <c r="P50" s="406"/>
      <c r="Q50" s="406"/>
      <c r="R50" s="407"/>
      <c r="S50" s="407"/>
      <c r="U50" s="407"/>
      <c r="W50" s="407"/>
      <c r="X50" s="407" t="s">
        <v>9</v>
      </c>
    </row>
    <row r="51" ht="28.8" spans="4:35">
      <c r="D51" s="406"/>
      <c r="E51" s="406"/>
      <c r="F51" s="406"/>
      <c r="G51" s="406"/>
      <c r="H51" s="410" t="s">
        <v>10</v>
      </c>
      <c r="I51" s="406"/>
      <c r="J51" s="406"/>
      <c r="K51" s="407"/>
      <c r="L51" s="406"/>
      <c r="N51" s="406"/>
      <c r="O51" s="410" t="s">
        <v>11</v>
      </c>
      <c r="P51" s="406"/>
      <c r="Q51" s="406"/>
      <c r="R51" s="407"/>
      <c r="S51" s="407"/>
      <c r="U51" s="407"/>
      <c r="W51" s="407"/>
      <c r="X51" s="410" t="s">
        <v>12</v>
      </c>
      <c r="Y51" s="407"/>
      <c r="Z51" s="407"/>
      <c r="AA51" s="407"/>
      <c r="AB51" s="407"/>
      <c r="AC51" s="407"/>
      <c r="AD51" s="407"/>
      <c r="AE51" s="407"/>
      <c r="AG51" s="407"/>
      <c r="AI51" s="407"/>
    </row>
    <row r="55" ht="23.2" spans="4:35">
      <c r="N55" s="408"/>
      <c r="O55" s="408"/>
      <c r="P55" s="408"/>
    </row>
    <row r="58" ht="200.25" customHeight="1" spans="4:35">
      <c r="D58" s="409" t="s">
        <v>13</v>
      </c>
      <c r="E58" s="409"/>
      <c r="F58" s="409"/>
      <c r="G58" s="409"/>
      <c r="H58" s="409"/>
      <c r="I58" s="409"/>
      <c r="J58" s="409"/>
      <c r="K58" s="409"/>
      <c r="L58" s="409"/>
      <c r="M58" s="409"/>
      <c r="N58" s="409"/>
      <c r="O58" s="409"/>
      <c r="P58" s="409"/>
      <c r="Q58" s="409"/>
      <c r="R58" s="409"/>
      <c r="S58" s="409"/>
      <c r="T58" s="409"/>
      <c r="U58" s="409"/>
      <c r="V58" s="409"/>
      <c r="W58" s="409"/>
      <c r="X58" s="409"/>
      <c r="Y58" s="409"/>
      <c r="Z58" s="409"/>
      <c r="AA58" s="409"/>
      <c r="AB58" s="409"/>
      <c r="AC58" s="409"/>
      <c r="AD58" s="409"/>
      <c r="AE58" s="409"/>
    </row>
  </sheetData>
  <mergeCells count="2">
    <mergeCell ref="D33:G33"/>
    <mergeCell ref="D58:AE58"/>
  </mergeCells>
  <hyperlinks>
    <hyperlink ref="O51" r:id="rId2" display="edward.hou@bernsteinsg.com"/>
    <hyperlink ref="H51" r:id="rId3" display="mark.li@bernsteinsg.com "/>
    <hyperlink ref="X51" r:id="rId2" display="yipin.cai@bernsteinsg.com"/>
  </hyperlinks>
  <printOptions horizontalCentered="1" verticalCentered="1"/>
  <pageMargins left="0" right="0" top="0" bottom="0" header="0.3" footer="0.3"/>
  <pageSetup paperSize="9" scale="63" orientation="landscape" horizontalDpi="3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P155"/>
  <sheetViews>
    <sheetView showGridLines="0" tabSelected="1" zoomScale="85" zoomScaleNormal="85" topLeftCell="B1" workbookViewId="0">
      <selection activeCell="E101" sqref="E101"/>
    </sheetView>
  </sheetViews>
  <sheetFormatPr defaultColWidth="9" defaultRowHeight="15.2"/>
  <cols>
    <col min="1" max="2" width="4.85714285714286" style="2" customWidth="1"/>
    <col min="3" max="3" width="19.8571428571429" style="2" customWidth="1"/>
    <col min="4" max="4" width="5.42857142857143" style="2" customWidth="1"/>
    <col min="5" max="5" width="36" style="2" customWidth="1"/>
    <col min="6" max="14" width="9.85714285714286" style="2" customWidth="1"/>
    <col min="15" max="15" width="8.85714285714286" style="2" hidden="1" customWidth="1" outlineLevel="1"/>
    <col min="16" max="16" width="9.14285714285714" style="2" hidden="1" customWidth="1" outlineLevel="1"/>
    <col min="17" max="17" width="16.1428571428571" style="8" hidden="1" customWidth="1" outlineLevel="1"/>
    <col min="18" max="18" width="12.1428571428571" style="2" hidden="1" customWidth="1" outlineLevel="1"/>
    <col min="19" max="19" width="4.14285714285714" style="2" hidden="1" customWidth="1" outlineLevel="1"/>
    <col min="20" max="20" width="25.1428571428571" style="2" hidden="1" customWidth="1" outlineLevel="1"/>
    <col min="21" max="30" width="9.85714285714286" style="2" hidden="1" customWidth="1" outlineLevel="1"/>
    <col min="31" max="31" width="9.71428571428571" style="2" hidden="1" customWidth="1" outlineLevel="1"/>
    <col min="32" max="34" width="9.14285714285714" style="2" hidden="1" customWidth="1" outlineLevel="1"/>
    <col min="35" max="35" width="9.14285714285714" style="2" collapsed="1"/>
    <col min="36" max="16384" width="9.14285714285714" style="2"/>
  </cols>
  <sheetData>
    <row r="1" spans="3:31">
      <c r="Q1" s="2" t="s">
        <v>14</v>
      </c>
      <c r="R1" s="159">
        <v>2026</v>
      </c>
      <c r="T1" s="10" t="s">
        <v>15</v>
      </c>
      <c r="Z1" s="10" t="s">
        <v>16</v>
      </c>
      <c r="AA1" s="2" t="s">
        <v>17</v>
      </c>
      <c r="AB1" s="2" t="s">
        <v>18</v>
      </c>
      <c r="AC1" s="2" t="s">
        <v>19</v>
      </c>
    </row>
    <row r="2" ht="12.75" customHeight="1" spans="3:31">
      <c r="I2" s="57"/>
      <c r="Q2" s="2" t="s">
        <v>20</v>
      </c>
      <c r="R2" s="159">
        <v>5</v>
      </c>
      <c r="T2" s="2" t="s">
        <v>21</v>
      </c>
      <c r="U2" s="2" t="s">
        <v>22</v>
      </c>
      <c r="V2" s="2" t="s">
        <v>23</v>
      </c>
      <c r="W2" s="2" t="s">
        <v>24</v>
      </c>
      <c r="X2" s="2" t="s">
        <v>25</v>
      </c>
      <c r="Y2" s="2" t="s">
        <v>26</v>
      </c>
      <c r="AC2" s="160">
        <f>(LEFT(W4)-1)*3+1</f>
        <v>4</v>
      </c>
      <c r="AD2" s="160">
        <f>AC2+1</f>
        <v>5</v>
      </c>
      <c r="AE2" s="160">
        <f>AD2+1</f>
        <v>6</v>
      </c>
    </row>
    <row r="3" ht="12.75" customHeight="1" spans="3:31">
      <c r="C3" s="8"/>
      <c r="D3" s="8"/>
      <c r="Q3" s="2"/>
      <c r="R3" s="8"/>
      <c r="S3" s="10"/>
      <c r="T3" s="161">
        <f>DATE($R$1,$R$2-2,0)</f>
        <v>46081</v>
      </c>
      <c r="U3" s="161">
        <f>DATE($R$1,$R$2-1,0)</f>
        <v>46112</v>
      </c>
      <c r="V3" s="161">
        <f>DATE($R$1,$R$2,0)</f>
        <v>46142</v>
      </c>
      <c r="W3" s="161">
        <f>DATE($R$1,$R$2+1,0)</f>
        <v>46173</v>
      </c>
      <c r="X3" s="161">
        <f>DATE($R$1,$R$2+2,0)</f>
        <v>46203</v>
      </c>
      <c r="Y3" s="161">
        <f>DATE($R$1,$R$2+3,0)</f>
        <v>46234</v>
      </c>
      <c r="AC3" s="161">
        <f>DATE($R$1,AC2+1,0)</f>
        <v>46142</v>
      </c>
      <c r="AD3" s="161">
        <f>DATE($R$1,AD2+1,0)</f>
        <v>46173</v>
      </c>
      <c r="AE3" s="161">
        <f>DATE($R$1,AE2+1,0)</f>
        <v>46203</v>
      </c>
    </row>
    <row r="4" ht="12.75" customHeight="1" spans="3:31">
      <c r="Q4" s="2"/>
      <c r="R4" s="8"/>
      <c r="T4" s="162" t="str">
        <f t="shared" ref="T4:Y4" si="0">TEXT(ROUNDUP(MONTH(T3)/3,0),0)&amp;"Q"&amp;RIGHT(TEXT(YEAR(T3),0),2)</f>
        <v>1Q26</v>
      </c>
      <c r="U4" s="162" t="str">
        <f t="shared" si="0"/>
        <v>1Q26</v>
      </c>
      <c r="V4" s="162" t="str">
        <f t="shared" si="0"/>
        <v>2Q26</v>
      </c>
      <c r="W4" s="162" t="str">
        <f t="shared" si="0"/>
        <v>2Q26</v>
      </c>
      <c r="X4" s="162" t="str">
        <f t="shared" si="0"/>
        <v>2Q26</v>
      </c>
      <c r="Y4" s="162" t="str">
        <f t="shared" si="0"/>
        <v>3Q26</v>
      </c>
      <c r="AA4" s="162" t="str">
        <f>TEXT(ROUNDUP(MONTH(DATE($R$1,$R$2-5,0))/3,0),0)&amp;"Q"&amp;RIGHT(TEXT(YEAR(DATE($R$1,$R$2-5,0)),0),2)</f>
        <v>4Q25</v>
      </c>
      <c r="AB4" s="162" t="str">
        <f>T4</f>
        <v>1Q26</v>
      </c>
      <c r="AC4" s="162" t="str">
        <f>TEXT(ROUNDUP(MONTH(AC3)/3,0),0)&amp;"Q"&amp;RIGHT(TEXT(YEAR(AC3),0),2)</f>
        <v>2Q26</v>
      </c>
      <c r="AD4" s="162" t="str">
        <f>TEXT(ROUNDUP(MONTH(AD3)/3,0),0)&amp;"Q"&amp;RIGHT(TEXT(YEAR(AD3),0),2)</f>
        <v>2Q26</v>
      </c>
      <c r="AE4" s="162" t="str">
        <f>TEXT(ROUNDUP(MONTH(AE3)/3,0),0)&amp;"Q"&amp;RIGHT(TEXT(YEAR(AE3),0),2)</f>
        <v>2Q26</v>
      </c>
    </row>
    <row r="5" ht="12.75" customHeight="1" spans="3:31">
      <c r="Q5" s="2"/>
      <c r="R5" s="8"/>
      <c r="T5" s="163" t="str">
        <f>LEFT(T4,2)&amp;"CY"&amp;RIGHT(T4,2)</f>
        <v>1QCY26</v>
      </c>
      <c r="U5" s="163" t="str">
        <f t="shared" ref="U5:Y5" si="1">LEFT(U4,2)&amp;"CY"&amp;RIGHT(U4,2)</f>
        <v>1QCY26</v>
      </c>
      <c r="V5" s="163" t="str">
        <f t="shared" si="1"/>
        <v>2QCY26</v>
      </c>
      <c r="W5" s="163" t="str">
        <f t="shared" si="1"/>
        <v>2QCY26</v>
      </c>
      <c r="X5" s="163" t="str">
        <f t="shared" si="1"/>
        <v>2QCY26</v>
      </c>
      <c r="Y5" s="163" t="str">
        <f t="shared" si="1"/>
        <v>3QCY26</v>
      </c>
      <c r="AA5" s="163" t="str">
        <f t="shared" ref="AA5:AE5" si="2">LEFT(AA4,2)&amp;"CY"&amp;RIGHT(AA4,2)</f>
        <v>4QCY25</v>
      </c>
      <c r="AB5" s="163" t="str">
        <f t="shared" si="2"/>
        <v>1QCY26</v>
      </c>
      <c r="AC5" s="163" t="str">
        <f t="shared" si="2"/>
        <v>2QCY26</v>
      </c>
      <c r="AD5" s="163" t="str">
        <f t="shared" si="2"/>
        <v>2QCY26</v>
      </c>
      <c r="AE5" s="163" t="str">
        <f t="shared" si="2"/>
        <v>2QCY26</v>
      </c>
    </row>
    <row r="6" ht="12.75" customHeight="1" spans="3:31">
      <c r="T6" s="163" t="str">
        <f t="shared" ref="T6:AA6" si="3">IF(LEFT(T4,1)="4",1,LEFT(T4,1)+1)&amp;"QFY"&amp;IF(LEFT(T4,1)="4",RIGHT(T4,2)+1,RIGHT(T4,2))</f>
        <v>2QFY26</v>
      </c>
      <c r="U6" s="163" t="str">
        <f t="shared" si="3"/>
        <v>2QFY26</v>
      </c>
      <c r="V6" s="163" t="str">
        <f t="shared" si="3"/>
        <v>3QFY26</v>
      </c>
      <c r="W6" s="163" t="str">
        <f t="shared" si="3"/>
        <v>3QFY26</v>
      </c>
      <c r="X6" s="163" t="str">
        <f t="shared" si="3"/>
        <v>3QFY26</v>
      </c>
      <c r="Y6" s="163" t="str">
        <f t="shared" si="3"/>
        <v>4QFY26</v>
      </c>
      <c r="AA6" s="163" t="str">
        <f t="shared" si="3"/>
        <v>1QFY26</v>
      </c>
      <c r="AB6" s="163" t="str">
        <f t="shared" ref="AB6" si="4">T6</f>
        <v>2QFY26</v>
      </c>
      <c r="AC6" s="163" t="str">
        <f>IF(LEFT(AC4,1)="4",1,LEFT(AC4,1)+1)&amp;"QFY"&amp;IF(LEFT(AC4,1)="4",RIGHT(AC4,2)+1,RIGHT(AC4,2))</f>
        <v>3QFY26</v>
      </c>
      <c r="AD6" s="163" t="str">
        <f>IF(LEFT(AD4,1)="4",1,LEFT(AD4,1)+1)&amp;"QFY"&amp;IF(LEFT(AD4,1)="4",RIGHT(AD4,2)+1,RIGHT(AD4,2))</f>
        <v>3QFY26</v>
      </c>
      <c r="AE6" s="163" t="str">
        <f>IF(LEFT(AE4,1)="4",1,LEFT(AE4,1)+1)&amp;"QFY"&amp;IF(LEFT(AE4,1)="4",RIGHT(AE4,2)+1,RIGHT(AE4,2))</f>
        <v>3QFY26</v>
      </c>
    </row>
    <row r="7" ht="12.75" hidden="1" customHeight="1" outlineLevel="1" spans="3:31">
      <c r="Q7" s="10"/>
      <c r="AA7" s="164"/>
    </row>
    <row r="8" ht="12.75" hidden="1" customHeight="1" outlineLevel="1" spans="3:31">
      <c r="R8" s="10"/>
      <c r="S8" s="165"/>
      <c r="T8" s="8"/>
      <c r="U8" s="8"/>
      <c r="X8" s="164"/>
      <c r="Y8" s="164"/>
      <c r="AA8" s="164"/>
    </row>
    <row r="9" s="8" customFormat="1" ht="12.75" hidden="1" customHeight="1" outlineLevel="1" spans="3:31">
      <c r="I9" s="166"/>
      <c r="R9" s="10"/>
      <c r="S9" s="165"/>
      <c r="V9" s="2"/>
      <c r="W9" s="162"/>
      <c r="X9" s="164"/>
      <c r="Y9" s="164"/>
      <c r="Z9" s="2"/>
      <c r="AA9" s="164"/>
      <c r="AB9" s="2"/>
      <c r="AC9" s="2"/>
      <c r="AD9" s="2"/>
    </row>
    <row r="10" s="8" customFormat="1" ht="12.75" hidden="1" customHeight="1" outlineLevel="1" spans="3:31">
      <c r="C10" s="167" t="s">
        <v>27</v>
      </c>
      <c r="I10" s="166"/>
      <c r="R10" s="167"/>
      <c r="W10" s="2"/>
      <c r="X10" s="166"/>
    </row>
    <row r="11" ht="12.75" customHeight="1" collapsed="1" spans="3:31">
      <c r="C11" s="168"/>
      <c r="D11" s="169"/>
      <c r="E11" s="170"/>
      <c r="F11" s="171" t="str">
        <f>U11</f>
        <v>Price at End of Month</v>
      </c>
      <c r="G11" s="171"/>
      <c r="H11" s="171"/>
      <c r="I11" s="171"/>
      <c r="J11" s="171"/>
      <c r="K11" s="171"/>
      <c r="L11" s="172" t="s">
        <v>28</v>
      </c>
      <c r="M11" s="171"/>
      <c r="N11" s="173"/>
      <c r="O11" s="8"/>
      <c r="P11" s="8"/>
      <c r="R11" s="174"/>
      <c r="S11" s="175"/>
      <c r="T11" s="7"/>
      <c r="U11" s="176" t="s">
        <v>29</v>
      </c>
      <c r="V11" s="176"/>
      <c r="W11" s="176"/>
      <c r="X11" s="176"/>
      <c r="Y11" s="176"/>
      <c r="Z11" s="176"/>
      <c r="AA11" s="177" t="s">
        <v>28</v>
      </c>
      <c r="AB11" s="176"/>
      <c r="AC11" s="178"/>
    </row>
    <row r="12" ht="12.75" customHeight="1" spans="3:31">
      <c r="C12" s="179"/>
      <c r="D12" s="175"/>
      <c r="E12" s="7"/>
      <c r="F12" s="180" t="str">
        <f>U12</f>
        <v>Mar-26</v>
      </c>
      <c r="G12" s="180" t="str">
        <f>V12</f>
        <v>Apr-26</v>
      </c>
      <c r="H12" s="180" t="str">
        <f>W12</f>
        <v>May-26</v>
      </c>
      <c r="I12" s="180" t="str">
        <f>X12</f>
        <v>MoM</v>
      </c>
      <c r="J12" s="180"/>
      <c r="K12" s="180"/>
      <c r="L12" s="180" t="str">
        <f>AA12</f>
        <v>1QCY26</v>
      </c>
      <c r="M12" s="181" t="str">
        <f>AB12</f>
        <v>2QCY26 QTD</v>
      </c>
      <c r="N12" s="182" t="str">
        <f>AC12</f>
        <v>QoQ</v>
      </c>
      <c r="O12" s="8"/>
      <c r="P12" s="8"/>
      <c r="R12" s="174"/>
      <c r="S12" s="175"/>
      <c r="T12" s="7"/>
      <c r="U12" s="180" t="str">
        <f>TEXT($U$3,"MMM-YY")</f>
        <v>Mar-26</v>
      </c>
      <c r="V12" s="180" t="str">
        <f>TEXT($V$3,"MMM-YY")</f>
        <v>Apr-26</v>
      </c>
      <c r="W12" s="180" t="str">
        <f>TEXT($W$3,"MMM-YY")</f>
        <v>May-26</v>
      </c>
      <c r="X12" s="180" t="s">
        <v>30</v>
      </c>
      <c r="Y12" s="180"/>
      <c r="Z12" s="180"/>
      <c r="AA12" s="180" t="str">
        <f>$T$5</f>
        <v>1QCY26</v>
      </c>
      <c r="AB12" s="181" t="str">
        <f>$W$5&amp;IF(OR(R2=3,R2=6,R2=9,R2=12),," QTD")</f>
        <v>2QCY26 QTD</v>
      </c>
      <c r="AC12" s="183" t="s">
        <v>31</v>
      </c>
    </row>
    <row r="13" ht="12.75" customHeight="1" spans="3:31">
      <c r="C13" s="184" t="str">
        <f>R13</f>
        <v>DRAM</v>
      </c>
      <c r="D13" s="175"/>
      <c r="E13" s="7"/>
      <c r="F13" s="185"/>
      <c r="G13" s="185"/>
      <c r="H13" s="185"/>
      <c r="I13" s="185">
        <f>X13</f>
        <v>46112</v>
      </c>
      <c r="J13" s="185">
        <f>Y13</f>
        <v>46142</v>
      </c>
      <c r="K13" s="185">
        <f>Z13</f>
        <v>46173</v>
      </c>
      <c r="L13" s="185"/>
      <c r="M13" s="186"/>
      <c r="N13" s="187"/>
      <c r="O13" s="8"/>
      <c r="P13" s="8"/>
      <c r="Q13" s="188" t="s">
        <v>32</v>
      </c>
      <c r="R13" s="7" t="s">
        <v>33</v>
      </c>
      <c r="S13" s="175"/>
      <c r="T13" s="7"/>
      <c r="U13" s="185"/>
      <c r="V13" s="185"/>
      <c r="W13" s="185"/>
      <c r="X13" s="185">
        <f>EOMONTH(Y13,-1)</f>
        <v>46112</v>
      </c>
      <c r="Y13" s="185">
        <f>EOMONTH(Z13,-1)</f>
        <v>46142</v>
      </c>
      <c r="Z13" s="185">
        <f>$W$3</f>
        <v>46173</v>
      </c>
      <c r="AA13" s="185"/>
      <c r="AB13" s="186"/>
      <c r="AC13" s="189"/>
    </row>
    <row r="14" ht="12.75" customHeight="1" spans="3:31">
      <c r="C14" s="190" t="str">
        <f>R14</f>
        <v>Spot Price (US$/GB)</v>
      </c>
      <c r="D14" s="191"/>
      <c r="E14" s="192"/>
      <c r="F14" s="191"/>
      <c r="G14" s="193"/>
      <c r="H14" s="194"/>
      <c r="I14" s="193"/>
      <c r="J14" s="193"/>
      <c r="K14" s="193"/>
      <c r="L14" s="193"/>
      <c r="M14" s="193"/>
      <c r="N14" s="195"/>
      <c r="O14" s="8"/>
      <c r="P14" s="8"/>
      <c r="Q14" s="188"/>
      <c r="R14" s="196" t="s">
        <v>34</v>
      </c>
      <c r="S14" s="191"/>
      <c r="T14" s="192"/>
      <c r="U14" s="191"/>
      <c r="V14" s="193"/>
      <c r="W14" s="194"/>
      <c r="X14" s="193"/>
      <c r="Y14" s="193"/>
      <c r="Z14" s="193"/>
      <c r="AA14" s="193"/>
      <c r="AB14" s="193"/>
      <c r="AC14" s="193"/>
    </row>
    <row r="15" ht="12.75" customHeight="1" spans="3:31">
      <c r="C15" s="197" t="str">
        <f>R15</f>
        <v>PC DRAM</v>
      </c>
      <c r="D15" s="8"/>
      <c r="E15" s="8" t="s">
        <v>35</v>
      </c>
      <c r="F15" s="198">
        <f t="shared" ref="F15:N18" si="5">U15</f>
        <v>33.96</v>
      </c>
      <c r="G15" s="199">
        <f t="shared" si="5"/>
        <v>32.48</v>
      </c>
      <c r="H15" s="199">
        <f t="shared" si="5"/>
        <v>34.1</v>
      </c>
      <c r="I15" s="200">
        <f t="shared" si="5"/>
        <v>0.0322188449848024</v>
      </c>
      <c r="J15" s="57">
        <f t="shared" si="5"/>
        <v>-0.043580683156655</v>
      </c>
      <c r="K15" s="57">
        <f t="shared" si="5"/>
        <v>0.0498768472906406</v>
      </c>
      <c r="L15" s="198">
        <f t="shared" si="5"/>
        <v>31.2299482758621</v>
      </c>
      <c r="M15" s="199">
        <f t="shared" si="5"/>
        <v>32.9190476190476</v>
      </c>
      <c r="N15" s="201">
        <f t="shared" si="5"/>
        <v>0.0540858834688203</v>
      </c>
      <c r="O15" s="8"/>
      <c r="P15" s="8"/>
      <c r="R15" s="202" t="s">
        <v>36</v>
      </c>
      <c r="T15" s="2" t="s">
        <v>37</v>
      </c>
      <c r="U15" s="164" cm="1">
        <f t="array" ref="U15">INDEX(DRAM!$L:$L,MATCH(U3,DRAM!$I:$I,1),)</f>
        <v>33.96</v>
      </c>
      <c r="V15" s="164" cm="1">
        <f t="array" ref="V15">INDEX(DRAM!$L:$L,MATCH(V3,DRAM!$I:$I,1),)</f>
        <v>32.48</v>
      </c>
      <c r="W15" s="164" cm="1">
        <f t="array" ref="W15">INDEX(DRAM!$L:$L,MATCH(W3,DRAM!$I:$I,1),)</f>
        <v>34.1</v>
      </c>
      <c r="X15" s="57" cm="1">
        <f t="array" ref="X15">U15/INDEX(DRAM!$L:$L,MATCH(T3,DRAM!$I:$I,1),)-1</f>
        <v>0.0322188449848024</v>
      </c>
      <c r="Y15" s="57">
        <f>V15/U15-1</f>
        <v>-0.043580683156655</v>
      </c>
      <c r="Z15" s="57">
        <f>W15/V15-1</f>
        <v>0.0498768472906406</v>
      </c>
      <c r="AA15" s="164">
        <f>AVERAGEIF(DRAM!$C:$C,N_Summary!T$4,DRAM!$L:$L)</f>
        <v>31.2299482758621</v>
      </c>
      <c r="AB15" s="164">
        <f>AVERAGEIF(DRAM!$C:$C,N_Summary!W$4,DRAM!$L:$L)</f>
        <v>32.9190476190476</v>
      </c>
      <c r="AC15" s="203">
        <f>AB15/AA15-1</f>
        <v>0.0540858834688203</v>
      </c>
      <c r="AE15" s="36"/>
    </row>
    <row r="16" ht="12.75" customHeight="1" spans="3:31">
      <c r="C16" s="197"/>
      <c r="D16" s="8"/>
      <c r="E16" s="8" t="s">
        <v>38</v>
      </c>
      <c r="F16" s="198">
        <f t="shared" si="5"/>
        <v>18.713</v>
      </c>
      <c r="G16" s="199">
        <f t="shared" si="5"/>
        <v>19.5</v>
      </c>
      <c r="H16" s="199">
        <f t="shared" si="5"/>
        <v>20.95</v>
      </c>
      <c r="I16" s="200">
        <f t="shared" si="5"/>
        <v>-0.0525063291139241</v>
      </c>
      <c r="J16" s="57">
        <f t="shared" si="5"/>
        <v>0.0420563244803078</v>
      </c>
      <c r="K16" s="57">
        <f t="shared" si="5"/>
        <v>0.0743589743589743</v>
      </c>
      <c r="L16" s="198">
        <f t="shared" si="5"/>
        <v>18.5544051724138</v>
      </c>
      <c r="M16" s="199">
        <f t="shared" si="5"/>
        <v>19.6519166666667</v>
      </c>
      <c r="N16" s="201">
        <f t="shared" si="5"/>
        <v>0.0591509932037393</v>
      </c>
      <c r="O16" s="8"/>
      <c r="P16" s="8"/>
      <c r="R16" s="202"/>
      <c r="T16" s="2" t="s">
        <v>39</v>
      </c>
      <c r="U16" s="164" cm="1">
        <f t="array" ref="U16">INDEX(DRAM!$Z:$Z,MATCH(U3,DRAM!$S:$S,1),)/2</f>
        <v>18.713</v>
      </c>
      <c r="V16" s="164" cm="1">
        <f t="array" ref="V16">INDEX(DRAM!$Z:$Z,MATCH(V3,DRAM!$S:$S,1),)/2</f>
        <v>19.5</v>
      </c>
      <c r="W16" s="164" cm="1">
        <f t="array" ref="W16">INDEX(DRAM!$Z:$Z,MATCH(W3,DRAM!$S:$S,1),)/2</f>
        <v>20.95</v>
      </c>
      <c r="X16" s="57" cm="1">
        <f t="array" ref="X16">U16/(INDEX(DRAM!$Z:$Z,MATCH(T3,DRAM!$S:$S,1),)/2)-1</f>
        <v>-0.0525063291139241</v>
      </c>
      <c r="Y16" s="57">
        <f>V16/U16-1</f>
        <v>0.0420563244803078</v>
      </c>
      <c r="Z16" s="57">
        <f>W16/V16-1</f>
        <v>0.0743589743589743</v>
      </c>
      <c r="AA16" s="164">
        <f>AVERAGEIF(DRAM!$C:$C,N_Summary!T$4,DRAM!$Z:$Z)/2</f>
        <v>18.5544051724138</v>
      </c>
      <c r="AB16" s="164">
        <f>AVERAGEIF(DRAM!$C:$C,N_Summary!W$4,DRAM!$Z:$Z)/2</f>
        <v>19.6519166666667</v>
      </c>
      <c r="AC16" s="203">
        <f>AB16/AA16-1</f>
        <v>0.0591509932037393</v>
      </c>
      <c r="AE16" s="36"/>
    </row>
    <row r="17" ht="12.75" customHeight="1" spans="3:42">
      <c r="C17" s="197" t="str">
        <f>R17</f>
        <v>Server DRAM</v>
      </c>
      <c r="D17" s="8"/>
      <c r="E17" s="8" t="str">
        <f t="shared" ref="E17:E18" si="6">T17</f>
        <v>DDR4 64GB RDIMM*</v>
      </c>
      <c r="F17" s="198">
        <f t="shared" si="5"/>
        <v>20.3125</v>
      </c>
      <c r="G17" s="199">
        <f t="shared" si="5"/>
        <v>22.421875</v>
      </c>
      <c r="H17" s="199">
        <f t="shared" si="5"/>
        <v>23.125</v>
      </c>
      <c r="I17" s="200">
        <f t="shared" si="5"/>
        <v>0.394849785407725</v>
      </c>
      <c r="J17" s="57">
        <f t="shared" si="5"/>
        <v>0.103846153846154</v>
      </c>
      <c r="K17" s="57">
        <f t="shared" si="5"/>
        <v>0.0313588850174216</v>
      </c>
      <c r="L17" s="198">
        <f t="shared" si="5"/>
        <v>15.3828125</v>
      </c>
      <c r="M17" s="199">
        <f t="shared" si="5"/>
        <v>22.6284722222222</v>
      </c>
      <c r="N17" s="201">
        <f t="shared" si="5"/>
        <v>0.471023079961627</v>
      </c>
      <c r="O17" s="8"/>
      <c r="P17" s="8"/>
      <c r="Q17" s="204"/>
      <c r="R17" s="202" t="s">
        <v>40</v>
      </c>
      <c r="T17" s="8" t="s">
        <v>41</v>
      </c>
      <c r="U17" s="164">
        <f>INDEX(DRAM!$AT:$AW,MATCH(U3,DRAM!$AS:$AS,1),MATCH($T17,DRAM!$AT$28:$AW$28,0))/64</f>
        <v>20.3125</v>
      </c>
      <c r="V17" s="164">
        <f>INDEX(DRAM!$AT:$AW,MATCH(V3,DRAM!$AS:$AS,1),MATCH($T17,DRAM!$AT$28:$AW$28,0))/64</f>
        <v>22.421875</v>
      </c>
      <c r="W17" s="164">
        <f>INDEX(DRAM!$AT:$AW,MATCH(W3,DRAM!$AS:$AS,1),MATCH($T17,DRAM!$AT$28:$AW$28,0))/64</f>
        <v>23.125</v>
      </c>
      <c r="X17" s="57">
        <f>U17/(INDEX(DRAM!$AT:$AW,MATCH(T3,DRAM!$AS:$AS,1),MATCH($T17,DRAM!$AT$28:$AW$28,0))/64)-1</f>
        <v>0.394849785407725</v>
      </c>
      <c r="Y17" s="57">
        <f t="shared" ref="Y17:Z18" si="7">V17/U17-1</f>
        <v>0.103846153846154</v>
      </c>
      <c r="Z17" s="57">
        <f t="shared" si="7"/>
        <v>0.0313588850174216</v>
      </c>
      <c r="AA17" s="164">
        <f>AVERAGEIF(DRAM!$AQ:$AQ,N_Summary!T$4,DRAM!$AV:$AV)/64</f>
        <v>15.3828125</v>
      </c>
      <c r="AB17" s="164">
        <f>AVERAGEIF(DRAM!$AQ:$AQ,N_Summary!W$4,DRAM!$AV:$AV)/64</f>
        <v>22.6284722222222</v>
      </c>
      <c r="AC17" s="203">
        <f>AB17/AA17-1</f>
        <v>0.471023079961627</v>
      </c>
      <c r="AE17" s="36"/>
      <c r="AG17" s="36"/>
    </row>
    <row r="18" ht="12.75" customHeight="1" spans="3:42">
      <c r="C18" s="205"/>
      <c r="D18" s="206"/>
      <c r="E18" s="206" t="str">
        <f t="shared" si="6"/>
        <v>DDR5 64GB RDIMM*</v>
      </c>
      <c r="F18" s="207">
        <f t="shared" si="5"/>
        <v>37.5</v>
      </c>
      <c r="G18" s="208">
        <f t="shared" si="5"/>
        <v>35</v>
      </c>
      <c r="H18" s="209">
        <f t="shared" si="5"/>
        <v>35.546875</v>
      </c>
      <c r="I18" s="210">
        <f t="shared" si="5"/>
        <v>0.103448275862069</v>
      </c>
      <c r="J18" s="211">
        <f t="shared" si="5"/>
        <v>-0.0666666666666667</v>
      </c>
      <c r="K18" s="211">
        <f t="shared" si="5"/>
        <v>0.015625</v>
      </c>
      <c r="L18" s="207">
        <f t="shared" si="5"/>
        <v>30.4361979166667</v>
      </c>
      <c r="M18" s="209">
        <f t="shared" si="5"/>
        <v>35.7100694444444</v>
      </c>
      <c r="N18" s="212">
        <f t="shared" si="5"/>
        <v>0.173276292335116</v>
      </c>
      <c r="O18" s="8"/>
      <c r="P18" s="8"/>
      <c r="Q18" s="204"/>
      <c r="R18" s="202"/>
      <c r="T18" s="206" t="s">
        <v>42</v>
      </c>
      <c r="U18" s="164">
        <f>INDEX(DRAM!$AT:$BA,MATCH(U3,DRAM!$AS:$AS,1),MATCH($T18,DRAM!$AT$28:$BA$28,0))/64</f>
        <v>37.5</v>
      </c>
      <c r="V18" s="164">
        <f>INDEX(DRAM!$AT:$BA,MATCH(V3,DRAM!$AS:$AS,1),MATCH($T18,DRAM!$AT$28:$BA$28,0))/64</f>
        <v>35</v>
      </c>
      <c r="W18" s="164">
        <f>INDEX(DRAM!$AT:$BA,MATCH(W3,DRAM!$AS:$AS,1),MATCH($T18,DRAM!$AT$28:$BA$28,0))/64</f>
        <v>35.546875</v>
      </c>
      <c r="X18" s="57">
        <f>U18/(INDEX(DRAM!$AT:$BA,MATCH(T3,DRAM!$AS:$AS,1),MATCH($T18,DRAM!$AT$28:$BA$28,0))/64)-1</f>
        <v>0.103448275862069</v>
      </c>
      <c r="Y18" s="57">
        <f t="shared" si="7"/>
        <v>-0.0666666666666667</v>
      </c>
      <c r="Z18" s="57">
        <f t="shared" si="7"/>
        <v>0.015625</v>
      </c>
      <c r="AA18" s="164">
        <f>AVERAGEIF(DRAM!$AQ:$AQ,N_Summary!T$4,DRAM!$AZ:$AZ)/64</f>
        <v>30.4361979166667</v>
      </c>
      <c r="AB18" s="164">
        <f>AVERAGEIF(DRAM!$AQ:$AQ,N_Summary!W$4,DRAM!$AZ:$AZ)/64</f>
        <v>35.7100694444444</v>
      </c>
      <c r="AC18" s="203">
        <f>AB18/AA18-1</f>
        <v>0.173276292335116</v>
      </c>
      <c r="AG18" s="36"/>
    </row>
    <row r="19" ht="12.75" customHeight="1" spans="3:42">
      <c r="C19" s="167"/>
      <c r="D19" s="8"/>
      <c r="E19" s="8"/>
      <c r="F19" s="8"/>
      <c r="G19" s="8"/>
      <c r="H19" s="213"/>
      <c r="I19" s="213"/>
      <c r="J19" s="214"/>
      <c r="K19" s="214"/>
      <c r="L19" s="214"/>
      <c r="M19" s="214"/>
      <c r="N19" s="214"/>
      <c r="O19" s="214"/>
      <c r="P19" s="8"/>
      <c r="Q19" s="204"/>
      <c r="R19" s="202"/>
      <c r="W19" s="215"/>
      <c r="X19" s="216"/>
      <c r="Y19" s="57"/>
      <c r="Z19" s="57"/>
      <c r="AA19" s="57"/>
      <c r="AB19" s="57"/>
      <c r="AC19" s="57"/>
      <c r="AD19" s="217"/>
    </row>
    <row r="20" ht="12.75" customHeight="1" spans="3:42">
      <c r="C20" s="218"/>
      <c r="D20" s="219"/>
      <c r="E20" s="220"/>
      <c r="F20" s="221" t="str">
        <f>U20</f>
        <v>Prior Price</v>
      </c>
      <c r="G20" s="222"/>
      <c r="H20" s="223"/>
      <c r="I20" s="171" t="str">
        <f>X20</f>
        <v>Price for 2QCY26</v>
      </c>
      <c r="J20" s="171" t="str">
        <f>X20</f>
        <v>Price for 2QCY26</v>
      </c>
      <c r="K20" s="171"/>
      <c r="L20" s="171" t="str">
        <f>AA20</f>
        <v>2QCY26 Over 1QCY26</v>
      </c>
      <c r="M20" s="171"/>
      <c r="N20" s="173"/>
      <c r="P20" s="8"/>
      <c r="R20" s="174"/>
      <c r="S20" s="175"/>
      <c r="T20" s="7"/>
      <c r="U20" s="224" t="s">
        <v>43</v>
      </c>
      <c r="V20" s="225"/>
      <c r="W20" s="226"/>
      <c r="X20" s="176" t="str">
        <f>"Price for "&amp;$W$5</f>
        <v>Price for 2QCY26</v>
      </c>
      <c r="Y20" s="176"/>
      <c r="Z20" s="176"/>
      <c r="AA20" s="176" t="str">
        <f>$W$5&amp;" Over "&amp;$T$5</f>
        <v>2QCY26 Over 1QCY26</v>
      </c>
      <c r="AB20" s="176"/>
      <c r="AC20" s="178"/>
    </row>
    <row r="21" ht="12.75" customHeight="1" spans="3:42">
      <c r="C21" s="184" t="str">
        <f>R21</f>
        <v>DRAM</v>
      </c>
      <c r="D21" s="227"/>
      <c r="E21" s="228"/>
      <c r="F21" s="229" t="str">
        <f>U21</f>
        <v>4QCY25</v>
      </c>
      <c r="G21" s="229" t="str">
        <f t="shared" ref="G21:N21" si="8">V21</f>
        <v>1QCY26</v>
      </c>
      <c r="H21" s="229" t="str">
        <f t="shared" si="8"/>
        <v>QoQ</v>
      </c>
      <c r="I21" s="185" t="str">
        <f t="shared" si="8"/>
        <v>Apr-26</v>
      </c>
      <c r="J21" s="185" t="str">
        <f t="shared" si="8"/>
        <v>May-26</v>
      </c>
      <c r="K21" s="185" t="str">
        <f t="shared" si="8"/>
        <v>Jun-26</v>
      </c>
      <c r="L21" s="185" t="str">
        <f t="shared" si="8"/>
        <v>Apr-26</v>
      </c>
      <c r="M21" s="185" t="str">
        <f t="shared" si="8"/>
        <v>May-26</v>
      </c>
      <c r="N21" s="187" t="str">
        <f t="shared" si="8"/>
        <v>Jun-26</v>
      </c>
      <c r="P21" s="8"/>
      <c r="Q21" s="188" t="s">
        <v>44</v>
      </c>
      <c r="R21" s="7" t="s">
        <v>33</v>
      </c>
      <c r="S21" s="175"/>
      <c r="T21" s="7"/>
      <c r="U21" s="229" t="str">
        <f>$AA$5</f>
        <v>4QCY25</v>
      </c>
      <c r="V21" s="229" t="str">
        <f>$AB$5</f>
        <v>1QCY26</v>
      </c>
      <c r="W21" s="229" t="s">
        <v>31</v>
      </c>
      <c r="X21" s="185" t="str">
        <f>TEXT($AC$3,"MMM-YY")</f>
        <v>Apr-26</v>
      </c>
      <c r="Y21" s="185" t="str">
        <f>TEXT($AD$3,"MMM-YY")</f>
        <v>May-26</v>
      </c>
      <c r="Z21" s="185" t="str">
        <f>TEXT($AE$3,"MMM-YY")</f>
        <v>Jun-26</v>
      </c>
      <c r="AA21" s="185" t="str">
        <f>X21</f>
        <v>Apr-26</v>
      </c>
      <c r="AB21" s="185" t="str">
        <f>Y21</f>
        <v>May-26</v>
      </c>
      <c r="AC21" s="189" t="str">
        <f t="shared" ref="AC21" si="9">Z21</f>
        <v>Jun-26</v>
      </c>
    </row>
    <row r="22" ht="12.75" customHeight="1" spans="3:42">
      <c r="C22" s="230" t="str">
        <f>R22</f>
        <v>Contract Price (US$/GB, except the price of uMCP &amp; eMCP is module price)</v>
      </c>
      <c r="D22" s="231"/>
      <c r="E22" s="232"/>
      <c r="F22" s="233"/>
      <c r="G22" s="233"/>
      <c r="H22" s="233"/>
      <c r="I22" s="231"/>
      <c r="J22" s="234"/>
      <c r="K22" s="235"/>
      <c r="L22" s="234"/>
      <c r="M22" s="236"/>
      <c r="N22" s="237"/>
      <c r="P22" s="8"/>
      <c r="Q22" s="188"/>
      <c r="R22" s="196" t="s">
        <v>45</v>
      </c>
      <c r="S22" s="191"/>
      <c r="T22" s="192"/>
      <c r="U22" s="191"/>
      <c r="V22" s="191"/>
      <c r="W22" s="191"/>
      <c r="X22" s="191"/>
      <c r="Y22" s="193"/>
      <c r="Z22" s="238"/>
      <c r="AA22" s="193"/>
      <c r="AB22" s="193"/>
      <c r="AC22" s="193"/>
      <c r="AG22" s="36"/>
    </row>
    <row r="23" ht="12.75" customHeight="1" spans="3:42">
      <c r="C23" s="197" t="str">
        <f>R23</f>
        <v>PC DRAM</v>
      </c>
      <c r="D23" s="8"/>
      <c r="E23" s="8" t="s">
        <v>35</v>
      </c>
      <c r="F23" s="239">
        <f t="shared" ref="F23:N27" si="10">U23</f>
        <v>8.13333333333333</v>
      </c>
      <c r="G23" s="240">
        <f t="shared" si="10"/>
        <v>12.5</v>
      </c>
      <c r="H23" s="241">
        <f t="shared" si="10"/>
        <v>0.536885245901639</v>
      </c>
      <c r="I23" s="239">
        <f t="shared" si="10"/>
        <v>16</v>
      </c>
      <c r="J23" s="240">
        <f t="shared" si="10"/>
        <v>20</v>
      </c>
      <c r="K23" s="242" t="e">
        <f t="shared" si="10"/>
        <v>#N/A</v>
      </c>
      <c r="L23" s="243">
        <f t="shared" si="10"/>
        <v>0.28</v>
      </c>
      <c r="M23" s="217">
        <f t="shared" si="10"/>
        <v>0.6</v>
      </c>
      <c r="N23" s="244" t="e">
        <f t="shared" si="10"/>
        <v>#N/A</v>
      </c>
      <c r="P23" s="245">
        <f>AVERAGE(AA23:AA27)</f>
        <v>0.335692232813741</v>
      </c>
      <c r="Q23" s="204">
        <v>0.103039610198645</v>
      </c>
      <c r="R23" s="202" t="s">
        <v>36</v>
      </c>
      <c r="T23" s="2" t="s">
        <v>37</v>
      </c>
      <c r="U23" s="246">
        <f>AVERAGEIF(DRAM!$BQ:$BQ,N_Summary!AA$4,DRAM!$BV:$BV)</f>
        <v>8.13333333333333</v>
      </c>
      <c r="V23" s="246">
        <f>AVERAGEIF(DRAM!$BQ:$BQ,N_Summary!AB$4,DRAM!$BV:$BV)</f>
        <v>12.5</v>
      </c>
      <c r="W23" s="203">
        <f>V23/U23-1</f>
        <v>0.536885245901639</v>
      </c>
      <c r="X23" s="246" cm="1">
        <f t="array" ref="X23">INDEX(DRAM!$BV:$BV,MATCH(N_Summary!AC$3,DRAM!$BS:$BS,0),)</f>
        <v>16</v>
      </c>
      <c r="Y23" s="246" cm="1">
        <f t="array" ref="Y23">INDEX(DRAM!$BV:$BV,MATCH(N_Summary!AD$3,DRAM!$BS:$BS,0),)</f>
        <v>20</v>
      </c>
      <c r="Z23" s="246" t="e" cm="1">
        <f t="array" ref="Z23">INDEX(DRAM!$BV:$BV,MATCH(N_Summary!AE$3,DRAM!$BS:$BS,0),)</f>
        <v>#N/A</v>
      </c>
      <c r="AA23" s="57">
        <f t="shared" ref="AA23:AC27" si="11">X23/$V23-1</f>
        <v>0.28</v>
      </c>
      <c r="AB23" s="57">
        <f t="shared" si="11"/>
        <v>0.6</v>
      </c>
      <c r="AC23" s="57" t="e">
        <f t="shared" si="11"/>
        <v>#N/A</v>
      </c>
      <c r="AD23" s="247"/>
      <c r="AE23" s="3"/>
      <c r="AF23" s="3"/>
      <c r="AG23" s="247"/>
      <c r="AH23" s="36"/>
      <c r="AK23" s="3"/>
      <c r="AL23" s="3"/>
      <c r="AM23" s="36"/>
      <c r="AO23" s="3"/>
      <c r="AP23" s="36"/>
    </row>
    <row r="24" ht="12.75" customHeight="1" spans="3:42">
      <c r="C24" s="197"/>
      <c r="D24" s="8"/>
      <c r="E24" s="8" t="s">
        <v>38</v>
      </c>
      <c r="F24" s="239">
        <f t="shared" si="10"/>
        <v>8.16666666666667</v>
      </c>
      <c r="G24" s="240">
        <f t="shared" si="10"/>
        <v>14.9166666666667</v>
      </c>
      <c r="H24" s="241">
        <f t="shared" si="10"/>
        <v>0.826530612244898</v>
      </c>
      <c r="I24" s="239">
        <f t="shared" si="10"/>
        <v>17.5</v>
      </c>
      <c r="J24" s="240">
        <f t="shared" si="10"/>
        <v>18.75</v>
      </c>
      <c r="K24" s="242" t="e">
        <f t="shared" si="10"/>
        <v>#N/A</v>
      </c>
      <c r="L24" s="243">
        <f t="shared" si="10"/>
        <v>0.173184357541899</v>
      </c>
      <c r="M24" s="217">
        <f t="shared" si="10"/>
        <v>0.256983240223464</v>
      </c>
      <c r="N24" s="244" t="e">
        <f t="shared" si="10"/>
        <v>#N/A</v>
      </c>
      <c r="P24" s="245"/>
      <c r="Q24" s="204"/>
      <c r="R24" s="202"/>
      <c r="T24" s="2" t="s">
        <v>39</v>
      </c>
      <c r="U24" s="246">
        <f>AVERAGEIF(DRAM!$BQ:$BQ,N_Summary!AA$4,DRAM!$BX:$BX)/2</f>
        <v>8.16666666666667</v>
      </c>
      <c r="V24" s="246">
        <f>AVERAGEIF(DRAM!$BQ:$BQ,N_Summary!AB$4,DRAM!$BX:$BX)/2</f>
        <v>14.9166666666667</v>
      </c>
      <c r="W24" s="203">
        <f>V24/U24-1</f>
        <v>0.826530612244898</v>
      </c>
      <c r="X24" s="246" cm="1">
        <f t="array" ref="X24">INDEX(DRAM!$BX:$BX,MATCH(N_Summary!AC$3,DRAM!$BS:$BS,0),)/2</f>
        <v>17.5</v>
      </c>
      <c r="Y24" s="246" cm="1">
        <f t="array" ref="Y24">INDEX(DRAM!$BX:$BX,MATCH(N_Summary!AD$3,DRAM!$BS:$BS,0),)/2</f>
        <v>18.75</v>
      </c>
      <c r="Z24" s="246" t="e" cm="1">
        <f t="array" ref="Z24">INDEX(DRAM!$BX:$BX,MATCH(N_Summary!AE$3,DRAM!$BS:$BS,0),)/2</f>
        <v>#N/A</v>
      </c>
      <c r="AA24" s="57">
        <f t="shared" si="11"/>
        <v>0.173184357541899</v>
      </c>
      <c r="AB24" s="57">
        <f t="shared" si="11"/>
        <v>0.256983240223464</v>
      </c>
      <c r="AC24" s="57" t="e">
        <f t="shared" si="11"/>
        <v>#N/A</v>
      </c>
      <c r="AD24" s="247"/>
      <c r="AG24" s="57"/>
      <c r="AH24" s="36"/>
      <c r="AI24" s="36"/>
      <c r="AJ24" s="3"/>
      <c r="AK24" s="3"/>
      <c r="AL24" s="36"/>
      <c r="AM24" s="3"/>
      <c r="AN24" s="3"/>
      <c r="AO24" s="36"/>
      <c r="AP24" s="3"/>
    </row>
    <row r="25" ht="12.75" customHeight="1" spans="3:42">
      <c r="C25" s="197"/>
      <c r="D25" s="8"/>
      <c r="E25" s="8" t="str">
        <f t="shared" ref="E25:F27" si="12">T25</f>
        <v>DDR5 16GB UDIMM*</v>
      </c>
      <c r="F25" s="239">
        <f>U25</f>
        <v>4.09375</v>
      </c>
      <c r="G25" s="240">
        <f t="shared" si="10"/>
        <v>8.66666666666667</v>
      </c>
      <c r="H25" s="241">
        <f t="shared" si="10"/>
        <v>1.11704834605598</v>
      </c>
      <c r="I25" s="239">
        <f t="shared" si="10"/>
        <v>12.5625</v>
      </c>
      <c r="J25" s="240">
        <f t="shared" si="10"/>
        <v>12.8125</v>
      </c>
      <c r="K25" s="242" t="e">
        <f t="shared" si="10"/>
        <v>#N/A</v>
      </c>
      <c r="L25" s="243">
        <f t="shared" si="10"/>
        <v>0.449519230769231</v>
      </c>
      <c r="M25" s="217">
        <f t="shared" si="10"/>
        <v>0.478365384615385</v>
      </c>
      <c r="N25" s="244" t="e">
        <f t="shared" si="10"/>
        <v>#N/A</v>
      </c>
      <c r="P25" s="8"/>
      <c r="Q25" s="204"/>
      <c r="R25" s="202"/>
      <c r="T25" s="2" t="s">
        <v>46</v>
      </c>
      <c r="U25" s="246">
        <f>AVERAGEIF(DRAM!$BQ:$BQ,N_Summary!AA$4,DRAM!$CB:$CB)/16</f>
        <v>4.09375</v>
      </c>
      <c r="V25" s="246">
        <f>AVERAGEIF(DRAM!$BQ:$BQ,N_Summary!AB$4,DRAM!$CB:$CB)/16</f>
        <v>8.66666666666667</v>
      </c>
      <c r="W25" s="203">
        <f>V25/U25-1</f>
        <v>1.11704834605598</v>
      </c>
      <c r="X25" s="246" cm="1">
        <f t="array" ref="X25">INDEX(DRAM!$CB:$CB,MATCH(N_Summary!AC$3,DRAM!$BS:$BS,0),)/16</f>
        <v>12.5625</v>
      </c>
      <c r="Y25" s="246" cm="1">
        <f t="array" ref="Y25">INDEX(DRAM!$CB:$CB,MATCH(N_Summary!AD$3,DRAM!$BS:$BS,0),)/16</f>
        <v>12.8125</v>
      </c>
      <c r="Z25" s="246" t="e" cm="1">
        <f t="array" ref="Z25">INDEX(DRAM!$CB:$CB,MATCH(N_Summary!AE$3,DRAM!$BS:$BS,0),)/16</f>
        <v>#N/A</v>
      </c>
      <c r="AA25" s="57">
        <f t="shared" si="11"/>
        <v>0.449519230769231</v>
      </c>
      <c r="AB25" s="57">
        <f t="shared" si="11"/>
        <v>0.478365384615385</v>
      </c>
      <c r="AC25" s="57" t="e">
        <f t="shared" si="11"/>
        <v>#N/A</v>
      </c>
      <c r="AD25" s="3">
        <f>R54*AVERAGE(U23:U24)+(1-R54)*(U25*U53+U27*(1-U53))</f>
        <v>4.57042165110788</v>
      </c>
      <c r="AE25" s="3">
        <f>R54*AVERAGE(V23:V24)+(1-R54)*(V25*V53+V27*(1-V53))</f>
        <v>9.34575451555397</v>
      </c>
      <c r="AF25" s="3">
        <f>R54*AVERAGE(X23:X24)+(1-R54)*(X25*X53+X27*(1-X53))</f>
        <v>13.1637295076897</v>
      </c>
      <c r="AG25" s="3">
        <f>R54*AVERAGE(Y23:Y24)+(1-R54)*(Y25*Y53+Y27*(1-Y53))</f>
        <v>13.6315019933449</v>
      </c>
      <c r="AH25" s="3" t="e">
        <f>R54*AVERAGE(Z23:Z24)+(1-R54)*(Z25*Z53+Z27*(1-Z53))</f>
        <v>#N/A</v>
      </c>
      <c r="AI25" s="36"/>
      <c r="AJ25" s="3"/>
      <c r="AK25" s="3"/>
      <c r="AL25" s="36"/>
      <c r="AM25" s="3"/>
      <c r="AN25" s="3"/>
      <c r="AO25" s="36"/>
      <c r="AP25" s="3"/>
    </row>
    <row r="26" ht="12.75" customHeight="1" spans="3:42">
      <c r="C26" s="197"/>
      <c r="D26" s="8"/>
      <c r="E26" s="8" t="str">
        <f t="shared" si="12"/>
        <v>DDR4 16GB UDIMM*</v>
      </c>
      <c r="F26" s="239">
        <f t="shared" si="12"/>
        <v>4.59375</v>
      </c>
      <c r="G26" s="240">
        <f t="shared" si="10"/>
        <v>10.3125</v>
      </c>
      <c r="H26" s="241">
        <f t="shared" si="10"/>
        <v>1.24489795918367</v>
      </c>
      <c r="I26" s="239">
        <f t="shared" si="10"/>
        <v>14.1875</v>
      </c>
      <c r="J26" s="240">
        <f t="shared" si="10"/>
        <v>14.1875</v>
      </c>
      <c r="K26" s="242" t="e">
        <f t="shared" si="10"/>
        <v>#N/A</v>
      </c>
      <c r="L26" s="243">
        <f t="shared" si="10"/>
        <v>0.375757575757576</v>
      </c>
      <c r="M26" s="217">
        <f t="shared" si="10"/>
        <v>0.375757575757576</v>
      </c>
      <c r="N26" s="244" t="e">
        <f t="shared" si="10"/>
        <v>#N/A</v>
      </c>
      <c r="P26" s="8"/>
      <c r="Q26" s="204"/>
      <c r="R26" s="202"/>
      <c r="T26" s="2" t="s">
        <v>47</v>
      </c>
      <c r="U26" s="246">
        <f>AVERAGEIF(DRAM!$BQ:$BQ,N_Summary!AA$4,DRAM!$CC:$CC)/16</f>
        <v>4.59375</v>
      </c>
      <c r="V26" s="246">
        <f>AVERAGEIF(DRAM!$BQ:$BQ,N_Summary!AB$4,DRAM!$CC:$CC)/16</f>
        <v>10.3125</v>
      </c>
      <c r="W26" s="203">
        <f>V26/U26-1</f>
        <v>1.24489795918367</v>
      </c>
      <c r="X26" s="246" cm="1">
        <f t="array" ref="X26">INDEX(DRAM!$CC:$CC,MATCH(N_Summary!AC$3,DRAM!$BS:$BS,0),)/16</f>
        <v>14.1875</v>
      </c>
      <c r="Y26" s="246" cm="1">
        <f t="array" ref="Y26">INDEX(DRAM!$CC:$CC,MATCH(N_Summary!AD$3,DRAM!$BS:$BS,0),)/16</f>
        <v>14.1875</v>
      </c>
      <c r="Z26" s="246" t="e" cm="1">
        <f t="array" ref="Z26">INDEX(DRAM!$CC:$CC,MATCH(N_Summary!AE$3,DRAM!$BS:$BS,0),)/16</f>
        <v>#N/A</v>
      </c>
      <c r="AA26" s="57">
        <f t="shared" si="11"/>
        <v>0.375757575757576</v>
      </c>
      <c r="AB26" s="57">
        <f t="shared" si="11"/>
        <v>0.375757575757576</v>
      </c>
      <c r="AC26" s="57" t="e">
        <f t="shared" si="11"/>
        <v>#N/A</v>
      </c>
      <c r="AE26" s="36">
        <f>AE25/AD25-1</f>
        <v>1.04483420327062</v>
      </c>
      <c r="AF26" s="57">
        <f>AF25/AE25-1</f>
        <v>0.40852506726788</v>
      </c>
      <c r="AG26" s="36">
        <f>AG25/$AE25-1</f>
        <v>0.458576936796087</v>
      </c>
      <c r="AH26" s="36" t="e">
        <f>AH25/$AE25-1</f>
        <v>#N/A</v>
      </c>
      <c r="AI26" s="36"/>
      <c r="AJ26" s="3"/>
      <c r="AK26" s="3"/>
      <c r="AL26" s="36"/>
      <c r="AM26" s="3"/>
      <c r="AN26" s="3"/>
      <c r="AO26" s="36"/>
      <c r="AP26" s="3"/>
    </row>
    <row r="27" ht="12.75" customHeight="1" spans="3:42">
      <c r="C27" s="197"/>
      <c r="D27" s="8"/>
      <c r="E27" s="8" t="str">
        <f t="shared" si="12"/>
        <v>DDR4 8GB UDIMM*</v>
      </c>
      <c r="F27" s="239">
        <f t="shared" si="12"/>
        <v>4.875</v>
      </c>
      <c r="G27" s="240">
        <f t="shared" si="10"/>
        <v>10.625</v>
      </c>
      <c r="H27" s="241">
        <f t="shared" si="10"/>
        <v>1.17948717948718</v>
      </c>
      <c r="I27" s="239">
        <f t="shared" si="10"/>
        <v>14.875</v>
      </c>
      <c r="J27" s="240">
        <f t="shared" si="10"/>
        <v>14.875</v>
      </c>
      <c r="K27" s="242" t="e">
        <f t="shared" si="10"/>
        <v>#N/A</v>
      </c>
      <c r="L27" s="243">
        <f t="shared" si="10"/>
        <v>0.4</v>
      </c>
      <c r="M27" s="217">
        <f t="shared" si="10"/>
        <v>0.4</v>
      </c>
      <c r="N27" s="244" t="e">
        <f t="shared" si="10"/>
        <v>#N/A</v>
      </c>
      <c r="P27" s="8"/>
      <c r="Q27" s="204"/>
      <c r="R27" s="202"/>
      <c r="T27" s="2" t="s">
        <v>48</v>
      </c>
      <c r="U27" s="246">
        <f>AVERAGEIF(DRAM!$BQ:$BQ,N_Summary!AA$4,DRAM!$CD:$CD)/8</f>
        <v>4.875</v>
      </c>
      <c r="V27" s="246">
        <f>AVERAGEIF(DRAM!$BQ:$BQ,N_Summary!AB$4,DRAM!$CD:$CD)/8</f>
        <v>10.625</v>
      </c>
      <c r="W27" s="203">
        <f>V27/U27-1</f>
        <v>1.17948717948718</v>
      </c>
      <c r="X27" s="246" cm="1">
        <f t="array" ref="X27">INDEX(DRAM!$CD:$CD,MATCH(N_Summary!AC$3,DRAM!$BS:$BS,0),)/8</f>
        <v>14.875</v>
      </c>
      <c r="Y27" s="246" cm="1">
        <f t="array" ref="Y27">INDEX(DRAM!$CD:$CD,MATCH(N_Summary!AD$3,DRAM!$BS:$BS,0),)/8</f>
        <v>14.875</v>
      </c>
      <c r="Z27" s="246" t="e" cm="1">
        <f t="array" ref="Z27">INDEX(DRAM!$CD:$CD,MATCH(N_Summary!AE$3,DRAM!$BS:$BS,0),)/8</f>
        <v>#N/A</v>
      </c>
      <c r="AA27" s="57">
        <f t="shared" si="11"/>
        <v>0.4</v>
      </c>
      <c r="AB27" s="57">
        <f t="shared" si="11"/>
        <v>0.4</v>
      </c>
      <c r="AC27" s="57" t="e">
        <f t="shared" si="11"/>
        <v>#N/A</v>
      </c>
      <c r="AE27" s="36"/>
      <c r="AG27" s="57"/>
      <c r="AI27" s="36"/>
      <c r="AJ27" s="3"/>
      <c r="AK27" s="3"/>
      <c r="AL27" s="36"/>
      <c r="AM27" s="3"/>
      <c r="AN27" s="3"/>
      <c r="AO27" s="36"/>
      <c r="AP27" s="3"/>
    </row>
    <row r="28" ht="12.75" customHeight="1" spans="3:42">
      <c r="C28" s="197"/>
      <c r="D28" s="8"/>
      <c r="E28" s="8"/>
      <c r="F28" s="239"/>
      <c r="G28" s="240"/>
      <c r="H28" s="241"/>
      <c r="I28" s="239"/>
      <c r="J28" s="240"/>
      <c r="K28" s="242"/>
      <c r="L28" s="243"/>
      <c r="M28" s="217"/>
      <c r="N28" s="244"/>
      <c r="P28" s="8"/>
      <c r="Q28" s="248"/>
      <c r="R28" s="202"/>
      <c r="U28" s="246"/>
      <c r="V28" s="246"/>
      <c r="W28" s="57"/>
      <c r="X28" s="246"/>
      <c r="Y28" s="249"/>
      <c r="Z28" s="249"/>
      <c r="AA28" s="57"/>
      <c r="AB28" s="57"/>
      <c r="AC28" s="57"/>
      <c r="AG28" s="57"/>
      <c r="AJ28" s="3"/>
      <c r="AK28" s="3"/>
      <c r="AL28" s="36"/>
      <c r="AM28" s="3"/>
      <c r="AN28" s="3"/>
      <c r="AP28" s="3"/>
    </row>
    <row r="29" ht="12.75" customHeight="1" spans="3:42">
      <c r="C29" s="197" t="str">
        <f>R29</f>
        <v>Server DRAM</v>
      </c>
      <c r="D29" s="8"/>
      <c r="E29" s="8" t="str">
        <f t="shared" ref="E29:N34" si="13">T29</f>
        <v>DDR5 96GB RDIMM*</v>
      </c>
      <c r="F29" s="239">
        <f t="shared" si="13"/>
        <v>6.92708333333333</v>
      </c>
      <c r="G29" s="240">
        <f t="shared" si="13"/>
        <v>13.8541666666667</v>
      </c>
      <c r="H29" s="241">
        <f t="shared" si="13"/>
        <v>1</v>
      </c>
      <c r="I29" s="239">
        <f t="shared" si="13"/>
        <v>20.4375</v>
      </c>
      <c r="J29" s="240">
        <f t="shared" si="13"/>
        <v>21.0416666666667</v>
      </c>
      <c r="K29" s="242" t="e">
        <f t="shared" si="13"/>
        <v>#N/A</v>
      </c>
      <c r="L29" s="243">
        <f t="shared" si="13"/>
        <v>0.475187969924812</v>
      </c>
      <c r="M29" s="217">
        <f t="shared" si="13"/>
        <v>0.518796992481203</v>
      </c>
      <c r="N29" s="244" t="e">
        <f t="shared" si="13"/>
        <v>#N/A</v>
      </c>
      <c r="P29" s="250">
        <f>AVERAGE(AA30,AA32)</f>
        <v>0.501185841170836</v>
      </c>
      <c r="Q29" s="204">
        <v>0.3720245332445</v>
      </c>
      <c r="R29" s="202" t="s">
        <v>40</v>
      </c>
      <c r="T29" s="8" t="s">
        <v>49</v>
      </c>
      <c r="U29" s="246">
        <f>AVERAGEIF(DRAM!$BQ:$BQ,N_Summary!AA$4,DRAM!$CL:$CL)/96</f>
        <v>6.92708333333333</v>
      </c>
      <c r="V29" s="246">
        <f>AVERAGEIF(DRAM!$BQ:$BQ,N_Summary!AB$4,DRAM!$CL:$CL)/96</f>
        <v>13.8541666666667</v>
      </c>
      <c r="W29" s="203">
        <f t="shared" ref="W29:W41" si="14">V29/U29-1</f>
        <v>1</v>
      </c>
      <c r="X29" s="246">
        <f>INDEX(DRAM!$CE:$CW,MATCH(N_Summary!AC$3,DRAM!$CA:$CA,0),MATCH($T29,DRAM!$CE$28:$CW$28,0))/96</f>
        <v>20.4375</v>
      </c>
      <c r="Y29" s="246">
        <f>INDEX(DRAM!$CE:$CW,MATCH(N_Summary!AD$3,DRAM!$CA:$CA,0),MATCH($T29,DRAM!$CE$28:$CW$28,0))/96</f>
        <v>21.0416666666667</v>
      </c>
      <c r="Z29" s="246" t="e">
        <f>INDEX(DRAM!$CE:$CW,MATCH(N_Summary!AE$3,DRAM!$CA:$CA,0),MATCH($T29,DRAM!$CE$28:$CW$28,0))/96</f>
        <v>#N/A</v>
      </c>
      <c r="AA29" s="57">
        <f t="shared" ref="AA29:AC31" si="15">X29/$V29-1</f>
        <v>0.475187969924812</v>
      </c>
      <c r="AB29" s="57">
        <f t="shared" si="15"/>
        <v>0.518796992481203</v>
      </c>
      <c r="AC29" s="57" t="e">
        <f t="shared" si="15"/>
        <v>#N/A</v>
      </c>
      <c r="AD29" s="3"/>
      <c r="AE29" s="36"/>
      <c r="AG29" s="57"/>
    </row>
    <row r="30" ht="12.75" customHeight="1" spans="3:42">
      <c r="C30" s="197"/>
      <c r="D30" s="8"/>
      <c r="E30" s="8" t="str">
        <f t="shared" si="13"/>
        <v>DDR5 64GB RDIMM*</v>
      </c>
      <c r="F30" s="239">
        <f t="shared" si="13"/>
        <v>6.640625</v>
      </c>
      <c r="G30" s="240">
        <f t="shared" si="13"/>
        <v>12.953125</v>
      </c>
      <c r="H30" s="241">
        <f t="shared" si="13"/>
        <v>0.950588235294118</v>
      </c>
      <c r="I30" s="239">
        <f t="shared" si="13"/>
        <v>19.109375</v>
      </c>
      <c r="J30" s="240">
        <f t="shared" si="13"/>
        <v>19.765625</v>
      </c>
      <c r="K30" s="242" t="e">
        <f t="shared" si="13"/>
        <v>#N/A</v>
      </c>
      <c r="L30" s="243">
        <f t="shared" si="13"/>
        <v>0.475271411338963</v>
      </c>
      <c r="M30" s="217">
        <f t="shared" si="13"/>
        <v>0.525934861278649</v>
      </c>
      <c r="N30" s="244" t="e">
        <f t="shared" si="13"/>
        <v>#N/A</v>
      </c>
      <c r="T30" s="8" t="s">
        <v>42</v>
      </c>
      <c r="U30" s="246">
        <f>AVERAGEIF(DRAM!$BQ:$BQ,N_Summary!AA$4,DRAM!$CP:$CP)/64</f>
        <v>6.640625</v>
      </c>
      <c r="V30" s="246">
        <f>AVERAGEIF(DRAM!$BQ:$BQ,N_Summary!AB$4,DRAM!$CP:$CP)/64</f>
        <v>12.953125</v>
      </c>
      <c r="W30" s="203">
        <f t="shared" si="14"/>
        <v>0.950588235294118</v>
      </c>
      <c r="X30" s="246">
        <f>INDEX(DRAM!$CE:$CW,MATCH(N_Summary!AC$3,DRAM!$CA:$CA,0),MATCH($T30,DRAM!$CE$28:$CW$28,0))/64</f>
        <v>19.109375</v>
      </c>
      <c r="Y30" s="246">
        <f>INDEX(DRAM!$CE:$CW,MATCH(N_Summary!AD$3,DRAM!$CA:$CA,0),MATCH($T30,DRAM!$CE$28:$CW$28,0))/64</f>
        <v>19.765625</v>
      </c>
      <c r="Z30" s="246" t="e">
        <f>INDEX(DRAM!$CE:$CW,MATCH(N_Summary!AE$3,DRAM!$CA:$CA,0),MATCH($T30,DRAM!$CE$28:$CW$28,0))/64</f>
        <v>#N/A</v>
      </c>
      <c r="AA30" s="57">
        <f t="shared" si="15"/>
        <v>0.475271411338963</v>
      </c>
      <c r="AB30" s="57">
        <f t="shared" si="15"/>
        <v>0.525934861278649</v>
      </c>
      <c r="AC30" s="57" t="e">
        <f t="shared" si="15"/>
        <v>#N/A</v>
      </c>
      <c r="AE30" s="36"/>
      <c r="AG30" s="57"/>
    </row>
    <row r="31" ht="12.75" customHeight="1" spans="3:42">
      <c r="C31" s="197"/>
      <c r="D31" s="8"/>
      <c r="E31" s="8" t="str">
        <f t="shared" si="13"/>
        <v>DDR5 48GB RDIMM*</v>
      </c>
      <c r="F31" s="239">
        <f t="shared" si="13"/>
        <v>7.08333333333333</v>
      </c>
      <c r="G31" s="240">
        <f t="shared" si="13"/>
        <v>13.8166666666667</v>
      </c>
      <c r="H31" s="241">
        <f t="shared" si="13"/>
        <v>0.950588235294118</v>
      </c>
      <c r="I31" s="239">
        <f t="shared" si="13"/>
        <v>20.3833333333333</v>
      </c>
      <c r="J31" s="240">
        <f t="shared" si="13"/>
        <v>21.0833333333333</v>
      </c>
      <c r="K31" s="242" t="e">
        <f t="shared" si="13"/>
        <v>#N/A</v>
      </c>
      <c r="L31" s="243">
        <f t="shared" si="13"/>
        <v>0.475271411338962</v>
      </c>
      <c r="M31" s="217">
        <f t="shared" si="13"/>
        <v>0.525934861278649</v>
      </c>
      <c r="N31" s="244" t="e">
        <f t="shared" si="13"/>
        <v>#N/A</v>
      </c>
      <c r="R31" s="202"/>
      <c r="T31" s="8" t="s">
        <v>50</v>
      </c>
      <c r="U31" s="246">
        <f>AVERAGEIF(DRAM!$BQ:$BQ,N_Summary!AA$4,DRAM!$CK:$CK)/48</f>
        <v>7.08333333333333</v>
      </c>
      <c r="V31" s="246">
        <f>AVERAGEIF(DRAM!$BQ:$BQ,N_Summary!AB$4,DRAM!$CK:$CK)/48</f>
        <v>13.8166666666667</v>
      </c>
      <c r="W31" s="203">
        <f t="shared" si="14"/>
        <v>0.950588235294118</v>
      </c>
      <c r="X31" s="246">
        <f>INDEX(DRAM!$CE:$CW,MATCH(N_Summary!AC$3,DRAM!$CA:$CA,0),MATCH($T31,DRAM!$CE$28:$CW$28,0))/48</f>
        <v>20.3833333333333</v>
      </c>
      <c r="Y31" s="246">
        <f>INDEX(DRAM!$CE:$CW,MATCH(N_Summary!AD$3,DRAM!$CA:$CA,0),MATCH($T31,DRAM!$CE$28:$CW$28,0))/48</f>
        <v>21.0833333333333</v>
      </c>
      <c r="Z31" s="246" t="e">
        <f>INDEX(DRAM!$CE:$CW,MATCH(N_Summary!AE$3,DRAM!$CA:$CA,0),MATCH($T31,DRAM!$CE$28:$CW$28,0))/48</f>
        <v>#N/A</v>
      </c>
      <c r="AA31" s="57">
        <f t="shared" si="15"/>
        <v>0.475271411338962</v>
      </c>
      <c r="AB31" s="57">
        <f t="shared" si="15"/>
        <v>0.525934861278649</v>
      </c>
      <c r="AC31" s="57" t="e">
        <f t="shared" si="15"/>
        <v>#N/A</v>
      </c>
      <c r="AD31" s="28"/>
      <c r="AE31" s="36"/>
      <c r="AG31" s="57"/>
      <c r="AL31" s="36"/>
    </row>
    <row r="32" ht="12.75" customHeight="1" spans="3:42">
      <c r="C32" s="197"/>
      <c r="D32" s="8"/>
      <c r="E32" s="8" t="str">
        <f t="shared" si="13"/>
        <v>DDR4 64GB RDIMM*</v>
      </c>
      <c r="F32" s="239">
        <f t="shared" si="13"/>
        <v>5.84375</v>
      </c>
      <c r="G32" s="240">
        <f t="shared" si="13"/>
        <v>11.53125</v>
      </c>
      <c r="H32" s="241">
        <f t="shared" si="13"/>
        <v>0.973262032085561</v>
      </c>
      <c r="I32" s="239">
        <f t="shared" si="13"/>
        <v>17.609375</v>
      </c>
      <c r="J32" s="240">
        <f t="shared" si="13"/>
        <v>17.609375</v>
      </c>
      <c r="K32" s="242" t="e">
        <f t="shared" si="13"/>
        <v>#N/A</v>
      </c>
      <c r="L32" s="243">
        <f t="shared" si="13"/>
        <v>0.52710027100271</v>
      </c>
      <c r="M32" s="217">
        <f t="shared" si="13"/>
        <v>0.52710027100271</v>
      </c>
      <c r="N32" s="244" t="e">
        <f t="shared" si="13"/>
        <v>#N/A</v>
      </c>
      <c r="R32" s="202"/>
      <c r="T32" s="8" t="s">
        <v>41</v>
      </c>
      <c r="U32" s="246">
        <f>AVERAGEIF(DRAM!$BQ:$BQ,N_Summary!AA$4,DRAM!$CF:$CF)/64</f>
        <v>5.84375</v>
      </c>
      <c r="V32" s="246">
        <f>AVERAGEIF(DRAM!$BQ:$BQ,N_Summary!AB$4,DRAM!$CF:$CF)/64</f>
        <v>11.53125</v>
      </c>
      <c r="W32" s="203">
        <f t="shared" si="14"/>
        <v>0.973262032085561</v>
      </c>
      <c r="X32" s="246">
        <f>INDEX(DRAM!$CE:$CW,MATCH(N_Summary!AC$3,DRAM!$CA:$CA,0),MATCH($T32,DRAM!$CE$28:$CW$28,0))/64</f>
        <v>17.609375</v>
      </c>
      <c r="Y32" s="246">
        <f>INDEX(DRAM!$CE:$CW,MATCH(N_Summary!AD$3,DRAM!$CA:$CA,0),MATCH($T32,DRAM!$CE$28:$CW$28,0))/64</f>
        <v>17.609375</v>
      </c>
      <c r="Z32" s="246" t="e">
        <f>INDEX(DRAM!$CE:$CW,MATCH(N_Summary!AE3,DRAM!$CA:$CA,0),MATCH($T32,DRAM!$CE$28:$CW$28,0))/64</f>
        <v>#N/A</v>
      </c>
      <c r="AA32" s="57">
        <f>X32/$V32-1</f>
        <v>0.52710027100271</v>
      </c>
      <c r="AB32" s="57">
        <f>Y32/$V32-1</f>
        <v>0.52710027100271</v>
      </c>
      <c r="AC32" s="57" t="e">
        <f>Z32/$V32-1</f>
        <v>#N/A</v>
      </c>
      <c r="AD32" s="28"/>
      <c r="AE32" s="36"/>
      <c r="AG32" s="57"/>
      <c r="AO32" s="36"/>
      <c r="AP32" s="36"/>
    </row>
    <row r="33" ht="12.75" hidden="1" customHeight="1" outlineLevel="1" spans="3:42">
      <c r="C33" s="197"/>
      <c r="D33" s="8"/>
      <c r="E33" s="8" t="str">
        <f t="shared" si="13"/>
        <v>DDR5 32GB RDIMM*</v>
      </c>
      <c r="F33" s="239">
        <f t="shared" si="13"/>
        <v>7.03125</v>
      </c>
      <c r="G33" s="240">
        <f t="shared" si="13"/>
        <v>13.71875</v>
      </c>
      <c r="H33" s="241">
        <f t="shared" si="13"/>
        <v>0.951111111111111</v>
      </c>
      <c r="I33" s="239">
        <f t="shared" si="13"/>
        <v>20.25</v>
      </c>
      <c r="J33" s="240">
        <f t="shared" si="13"/>
        <v>20.90625</v>
      </c>
      <c r="K33" s="240" t="e">
        <f t="shared" si="13"/>
        <v>#N/A</v>
      </c>
      <c r="L33" s="243">
        <f t="shared" si="13"/>
        <v>0.476082004555809</v>
      </c>
      <c r="M33" s="217">
        <f t="shared" si="13"/>
        <v>0.523917995444191</v>
      </c>
      <c r="N33" s="251" t="e">
        <f t="shared" si="13"/>
        <v>#N/A</v>
      </c>
      <c r="P33" s="250"/>
      <c r="Q33" s="204"/>
      <c r="R33" s="202"/>
      <c r="T33" s="8" t="s">
        <v>51</v>
      </c>
      <c r="U33" s="246">
        <f>AVERAGEIF(DRAM!$BQ:$BQ,N_Summary!AA$4,DRAM!$CO:$CO)/32</f>
        <v>7.03125</v>
      </c>
      <c r="V33" s="246">
        <f>AVERAGEIF(DRAM!$BQ:$BQ,N_Summary!AB$4,DRAM!$CO:$CO)/32</f>
        <v>13.71875</v>
      </c>
      <c r="W33" s="203">
        <f t="shared" si="14"/>
        <v>0.951111111111111</v>
      </c>
      <c r="X33" s="246">
        <f>INDEX(DRAM!$CE:$CW,MATCH(N_Summary!AC$3,DRAM!$CA:$CA,0),MATCH($T33,DRAM!$CE$28:$CW$28,0))/32</f>
        <v>20.25</v>
      </c>
      <c r="Y33" s="246">
        <f>INDEX(DRAM!$CE:$CW,MATCH(N_Summary!AD$3,DRAM!$CA:$CA,0),MATCH($T33,DRAM!$CE$28:$CW$28,0))/32</f>
        <v>20.90625</v>
      </c>
      <c r="Z33" s="246" t="e">
        <f>INDEX(DRAM!$CE:$CW,MATCH(N_Summary!AE$3,DRAM!$CA:$CA,0),MATCH($T33,DRAM!$CE$28:$CW$28,0))/32</f>
        <v>#N/A</v>
      </c>
      <c r="AA33" s="57">
        <f t="shared" ref="AA33:AC34" si="16">X33/$V33-1</f>
        <v>0.476082004555809</v>
      </c>
      <c r="AB33" s="57">
        <f t="shared" si="16"/>
        <v>0.523917995444191</v>
      </c>
      <c r="AC33" s="57" t="e">
        <f t="shared" si="16"/>
        <v>#N/A</v>
      </c>
      <c r="AD33" s="28"/>
      <c r="AE33" s="203"/>
      <c r="AG33" s="57"/>
      <c r="AO33" s="36"/>
      <c r="AP33" s="36"/>
    </row>
    <row r="34" ht="12.75" hidden="1" customHeight="1" outlineLevel="1" spans="3:42">
      <c r="C34" s="197"/>
      <c r="D34" s="8"/>
      <c r="E34" s="8" t="str">
        <f t="shared" si="13"/>
        <v>DDR4 32GB RDIMM*</v>
      </c>
      <c r="F34" s="239">
        <f t="shared" si="13"/>
        <v>6.84375</v>
      </c>
      <c r="G34" s="240">
        <f t="shared" si="13"/>
        <v>13.5</v>
      </c>
      <c r="H34" s="241">
        <f t="shared" si="13"/>
        <v>0.972602739726027</v>
      </c>
      <c r="I34" s="239">
        <f t="shared" si="13"/>
        <v>20.625</v>
      </c>
      <c r="J34" s="240">
        <f t="shared" si="13"/>
        <v>20.625</v>
      </c>
      <c r="K34" s="240" t="e">
        <f t="shared" si="13"/>
        <v>#N/A</v>
      </c>
      <c r="L34" s="243">
        <f t="shared" si="13"/>
        <v>0.527777777777778</v>
      </c>
      <c r="M34" s="217">
        <f t="shared" si="13"/>
        <v>0.527777777777778</v>
      </c>
      <c r="N34" s="251" t="e">
        <f t="shared" si="13"/>
        <v>#N/A</v>
      </c>
      <c r="P34" s="250"/>
      <c r="Q34" s="204"/>
      <c r="R34" s="202"/>
      <c r="T34" s="8" t="s">
        <v>52</v>
      </c>
      <c r="U34" s="246">
        <f>AVERAGEIF(DRAM!$BQ:$BQ,N_Summary!AA$4,DRAM!$CE:$CE)/32</f>
        <v>6.84375</v>
      </c>
      <c r="V34" s="246">
        <f>AVERAGEIF(DRAM!$BQ:$BQ,N_Summary!AB$4,DRAM!$CE:$CE)/32</f>
        <v>13.5</v>
      </c>
      <c r="W34" s="203">
        <f t="shared" si="14"/>
        <v>0.972602739726027</v>
      </c>
      <c r="X34" s="246">
        <f>INDEX(DRAM!$CE:$CW,MATCH(N_Summary!AC$3,DRAM!$CA:$CA,0),MATCH($T34,DRAM!$CE$28:$CW$28,0))/32</f>
        <v>20.625</v>
      </c>
      <c r="Y34" s="246">
        <f>INDEX(DRAM!$CE:$CW,MATCH(N_Summary!AD$3,DRAM!$CA:$CA,0),MATCH($T34,DRAM!$CE$28:$CW$28,0))/32</f>
        <v>20.625</v>
      </c>
      <c r="Z34" s="246" t="e">
        <f>INDEX(DRAM!$CE:$CW,MATCH(N_Summary!AE3,DRAM!$CA:$CA,0),MATCH($T34,DRAM!$CE$28:$CW$28,0))/32</f>
        <v>#N/A</v>
      </c>
      <c r="AA34" s="57">
        <f t="shared" si="16"/>
        <v>0.527777777777778</v>
      </c>
      <c r="AB34" s="57">
        <f t="shared" si="16"/>
        <v>0.527777777777778</v>
      </c>
      <c r="AC34" s="57" t="e">
        <f t="shared" si="16"/>
        <v>#N/A</v>
      </c>
      <c r="AE34" s="203"/>
      <c r="AG34" s="57"/>
      <c r="AO34" s="36"/>
      <c r="AP34" s="36"/>
    </row>
    <row r="35" ht="12.75" customHeight="1" collapsed="1" spans="3:42">
      <c r="C35" s="197"/>
      <c r="D35" s="8"/>
      <c r="E35" s="8"/>
      <c r="F35" s="239"/>
      <c r="G35" s="240"/>
      <c r="H35" s="241"/>
      <c r="I35" s="239"/>
      <c r="J35" s="240"/>
      <c r="K35" s="240"/>
      <c r="L35" s="252"/>
      <c r="M35" s="217"/>
      <c r="N35" s="251"/>
      <c r="P35" s="250"/>
      <c r="Q35" s="248"/>
      <c r="R35" s="202"/>
      <c r="V35" s="247"/>
      <c r="X35" s="246"/>
      <c r="Y35" s="246"/>
      <c r="Z35" s="246"/>
      <c r="AB35" s="57"/>
      <c r="AC35" s="57"/>
      <c r="AG35" s="57"/>
      <c r="AO35" s="36"/>
      <c r="AP35" s="36"/>
    </row>
    <row r="36" ht="16.8" spans="3:42">
      <c r="C36" s="197" t="str">
        <f>R36</f>
        <v>Mobile DRAM</v>
      </c>
      <c r="D36" s="8"/>
      <c r="E36" s="8" t="str">
        <f t="shared" ref="E36:I41" si="17">T36</f>
        <v>LPDDR5 16GB Discrete</v>
      </c>
      <c r="F36" s="239">
        <f t="shared" si="17"/>
        <v>3.99644175013179</v>
      </c>
      <c r="G36" s="240">
        <f t="shared" si="17"/>
        <v>6.32613510520487</v>
      </c>
      <c r="H36" s="241">
        <f t="shared" si="17"/>
        <v>0.582941902004768</v>
      </c>
      <c r="I36" s="253">
        <f t="shared" si="17"/>
        <v>11.425</v>
      </c>
      <c r="J36" s="254"/>
      <c r="K36" s="254"/>
      <c r="L36" s="255">
        <f t="shared" ref="L36:L41" si="18">AA36</f>
        <v>0.806</v>
      </c>
      <c r="M36" s="256"/>
      <c r="N36" s="257"/>
      <c r="P36" s="250">
        <f>AVERAGE(AA36:AC39)</f>
        <v>0.76075</v>
      </c>
      <c r="Q36" s="204">
        <v>0.374935856556856</v>
      </c>
      <c r="R36" s="202" t="s">
        <v>53</v>
      </c>
      <c r="T36" s="2" t="s">
        <v>54</v>
      </c>
      <c r="U36" s="246">
        <f>INDEX(DRAM!$EB:$EH,MATCH(AA$4,DRAM!$EA:$EA,0),MATCH($T36,DRAM!$EB$28:$EH$28,0))/16</f>
        <v>3.99644175013179</v>
      </c>
      <c r="V36" s="246">
        <f>INDEX(DRAM!$EB:$EH,MATCH(AB$4,DRAM!$EA:$EA,0),MATCH($T36,DRAM!$EB$28:$EH$28,0))/16</f>
        <v>6.32613510520487</v>
      </c>
      <c r="W36" s="203">
        <f t="shared" si="14"/>
        <v>0.582941902004768</v>
      </c>
      <c r="X36" s="258">
        <f>INDEX(DRAM!$EB:$EH,MATCH(N_Summary!$AC$4,DRAM!$EA:$EA,0),MATCH($T36,DRAM!$EB$28:$EH$28,0))/16</f>
        <v>11.425</v>
      </c>
      <c r="Y36" s="258"/>
      <c r="Z36" s="258"/>
      <c r="AA36" s="259">
        <f>X36/V36-1</f>
        <v>0.806</v>
      </c>
      <c r="AB36" s="259"/>
      <c r="AC36" s="259"/>
      <c r="AD36" s="246">
        <f>AVERAGE(U36:U37)*AD44+AVERAGE(U38:U39)*(1-AD44)</f>
        <v>3.97343587379035</v>
      </c>
      <c r="AE36" s="246">
        <f>AVERAGE(V36:V37)*AE44+AVERAGE(V38:V39)*(1-AE44)</f>
        <v>6.28287002086958</v>
      </c>
      <c r="AF36" s="246">
        <f>AVERAGE(X36:X37)*AF44+AVERAGE(X38:X39)*(1-AF44)</f>
        <v>11.1866416520837</v>
      </c>
      <c r="AG36" s="57"/>
    </row>
    <row r="37" ht="16.8" spans="3:42">
      <c r="C37" s="197"/>
      <c r="D37" s="8"/>
      <c r="E37" s="8" t="str">
        <f t="shared" si="17"/>
        <v>LPDDR5 12GB Discrete</v>
      </c>
      <c r="F37" s="239">
        <f t="shared" si="17"/>
        <v>3.99753997539975</v>
      </c>
      <c r="G37" s="240">
        <f t="shared" si="17"/>
        <v>6.34017758046615</v>
      </c>
      <c r="H37" s="241">
        <f t="shared" si="17"/>
        <v>0.586019807051993</v>
      </c>
      <c r="I37" s="253">
        <f t="shared" si="17"/>
        <v>11.425</v>
      </c>
      <c r="J37" s="254"/>
      <c r="K37" s="254"/>
      <c r="L37" s="255">
        <f t="shared" si="18"/>
        <v>0.802</v>
      </c>
      <c r="M37" s="256"/>
      <c r="N37" s="257"/>
      <c r="P37" s="250"/>
      <c r="Q37" s="204"/>
      <c r="R37" s="202"/>
      <c r="T37" s="2" t="s">
        <v>55</v>
      </c>
      <c r="U37" s="246">
        <f>INDEX(DRAM!$EC:$EH,MATCH(AA$4,DRAM!$EA:$EA,0),MATCH($T37,DRAM!$EC$28:$EH$28,0))/12</f>
        <v>3.99753997539975</v>
      </c>
      <c r="V37" s="246">
        <f>INDEX(DRAM!$EC:$EH,MATCH(AB$4,DRAM!$EA:$EA,0),MATCH($T37,DRAM!$EC$28:$EH$28,0))/12</f>
        <v>6.34017758046615</v>
      </c>
      <c r="W37" s="203">
        <f t="shared" si="14"/>
        <v>0.586019807051993</v>
      </c>
      <c r="X37" s="258">
        <f>INDEX(DRAM!$EC:$EH,MATCH(N_Summary!$AC$4,DRAM!$EA:$EA,0),MATCH($T37,DRAM!$EC$28:$EH$28,0))/12</f>
        <v>11.425</v>
      </c>
      <c r="Y37" s="258"/>
      <c r="Z37" s="258"/>
      <c r="AA37" s="259">
        <f>X37/V37-1</f>
        <v>0.802</v>
      </c>
      <c r="AB37" s="259"/>
      <c r="AC37" s="259"/>
      <c r="AD37" s="203"/>
      <c r="AE37" s="57">
        <f>AE36/AD36-1</f>
        <v>0.581218426680232</v>
      </c>
      <c r="AF37" s="57">
        <f>AF36/AE36-1</f>
        <v>0.780498659836263</v>
      </c>
      <c r="AG37" s="57"/>
      <c r="AP37" s="36"/>
    </row>
    <row r="38" ht="12.75" customHeight="1" spans="3:42">
      <c r="C38" s="197"/>
      <c r="D38" s="8"/>
      <c r="E38" s="8" t="str">
        <f t="shared" si="17"/>
        <v>LPDDR4X 8GB Discrete</v>
      </c>
      <c r="F38" s="239">
        <f t="shared" si="17"/>
        <v>3.93333333333333</v>
      </c>
      <c r="G38" s="240">
        <f t="shared" si="17"/>
        <v>6.1808386721025</v>
      </c>
      <c r="H38" s="241">
        <f t="shared" si="17"/>
        <v>0.571399662398942</v>
      </c>
      <c r="I38" s="253">
        <f t="shared" si="17"/>
        <v>10.6125</v>
      </c>
      <c r="J38" s="254"/>
      <c r="K38" s="254"/>
      <c r="L38" s="255">
        <f t="shared" si="18"/>
        <v>0.717</v>
      </c>
      <c r="M38" s="256"/>
      <c r="N38" s="257"/>
      <c r="P38" s="245"/>
      <c r="Q38" s="188"/>
      <c r="R38" s="202"/>
      <c r="T38" s="2" t="s">
        <v>56</v>
      </c>
      <c r="U38" s="246">
        <f>INDEX(DRAM!$EC:$EH,MATCH(AA$4,DRAM!$EA:$EA,0),MATCH($T38,DRAM!$EC$28:$EH$28,0))/8</f>
        <v>3.93333333333333</v>
      </c>
      <c r="V38" s="246">
        <f>INDEX(DRAM!$EC:$EH,MATCH(AB$4,DRAM!$EA:$EA,0),MATCH($T38,DRAM!$EC$28:$EH$28,0))/8</f>
        <v>6.1808386721025</v>
      </c>
      <c r="W38" s="203">
        <f t="shared" si="14"/>
        <v>0.571399662398942</v>
      </c>
      <c r="X38" s="258">
        <f>INDEX(DRAM!$EC:$EH,MATCH(N_Summary!$AC$4,DRAM!$EA:$EA,0),MATCH($T38,DRAM!$EC$28:$EH$28,0))/8</f>
        <v>10.6125</v>
      </c>
      <c r="Y38" s="258"/>
      <c r="Z38" s="258"/>
      <c r="AA38" s="259">
        <f t="shared" ref="AA38:AA41" si="19">X38/V38-1</f>
        <v>0.717</v>
      </c>
      <c r="AB38" s="259"/>
      <c r="AC38" s="259"/>
      <c r="AD38" s="203"/>
      <c r="AE38" s="246"/>
      <c r="AF38" s="3"/>
      <c r="AG38" s="57"/>
    </row>
    <row r="39" ht="12.75" customHeight="1" spans="3:42">
      <c r="C39" s="197"/>
      <c r="D39" s="8"/>
      <c r="E39" s="8" t="str">
        <f t="shared" si="17"/>
        <v>LPDDR4X 4GB Discrete</v>
      </c>
      <c r="F39" s="239">
        <f t="shared" si="17"/>
        <v>3.93333333333333</v>
      </c>
      <c r="G39" s="240">
        <f t="shared" si="17"/>
        <v>6.16996507566938</v>
      </c>
      <c r="H39" s="241">
        <f t="shared" si="17"/>
        <v>0.568635188729504</v>
      </c>
      <c r="I39" s="253">
        <f t="shared" si="17"/>
        <v>10.6</v>
      </c>
      <c r="J39" s="254"/>
      <c r="K39" s="254"/>
      <c r="L39" s="255">
        <f t="shared" si="18"/>
        <v>0.718</v>
      </c>
      <c r="M39" s="256"/>
      <c r="N39" s="257"/>
      <c r="P39" s="245"/>
      <c r="Q39" s="204"/>
      <c r="R39" s="202"/>
      <c r="T39" s="2" t="s">
        <v>57</v>
      </c>
      <c r="U39" s="246">
        <f>INDEX(DRAM!$EC:$EH,MATCH(AA$4,DRAM!$EA:$EA,0),MATCH($T39,DRAM!$EC$28:$EH$28,0))/4</f>
        <v>3.93333333333333</v>
      </c>
      <c r="V39" s="246">
        <f>INDEX(DRAM!$EC:$EH,MATCH(AB$4,DRAM!$EA:$EA,0),MATCH($T39,DRAM!$EC$28:$EH$28,0))/4</f>
        <v>6.16996507566938</v>
      </c>
      <c r="W39" s="203">
        <f t="shared" si="14"/>
        <v>0.568635188729504</v>
      </c>
      <c r="X39" s="258">
        <f>INDEX(DRAM!$EC:$EH,MATCH(N_Summary!$AC$4,DRAM!$EA:$EA,0),MATCH($T39,DRAM!$EC$28:$EH$28,0))/4</f>
        <v>10.6</v>
      </c>
      <c r="Y39" s="258"/>
      <c r="Z39" s="258"/>
      <c r="AA39" s="259">
        <f t="shared" si="19"/>
        <v>0.718</v>
      </c>
      <c r="AB39" s="259"/>
      <c r="AC39" s="259"/>
      <c r="AD39" s="203"/>
      <c r="AE39" s="246"/>
      <c r="AF39" s="3"/>
      <c r="AG39" s="57"/>
      <c r="AJ39" s="36"/>
    </row>
    <row r="40" ht="12.75" customHeight="1" spans="3:42">
      <c r="C40" s="197"/>
      <c r="D40" s="8"/>
      <c r="E40" s="8" t="s">
        <v>58</v>
      </c>
      <c r="F40" s="239">
        <f t="shared" si="17"/>
        <v>40.8667032364235</v>
      </c>
      <c r="G40" s="240">
        <f t="shared" si="17"/>
        <v>65.6531531531532</v>
      </c>
      <c r="H40" s="241">
        <f t="shared" si="17"/>
        <v>0.606519438901989</v>
      </c>
      <c r="I40" s="253">
        <f t="shared" si="17"/>
        <v>116.6</v>
      </c>
      <c r="J40" s="254"/>
      <c r="K40" s="254"/>
      <c r="L40" s="255">
        <f t="shared" si="18"/>
        <v>0.776</v>
      </c>
      <c r="M40" s="256"/>
      <c r="N40" s="257"/>
      <c r="P40" s="245"/>
      <c r="Q40" s="204"/>
      <c r="R40" s="202"/>
      <c r="T40" s="2" t="s">
        <v>59</v>
      </c>
      <c r="U40" s="246">
        <f>INDEX(DRAM!$EC:$EH,MATCH(AA$4,DRAM!$EA:$EA,0),MATCH($T40,DRAM!$EC$28:$EH$28,0))</f>
        <v>40.8667032364235</v>
      </c>
      <c r="V40" s="246">
        <f>INDEX(DRAM!$EC:$EH,MATCH(AB$4,DRAM!$EA:$EA,0),MATCH($T40,DRAM!$EC$28:$EH$28,0))</f>
        <v>65.6531531531532</v>
      </c>
      <c r="W40" s="203">
        <f t="shared" si="14"/>
        <v>0.606519438901989</v>
      </c>
      <c r="X40" s="258">
        <f>INDEX(DRAM!$EC:$EH,MATCH(N_Summary!$AC$4,DRAM!$EA:$EA,0),MATCH($T40,DRAM!$EC$28:$EH$28,0))</f>
        <v>116.6</v>
      </c>
      <c r="Y40" s="258"/>
      <c r="Z40" s="258"/>
      <c r="AA40" s="259">
        <f t="shared" si="19"/>
        <v>0.776</v>
      </c>
      <c r="AB40" s="259"/>
      <c r="AC40" s="259"/>
      <c r="AD40" s="203"/>
      <c r="AE40" s="246"/>
      <c r="AF40" s="3"/>
      <c r="AG40" s="57"/>
    </row>
    <row r="41" ht="12.75" customHeight="1" spans="3:42">
      <c r="C41" s="197"/>
      <c r="D41" s="8"/>
      <c r="E41" s="8" t="s">
        <v>60</v>
      </c>
      <c r="F41" s="239">
        <f t="shared" si="17"/>
        <v>20.9011943539631</v>
      </c>
      <c r="G41" s="240">
        <f t="shared" si="17"/>
        <v>34.8319709355132</v>
      </c>
      <c r="H41" s="241">
        <f t="shared" si="17"/>
        <v>0.666506245797799</v>
      </c>
      <c r="I41" s="253">
        <f t="shared" si="17"/>
        <v>76.7</v>
      </c>
      <c r="J41" s="254"/>
      <c r="K41" s="254"/>
      <c r="L41" s="255">
        <f t="shared" si="18"/>
        <v>1.202</v>
      </c>
      <c r="M41" s="256"/>
      <c r="N41" s="257"/>
      <c r="P41" s="245"/>
      <c r="Q41" s="248"/>
      <c r="R41" s="202"/>
      <c r="T41" s="2" t="s">
        <v>61</v>
      </c>
      <c r="U41" s="246">
        <f>INDEX(DRAM!$EC:$EH,MATCH(AA$4,DRAM!$EA:$EA,0),MATCH($T41,DRAM!$EC$28:$EH$28,0))</f>
        <v>20.9011943539631</v>
      </c>
      <c r="V41" s="246">
        <f>INDEX(DRAM!$EC:$EH,MATCH(AB$4,DRAM!$EA:$EA,0),MATCH($T41,DRAM!$EC$28:$EH$28,0))</f>
        <v>34.8319709355132</v>
      </c>
      <c r="W41" s="203">
        <f t="shared" si="14"/>
        <v>0.666506245797799</v>
      </c>
      <c r="X41" s="258">
        <f>INDEX(DRAM!$EC:$EH,MATCH(N_Summary!$AC$4,DRAM!$EA:$EA,0),MATCH($T41,DRAM!$EC$28:$EH$28,0))</f>
        <v>76.7</v>
      </c>
      <c r="Y41" s="258"/>
      <c r="Z41" s="258"/>
      <c r="AA41" s="259">
        <f t="shared" si="19"/>
        <v>1.202</v>
      </c>
      <c r="AB41" s="259"/>
      <c r="AC41" s="259"/>
      <c r="AD41" s="203"/>
      <c r="AE41" s="246"/>
      <c r="AF41" s="36"/>
      <c r="AG41" s="57"/>
    </row>
    <row r="42" ht="12.75" customHeight="1" spans="3:42">
      <c r="C42" s="197"/>
      <c r="D42" s="8"/>
      <c r="E42" s="8"/>
      <c r="F42" s="239"/>
      <c r="G42" s="240"/>
      <c r="H42" s="241"/>
      <c r="I42" s="239"/>
      <c r="J42" s="240"/>
      <c r="K42" s="240"/>
      <c r="L42" s="252"/>
      <c r="M42" s="217"/>
      <c r="N42" s="251"/>
      <c r="P42" s="245"/>
      <c r="Q42" s="248"/>
      <c r="R42" s="202"/>
      <c r="X42" s="246"/>
      <c r="Y42" s="246"/>
      <c r="Z42" s="246"/>
      <c r="AB42" s="57"/>
      <c r="AC42" s="57"/>
      <c r="AG42" s="57"/>
    </row>
    <row r="43" ht="12.75" customHeight="1" spans="3:42">
      <c r="C43" s="197" t="str">
        <f>R43</f>
        <v>Specialty DRAM</v>
      </c>
      <c r="D43" s="8"/>
      <c r="E43" s="8" t="str">
        <f t="shared" ref="E43:N45" si="20">T43</f>
        <v>DDR4 4Gb</v>
      </c>
      <c r="F43" s="239">
        <f t="shared" si="20"/>
        <v>7</v>
      </c>
      <c r="G43" s="240">
        <f t="shared" si="20"/>
        <v>12.6666666666667</v>
      </c>
      <c r="H43" s="241">
        <f t="shared" si="20"/>
        <v>0.80952380952381</v>
      </c>
      <c r="I43" s="239">
        <f t="shared" si="20"/>
        <v>20</v>
      </c>
      <c r="J43" s="240">
        <f t="shared" si="20"/>
        <v>24</v>
      </c>
      <c r="K43" s="242" t="e">
        <f t="shared" si="20"/>
        <v>#N/A</v>
      </c>
      <c r="L43" s="243">
        <f t="shared" si="20"/>
        <v>0.578947368421053</v>
      </c>
      <c r="M43" s="217">
        <f t="shared" si="20"/>
        <v>0.894736842105263</v>
      </c>
      <c r="N43" s="244" t="e">
        <f t="shared" si="20"/>
        <v>#N/A</v>
      </c>
      <c r="P43" s="245">
        <f>AVERAGE(AA43:AA44)</f>
        <v>0.62280701754386</v>
      </c>
      <c r="Q43" s="248">
        <v>0.15</v>
      </c>
      <c r="R43" s="202" t="s">
        <v>62</v>
      </c>
      <c r="T43" s="2" t="s">
        <v>63</v>
      </c>
      <c r="U43" s="246">
        <f>AVERAGEIF(DRAM!$BQ:$BQ,N_Summary!AA$4,DRAM!$CQ:$CQ)*2</f>
        <v>7</v>
      </c>
      <c r="V43" s="246">
        <f>AVERAGEIF(DRAM!$BQ:$BQ,N_Summary!AB$4,DRAM!$CQ:$CQ)*2</f>
        <v>12.6666666666667</v>
      </c>
      <c r="W43" s="203">
        <f t="shared" ref="W43:W45" si="21">V43/U43-1</f>
        <v>0.80952380952381</v>
      </c>
      <c r="X43" s="246">
        <f>INDEX(DRAM!$CE:$CW,MATCH(N_Summary!AC3,DRAM!$CA:$CA,0),MATCH($T43,DRAM!$CE$28:$CW$28,0))/4*8</f>
        <v>20</v>
      </c>
      <c r="Y43" s="246">
        <f>INDEX(DRAM!$CE:$CW,MATCH(N_Summary!AD3,DRAM!$CA:$CA,0),MATCH($T43,DRAM!$CE$28:$CW$28,0))/4*8</f>
        <v>24</v>
      </c>
      <c r="Z43" s="246" t="e">
        <f>INDEX(DRAM!$CE:$CW,MATCH(N_Summary!AE3,DRAM!$CA:$CA,0),MATCH($T43,DRAM!$CE$28:$CW$28,0))/4*8</f>
        <v>#N/A</v>
      </c>
      <c r="AA43" s="57">
        <f t="shared" ref="AA43:AC45" si="22">X43/$V43-1</f>
        <v>0.578947368421053</v>
      </c>
      <c r="AB43" s="57">
        <f>Y43/$V43-1</f>
        <v>0.894736842105263</v>
      </c>
      <c r="AC43" s="57" t="e">
        <f t="shared" si="22"/>
        <v>#N/A</v>
      </c>
      <c r="AG43" s="57"/>
    </row>
    <row r="44" ht="12" customHeight="1" spans="3:42">
      <c r="C44" s="205"/>
      <c r="D44" s="206"/>
      <c r="E44" s="8" t="str">
        <f t="shared" si="20"/>
        <v>DDR3 4Gb</v>
      </c>
      <c r="F44" s="239">
        <f t="shared" si="20"/>
        <v>5.93333333333333</v>
      </c>
      <c r="G44" s="240">
        <f t="shared" si="20"/>
        <v>12</v>
      </c>
      <c r="H44" s="241">
        <f t="shared" si="20"/>
        <v>1.02247191011236</v>
      </c>
      <c r="I44" s="239">
        <f t="shared" si="20"/>
        <v>20</v>
      </c>
      <c r="J44" s="240">
        <f t="shared" si="20"/>
        <v>22</v>
      </c>
      <c r="K44" s="242" t="e">
        <f t="shared" si="20"/>
        <v>#N/A</v>
      </c>
      <c r="L44" s="243">
        <f t="shared" si="20"/>
        <v>0.666666666666667</v>
      </c>
      <c r="M44" s="217">
        <f t="shared" si="20"/>
        <v>0.833333333333333</v>
      </c>
      <c r="N44" s="244" t="e">
        <f t="shared" si="20"/>
        <v>#N/A</v>
      </c>
      <c r="P44" s="245">
        <f>SUMPRODUCT(P23:P43,Q23:Q43)</f>
        <v>0.59969653095338</v>
      </c>
      <c r="Q44" s="260"/>
      <c r="R44" s="261"/>
      <c r="S44" s="262"/>
      <c r="T44" s="2" t="s">
        <v>64</v>
      </c>
      <c r="U44" s="246">
        <f>AVERAGEIF(DRAM!$BQ:$BQ,N_Summary!AA$4,DRAM!$CR:$CR)*2</f>
        <v>5.93333333333333</v>
      </c>
      <c r="V44" s="246">
        <f>AVERAGEIF(DRAM!$BQ:$BQ,N_Summary!AB$4,DRAM!$CR:$CR)*2</f>
        <v>12</v>
      </c>
      <c r="W44" s="263">
        <f t="shared" si="21"/>
        <v>1.02247191011236</v>
      </c>
      <c r="X44" s="246">
        <f>INDEX(DRAM!$CE:$CW,MATCH(N_Summary!AC3,DRAM!$CA:$CA,0),MATCH($T44,DRAM!$CE$28:$CW$28,0))/4*8</f>
        <v>20</v>
      </c>
      <c r="Y44" s="246">
        <f>INDEX(DRAM!$CE:$CW,MATCH(N_Summary!AD3,DRAM!$CA:$CA,0),MATCH($T44,DRAM!$CE$28:$CW$28,0))/4*8</f>
        <v>22</v>
      </c>
      <c r="Z44" s="246" t="e">
        <f>INDEX(DRAM!$CE:$CW,MATCH(N_Summary!AE3,DRAM!$CA:$CA,0),MATCH($T44,DRAM!$CE$28:$CW$28,0))/4*8</f>
        <v>#N/A</v>
      </c>
      <c r="AA44" s="264">
        <f t="shared" si="22"/>
        <v>0.666666666666667</v>
      </c>
      <c r="AB44" s="264">
        <f t="shared" si="22"/>
        <v>0.833333333333333</v>
      </c>
      <c r="AC44" s="264" t="e">
        <f t="shared" si="22"/>
        <v>#N/A</v>
      </c>
      <c r="AD44" s="265">
        <v>0.629973246127686</v>
      </c>
      <c r="AE44" s="265">
        <v>0.681236783333158</v>
      </c>
      <c r="AF44" s="265">
        <v>0.708875300254917</v>
      </c>
    </row>
    <row r="45" ht="12.75" customHeight="1" spans="3:42">
      <c r="C45" s="205" t="str">
        <f>R45</f>
        <v>Weighted Average</v>
      </c>
      <c r="D45" s="206"/>
      <c r="E45" s="266"/>
      <c r="F45" s="267">
        <f t="shared" si="20"/>
        <v>5.44942203958361</v>
      </c>
      <c r="G45" s="268">
        <f t="shared" si="20"/>
        <v>10.1214237201311</v>
      </c>
      <c r="H45" s="269">
        <f t="shared" si="20"/>
        <v>0.857338933672402</v>
      </c>
      <c r="I45" s="267">
        <f t="shared" si="20"/>
        <v>15.8411549655615</v>
      </c>
      <c r="J45" s="268">
        <f t="shared" si="20"/>
        <v>16.5611466003445</v>
      </c>
      <c r="K45" s="270" t="e">
        <f t="shared" si="20"/>
        <v>#N/A</v>
      </c>
      <c r="L45" s="271">
        <f t="shared" si="20"/>
        <v>0.565111332514819</v>
      </c>
      <c r="M45" s="272">
        <f t="shared" si="20"/>
        <v>0.636246743371201</v>
      </c>
      <c r="N45" s="273" t="e">
        <f t="shared" si="20"/>
        <v>#N/A</v>
      </c>
      <c r="P45" s="8"/>
      <c r="Q45" s="260"/>
      <c r="R45" s="274" t="s">
        <v>65</v>
      </c>
      <c r="T45" s="275"/>
      <c r="U45" s="276">
        <f>SUM((R54*AVERAGE(U23:U24)+(1-R54)*(U25*U53+U27*(1-U53)))*$Q23,(AVERAGE(U29:U31)*U53+AVERAGE(U32)*(1-U53))*$Q29,AVERAGE(U36:U39)*$Q36,AVERAGE(U43:U44)*$Q43)</f>
        <v>5.44942203958361</v>
      </c>
      <c r="V45" s="276">
        <f>SUM((R54*AVERAGE(V23:V24)+(1-R54)*(V25*V53+V27*(1-V53)))*$Q23,(AVERAGE(V29:V31)*V53+AVERAGE(V32)*(1-V53))*$Q29,AVERAGE(V36:V39)*$Q36,AVERAGE(V43:V44)*$Q43)</f>
        <v>10.1214237201311</v>
      </c>
      <c r="W45" s="277">
        <f t="shared" si="21"/>
        <v>0.857338933672402</v>
      </c>
      <c r="X45" s="278">
        <f>SUM((R54*AVERAGE(X23:X24)+(1-R54)*(X25*X53+X27*(1-X53)))*$Q23,(AVERAGE(X29:X31)*X53+AVERAGE(X32)*(1-X53))*$Q29,AVERAGE(X36:X39)*$Q36,AVERAGE(X43:X44)*$Q43)</f>
        <v>15.8411549655615</v>
      </c>
      <c r="Y45" s="278">
        <f>SUM((R54*AVERAGE(Y23:Y24)+(1-R54)*(Y25*Y53+Y27*(1-Y53)))*$Q23,(AVERAGE(Y29:Y31)*Y53+AVERAGE(Y32)*(1-Y53))*$Q29,AVERAGE(X36:X39)*$Q36,AVERAGE(Y43:Y44)*$Q43)</f>
        <v>16.5611466003445</v>
      </c>
      <c r="Z45" s="278" t="e">
        <f>SUM((R54*AVERAGE(Z23:Z24)+(1-R54)*(Z25*Z53+Z27*(1-Z53)))*$Q23,(AVERAGE(Z29:Z31)*Z53+AVERAGE(Z32)*(1-Z53))*$Q29,AVERAGE(X36:X39)*$Q36,AVERAGE(Z43:Z44)*$Q43)</f>
        <v>#N/A</v>
      </c>
      <c r="AA45" s="279">
        <f>X45/$V45-1</f>
        <v>0.565111332514819</v>
      </c>
      <c r="AB45" s="279">
        <f>Y45/$V45-1</f>
        <v>0.636246743371201</v>
      </c>
      <c r="AC45" s="279" t="e">
        <f t="shared" si="22"/>
        <v>#N/A</v>
      </c>
    </row>
    <row r="46" ht="12.75" customHeight="1" spans="3:42">
      <c r="C46" s="280"/>
      <c r="F46" s="281"/>
      <c r="G46" s="8"/>
      <c r="H46" s="241"/>
      <c r="I46" s="281"/>
      <c r="J46" s="282"/>
      <c r="K46" s="283"/>
      <c r="L46" s="217"/>
      <c r="M46" s="217"/>
      <c r="N46" s="251"/>
      <c r="O46" s="57"/>
      <c r="P46" s="245">
        <f>SUMPRODUCT(P48:P50,Q48:Q50)</f>
        <v>-0.0579058008411132</v>
      </c>
      <c r="Z46" s="199"/>
      <c r="AA46" s="284"/>
      <c r="AB46" s="57"/>
      <c r="AC46" s="57"/>
      <c r="AE46" s="57"/>
      <c r="AI46" s="3"/>
    </row>
    <row r="47" ht="12.75" customHeight="1" spans="3:42">
      <c r="C47" s="190" t="s">
        <v>66</v>
      </c>
      <c r="D47" s="191"/>
      <c r="E47" s="192"/>
      <c r="F47" s="285"/>
      <c r="G47" s="285"/>
      <c r="H47" s="286"/>
      <c r="I47" s="287"/>
      <c r="J47" s="288"/>
      <c r="K47" s="288"/>
      <c r="L47" s="287"/>
      <c r="M47" s="287"/>
      <c r="N47" s="289"/>
      <c r="P47" s="8"/>
      <c r="Q47" s="188" t="s">
        <v>67</v>
      </c>
      <c r="R47" s="196" t="s">
        <v>68</v>
      </c>
      <c r="S47" s="191"/>
      <c r="T47" s="192"/>
      <c r="U47" s="194"/>
      <c r="V47" s="194"/>
      <c r="W47" s="194"/>
      <c r="X47" s="191"/>
      <c r="Y47" s="191"/>
      <c r="Z47" s="191"/>
      <c r="AA47" s="193"/>
      <c r="AB47" s="193"/>
      <c r="AC47" s="193"/>
      <c r="AI47" s="36"/>
    </row>
    <row r="48" ht="12.75" customHeight="1" spans="3:42">
      <c r="C48" s="290" t="str">
        <f>R48</f>
        <v>Samsung</v>
      </c>
      <c r="D48" s="8"/>
      <c r="E48" s="8"/>
      <c r="F48" s="291">
        <f t="shared" ref="F48:I51" si="23">U48</f>
        <v>4.94126604956715</v>
      </c>
      <c r="G48" s="292">
        <f t="shared" si="23"/>
        <v>7.77399315772099</v>
      </c>
      <c r="H48" s="241">
        <f t="shared" si="23"/>
        <v>0.573279616952012</v>
      </c>
      <c r="I48" s="253">
        <f t="shared" si="23"/>
        <v>11.3478662487877</v>
      </c>
      <c r="J48" s="254"/>
      <c r="K48" s="293">
        <f>V48</f>
        <v>7.77399315772099</v>
      </c>
      <c r="L48" s="260">
        <f>AA48</f>
        <v>0.45972166665946</v>
      </c>
      <c r="M48" s="260"/>
      <c r="N48" s="294">
        <f>Z48</f>
        <v>0</v>
      </c>
      <c r="P48" s="245">
        <v>-0.025</v>
      </c>
      <c r="Q48" s="204">
        <v>0.38918498932966</v>
      </c>
      <c r="R48" s="202" t="s">
        <v>69</v>
      </c>
      <c r="U48" s="295">
        <v>4.94126604956715</v>
      </c>
      <c r="V48" s="295">
        <v>7.77399315772099</v>
      </c>
      <c r="W48" s="203">
        <f t="shared" ref="W48:W51" si="24">V48/U48-1</f>
        <v>0.573279616952012</v>
      </c>
      <c r="X48" s="296">
        <v>11.3478662487877</v>
      </c>
      <c r="Y48" s="296"/>
      <c r="Z48" s="296"/>
      <c r="AA48" s="260">
        <f>X48/V48-1</f>
        <v>0.45972166665946</v>
      </c>
      <c r="AB48" s="260"/>
      <c r="AC48" s="260"/>
      <c r="AG48" s="36"/>
      <c r="AI48" s="36"/>
    </row>
    <row r="49" ht="12.75" customHeight="1" spans="2:33">
      <c r="C49" s="290" t="str">
        <f>R49</f>
        <v>SK hynix</v>
      </c>
      <c r="D49" s="8"/>
      <c r="E49" s="8"/>
      <c r="F49" s="291">
        <f t="shared" si="23"/>
        <v>5.06561384688166</v>
      </c>
      <c r="G49" s="292">
        <f t="shared" si="23"/>
        <v>7.11670105432558</v>
      </c>
      <c r="H49" s="241">
        <f t="shared" si="23"/>
        <v>0.404903979940469</v>
      </c>
      <c r="I49" s="253">
        <f t="shared" si="23"/>
        <v>10.380807786057</v>
      </c>
      <c r="J49" s="254"/>
      <c r="K49" s="254">
        <f>V49</f>
        <v>7.11670105432558</v>
      </c>
      <c r="L49" s="297">
        <f>AA49</f>
        <v>0.458654467402071</v>
      </c>
      <c r="M49" s="260"/>
      <c r="N49" s="294">
        <f>Z49</f>
        <v>0</v>
      </c>
      <c r="P49" s="245">
        <v>-0.1</v>
      </c>
      <c r="Q49" s="204">
        <v>0.352708511487093</v>
      </c>
      <c r="R49" s="202" t="s">
        <v>70</v>
      </c>
      <c r="U49" s="295">
        <v>5.06561384688166</v>
      </c>
      <c r="V49" s="295">
        <v>7.11670105432558</v>
      </c>
      <c r="W49" s="203">
        <f t="shared" si="24"/>
        <v>0.404903979940469</v>
      </c>
      <c r="X49" s="296">
        <v>10.380807786057</v>
      </c>
      <c r="Y49" s="296"/>
      <c r="Z49" s="296"/>
      <c r="AA49" s="260">
        <f>X49/V49-1</f>
        <v>0.458654467402071</v>
      </c>
      <c r="AB49" s="260"/>
      <c r="AC49" s="260"/>
      <c r="AG49" s="36"/>
    </row>
    <row r="50" ht="12.75" customHeight="1" spans="2:33">
      <c r="C50" s="298" t="str">
        <f>R50</f>
        <v>Micron***</v>
      </c>
      <c r="D50" s="206"/>
      <c r="E50" s="8"/>
      <c r="F50" s="291">
        <f t="shared" si="23"/>
        <v>4.31205442097038</v>
      </c>
      <c r="G50" s="292">
        <f t="shared" si="23"/>
        <v>6.97018192135028</v>
      </c>
      <c r="H50" s="241">
        <f t="shared" si="23"/>
        <v>0.616441083733289</v>
      </c>
      <c r="I50" s="299">
        <f t="shared" si="23"/>
        <v>10.4801658114415</v>
      </c>
      <c r="J50" s="300"/>
      <c r="K50" s="300">
        <f>V50</f>
        <v>6.97018192135028</v>
      </c>
      <c r="L50" s="301">
        <f>AA50</f>
        <v>0.503571345726266</v>
      </c>
      <c r="M50" s="302"/>
      <c r="N50" s="303">
        <f>Z50</f>
        <v>0</v>
      </c>
      <c r="P50" s="245">
        <v>-0.05</v>
      </c>
      <c r="Q50" s="204">
        <v>0.258106499183246</v>
      </c>
      <c r="R50" s="202" t="s">
        <v>71</v>
      </c>
      <c r="S50" s="262"/>
      <c r="U50" s="295">
        <v>4.31205442097038</v>
      </c>
      <c r="V50" s="295">
        <v>6.97018192135028</v>
      </c>
      <c r="W50" s="263">
        <f t="shared" si="24"/>
        <v>0.616441083733289</v>
      </c>
      <c r="X50" s="304">
        <v>10.4801658114415</v>
      </c>
      <c r="Y50" s="304"/>
      <c r="Z50" s="304"/>
      <c r="AA50" s="305">
        <f>X50/V50-1</f>
        <v>0.503571345726266</v>
      </c>
      <c r="AB50" s="305"/>
      <c r="AC50" s="305"/>
      <c r="AG50" s="36"/>
    </row>
    <row r="51" ht="12.75" customHeight="1" spans="2:33">
      <c r="C51" s="205" t="str">
        <f>R51</f>
        <v>Weighted Average</v>
      </c>
      <c r="D51" s="206"/>
      <c r="E51" s="266"/>
      <c r="F51" s="306">
        <f t="shared" si="23"/>
        <v>4.82272096536215</v>
      </c>
      <c r="G51" s="307">
        <f t="shared" si="23"/>
        <v>7.33469173409637</v>
      </c>
      <c r="H51" s="308">
        <f t="shared" si="23"/>
        <v>0.520861726559708</v>
      </c>
      <c r="I51" s="309">
        <f t="shared" si="23"/>
        <v>10.7828173756538</v>
      </c>
      <c r="J51" s="310"/>
      <c r="K51" s="310">
        <f>V51</f>
        <v>7.33469173409637</v>
      </c>
      <c r="L51" s="311">
        <f>AA51</f>
        <v>0.470111869259386</v>
      </c>
      <c r="M51" s="312"/>
      <c r="N51" s="313">
        <f>Z51</f>
        <v>0</v>
      </c>
      <c r="P51" s="8"/>
      <c r="Q51" s="314">
        <f>SUM(Q48:Q50)</f>
        <v>1</v>
      </c>
      <c r="R51" s="315" t="s">
        <v>65</v>
      </c>
      <c r="T51" s="275"/>
      <c r="U51" s="276">
        <f>SUMPRODUCT(U48:U50,$Q$48:$Q$50)</f>
        <v>4.82272096536215</v>
      </c>
      <c r="V51" s="276">
        <f>SUMPRODUCT(V48:V50,$Q$48:$Q$50)</f>
        <v>7.33469173409637</v>
      </c>
      <c r="W51" s="277">
        <f t="shared" si="24"/>
        <v>0.520861726559708</v>
      </c>
      <c r="X51" s="316">
        <f>SUMPRODUCT(X48:X50,$Q$48:$Q$50)</f>
        <v>10.7828173756538</v>
      </c>
      <c r="Y51" s="316"/>
      <c r="Z51" s="316"/>
      <c r="AA51" s="317">
        <f>X51/V51-1</f>
        <v>0.470111869259386</v>
      </c>
      <c r="AB51" s="317"/>
      <c r="AC51" s="317"/>
    </row>
    <row r="52" ht="12" customHeight="1" spans="2:33">
      <c r="C52" s="318"/>
      <c r="D52" s="8"/>
      <c r="E52" s="319"/>
      <c r="F52" s="8"/>
      <c r="G52" s="296"/>
      <c r="H52" s="296"/>
      <c r="I52" s="296"/>
      <c r="J52" s="214"/>
      <c r="K52" s="214"/>
      <c r="L52" s="214"/>
      <c r="M52" s="320"/>
      <c r="N52" s="320"/>
      <c r="O52" s="320"/>
      <c r="P52" s="8"/>
      <c r="Q52" s="314"/>
      <c r="R52" s="274"/>
      <c r="T52" s="321"/>
      <c r="U52" s="322"/>
      <c r="V52" s="316"/>
      <c r="W52" s="316"/>
      <c r="X52" s="316"/>
      <c r="Y52" s="323"/>
      <c r="Z52" s="323"/>
      <c r="AA52" s="323"/>
      <c r="AD52" s="279"/>
    </row>
    <row r="53" ht="12.75" customHeight="1" spans="2:33">
      <c r="C53" s="202" t="s">
        <v>72</v>
      </c>
      <c r="H53" s="163"/>
      <c r="I53" s="163"/>
      <c r="J53" s="324"/>
      <c r="K53" s="324"/>
      <c r="L53" s="324"/>
      <c r="M53" s="324"/>
      <c r="N53" s="324"/>
      <c r="O53" s="324"/>
      <c r="P53" s="8"/>
      <c r="Q53" s="314" t="s">
        <v>73</v>
      </c>
      <c r="R53" s="274"/>
      <c r="T53" s="321"/>
      <c r="U53" s="265">
        <v>0.898955873979902</v>
      </c>
      <c r="V53" s="265">
        <v>0.900753939165598</v>
      </c>
      <c r="W53" s="316"/>
      <c r="X53" s="265">
        <v>0.912322158467391</v>
      </c>
      <c r="Y53" s="323">
        <f>X53</f>
        <v>0.912322158467391</v>
      </c>
      <c r="Z53" s="323">
        <f t="shared" ref="Z53" si="25">Y53</f>
        <v>0.912322158467391</v>
      </c>
      <c r="AA53" s="323"/>
      <c r="AD53" s="57"/>
    </row>
    <row r="54" ht="38.45" customHeight="1" spans="2:33">
      <c r="C54" s="325" t="s">
        <v>74</v>
      </c>
      <c r="D54" s="325"/>
      <c r="E54" s="325"/>
      <c r="F54" s="325"/>
      <c r="G54" s="325"/>
      <c r="H54" s="325"/>
      <c r="I54" s="325"/>
      <c r="J54" s="325"/>
      <c r="K54" s="325"/>
      <c r="L54" s="325"/>
      <c r="M54" s="325"/>
      <c r="N54" s="325"/>
      <c r="O54" s="324"/>
      <c r="P54" s="8"/>
      <c r="Q54" s="247" t="s">
        <v>75</v>
      </c>
      <c r="R54" s="265">
        <v>0.1</v>
      </c>
      <c r="T54" s="321"/>
      <c r="U54" s="316">
        <f>AVERAGE(U29:U31)*U53+(1-U53)*AVERAGE(U32)</f>
        <v>6.77860168144785</v>
      </c>
      <c r="V54" s="316">
        <f>AVERAGE(V29:V31)*V53+(1-V53)*AVERAGE(V32)</f>
        <v>13.3418279700797</v>
      </c>
      <c r="W54" s="316"/>
      <c r="X54" s="316">
        <f>AVERAGE(X29:X31)*X53+(1-X53)*AVERAGE(X32)</f>
        <v>19.7691709987607</v>
      </c>
      <c r="Y54" s="316">
        <f>AVERAGE(Y29:Y31)*Y53+(1-Y53)*AVERAGE(Y32)</f>
        <v>20.3653481870369</v>
      </c>
      <c r="Z54" s="316" t="e">
        <f>AVERAGE(Z29:Z31)*Z53+(1-Z53)*AVERAGE(Z32)</f>
        <v>#N/A</v>
      </c>
      <c r="AA54" s="323"/>
      <c r="AD54" s="57"/>
    </row>
    <row r="55" ht="12.6" customHeight="1" spans="2:33">
      <c r="C55" s="202" t="s">
        <v>76</v>
      </c>
      <c r="H55" s="163"/>
      <c r="I55" s="163"/>
      <c r="J55" s="324"/>
      <c r="K55" s="324"/>
      <c r="L55" s="324"/>
      <c r="M55" s="324"/>
      <c r="N55" s="324"/>
      <c r="O55" s="324"/>
      <c r="P55" s="8"/>
      <c r="Q55" s="260"/>
      <c r="R55" s="274"/>
      <c r="T55" s="321"/>
      <c r="V55" s="326">
        <f>V54/U54-1</f>
        <v>0.968227164991061</v>
      </c>
      <c r="W55" s="322"/>
      <c r="X55" s="326">
        <f>X54/$V$54-1</f>
        <v>0.481743809251237</v>
      </c>
      <c r="Y55" s="327">
        <f>Y54/$V$54-1</f>
        <v>0.526428629773076</v>
      </c>
      <c r="Z55" s="327" t="e">
        <f>Z54/$V$54-1</f>
        <v>#N/A</v>
      </c>
      <c r="AA55" s="323"/>
      <c r="AB55" s="323"/>
      <c r="AD55" s="57"/>
    </row>
    <row r="56" ht="12.6" customHeight="1" spans="2:33">
      <c r="B56" s="328" t="s">
        <v>77</v>
      </c>
      <c r="C56" s="202" t="s">
        <v>78</v>
      </c>
      <c r="H56" s="163"/>
      <c r="I56" s="163"/>
      <c r="J56" s="324"/>
      <c r="K56" s="324"/>
      <c r="L56" s="324"/>
      <c r="M56" s="324"/>
      <c r="N56" s="324"/>
      <c r="O56" s="324"/>
      <c r="P56" s="8"/>
      <c r="Q56" s="260"/>
      <c r="R56" s="274"/>
      <c r="T56" s="321"/>
      <c r="U56" s="322"/>
      <c r="V56" s="322"/>
      <c r="W56" s="322"/>
      <c r="X56" s="326"/>
      <c r="Y56" s="323"/>
      <c r="Z56" s="323"/>
      <c r="AA56" s="323"/>
      <c r="AB56" s="323"/>
      <c r="AD56" s="57"/>
    </row>
    <row r="57" ht="12.75" customHeight="1" spans="2:33">
      <c r="C57" s="202"/>
      <c r="H57" s="163"/>
      <c r="I57" s="163"/>
      <c r="J57" s="324"/>
      <c r="K57" s="324"/>
      <c r="L57" s="324"/>
      <c r="O57" s="8"/>
      <c r="P57" s="8"/>
      <c r="Q57" s="260"/>
      <c r="T57" s="321"/>
      <c r="U57" s="322"/>
      <c r="V57" s="322"/>
      <c r="W57" s="322"/>
      <c r="X57" s="322"/>
      <c r="Y57" s="329"/>
      <c r="Z57" s="329"/>
      <c r="AA57" s="323"/>
      <c r="AB57" s="323"/>
      <c r="AC57" s="279"/>
    </row>
    <row r="58" ht="12.75" customHeight="1" spans="2:33">
      <c r="C58" s="168"/>
      <c r="D58" s="169"/>
      <c r="E58" s="170"/>
      <c r="F58" s="171" t="str">
        <f>U58</f>
        <v>Price at End of Month</v>
      </c>
      <c r="G58" s="171"/>
      <c r="H58" s="171"/>
      <c r="I58" s="171"/>
      <c r="J58" s="171"/>
      <c r="K58" s="171"/>
      <c r="L58" s="172" t="s">
        <v>28</v>
      </c>
      <c r="M58" s="171"/>
      <c r="N58" s="173"/>
      <c r="O58" s="8"/>
      <c r="P58" s="8"/>
      <c r="Q58" s="260"/>
      <c r="R58" s="174"/>
      <c r="S58" s="175"/>
      <c r="T58" s="7"/>
      <c r="U58" s="176" t="s">
        <v>29</v>
      </c>
      <c r="V58" s="176"/>
      <c r="W58" s="176"/>
      <c r="X58" s="176"/>
      <c r="Y58" s="176"/>
      <c r="Z58" s="176"/>
      <c r="AA58" s="177" t="s">
        <v>28</v>
      </c>
      <c r="AB58" s="176"/>
      <c r="AC58" s="178"/>
    </row>
    <row r="59" ht="12.75" customHeight="1" spans="2:33">
      <c r="C59" s="179"/>
      <c r="D59" s="175"/>
      <c r="E59" s="7"/>
      <c r="F59" s="180" t="str">
        <f>U59</f>
        <v>Mar-26</v>
      </c>
      <c r="G59" s="180" t="str">
        <f>V59</f>
        <v>Apr-26</v>
      </c>
      <c r="H59" s="180" t="str">
        <f>W59</f>
        <v>May-26</v>
      </c>
      <c r="I59" s="180" t="str">
        <f>X59</f>
        <v>MoM</v>
      </c>
      <c r="J59" s="180"/>
      <c r="K59" s="180"/>
      <c r="L59" s="180" t="str">
        <f>AA59</f>
        <v>1QCY26</v>
      </c>
      <c r="M59" s="181" t="str">
        <f>AB59</f>
        <v>2QCY26 QTD</v>
      </c>
      <c r="N59" s="182" t="str">
        <f>AC59</f>
        <v>QoQ</v>
      </c>
      <c r="O59" s="8"/>
      <c r="P59" s="8"/>
      <c r="Q59" s="260"/>
      <c r="R59" s="174"/>
      <c r="S59" s="175"/>
      <c r="T59" s="7"/>
      <c r="U59" s="180" t="str">
        <f>TEXT($U$3,"MMM-YY")</f>
        <v>Mar-26</v>
      </c>
      <c r="V59" s="180" t="str">
        <f>TEXT($V$3,"MMM-YY")</f>
        <v>Apr-26</v>
      </c>
      <c r="W59" s="180" t="str">
        <f>TEXT($W$3,"MMM-YY")</f>
        <v>May-26</v>
      </c>
      <c r="X59" s="180" t="s">
        <v>30</v>
      </c>
      <c r="Y59" s="180"/>
      <c r="Z59" s="180"/>
      <c r="AA59" s="180" t="str">
        <f>$T$5</f>
        <v>1QCY26</v>
      </c>
      <c r="AB59" s="181" t="str">
        <f>$W$5&amp;" "&amp;"QTD"</f>
        <v>2QCY26 QTD</v>
      </c>
      <c r="AC59" s="183" t="s">
        <v>31</v>
      </c>
    </row>
    <row r="60" ht="12.75" customHeight="1" spans="2:33">
      <c r="C60" s="184" t="str">
        <f>R60</f>
        <v>NAND</v>
      </c>
      <c r="D60" s="175"/>
      <c r="E60" s="7"/>
      <c r="F60" s="185"/>
      <c r="G60" s="185"/>
      <c r="H60" s="185"/>
      <c r="I60" s="185">
        <f>X60</f>
        <v>46112</v>
      </c>
      <c r="J60" s="185">
        <f>Y60</f>
        <v>46142</v>
      </c>
      <c r="K60" s="185">
        <f>Z60</f>
        <v>46173</v>
      </c>
      <c r="L60" s="185"/>
      <c r="M60" s="186"/>
      <c r="N60" s="187"/>
      <c r="O60" s="8"/>
      <c r="P60" s="8"/>
      <c r="Q60" s="260"/>
      <c r="R60" s="7" t="s">
        <v>79</v>
      </c>
      <c r="S60" s="175"/>
      <c r="T60" s="7"/>
      <c r="U60" s="185"/>
      <c r="V60" s="185"/>
      <c r="W60" s="185"/>
      <c r="X60" s="185">
        <f>EOMONTH(Y60,-1)</f>
        <v>46112</v>
      </c>
      <c r="Y60" s="185">
        <f>EOMONTH(Z60,-1)</f>
        <v>46142</v>
      </c>
      <c r="Z60" s="185">
        <f>$W$3</f>
        <v>46173</v>
      </c>
      <c r="AA60" s="185"/>
      <c r="AB60" s="186"/>
      <c r="AC60" s="189"/>
      <c r="AF60" s="36"/>
    </row>
    <row r="61" ht="12.75" customHeight="1" spans="2:33">
      <c r="C61" s="190" t="str">
        <f>R61</f>
        <v>Spot Price (US$/GB)</v>
      </c>
      <c r="D61" s="191"/>
      <c r="E61" s="192"/>
      <c r="F61" s="330"/>
      <c r="G61" s="193"/>
      <c r="H61" s="331"/>
      <c r="I61" s="193"/>
      <c r="J61" s="193"/>
      <c r="K61" s="193"/>
      <c r="L61" s="332"/>
      <c r="M61" s="193"/>
      <c r="N61" s="195"/>
      <c r="O61" s="8"/>
      <c r="P61" s="8"/>
      <c r="Q61" s="188"/>
      <c r="R61" s="196" t="s">
        <v>34</v>
      </c>
      <c r="S61" s="191"/>
      <c r="T61" s="192"/>
      <c r="U61" s="191"/>
      <c r="V61" s="193"/>
      <c r="W61" s="194"/>
      <c r="X61" s="193"/>
      <c r="Y61" s="193"/>
      <c r="Z61" s="193"/>
      <c r="AA61" s="193"/>
      <c r="AB61" s="193"/>
      <c r="AC61" s="193"/>
      <c r="AF61" s="36"/>
    </row>
    <row r="62" ht="12.75" customHeight="1" spans="2:33">
      <c r="C62" s="197" t="str">
        <f>R62</f>
        <v>NAND Wafer</v>
      </c>
      <c r="D62" s="8"/>
      <c r="E62" s="8" t="str">
        <f t="shared" ref="E62:N64" si="26">T62</f>
        <v>1Tb 3D TLC/QLC</v>
      </c>
      <c r="F62" s="333">
        <f t="shared" si="26"/>
        <v>0.212265625</v>
      </c>
      <c r="G62" s="334">
        <f t="shared" si="26"/>
        <v>0.196640625</v>
      </c>
      <c r="H62" s="335">
        <f t="shared" si="26"/>
        <v>0.196953125</v>
      </c>
      <c r="I62" s="57">
        <f t="shared" si="26"/>
        <v>0.261374187558032</v>
      </c>
      <c r="J62" s="57">
        <f t="shared" si="26"/>
        <v>-0.0736105999263894</v>
      </c>
      <c r="K62" s="57">
        <f t="shared" si="26"/>
        <v>0.00158919348430664</v>
      </c>
      <c r="L62" s="333">
        <f t="shared" si="26"/>
        <v>0.177473958333333</v>
      </c>
      <c r="M62" s="334">
        <f t="shared" si="26"/>
        <v>0.198697916666667</v>
      </c>
      <c r="N62" s="201">
        <f t="shared" si="26"/>
        <v>0.119589141599413</v>
      </c>
      <c r="O62" s="8"/>
      <c r="P62" s="8"/>
      <c r="Q62" s="188"/>
      <c r="R62" s="202" t="s">
        <v>80</v>
      </c>
      <c r="T62" s="2" t="s">
        <v>81</v>
      </c>
      <c r="U62" s="336" cm="1">
        <f t="array" ref="U62">INDEX(NAND!$H:$H,MATCH(U$3,NAND!$E:$E,1),)/1024*8</f>
        <v>0.212265625</v>
      </c>
      <c r="V62" s="336" cm="1">
        <f t="array" ref="V62">INDEX(NAND!$H:$H,MATCH(V$3,NAND!$E:$E,1),)/1024*8</f>
        <v>0.196640625</v>
      </c>
      <c r="W62" s="336" cm="1">
        <f t="array" ref="W62">INDEX(NAND!$H:$H,MATCH(W$3,NAND!$E:$E,1),)/1024*8</f>
        <v>0.196953125</v>
      </c>
      <c r="X62" s="57" cm="1">
        <f t="array" ref="X62">U62*1024/8/INDEX(NAND!$H:$H,MATCH(T$3,NAND!$E:$E,1),)-1</f>
        <v>0.261374187558032</v>
      </c>
      <c r="Y62" s="57">
        <f t="shared" ref="Y62:Z64" si="27">V62/U62-1</f>
        <v>-0.0736105999263894</v>
      </c>
      <c r="Z62" s="57">
        <f t="shared" si="27"/>
        <v>0.00158919348430664</v>
      </c>
      <c r="AA62" s="336">
        <f>AVERAGEIF(NAND!$C:$C,N_Summary!T$4,NAND!$H:$H)/1024*8</f>
        <v>0.177473958333333</v>
      </c>
      <c r="AB62" s="336">
        <f>AVERAGEIF(NAND!$C:$C,N_Summary!W$4,NAND!$H:$H)/1024*8</f>
        <v>0.198697916666667</v>
      </c>
      <c r="AC62" s="155">
        <f>AB62/AA62-1</f>
        <v>0.119589141599413</v>
      </c>
      <c r="AE62" s="36"/>
      <c r="AF62" s="36"/>
      <c r="AG62" s="40"/>
    </row>
    <row r="63" ht="12.75" customHeight="1" spans="2:33">
      <c r="C63" s="205"/>
      <c r="D63" s="206"/>
      <c r="E63" s="206" t="str">
        <f t="shared" si="26"/>
        <v>512Gb 3D TLC</v>
      </c>
      <c r="F63" s="337">
        <f t="shared" si="26"/>
        <v>0.34625</v>
      </c>
      <c r="G63" s="338">
        <f t="shared" si="26"/>
        <v>0.32171875</v>
      </c>
      <c r="H63" s="339">
        <f t="shared" si="26"/>
        <v>0.3225</v>
      </c>
      <c r="I63" s="264">
        <f t="shared" si="26"/>
        <v>0.234540389972145</v>
      </c>
      <c r="J63" s="264">
        <f t="shared" si="26"/>
        <v>-0.0708483754512635</v>
      </c>
      <c r="K63" s="264">
        <f t="shared" si="26"/>
        <v>0.00242836328314722</v>
      </c>
      <c r="L63" s="337">
        <f t="shared" si="26"/>
        <v>0.294088541666667</v>
      </c>
      <c r="M63" s="338">
        <f t="shared" si="26"/>
        <v>0.325138888888889</v>
      </c>
      <c r="N63" s="340">
        <f t="shared" si="26"/>
        <v>0.105581628737566</v>
      </c>
      <c r="O63" s="8"/>
      <c r="P63" s="8"/>
      <c r="R63" s="202"/>
      <c r="T63" s="2" t="s">
        <v>82</v>
      </c>
      <c r="U63" s="336" cm="1">
        <f t="array" ref="U63">INDEX(NAND!$G:$G,MATCH(U$3,NAND!$E:$E,1),)/512*8</f>
        <v>0.34625</v>
      </c>
      <c r="V63" s="336" cm="1">
        <f t="array" ref="V63">INDEX(NAND!$G:$G,MATCH(V$3,NAND!$E:$E,1),)/512*8</f>
        <v>0.32171875</v>
      </c>
      <c r="W63" s="336" cm="1">
        <f t="array" ref="W63">INDEX(NAND!$G:$G,MATCH(W$3,NAND!$E:$E,1),)/512*8</f>
        <v>0.3225</v>
      </c>
      <c r="X63" s="57" cm="1">
        <f t="array" ref="X63">U63*512/8/INDEX(NAND!$G:$G,MATCH(T$3,NAND!$E:$E,1),)-1</f>
        <v>0.234540389972145</v>
      </c>
      <c r="Y63" s="57">
        <f t="shared" si="27"/>
        <v>-0.0708483754512635</v>
      </c>
      <c r="Z63" s="57">
        <f t="shared" si="27"/>
        <v>0.00242836328314722</v>
      </c>
      <c r="AA63" s="336">
        <f>AVERAGEIF(NAND!$C:$C,N_Summary!T$4,NAND!$G:$G)/512*8</f>
        <v>0.294088541666667</v>
      </c>
      <c r="AB63" s="336">
        <f>AVERAGEIF(NAND!$C:$C,N_Summary!W$4,NAND!$G:$G)/512*8</f>
        <v>0.325138888888889</v>
      </c>
      <c r="AC63" s="155">
        <f>AB63/AA63-1</f>
        <v>0.105581628737566</v>
      </c>
      <c r="AE63" s="36"/>
      <c r="AG63" s="36"/>
    </row>
    <row r="64" ht="12.75" hidden="1" customHeight="1" outlineLevel="1" spans="2:33">
      <c r="C64" s="205"/>
      <c r="D64" s="206"/>
      <c r="E64" s="206" t="s">
        <v>83</v>
      </c>
      <c r="F64" s="337">
        <f t="shared" si="26"/>
        <v>0.34125</v>
      </c>
      <c r="G64" s="338">
        <f t="shared" si="26"/>
        <v>0.3275</v>
      </c>
      <c r="H64" s="339">
        <f t="shared" si="26"/>
        <v>0.3275</v>
      </c>
      <c r="I64" s="264">
        <f t="shared" si="26"/>
        <v>0.248</v>
      </c>
      <c r="J64" s="264">
        <f t="shared" si="26"/>
        <v>-0.0402930402930403</v>
      </c>
      <c r="K64" s="264">
        <f t="shared" si="26"/>
        <v>0</v>
      </c>
      <c r="L64" s="337">
        <f t="shared" si="26"/>
        <v>0.286744791666667</v>
      </c>
      <c r="M64" s="338">
        <f t="shared" si="26"/>
        <v>0.3290625</v>
      </c>
      <c r="N64" s="340">
        <f t="shared" si="26"/>
        <v>0.147579693034239</v>
      </c>
      <c r="O64" s="8"/>
      <c r="P64" s="8"/>
      <c r="Q64" s="314"/>
      <c r="R64" s="202"/>
      <c r="T64" s="2" t="s">
        <v>84</v>
      </c>
      <c r="U64" s="336" cm="1">
        <f t="array" ref="U64">INDEX(NAND!$F:$F,MATCH(U$3,NAND!$E:$E,1),)/256*8</f>
        <v>0.34125</v>
      </c>
      <c r="V64" s="336" cm="1">
        <f t="array" ref="V64">INDEX(NAND!$F:$F,MATCH(V$3,NAND!$E:$E,1),)/256*8</f>
        <v>0.3275</v>
      </c>
      <c r="W64" s="336" cm="1">
        <f t="array" ref="W64">INDEX(NAND!$F:$F,MATCH(W$3,NAND!$E:$E,1),)/256*8</f>
        <v>0.3275</v>
      </c>
      <c r="X64" s="57" cm="1">
        <f t="array" ref="X64">U64*256/8/INDEX(NAND!$F:$F,MATCH(T$3,NAND!$E:$E,1),)-1</f>
        <v>0.248</v>
      </c>
      <c r="Y64" s="57">
        <f t="shared" si="27"/>
        <v>-0.0402930402930403</v>
      </c>
      <c r="Z64" s="57">
        <f t="shared" si="27"/>
        <v>0</v>
      </c>
      <c r="AA64" s="336">
        <f>AVERAGEIF(NAND!$C:$C,N_Summary!T$4,NAND!$F:$F)/256*8</f>
        <v>0.286744791666667</v>
      </c>
      <c r="AB64" s="336">
        <f>AVERAGEIF(NAND!$C:$C,N_Summary!W$4,NAND!$F:$F)/256*8</f>
        <v>0.3290625</v>
      </c>
      <c r="AC64" s="155">
        <f>AB64/AA64-1</f>
        <v>0.147579693034239</v>
      </c>
      <c r="AG64" s="36"/>
    </row>
    <row r="65" ht="12.75" customHeight="1" collapsed="1" spans="3:36">
      <c r="C65" s="167"/>
      <c r="D65" s="8"/>
      <c r="E65" s="8"/>
      <c r="F65" s="8"/>
      <c r="G65" s="8"/>
      <c r="H65" s="213"/>
      <c r="I65" s="213"/>
      <c r="J65" s="214"/>
      <c r="K65" s="214"/>
      <c r="L65" s="214"/>
      <c r="M65" s="214"/>
      <c r="N65" s="214"/>
      <c r="O65" s="8"/>
      <c r="P65" s="8"/>
      <c r="Q65" s="2"/>
      <c r="W65" s="199"/>
      <c r="Z65" s="57"/>
      <c r="AA65" s="57"/>
      <c r="AB65" s="57"/>
      <c r="AC65" s="57"/>
    </row>
    <row r="66" ht="12.75" customHeight="1" spans="3:36">
      <c r="C66" s="218"/>
      <c r="D66" s="219"/>
      <c r="E66" s="220"/>
      <c r="F66" s="221" t="str">
        <f>U66</f>
        <v>Prior Price</v>
      </c>
      <c r="G66" s="222"/>
      <c r="H66" s="223"/>
      <c r="I66" s="171" t="str">
        <f>X66</f>
        <v>Price for 2QCY26</v>
      </c>
      <c r="J66" s="171" t="str">
        <f>X67</f>
        <v>Apr-26</v>
      </c>
      <c r="K66" s="171"/>
      <c r="L66" s="171" t="str">
        <f>AA66</f>
        <v>2QCY26 Over 1QCY26</v>
      </c>
      <c r="M66" s="171"/>
      <c r="N66" s="173"/>
      <c r="P66" s="8"/>
      <c r="Q66" s="2"/>
      <c r="R66" s="174"/>
      <c r="S66" s="175"/>
      <c r="T66" s="7"/>
      <c r="U66" s="224" t="s">
        <v>43</v>
      </c>
      <c r="V66" s="225"/>
      <c r="W66" s="226"/>
      <c r="X66" s="176" t="str">
        <f>"Price for "&amp;$W$5</f>
        <v>Price for 2QCY26</v>
      </c>
      <c r="Y66" s="176"/>
      <c r="Z66" s="176"/>
      <c r="AA66" s="176" t="str">
        <f>$W$5&amp;" Over "&amp;$T$5</f>
        <v>2QCY26 Over 1QCY26</v>
      </c>
      <c r="AB66" s="176"/>
      <c r="AC66" s="178"/>
      <c r="AD66" s="57"/>
      <c r="AE66" s="57"/>
    </row>
    <row r="67" ht="12.75" customHeight="1" spans="3:36">
      <c r="C67" s="184" t="str">
        <f>R67</f>
        <v>NAND</v>
      </c>
      <c r="D67" s="227"/>
      <c r="E67" s="228"/>
      <c r="F67" s="229" t="str">
        <f>U67</f>
        <v>4QCY25</v>
      </c>
      <c r="G67" s="229" t="str">
        <f t="shared" ref="G67:N67" si="28">V67</f>
        <v>1QCY26</v>
      </c>
      <c r="H67" s="229" t="str">
        <f t="shared" si="28"/>
        <v>QoQ</v>
      </c>
      <c r="I67" s="185" t="str">
        <f t="shared" si="28"/>
        <v>Apr-26</v>
      </c>
      <c r="J67" s="185" t="str">
        <f t="shared" si="28"/>
        <v>May-26</v>
      </c>
      <c r="K67" s="185" t="str">
        <f t="shared" si="28"/>
        <v>Jun-26</v>
      </c>
      <c r="L67" s="185" t="str">
        <f t="shared" si="28"/>
        <v>Apr-26</v>
      </c>
      <c r="M67" s="185" t="str">
        <f t="shared" si="28"/>
        <v>May-26</v>
      </c>
      <c r="N67" s="187" t="str">
        <f t="shared" si="28"/>
        <v>Jun-26</v>
      </c>
      <c r="P67" s="8"/>
      <c r="Q67" s="248"/>
      <c r="R67" s="7" t="s">
        <v>79</v>
      </c>
      <c r="S67" s="175"/>
      <c r="T67" s="7"/>
      <c r="U67" s="341" t="str">
        <f>$AA$5</f>
        <v>4QCY25</v>
      </c>
      <c r="V67" s="229" t="str">
        <f>$AB$5</f>
        <v>1QCY26</v>
      </c>
      <c r="W67" s="342" t="s">
        <v>31</v>
      </c>
      <c r="X67" s="185" t="str">
        <f>TEXT($AC$3,"MMM-YY")</f>
        <v>Apr-26</v>
      </c>
      <c r="Y67" s="185" t="str">
        <f>TEXT($AD$3,"MMM-YY")</f>
        <v>May-26</v>
      </c>
      <c r="Z67" s="185" t="str">
        <f>TEXT($AE$3,"MMM-YY")</f>
        <v>Jun-26</v>
      </c>
      <c r="AA67" s="185" t="str">
        <f>X67</f>
        <v>Apr-26</v>
      </c>
      <c r="AB67" s="185" t="str">
        <f>Y67</f>
        <v>May-26</v>
      </c>
      <c r="AC67" s="189" t="str">
        <f t="shared" ref="AC67" si="29">Z67</f>
        <v>Jun-26</v>
      </c>
    </row>
    <row r="68" ht="12.75" customHeight="1" spans="3:36">
      <c r="C68" s="230" t="str">
        <f>R68</f>
        <v>Contract Price (US$/GB)</v>
      </c>
      <c r="D68" s="231"/>
      <c r="E68" s="232"/>
      <c r="F68" s="233"/>
      <c r="G68" s="233"/>
      <c r="H68" s="233"/>
      <c r="I68" s="231"/>
      <c r="J68" s="234"/>
      <c r="K68" s="235"/>
      <c r="L68" s="343"/>
      <c r="M68" s="234"/>
      <c r="N68" s="344"/>
      <c r="P68" s="8"/>
      <c r="Q68" s="248"/>
      <c r="R68" s="196" t="s">
        <v>85</v>
      </c>
      <c r="S68" s="191"/>
      <c r="T68" s="192"/>
      <c r="U68" s="194"/>
      <c r="V68" s="194"/>
      <c r="W68" s="194"/>
      <c r="X68" s="191"/>
      <c r="Y68" s="193"/>
      <c r="Z68" s="238"/>
      <c r="AA68" s="193"/>
      <c r="AB68" s="193"/>
      <c r="AC68" s="193"/>
    </row>
    <row r="69" ht="12.75" customHeight="1" spans="3:36">
      <c r="C69" s="197" t="str">
        <f>R69</f>
        <v>NAND Wafer</v>
      </c>
      <c r="D69" s="8"/>
      <c r="E69" s="2" t="str">
        <f t="shared" ref="E69:F71" si="30">T69</f>
        <v>1Tb 3D QLC</v>
      </c>
      <c r="F69" s="345">
        <f t="shared" si="30"/>
        <v>0.0913802083333333</v>
      </c>
      <c r="G69" s="346">
        <f>V69</f>
        <v>0.191197916666667</v>
      </c>
      <c r="H69" s="347">
        <f t="shared" ref="H69:N72" si="31">W69</f>
        <v>1.09233399829011</v>
      </c>
      <c r="I69" s="348">
        <f t="shared" si="31"/>
        <v>0.232421875</v>
      </c>
      <c r="J69" s="349">
        <f t="shared" si="31"/>
        <v>0.236484375</v>
      </c>
      <c r="K69" s="350" t="e">
        <f t="shared" si="31"/>
        <v>#N/A</v>
      </c>
      <c r="L69" s="243">
        <f t="shared" si="31"/>
        <v>0.215608825932988</v>
      </c>
      <c r="M69" s="217">
        <f t="shared" si="31"/>
        <v>0.236856442386271</v>
      </c>
      <c r="N69" s="244" t="e">
        <f t="shared" si="31"/>
        <v>#N/A</v>
      </c>
      <c r="P69" s="8"/>
      <c r="Q69" s="248">
        <v>0.6</v>
      </c>
      <c r="R69" s="202" t="s">
        <v>80</v>
      </c>
      <c r="T69" s="2" t="s">
        <v>86</v>
      </c>
      <c r="U69" s="351">
        <f>AVERAGEIF(NAND!$AJ:$AJ,N_Summary!AA$4,NAND!$AP:$AP)/1024*8</f>
        <v>0.0913802083333333</v>
      </c>
      <c r="V69" s="351">
        <f>AVERAGEIF(NAND!$AJ:$AJ,N_Summary!AB$4,NAND!$AP:$AP)/1024*8</f>
        <v>0.191197916666667</v>
      </c>
      <c r="W69" s="203">
        <f>V69/U69-1</f>
        <v>1.09233399829011</v>
      </c>
      <c r="X69" s="351" cm="1">
        <f t="array" ref="X69">INDEX(NAND!$AP:$AP,MATCH(N_Summary!AC$3,NAND!$AK:$AK,0),)/1024*8</f>
        <v>0.232421875</v>
      </c>
      <c r="Y69" s="351" cm="1">
        <f t="array" ref="Y69">INDEX(NAND!$AP:$AP,MATCH(N_Summary!AD$3,NAND!$AK:$AK,0),)/1024*8</f>
        <v>0.236484375</v>
      </c>
      <c r="Z69" s="351" t="e" cm="1">
        <f t="array" ref="Z69">INDEX(NAND!$AP:$AP,MATCH(N_Summary!AE$3,NAND!$AK:$AK,0),)/1024*8</f>
        <v>#N/A</v>
      </c>
      <c r="AA69" s="57">
        <f t="shared" ref="AA69:AC72" si="32">X69/$V69-1</f>
        <v>0.215608825932988</v>
      </c>
      <c r="AB69" s="57">
        <f t="shared" si="32"/>
        <v>0.236856442386271</v>
      </c>
      <c r="AC69" s="57" t="e">
        <f t="shared" si="32"/>
        <v>#N/A</v>
      </c>
      <c r="AD69" s="36"/>
      <c r="AE69" s="36">
        <v>0.1</v>
      </c>
      <c r="AF69" s="36">
        <v>0.25</v>
      </c>
    </row>
    <row r="70" ht="12.75" customHeight="1" spans="3:36">
      <c r="C70" s="197"/>
      <c r="D70" s="8"/>
      <c r="E70" s="2" t="str">
        <f>T70</f>
        <v>1Tb 3D TLC</v>
      </c>
      <c r="F70" s="345">
        <f t="shared" si="30"/>
        <v>0.099375</v>
      </c>
      <c r="G70" s="346">
        <f>V70</f>
        <v>0.197369791666667</v>
      </c>
      <c r="H70" s="347">
        <f t="shared" si="31"/>
        <v>0.986111111111111</v>
      </c>
      <c r="I70" s="348">
        <f t="shared" si="31"/>
        <v>0.23984375</v>
      </c>
      <c r="J70" s="349">
        <f t="shared" si="31"/>
        <v>0.24421875</v>
      </c>
      <c r="K70" s="350" t="e">
        <f t="shared" si="31"/>
        <v>#N/A</v>
      </c>
      <c r="L70" s="243">
        <f t="shared" si="31"/>
        <v>0.215199894445177</v>
      </c>
      <c r="M70" s="217">
        <f t="shared" si="31"/>
        <v>0.237366407177728</v>
      </c>
      <c r="N70" s="244" t="e">
        <f t="shared" si="31"/>
        <v>#N/A</v>
      </c>
      <c r="P70" s="8"/>
      <c r="Q70" s="248"/>
      <c r="R70" s="202"/>
      <c r="T70" s="2" t="s">
        <v>87</v>
      </c>
      <c r="U70" s="351">
        <f>AVERAGEIF(NAND!$AJ:$AJ,N_Summary!AA$4,NAND!$AO:$AO)/1024*8</f>
        <v>0.099375</v>
      </c>
      <c r="V70" s="351">
        <f>AVERAGEIF(NAND!$AJ:$AJ,N_Summary!AB$4,NAND!$AO:$AO)/1024*8</f>
        <v>0.197369791666667</v>
      </c>
      <c r="W70" s="203">
        <f>V70/U70-1</f>
        <v>0.986111111111111</v>
      </c>
      <c r="X70" s="351" cm="1">
        <f t="array" ref="X70">INDEX(NAND!$AO:$AO,MATCH(N_Summary!AC$3,NAND!$AK:$AK,0),)/1024*8</f>
        <v>0.23984375</v>
      </c>
      <c r="Y70" s="351" cm="1">
        <f t="array" ref="Y70">INDEX(NAND!$AO:$AO,MATCH(N_Summary!AD$3,NAND!$AK:$AK,0),)/1024*8</f>
        <v>0.24421875</v>
      </c>
      <c r="Z70" s="351" t="e" cm="1">
        <f t="array" ref="Z70">INDEX(NAND!$AO:$AO,MATCH(N_Summary!AE$3,NAND!$AK:$AK,0),)/1024*8</f>
        <v>#N/A</v>
      </c>
      <c r="AA70" s="57">
        <f t="shared" si="32"/>
        <v>0.215199894445177</v>
      </c>
      <c r="AB70" s="57">
        <f t="shared" si="32"/>
        <v>0.237366407177728</v>
      </c>
      <c r="AC70" s="57" t="e">
        <f t="shared" si="32"/>
        <v>#N/A</v>
      </c>
      <c r="AD70" s="36"/>
      <c r="AE70" s="36">
        <f>0.9*0.3</f>
        <v>0.27</v>
      </c>
      <c r="AF70" s="36">
        <v>0.78</v>
      </c>
    </row>
    <row r="71" ht="12.75" customHeight="1" spans="3:36">
      <c r="C71" s="197"/>
      <c r="D71" s="8"/>
      <c r="E71" s="2" t="str">
        <f t="shared" ref="E71" si="33">T71</f>
        <v>512Gb 3D TLC</v>
      </c>
      <c r="F71" s="345">
        <f t="shared" si="30"/>
        <v>0.134166666666667</v>
      </c>
      <c r="G71" s="346">
        <f>V71</f>
        <v>0.311510416666667</v>
      </c>
      <c r="H71" s="347">
        <f t="shared" si="31"/>
        <v>1.32181677018634</v>
      </c>
      <c r="I71" s="348">
        <f t="shared" si="31"/>
        <v>0.38859375</v>
      </c>
      <c r="J71" s="349">
        <f t="shared" si="31"/>
        <v>0.3978125</v>
      </c>
      <c r="K71" s="350" t="e">
        <f t="shared" si="31"/>
        <v>#N/A</v>
      </c>
      <c r="L71" s="243">
        <f t="shared" si="31"/>
        <v>0.247450259153988</v>
      </c>
      <c r="M71" s="217">
        <f t="shared" si="31"/>
        <v>0.277043972579836</v>
      </c>
      <c r="N71" s="244" t="e">
        <f t="shared" si="31"/>
        <v>#N/A</v>
      </c>
      <c r="P71" s="8"/>
      <c r="T71" s="2" t="s">
        <v>82</v>
      </c>
      <c r="U71" s="351">
        <f>AVERAGEIF(NAND!$AJ:$AJ,N_Summary!AA$4,NAND!$AN:$AN)/512*8</f>
        <v>0.134166666666667</v>
      </c>
      <c r="V71" s="351">
        <f>AVERAGEIF(NAND!$AJ:$AJ,N_Summary!AB$4,NAND!$AN:$AN)/512*8</f>
        <v>0.311510416666667</v>
      </c>
      <c r="W71" s="203">
        <f>V71/U71-1</f>
        <v>1.32181677018634</v>
      </c>
      <c r="X71" s="351" cm="1">
        <f t="array" ref="X71">INDEX(NAND!$AN:$AN,MATCH(N_Summary!AC$3,NAND!$AK:$AK,0),)/512*8</f>
        <v>0.38859375</v>
      </c>
      <c r="Y71" s="351" cm="1">
        <f t="array" ref="Y71">INDEX(NAND!$AN:$AN,MATCH(N_Summary!AD$3,NAND!$AK:$AK,0),)/512*8</f>
        <v>0.3978125</v>
      </c>
      <c r="Z71" s="351" t="e" cm="1">
        <f t="array" ref="Z71">INDEX(NAND!$AN:$AN,MATCH(N_Summary!AE$3,NAND!$AK:$AK,0),)/512*8</f>
        <v>#N/A</v>
      </c>
      <c r="AA71" s="57">
        <f t="shared" si="32"/>
        <v>0.247450259153988</v>
      </c>
      <c r="AB71" s="57">
        <f t="shared" si="32"/>
        <v>0.277043972579836</v>
      </c>
      <c r="AC71" s="57" t="e">
        <f t="shared" si="32"/>
        <v>#N/A</v>
      </c>
      <c r="AD71" s="36"/>
      <c r="AE71" s="36">
        <f>0.9*0.5</f>
        <v>0.45</v>
      </c>
      <c r="AF71" s="36">
        <v>0.5</v>
      </c>
      <c r="AG71" s="36"/>
      <c r="AH71" s="3"/>
      <c r="AI71" s="3"/>
      <c r="AJ71" s="36"/>
    </row>
    <row r="72" ht="12.75" hidden="1" customHeight="1" outlineLevel="1" spans="3:36">
      <c r="C72" s="197"/>
      <c r="D72" s="8"/>
      <c r="E72" s="8" t="s">
        <v>83</v>
      </c>
      <c r="F72" s="345">
        <f>U72</f>
        <v>0.158854166666667</v>
      </c>
      <c r="G72" s="346">
        <f>V72</f>
        <v>0.348333333333333</v>
      </c>
      <c r="H72" s="347">
        <f t="shared" si="31"/>
        <v>1.1927868852459</v>
      </c>
      <c r="I72" s="348">
        <f t="shared" si="31"/>
        <v>0.4659375</v>
      </c>
      <c r="J72" s="349">
        <f t="shared" si="31"/>
        <v>0.4809375</v>
      </c>
      <c r="K72" s="349" t="e">
        <f t="shared" si="31"/>
        <v>#N/A</v>
      </c>
      <c r="L72" s="243">
        <f t="shared" si="31"/>
        <v>0.33761961722488</v>
      </c>
      <c r="M72" s="217">
        <f t="shared" si="31"/>
        <v>0.380681818181818</v>
      </c>
      <c r="N72" s="251" t="e">
        <f t="shared" si="31"/>
        <v>#N/A</v>
      </c>
      <c r="P72" s="8"/>
      <c r="Q72" s="248"/>
      <c r="T72" s="2" t="s">
        <v>84</v>
      </c>
      <c r="U72" s="351">
        <f>AVERAGEIF(NAND!$AJ:$AJ,N_Summary!AA$4,NAND!$AM:$AM)/256*8</f>
        <v>0.158854166666667</v>
      </c>
      <c r="V72" s="351">
        <f>AVERAGEIF(NAND!$AJ:$AJ,N_Summary!AB$4,NAND!$AM:$AM)/256*8</f>
        <v>0.348333333333333</v>
      </c>
      <c r="W72" s="203">
        <f>V72/U72-1</f>
        <v>1.1927868852459</v>
      </c>
      <c r="X72" s="351" cm="1">
        <f t="array" ref="X72">INDEX(NAND!$AM:$AM,MATCH(N_Summary!AC$3,NAND!$AK:$AK,0),)/256*8</f>
        <v>0.4659375</v>
      </c>
      <c r="Y72" s="351" cm="1">
        <f t="array" ref="Y72">INDEX(NAND!$AM:$AM,MATCH(N_Summary!AD$3,NAND!$AK:$AK,0),)/256*8</f>
        <v>0.4809375</v>
      </c>
      <c r="Z72" s="351" t="e" cm="1">
        <f t="array" ref="Z72">INDEX(NAND!$AM:$AM,MATCH(N_Summary!AE$3,NAND!$AK:$AK,0),)/256*8</f>
        <v>#N/A</v>
      </c>
      <c r="AA72" s="57">
        <f t="shared" si="32"/>
        <v>0.33761961722488</v>
      </c>
      <c r="AB72" s="57">
        <f t="shared" si="32"/>
        <v>0.380681818181818</v>
      </c>
      <c r="AC72" s="57" t="e">
        <f t="shared" si="32"/>
        <v>#N/A</v>
      </c>
      <c r="AD72" s="155"/>
    </row>
    <row r="73" ht="12.75" customHeight="1" collapsed="1" spans="3:36">
      <c r="C73" s="197"/>
      <c r="D73" s="8"/>
      <c r="F73" s="345"/>
      <c r="G73" s="346"/>
      <c r="H73" s="347"/>
      <c r="I73" s="348"/>
      <c r="J73" s="352"/>
      <c r="K73" s="352"/>
      <c r="L73" s="243"/>
      <c r="M73" s="214"/>
      <c r="N73" s="353"/>
      <c r="P73" s="8"/>
      <c r="Q73" s="248"/>
      <c r="U73" s="351"/>
      <c r="V73" s="351"/>
      <c r="X73" s="351"/>
      <c r="Y73" s="351"/>
      <c r="Z73" s="351"/>
      <c r="AA73" s="57"/>
      <c r="AB73" s="57"/>
      <c r="AC73" s="57"/>
      <c r="AE73" s="36">
        <f>0.9*0.2</f>
        <v>0.18</v>
      </c>
      <c r="AF73" s="36">
        <v>0.72</v>
      </c>
      <c r="AG73" s="36"/>
      <c r="AH73" s="3"/>
      <c r="AI73" s="3"/>
      <c r="AJ73" s="36"/>
    </row>
    <row r="74" ht="12.75" customHeight="1" spans="3:36">
      <c r="C74" s="197" t="str">
        <f>R74</f>
        <v>eMMC/UFS*</v>
      </c>
      <c r="D74" s="8"/>
      <c r="E74" s="8" t="str">
        <f t="shared" ref="E74:F78" si="34">T74</f>
        <v>512GB UFS</v>
      </c>
      <c r="F74" s="345">
        <f t="shared" si="34"/>
        <v>0.0670703125</v>
      </c>
      <c r="G74" s="346">
        <f>V74</f>
        <v>0.132265625</v>
      </c>
      <c r="H74" s="347">
        <f t="shared" ref="H74:H78" si="35">W74</f>
        <v>0.972044263249854</v>
      </c>
      <c r="I74" s="354">
        <f>X74</f>
        <v>0.2380859375</v>
      </c>
      <c r="J74" s="355"/>
      <c r="K74" s="355"/>
      <c r="L74" s="255">
        <f>AA74</f>
        <v>0.800059066745422</v>
      </c>
      <c r="M74" s="256"/>
      <c r="N74" s="257"/>
      <c r="P74" s="8"/>
      <c r="Q74" s="314">
        <f>1-Q66-Q69</f>
        <v>0.4</v>
      </c>
      <c r="R74" s="202" t="s">
        <v>88</v>
      </c>
      <c r="T74" s="2" t="s">
        <v>89</v>
      </c>
      <c r="U74" s="351">
        <f>AVERAGEIF(NAND!$BK:$BK,N_Summary!AA$4,NAND!$BP:$BP)/512</f>
        <v>0.0670703125</v>
      </c>
      <c r="V74" s="351">
        <f>AVERAGEIF(NAND!$BK:$BK,N_Summary!AB$4,NAND!$BP:$BP)/512</f>
        <v>0.132265625</v>
      </c>
      <c r="W74" s="203">
        <f t="shared" ref="W74:W78" si="36">V74/U74-1</f>
        <v>0.972044263249854</v>
      </c>
      <c r="X74" s="356">
        <f>AVERAGEIF(NAND!$BK:$BK,N_Summary!AC$4,NAND!$BP:$BP)/512</f>
        <v>0.2380859375</v>
      </c>
      <c r="Y74" s="356"/>
      <c r="Z74" s="356"/>
      <c r="AA74" s="260">
        <f>X74/V74-1</f>
        <v>0.800059066745422</v>
      </c>
      <c r="AB74" s="260"/>
      <c r="AC74" s="260"/>
      <c r="AF74" s="36">
        <f>SUMPRODUCT(AE69:AE73,AF69:AF73)</f>
        <v>0.5902</v>
      </c>
      <c r="AG74" s="36"/>
      <c r="AH74" s="3"/>
      <c r="AI74" s="3"/>
      <c r="AJ74" s="36"/>
    </row>
    <row r="75" ht="12.75" customHeight="1" collapsed="1" spans="3:36">
      <c r="C75" s="197"/>
      <c r="D75" s="8"/>
      <c r="E75" s="8" t="str">
        <f t="shared" si="34"/>
        <v>256GB UFS</v>
      </c>
      <c r="F75" s="345">
        <f t="shared" si="34"/>
        <v>0.0682421875</v>
      </c>
      <c r="G75" s="346">
        <f>V75</f>
        <v>0.1309765625</v>
      </c>
      <c r="H75" s="347">
        <f t="shared" si="35"/>
        <v>0.919290211791643</v>
      </c>
      <c r="I75" s="354">
        <f>X75</f>
        <v>0.2358203125</v>
      </c>
      <c r="J75" s="355"/>
      <c r="K75" s="355"/>
      <c r="L75" s="255">
        <f>AA75</f>
        <v>0.800477184610796</v>
      </c>
      <c r="M75" s="256"/>
      <c r="N75" s="257"/>
      <c r="P75" s="8"/>
      <c r="Q75" s="314"/>
      <c r="R75" s="202"/>
      <c r="T75" s="2" t="s">
        <v>90</v>
      </c>
      <c r="U75" s="351">
        <f>AVERAGEIF(NAND!$BK:$BK,N_Summary!AA$4,NAND!$BO:$BO)/256</f>
        <v>0.0682421875</v>
      </c>
      <c r="V75" s="351">
        <f>AVERAGEIF(NAND!$BK:$BK,N_Summary!AB$4,NAND!$BO:$BO)/256</f>
        <v>0.1309765625</v>
      </c>
      <c r="W75" s="203">
        <f t="shared" si="36"/>
        <v>0.919290211791643</v>
      </c>
      <c r="X75" s="356">
        <f>AVERAGEIF(NAND!$BK:$BK,N_Summary!AC$4,NAND!$BO:$BO)/256</f>
        <v>0.2358203125</v>
      </c>
      <c r="Y75" s="356"/>
      <c r="Z75" s="356"/>
      <c r="AA75" s="260">
        <f>X75/V75-1</f>
        <v>0.800477184610796</v>
      </c>
      <c r="AB75" s="260"/>
      <c r="AC75" s="260"/>
      <c r="AG75" s="36"/>
      <c r="AH75" s="3"/>
      <c r="AI75" s="3"/>
      <c r="AJ75" s="36"/>
    </row>
    <row r="76" ht="12.75" hidden="1" customHeight="1" outlineLevel="1" spans="3:36">
      <c r="C76" s="205"/>
      <c r="D76" s="206"/>
      <c r="E76" s="206" t="str">
        <f t="shared" si="34"/>
        <v>128GB UFS</v>
      </c>
      <c r="F76" s="357">
        <f t="shared" si="34"/>
        <v>0.0659375</v>
      </c>
      <c r="G76" s="358">
        <f>V76</f>
        <v>0.132265625</v>
      </c>
      <c r="H76" s="212">
        <f t="shared" si="35"/>
        <v>1.00592417061611</v>
      </c>
      <c r="I76" s="359">
        <f>X76</f>
        <v>0.23125</v>
      </c>
      <c r="J76" s="360"/>
      <c r="K76" s="360"/>
      <c r="L76" s="255">
        <f>AA76</f>
        <v>0.748375664500886</v>
      </c>
      <c r="M76" s="256"/>
      <c r="N76" s="257"/>
      <c r="P76" s="8"/>
      <c r="Q76" s="248"/>
      <c r="R76" s="262"/>
      <c r="S76" s="262"/>
      <c r="T76" s="262" t="s">
        <v>91</v>
      </c>
      <c r="U76" s="351">
        <f>AVERAGEIF(NAND!$BK:$BK,N_Summary!AA$4,NAND!$BN:$BN)/128</f>
        <v>0.0659375</v>
      </c>
      <c r="V76" s="351">
        <f>AVERAGEIF(NAND!$BK:$BK,N_Summary!AB$4,NAND!$BN:$BN)/128</f>
        <v>0.132265625</v>
      </c>
      <c r="W76" s="263">
        <f t="shared" si="36"/>
        <v>1.00592417061611</v>
      </c>
      <c r="X76" s="361">
        <f>AVERAGEIF(NAND!$BK:$BK,N_Summary!AC$4,NAND!$BN:$BN)/128</f>
        <v>0.23125</v>
      </c>
      <c r="Y76" s="361"/>
      <c r="Z76" s="361"/>
      <c r="AA76" s="305">
        <f>X76/V76-1</f>
        <v>0.748375664500886</v>
      </c>
      <c r="AB76" s="305"/>
      <c r="AC76" s="305"/>
    </row>
    <row r="77" ht="12.75" customHeight="1" collapsed="1" spans="3:36">
      <c r="C77" s="205"/>
      <c r="D77" s="206"/>
      <c r="E77" s="206" t="str">
        <f t="shared" si="34"/>
        <v>128GB TLC eMMC</v>
      </c>
      <c r="F77" s="357">
        <f t="shared" si="34"/>
        <v>0.066640625</v>
      </c>
      <c r="G77" s="358">
        <f>V77</f>
        <v>0.131484375</v>
      </c>
      <c r="H77" s="212">
        <f t="shared" si="35"/>
        <v>0.973036342321219</v>
      </c>
      <c r="I77" s="359">
        <f>X77</f>
        <v>0.230625</v>
      </c>
      <c r="J77" s="360"/>
      <c r="K77" s="360"/>
      <c r="L77" s="255">
        <f>AA77</f>
        <v>0.754010695187166</v>
      </c>
      <c r="M77" s="256"/>
      <c r="N77" s="257"/>
      <c r="P77" s="8"/>
      <c r="Q77" s="2"/>
      <c r="R77" s="262"/>
      <c r="S77" s="262"/>
      <c r="T77" s="262" t="s">
        <v>92</v>
      </c>
      <c r="U77" s="351">
        <f>AVERAGEIF(NAND!$BK:$BK,N_Summary!AA$4,NAND!$BL:$BL)/128</f>
        <v>0.066640625</v>
      </c>
      <c r="V77" s="351">
        <f>AVERAGEIF(NAND!$BK:$BK,N_Summary!AB$4,NAND!$BL:$BL)/128</f>
        <v>0.131484375</v>
      </c>
      <c r="W77" s="263">
        <f t="shared" si="36"/>
        <v>0.973036342321219</v>
      </c>
      <c r="X77" s="361">
        <f>AVERAGEIF(NAND!$BK:$BK,N_Summary!AC$4,NAND!$BL:$BL)/128</f>
        <v>0.230625</v>
      </c>
      <c r="Y77" s="361"/>
      <c r="Z77" s="361"/>
      <c r="AA77" s="305">
        <f>X77/V77-1</f>
        <v>0.754010695187166</v>
      </c>
      <c r="AB77" s="305"/>
      <c r="AC77" s="305"/>
      <c r="AE77" s="36"/>
      <c r="AH77" s="3"/>
      <c r="AI77" s="3"/>
      <c r="AJ77" s="36"/>
    </row>
    <row r="78" ht="16.7" spans="3:36">
      <c r="C78" s="205" t="str">
        <f>R78</f>
        <v>Weighted Average</v>
      </c>
      <c r="D78" s="206"/>
      <c r="E78" s="362"/>
      <c r="F78" s="363">
        <f t="shared" si="34"/>
        <v>0.0919114583333333</v>
      </c>
      <c r="G78" s="364">
        <f>V78</f>
        <v>0.192645833333333</v>
      </c>
      <c r="H78" s="365">
        <f t="shared" si="35"/>
        <v>1.09599365331218</v>
      </c>
      <c r="I78" s="366">
        <f t="shared" ref="I78:N78" si="37">X78</f>
        <v>0.266109375</v>
      </c>
      <c r="J78" s="367">
        <f t="shared" si="37"/>
        <v>0.269640625</v>
      </c>
      <c r="K78" s="368" t="e">
        <f t="shared" si="37"/>
        <v>#N/A</v>
      </c>
      <c r="L78" s="369">
        <f t="shared" si="37"/>
        <v>0.381339894019682</v>
      </c>
      <c r="M78" s="272">
        <f t="shared" si="37"/>
        <v>0.399670163296204</v>
      </c>
      <c r="N78" s="273" t="e">
        <f t="shared" si="37"/>
        <v>#N/A</v>
      </c>
      <c r="P78" s="8"/>
      <c r="R78" s="274" t="s">
        <v>65</v>
      </c>
      <c r="T78" s="275"/>
      <c r="U78" s="370">
        <f>SUM(AVERAGE(U69:U71)*$Q$69,AVERAGE(U74:U75,U77)*$Q$74)</f>
        <v>0.0919114583333333</v>
      </c>
      <c r="V78" s="370">
        <f>SUM(AVERAGE(V69:V71)*$Q$69,AVERAGE(V74:V75,V77)*$Q$74)</f>
        <v>0.192645833333333</v>
      </c>
      <c r="W78" s="277">
        <f t="shared" si="36"/>
        <v>1.09599365331218</v>
      </c>
      <c r="X78" s="371">
        <f>SUM(AVERAGE(X69:X71)*$Q$69,AVERAGE(X74:X75,$X77)*$Q$74)</f>
        <v>0.266109375</v>
      </c>
      <c r="Y78" s="371">
        <f>SUM(AVERAGE(Y69:Y71)*$Q$69,AVERAGE(X74:X75,$X77)*$Q$74)</f>
        <v>0.269640625</v>
      </c>
      <c r="Z78" s="371" t="e">
        <f>SUM(AVERAGE(Z69:Z71)*$Q$69,AVERAGE(X74:X75,$X77)*$Q$74)</f>
        <v>#N/A</v>
      </c>
      <c r="AA78" s="279">
        <f>X78/$V78-1</f>
        <v>0.381339894019682</v>
      </c>
      <c r="AB78" s="279">
        <f>Y78/$V78-1</f>
        <v>0.399670163296204</v>
      </c>
      <c r="AC78" s="279" t="e">
        <f>Z78/$V78-1</f>
        <v>#N/A</v>
      </c>
    </row>
    <row r="79" ht="12.75" customHeight="1" spans="3:36">
      <c r="C79" s="280"/>
      <c r="F79" s="372"/>
      <c r="H79" s="373"/>
      <c r="I79" s="281"/>
      <c r="J79" s="282"/>
      <c r="K79" s="283"/>
      <c r="L79" s="217"/>
      <c r="M79" s="217"/>
      <c r="N79" s="251"/>
      <c r="P79" s="8"/>
      <c r="Q79" s="314"/>
      <c r="Z79" s="199"/>
      <c r="AB79" s="57"/>
      <c r="AC79" s="57"/>
      <c r="AH79" s="49"/>
      <c r="AI79" s="49"/>
      <c r="AJ79" s="36"/>
    </row>
    <row r="80" ht="12.75" customHeight="1" spans="3:36">
      <c r="C80" s="190" t="str">
        <f t="shared" ref="C80:C86" si="38">R80</f>
        <v>Bernstein Estimate (Blended ASP, inc eSSD)****</v>
      </c>
      <c r="D80" s="191"/>
      <c r="E80" s="192"/>
      <c r="F80" s="374"/>
      <c r="G80" s="374"/>
      <c r="H80" s="375"/>
      <c r="I80" s="287"/>
      <c r="J80" s="288"/>
      <c r="K80" s="288"/>
      <c r="L80" s="287"/>
      <c r="M80" s="287"/>
      <c r="N80" s="289"/>
      <c r="P80" s="8"/>
      <c r="Q80" s="188" t="s">
        <v>67</v>
      </c>
      <c r="R80" s="196" t="s">
        <v>93</v>
      </c>
      <c r="S80" s="191"/>
      <c r="T80" s="192"/>
      <c r="U80" s="191"/>
      <c r="V80" s="191"/>
      <c r="W80" s="191"/>
      <c r="X80" s="191"/>
      <c r="Y80" s="191"/>
      <c r="Z80" s="191"/>
      <c r="AA80" s="193"/>
      <c r="AB80" s="193"/>
      <c r="AC80" s="193"/>
      <c r="AH80" s="49"/>
      <c r="AI80" s="49"/>
      <c r="AJ80" s="36"/>
    </row>
    <row r="81" ht="12.75" customHeight="1" spans="2:36">
      <c r="C81" s="290" t="str">
        <f t="shared" si="38"/>
        <v>Samsung</v>
      </c>
      <c r="D81" s="8"/>
      <c r="E81" s="8"/>
      <c r="F81" s="345">
        <f t="shared" ref="F81:I86" si="39">U81</f>
        <v>0.0828762752294571</v>
      </c>
      <c r="G81" s="346">
        <f t="shared" si="39"/>
        <v>0.157464922935969</v>
      </c>
      <c r="H81" s="376">
        <f t="shared" si="39"/>
        <v>0.9</v>
      </c>
      <c r="I81" s="354">
        <f t="shared" si="39"/>
        <v>0.259817122844348</v>
      </c>
      <c r="J81" s="355"/>
      <c r="K81" s="377">
        <f>U90</f>
        <v>0</v>
      </c>
      <c r="L81" s="260">
        <f t="shared" ref="L81:L86" si="40">AA81</f>
        <v>0.65</v>
      </c>
      <c r="M81" s="260"/>
      <c r="N81" s="294">
        <f t="shared" ref="N81:N85" si="41">X90</f>
        <v>0</v>
      </c>
      <c r="P81" s="8"/>
      <c r="Q81" s="204">
        <v>0.340492322284796</v>
      </c>
      <c r="R81" s="202" t="s">
        <v>69</v>
      </c>
      <c r="U81" s="378">
        <v>0.0828762752294571</v>
      </c>
      <c r="V81" s="378">
        <v>0.157464922935969</v>
      </c>
      <c r="W81" s="203">
        <f t="shared" ref="W81:W86" si="42">V81/U81-1</f>
        <v>0.9</v>
      </c>
      <c r="X81" s="379">
        <v>0.259817122844348</v>
      </c>
      <c r="Y81" s="379"/>
      <c r="Z81" s="379"/>
      <c r="AA81" s="260">
        <f t="shared" ref="AA81:AA86" si="43">X81/V81-1</f>
        <v>0.65</v>
      </c>
      <c r="AB81" s="260"/>
      <c r="AC81" s="260"/>
      <c r="AH81" s="49"/>
      <c r="AI81" s="49"/>
      <c r="AJ81" s="36"/>
    </row>
    <row r="82" ht="12.75" customHeight="1" spans="2:36">
      <c r="C82" s="290" t="str">
        <f t="shared" si="38"/>
        <v>SK hynix</v>
      </c>
      <c r="D82" s="8"/>
      <c r="E82" s="8"/>
      <c r="F82" s="345">
        <f t="shared" si="39"/>
        <v>0.103555322632687</v>
      </c>
      <c r="G82" s="346">
        <f t="shared" si="39"/>
        <v>0.176044048475568</v>
      </c>
      <c r="H82" s="380">
        <f t="shared" si="39"/>
        <v>0.7</v>
      </c>
      <c r="I82" s="354">
        <f t="shared" si="39"/>
        <v>0.290472679984687</v>
      </c>
      <c r="J82" s="355"/>
      <c r="K82" s="355">
        <f t="shared" ref="K82:K85" si="44">U91</f>
        <v>0</v>
      </c>
      <c r="L82" s="297">
        <f t="shared" si="40"/>
        <v>0.65</v>
      </c>
      <c r="M82" s="260"/>
      <c r="N82" s="294">
        <f t="shared" si="41"/>
        <v>0</v>
      </c>
      <c r="P82" s="8"/>
      <c r="Q82" s="204">
        <v>0.184983233251834</v>
      </c>
      <c r="R82" s="202" t="s">
        <v>70</v>
      </c>
      <c r="U82" s="378">
        <v>0.103555322632687</v>
      </c>
      <c r="V82" s="378">
        <v>0.176044048475568</v>
      </c>
      <c r="W82" s="203">
        <f t="shared" si="42"/>
        <v>0.7</v>
      </c>
      <c r="X82" s="379">
        <v>0.290472679984687</v>
      </c>
      <c r="Y82" s="379"/>
      <c r="Z82" s="379"/>
      <c r="AA82" s="260">
        <f t="shared" si="43"/>
        <v>0.65</v>
      </c>
      <c r="AB82" s="260"/>
      <c r="AC82" s="260"/>
    </row>
    <row r="83" ht="12.75" customHeight="1" spans="2:36">
      <c r="C83" s="290" t="str">
        <f t="shared" si="38"/>
        <v>Micron**</v>
      </c>
      <c r="D83" s="8"/>
      <c r="E83" s="8"/>
      <c r="F83" s="345">
        <f t="shared" si="39"/>
        <v>0.0790950222601725</v>
      </c>
      <c r="G83" s="346">
        <f t="shared" si="39"/>
        <v>0.150280542294328</v>
      </c>
      <c r="H83" s="380">
        <f t="shared" si="39"/>
        <v>0.9</v>
      </c>
      <c r="I83" s="354">
        <f t="shared" si="39"/>
        <v>0.247962894785641</v>
      </c>
      <c r="J83" s="355"/>
      <c r="K83" s="355">
        <f t="shared" si="44"/>
        <v>0</v>
      </c>
      <c r="L83" s="297">
        <f t="shared" si="40"/>
        <v>0.65</v>
      </c>
      <c r="M83" s="260"/>
      <c r="N83" s="294">
        <f t="shared" si="41"/>
        <v>0</v>
      </c>
      <c r="P83" s="8"/>
      <c r="Q83" s="204">
        <v>0.136235281173902</v>
      </c>
      <c r="R83" s="202" t="s">
        <v>94</v>
      </c>
      <c r="U83" s="378">
        <v>0.0790950222601725</v>
      </c>
      <c r="V83" s="378">
        <v>0.150280542294328</v>
      </c>
      <c r="W83" s="373">
        <f t="shared" si="42"/>
        <v>0.9</v>
      </c>
      <c r="X83" s="379">
        <v>0.247962894785641</v>
      </c>
      <c r="Y83" s="379"/>
      <c r="Z83" s="379"/>
      <c r="AA83" s="260">
        <f t="shared" si="43"/>
        <v>0.65</v>
      </c>
      <c r="AB83" s="260"/>
      <c r="AC83" s="260"/>
    </row>
    <row r="84" ht="12.75" customHeight="1" spans="2:36">
      <c r="C84" s="290" t="str">
        <f t="shared" si="38"/>
        <v>KIOXIA</v>
      </c>
      <c r="D84" s="8"/>
      <c r="E84" s="8"/>
      <c r="F84" s="345">
        <f t="shared" si="39"/>
        <v>0.0521204097027636</v>
      </c>
      <c r="G84" s="346">
        <f t="shared" si="39"/>
        <v>0.0938167374649745</v>
      </c>
      <c r="H84" s="380">
        <f t="shared" si="39"/>
        <v>0.8</v>
      </c>
      <c r="I84" s="354">
        <f t="shared" si="39"/>
        <v>0.154797616817208</v>
      </c>
      <c r="J84" s="355"/>
      <c r="K84" s="355">
        <f t="shared" si="44"/>
        <v>0</v>
      </c>
      <c r="L84" s="297">
        <f t="shared" si="40"/>
        <v>0.65</v>
      </c>
      <c r="M84" s="260"/>
      <c r="N84" s="294">
        <f t="shared" si="41"/>
        <v>0</v>
      </c>
      <c r="P84" s="8"/>
      <c r="Q84" s="204">
        <v>0.221333777402516</v>
      </c>
      <c r="R84" s="202" t="s">
        <v>95</v>
      </c>
      <c r="U84" s="378">
        <v>0.0521204097027636</v>
      </c>
      <c r="V84" s="378">
        <v>0.0938167374649745</v>
      </c>
      <c r="W84" s="373">
        <f t="shared" si="42"/>
        <v>0.8</v>
      </c>
      <c r="X84" s="379">
        <v>0.154797616817208</v>
      </c>
      <c r="Y84" s="379"/>
      <c r="Z84" s="379"/>
      <c r="AA84" s="260">
        <f t="shared" si="43"/>
        <v>0.65</v>
      </c>
      <c r="AB84" s="260"/>
      <c r="AC84" s="260"/>
    </row>
    <row r="85" ht="12.75" customHeight="1" spans="2:36">
      <c r="C85" s="298" t="str">
        <f t="shared" si="38"/>
        <v>SanDisk</v>
      </c>
      <c r="D85" s="206"/>
      <c r="E85" s="206"/>
      <c r="F85" s="357">
        <f t="shared" si="39"/>
        <v>0.100857457319505</v>
      </c>
      <c r="G85" s="358">
        <f t="shared" si="39"/>
        <v>0.241927785144549</v>
      </c>
      <c r="H85" s="381">
        <f t="shared" si="39"/>
        <v>1.3987099375126</v>
      </c>
      <c r="I85" s="359">
        <f t="shared" si="39"/>
        <v>0.287894064322013</v>
      </c>
      <c r="J85" s="360"/>
      <c r="K85" s="382">
        <f t="shared" si="44"/>
        <v>0</v>
      </c>
      <c r="L85" s="301">
        <f t="shared" si="40"/>
        <v>0.19</v>
      </c>
      <c r="M85" s="302"/>
      <c r="N85" s="303">
        <f t="shared" si="41"/>
        <v>0</v>
      </c>
      <c r="P85" s="8"/>
      <c r="Q85" s="204">
        <v>0.116955385886951</v>
      </c>
      <c r="R85" s="261" t="s">
        <v>96</v>
      </c>
      <c r="S85" s="262"/>
      <c r="T85" s="262"/>
      <c r="U85" s="383">
        <v>0.100857457319505</v>
      </c>
      <c r="V85" s="383">
        <v>0.241927785144549</v>
      </c>
      <c r="W85" s="263">
        <f t="shared" si="42"/>
        <v>1.3987099375126</v>
      </c>
      <c r="X85" s="384">
        <v>0.287894064322013</v>
      </c>
      <c r="Y85" s="384"/>
      <c r="Z85" s="384"/>
      <c r="AA85" s="305">
        <f t="shared" si="43"/>
        <v>0.19</v>
      </c>
      <c r="AB85" s="305"/>
      <c r="AC85" s="305"/>
    </row>
    <row r="86" ht="12.75" customHeight="1" spans="2:36">
      <c r="C86" s="205" t="str">
        <f t="shared" si="38"/>
        <v>Weighted Average</v>
      </c>
      <c r="D86" s="206"/>
      <c r="E86" s="362"/>
      <c r="F86" s="385">
        <f t="shared" si="39"/>
        <v>0.0814820964129525</v>
      </c>
      <c r="G86" s="386">
        <f t="shared" si="39"/>
        <v>0.155713876860111</v>
      </c>
      <c r="H86" s="387">
        <f t="shared" si="39"/>
        <v>0.91101952103626</v>
      </c>
      <c r="I86" s="388">
        <f t="shared" si="39"/>
        <v>0.243912308383739</v>
      </c>
      <c r="J86" s="389"/>
      <c r="K86" s="389">
        <f t="shared" ref="K86" si="45">U93</f>
        <v>0</v>
      </c>
      <c r="L86" s="311">
        <f t="shared" si="40"/>
        <v>0.566413432778784</v>
      </c>
      <c r="M86" s="312"/>
      <c r="N86" s="313">
        <f t="shared" ref="N86" si="46">X93</f>
        <v>0</v>
      </c>
      <c r="P86" s="8"/>
      <c r="Q86" s="314">
        <f>SUM(Q81:Q85)</f>
        <v>1</v>
      </c>
      <c r="R86" s="274" t="s">
        <v>65</v>
      </c>
      <c r="T86" s="321"/>
      <c r="U86" s="390">
        <f>SUMPRODUCT(U81:U85,$Q$81:$Q$85)</f>
        <v>0.0814820964129525</v>
      </c>
      <c r="V86" s="390">
        <f>SUMPRODUCT(V81:V85,$Q$81:$Q$85)</f>
        <v>0.155713876860111</v>
      </c>
      <c r="W86" s="277">
        <f t="shared" si="42"/>
        <v>0.91101952103626</v>
      </c>
      <c r="X86" s="391">
        <f>SUMPRODUCT(X81:X85,$Q$81:$Q$85)</f>
        <v>0.243912308383739</v>
      </c>
      <c r="Y86" s="391"/>
      <c r="Z86" s="391"/>
      <c r="AA86" s="392">
        <f t="shared" si="43"/>
        <v>0.566413432778784</v>
      </c>
      <c r="AB86" s="392"/>
      <c r="AC86" s="392"/>
    </row>
    <row r="87" ht="12.75" customHeight="1" spans="2:36">
      <c r="M87" s="57"/>
      <c r="N87" s="57"/>
      <c r="O87" s="8"/>
      <c r="P87" s="8"/>
      <c r="AA87" s="393"/>
      <c r="AB87" s="394"/>
      <c r="AC87" s="394"/>
    </row>
    <row r="88" ht="12.75" customHeight="1" spans="2:36">
      <c r="C88" s="2" t="s">
        <v>97</v>
      </c>
      <c r="O88" s="8"/>
      <c r="P88" s="8"/>
    </row>
    <row r="89" spans="2:36">
      <c r="C89" s="2" t="s">
        <v>98</v>
      </c>
      <c r="O89" s="8"/>
      <c r="P89" s="8"/>
      <c r="U89" s="2" t="str">
        <f t="shared" ref="U89:W89" si="47">IF(LEFT(U4,1)="1",4,LEFT(U4,1)-1)&amp;"QFY"&amp;IF(LEFT(U4,1)="1",RIGHT(U4,2)-1,RIGHT(U4,2))</f>
        <v>4QFY25</v>
      </c>
      <c r="V89" s="2" t="str">
        <f t="shared" si="47"/>
        <v>1QFY26</v>
      </c>
      <c r="W89" s="2" t="str">
        <f t="shared" si="47"/>
        <v>1QFY26</v>
      </c>
      <c r="AA89" s="2" t="str">
        <f>IF(LEFT(AA4,1)="1",4,LEFT(AA4,1)-1)&amp;"QFY"&amp;IF(LEFT(AA4,1)="1",RIGHT(AA4,2)-1,RIGHT(AA4,2))</f>
        <v>3QFY25</v>
      </c>
      <c r="AB89" s="2" t="str">
        <f t="shared" ref="AB89:AC89" si="48">IF(LEFT(AB4,1)="1",4,LEFT(AB4,1)-1)&amp;"QFY"&amp;IF(LEFT(AB4,1)="1",RIGHT(AB4,2)-1,RIGHT(AB4,2))</f>
        <v>4QFY25</v>
      </c>
      <c r="AC89" s="2" t="str">
        <f t="shared" si="48"/>
        <v>1QFY26</v>
      </c>
    </row>
    <row r="90" spans="2:36">
      <c r="B90" s="328" t="s">
        <v>77</v>
      </c>
      <c r="C90" s="2" t="s">
        <v>78</v>
      </c>
      <c r="O90" s="8"/>
      <c r="P90" s="8"/>
    </row>
    <row r="91" ht="13.5" customHeight="1" spans="2:36">
      <c r="C91" s="395" t="s">
        <v>99</v>
      </c>
      <c r="O91" s="8"/>
      <c r="P91" s="8"/>
      <c r="Z91" s="3"/>
    </row>
    <row r="92" spans="2:36">
      <c r="P92" s="8"/>
    </row>
    <row r="93" spans="2:36">
      <c r="P93" s="8"/>
    </row>
    <row r="94" spans="2:36">
      <c r="P94" s="8"/>
      <c r="AF94" s="36"/>
    </row>
    <row r="95" ht="12.75" customHeight="1" spans="2:36">
      <c r="P95" s="8"/>
      <c r="AF95" s="36"/>
    </row>
    <row r="96" spans="2:36">
      <c r="P96" s="8"/>
      <c r="Q96" s="2"/>
      <c r="AF96" s="36"/>
    </row>
    <row r="97" ht="12.75" customHeight="1" spans="3:21">
      <c r="O97" s="2" t="str">
        <f>R23</f>
        <v>PC DRAM</v>
      </c>
      <c r="P97" s="36">
        <v>0.0932099667321376</v>
      </c>
      <c r="Q97" s="2"/>
    </row>
    <row r="98" spans="3:21">
      <c r="O98" s="2" t="str">
        <f>R29</f>
        <v>Server DRAM</v>
      </c>
      <c r="P98" s="36">
        <v>0.336534603541376</v>
      </c>
      <c r="Q98" s="2"/>
    </row>
    <row r="99" spans="3:21">
      <c r="H99" s="40"/>
      <c r="O99" s="2" t="s">
        <v>100</v>
      </c>
      <c r="P99" s="36">
        <v>0.0810872336417365</v>
      </c>
      <c r="Q99" s="2"/>
    </row>
    <row r="100" spans="3:21">
      <c r="O100" s="2" t="str">
        <f>R36</f>
        <v>Mobile DRAM</v>
      </c>
      <c r="P100" s="36">
        <v>0.339168196084749</v>
      </c>
      <c r="Q100" s="2"/>
    </row>
    <row r="101" ht="16" spans="3:21">
      <c r="C101" s="396" t="s">
        <v>101</v>
      </c>
      <c r="O101" s="2" t="str">
        <f>R43</f>
        <v>Specialty DRAM</v>
      </c>
      <c r="P101" s="36">
        <f>Q43</f>
        <v>0.15</v>
      </c>
      <c r="Q101" s="2"/>
    </row>
    <row r="102" spans="3:21">
      <c r="P102" s="8"/>
      <c r="Q102" s="2"/>
    </row>
    <row r="103" ht="12" customHeight="1" spans="3:21">
      <c r="P103" s="8"/>
      <c r="Q103" s="2"/>
    </row>
    <row r="104" ht="12" customHeight="1" spans="3:21">
      <c r="P104" s="8"/>
      <c r="Q104" s="2"/>
    </row>
    <row r="105" spans="3:21">
      <c r="P105" s="8"/>
      <c r="Q105" s="2"/>
      <c r="T105" s="3"/>
    </row>
    <row r="106" spans="3:21">
      <c r="Q106" s="2"/>
      <c r="U106" s="57"/>
    </row>
    <row r="107" spans="3:21">
      <c r="Q107" s="2"/>
    </row>
    <row r="108" spans="3:21">
      <c r="L108" s="3"/>
      <c r="Q108" s="2"/>
    </row>
    <row r="109" spans="3:21">
      <c r="Q109" s="2"/>
    </row>
    <row r="110" spans="3:21">
      <c r="Q110" s="2"/>
    </row>
    <row r="111" spans="3:21">
      <c r="Q111" s="2"/>
    </row>
    <row r="112" spans="3:21">
      <c r="Q112" s="2"/>
    </row>
    <row r="113" spans="9:17">
      <c r="Q113" s="2"/>
    </row>
    <row r="114" spans="9:17">
      <c r="Q114" s="2"/>
    </row>
    <row r="115" spans="9:17">
      <c r="Q115" s="2"/>
    </row>
    <row r="116" spans="9:17">
      <c r="P116" s="5"/>
      <c r="Q116" s="2"/>
    </row>
    <row r="117" spans="9:17">
      <c r="Q117" s="2"/>
    </row>
    <row r="118" spans="9:17">
      <c r="O118" s="3"/>
      <c r="P118" s="3"/>
      <c r="Q118" s="2"/>
    </row>
    <row r="119" spans="9:17">
      <c r="I119" s="3"/>
      <c r="O119" s="397"/>
      <c r="P119" s="397"/>
      <c r="Q119" s="2"/>
    </row>
    <row r="120" spans="9:17">
      <c r="I120" s="3"/>
      <c r="O120" s="5"/>
      <c r="P120" s="5"/>
      <c r="Q120" s="397"/>
    </row>
    <row r="121" spans="9:17">
      <c r="I121" s="36"/>
      <c r="Q121" s="2"/>
    </row>
    <row r="122" spans="9:17">
      <c r="I122" s="3"/>
      <c r="O122" s="3"/>
      <c r="P122" s="3"/>
      <c r="Q122" s="2"/>
    </row>
    <row r="123" spans="9:17">
      <c r="O123" s="397"/>
      <c r="P123" s="397"/>
      <c r="Q123" s="2"/>
    </row>
    <row r="124" spans="9:17">
      <c r="O124" s="5"/>
      <c r="P124" s="5"/>
      <c r="Q124" s="397"/>
    </row>
    <row r="125" spans="9:17">
      <c r="Q125" s="2"/>
    </row>
    <row r="126" spans="9:17">
      <c r="Q126" s="2"/>
    </row>
    <row r="127" spans="9:17">
      <c r="Q127" s="2"/>
    </row>
    <row r="128" spans="9:17">
      <c r="Q128" s="2"/>
    </row>
    <row r="129" spans="17:17">
      <c r="Q129" s="2"/>
    </row>
    <row r="130" spans="17:17">
      <c r="Q130" s="2"/>
    </row>
    <row r="131" spans="17:17">
      <c r="Q131" s="2"/>
    </row>
    <row r="132" spans="17:17">
      <c r="Q132" s="2"/>
    </row>
    <row r="133" spans="17:17">
      <c r="Q133" s="2"/>
    </row>
    <row r="134" spans="17:17">
      <c r="Q134" s="2"/>
    </row>
    <row r="135" spans="17:17">
      <c r="Q135" s="2"/>
    </row>
    <row r="136" spans="17:17">
      <c r="Q136" s="2"/>
    </row>
    <row r="137" spans="17:17">
      <c r="Q137" s="2"/>
    </row>
    <row r="138" spans="17:17">
      <c r="Q138" s="2"/>
    </row>
    <row r="139" spans="17:17">
      <c r="Q139" s="2"/>
    </row>
    <row r="140" spans="17:17">
      <c r="Q140" s="2"/>
    </row>
    <row r="141" spans="17:17">
      <c r="Q141" s="2"/>
    </row>
    <row r="142" spans="17:17">
      <c r="Q142" s="2"/>
    </row>
    <row r="143" spans="17:17">
      <c r="Q143" s="2"/>
    </row>
    <row r="144" spans="17:17">
      <c r="Q144" s="2"/>
    </row>
    <row r="145" spans="17:17">
      <c r="Q145" s="2"/>
    </row>
    <row r="146" spans="17:17">
      <c r="Q146" s="2"/>
    </row>
    <row r="147" spans="17:17">
      <c r="Q147" s="2"/>
    </row>
    <row r="148" spans="17:17">
      <c r="Q148" s="2"/>
    </row>
    <row r="149" spans="17:17">
      <c r="Q149" s="2"/>
    </row>
    <row r="150" spans="17:17">
      <c r="Q150" s="2"/>
    </row>
    <row r="151" spans="17:17">
      <c r="Q151" s="2"/>
    </row>
    <row r="152" spans="17:17">
      <c r="Q152" s="2"/>
    </row>
    <row r="153" spans="17:17">
      <c r="Q153" s="2"/>
    </row>
    <row r="154" spans="17:17">
      <c r="Q154" s="2"/>
    </row>
    <row r="155" spans="17:17">
      <c r="Q155" s="2"/>
    </row>
  </sheetData>
  <mergeCells count="130">
    <mergeCell ref="F11:K11"/>
    <mergeCell ref="L11:N11"/>
    <mergeCell ref="U11:Z11"/>
    <mergeCell ref="AA11:AC11"/>
    <mergeCell ref="I12:K12"/>
    <mergeCell ref="X12:Z12"/>
    <mergeCell ref="F20:H20"/>
    <mergeCell ref="I20:K20"/>
    <mergeCell ref="L20:N20"/>
    <mergeCell ref="U20:W20"/>
    <mergeCell ref="X20:Z20"/>
    <mergeCell ref="AA20:AC20"/>
    <mergeCell ref="I36:K36"/>
    <mergeCell ref="L36:N36"/>
    <mergeCell ref="X36:Z36"/>
    <mergeCell ref="AA36:AC36"/>
    <mergeCell ref="I37:K37"/>
    <mergeCell ref="L37:N37"/>
    <mergeCell ref="X37:Z37"/>
    <mergeCell ref="AA37:AC37"/>
    <mergeCell ref="I38:K38"/>
    <mergeCell ref="L38:N38"/>
    <mergeCell ref="X38:Z38"/>
    <mergeCell ref="AA38:AC38"/>
    <mergeCell ref="I39:K39"/>
    <mergeCell ref="L39:N39"/>
    <mergeCell ref="X39:Z39"/>
    <mergeCell ref="AA39:AC39"/>
    <mergeCell ref="I40:K40"/>
    <mergeCell ref="L40:N40"/>
    <mergeCell ref="X40:Z40"/>
    <mergeCell ref="AA40:AC40"/>
    <mergeCell ref="I41:K41"/>
    <mergeCell ref="L41:N41"/>
    <mergeCell ref="X41:Z41"/>
    <mergeCell ref="AA41:AC41"/>
    <mergeCell ref="I48:K48"/>
    <mergeCell ref="L48:N48"/>
    <mergeCell ref="X48:Z48"/>
    <mergeCell ref="AA48:AC48"/>
    <mergeCell ref="I49:K49"/>
    <mergeCell ref="L49:N49"/>
    <mergeCell ref="X49:Z49"/>
    <mergeCell ref="AA49:AC49"/>
    <mergeCell ref="I50:K50"/>
    <mergeCell ref="L50:N50"/>
    <mergeCell ref="X50:Z50"/>
    <mergeCell ref="AA50:AC50"/>
    <mergeCell ref="I51:K51"/>
    <mergeCell ref="L51:N51"/>
    <mergeCell ref="X51:Z51"/>
    <mergeCell ref="AA51:AC51"/>
    <mergeCell ref="G52:I52"/>
    <mergeCell ref="C54:N54"/>
    <mergeCell ref="F58:K58"/>
    <mergeCell ref="L58:N58"/>
    <mergeCell ref="U58:Z58"/>
    <mergeCell ref="AA58:AC58"/>
    <mergeCell ref="I59:K59"/>
    <mergeCell ref="X59:Z59"/>
    <mergeCell ref="F66:H66"/>
    <mergeCell ref="I66:K66"/>
    <mergeCell ref="L66:N66"/>
    <mergeCell ref="U66:W66"/>
    <mergeCell ref="X66:Z66"/>
    <mergeCell ref="AA66:AC66"/>
    <mergeCell ref="I74:K74"/>
    <mergeCell ref="L74:N74"/>
    <mergeCell ref="X74:Z74"/>
    <mergeCell ref="AA74:AC74"/>
    <mergeCell ref="I75:K75"/>
    <mergeCell ref="L75:N75"/>
    <mergeCell ref="X75:Z75"/>
    <mergeCell ref="AA75:AC75"/>
    <mergeCell ref="I76:K76"/>
    <mergeCell ref="L76:N76"/>
    <mergeCell ref="X76:Z76"/>
    <mergeCell ref="AA76:AC76"/>
    <mergeCell ref="I77:K77"/>
    <mergeCell ref="L77:N77"/>
    <mergeCell ref="X77:Z77"/>
    <mergeCell ref="AA77:AC77"/>
    <mergeCell ref="I81:K81"/>
    <mergeCell ref="L81:N81"/>
    <mergeCell ref="X81:Z81"/>
    <mergeCell ref="AA81:AC81"/>
    <mergeCell ref="I82:K82"/>
    <mergeCell ref="L82:N82"/>
    <mergeCell ref="X82:Z82"/>
    <mergeCell ref="AA82:AC82"/>
    <mergeCell ref="I83:K83"/>
    <mergeCell ref="L83:N83"/>
    <mergeCell ref="X83:Z83"/>
    <mergeCell ref="AA83:AC83"/>
    <mergeCell ref="I84:K84"/>
    <mergeCell ref="L84:N84"/>
    <mergeCell ref="X84:Z84"/>
    <mergeCell ref="AA84:AC84"/>
    <mergeCell ref="I85:K85"/>
    <mergeCell ref="L85:N85"/>
    <mergeCell ref="X85:Z85"/>
    <mergeCell ref="AA85:AC85"/>
    <mergeCell ref="I86:K86"/>
    <mergeCell ref="L86:N86"/>
    <mergeCell ref="X86:Z86"/>
    <mergeCell ref="AA86:AC86"/>
    <mergeCell ref="F12:F13"/>
    <mergeCell ref="F59:F60"/>
    <mergeCell ref="G12:G13"/>
    <mergeCell ref="G59:G60"/>
    <mergeCell ref="H12:H13"/>
    <mergeCell ref="H59:H60"/>
    <mergeCell ref="L12:L13"/>
    <mergeCell ref="L59:L60"/>
    <mergeCell ref="M12:M13"/>
    <mergeCell ref="M59:M60"/>
    <mergeCell ref="N12:N13"/>
    <mergeCell ref="N59:N60"/>
    <mergeCell ref="U12:U13"/>
    <mergeCell ref="U59:U60"/>
    <mergeCell ref="V12:V13"/>
    <mergeCell ref="V59:V60"/>
    <mergeCell ref="W12:W13"/>
    <mergeCell ref="W59:W60"/>
    <mergeCell ref="AA12:AA13"/>
    <mergeCell ref="AA59:AA60"/>
    <mergeCell ref="AB12:AB13"/>
    <mergeCell ref="AB59:AB60"/>
    <mergeCell ref="AC12:AC13"/>
    <mergeCell ref="AC59:AC60"/>
  </mergeCells>
  <pageMargins left="0.7" right="0.7" top="0.75" bottom="0.75" header="0.3" footer="0.3"/>
  <pageSetup paperSize="1" scale="45" orientation="landscape"/>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pageSetUpPr fitToPage="1"/>
  </sheetPr>
  <dimension ref="B18:GR2602"/>
  <sheetViews>
    <sheetView zoomScale="85" zoomScaleNormal="85" workbookViewId="0">
      <pane ySplit="28" topLeftCell="A133" activePane="bottomLeft" state="frozen"/>
      <selection/>
      <selection pane="bottomLeft" activeCell="K4" sqref="K4"/>
    </sheetView>
  </sheetViews>
  <sheetFormatPr defaultColWidth="9.14285714285714" defaultRowHeight="15.2"/>
  <cols>
    <col min="1" max="2" width="2.85714285714286" style="2" customWidth="1"/>
    <col min="3" max="3" width="9.14285714285714" style="2"/>
    <col min="4" max="4" width="9" style="2" customWidth="1"/>
    <col min="5" max="5" width="12.1428571428571" style="2" customWidth="1"/>
    <col min="6" max="7" width="9.14285714285714" style="59"/>
    <col min="8" max="8" width="1.85714285714286" style="2" customWidth="1"/>
    <col min="9" max="9" width="10.8571428571429" style="2" customWidth="1"/>
    <col min="10" max="11" width="9.14285714285714" style="2" customWidth="1"/>
    <col min="12" max="12" width="9.14285714285714" style="2"/>
    <col min="13" max="13" width="9.14285714285714" style="59"/>
    <col min="14" max="17" width="9.14285714285714" style="2" customWidth="1"/>
    <col min="18" max="21" width="9.85714285714286" style="2" customWidth="1"/>
    <col min="22" max="22" width="2.57142857142857" style="2" customWidth="1"/>
    <col min="23" max="33" width="9.85714285714286" style="2" customWidth="1"/>
    <col min="34" max="34" width="11.8571428571429" style="2" customWidth="1"/>
    <col min="35" max="41" width="9.85714285714286" style="2" customWidth="1"/>
    <col min="42" max="42" width="24.8571428571429" style="2" customWidth="1"/>
    <col min="43" max="44" width="9.85714285714286" style="2" customWidth="1"/>
    <col min="45" max="45" width="13.5714285714286" style="60" customWidth="1"/>
    <col min="46" max="53" width="9.85714285714286" style="2" customWidth="1"/>
    <col min="54" max="54" width="14.7142857142857" style="2" customWidth="1"/>
    <col min="55" max="67" width="9.85714285714286" style="2" customWidth="1"/>
    <col min="68" max="68" width="2.57142857142857" style="2" customWidth="1"/>
    <col min="69" max="70" width="9.85714285714286" style="2" customWidth="1"/>
    <col min="71" max="71" width="10.8571428571429" style="2" customWidth="1"/>
    <col min="72" max="72" width="10.1428571428571" style="59" hidden="1" customWidth="1" outlineLevel="1"/>
    <col min="73" max="73" width="9.14285714285714" style="59" hidden="1" customWidth="1" outlineLevel="1"/>
    <col min="74" max="74" width="9.14285714285714" style="59" collapsed="1"/>
    <col min="75" max="76" width="9.14285714285714" style="59"/>
    <col min="77" max="78" width="1.85714285714286" style="2" customWidth="1"/>
    <col min="79" max="96" width="10.8571428571429" style="2" customWidth="1"/>
    <col min="97" max="97" width="17.4285714285714" style="2" customWidth="1"/>
    <col min="98" max="100" width="14.1428571428571" style="2" customWidth="1"/>
    <col min="101" max="104" width="9.14285714285714" style="2"/>
    <col min="105" max="116" width="8.42857142857143" style="2" customWidth="1"/>
    <col min="117" max="117" width="9.14285714285714" style="2"/>
    <col min="118" max="118" width="8.71428571428571" style="2" customWidth="1"/>
    <col min="119" max="119" width="6.42857142857143" style="2" customWidth="1"/>
    <col min="120" max="120" width="14.8571428571429" style="2" customWidth="1"/>
    <col min="121" max="128" width="11.1428571428571" style="2" customWidth="1"/>
    <col min="129" max="130" width="6.42857142857143" style="2" customWidth="1"/>
    <col min="131" max="132" width="9.85714285714286" style="2" customWidth="1"/>
    <col min="133" max="133" width="10.5714285714286" style="2" customWidth="1"/>
    <col min="134" max="134" width="12.8571428571429" style="2" customWidth="1"/>
    <col min="135" max="135" width="11.8571428571429" style="2" customWidth="1"/>
    <col min="136" max="136" width="12.4285714285714" style="2" customWidth="1"/>
    <col min="137" max="138" width="12" style="2" customWidth="1"/>
    <col min="139" max="139" width="8.85714285714286" style="2" customWidth="1"/>
    <col min="140" max="143" width="11" style="2" customWidth="1"/>
    <col min="144" max="144" width="13.1428571428571" style="2" customWidth="1"/>
    <col min="145" max="162" width="8.85714285714286" style="2" customWidth="1"/>
    <col min="163" max="163" width="10.8571428571429" style="2" hidden="1" customWidth="1" outlineLevel="1"/>
    <col min="164" max="167" width="9.14285714285714" style="2" hidden="1" customWidth="1" outlineLevel="1"/>
    <col min="168" max="168" width="5.14285714285714" style="2" hidden="1" customWidth="1" outlineLevel="1"/>
    <col min="169" max="169" width="3.14285714285714" style="2" hidden="1" customWidth="1" outlineLevel="1"/>
    <col min="170" max="170" width="11.8571428571429" style="2" hidden="1" customWidth="1" outlineLevel="1"/>
    <col min="171" max="172" width="9.14285714285714" style="2" hidden="1" customWidth="1" outlineLevel="1"/>
    <col min="173" max="173" width="5.14285714285714" style="2" hidden="1" customWidth="1" outlineLevel="1"/>
    <col min="174" max="174" width="3.14285714285714" style="2" hidden="1" customWidth="1" outlineLevel="1"/>
    <col min="175" max="175" width="10.1428571428571" style="2" hidden="1" customWidth="1" outlineLevel="1"/>
    <col min="176" max="178" width="9.14285714285714" style="2" hidden="1" customWidth="1" outlineLevel="1"/>
    <col min="179" max="179" width="3.14285714285714" style="2" hidden="1" customWidth="1" outlineLevel="1"/>
    <col min="180" max="180" width="10.1428571428571" style="2" hidden="1" customWidth="1" outlineLevel="1"/>
    <col min="181" max="183" width="9.14285714285714" style="2" hidden="1" customWidth="1" outlineLevel="1"/>
    <col min="184" max="184" width="3.14285714285714" style="2" hidden="1" customWidth="1" outlineLevel="1"/>
    <col min="185" max="185" width="10.8571428571429" style="2" hidden="1" customWidth="1" outlineLevel="1"/>
    <col min="186" max="188" width="9.14285714285714" style="2" hidden="1" customWidth="1" outlineLevel="1"/>
    <col min="189" max="189" width="3.14285714285714" style="2" hidden="1" customWidth="1" outlineLevel="1"/>
    <col min="190" max="190" width="11" style="2" hidden="1" customWidth="1" outlineLevel="1"/>
    <col min="191" max="193" width="9.14285714285714" style="2" hidden="1" customWidth="1" outlineLevel="1"/>
    <col min="194" max="194" width="3.14285714285714" style="2" hidden="1" customWidth="1" outlineLevel="1"/>
    <col min="195" max="195" width="10.8571428571429" style="2" hidden="1" customWidth="1" outlineLevel="1"/>
    <col min="196" max="205" width="9.14285714285714" style="2" hidden="1" customWidth="1" outlineLevel="1"/>
    <col min="206" max="206" width="9.14285714285714" style="2" collapsed="1"/>
    <col min="207" max="209" width="9.14285714285714" style="2"/>
    <col min="210" max="211" width="5.14285714285714" style="2" customWidth="1"/>
    <col min="212" max="215" width="9.14285714285714" style="2"/>
    <col min="216" max="217" width="5.14285714285714" style="2" customWidth="1"/>
    <col min="218" max="16384" width="9.14285714285714" style="2"/>
  </cols>
  <sheetData>
    <row r="18" hidden="1" spans="2:200">
      <c r="H18" s="59"/>
      <c r="I18" s="59"/>
      <c r="J18" s="59"/>
      <c r="K18" s="59"/>
      <c r="L18" s="59"/>
      <c r="N18" s="59"/>
    </row>
    <row r="19" spans="2:200">
      <c r="B19" s="2" t="s">
        <v>102</v>
      </c>
      <c r="H19" s="59"/>
      <c r="I19" s="59"/>
      <c r="J19" s="59"/>
      <c r="K19" s="59"/>
      <c r="L19" s="59"/>
      <c r="N19" s="59"/>
    </row>
    <row r="20" spans="2:200">
      <c r="E20" s="4" t="s">
        <v>103</v>
      </c>
      <c r="F20" s="4"/>
      <c r="G20" s="4"/>
      <c r="H20" s="4"/>
      <c r="I20" s="4"/>
      <c r="J20" s="4"/>
      <c r="K20" s="4"/>
      <c r="L20" s="4"/>
      <c r="M20" s="61"/>
      <c r="N20" s="61"/>
      <c r="O20" s="61"/>
      <c r="P20" s="61"/>
      <c r="Q20" s="61"/>
      <c r="R20" s="61"/>
      <c r="S20" s="4"/>
      <c r="T20" s="4"/>
      <c r="U20" s="4"/>
      <c r="V20" s="4"/>
      <c r="W20" s="4"/>
      <c r="X20" s="4"/>
      <c r="Y20" s="4"/>
      <c r="Z20" s="4"/>
      <c r="AA20" s="61"/>
      <c r="AB20" s="61"/>
      <c r="AC20" s="61"/>
      <c r="AD20" s="61"/>
      <c r="AE20" s="61"/>
      <c r="AF20" s="61"/>
      <c r="AG20" s="61"/>
      <c r="AH20" s="61"/>
      <c r="AI20" s="4"/>
      <c r="AJ20" s="4"/>
      <c r="AK20" s="4"/>
      <c r="AL20" s="4"/>
      <c r="AM20" s="4"/>
      <c r="AN20" s="4"/>
      <c r="AO20" s="4"/>
      <c r="AP20" s="4"/>
      <c r="AQ20" s="4"/>
      <c r="AR20" s="4"/>
      <c r="AS20" s="62"/>
      <c r="AT20" s="4"/>
      <c r="AU20" s="4"/>
      <c r="AV20" s="4"/>
      <c r="AW20" s="4"/>
      <c r="AX20" s="4"/>
      <c r="AY20" s="4"/>
      <c r="AZ20" s="4"/>
      <c r="BA20" s="4"/>
      <c r="BB20" s="4"/>
      <c r="BC20" s="4"/>
      <c r="BD20" s="4"/>
      <c r="BE20" s="4"/>
      <c r="BF20" s="4"/>
      <c r="BG20" s="4"/>
      <c r="BH20" s="4"/>
      <c r="BI20" s="4"/>
      <c r="BJ20" s="4"/>
      <c r="BK20" s="4"/>
      <c r="BL20" s="4"/>
      <c r="BM20" s="4"/>
      <c r="BN20" s="4"/>
      <c r="BO20" s="4"/>
      <c r="BP20" s="10"/>
      <c r="BQ20" s="10"/>
      <c r="BR20" s="10"/>
      <c r="BS20" s="4" t="s">
        <v>104</v>
      </c>
      <c r="BT20" s="4"/>
      <c r="BU20" s="63"/>
      <c r="BV20" s="63"/>
      <c r="BW20" s="63"/>
      <c r="BX20" s="63"/>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row>
    <row r="21" spans="2:200">
      <c r="F21" s="2"/>
      <c r="G21" s="2"/>
      <c r="AA21" s="59"/>
      <c r="DP21" s="6" t="s">
        <v>105</v>
      </c>
      <c r="DQ21" s="6"/>
    </row>
    <row r="22" spans="2:200">
      <c r="E22" s="64" t="s">
        <v>106</v>
      </c>
      <c r="F22" s="2"/>
      <c r="G22" s="2"/>
      <c r="S22" s="64" t="s">
        <v>106</v>
      </c>
      <c r="AA22" s="59"/>
      <c r="AH22" s="64" t="s">
        <v>107</v>
      </c>
      <c r="AQ22" s="64" t="s">
        <v>107</v>
      </c>
      <c r="AS22" s="8"/>
      <c r="BS22" s="64" t="s">
        <v>108</v>
      </c>
      <c r="BX22" s="3"/>
      <c r="CB22" s="3"/>
      <c r="EA22" s="64" t="s">
        <v>109</v>
      </c>
      <c r="EB22" s="64"/>
    </row>
    <row r="23" spans="2:200">
      <c r="F23" s="2"/>
      <c r="G23" s="2"/>
      <c r="AA23" s="59"/>
      <c r="AS23" s="8"/>
    </row>
    <row r="24" spans="2:200">
      <c r="F24" s="2"/>
      <c r="G24" s="2"/>
      <c r="AA24" s="59"/>
    </row>
    <row r="25" spans="2:200">
      <c r="E25" s="2" t="s">
        <v>110</v>
      </c>
      <c r="F25" s="2"/>
      <c r="G25" s="2"/>
      <c r="S25" s="2" t="s">
        <v>111</v>
      </c>
      <c r="AA25" s="59"/>
      <c r="AH25" s="2" t="s">
        <v>110</v>
      </c>
      <c r="AL25" s="2" t="s">
        <v>111</v>
      </c>
      <c r="AQ25" s="2" t="s">
        <v>112</v>
      </c>
      <c r="CA25" s="2" t="s">
        <v>113</v>
      </c>
      <c r="CB25" s="2" t="s">
        <v>114</v>
      </c>
      <c r="CC25" s="2" t="s">
        <v>115</v>
      </c>
      <c r="DA25" s="2" t="str">
        <f>DQ27&amp;" MoM"</f>
        <v>DDR4 32GB RDIMM MoM</v>
      </c>
      <c r="DB25" s="2" t="str">
        <f>DR27&amp;" MoM"</f>
        <v>DDR4 64GB RDIMM MoM</v>
      </c>
      <c r="DK25" s="2" t="str">
        <f>DS27&amp;" MoM"</f>
        <v>32GB MoM</v>
      </c>
      <c r="DL25" s="2" t="str">
        <f>DT27&amp;" MoM"</f>
        <v>64GB MoM</v>
      </c>
      <c r="EA25" s="2" t="s">
        <v>113</v>
      </c>
      <c r="FI25" s="2" t="s">
        <v>116</v>
      </c>
      <c r="FP25" s="2" t="s">
        <v>117</v>
      </c>
      <c r="FU25" s="2" t="s">
        <v>117</v>
      </c>
      <c r="FZ25" s="2" t="s">
        <v>118</v>
      </c>
      <c r="GE25" s="2" t="s">
        <v>118</v>
      </c>
      <c r="GJ25" s="2" t="s">
        <v>119</v>
      </c>
      <c r="GO25" s="2" t="s">
        <v>119</v>
      </c>
    </row>
    <row r="26" ht="16" spans="2:200">
      <c r="E26" s="7" t="s">
        <v>120</v>
      </c>
      <c r="F26" s="7"/>
      <c r="G26" s="7"/>
      <c r="H26" s="7"/>
      <c r="I26" s="7"/>
      <c r="J26" s="7"/>
      <c r="K26" s="7"/>
      <c r="L26" s="7"/>
      <c r="N26" s="65" t="s">
        <v>121</v>
      </c>
      <c r="O26" s="65"/>
      <c r="P26" s="65"/>
      <c r="Q26" s="7"/>
      <c r="S26" s="7" t="s">
        <v>122</v>
      </c>
      <c r="T26" s="7"/>
      <c r="U26" s="7"/>
      <c r="V26" s="7"/>
      <c r="W26" s="7"/>
      <c r="X26" s="7"/>
      <c r="Y26" s="7"/>
      <c r="Z26" s="7"/>
      <c r="AA26" s="59"/>
      <c r="AB26" s="65" t="s">
        <v>121</v>
      </c>
      <c r="AC26" s="65"/>
      <c r="AD26" s="65"/>
      <c r="AE26" s="7"/>
      <c r="AH26" s="7" t="s">
        <v>120</v>
      </c>
      <c r="AI26" s="7"/>
      <c r="AL26" s="7" t="s">
        <v>122</v>
      </c>
      <c r="AM26" s="7"/>
      <c r="AQ26" s="7" t="s">
        <v>123</v>
      </c>
      <c r="AR26" s="7"/>
      <c r="AS26" s="66"/>
      <c r="AT26" s="7"/>
      <c r="AU26" s="7"/>
      <c r="AV26" s="7"/>
      <c r="AW26" s="7"/>
      <c r="AX26" s="7"/>
      <c r="AY26" s="7"/>
      <c r="AZ26" s="7"/>
      <c r="BA26" s="7"/>
      <c r="BB26" s="7" t="s">
        <v>124</v>
      </c>
      <c r="BC26" s="7"/>
      <c r="BD26" s="7"/>
      <c r="BE26" s="7"/>
      <c r="BF26" s="7"/>
      <c r="BG26" s="7"/>
      <c r="BH26" s="7"/>
      <c r="BI26" s="7"/>
      <c r="BJ26" s="7"/>
      <c r="BK26" s="7"/>
      <c r="BL26" s="7"/>
      <c r="BM26" s="7"/>
      <c r="BN26" s="7"/>
      <c r="BO26" s="7"/>
      <c r="BS26" s="7" t="s">
        <v>125</v>
      </c>
      <c r="BT26" s="67"/>
      <c r="BU26" s="67"/>
      <c r="BV26" s="67"/>
      <c r="BW26" s="67"/>
      <c r="BX26" s="67"/>
      <c r="CA26" s="7" t="s">
        <v>126</v>
      </c>
      <c r="CB26" s="7"/>
      <c r="CC26" s="7"/>
      <c r="CD26" s="7"/>
      <c r="CE26" s="7"/>
      <c r="CF26" s="7"/>
      <c r="CG26" s="7"/>
      <c r="CH26" s="7"/>
      <c r="CI26" s="7"/>
      <c r="CJ26" s="7"/>
      <c r="CK26" s="7"/>
      <c r="CL26" s="7"/>
      <c r="CM26" s="7"/>
      <c r="CN26" s="7"/>
      <c r="CO26" s="7"/>
      <c r="CP26" s="7"/>
      <c r="CQ26" s="67"/>
      <c r="CR26" s="67"/>
      <c r="CT26" s="67" t="s">
        <v>127</v>
      </c>
      <c r="CU26" s="67"/>
      <c r="CV26" s="67"/>
      <c r="CX26" s="68" t="s">
        <v>30</v>
      </c>
      <c r="CY26" s="68"/>
      <c r="CZ26" s="68"/>
      <c r="DA26" s="68" t="s">
        <v>30</v>
      </c>
      <c r="DB26" s="68"/>
      <c r="DC26" s="68"/>
      <c r="DD26" s="68"/>
      <c r="DE26" s="68"/>
      <c r="DF26" s="68"/>
      <c r="DG26" s="68"/>
      <c r="DH26" s="68"/>
      <c r="DI26" s="68"/>
      <c r="DJ26" s="68"/>
      <c r="DK26" s="68"/>
      <c r="DL26" s="68"/>
      <c r="DM26" s="6"/>
      <c r="DN26" s="6"/>
      <c r="DQ26" s="7" t="s">
        <v>128</v>
      </c>
      <c r="DR26" s="7"/>
      <c r="DS26" s="7"/>
      <c r="DT26" s="7"/>
      <c r="DU26" s="7"/>
      <c r="DV26" s="7"/>
      <c r="DW26" s="7"/>
      <c r="DX26" s="7"/>
      <c r="DY26" s="7"/>
      <c r="EA26" s="7" t="s">
        <v>126</v>
      </c>
      <c r="EB26" s="7"/>
      <c r="EC26" s="7"/>
      <c r="ED26" s="7"/>
      <c r="EE26" s="7"/>
      <c r="EF26" s="7"/>
      <c r="EG26" s="7"/>
      <c r="EH26" s="7"/>
      <c r="EJ26" s="68" t="s">
        <v>31</v>
      </c>
      <c r="EK26" s="68"/>
      <c r="EL26" s="68"/>
      <c r="EM26" s="68"/>
      <c r="EN26" s="68"/>
      <c r="EO26" s="68"/>
      <c r="EP26" s="68"/>
      <c r="FI26" s="7" t="s">
        <v>129</v>
      </c>
      <c r="FJ26" s="7"/>
      <c r="FK26" s="7"/>
      <c r="FL26" s="7"/>
      <c r="FP26" s="7" t="s">
        <v>130</v>
      </c>
      <c r="FQ26" s="7"/>
      <c r="FU26" s="7" t="s">
        <v>131</v>
      </c>
      <c r="FV26" s="7"/>
      <c r="FZ26" s="7" t="s">
        <v>132</v>
      </c>
      <c r="GA26" s="7"/>
      <c r="GE26" s="7" t="s">
        <v>133</v>
      </c>
      <c r="GF26" s="7"/>
      <c r="GJ26" s="7" t="s">
        <v>134</v>
      </c>
      <c r="GK26" s="7"/>
      <c r="GO26" s="7" t="s">
        <v>135</v>
      </c>
      <c r="GP26" s="7"/>
    </row>
    <row r="27" ht="16" spans="2:200">
      <c r="L27" s="2" t="s">
        <v>136</v>
      </c>
      <c r="T27" s="59"/>
      <c r="U27" s="59"/>
      <c r="Z27" s="2" t="s">
        <v>136</v>
      </c>
      <c r="AA27" s="59"/>
      <c r="AT27" s="69" t="s">
        <v>136</v>
      </c>
      <c r="AU27" s="70" t="s">
        <v>137</v>
      </c>
      <c r="AV27" s="69" t="s">
        <v>136</v>
      </c>
      <c r="AW27" s="70" t="s">
        <v>137</v>
      </c>
      <c r="AX27" s="69" t="s">
        <v>136</v>
      </c>
      <c r="AY27" s="70" t="s">
        <v>137</v>
      </c>
      <c r="AZ27" s="69" t="s">
        <v>136</v>
      </c>
      <c r="BA27" s="70" t="s">
        <v>137</v>
      </c>
      <c r="BB27" s="10" t="str">
        <f>AT28</f>
        <v>DDR4 32GB RDIMM</v>
      </c>
      <c r="BE27" s="10" t="str">
        <f>AV28</f>
        <v>DDR4 64GB RDIMM </v>
      </c>
      <c r="BH27" s="10" t="str">
        <f>AX28</f>
        <v>DDR5 32GB RDIMM</v>
      </c>
      <c r="BK27" s="10" t="str">
        <f>AZ28</f>
        <v>DDR5 64GB RDIMM </v>
      </c>
      <c r="BT27" s="59" t="s">
        <v>138</v>
      </c>
      <c r="BV27" s="59" t="s">
        <v>138</v>
      </c>
      <c r="BW27" s="59" t="s">
        <v>139</v>
      </c>
      <c r="BX27" s="59" t="s">
        <v>140</v>
      </c>
      <c r="CB27" s="2" t="s">
        <v>141</v>
      </c>
      <c r="CC27" s="2" t="s">
        <v>141</v>
      </c>
      <c r="CD27" s="2" t="s">
        <v>141</v>
      </c>
      <c r="CE27" s="2" t="s">
        <v>142</v>
      </c>
      <c r="CF27" s="2" t="s">
        <v>142</v>
      </c>
      <c r="CG27" s="2" t="s">
        <v>142</v>
      </c>
      <c r="CH27" s="2" t="s">
        <v>142</v>
      </c>
      <c r="CI27" s="2" t="s">
        <v>142</v>
      </c>
      <c r="CJ27" s="2" t="s">
        <v>142</v>
      </c>
      <c r="CK27" s="2" t="s">
        <v>142</v>
      </c>
      <c r="CL27" s="2" t="s">
        <v>142</v>
      </c>
      <c r="CM27" s="2" t="s">
        <v>142</v>
      </c>
      <c r="CN27" s="2" t="s">
        <v>142</v>
      </c>
      <c r="CO27" s="2" t="s">
        <v>142</v>
      </c>
      <c r="CP27" s="2" t="s">
        <v>142</v>
      </c>
      <c r="CQ27" s="2" t="s">
        <v>143</v>
      </c>
      <c r="CR27" s="2" t="s">
        <v>143</v>
      </c>
      <c r="CX27" s="2" t="s">
        <v>141</v>
      </c>
      <c r="CY27" s="2" t="s">
        <v>141</v>
      </c>
      <c r="CZ27" s="2" t="s">
        <v>141</v>
      </c>
      <c r="DA27" s="2" t="s">
        <v>142</v>
      </c>
      <c r="DB27" s="2" t="s">
        <v>142</v>
      </c>
      <c r="DC27" s="2" t="s">
        <v>142</v>
      </c>
      <c r="DD27" s="2" t="s">
        <v>142</v>
      </c>
      <c r="DE27" s="2" t="s">
        <v>142</v>
      </c>
      <c r="DF27" s="2" t="s">
        <v>142</v>
      </c>
      <c r="DG27" s="2" t="s">
        <v>142</v>
      </c>
      <c r="DH27" s="2" t="s">
        <v>142</v>
      </c>
      <c r="DI27" s="2" t="s">
        <v>142</v>
      </c>
      <c r="DJ27" s="2" t="s">
        <v>142</v>
      </c>
      <c r="DK27" s="2" t="s">
        <v>142</v>
      </c>
      <c r="DL27" s="2" t="s">
        <v>142</v>
      </c>
      <c r="DM27" s="2" t="s">
        <v>143</v>
      </c>
      <c r="DN27" s="2" t="s">
        <v>143</v>
      </c>
      <c r="DQ27" s="2" t="str">
        <f>DQ28</f>
        <v>DDR4 32GB RDIMM</v>
      </c>
      <c r="DR27" s="2" t="str">
        <f>DR28</f>
        <v>DDR4 64GB RDIMM</v>
      </c>
      <c r="DS27" s="2" t="s">
        <v>144</v>
      </c>
      <c r="DT27" s="2" t="s">
        <v>145</v>
      </c>
      <c r="DU27" s="2" t="s">
        <v>146</v>
      </c>
      <c r="DV27" s="2" t="s">
        <v>147</v>
      </c>
      <c r="DW27" s="2" t="s">
        <v>148</v>
      </c>
      <c r="DX27" s="2" t="s">
        <v>148</v>
      </c>
      <c r="EC27" s="2" t="s">
        <v>149</v>
      </c>
      <c r="EE27" s="2" t="s">
        <v>149</v>
      </c>
      <c r="EF27" s="2" t="s">
        <v>149</v>
      </c>
      <c r="EG27" s="2" t="s">
        <v>150</v>
      </c>
      <c r="EH27" s="2" t="s">
        <v>151</v>
      </c>
    </row>
    <row r="28" ht="76" spans="2:200">
      <c r="C28" s="19" t="s">
        <v>152</v>
      </c>
      <c r="D28" s="19" t="s">
        <v>153</v>
      </c>
      <c r="E28" s="19" t="s">
        <v>154</v>
      </c>
      <c r="F28" s="19" t="s">
        <v>155</v>
      </c>
      <c r="G28" s="19" t="s">
        <v>156</v>
      </c>
      <c r="H28" s="19"/>
      <c r="I28" s="71" t="s">
        <v>154</v>
      </c>
      <c r="J28" s="18" t="s">
        <v>157</v>
      </c>
      <c r="K28" s="18" t="s">
        <v>158</v>
      </c>
      <c r="L28" s="72" t="s">
        <v>159</v>
      </c>
      <c r="M28" s="70" t="s">
        <v>137</v>
      </c>
      <c r="N28" s="19" t="s">
        <v>160</v>
      </c>
      <c r="O28" s="19" t="s">
        <v>161</v>
      </c>
      <c r="P28" s="19" t="s">
        <v>162</v>
      </c>
      <c r="Q28" s="19" t="s">
        <v>163</v>
      </c>
      <c r="S28" s="19" t="s">
        <v>154</v>
      </c>
      <c r="T28" s="19" t="s">
        <v>155</v>
      </c>
      <c r="U28" s="19" t="s">
        <v>156</v>
      </c>
      <c r="V28" s="19"/>
      <c r="W28" s="71" t="s">
        <v>154</v>
      </c>
      <c r="X28" s="18" t="s">
        <v>157</v>
      </c>
      <c r="Y28" s="18" t="s">
        <v>158</v>
      </c>
      <c r="Z28" s="72" t="s">
        <v>159</v>
      </c>
      <c r="AA28" s="70" t="s">
        <v>137</v>
      </c>
      <c r="AB28" s="19" t="s">
        <v>160</v>
      </c>
      <c r="AC28" s="19" t="s">
        <v>161</v>
      </c>
      <c r="AD28" s="19" t="s">
        <v>162</v>
      </c>
      <c r="AE28" s="19" t="s">
        <v>163</v>
      </c>
      <c r="AH28" s="18" t="str">
        <f>I28</f>
        <v>Date</v>
      </c>
      <c r="AI28" s="72" t="str">
        <f>L28</f>
        <v>Avg</v>
      </c>
      <c r="AJ28" s="72" t="str">
        <f>O28</f>
        <v>1W Delta</v>
      </c>
      <c r="AK28" s="72" t="str">
        <f>P28</f>
        <v>2W Delta</v>
      </c>
      <c r="AL28" s="18" t="str">
        <f>M28</f>
        <v>Contract</v>
      </c>
      <c r="AM28" s="72" t="str">
        <f>AI28</f>
        <v>Avg</v>
      </c>
      <c r="AN28" s="72" t="str">
        <f t="shared" ref="AN28:AO28" si="0">AJ28</f>
        <v>1W Delta</v>
      </c>
      <c r="AO28" s="72" t="str">
        <f t="shared" si="0"/>
        <v>2W Delta</v>
      </c>
      <c r="AP28" s="73"/>
      <c r="AQ28" s="74" t="s">
        <v>152</v>
      </c>
      <c r="AR28" s="74" t="s">
        <v>153</v>
      </c>
      <c r="AS28" s="75" t="s">
        <v>154</v>
      </c>
      <c r="AT28" s="72" t="s">
        <v>164</v>
      </c>
      <c r="AU28" s="72" t="s">
        <v>104</v>
      </c>
      <c r="AV28" s="72" t="s">
        <v>165</v>
      </c>
      <c r="AW28" s="72" t="s">
        <v>104</v>
      </c>
      <c r="AX28" s="72" t="s">
        <v>166</v>
      </c>
      <c r="AY28" s="72" t="s">
        <v>104</v>
      </c>
      <c r="AZ28" s="72" t="s">
        <v>167</v>
      </c>
      <c r="BA28" s="72" t="s">
        <v>104</v>
      </c>
      <c r="BB28" s="72" t="s">
        <v>161</v>
      </c>
      <c r="BC28" s="72" t="s">
        <v>162</v>
      </c>
      <c r="BD28" s="72" t="s">
        <v>168</v>
      </c>
      <c r="BE28" s="72" t="str">
        <f>BB28</f>
        <v>1W Delta</v>
      </c>
      <c r="BF28" s="72" t="str">
        <f t="shared" ref="BF28:BG28" si="1">BC28</f>
        <v>2W Delta</v>
      </c>
      <c r="BG28" s="72" t="str">
        <f t="shared" si="1"/>
        <v>3W Delta</v>
      </c>
      <c r="BH28" s="72" t="s">
        <v>161</v>
      </c>
      <c r="BI28" s="72" t="s">
        <v>162</v>
      </c>
      <c r="BJ28" s="72" t="s">
        <v>168</v>
      </c>
      <c r="BK28" s="72" t="str">
        <f>BH28</f>
        <v>1W Delta</v>
      </c>
      <c r="BL28" s="72" t="str">
        <f t="shared" ref="BL28:BM28" si="2">BI28</f>
        <v>2W Delta</v>
      </c>
      <c r="BM28" s="72" t="str">
        <f t="shared" si="2"/>
        <v>3W Delta</v>
      </c>
      <c r="BN28" s="73"/>
      <c r="BQ28" s="19" t="s">
        <v>152</v>
      </c>
      <c r="BR28" s="19" t="s">
        <v>153</v>
      </c>
      <c r="BS28" s="71" t="s">
        <v>154</v>
      </c>
      <c r="BT28" s="76" t="s">
        <v>157</v>
      </c>
      <c r="BU28" s="76" t="s">
        <v>158</v>
      </c>
      <c r="BV28" s="76" t="s">
        <v>159</v>
      </c>
      <c r="BW28" s="76" t="s">
        <v>159</v>
      </c>
      <c r="BX28" s="76" t="s">
        <v>159</v>
      </c>
      <c r="CA28" s="18" t="s">
        <v>154</v>
      </c>
      <c r="CB28" s="18" t="s">
        <v>169</v>
      </c>
      <c r="CC28" s="18" t="s">
        <v>170</v>
      </c>
      <c r="CD28" s="18" t="s">
        <v>171</v>
      </c>
      <c r="CE28" s="18" t="s">
        <v>164</v>
      </c>
      <c r="CF28" s="18" t="s">
        <v>172</v>
      </c>
      <c r="CG28" s="18" t="s">
        <v>173</v>
      </c>
      <c r="CH28" s="18" t="s">
        <v>174</v>
      </c>
      <c r="CI28" s="18" t="s">
        <v>175</v>
      </c>
      <c r="CJ28" s="18" t="s">
        <v>176</v>
      </c>
      <c r="CK28" s="18" t="s">
        <v>177</v>
      </c>
      <c r="CL28" s="18" t="s">
        <v>178</v>
      </c>
      <c r="CM28" s="18" t="s">
        <v>179</v>
      </c>
      <c r="CN28" s="18" t="s">
        <v>180</v>
      </c>
      <c r="CO28" s="18" t="s">
        <v>166</v>
      </c>
      <c r="CP28" s="18" t="s">
        <v>181</v>
      </c>
      <c r="CQ28" s="18" t="s">
        <v>63</v>
      </c>
      <c r="CR28" s="18" t="s">
        <v>64</v>
      </c>
      <c r="CT28" s="20" t="s">
        <v>182</v>
      </c>
      <c r="CU28" s="20" t="s">
        <v>183</v>
      </c>
      <c r="CV28" s="20" t="s">
        <v>184</v>
      </c>
      <c r="CX28" s="18" t="s">
        <v>185</v>
      </c>
      <c r="CY28" s="18" t="s">
        <v>186</v>
      </c>
      <c r="CZ28" s="18" t="s">
        <v>187</v>
      </c>
      <c r="DA28" s="18" t="str">
        <f>CE28</f>
        <v>DDR4 32GB RDIMM</v>
      </c>
      <c r="DB28" s="18" t="str">
        <f>CF28</f>
        <v>DDR4 64GB RDIMM</v>
      </c>
      <c r="DC28" s="18" t="s">
        <v>173</v>
      </c>
      <c r="DD28" s="18" t="s">
        <v>174</v>
      </c>
      <c r="DE28" s="18" t="s">
        <v>175</v>
      </c>
      <c r="DF28" s="18" t="s">
        <v>176</v>
      </c>
      <c r="DG28" s="18" t="s">
        <v>177</v>
      </c>
      <c r="DH28" s="18" t="s">
        <v>178</v>
      </c>
      <c r="DI28" s="18" t="s">
        <v>179</v>
      </c>
      <c r="DJ28" s="18" t="s">
        <v>180</v>
      </c>
      <c r="DK28" s="18" t="s">
        <v>166</v>
      </c>
      <c r="DL28" s="18" t="s">
        <v>181</v>
      </c>
      <c r="DM28" s="18" t="str">
        <f>CQ28</f>
        <v>DDR4 4Gb</v>
      </c>
      <c r="DN28" s="18" t="str">
        <f>CR28</f>
        <v>DDR3 4Gb</v>
      </c>
      <c r="DQ28" s="18" t="str">
        <f>DA28</f>
        <v>DDR4 32GB RDIMM</v>
      </c>
      <c r="DR28" s="18" t="str">
        <f>DB28</f>
        <v>DDR4 64GB RDIMM</v>
      </c>
      <c r="DS28" s="18" t="s">
        <v>166</v>
      </c>
      <c r="DT28" s="18" t="s">
        <v>181</v>
      </c>
      <c r="DU28" s="18" t="s">
        <v>177</v>
      </c>
      <c r="DV28" s="18" t="s">
        <v>178</v>
      </c>
      <c r="DW28" s="18" t="s">
        <v>179</v>
      </c>
      <c r="DX28" s="18" t="s">
        <v>180</v>
      </c>
      <c r="EA28" s="18" t="s">
        <v>154</v>
      </c>
      <c r="EB28" s="77" t="s">
        <v>188</v>
      </c>
      <c r="EC28" s="18" t="s">
        <v>189</v>
      </c>
      <c r="ED28" s="18" t="s">
        <v>190</v>
      </c>
      <c r="EE28" s="18" t="s">
        <v>191</v>
      </c>
      <c r="EF28" s="18" t="s">
        <v>192</v>
      </c>
      <c r="EG28" s="18" t="s">
        <v>61</v>
      </c>
      <c r="EH28" s="18" t="s">
        <v>59</v>
      </c>
      <c r="EJ28" s="18" t="s">
        <v>188</v>
      </c>
      <c r="EK28" s="18" t="str">
        <f>EC28</f>
        <v>LPDDR5 8GB discrete</v>
      </c>
      <c r="EL28" s="18" t="s">
        <v>190</v>
      </c>
      <c r="EM28" s="18" t="str">
        <f>EE28</f>
        <v>LPDDR4X 8GB discrete</v>
      </c>
      <c r="EN28" s="18" t="str">
        <f>EF28</f>
        <v>LPDDR4X 4GB discrete</v>
      </c>
      <c r="EO28" s="18" t="str">
        <f>EG28</f>
        <v>LPDDR4X 64GB/32Gb eMCP</v>
      </c>
      <c r="EP28" s="18" t="str">
        <f>EH28</f>
        <v>LPDDR4X 128GB/64Gb uMCP</v>
      </c>
      <c r="FI28" s="18" t="s">
        <v>154</v>
      </c>
      <c r="FJ28" s="18" t="s">
        <v>157</v>
      </c>
      <c r="FK28" s="18" t="s">
        <v>158</v>
      </c>
      <c r="FL28" s="18" t="s">
        <v>159</v>
      </c>
      <c r="FP28" s="18" t="s">
        <v>154</v>
      </c>
      <c r="FQ28" s="18" t="s">
        <v>159</v>
      </c>
      <c r="FR28" s="78" t="s">
        <v>193</v>
      </c>
      <c r="FS28" s="20"/>
      <c r="FT28" s="79"/>
      <c r="FU28" s="18" t="s">
        <v>154</v>
      </c>
      <c r="FV28" s="18" t="s">
        <v>159</v>
      </c>
      <c r="FW28" s="78" t="s">
        <v>193</v>
      </c>
      <c r="FX28" s="20"/>
      <c r="FY28" s="79"/>
      <c r="FZ28" s="18" t="s">
        <v>154</v>
      </c>
      <c r="GA28" s="18" t="s">
        <v>159</v>
      </c>
      <c r="GB28" s="78" t="s">
        <v>193</v>
      </c>
      <c r="GC28" s="20"/>
      <c r="GD28" s="79"/>
      <c r="GE28" s="18" t="s">
        <v>154</v>
      </c>
      <c r="GF28" s="18" t="s">
        <v>159</v>
      </c>
      <c r="GG28" s="78" t="s">
        <v>193</v>
      </c>
      <c r="GH28" s="20"/>
      <c r="GI28" s="79"/>
      <c r="GJ28" s="18" t="s">
        <v>154</v>
      </c>
      <c r="GK28" s="18" t="s">
        <v>159</v>
      </c>
      <c r="GL28" s="78" t="s">
        <v>193</v>
      </c>
      <c r="GM28" s="20"/>
      <c r="GN28" s="79"/>
      <c r="GO28" s="18" t="s">
        <v>154</v>
      </c>
      <c r="GP28" s="18" t="s">
        <v>159</v>
      </c>
      <c r="GQ28" s="78" t="s">
        <v>193</v>
      </c>
    </row>
    <row r="29" ht="16" spans="2:200">
      <c r="C29" s="80" t="str" cm="1">
        <f t="array" ref="C29">_xlfn.IFS(MONTH(D29)&lt;4,1,MONTH(D29)&lt;7,2,MONTH(D29)&lt;10,3,MONTH(D29)&gt;9,4)&amp;"Q"&amp;RIGHT(YEAR(D29),2)</f>
        <v>1Q16</v>
      </c>
      <c r="D29" s="81">
        <f>EOMONTH(E29,0)</f>
        <v>42429</v>
      </c>
      <c r="E29" s="82">
        <f t="shared" ref="E29:E92" si="3">+I29</f>
        <v>42425</v>
      </c>
      <c r="F29" s="83">
        <f t="shared" ref="F29:G92" si="4">+L29/8</f>
        <v>0.601875</v>
      </c>
      <c r="G29" s="83">
        <f>+M29/8</f>
        <v>0.42</v>
      </c>
      <c r="H29" s="81"/>
      <c r="I29" s="84">
        <v>42425</v>
      </c>
      <c r="J29" s="85">
        <v>5.05</v>
      </c>
      <c r="K29" s="85">
        <v>4.6</v>
      </c>
      <c r="L29" s="86">
        <v>4.815</v>
      </c>
      <c r="M29" s="87">
        <v>3.36</v>
      </c>
      <c r="N29" s="88"/>
      <c r="O29" s="88"/>
      <c r="P29" s="88"/>
      <c r="Q29" s="89">
        <f t="shared" ref="Q29:Q92" si="5">L29/M29-1</f>
        <v>0.433035714285714</v>
      </c>
      <c r="R29" s="5"/>
      <c r="S29" s="5"/>
      <c r="T29" s="5"/>
      <c r="U29" s="5"/>
      <c r="V29" s="5"/>
      <c r="W29" s="5"/>
      <c r="X29" s="5"/>
      <c r="Y29" s="5"/>
      <c r="Z29" s="5"/>
      <c r="AA29" s="5"/>
      <c r="AB29" s="5"/>
      <c r="AC29" s="5"/>
      <c r="AD29" s="5"/>
      <c r="AE29" s="5"/>
      <c r="AF29" s="5"/>
      <c r="AG29" s="5"/>
      <c r="AH29" s="90">
        <f>I30</f>
        <v>42426</v>
      </c>
      <c r="AI29" s="91">
        <f>IFERROR(VLOOKUP(AH29,$I:$L,4,FALSE),VLOOKUP(AH29,$I:$L,4,TRUE))</f>
        <v>4.813</v>
      </c>
      <c r="AJ29" s="36"/>
      <c r="AK29" s="36"/>
      <c r="AL29" s="90"/>
      <c r="AM29" s="91"/>
      <c r="AN29" s="36"/>
      <c r="AO29" s="36"/>
      <c r="AP29" s="36"/>
      <c r="AQ29" s="92" t="str" cm="1">
        <f t="array" ref="AQ29">_xlfn.IFS(MONTH(AR29)&lt;4,1,MONTH(AR29)&lt;7,2,MONTH(AR29)&lt;10,3,MONTH(AR29)&gt;9,4)&amp;"Q"&amp;RIGHT(YEAR(AR29),2)</f>
        <v>1Q19</v>
      </c>
      <c r="AR29" s="92">
        <f>EOMONTH(AS29,0)</f>
        <v>43496</v>
      </c>
      <c r="AS29" s="93">
        <v>43479</v>
      </c>
      <c r="AT29" s="5"/>
      <c r="AU29" s="94" cm="1">
        <f t="array" ref="AU29">INDEX($CE$29:$CE$1449,MATCH($AR29,$CA$29:$CA$1449,0),)</f>
        <v>232.87</v>
      </c>
      <c r="AV29" s="5"/>
      <c r="AW29" s="94" cm="1">
        <f t="array" ref="AW29">INDEX($CF$29:$CF$1449,MATCH($AR29,$CA$29:$CA$1449,0),)</f>
        <v>475</v>
      </c>
      <c r="AX29" s="94"/>
      <c r="AY29" s="94"/>
      <c r="AZ29" s="94"/>
      <c r="BA29" s="94"/>
      <c r="BB29" s="5"/>
      <c r="BC29" s="5"/>
      <c r="BD29" s="5"/>
      <c r="BE29" s="5"/>
      <c r="BF29" s="5"/>
      <c r="BG29" s="5"/>
      <c r="BH29" s="5"/>
      <c r="BI29" s="5"/>
      <c r="BJ29" s="5"/>
      <c r="BK29" s="5"/>
      <c r="BL29" s="5"/>
      <c r="BM29" s="5"/>
      <c r="BN29" s="5"/>
      <c r="BO29" s="5"/>
      <c r="BP29" s="5"/>
      <c r="BQ29" s="95" t="str" cm="1">
        <f t="array" ref="BQ29">_xlfn.IFS(MONTH(BR29)&lt;4,1,MONTH(BR29)&lt;7,2,MONTH(BR29)&lt;10,3,MONTH(BR29)&gt;9,4)&amp;"Q"&amp;RIGHT(YEAR(BR29),2)</f>
        <v>2Q16</v>
      </c>
      <c r="BR29" s="81">
        <f>EOMONTH(BS29,0)</f>
        <v>42551</v>
      </c>
      <c r="BS29" s="96">
        <v>42551</v>
      </c>
      <c r="BT29" s="85">
        <v>3.06</v>
      </c>
      <c r="BU29" s="85">
        <v>2.81</v>
      </c>
      <c r="BV29" s="85">
        <v>2.94</v>
      </c>
      <c r="BW29" s="85"/>
      <c r="BX29" s="85"/>
      <c r="CA29" s="97"/>
      <c r="CB29" s="97"/>
      <c r="CC29" s="97"/>
      <c r="CD29" s="97"/>
      <c r="CE29" s="97"/>
      <c r="CF29" s="97"/>
      <c r="CG29" s="97"/>
      <c r="CH29" s="97"/>
      <c r="CI29" s="97"/>
      <c r="CJ29" s="97"/>
      <c r="CK29" s="97"/>
      <c r="CL29" s="97"/>
      <c r="CM29" s="97"/>
      <c r="CN29" s="97"/>
      <c r="CO29" s="97"/>
      <c r="CP29" s="97"/>
      <c r="CQ29" s="97"/>
      <c r="CR29" s="97"/>
      <c r="CT29" s="98"/>
      <c r="CU29" s="98"/>
      <c r="CV29" s="98"/>
      <c r="CX29" s="99"/>
      <c r="CY29" s="1"/>
      <c r="CZ29" s="1"/>
      <c r="DA29" s="97"/>
      <c r="DB29" s="98"/>
      <c r="DC29" s="98"/>
      <c r="DD29" s="98"/>
      <c r="DE29" s="98"/>
      <c r="DF29" s="98"/>
      <c r="DG29" s="98"/>
      <c r="DH29" s="98"/>
      <c r="DI29" s="98"/>
      <c r="DJ29" s="98"/>
      <c r="DK29" s="98"/>
      <c r="DL29" s="98"/>
      <c r="DM29" s="1"/>
      <c r="DN29" s="100"/>
      <c r="DQ29" s="100"/>
      <c r="DR29" s="100"/>
      <c r="EA29" s="101" t="s">
        <v>194</v>
      </c>
      <c r="EB29" s="101"/>
      <c r="EC29" s="97"/>
      <c r="ED29" s="97"/>
      <c r="EE29" s="97"/>
      <c r="EF29" s="102">
        <v>25.4</v>
      </c>
      <c r="EG29" s="26"/>
      <c r="EH29" s="97"/>
      <c r="EJ29" s="100"/>
      <c r="EK29" s="100"/>
      <c r="EL29" s="100"/>
      <c r="EM29" s="100"/>
      <c r="EN29" s="100"/>
      <c r="EO29" s="100"/>
      <c r="EP29" s="100"/>
      <c r="FI29" s="35" t="str">
        <f>$EA29</f>
        <v>3Q17</v>
      </c>
      <c r="FJ29" s="103"/>
      <c r="FK29" s="103"/>
      <c r="FL29" s="26"/>
      <c r="FM29" s="104"/>
      <c r="FN29" s="104">
        <f>YEAR(FP29)</f>
        <v>2009</v>
      </c>
      <c r="FO29" s="104">
        <f>WEEKNUM(FP29)</f>
        <v>5</v>
      </c>
      <c r="FP29" s="35">
        <v>39844</v>
      </c>
      <c r="FQ29" s="26">
        <v>0.919333333333333</v>
      </c>
      <c r="FR29" s="59">
        <f>FQ29*8</f>
        <v>7.35466666666666</v>
      </c>
      <c r="FS29" s="104">
        <f>YEAR(FU29)</f>
        <v>2009</v>
      </c>
      <c r="FT29" s="104">
        <f t="shared" ref="FT29:FT51" si="6">WEEKNUM(FU29)</f>
        <v>5</v>
      </c>
      <c r="FU29" s="35">
        <v>39844</v>
      </c>
      <c r="FV29" s="26">
        <v>0.81</v>
      </c>
      <c r="FW29" s="94">
        <f>FV29*8</f>
        <v>6.48</v>
      </c>
      <c r="FX29" s="104">
        <f>YEAR(FZ29)</f>
        <v>2010</v>
      </c>
      <c r="FY29" s="104">
        <f t="shared" ref="FY29:FY51" si="7">WEEKNUM(FZ29)</f>
        <v>40</v>
      </c>
      <c r="FZ29" s="35">
        <v>40450</v>
      </c>
      <c r="GA29" s="26">
        <v>4.15</v>
      </c>
      <c r="GB29" s="94">
        <f>GA29*4</f>
        <v>16.6</v>
      </c>
      <c r="GC29" s="104">
        <f>YEAR(GE29)</f>
        <v>2010</v>
      </c>
      <c r="GD29" s="104">
        <f t="shared" ref="GD29:GD51" si="8">WEEKNUM(GE29)</f>
        <v>38</v>
      </c>
      <c r="GE29" s="35">
        <v>40436</v>
      </c>
      <c r="GF29" s="26">
        <v>4.34</v>
      </c>
      <c r="GG29" s="94">
        <f>GF29*4</f>
        <v>17.36</v>
      </c>
      <c r="GH29" s="104">
        <f>YEAR(GJ29)</f>
        <v>2013</v>
      </c>
      <c r="GI29" s="104">
        <f t="shared" ref="GI29:GI51" si="9">WEEKNUM(GJ29)</f>
        <v>1</v>
      </c>
      <c r="GJ29" s="35">
        <v>41276</v>
      </c>
      <c r="GK29" s="26">
        <v>2.27</v>
      </c>
      <c r="GL29" s="94">
        <f>GK29*2</f>
        <v>4.54</v>
      </c>
      <c r="GM29" s="104">
        <f>YEAR(GO29)</f>
        <v>2012</v>
      </c>
      <c r="GN29" s="104">
        <f t="shared" ref="GN29:GN51" si="10">WEEKNUM(GO29)</f>
        <v>48</v>
      </c>
      <c r="GO29" s="35">
        <v>41242</v>
      </c>
      <c r="GP29" s="26">
        <v>1.59</v>
      </c>
      <c r="GQ29" s="94">
        <f>GP29*2</f>
        <v>3.18</v>
      </c>
      <c r="GR29" s="59"/>
    </row>
    <row r="30" ht="16" spans="2:200">
      <c r="C30" s="80" t="str" cm="1">
        <f t="array" ref="C30">_xlfn.IFS(MONTH(D30)&lt;4,1,MONTH(D30)&lt;7,2,MONTH(D30)&lt;10,3,MONTH(D30)&gt;9,4)&amp;"Q"&amp;RIGHT(YEAR(D30),2)</f>
        <v>1Q16</v>
      </c>
      <c r="D30" s="81">
        <f t="shared" ref="D30:D93" si="11">EOMONTH(E30,0)</f>
        <v>42429</v>
      </c>
      <c r="E30" s="82">
        <f t="shared" si="3"/>
        <v>42426</v>
      </c>
      <c r="F30" s="83">
        <f t="shared" si="4"/>
        <v>0.601625</v>
      </c>
      <c r="G30" s="83">
        <f t="shared" si="4"/>
        <v>0.42</v>
      </c>
      <c r="H30" s="81"/>
      <c r="I30" s="84">
        <v>42426</v>
      </c>
      <c r="J30" s="85">
        <v>5.05</v>
      </c>
      <c r="K30" s="85">
        <v>4.6</v>
      </c>
      <c r="L30" s="86">
        <v>4.813</v>
      </c>
      <c r="M30" s="87">
        <v>3.36</v>
      </c>
      <c r="N30" s="88"/>
      <c r="O30" s="88"/>
      <c r="P30" s="88"/>
      <c r="Q30" s="89">
        <f t="shared" si="5"/>
        <v>0.432440476190476</v>
      </c>
      <c r="R30" s="5"/>
      <c r="S30" s="5"/>
      <c r="T30" s="5"/>
      <c r="U30" s="5"/>
      <c r="V30" s="5"/>
      <c r="W30" s="5"/>
      <c r="X30" s="5"/>
      <c r="Y30" s="5"/>
      <c r="Z30" s="5"/>
      <c r="AA30" s="5"/>
      <c r="AB30" s="5"/>
      <c r="AC30" s="5"/>
      <c r="AD30" s="5"/>
      <c r="AE30" s="5"/>
      <c r="AF30" s="5"/>
      <c r="AG30" s="5"/>
      <c r="AH30" s="105">
        <f>WORKDAY(AH29,6)</f>
        <v>42436</v>
      </c>
      <c r="AI30" s="91">
        <f t="shared" ref="AI30:AI93" si="12">IFERROR(VLOOKUP(AH30,$I:$L,4,FALSE),VLOOKUP(AH30,$I:$L,4,TRUE))</f>
        <v>4.707</v>
      </c>
      <c r="AJ30" s="36">
        <f t="shared" ref="AJ30:AJ93" si="13">AI30/AI29-1</f>
        <v>-0.0220236858508207</v>
      </c>
      <c r="AK30" s="36"/>
      <c r="AL30" s="105"/>
      <c r="AM30" s="91"/>
      <c r="AN30" s="36"/>
      <c r="AO30" s="36"/>
      <c r="AP30" s="36"/>
      <c r="AQ30" s="92" t="str" cm="1">
        <f t="array" ref="AQ30">_xlfn.IFS(MONTH(AR30)&lt;4,1,MONTH(AR30)&lt;7,2,MONTH(AR30)&lt;10,3,MONTH(AR30)&gt;9,4)&amp;"Q"&amp;RIGHT(YEAR(AR30),2)</f>
        <v>1Q19</v>
      </c>
      <c r="AR30" s="92">
        <f t="shared" ref="AR30:AR93" si="14">EOMONTH(AS30,0)</f>
        <v>43496</v>
      </c>
      <c r="AS30" s="93">
        <v>43493</v>
      </c>
      <c r="AT30" s="5"/>
      <c r="AU30" s="94" cm="1">
        <f t="array" ref="AU30">INDEX($CE$29:$CE$1449,MATCH($AR30,$CA$29:$CA$1449,0),)</f>
        <v>232.87</v>
      </c>
      <c r="AV30" s="5"/>
      <c r="AW30" s="94" cm="1">
        <f t="array" ref="AW30">INDEX($CF$29:$CF$1449,MATCH($AR30,$CA$29:$CA$1449,0),)</f>
        <v>475</v>
      </c>
      <c r="AX30" s="94"/>
      <c r="AY30" s="94"/>
      <c r="AZ30" s="94"/>
      <c r="BA30" s="94"/>
      <c r="BB30" s="5"/>
      <c r="BC30" s="5"/>
      <c r="BD30" s="5"/>
      <c r="BE30" s="5"/>
      <c r="BF30" s="5"/>
      <c r="BG30" s="5"/>
      <c r="BH30" s="5"/>
      <c r="BI30" s="5"/>
      <c r="BJ30" s="5"/>
      <c r="BK30" s="5"/>
      <c r="BL30" s="5"/>
      <c r="BM30" s="5"/>
      <c r="BN30" s="5"/>
      <c r="BO30" s="5"/>
      <c r="BP30" s="5"/>
      <c r="BQ30" s="95" t="str" cm="1">
        <f t="array" ref="BQ30">_xlfn.IFS(MONTH(BR30)&lt;4,1,MONTH(BR30)&lt;7,2,MONTH(BR30)&lt;10,3,MONTH(BR30)&gt;9,4)&amp;"Q"&amp;RIGHT(YEAR(BR30),2)</f>
        <v>3Q16</v>
      </c>
      <c r="BR30" s="81">
        <f t="shared" ref="BR30:BR93" si="15">EOMONTH(BS30,0)</f>
        <v>42582</v>
      </c>
      <c r="BS30" s="106">
        <f t="shared" ref="BS30:BS93" si="16">EOMONTH(BS29,1)</f>
        <v>42582</v>
      </c>
      <c r="BT30" s="85">
        <v>3.06</v>
      </c>
      <c r="BU30" s="85">
        <v>2.94</v>
      </c>
      <c r="BV30" s="85">
        <v>3</v>
      </c>
      <c r="BW30" s="85"/>
      <c r="BX30" s="85"/>
      <c r="CA30" s="97"/>
      <c r="CB30" s="97"/>
      <c r="CC30" s="97"/>
      <c r="CD30" s="97"/>
      <c r="CE30" s="97"/>
      <c r="CF30" s="97"/>
      <c r="CG30" s="97"/>
      <c r="CH30" s="97"/>
      <c r="CI30" s="97"/>
      <c r="CJ30" s="97"/>
      <c r="CK30" s="97"/>
      <c r="CL30" s="97"/>
      <c r="CM30" s="97"/>
      <c r="CN30" s="97"/>
      <c r="CO30" s="97"/>
      <c r="CP30" s="97"/>
      <c r="CQ30" s="97"/>
      <c r="CR30" s="97"/>
      <c r="CT30" s="98"/>
      <c r="CU30" s="98"/>
      <c r="CV30" s="98"/>
      <c r="CX30" s="99"/>
      <c r="CY30" s="1"/>
      <c r="CZ30" s="1"/>
      <c r="DA30" s="97"/>
      <c r="DB30" s="98"/>
      <c r="DC30" s="98"/>
      <c r="DD30" s="98"/>
      <c r="DE30" s="98"/>
      <c r="DF30" s="98"/>
      <c r="DG30" s="98"/>
      <c r="DH30" s="98"/>
      <c r="DI30" s="98"/>
      <c r="DJ30" s="98"/>
      <c r="DK30" s="98"/>
      <c r="DL30" s="98"/>
      <c r="DM30" s="1"/>
      <c r="DN30" s="100"/>
      <c r="DQ30" s="100"/>
      <c r="DR30" s="100"/>
      <c r="EA30" s="101" t="s">
        <v>195</v>
      </c>
      <c r="EB30" s="101"/>
      <c r="EC30" s="97"/>
      <c r="ED30" s="97"/>
      <c r="EE30" s="97"/>
      <c r="EF30" s="102">
        <v>28.1</v>
      </c>
      <c r="EG30" s="102">
        <v>50.9</v>
      </c>
      <c r="EH30" s="97"/>
      <c r="EJ30" s="107"/>
      <c r="EK30" s="107"/>
      <c r="EL30" s="107"/>
      <c r="EM30" s="107"/>
      <c r="EN30" s="107"/>
      <c r="EO30" s="107"/>
      <c r="EP30" s="100"/>
      <c r="FI30" s="35" t="str">
        <f t="shared" ref="FI30:FI49" si="17">$EA30</f>
        <v>4Q17</v>
      </c>
      <c r="FJ30" s="103"/>
      <c r="FK30" s="103"/>
      <c r="FL30" s="26">
        <v>32</v>
      </c>
      <c r="FM30" s="104"/>
      <c r="FN30" s="104">
        <f t="shared" ref="FN30:FN51" si="18">YEAR(FP30)</f>
        <v>2009</v>
      </c>
      <c r="FO30" s="104">
        <f t="shared" ref="FO30:FO51" si="19">WEEKNUM(FP30)</f>
        <v>9</v>
      </c>
      <c r="FP30" s="35">
        <v>39872</v>
      </c>
      <c r="FQ30" s="26">
        <v>1.0365</v>
      </c>
      <c r="FR30" s="59">
        <f t="shared" ref="FR30:FR51" si="20">FQ30*8</f>
        <v>8.292</v>
      </c>
      <c r="FS30" s="104">
        <f t="shared" ref="FS30:FS51" si="21">YEAR(FU30)</f>
        <v>2009</v>
      </c>
      <c r="FT30" s="104">
        <f t="shared" si="6"/>
        <v>9</v>
      </c>
      <c r="FU30" s="35">
        <v>39872</v>
      </c>
      <c r="FV30" s="26">
        <v>0.88</v>
      </c>
      <c r="FW30" s="94">
        <f t="shared" ref="FW30:FW51" si="22">FV30*8</f>
        <v>7.04</v>
      </c>
      <c r="FX30" s="104">
        <f t="shared" ref="FX30:FX51" si="23">YEAR(FZ30)</f>
        <v>2010</v>
      </c>
      <c r="FY30" s="104">
        <f t="shared" si="7"/>
        <v>40</v>
      </c>
      <c r="FZ30" s="35">
        <v>40451</v>
      </c>
      <c r="GA30" s="26">
        <v>4.1</v>
      </c>
      <c r="GB30" s="94">
        <f t="shared" ref="GB30:GB51" si="24">GA30*4</f>
        <v>16.4</v>
      </c>
      <c r="GC30" s="104">
        <f t="shared" ref="GC30:GC51" si="25">YEAR(GE30)</f>
        <v>2010</v>
      </c>
      <c r="GD30" s="104">
        <f t="shared" si="8"/>
        <v>40</v>
      </c>
      <c r="GE30" s="35">
        <v>40451</v>
      </c>
      <c r="GF30" s="26">
        <v>4.09</v>
      </c>
      <c r="GG30" s="94">
        <f t="shared" ref="GG30:GG51" si="26">GF30*4</f>
        <v>16.36</v>
      </c>
      <c r="GH30" s="104">
        <f t="shared" ref="GH30:GH51" si="27">YEAR(GJ30)</f>
        <v>2013</v>
      </c>
      <c r="GI30" s="104">
        <f t="shared" si="9"/>
        <v>1</v>
      </c>
      <c r="GJ30" s="35">
        <v>41277</v>
      </c>
      <c r="GK30" s="26">
        <v>2.291</v>
      </c>
      <c r="GL30" s="94">
        <f t="shared" ref="GL30:GL51" si="28">GK30*2</f>
        <v>4.582</v>
      </c>
      <c r="GM30" s="104">
        <f t="shared" ref="GM30:GM51" si="29">YEAR(GO30)</f>
        <v>2012</v>
      </c>
      <c r="GN30" s="104">
        <f t="shared" si="10"/>
        <v>50</v>
      </c>
      <c r="GO30" s="35">
        <v>41257</v>
      </c>
      <c r="GP30" s="26">
        <v>1.63</v>
      </c>
      <c r="GQ30" s="94">
        <f t="shared" ref="GQ30:GQ51" si="30">GP30*2</f>
        <v>3.26</v>
      </c>
      <c r="GR30" s="59"/>
    </row>
    <row r="31" ht="16" spans="2:200">
      <c r="C31" s="80" t="str" cm="1">
        <f t="array" ref="C31">_xlfn.IFS(MONTH(D31)&lt;4,1,MONTH(D31)&lt;7,2,MONTH(D31)&lt;10,3,MONTH(D31)&gt;9,4)&amp;"Q"&amp;RIGHT(YEAR(D31),2)</f>
        <v>1Q16</v>
      </c>
      <c r="D31" s="81">
        <f t="shared" si="11"/>
        <v>42429</v>
      </c>
      <c r="E31" s="82">
        <f t="shared" si="3"/>
        <v>42429</v>
      </c>
      <c r="F31" s="83">
        <f t="shared" si="4"/>
        <v>0.599375</v>
      </c>
      <c r="G31" s="83">
        <f t="shared" si="4"/>
        <v>0.42</v>
      </c>
      <c r="H31" s="81"/>
      <c r="I31" s="84">
        <v>42429</v>
      </c>
      <c r="J31" s="85">
        <v>5</v>
      </c>
      <c r="K31" s="85">
        <v>4.6</v>
      </c>
      <c r="L31" s="86">
        <v>4.795</v>
      </c>
      <c r="M31" s="87">
        <v>3.36</v>
      </c>
      <c r="N31" s="88"/>
      <c r="O31" s="88"/>
      <c r="P31" s="88"/>
      <c r="Q31" s="89">
        <f t="shared" si="5"/>
        <v>0.427083333333333</v>
      </c>
      <c r="R31" s="5"/>
      <c r="S31" s="5"/>
      <c r="T31" s="5"/>
      <c r="U31" s="5"/>
      <c r="V31" s="5"/>
      <c r="W31" s="5"/>
      <c r="X31" s="5"/>
      <c r="Y31" s="5"/>
      <c r="Z31" s="5"/>
      <c r="AA31" s="5"/>
      <c r="AB31" s="5"/>
      <c r="AC31" s="5"/>
      <c r="AD31" s="5"/>
      <c r="AE31" s="5"/>
      <c r="AF31" s="5"/>
      <c r="AG31" s="5"/>
      <c r="AH31" s="105">
        <f t="shared" ref="AH31:AH39" si="31">WORKDAY(AH30,6)</f>
        <v>42444</v>
      </c>
      <c r="AI31" s="91">
        <f t="shared" si="12"/>
        <v>4.695</v>
      </c>
      <c r="AJ31" s="36">
        <f t="shared" si="13"/>
        <v>-0.00254939451880165</v>
      </c>
      <c r="AK31" s="36">
        <f t="shared" ref="AK31:AK94" si="32">AI31/AI29-1</f>
        <v>-0.0245169333056304</v>
      </c>
      <c r="AL31" s="105"/>
      <c r="AM31" s="91"/>
      <c r="AN31" s="36"/>
      <c r="AO31" s="36"/>
      <c r="AP31" s="36"/>
      <c r="AQ31" s="92" t="str" cm="1">
        <f t="array" ref="AQ31">_xlfn.IFS(MONTH(AR31)&lt;4,1,MONTH(AR31)&lt;7,2,MONTH(AR31)&lt;10,3,MONTH(AR31)&gt;9,4)&amp;"Q"&amp;RIGHT(YEAR(AR31),2)</f>
        <v>1Q19</v>
      </c>
      <c r="AR31" s="92">
        <f t="shared" si="14"/>
        <v>43524</v>
      </c>
      <c r="AS31" s="93">
        <v>43507</v>
      </c>
      <c r="AT31" s="5"/>
      <c r="AU31" s="94" cm="1">
        <f t="array" ref="AU31">INDEX($CE$29:$CE$1449,MATCH($AR31,$CA$29:$CA$1449,0),)</f>
        <v>209.58</v>
      </c>
      <c r="AV31" s="5"/>
      <c r="AW31" s="94" cm="1">
        <f t="array" ref="AW31">INDEX($CF$29:$CF$1449,MATCH($AR31,$CA$29:$CA$1449,0),)</f>
        <v>420</v>
      </c>
      <c r="AX31" s="94"/>
      <c r="AY31" s="94"/>
      <c r="AZ31" s="94"/>
      <c r="BA31" s="94"/>
      <c r="BB31" s="5"/>
      <c r="BC31" s="5"/>
      <c r="BD31" s="5"/>
      <c r="BE31" s="5"/>
      <c r="BF31" s="5"/>
      <c r="BG31" s="5"/>
      <c r="BH31" s="5"/>
      <c r="BI31" s="5"/>
      <c r="BJ31" s="5"/>
      <c r="BK31" s="5"/>
      <c r="BL31" s="5"/>
      <c r="BM31" s="5"/>
      <c r="BN31" s="5"/>
      <c r="BO31" s="5"/>
      <c r="BP31" s="5"/>
      <c r="BQ31" s="95" t="str" cm="1">
        <f t="array" ref="BQ31">_xlfn.IFS(MONTH(BR31)&lt;4,1,MONTH(BR31)&lt;7,2,MONTH(BR31)&lt;10,3,MONTH(BR31)&gt;9,4)&amp;"Q"&amp;RIGHT(YEAR(BR31),2)</f>
        <v>3Q16</v>
      </c>
      <c r="BR31" s="81">
        <f t="shared" si="15"/>
        <v>42613</v>
      </c>
      <c r="BS31" s="96">
        <f t="shared" si="16"/>
        <v>42613</v>
      </c>
      <c r="BT31" s="85">
        <v>3.19</v>
      </c>
      <c r="BU31" s="85">
        <v>2.94</v>
      </c>
      <c r="BV31" s="85">
        <v>3.06</v>
      </c>
      <c r="BW31" s="85"/>
      <c r="BX31" s="85"/>
      <c r="CA31" s="97"/>
      <c r="CB31" s="97"/>
      <c r="CC31" s="97"/>
      <c r="CD31" s="97"/>
      <c r="CE31" s="97"/>
      <c r="CF31" s="97"/>
      <c r="CG31" s="97"/>
      <c r="CH31" s="97"/>
      <c r="CI31" s="97"/>
      <c r="CJ31" s="97"/>
      <c r="CK31" s="97"/>
      <c r="CL31" s="97"/>
      <c r="CM31" s="97"/>
      <c r="CN31" s="97"/>
      <c r="CO31" s="97"/>
      <c r="CP31" s="97"/>
      <c r="CQ31" s="97"/>
      <c r="CR31" s="97"/>
      <c r="CT31" s="98"/>
      <c r="CU31" s="98"/>
      <c r="CV31" s="98"/>
      <c r="CX31" s="99"/>
      <c r="CY31" s="1"/>
      <c r="CZ31" s="1"/>
      <c r="DA31" s="97"/>
      <c r="DB31" s="98"/>
      <c r="DC31" s="98"/>
      <c r="DD31" s="98"/>
      <c r="DE31" s="98"/>
      <c r="DF31" s="98"/>
      <c r="DG31" s="98"/>
      <c r="DH31" s="98"/>
      <c r="DI31" s="98"/>
      <c r="DJ31" s="98"/>
      <c r="DK31" s="98"/>
      <c r="DL31" s="98"/>
      <c r="DM31" s="1"/>
      <c r="DN31" s="100"/>
      <c r="DQ31" s="100"/>
      <c r="DR31" s="100"/>
      <c r="EA31" s="101" t="s">
        <v>196</v>
      </c>
      <c r="EB31" s="101"/>
      <c r="EC31" s="97"/>
      <c r="ED31" s="97"/>
      <c r="EE31" s="97"/>
      <c r="EF31" s="102">
        <v>29.6</v>
      </c>
      <c r="EG31" s="102">
        <v>53</v>
      </c>
      <c r="EH31" s="97"/>
      <c r="EJ31" s="107"/>
      <c r="EK31" s="107"/>
      <c r="EL31" s="107"/>
      <c r="EM31" s="107"/>
      <c r="EN31" s="108">
        <f t="shared" ref="EN31:EP46" si="33">EF31/EF30-1</f>
        <v>0.0533807829181494</v>
      </c>
      <c r="EO31" s="108">
        <f t="shared" si="33"/>
        <v>0.0412573673870333</v>
      </c>
      <c r="EP31" s="100"/>
      <c r="FI31" s="35" t="str">
        <f t="shared" si="17"/>
        <v>1Q18</v>
      </c>
      <c r="FJ31" s="103"/>
      <c r="FK31" s="103"/>
      <c r="FL31" s="26">
        <v>33.6</v>
      </c>
      <c r="FM31" s="104"/>
      <c r="FN31" s="104">
        <f t="shared" si="18"/>
        <v>2009</v>
      </c>
      <c r="FO31" s="104">
        <f t="shared" si="19"/>
        <v>14</v>
      </c>
      <c r="FP31" s="35">
        <v>39903</v>
      </c>
      <c r="FQ31" s="26">
        <v>0.856363636363636</v>
      </c>
      <c r="FR31" s="59">
        <f t="shared" si="20"/>
        <v>6.85090909090909</v>
      </c>
      <c r="FS31" s="104">
        <f t="shared" si="21"/>
        <v>2009</v>
      </c>
      <c r="FT31" s="104">
        <f t="shared" si="6"/>
        <v>14</v>
      </c>
      <c r="FU31" s="35">
        <v>39903</v>
      </c>
      <c r="FV31" s="26">
        <v>0.88</v>
      </c>
      <c r="FW31" s="94">
        <f t="shared" si="22"/>
        <v>7.04</v>
      </c>
      <c r="FX31" s="104">
        <f t="shared" si="23"/>
        <v>2010</v>
      </c>
      <c r="FY31" s="104">
        <f t="shared" si="7"/>
        <v>40</v>
      </c>
      <c r="FZ31" s="35">
        <v>40452</v>
      </c>
      <c r="GA31" s="26">
        <v>4.09</v>
      </c>
      <c r="GB31" s="94">
        <f t="shared" si="24"/>
        <v>16.36</v>
      </c>
      <c r="GC31" s="104">
        <f t="shared" si="25"/>
        <v>2010</v>
      </c>
      <c r="GD31" s="104">
        <f t="shared" si="8"/>
        <v>42</v>
      </c>
      <c r="GE31" s="35">
        <v>40465</v>
      </c>
      <c r="GF31" s="26">
        <v>3.78</v>
      </c>
      <c r="GG31" s="94">
        <f t="shared" si="26"/>
        <v>15.12</v>
      </c>
      <c r="GH31" s="104">
        <f t="shared" si="27"/>
        <v>2013</v>
      </c>
      <c r="GI31" s="104">
        <f t="shared" si="9"/>
        <v>1</v>
      </c>
      <c r="GJ31" s="35">
        <v>41278</v>
      </c>
      <c r="GK31" s="26">
        <v>2.294</v>
      </c>
      <c r="GL31" s="94">
        <f t="shared" si="28"/>
        <v>4.588</v>
      </c>
      <c r="GM31" s="104">
        <f t="shared" si="29"/>
        <v>2012</v>
      </c>
      <c r="GN31" s="104">
        <f t="shared" si="10"/>
        <v>52</v>
      </c>
      <c r="GO31" s="35">
        <v>41271</v>
      </c>
      <c r="GP31" s="26">
        <v>1.66</v>
      </c>
      <c r="GQ31" s="94">
        <f t="shared" si="30"/>
        <v>3.32</v>
      </c>
      <c r="GR31" s="59"/>
    </row>
    <row r="32" ht="16" spans="2:200">
      <c r="C32" s="80" t="str" cm="1">
        <f t="array" ref="C32">_xlfn.IFS(MONTH(D32)&lt;4,1,MONTH(D32)&lt;7,2,MONTH(D32)&lt;10,3,MONTH(D32)&gt;9,4)&amp;"Q"&amp;RIGHT(YEAR(D32),2)</f>
        <v>1Q16</v>
      </c>
      <c r="D32" s="81">
        <f t="shared" si="11"/>
        <v>42460</v>
      </c>
      <c r="E32" s="82">
        <f t="shared" si="3"/>
        <v>42430</v>
      </c>
      <c r="F32" s="83">
        <f t="shared" si="4"/>
        <v>0.58875</v>
      </c>
      <c r="G32" s="83">
        <f t="shared" si="4"/>
        <v>0.4032</v>
      </c>
      <c r="H32" s="81"/>
      <c r="I32" s="84">
        <v>42430</v>
      </c>
      <c r="J32" s="85">
        <v>4.9</v>
      </c>
      <c r="K32" s="85">
        <v>4.6</v>
      </c>
      <c r="L32" s="86">
        <v>4.71</v>
      </c>
      <c r="M32" s="87">
        <v>3.2256</v>
      </c>
      <c r="N32" s="88"/>
      <c r="O32" s="88"/>
      <c r="P32" s="88"/>
      <c r="Q32" s="89">
        <f t="shared" si="5"/>
        <v>0.460193452380952</v>
      </c>
      <c r="R32" s="5"/>
      <c r="S32" s="5"/>
      <c r="T32" s="5"/>
      <c r="U32" s="5"/>
      <c r="V32" s="5"/>
      <c r="W32" s="5"/>
      <c r="X32" s="5"/>
      <c r="Y32" s="5"/>
      <c r="Z32" s="5"/>
      <c r="AA32" s="5"/>
      <c r="AB32" s="5"/>
      <c r="AC32" s="5"/>
      <c r="AD32" s="5"/>
      <c r="AE32" s="5"/>
      <c r="AF32" s="5"/>
      <c r="AG32" s="5"/>
      <c r="AH32" s="105">
        <f t="shared" si="31"/>
        <v>42452</v>
      </c>
      <c r="AI32" s="91">
        <f t="shared" si="12"/>
        <v>4.693</v>
      </c>
      <c r="AJ32" s="36">
        <f t="shared" si="13"/>
        <v>-0.000425985090521941</v>
      </c>
      <c r="AK32" s="36">
        <f t="shared" si="32"/>
        <v>-0.0029742936052688</v>
      </c>
      <c r="AL32" s="105"/>
      <c r="AM32" s="91"/>
      <c r="AN32" s="36"/>
      <c r="AO32" s="36"/>
      <c r="AP32" s="36"/>
      <c r="AQ32" s="92" t="str" cm="1">
        <f t="array" ref="AQ32">_xlfn.IFS(MONTH(AR32)&lt;4,1,MONTH(AR32)&lt;7,2,MONTH(AR32)&lt;10,3,MONTH(AR32)&gt;9,4)&amp;"Q"&amp;RIGHT(YEAR(AR32),2)</f>
        <v>1Q19</v>
      </c>
      <c r="AR32" s="92">
        <f t="shared" si="14"/>
        <v>43524</v>
      </c>
      <c r="AS32" s="93">
        <v>43514</v>
      </c>
      <c r="AT32" s="5"/>
      <c r="AU32" s="94" cm="1">
        <f t="array" ref="AU32">INDEX($CE$29:$CE$1449,MATCH($AR32,$CA$29:$CA$1449,0),)</f>
        <v>209.58</v>
      </c>
      <c r="AV32" s="5"/>
      <c r="AW32" s="94" cm="1">
        <f t="array" ref="AW32">INDEX($CF$29:$CF$1449,MATCH($AR32,$CA$29:$CA$1449,0),)</f>
        <v>420</v>
      </c>
      <c r="AX32" s="94"/>
      <c r="AY32" s="94"/>
      <c r="AZ32" s="94"/>
      <c r="BA32" s="94"/>
      <c r="BB32" s="5"/>
      <c r="BC32" s="5"/>
      <c r="BD32" s="5"/>
      <c r="BE32" s="5"/>
      <c r="BF32" s="5"/>
      <c r="BG32" s="5"/>
      <c r="BH32" s="5"/>
      <c r="BI32" s="5"/>
      <c r="BJ32" s="5"/>
      <c r="BK32" s="5"/>
      <c r="BL32" s="5"/>
      <c r="BM32" s="5"/>
      <c r="BN32" s="5"/>
      <c r="BO32" s="5"/>
      <c r="BP32" s="5"/>
      <c r="BQ32" s="95" t="str" cm="1">
        <f t="array" ref="BQ32">_xlfn.IFS(MONTH(BR32)&lt;4,1,MONTH(BR32)&lt;7,2,MONTH(BR32)&lt;10,3,MONTH(BR32)&gt;9,4)&amp;"Q"&amp;RIGHT(YEAR(BR32),2)</f>
        <v>3Q16</v>
      </c>
      <c r="BR32" s="81">
        <f t="shared" si="15"/>
        <v>42643</v>
      </c>
      <c r="BS32" s="96">
        <f t="shared" si="16"/>
        <v>42643</v>
      </c>
      <c r="BT32" s="85">
        <v>3.44</v>
      </c>
      <c r="BU32" s="85">
        <v>3.19</v>
      </c>
      <c r="BV32" s="85">
        <v>3.31</v>
      </c>
      <c r="BW32" s="85"/>
      <c r="BX32" s="85"/>
      <c r="CA32" s="97"/>
      <c r="CB32" s="97"/>
      <c r="CC32" s="97"/>
      <c r="CD32" s="97"/>
      <c r="CE32" s="97"/>
      <c r="CF32" s="97"/>
      <c r="CG32" s="97"/>
      <c r="CH32" s="97"/>
      <c r="CI32" s="97"/>
      <c r="CJ32" s="97"/>
      <c r="CK32" s="97"/>
      <c r="CL32" s="97"/>
      <c r="CM32" s="97"/>
      <c r="CN32" s="97"/>
      <c r="CO32" s="97"/>
      <c r="CP32" s="97"/>
      <c r="CQ32" s="97"/>
      <c r="CR32" s="97"/>
      <c r="CT32" s="98"/>
      <c r="CU32" s="98"/>
      <c r="CV32" s="98"/>
      <c r="CX32" s="99"/>
      <c r="CY32" s="1"/>
      <c r="CZ32" s="1"/>
      <c r="DA32" s="97"/>
      <c r="DB32" s="98"/>
      <c r="DC32" s="98"/>
      <c r="DD32" s="98"/>
      <c r="DE32" s="98"/>
      <c r="DF32" s="98"/>
      <c r="DG32" s="98"/>
      <c r="DH32" s="98"/>
      <c r="DI32" s="98"/>
      <c r="DJ32" s="98"/>
      <c r="DK32" s="98"/>
      <c r="DL32" s="98"/>
      <c r="DM32" s="1"/>
      <c r="DN32" s="100"/>
      <c r="DQ32" s="100"/>
      <c r="DR32" s="100"/>
      <c r="EA32" s="101" t="s">
        <v>197</v>
      </c>
      <c r="EB32" s="101"/>
      <c r="EC32" s="97"/>
      <c r="ED32" s="97"/>
      <c r="EE32" s="97"/>
      <c r="EF32" s="102">
        <v>29.7</v>
      </c>
      <c r="EG32" s="102">
        <v>51</v>
      </c>
      <c r="EH32" s="97"/>
      <c r="EJ32" s="107"/>
      <c r="EK32" s="107"/>
      <c r="EL32" s="107"/>
      <c r="EM32" s="107"/>
      <c r="EN32" s="108">
        <f t="shared" si="33"/>
        <v>0.00337837837837829</v>
      </c>
      <c r="EO32" s="108">
        <f t="shared" si="33"/>
        <v>-0.0377358490566038</v>
      </c>
      <c r="EP32" s="100"/>
      <c r="FI32" s="35" t="str">
        <f t="shared" si="17"/>
        <v>2Q18</v>
      </c>
      <c r="FJ32" s="103"/>
      <c r="FK32" s="103"/>
      <c r="FL32" s="26">
        <v>32.5</v>
      </c>
      <c r="FM32" s="104"/>
      <c r="FN32" s="104">
        <f t="shared" si="18"/>
        <v>2009</v>
      </c>
      <c r="FO32" s="104">
        <f t="shared" si="19"/>
        <v>18</v>
      </c>
      <c r="FP32" s="35">
        <v>39933</v>
      </c>
      <c r="FQ32" s="26">
        <v>1.09772727272727</v>
      </c>
      <c r="FR32" s="59">
        <f t="shared" si="20"/>
        <v>8.78181818181818</v>
      </c>
      <c r="FS32" s="104">
        <f t="shared" si="21"/>
        <v>2009</v>
      </c>
      <c r="FT32" s="104">
        <f t="shared" si="6"/>
        <v>18</v>
      </c>
      <c r="FU32" s="35">
        <v>39933</v>
      </c>
      <c r="FV32" s="26">
        <v>0.91</v>
      </c>
      <c r="FW32" s="94">
        <f t="shared" si="22"/>
        <v>7.28</v>
      </c>
      <c r="FX32" s="104">
        <f t="shared" si="23"/>
        <v>2010</v>
      </c>
      <c r="FY32" s="104">
        <f t="shared" si="7"/>
        <v>41</v>
      </c>
      <c r="FZ32" s="35">
        <v>40455</v>
      </c>
      <c r="GA32" s="26">
        <v>4.04</v>
      </c>
      <c r="GB32" s="94">
        <f t="shared" si="24"/>
        <v>16.16</v>
      </c>
      <c r="GC32" s="104">
        <f t="shared" si="25"/>
        <v>2010</v>
      </c>
      <c r="GD32" s="104">
        <f t="shared" si="8"/>
        <v>44</v>
      </c>
      <c r="GE32" s="35">
        <v>40480</v>
      </c>
      <c r="GF32" s="26">
        <v>3.22</v>
      </c>
      <c r="GG32" s="94">
        <f t="shared" si="26"/>
        <v>12.88</v>
      </c>
      <c r="GH32" s="104">
        <f t="shared" si="27"/>
        <v>2013</v>
      </c>
      <c r="GI32" s="104">
        <f t="shared" si="9"/>
        <v>2</v>
      </c>
      <c r="GJ32" s="35">
        <v>41281</v>
      </c>
      <c r="GK32" s="26">
        <v>2.296</v>
      </c>
      <c r="GL32" s="94">
        <f t="shared" si="28"/>
        <v>4.592</v>
      </c>
      <c r="GM32" s="104">
        <f t="shared" si="29"/>
        <v>2013</v>
      </c>
      <c r="GN32" s="104">
        <f t="shared" si="10"/>
        <v>3</v>
      </c>
      <c r="GO32" s="35">
        <v>41289</v>
      </c>
      <c r="GP32" s="26">
        <v>1.84</v>
      </c>
      <c r="GQ32" s="94">
        <f t="shared" si="30"/>
        <v>3.68</v>
      </c>
      <c r="GR32" s="59"/>
    </row>
    <row r="33" ht="16" spans="3:200">
      <c r="C33" s="80" t="str" cm="1">
        <f t="array" ref="C33">_xlfn.IFS(MONTH(D33)&lt;4,1,MONTH(D33)&lt;7,2,MONTH(D33)&lt;10,3,MONTH(D33)&gt;9,4)&amp;"Q"&amp;RIGHT(YEAR(D33),2)</f>
        <v>1Q16</v>
      </c>
      <c r="D33" s="81">
        <f t="shared" si="11"/>
        <v>42460</v>
      </c>
      <c r="E33" s="82">
        <f t="shared" si="3"/>
        <v>42431</v>
      </c>
      <c r="F33" s="83">
        <f t="shared" si="4"/>
        <v>0.5885</v>
      </c>
      <c r="G33" s="83">
        <f t="shared" si="4"/>
        <v>0.4032</v>
      </c>
      <c r="H33" s="81"/>
      <c r="I33" s="84">
        <v>42431</v>
      </c>
      <c r="J33" s="85">
        <v>4.9</v>
      </c>
      <c r="K33" s="85">
        <v>4.6</v>
      </c>
      <c r="L33" s="86">
        <v>4.708</v>
      </c>
      <c r="M33" s="87">
        <v>3.2256</v>
      </c>
      <c r="N33" s="88"/>
      <c r="O33" s="88"/>
      <c r="P33" s="88"/>
      <c r="Q33" s="89">
        <f t="shared" si="5"/>
        <v>0.459573412698413</v>
      </c>
      <c r="R33" s="5"/>
      <c r="S33" s="5"/>
      <c r="T33" s="5"/>
      <c r="U33" s="5"/>
      <c r="V33" s="5"/>
      <c r="W33" s="5"/>
      <c r="X33" s="5"/>
      <c r="Y33" s="5"/>
      <c r="Z33" s="5"/>
      <c r="AA33" s="5"/>
      <c r="AB33" s="5"/>
      <c r="AC33" s="5"/>
      <c r="AD33" s="5"/>
      <c r="AE33" s="5"/>
      <c r="AF33" s="5"/>
      <c r="AG33" s="5"/>
      <c r="AH33" s="105">
        <f t="shared" si="31"/>
        <v>42460</v>
      </c>
      <c r="AI33" s="91">
        <f t="shared" si="12"/>
        <v>4.691</v>
      </c>
      <c r="AJ33" s="36">
        <f t="shared" si="13"/>
        <v>-0.000426166631152691</v>
      </c>
      <c r="AK33" s="36">
        <f t="shared" si="32"/>
        <v>-0.000851970181043771</v>
      </c>
      <c r="AL33" s="105"/>
      <c r="AM33" s="91"/>
      <c r="AN33" s="36"/>
      <c r="AO33" s="36"/>
      <c r="AP33" s="36"/>
      <c r="AQ33" s="92" t="str" cm="1">
        <f t="array" ref="AQ33">_xlfn.IFS(MONTH(AR33)&lt;4,1,MONTH(AR33)&lt;7,2,MONTH(AR33)&lt;10,3,MONTH(AR33)&gt;9,4)&amp;"Q"&amp;RIGHT(YEAR(AR33),2)</f>
        <v>1Q19</v>
      </c>
      <c r="AR33" s="92">
        <f t="shared" si="14"/>
        <v>43524</v>
      </c>
      <c r="AS33" s="93">
        <v>43521</v>
      </c>
      <c r="AT33" s="5"/>
      <c r="AU33" s="94" cm="1">
        <f t="array" ref="AU33">INDEX($CE$29:$CE$1449,MATCH($AR33,$CA$29:$CA$1449,0),)</f>
        <v>209.58</v>
      </c>
      <c r="AV33" s="5"/>
      <c r="AW33" s="94" cm="1">
        <f t="array" ref="AW33">INDEX($CF$29:$CF$1449,MATCH($AR33,$CA$29:$CA$1449,0),)</f>
        <v>420</v>
      </c>
      <c r="AX33" s="94"/>
      <c r="AY33" s="94"/>
      <c r="AZ33" s="94"/>
      <c r="BA33" s="94"/>
      <c r="BB33" s="5"/>
      <c r="BC33" s="5"/>
      <c r="BD33" s="5"/>
      <c r="BE33" s="5"/>
      <c r="BF33" s="5"/>
      <c r="BG33" s="5"/>
      <c r="BH33" s="5"/>
      <c r="BI33" s="5"/>
      <c r="BJ33" s="5"/>
      <c r="BK33" s="5"/>
      <c r="BL33" s="5"/>
      <c r="BM33" s="5"/>
      <c r="BN33" s="5"/>
      <c r="BO33" s="5"/>
      <c r="BP33" s="5"/>
      <c r="BQ33" s="95" t="str" cm="1">
        <f t="array" ref="BQ33">_xlfn.IFS(MONTH(BR33)&lt;4,1,MONTH(BR33)&lt;7,2,MONTH(BR33)&lt;10,3,MONTH(BR33)&gt;9,4)&amp;"Q"&amp;RIGHT(YEAR(BR33),2)</f>
        <v>4Q16</v>
      </c>
      <c r="BR33" s="81">
        <f t="shared" si="15"/>
        <v>42674</v>
      </c>
      <c r="BS33" s="96">
        <f t="shared" si="16"/>
        <v>42674</v>
      </c>
      <c r="BT33" s="85">
        <v>4.13</v>
      </c>
      <c r="BU33" s="85">
        <v>3.94</v>
      </c>
      <c r="BV33" s="85">
        <v>4.06</v>
      </c>
      <c r="BW33" s="85"/>
      <c r="BX33" s="85"/>
      <c r="CA33" s="97"/>
      <c r="CB33" s="97"/>
      <c r="CC33" s="97"/>
      <c r="CD33" s="97"/>
      <c r="CE33" s="97"/>
      <c r="CF33" s="97"/>
      <c r="CG33" s="97"/>
      <c r="CH33" s="97"/>
      <c r="CI33" s="97"/>
      <c r="CJ33" s="97"/>
      <c r="CK33" s="97"/>
      <c r="CL33" s="97"/>
      <c r="CM33" s="97"/>
      <c r="CN33" s="97"/>
      <c r="CO33" s="97"/>
      <c r="CP33" s="97"/>
      <c r="CQ33" s="97"/>
      <c r="CR33" s="97"/>
      <c r="CT33" s="98"/>
      <c r="CU33" s="98"/>
      <c r="CV33" s="98"/>
      <c r="CX33" s="99"/>
      <c r="CY33" s="1"/>
      <c r="CZ33" s="1"/>
      <c r="DA33" s="97"/>
      <c r="DB33" s="98"/>
      <c r="DC33" s="98"/>
      <c r="DD33" s="98"/>
      <c r="DE33" s="98"/>
      <c r="DF33" s="98"/>
      <c r="DG33" s="98"/>
      <c r="DH33" s="98"/>
      <c r="DI33" s="98"/>
      <c r="DJ33" s="98"/>
      <c r="DK33" s="98"/>
      <c r="DL33" s="98"/>
      <c r="DM33" s="1"/>
      <c r="DN33" s="100"/>
      <c r="DQ33" s="100"/>
      <c r="DR33" s="100"/>
      <c r="EA33" s="101" t="s">
        <v>198</v>
      </c>
      <c r="EB33" s="101"/>
      <c r="EC33" s="97"/>
      <c r="ED33" s="97"/>
      <c r="EE33" s="97"/>
      <c r="EF33" s="102">
        <v>29.7</v>
      </c>
      <c r="EG33" s="102">
        <v>51</v>
      </c>
      <c r="EH33" s="97"/>
      <c r="EJ33" s="107"/>
      <c r="EK33" s="107"/>
      <c r="EL33" s="107"/>
      <c r="EM33" s="107"/>
      <c r="EN33" s="108">
        <f t="shared" si="33"/>
        <v>0</v>
      </c>
      <c r="EO33" s="108">
        <f t="shared" si="33"/>
        <v>0</v>
      </c>
      <c r="EP33" s="100"/>
      <c r="FI33" s="35" t="str">
        <f t="shared" si="17"/>
        <v>3Q18</v>
      </c>
      <c r="FJ33" s="103"/>
      <c r="FK33" s="103"/>
      <c r="FL33" s="26">
        <v>31.6</v>
      </c>
      <c r="FM33" s="104"/>
      <c r="FN33" s="104">
        <f t="shared" si="18"/>
        <v>2009</v>
      </c>
      <c r="FO33" s="104">
        <f t="shared" si="19"/>
        <v>23</v>
      </c>
      <c r="FP33" s="35">
        <v>39964</v>
      </c>
      <c r="FQ33" s="26">
        <v>1.23210526315789</v>
      </c>
      <c r="FR33" s="59">
        <f t="shared" si="20"/>
        <v>9.85684210526316</v>
      </c>
      <c r="FS33" s="104">
        <f t="shared" si="21"/>
        <v>2009</v>
      </c>
      <c r="FT33" s="104">
        <f t="shared" si="6"/>
        <v>23</v>
      </c>
      <c r="FU33" s="35">
        <v>39964</v>
      </c>
      <c r="FV33" s="26">
        <v>1.095</v>
      </c>
      <c r="FW33" s="94">
        <f t="shared" si="22"/>
        <v>8.76</v>
      </c>
      <c r="FX33" s="104">
        <f t="shared" si="23"/>
        <v>2010</v>
      </c>
      <c r="FY33" s="104">
        <f t="shared" si="7"/>
        <v>41</v>
      </c>
      <c r="FZ33" s="35">
        <v>40456</v>
      </c>
      <c r="GA33" s="26">
        <v>4.02</v>
      </c>
      <c r="GB33" s="94">
        <f t="shared" si="24"/>
        <v>16.08</v>
      </c>
      <c r="GC33" s="104">
        <f t="shared" si="25"/>
        <v>2010</v>
      </c>
      <c r="GD33" s="104">
        <f t="shared" si="8"/>
        <v>47</v>
      </c>
      <c r="GE33" s="35">
        <v>40497</v>
      </c>
      <c r="GF33" s="26">
        <v>2.97</v>
      </c>
      <c r="GG33" s="94">
        <f t="shared" si="26"/>
        <v>11.88</v>
      </c>
      <c r="GH33" s="104">
        <f t="shared" si="27"/>
        <v>2013</v>
      </c>
      <c r="GI33" s="104">
        <f t="shared" si="9"/>
        <v>2</v>
      </c>
      <c r="GJ33" s="35">
        <v>41282</v>
      </c>
      <c r="GK33" s="26">
        <v>2.296</v>
      </c>
      <c r="GL33" s="94">
        <f t="shared" si="28"/>
        <v>4.592</v>
      </c>
      <c r="GM33" s="104">
        <f t="shared" si="29"/>
        <v>2013</v>
      </c>
      <c r="GN33" s="104">
        <f t="shared" si="10"/>
        <v>5</v>
      </c>
      <c r="GO33" s="35">
        <v>41303</v>
      </c>
      <c r="GP33" s="26">
        <v>1.91</v>
      </c>
      <c r="GQ33" s="94">
        <f t="shared" si="30"/>
        <v>3.82</v>
      </c>
      <c r="GR33" s="59"/>
    </row>
    <row r="34" ht="16" spans="3:200">
      <c r="C34" s="80" t="str" cm="1">
        <f t="array" ref="C34">_xlfn.IFS(MONTH(D34)&lt;4,1,MONTH(D34)&lt;7,2,MONTH(D34)&lt;10,3,MONTH(D34)&gt;9,4)&amp;"Q"&amp;RIGHT(YEAR(D34),2)</f>
        <v>1Q16</v>
      </c>
      <c r="D34" s="81">
        <f t="shared" si="11"/>
        <v>42460</v>
      </c>
      <c r="E34" s="82">
        <f t="shared" si="3"/>
        <v>42432</v>
      </c>
      <c r="F34" s="83">
        <f t="shared" si="4"/>
        <v>0.588375</v>
      </c>
      <c r="G34" s="83">
        <f t="shared" si="4"/>
        <v>0.4032</v>
      </c>
      <c r="H34" s="81"/>
      <c r="I34" s="84">
        <v>42432</v>
      </c>
      <c r="J34" s="85">
        <v>4.9</v>
      </c>
      <c r="K34" s="85">
        <v>4.6</v>
      </c>
      <c r="L34" s="86">
        <v>4.707</v>
      </c>
      <c r="M34" s="87">
        <v>3.2256</v>
      </c>
      <c r="N34" s="88"/>
      <c r="O34" s="88"/>
      <c r="P34" s="88"/>
      <c r="Q34" s="89">
        <f t="shared" si="5"/>
        <v>0.459263392857143</v>
      </c>
      <c r="R34" s="5"/>
      <c r="S34" s="5"/>
      <c r="T34" s="5"/>
      <c r="U34" s="5"/>
      <c r="V34" s="5"/>
      <c r="W34" s="5"/>
      <c r="X34" s="5"/>
      <c r="Y34" s="5"/>
      <c r="Z34" s="5"/>
      <c r="AA34" s="5"/>
      <c r="AB34" s="5"/>
      <c r="AC34" s="5"/>
      <c r="AD34" s="5"/>
      <c r="AE34" s="5"/>
      <c r="AF34" s="5"/>
      <c r="AG34" s="5"/>
      <c r="AH34" s="105">
        <f t="shared" si="31"/>
        <v>42468</v>
      </c>
      <c r="AI34" s="91">
        <f t="shared" si="12"/>
        <v>4.688</v>
      </c>
      <c r="AJ34" s="36">
        <f t="shared" si="13"/>
        <v>-0.0006395224898742</v>
      </c>
      <c r="AK34" s="36">
        <f t="shared" si="32"/>
        <v>-0.00106541657788195</v>
      </c>
      <c r="AL34" s="105"/>
      <c r="AM34" s="91"/>
      <c r="AN34" s="36"/>
      <c r="AO34" s="36"/>
      <c r="AP34" s="36"/>
      <c r="AQ34" s="92" t="str" cm="1">
        <f t="array" ref="AQ34">_xlfn.IFS(MONTH(AR34)&lt;4,1,MONTH(AR34)&lt;7,2,MONTH(AR34)&lt;10,3,MONTH(AR34)&gt;9,4)&amp;"Q"&amp;RIGHT(YEAR(AR34),2)</f>
        <v>1Q19</v>
      </c>
      <c r="AR34" s="92">
        <f t="shared" si="14"/>
        <v>43555</v>
      </c>
      <c r="AS34" s="93">
        <v>43528</v>
      </c>
      <c r="AT34" s="5"/>
      <c r="AU34" s="94" cm="1">
        <f t="array" ref="AU34">INDEX($CE$29:$CE$1449,MATCH($AR34,$CA$29:$CA$1449,0),)</f>
        <v>167.67</v>
      </c>
      <c r="AV34" s="5"/>
      <c r="AW34" s="94" cm="1">
        <f t="array" ref="AW34">INDEX($CF$29:$CF$1449,MATCH($AR34,$CA$29:$CA$1449,0),)</f>
        <v>340</v>
      </c>
      <c r="AX34" s="94"/>
      <c r="AY34" s="94"/>
      <c r="AZ34" s="94"/>
      <c r="BA34" s="94"/>
      <c r="BB34" s="5"/>
      <c r="BC34" s="5"/>
      <c r="BD34" s="5"/>
      <c r="BE34" s="5"/>
      <c r="BF34" s="5"/>
      <c r="BG34" s="5"/>
      <c r="BH34" s="5"/>
      <c r="BI34" s="5"/>
      <c r="BJ34" s="5"/>
      <c r="BK34" s="5"/>
      <c r="BL34" s="5"/>
      <c r="BM34" s="5"/>
      <c r="BN34" s="5"/>
      <c r="BO34" s="5"/>
      <c r="BP34" s="5"/>
      <c r="BQ34" s="95" t="str" cm="1">
        <f t="array" ref="BQ34">_xlfn.IFS(MONTH(BR34)&lt;4,1,MONTH(BR34)&lt;7,2,MONTH(BR34)&lt;10,3,MONTH(BR34)&gt;9,4)&amp;"Q"&amp;RIGHT(YEAR(BR34),2)</f>
        <v>4Q16</v>
      </c>
      <c r="BR34" s="81">
        <f t="shared" si="15"/>
        <v>42704</v>
      </c>
      <c r="BS34" s="96">
        <f t="shared" si="16"/>
        <v>42704</v>
      </c>
      <c r="BT34" s="85">
        <v>4.31</v>
      </c>
      <c r="BU34" s="85">
        <v>4.06</v>
      </c>
      <c r="BV34" s="85">
        <v>4.19</v>
      </c>
      <c r="BW34" s="85"/>
      <c r="BX34" s="85"/>
      <c r="CA34" s="97"/>
      <c r="CB34" s="97"/>
      <c r="CC34" s="97"/>
      <c r="CD34" s="97"/>
      <c r="CE34" s="97"/>
      <c r="CF34" s="97"/>
      <c r="CG34" s="97"/>
      <c r="CH34" s="97"/>
      <c r="CI34" s="97"/>
      <c r="CJ34" s="97"/>
      <c r="CK34" s="97"/>
      <c r="CL34" s="97"/>
      <c r="CM34" s="97"/>
      <c r="CN34" s="97"/>
      <c r="CO34" s="97"/>
      <c r="CP34" s="97"/>
      <c r="CQ34" s="97"/>
      <c r="CR34" s="97"/>
      <c r="CT34" s="98"/>
      <c r="CU34" s="98"/>
      <c r="CV34" s="98"/>
      <c r="CX34" s="99"/>
      <c r="CY34" s="1"/>
      <c r="CZ34" s="1"/>
      <c r="DA34" s="97"/>
      <c r="DB34" s="98"/>
      <c r="DC34" s="98"/>
      <c r="DD34" s="98"/>
      <c r="DE34" s="98"/>
      <c r="DF34" s="98"/>
      <c r="DG34" s="98"/>
      <c r="DH34" s="98"/>
      <c r="DI34" s="98"/>
      <c r="DJ34" s="98"/>
      <c r="DK34" s="98"/>
      <c r="DL34" s="98"/>
      <c r="DM34" s="1"/>
      <c r="DN34" s="100"/>
      <c r="DQ34" s="100"/>
      <c r="DR34" s="100"/>
      <c r="EA34" s="101" t="s">
        <v>199</v>
      </c>
      <c r="EB34" s="101"/>
      <c r="EC34" s="97"/>
      <c r="ED34" s="97"/>
      <c r="EE34" s="102">
        <v>56.7</v>
      </c>
      <c r="EF34" s="102">
        <v>29</v>
      </c>
      <c r="EG34" s="102">
        <v>47.5</v>
      </c>
      <c r="EH34" s="97"/>
      <c r="EJ34" s="107"/>
      <c r="EK34" s="107"/>
      <c r="EL34" s="107"/>
      <c r="EM34" s="107"/>
      <c r="EN34" s="108">
        <f t="shared" si="33"/>
        <v>-0.0235690235690236</v>
      </c>
      <c r="EO34" s="108">
        <f t="shared" si="33"/>
        <v>-0.0686274509803921</v>
      </c>
      <c r="EP34" s="100"/>
      <c r="FI34" s="35" t="str">
        <f t="shared" si="17"/>
        <v>4Q18</v>
      </c>
      <c r="FJ34" s="103"/>
      <c r="FK34" s="103"/>
      <c r="FL34" s="26">
        <v>30.5</v>
      </c>
      <c r="FM34" s="104"/>
      <c r="FN34" s="104">
        <f t="shared" si="18"/>
        <v>2009</v>
      </c>
      <c r="FO34" s="104">
        <f t="shared" si="19"/>
        <v>27</v>
      </c>
      <c r="FP34" s="35">
        <v>39994</v>
      </c>
      <c r="FQ34" s="26">
        <v>1.125</v>
      </c>
      <c r="FR34" s="59">
        <f t="shared" si="20"/>
        <v>9</v>
      </c>
      <c r="FS34" s="104">
        <f t="shared" si="21"/>
        <v>2009</v>
      </c>
      <c r="FT34" s="104">
        <f t="shared" si="6"/>
        <v>27</v>
      </c>
      <c r="FU34" s="35">
        <v>39994</v>
      </c>
      <c r="FV34" s="26">
        <v>1.16</v>
      </c>
      <c r="FW34" s="94">
        <f t="shared" si="22"/>
        <v>9.28</v>
      </c>
      <c r="FX34" s="104">
        <f t="shared" si="23"/>
        <v>2010</v>
      </c>
      <c r="FY34" s="104">
        <f t="shared" si="7"/>
        <v>41</v>
      </c>
      <c r="FZ34" s="35">
        <v>40457</v>
      </c>
      <c r="GA34" s="26">
        <v>3.98</v>
      </c>
      <c r="GB34" s="94">
        <f t="shared" si="24"/>
        <v>15.92</v>
      </c>
      <c r="GC34" s="104">
        <f t="shared" si="25"/>
        <v>2010</v>
      </c>
      <c r="GD34" s="104">
        <f t="shared" si="8"/>
        <v>49</v>
      </c>
      <c r="GE34" s="35">
        <v>40512</v>
      </c>
      <c r="GF34" s="26">
        <v>2.59</v>
      </c>
      <c r="GG34" s="94">
        <f t="shared" si="26"/>
        <v>10.36</v>
      </c>
      <c r="GH34" s="104">
        <f t="shared" si="27"/>
        <v>2013</v>
      </c>
      <c r="GI34" s="104">
        <f t="shared" si="9"/>
        <v>2</v>
      </c>
      <c r="GJ34" s="35">
        <v>41283</v>
      </c>
      <c r="GK34" s="26">
        <v>2.296</v>
      </c>
      <c r="GL34" s="94">
        <f t="shared" si="28"/>
        <v>4.592</v>
      </c>
      <c r="GM34" s="104">
        <f t="shared" si="29"/>
        <v>2013</v>
      </c>
      <c r="GN34" s="104">
        <f t="shared" si="10"/>
        <v>9</v>
      </c>
      <c r="GO34" s="35">
        <v>41330</v>
      </c>
      <c r="GP34" s="26">
        <v>2.16</v>
      </c>
      <c r="GQ34" s="94">
        <f t="shared" si="30"/>
        <v>4.32</v>
      </c>
      <c r="GR34" s="59"/>
    </row>
    <row r="35" ht="16" spans="3:200">
      <c r="C35" s="80" t="str" cm="1">
        <f t="array" ref="C35">_xlfn.IFS(MONTH(D35)&lt;4,1,MONTH(D35)&lt;7,2,MONTH(D35)&lt;10,3,MONTH(D35)&gt;9,4)&amp;"Q"&amp;RIGHT(YEAR(D35),2)</f>
        <v>1Q16</v>
      </c>
      <c r="D35" s="81">
        <f t="shared" si="11"/>
        <v>42460</v>
      </c>
      <c r="E35" s="82">
        <f t="shared" si="3"/>
        <v>42433</v>
      </c>
      <c r="F35" s="83">
        <f t="shared" si="4"/>
        <v>0.588375</v>
      </c>
      <c r="G35" s="83">
        <f t="shared" si="4"/>
        <v>0.4032</v>
      </c>
      <c r="H35" s="81"/>
      <c r="I35" s="84">
        <v>42433</v>
      </c>
      <c r="J35" s="85">
        <v>4.9</v>
      </c>
      <c r="K35" s="85">
        <v>4.6</v>
      </c>
      <c r="L35" s="86">
        <v>4.707</v>
      </c>
      <c r="M35" s="87">
        <v>3.2256</v>
      </c>
      <c r="N35" s="88"/>
      <c r="O35" s="88"/>
      <c r="P35" s="88"/>
      <c r="Q35" s="89">
        <f t="shared" si="5"/>
        <v>0.459263392857143</v>
      </c>
      <c r="R35" s="5"/>
      <c r="S35" s="5"/>
      <c r="T35" s="5"/>
      <c r="U35" s="5"/>
      <c r="V35" s="5"/>
      <c r="W35" s="5"/>
      <c r="X35" s="5"/>
      <c r="Y35" s="5"/>
      <c r="Z35" s="5"/>
      <c r="AA35" s="5"/>
      <c r="AB35" s="5"/>
      <c r="AC35" s="5"/>
      <c r="AD35" s="5"/>
      <c r="AE35" s="5"/>
      <c r="AF35" s="5"/>
      <c r="AG35" s="5"/>
      <c r="AH35" s="105">
        <f t="shared" si="31"/>
        <v>42478</v>
      </c>
      <c r="AI35" s="91">
        <f t="shared" si="12"/>
        <v>4.686</v>
      </c>
      <c r="AJ35" s="36">
        <f t="shared" si="13"/>
        <v>-0.000426621160409479</v>
      </c>
      <c r="AK35" s="36">
        <f t="shared" si="32"/>
        <v>-0.00106587081645704</v>
      </c>
      <c r="AL35" s="105"/>
      <c r="AM35" s="91"/>
      <c r="AN35" s="36"/>
      <c r="AO35" s="36"/>
      <c r="AP35" s="36"/>
      <c r="AQ35" s="92" t="str" cm="1">
        <f t="array" ref="AQ35">_xlfn.IFS(MONTH(AR35)&lt;4,1,MONTH(AR35)&lt;7,2,MONTH(AR35)&lt;10,3,MONTH(AR35)&gt;9,4)&amp;"Q"&amp;RIGHT(YEAR(AR35),2)</f>
        <v>1Q19</v>
      </c>
      <c r="AR35" s="92">
        <f t="shared" si="14"/>
        <v>43555</v>
      </c>
      <c r="AS35" s="93">
        <v>43535</v>
      </c>
      <c r="AT35" s="5"/>
      <c r="AU35" s="94" cm="1">
        <f t="array" ref="AU35">INDEX($CE$29:$CE$1449,MATCH($AR35,$CA$29:$CA$1449,0),)</f>
        <v>167.67</v>
      </c>
      <c r="AV35" s="5"/>
      <c r="AW35" s="94" cm="1">
        <f t="array" ref="AW35">INDEX($CF$29:$CF$1449,MATCH($AR35,$CA$29:$CA$1449,0),)</f>
        <v>340</v>
      </c>
      <c r="AX35" s="94"/>
      <c r="AY35" s="94"/>
      <c r="AZ35" s="94"/>
      <c r="BA35" s="94"/>
      <c r="BB35" s="5"/>
      <c r="BC35" s="5"/>
      <c r="BD35" s="5"/>
      <c r="BE35" s="5"/>
      <c r="BF35" s="5"/>
      <c r="BG35" s="5"/>
      <c r="BH35" s="5"/>
      <c r="BI35" s="5"/>
      <c r="BJ35" s="5"/>
      <c r="BK35" s="5"/>
      <c r="BL35" s="5"/>
      <c r="BM35" s="5"/>
      <c r="BN35" s="5"/>
      <c r="BO35" s="5"/>
      <c r="BP35" s="5"/>
      <c r="BQ35" s="95" t="str" cm="1">
        <f t="array" ref="BQ35">_xlfn.IFS(MONTH(BR35)&lt;4,1,MONTH(BR35)&lt;7,2,MONTH(BR35)&lt;10,3,MONTH(BR35)&gt;9,4)&amp;"Q"&amp;RIGHT(YEAR(BR35),2)</f>
        <v>4Q16</v>
      </c>
      <c r="BR35" s="81">
        <f t="shared" si="15"/>
        <v>42735</v>
      </c>
      <c r="BS35" s="96">
        <f t="shared" si="16"/>
        <v>42735</v>
      </c>
      <c r="BT35" s="85">
        <v>4.31</v>
      </c>
      <c r="BU35" s="85">
        <v>4.06</v>
      </c>
      <c r="BV35" s="85">
        <v>4.19</v>
      </c>
      <c r="BW35" s="85"/>
      <c r="BX35" s="85"/>
      <c r="CA35" s="97"/>
      <c r="CB35" s="97"/>
      <c r="CC35" s="97"/>
      <c r="CD35" s="97"/>
      <c r="CE35" s="97"/>
      <c r="CF35" s="97"/>
      <c r="CG35" s="97"/>
      <c r="CH35" s="97"/>
      <c r="CI35" s="97"/>
      <c r="CJ35" s="97"/>
      <c r="CK35" s="97"/>
      <c r="CL35" s="97"/>
      <c r="CM35" s="97"/>
      <c r="CN35" s="97"/>
      <c r="CO35" s="97"/>
      <c r="CP35" s="97"/>
      <c r="CQ35" s="97"/>
      <c r="CR35" s="97"/>
      <c r="CT35" s="98"/>
      <c r="CU35" s="98"/>
      <c r="CV35" s="98"/>
      <c r="CX35" s="99"/>
      <c r="CY35" s="1"/>
      <c r="CZ35" s="1"/>
      <c r="DA35" s="97"/>
      <c r="DB35" s="98"/>
      <c r="DC35" s="98"/>
      <c r="DD35" s="98"/>
      <c r="DE35" s="98"/>
      <c r="DF35" s="98"/>
      <c r="DG35" s="98"/>
      <c r="DH35" s="98"/>
      <c r="DI35" s="98"/>
      <c r="DJ35" s="98"/>
      <c r="DK35" s="98"/>
      <c r="DL35" s="98"/>
      <c r="DM35" s="1"/>
      <c r="DN35" s="100"/>
      <c r="DQ35" s="100"/>
      <c r="DR35" s="100"/>
      <c r="EA35" s="101" t="s">
        <v>200</v>
      </c>
      <c r="EB35" s="101"/>
      <c r="EC35" s="97"/>
      <c r="ED35" s="97"/>
      <c r="EE35" s="102">
        <v>50</v>
      </c>
      <c r="EF35" s="102">
        <v>25.5</v>
      </c>
      <c r="EG35" s="102">
        <v>37.6</v>
      </c>
      <c r="EH35" s="97"/>
      <c r="EJ35" s="107"/>
      <c r="EK35" s="107"/>
      <c r="EL35" s="107"/>
      <c r="EM35" s="108">
        <f t="shared" ref="EM35:EN46" si="34">EE35/EE34-1</f>
        <v>-0.118165784832452</v>
      </c>
      <c r="EN35" s="108">
        <f t="shared" si="33"/>
        <v>-0.120689655172414</v>
      </c>
      <c r="EO35" s="108">
        <f t="shared" si="33"/>
        <v>-0.208421052631579</v>
      </c>
      <c r="EP35" s="100"/>
      <c r="FI35" s="35" t="str">
        <f t="shared" si="17"/>
        <v>1Q19</v>
      </c>
      <c r="FJ35" s="103"/>
      <c r="FK35" s="103"/>
      <c r="FL35" s="26">
        <v>25.6</v>
      </c>
      <c r="FM35" s="104"/>
      <c r="FN35" s="104">
        <f t="shared" si="18"/>
        <v>2009</v>
      </c>
      <c r="FO35" s="104">
        <f t="shared" si="19"/>
        <v>31</v>
      </c>
      <c r="FP35" s="35">
        <v>40025</v>
      </c>
      <c r="FQ35" s="26">
        <v>1.17173913043478</v>
      </c>
      <c r="FR35" s="59">
        <f t="shared" si="20"/>
        <v>9.37391304347826</v>
      </c>
      <c r="FS35" s="104">
        <f t="shared" si="21"/>
        <v>2009</v>
      </c>
      <c r="FT35" s="104">
        <f t="shared" si="6"/>
        <v>31</v>
      </c>
      <c r="FU35" s="35">
        <v>40025</v>
      </c>
      <c r="FV35" s="26">
        <v>1.19</v>
      </c>
      <c r="FW35" s="94">
        <f t="shared" si="22"/>
        <v>9.52</v>
      </c>
      <c r="FX35" s="104">
        <f t="shared" si="23"/>
        <v>2010</v>
      </c>
      <c r="FY35" s="104">
        <f t="shared" si="7"/>
        <v>41</v>
      </c>
      <c r="FZ35" s="35">
        <v>40458</v>
      </c>
      <c r="GA35" s="26">
        <v>3.93</v>
      </c>
      <c r="GB35" s="94">
        <f t="shared" si="24"/>
        <v>15.72</v>
      </c>
      <c r="GC35" s="104">
        <f t="shared" si="25"/>
        <v>2010</v>
      </c>
      <c r="GD35" s="104">
        <f t="shared" si="8"/>
        <v>50</v>
      </c>
      <c r="GE35" s="35">
        <v>40522</v>
      </c>
      <c r="GF35" s="26">
        <v>2.34</v>
      </c>
      <c r="GG35" s="94">
        <f t="shared" si="26"/>
        <v>9.36</v>
      </c>
      <c r="GH35" s="104">
        <f t="shared" si="27"/>
        <v>2013</v>
      </c>
      <c r="GI35" s="104">
        <f t="shared" si="9"/>
        <v>2</v>
      </c>
      <c r="GJ35" s="35">
        <v>41284</v>
      </c>
      <c r="GK35" s="26">
        <v>2.293</v>
      </c>
      <c r="GL35" s="94">
        <f t="shared" si="28"/>
        <v>4.586</v>
      </c>
      <c r="GM35" s="104">
        <f t="shared" si="29"/>
        <v>2013</v>
      </c>
      <c r="GN35" s="104">
        <f t="shared" si="10"/>
        <v>11</v>
      </c>
      <c r="GO35" s="35">
        <v>41348</v>
      </c>
      <c r="GP35" s="26">
        <v>2.56</v>
      </c>
      <c r="GQ35" s="94">
        <f t="shared" si="30"/>
        <v>5.12</v>
      </c>
      <c r="GR35" s="59"/>
    </row>
    <row r="36" ht="16" spans="3:200">
      <c r="C36" s="80" t="str" cm="1">
        <f t="array" ref="C36">_xlfn.IFS(MONTH(D36)&lt;4,1,MONTH(D36)&lt;7,2,MONTH(D36)&lt;10,3,MONTH(D36)&gt;9,4)&amp;"Q"&amp;RIGHT(YEAR(D36),2)</f>
        <v>1Q16</v>
      </c>
      <c r="D36" s="81">
        <f t="shared" si="11"/>
        <v>42460</v>
      </c>
      <c r="E36" s="82">
        <f t="shared" si="3"/>
        <v>42436</v>
      </c>
      <c r="F36" s="83">
        <f t="shared" si="4"/>
        <v>0.588375</v>
      </c>
      <c r="G36" s="83">
        <f t="shared" si="4"/>
        <v>0.4032</v>
      </c>
      <c r="H36" s="81"/>
      <c r="I36" s="84">
        <v>42436</v>
      </c>
      <c r="J36" s="85">
        <v>4.9</v>
      </c>
      <c r="K36" s="85">
        <v>4.6</v>
      </c>
      <c r="L36" s="86">
        <v>4.707</v>
      </c>
      <c r="M36" s="87">
        <v>3.2256</v>
      </c>
      <c r="N36" s="88"/>
      <c r="O36" s="88"/>
      <c r="P36" s="88"/>
      <c r="Q36" s="89">
        <f t="shared" si="5"/>
        <v>0.459263392857143</v>
      </c>
      <c r="R36" s="5"/>
      <c r="S36" s="5"/>
      <c r="T36" s="5"/>
      <c r="U36" s="5"/>
      <c r="V36" s="5"/>
      <c r="W36" s="5"/>
      <c r="X36" s="5"/>
      <c r="Y36" s="5"/>
      <c r="Z36" s="5"/>
      <c r="AA36" s="5"/>
      <c r="AB36" s="5"/>
      <c r="AC36" s="5"/>
      <c r="AD36" s="5"/>
      <c r="AE36" s="5"/>
      <c r="AF36" s="5"/>
      <c r="AG36" s="5"/>
      <c r="AH36" s="105">
        <f t="shared" si="31"/>
        <v>42486</v>
      </c>
      <c r="AI36" s="91">
        <f t="shared" si="12"/>
        <v>4.676</v>
      </c>
      <c r="AJ36" s="36">
        <f t="shared" si="13"/>
        <v>-0.00213401621852316</v>
      </c>
      <c r="AK36" s="36">
        <f t="shared" si="32"/>
        <v>-0.00255972696245721</v>
      </c>
      <c r="AL36" s="105"/>
      <c r="AM36" s="91"/>
      <c r="AN36" s="36"/>
      <c r="AO36" s="36"/>
      <c r="AP36" s="36"/>
      <c r="AQ36" s="92" t="str" cm="1">
        <f t="array" ref="AQ36">_xlfn.IFS(MONTH(AR36)&lt;4,1,MONTH(AR36)&lt;7,2,MONTH(AR36)&lt;10,3,MONTH(AR36)&gt;9,4)&amp;"Q"&amp;RIGHT(YEAR(AR36),2)</f>
        <v>1Q19</v>
      </c>
      <c r="AR36" s="92">
        <f t="shared" si="14"/>
        <v>43555</v>
      </c>
      <c r="AS36" s="93">
        <v>43542</v>
      </c>
      <c r="AT36" s="5"/>
      <c r="AU36" s="94" cm="1">
        <f t="array" ref="AU36">INDEX($CE$29:$CE$1449,MATCH($AR36,$CA$29:$CA$1449,0),)</f>
        <v>167.67</v>
      </c>
      <c r="AV36" s="5"/>
      <c r="AW36" s="94" cm="1">
        <f t="array" ref="AW36">INDEX($CF$29:$CF$1449,MATCH($AR36,$CA$29:$CA$1449,0),)</f>
        <v>340</v>
      </c>
      <c r="AX36" s="94"/>
      <c r="AY36" s="94"/>
      <c r="AZ36" s="94"/>
      <c r="BA36" s="94"/>
      <c r="BB36" s="5"/>
      <c r="BC36" s="5"/>
      <c r="BD36" s="5"/>
      <c r="BE36" s="5"/>
      <c r="BF36" s="5"/>
      <c r="BG36" s="5"/>
      <c r="BH36" s="5"/>
      <c r="BI36" s="5"/>
      <c r="BJ36" s="5"/>
      <c r="BK36" s="5"/>
      <c r="BL36" s="5"/>
      <c r="BM36" s="5"/>
      <c r="BN36" s="5"/>
      <c r="BO36" s="5"/>
      <c r="BP36" s="5"/>
      <c r="BQ36" s="95" t="str" cm="1">
        <f t="array" ref="BQ36">_xlfn.IFS(MONTH(BR36)&lt;4,1,MONTH(BR36)&lt;7,2,MONTH(BR36)&lt;10,3,MONTH(BR36)&gt;9,4)&amp;"Q"&amp;RIGHT(YEAR(BR36),2)</f>
        <v>1Q17</v>
      </c>
      <c r="BR36" s="81">
        <f t="shared" si="15"/>
        <v>42766</v>
      </c>
      <c r="BS36" s="96">
        <f t="shared" si="16"/>
        <v>42766</v>
      </c>
      <c r="BT36" s="85">
        <v>5.94</v>
      </c>
      <c r="BU36" s="85">
        <v>5.44</v>
      </c>
      <c r="BV36" s="85">
        <v>5.69</v>
      </c>
      <c r="BW36" s="85"/>
      <c r="BX36" s="85"/>
      <c r="CA36" s="97"/>
      <c r="CB36" s="97"/>
      <c r="CC36" s="97"/>
      <c r="CD36" s="97"/>
      <c r="CE36" s="97"/>
      <c r="CF36" s="97"/>
      <c r="CG36" s="97"/>
      <c r="CH36" s="97"/>
      <c r="CI36" s="97"/>
      <c r="CJ36" s="97"/>
      <c r="CK36" s="97"/>
      <c r="CL36" s="97"/>
      <c r="CM36" s="97"/>
      <c r="CN36" s="97"/>
      <c r="CO36" s="97"/>
      <c r="CP36" s="97"/>
      <c r="CQ36" s="97"/>
      <c r="CR36" s="97"/>
      <c r="CT36" s="98"/>
      <c r="CU36" s="98"/>
      <c r="CV36" s="98"/>
      <c r="CX36" s="99"/>
      <c r="CY36" s="1"/>
      <c r="CZ36" s="1"/>
      <c r="DA36" s="97"/>
      <c r="DB36" s="98"/>
      <c r="DC36" s="98"/>
      <c r="DD36" s="98"/>
      <c r="DE36" s="98"/>
      <c r="DF36" s="98"/>
      <c r="DG36" s="98"/>
      <c r="DH36" s="98"/>
      <c r="DI36" s="98"/>
      <c r="DJ36" s="98"/>
      <c r="DK36" s="98"/>
      <c r="DL36" s="98"/>
      <c r="DM36" s="1"/>
      <c r="DN36" s="100"/>
      <c r="DQ36" s="100"/>
      <c r="DR36" s="100"/>
      <c r="EA36" s="101" t="s">
        <v>201</v>
      </c>
      <c r="EB36" s="101"/>
      <c r="EC36" s="97"/>
      <c r="ED36" s="97"/>
      <c r="EE36" s="102">
        <v>42.9</v>
      </c>
      <c r="EF36" s="102">
        <v>22</v>
      </c>
      <c r="EG36" s="102">
        <v>29.5</v>
      </c>
      <c r="EH36" s="97"/>
      <c r="EJ36" s="107"/>
      <c r="EK36" s="107"/>
      <c r="EL36" s="107"/>
      <c r="EM36" s="108">
        <f t="shared" si="34"/>
        <v>-0.142</v>
      </c>
      <c r="EN36" s="108">
        <f t="shared" si="33"/>
        <v>-0.137254901960784</v>
      </c>
      <c r="EO36" s="108">
        <f t="shared" si="33"/>
        <v>-0.215425531914894</v>
      </c>
      <c r="EP36" s="100"/>
      <c r="FI36" s="35" t="str">
        <f t="shared" si="17"/>
        <v>2Q19</v>
      </c>
      <c r="FJ36" s="103"/>
      <c r="FK36" s="103"/>
      <c r="FL36" s="26">
        <v>20.6</v>
      </c>
      <c r="FM36" s="104"/>
      <c r="FN36" s="104">
        <f t="shared" si="18"/>
        <v>2009</v>
      </c>
      <c r="FO36" s="104">
        <f t="shared" si="19"/>
        <v>36</v>
      </c>
      <c r="FP36" s="35">
        <v>40056</v>
      </c>
      <c r="FQ36" s="26">
        <v>1.47</v>
      </c>
      <c r="FR36" s="59">
        <f t="shared" si="20"/>
        <v>11.76</v>
      </c>
      <c r="FS36" s="104">
        <f t="shared" si="21"/>
        <v>2009</v>
      </c>
      <c r="FT36" s="104">
        <f t="shared" si="6"/>
        <v>36</v>
      </c>
      <c r="FU36" s="35">
        <v>40056</v>
      </c>
      <c r="FV36" s="26">
        <v>1.375</v>
      </c>
      <c r="FW36" s="94">
        <f t="shared" si="22"/>
        <v>11</v>
      </c>
      <c r="FX36" s="104">
        <f t="shared" si="23"/>
        <v>2010</v>
      </c>
      <c r="FY36" s="104">
        <f t="shared" si="7"/>
        <v>41</v>
      </c>
      <c r="FZ36" s="35">
        <v>40459</v>
      </c>
      <c r="GA36" s="26">
        <v>3.89</v>
      </c>
      <c r="GB36" s="94">
        <f t="shared" si="24"/>
        <v>15.56</v>
      </c>
      <c r="GC36" s="104">
        <f t="shared" si="25"/>
        <v>2010</v>
      </c>
      <c r="GD36" s="104">
        <f t="shared" si="8"/>
        <v>52</v>
      </c>
      <c r="GE36" s="35">
        <v>40533</v>
      </c>
      <c r="GF36" s="26">
        <v>2.09</v>
      </c>
      <c r="GG36" s="94">
        <f t="shared" si="26"/>
        <v>8.36</v>
      </c>
      <c r="GH36" s="104">
        <f t="shared" si="27"/>
        <v>2013</v>
      </c>
      <c r="GI36" s="104">
        <f t="shared" si="9"/>
        <v>2</v>
      </c>
      <c r="GJ36" s="35">
        <v>41285</v>
      </c>
      <c r="GK36" s="26">
        <v>2.296</v>
      </c>
      <c r="GL36" s="94">
        <f t="shared" si="28"/>
        <v>4.592</v>
      </c>
      <c r="GM36" s="104">
        <f t="shared" si="29"/>
        <v>2013</v>
      </c>
      <c r="GN36" s="104">
        <f t="shared" si="10"/>
        <v>13</v>
      </c>
      <c r="GO36" s="35">
        <v>41362</v>
      </c>
      <c r="GP36" s="26">
        <v>2.63</v>
      </c>
      <c r="GQ36" s="94">
        <f t="shared" si="30"/>
        <v>5.26</v>
      </c>
      <c r="GR36" s="59"/>
    </row>
    <row r="37" ht="16" spans="3:200">
      <c r="C37" s="80" t="str" cm="1">
        <f t="array" ref="C37">_xlfn.IFS(MONTH(D37)&lt;4,1,MONTH(D37)&lt;7,2,MONTH(D37)&lt;10,3,MONTH(D37)&gt;9,4)&amp;"Q"&amp;RIGHT(YEAR(D37),2)</f>
        <v>1Q16</v>
      </c>
      <c r="D37" s="81">
        <f t="shared" si="11"/>
        <v>42460</v>
      </c>
      <c r="E37" s="82">
        <f t="shared" si="3"/>
        <v>42437</v>
      </c>
      <c r="F37" s="83">
        <f t="shared" si="4"/>
        <v>0.588375</v>
      </c>
      <c r="G37" s="83">
        <f t="shared" si="4"/>
        <v>0.4032</v>
      </c>
      <c r="H37" s="81"/>
      <c r="I37" s="84">
        <v>42437</v>
      </c>
      <c r="J37" s="85">
        <v>4.9</v>
      </c>
      <c r="K37" s="85">
        <v>4.6</v>
      </c>
      <c r="L37" s="86">
        <v>4.707</v>
      </c>
      <c r="M37" s="87">
        <v>3.2256</v>
      </c>
      <c r="N37" s="88"/>
      <c r="O37" s="88"/>
      <c r="P37" s="88"/>
      <c r="Q37" s="89">
        <f t="shared" si="5"/>
        <v>0.459263392857143</v>
      </c>
      <c r="R37" s="5"/>
      <c r="S37" s="5"/>
      <c r="T37" s="5"/>
      <c r="U37" s="5"/>
      <c r="V37" s="5"/>
      <c r="W37" s="5"/>
      <c r="X37" s="5"/>
      <c r="Y37" s="5"/>
      <c r="Z37" s="5"/>
      <c r="AA37" s="5"/>
      <c r="AB37" s="5"/>
      <c r="AC37" s="5"/>
      <c r="AD37" s="5"/>
      <c r="AE37" s="5"/>
      <c r="AF37" s="5"/>
      <c r="AG37" s="5"/>
      <c r="AH37" s="105">
        <f t="shared" si="31"/>
        <v>42494</v>
      </c>
      <c r="AI37" s="91">
        <f t="shared" si="12"/>
        <v>4.67</v>
      </c>
      <c r="AJ37" s="36">
        <f t="shared" si="13"/>
        <v>-0.00128314798973483</v>
      </c>
      <c r="AK37" s="36">
        <f t="shared" si="32"/>
        <v>-0.00341442594963726</v>
      </c>
      <c r="AL37" s="105"/>
      <c r="AM37" s="91"/>
      <c r="AN37" s="36"/>
      <c r="AO37" s="36"/>
      <c r="AP37" s="36"/>
      <c r="AQ37" s="92" t="str" cm="1">
        <f t="array" ref="AQ37">_xlfn.IFS(MONTH(AR37)&lt;4,1,MONTH(AR37)&lt;7,2,MONTH(AR37)&lt;10,3,MONTH(AR37)&gt;9,4)&amp;"Q"&amp;RIGHT(YEAR(AR37),2)</f>
        <v>1Q19</v>
      </c>
      <c r="AR37" s="92">
        <f t="shared" si="14"/>
        <v>43555</v>
      </c>
      <c r="AS37" s="93">
        <v>43549</v>
      </c>
      <c r="AT37" s="5"/>
      <c r="AU37" s="94" cm="1">
        <f t="array" ref="AU37">INDEX($CE$29:$CE$1449,MATCH($AR37,$CA$29:$CA$1449,0),)</f>
        <v>167.67</v>
      </c>
      <c r="AV37" s="5"/>
      <c r="AW37" s="94" cm="1">
        <f t="array" ref="AW37">INDEX($CF$29:$CF$1449,MATCH($AR37,$CA$29:$CA$1449,0),)</f>
        <v>340</v>
      </c>
      <c r="AX37" s="94"/>
      <c r="AY37" s="94"/>
      <c r="AZ37" s="94"/>
      <c r="BA37" s="94"/>
      <c r="BB37" s="5"/>
      <c r="BC37" s="5"/>
      <c r="BD37" s="5"/>
      <c r="BE37" s="5"/>
      <c r="BF37" s="5"/>
      <c r="BG37" s="5"/>
      <c r="BH37" s="5"/>
      <c r="BI37" s="5"/>
      <c r="BJ37" s="5"/>
      <c r="BK37" s="5"/>
      <c r="BL37" s="5"/>
      <c r="BM37" s="5"/>
      <c r="BN37" s="5"/>
      <c r="BO37" s="5"/>
      <c r="BP37" s="5"/>
      <c r="BQ37" s="95" t="str" cm="1">
        <f t="array" ref="BQ37">_xlfn.IFS(MONTH(BR37)&lt;4,1,MONTH(BR37)&lt;7,2,MONTH(BR37)&lt;10,3,MONTH(BR37)&gt;9,4)&amp;"Q"&amp;RIGHT(YEAR(BR37),2)</f>
        <v>1Q17</v>
      </c>
      <c r="BR37" s="81">
        <f t="shared" si="15"/>
        <v>42794</v>
      </c>
      <c r="BS37" s="96">
        <f t="shared" si="16"/>
        <v>42794</v>
      </c>
      <c r="BT37" s="85">
        <v>6.06</v>
      </c>
      <c r="BU37" s="85">
        <v>5.56</v>
      </c>
      <c r="BV37" s="85">
        <v>5.81</v>
      </c>
      <c r="BW37" s="85"/>
      <c r="BX37" s="85"/>
      <c r="CA37" s="97"/>
      <c r="CB37" s="97"/>
      <c r="CC37" s="97"/>
      <c r="CD37" s="97"/>
      <c r="CE37" s="97"/>
      <c r="CF37" s="97"/>
      <c r="CG37" s="97"/>
      <c r="CH37" s="97"/>
      <c r="CI37" s="97"/>
      <c r="CJ37" s="97"/>
      <c r="CK37" s="97"/>
      <c r="CL37" s="97"/>
      <c r="CM37" s="97"/>
      <c r="CN37" s="97"/>
      <c r="CO37" s="97"/>
      <c r="CP37" s="97"/>
      <c r="CQ37" s="97"/>
      <c r="CR37" s="97"/>
      <c r="CT37" s="98"/>
      <c r="CU37" s="98"/>
      <c r="CV37" s="98"/>
      <c r="CX37" s="99"/>
      <c r="CY37" s="1"/>
      <c r="CZ37" s="1"/>
      <c r="DA37" s="97"/>
      <c r="DB37" s="98"/>
      <c r="DC37" s="98"/>
      <c r="DD37" s="98"/>
      <c r="DE37" s="98"/>
      <c r="DF37" s="98"/>
      <c r="DG37" s="98"/>
      <c r="DH37" s="98"/>
      <c r="DI37" s="98"/>
      <c r="DJ37" s="98"/>
      <c r="DK37" s="98"/>
      <c r="DL37" s="98"/>
      <c r="DM37" s="1"/>
      <c r="DN37" s="100"/>
      <c r="DQ37" s="100"/>
      <c r="DR37" s="100"/>
      <c r="EA37" s="101" t="s">
        <v>202</v>
      </c>
      <c r="EB37" s="101"/>
      <c r="EC37" s="97"/>
      <c r="ED37" s="97"/>
      <c r="EE37" s="102">
        <v>36.1</v>
      </c>
      <c r="EF37" s="102">
        <v>18.4</v>
      </c>
      <c r="EG37" s="102">
        <v>23.5</v>
      </c>
      <c r="EH37" s="97"/>
      <c r="EJ37" s="107"/>
      <c r="EK37" s="107"/>
      <c r="EL37" s="107"/>
      <c r="EM37" s="108">
        <f t="shared" si="34"/>
        <v>-0.158508158508158</v>
      </c>
      <c r="EN37" s="108">
        <f t="shared" si="33"/>
        <v>-0.163636363636364</v>
      </c>
      <c r="EO37" s="108">
        <f t="shared" si="33"/>
        <v>-0.203389830508475</v>
      </c>
      <c r="EP37" s="100"/>
      <c r="FI37" s="35" t="str">
        <f t="shared" si="17"/>
        <v>3Q19</v>
      </c>
      <c r="FJ37" s="103"/>
      <c r="FK37" s="103"/>
      <c r="FL37" s="26">
        <v>17.9</v>
      </c>
      <c r="FM37" s="104"/>
      <c r="FN37" s="104">
        <f t="shared" si="18"/>
        <v>2009</v>
      </c>
      <c r="FO37" s="104">
        <f t="shared" si="19"/>
        <v>40</v>
      </c>
      <c r="FP37" s="35">
        <v>40086</v>
      </c>
      <c r="FQ37" s="26">
        <v>1.79363636363636</v>
      </c>
      <c r="FR37" s="59">
        <f t="shared" si="20"/>
        <v>14.3490909090909</v>
      </c>
      <c r="FS37" s="104">
        <f t="shared" si="21"/>
        <v>2009</v>
      </c>
      <c r="FT37" s="104">
        <f t="shared" si="6"/>
        <v>40</v>
      </c>
      <c r="FU37" s="35">
        <v>40086</v>
      </c>
      <c r="FV37" s="26">
        <v>1.595</v>
      </c>
      <c r="FW37" s="94">
        <f t="shared" si="22"/>
        <v>12.76</v>
      </c>
      <c r="FX37" s="104">
        <f t="shared" si="23"/>
        <v>2010</v>
      </c>
      <c r="FY37" s="104">
        <f t="shared" si="7"/>
        <v>42</v>
      </c>
      <c r="FZ37" s="35">
        <v>40462</v>
      </c>
      <c r="GA37" s="26">
        <v>3.88</v>
      </c>
      <c r="GB37" s="94">
        <f t="shared" si="24"/>
        <v>15.52</v>
      </c>
      <c r="GC37" s="104">
        <f t="shared" si="25"/>
        <v>2011</v>
      </c>
      <c r="GD37" s="104">
        <f t="shared" si="8"/>
        <v>3</v>
      </c>
      <c r="GE37" s="35">
        <v>40553</v>
      </c>
      <c r="GF37" s="26">
        <v>1.97</v>
      </c>
      <c r="GG37" s="94">
        <f t="shared" si="26"/>
        <v>7.88</v>
      </c>
      <c r="GH37" s="104">
        <f t="shared" si="27"/>
        <v>2013</v>
      </c>
      <c r="GI37" s="104">
        <f t="shared" si="9"/>
        <v>3</v>
      </c>
      <c r="GJ37" s="35">
        <v>41288</v>
      </c>
      <c r="GK37" s="26">
        <v>2.299</v>
      </c>
      <c r="GL37" s="94">
        <f t="shared" si="28"/>
        <v>4.598</v>
      </c>
      <c r="GM37" s="104">
        <f t="shared" si="29"/>
        <v>2013</v>
      </c>
      <c r="GN37" s="104">
        <f t="shared" si="10"/>
        <v>15</v>
      </c>
      <c r="GO37" s="35">
        <v>41376</v>
      </c>
      <c r="GP37" s="26">
        <v>2.88</v>
      </c>
      <c r="GQ37" s="94">
        <f t="shared" si="30"/>
        <v>5.76</v>
      </c>
      <c r="GR37" s="59"/>
    </row>
    <row r="38" ht="16" spans="3:200">
      <c r="C38" s="80" t="str" cm="1">
        <f t="array" ref="C38">_xlfn.IFS(MONTH(D38)&lt;4,1,MONTH(D38)&lt;7,2,MONTH(D38)&lt;10,3,MONTH(D38)&gt;9,4)&amp;"Q"&amp;RIGHT(YEAR(D38),2)</f>
        <v>1Q16</v>
      </c>
      <c r="D38" s="81">
        <f t="shared" si="11"/>
        <v>42460</v>
      </c>
      <c r="E38" s="82">
        <f t="shared" si="3"/>
        <v>42438</v>
      </c>
      <c r="F38" s="83">
        <f t="shared" si="4"/>
        <v>0.588</v>
      </c>
      <c r="G38" s="83">
        <f t="shared" si="4"/>
        <v>0.4032</v>
      </c>
      <c r="H38" s="81"/>
      <c r="I38" s="84">
        <v>42438</v>
      </c>
      <c r="J38" s="85">
        <v>4.9</v>
      </c>
      <c r="K38" s="85">
        <v>4.6</v>
      </c>
      <c r="L38" s="86">
        <v>4.704</v>
      </c>
      <c r="M38" s="87">
        <v>3.2256</v>
      </c>
      <c r="N38" s="88"/>
      <c r="O38" s="88"/>
      <c r="P38" s="88"/>
      <c r="Q38" s="89">
        <f t="shared" si="5"/>
        <v>0.458333333333333</v>
      </c>
      <c r="R38" s="5"/>
      <c r="S38" s="5"/>
      <c r="T38" s="5"/>
      <c r="U38" s="5"/>
      <c r="V38" s="5"/>
      <c r="W38" s="5"/>
      <c r="X38" s="5"/>
      <c r="Y38" s="5"/>
      <c r="Z38" s="5"/>
      <c r="AA38" s="5"/>
      <c r="AB38" s="5"/>
      <c r="AC38" s="5"/>
      <c r="AD38" s="5"/>
      <c r="AE38" s="5"/>
      <c r="AF38" s="5"/>
      <c r="AG38" s="5"/>
      <c r="AH38" s="105">
        <f t="shared" si="31"/>
        <v>42502</v>
      </c>
      <c r="AI38" s="91">
        <f t="shared" si="12"/>
        <v>4.255</v>
      </c>
      <c r="AJ38" s="36">
        <f t="shared" si="13"/>
        <v>-0.088865096359743</v>
      </c>
      <c r="AK38" s="36">
        <f t="shared" si="32"/>
        <v>-0.0900342172797263</v>
      </c>
      <c r="AL38" s="105"/>
      <c r="AM38" s="91"/>
      <c r="AN38" s="36"/>
      <c r="AO38" s="36"/>
      <c r="AP38" s="36"/>
      <c r="AQ38" s="92" t="str" cm="1">
        <f t="array" ref="AQ38">_xlfn.IFS(MONTH(AR38)&lt;4,1,MONTH(AR38)&lt;7,2,MONTH(AR38)&lt;10,3,MONTH(AR38)&gt;9,4)&amp;"Q"&amp;RIGHT(YEAR(AR38),2)</f>
        <v>2Q19</v>
      </c>
      <c r="AR38" s="92">
        <f t="shared" si="14"/>
        <v>43585</v>
      </c>
      <c r="AS38" s="93">
        <v>43556</v>
      </c>
      <c r="AT38" s="5"/>
      <c r="AU38" s="94" cm="1">
        <f t="array" ref="AU38">INDEX($CE$29:$CE$1449,MATCH($AR38,$CA$29:$CA$1449,0),)</f>
        <v>152.58</v>
      </c>
      <c r="AV38" s="5"/>
      <c r="AW38" s="94" cm="1">
        <f t="array" ref="AW38">INDEX($CF$29:$CF$1449,MATCH($AR38,$CA$29:$CA$1449,0),)</f>
        <v>320</v>
      </c>
      <c r="AX38" s="94"/>
      <c r="AY38" s="94"/>
      <c r="AZ38" s="94"/>
      <c r="BA38" s="94"/>
      <c r="BB38" s="5"/>
      <c r="BC38" s="5"/>
      <c r="BD38" s="5"/>
      <c r="BE38" s="5"/>
      <c r="BF38" s="5"/>
      <c r="BG38" s="5"/>
      <c r="BH38" s="5"/>
      <c r="BI38" s="5"/>
      <c r="BJ38" s="5"/>
      <c r="BK38" s="5"/>
      <c r="BL38" s="5"/>
      <c r="BM38" s="5"/>
      <c r="BN38" s="5"/>
      <c r="BO38" s="5"/>
      <c r="BP38" s="5"/>
      <c r="BQ38" s="95" t="str" cm="1">
        <f t="array" ref="BQ38">_xlfn.IFS(MONTH(BR38)&lt;4,1,MONTH(BR38)&lt;7,2,MONTH(BR38)&lt;10,3,MONTH(BR38)&gt;9,4)&amp;"Q"&amp;RIGHT(YEAR(BR38),2)</f>
        <v>1Q17</v>
      </c>
      <c r="BR38" s="81">
        <f t="shared" si="15"/>
        <v>42825</v>
      </c>
      <c r="BS38" s="96">
        <f t="shared" si="16"/>
        <v>42825</v>
      </c>
      <c r="BT38" s="85">
        <v>6.06</v>
      </c>
      <c r="BU38" s="85">
        <v>5.56</v>
      </c>
      <c r="BV38" s="85">
        <v>5.81</v>
      </c>
      <c r="BW38" s="85"/>
      <c r="BX38" s="85"/>
      <c r="CA38" s="97"/>
      <c r="CB38" s="97"/>
      <c r="CC38" s="97"/>
      <c r="CD38" s="97"/>
      <c r="CE38" s="97"/>
      <c r="CF38" s="97"/>
      <c r="CG38" s="97"/>
      <c r="CH38" s="97"/>
      <c r="CI38" s="97"/>
      <c r="CJ38" s="97"/>
      <c r="CK38" s="97"/>
      <c r="CL38" s="97"/>
      <c r="CM38" s="97"/>
      <c r="CN38" s="97"/>
      <c r="CO38" s="97"/>
      <c r="CP38" s="97"/>
      <c r="CQ38" s="97"/>
      <c r="CR38" s="97"/>
      <c r="CT38" s="98"/>
      <c r="CU38" s="98"/>
      <c r="CV38" s="98"/>
      <c r="CX38" s="99"/>
      <c r="CY38" s="1"/>
      <c r="CZ38" s="1"/>
      <c r="DA38" s="97"/>
      <c r="DB38" s="98"/>
      <c r="DC38" s="98"/>
      <c r="DD38" s="98"/>
      <c r="DE38" s="98"/>
      <c r="DF38" s="98"/>
      <c r="DG38" s="98"/>
      <c r="DH38" s="98"/>
      <c r="DI38" s="98"/>
      <c r="DJ38" s="98"/>
      <c r="DK38" s="98"/>
      <c r="DL38" s="98"/>
      <c r="DM38" s="1"/>
      <c r="DN38" s="100"/>
      <c r="DQ38" s="100"/>
      <c r="DR38" s="100"/>
      <c r="EA38" s="101" t="s">
        <v>203</v>
      </c>
      <c r="EB38" s="101"/>
      <c r="EC38" s="97"/>
      <c r="ED38" s="97"/>
      <c r="EE38" s="102">
        <v>32.8</v>
      </c>
      <c r="EF38" s="97"/>
      <c r="EG38" s="102">
        <v>22.4</v>
      </c>
      <c r="EH38" s="102">
        <v>44.5</v>
      </c>
      <c r="EJ38" s="107"/>
      <c r="EK38" s="107"/>
      <c r="EL38" s="107"/>
      <c r="EM38" s="108">
        <f t="shared" si="34"/>
        <v>-0.0914127423822716</v>
      </c>
      <c r="EN38" s="107"/>
      <c r="EO38" s="108">
        <f t="shared" si="33"/>
        <v>-0.0468085106382979</v>
      </c>
      <c r="EP38" s="100"/>
      <c r="FI38" s="35" t="str">
        <f t="shared" si="17"/>
        <v>4Q19</v>
      </c>
      <c r="FJ38" s="103"/>
      <c r="FK38" s="103"/>
      <c r="FL38" s="26">
        <v>17</v>
      </c>
      <c r="FM38" s="104"/>
      <c r="FN38" s="104">
        <f t="shared" si="18"/>
        <v>2009</v>
      </c>
      <c r="FO38" s="104">
        <f t="shared" si="19"/>
        <v>44</v>
      </c>
      <c r="FP38" s="35">
        <v>40117</v>
      </c>
      <c r="FQ38" s="26">
        <v>2.44818181818182</v>
      </c>
      <c r="FR38" s="59">
        <f t="shared" si="20"/>
        <v>19.5854545454545</v>
      </c>
      <c r="FS38" s="104">
        <f t="shared" si="21"/>
        <v>2009</v>
      </c>
      <c r="FT38" s="104">
        <f t="shared" si="6"/>
        <v>44</v>
      </c>
      <c r="FU38" s="35">
        <v>40117</v>
      </c>
      <c r="FV38" s="26">
        <v>1.92</v>
      </c>
      <c r="FW38" s="94">
        <f t="shared" si="22"/>
        <v>15.36</v>
      </c>
      <c r="FX38" s="104">
        <f t="shared" si="23"/>
        <v>2010</v>
      </c>
      <c r="FY38" s="104">
        <f t="shared" si="7"/>
        <v>42</v>
      </c>
      <c r="FZ38" s="35">
        <v>40463</v>
      </c>
      <c r="GA38" s="26">
        <v>3.87</v>
      </c>
      <c r="GB38" s="94">
        <f t="shared" si="24"/>
        <v>15.48</v>
      </c>
      <c r="GC38" s="104">
        <f t="shared" si="25"/>
        <v>2011</v>
      </c>
      <c r="GD38" s="104">
        <f t="shared" si="8"/>
        <v>5</v>
      </c>
      <c r="GE38" s="35">
        <v>40567</v>
      </c>
      <c r="GF38" s="26">
        <v>1.84</v>
      </c>
      <c r="GG38" s="94">
        <f t="shared" si="26"/>
        <v>7.36</v>
      </c>
      <c r="GH38" s="104">
        <f t="shared" si="27"/>
        <v>2013</v>
      </c>
      <c r="GI38" s="104">
        <f t="shared" si="9"/>
        <v>3</v>
      </c>
      <c r="GJ38" s="35">
        <v>41289</v>
      </c>
      <c r="GK38" s="26">
        <v>2.337</v>
      </c>
      <c r="GL38" s="94">
        <f t="shared" si="28"/>
        <v>4.674</v>
      </c>
      <c r="GM38" s="104">
        <f t="shared" si="29"/>
        <v>2013</v>
      </c>
      <c r="GN38" s="104">
        <f t="shared" si="10"/>
        <v>18</v>
      </c>
      <c r="GO38" s="35">
        <v>41394</v>
      </c>
      <c r="GP38" s="26">
        <v>3</v>
      </c>
      <c r="GQ38" s="94">
        <f t="shared" si="30"/>
        <v>6</v>
      </c>
      <c r="GR38" s="59"/>
    </row>
    <row r="39" ht="16" spans="3:200">
      <c r="C39" s="80" t="str" cm="1">
        <f t="array" ref="C39">_xlfn.IFS(MONTH(D39)&lt;4,1,MONTH(D39)&lt;7,2,MONTH(D39)&lt;10,3,MONTH(D39)&gt;9,4)&amp;"Q"&amp;RIGHT(YEAR(D39),2)</f>
        <v>1Q16</v>
      </c>
      <c r="D39" s="81">
        <f t="shared" si="11"/>
        <v>42460</v>
      </c>
      <c r="E39" s="82">
        <f t="shared" si="3"/>
        <v>42439</v>
      </c>
      <c r="F39" s="83">
        <f t="shared" si="4"/>
        <v>0.588</v>
      </c>
      <c r="G39" s="83">
        <f t="shared" si="4"/>
        <v>0.4032</v>
      </c>
      <c r="H39" s="81"/>
      <c r="I39" s="84">
        <v>42439</v>
      </c>
      <c r="J39" s="85">
        <v>4.9</v>
      </c>
      <c r="K39" s="85">
        <v>4.6</v>
      </c>
      <c r="L39" s="86">
        <v>4.704</v>
      </c>
      <c r="M39" s="87">
        <v>3.2256</v>
      </c>
      <c r="N39" s="88"/>
      <c r="O39" s="88"/>
      <c r="P39" s="88"/>
      <c r="Q39" s="89">
        <f t="shared" si="5"/>
        <v>0.458333333333333</v>
      </c>
      <c r="R39" s="5"/>
      <c r="S39" s="5"/>
      <c r="T39" s="5"/>
      <c r="U39" s="5"/>
      <c r="V39" s="5"/>
      <c r="W39" s="5"/>
      <c r="X39" s="5"/>
      <c r="Y39" s="5"/>
      <c r="Z39" s="5"/>
      <c r="AA39" s="5"/>
      <c r="AB39" s="5"/>
      <c r="AC39" s="5"/>
      <c r="AD39" s="5"/>
      <c r="AE39" s="5"/>
      <c r="AF39" s="5"/>
      <c r="AG39" s="5"/>
      <c r="AH39" s="105">
        <f t="shared" si="31"/>
        <v>42510</v>
      </c>
      <c r="AI39" s="91">
        <f t="shared" si="12"/>
        <v>3.936</v>
      </c>
      <c r="AJ39" s="36">
        <f t="shared" si="13"/>
        <v>-0.0749706227967097</v>
      </c>
      <c r="AK39" s="36">
        <f t="shared" si="32"/>
        <v>-0.157173447537473</v>
      </c>
      <c r="AL39" s="105"/>
      <c r="AM39" s="91"/>
      <c r="AN39" s="36"/>
      <c r="AO39" s="36"/>
      <c r="AP39" s="36"/>
      <c r="AQ39" s="92" t="str" cm="1">
        <f t="array" ref="AQ39">_xlfn.IFS(MONTH(AR39)&lt;4,1,MONTH(AR39)&lt;7,2,MONTH(AR39)&lt;10,3,MONTH(AR39)&gt;9,4)&amp;"Q"&amp;RIGHT(YEAR(AR39),2)</f>
        <v>2Q19</v>
      </c>
      <c r="AR39" s="92">
        <f t="shared" si="14"/>
        <v>43585</v>
      </c>
      <c r="AS39" s="93">
        <v>43563</v>
      </c>
      <c r="AT39" s="5"/>
      <c r="AU39" s="94" cm="1">
        <f t="array" ref="AU39">INDEX($CE$29:$CE$1449,MATCH($AR39,$CA$29:$CA$1449,0),)</f>
        <v>152.58</v>
      </c>
      <c r="AV39" s="5"/>
      <c r="AW39" s="94" cm="1">
        <f t="array" ref="AW39">INDEX($CF$29:$CF$1449,MATCH($AR39,$CA$29:$CA$1449,0),)</f>
        <v>320</v>
      </c>
      <c r="AX39" s="94"/>
      <c r="AY39" s="94"/>
      <c r="AZ39" s="94"/>
      <c r="BA39" s="94"/>
      <c r="BB39" s="5"/>
      <c r="BC39" s="5"/>
      <c r="BD39" s="5"/>
      <c r="BE39" s="5"/>
      <c r="BF39" s="5"/>
      <c r="BG39" s="5"/>
      <c r="BH39" s="5"/>
      <c r="BI39" s="5"/>
      <c r="BJ39" s="5"/>
      <c r="BK39" s="5"/>
      <c r="BL39" s="5"/>
      <c r="BM39" s="5"/>
      <c r="BN39" s="5"/>
      <c r="BO39" s="5"/>
      <c r="BP39" s="5"/>
      <c r="BQ39" s="95" t="str" cm="1">
        <f t="array" ref="BQ39">_xlfn.IFS(MONTH(BR39)&lt;4,1,MONTH(BR39)&lt;7,2,MONTH(BR39)&lt;10,3,MONTH(BR39)&gt;9,4)&amp;"Q"&amp;RIGHT(YEAR(BR39),2)</f>
        <v>2Q17</v>
      </c>
      <c r="BR39" s="81">
        <f t="shared" si="15"/>
        <v>42855</v>
      </c>
      <c r="BS39" s="96">
        <f t="shared" si="16"/>
        <v>42855</v>
      </c>
      <c r="BT39" s="85">
        <v>6.56</v>
      </c>
      <c r="BU39" s="85">
        <v>6.44</v>
      </c>
      <c r="BV39" s="85">
        <v>6.5</v>
      </c>
      <c r="BW39" s="85"/>
      <c r="BX39" s="85"/>
      <c r="CA39" s="97"/>
      <c r="CB39" s="97"/>
      <c r="CC39" s="97"/>
      <c r="CD39" s="97"/>
      <c r="CE39" s="97"/>
      <c r="CF39" s="97"/>
      <c r="CG39" s="97"/>
      <c r="CH39" s="97"/>
      <c r="CI39" s="97"/>
      <c r="CJ39" s="97"/>
      <c r="CK39" s="97"/>
      <c r="CL39" s="97"/>
      <c r="CM39" s="97"/>
      <c r="CN39" s="97"/>
      <c r="CO39" s="97"/>
      <c r="CP39" s="97"/>
      <c r="CQ39" s="97"/>
      <c r="CR39" s="97"/>
      <c r="CT39" s="98"/>
      <c r="CU39" s="98"/>
      <c r="CV39" s="98"/>
      <c r="CX39" s="99"/>
      <c r="CY39" s="1"/>
      <c r="CZ39" s="1"/>
      <c r="DA39" s="97"/>
      <c r="DB39" s="98"/>
      <c r="DC39" s="98"/>
      <c r="DD39" s="98"/>
      <c r="DE39" s="98"/>
      <c r="DF39" s="98"/>
      <c r="DG39" s="98"/>
      <c r="DH39" s="98"/>
      <c r="DI39" s="98"/>
      <c r="DJ39" s="98"/>
      <c r="DK39" s="98"/>
      <c r="DL39" s="98"/>
      <c r="DM39" s="1"/>
      <c r="DN39" s="100"/>
      <c r="DQ39" s="100"/>
      <c r="DR39" s="100"/>
      <c r="EA39" s="101" t="s">
        <v>204</v>
      </c>
      <c r="EB39" s="101"/>
      <c r="EC39" s="97"/>
      <c r="ED39" s="97"/>
      <c r="EE39" s="102">
        <v>31.6</v>
      </c>
      <c r="EF39" s="97"/>
      <c r="EG39" s="102">
        <v>22.4</v>
      </c>
      <c r="EH39" s="102">
        <v>44</v>
      </c>
      <c r="EJ39" s="107"/>
      <c r="EK39" s="107"/>
      <c r="EL39" s="107"/>
      <c r="EM39" s="108">
        <f t="shared" si="34"/>
        <v>-0.0365853658536585</v>
      </c>
      <c r="EN39" s="107"/>
      <c r="EO39" s="108">
        <f t="shared" si="33"/>
        <v>0</v>
      </c>
      <c r="EP39" s="108">
        <f t="shared" si="33"/>
        <v>-0.0112359550561798</v>
      </c>
      <c r="FI39" s="35" t="str">
        <f t="shared" si="17"/>
        <v>1Q20</v>
      </c>
      <c r="FJ39" s="103"/>
      <c r="FK39" s="103"/>
      <c r="FL39" s="26">
        <v>16.6</v>
      </c>
      <c r="FM39" s="104"/>
      <c r="FN39" s="104">
        <f t="shared" si="18"/>
        <v>2009</v>
      </c>
      <c r="FO39" s="104">
        <f t="shared" si="19"/>
        <v>49</v>
      </c>
      <c r="FP39" s="35">
        <v>40147</v>
      </c>
      <c r="FQ39" s="26">
        <v>2.63190476190476</v>
      </c>
      <c r="FR39" s="59">
        <f t="shared" si="20"/>
        <v>21.0552380952381</v>
      </c>
      <c r="FS39" s="104">
        <f t="shared" si="21"/>
        <v>2009</v>
      </c>
      <c r="FT39" s="104">
        <f t="shared" si="6"/>
        <v>49</v>
      </c>
      <c r="FU39" s="35">
        <v>40147</v>
      </c>
      <c r="FV39" s="26">
        <v>2.38</v>
      </c>
      <c r="FW39" s="94">
        <f t="shared" si="22"/>
        <v>19.04</v>
      </c>
      <c r="FX39" s="104">
        <f t="shared" si="23"/>
        <v>2010</v>
      </c>
      <c r="FY39" s="104">
        <f t="shared" si="7"/>
        <v>42</v>
      </c>
      <c r="FZ39" s="35">
        <v>40464</v>
      </c>
      <c r="GA39" s="26">
        <v>3.87</v>
      </c>
      <c r="GB39" s="94">
        <f t="shared" si="24"/>
        <v>15.48</v>
      </c>
      <c r="GC39" s="104">
        <f t="shared" si="25"/>
        <v>2011</v>
      </c>
      <c r="GD39" s="104">
        <f t="shared" si="8"/>
        <v>8</v>
      </c>
      <c r="GE39" s="35">
        <v>40589</v>
      </c>
      <c r="GF39" s="26">
        <v>1.84</v>
      </c>
      <c r="GG39" s="94">
        <f t="shared" si="26"/>
        <v>7.36</v>
      </c>
      <c r="GH39" s="104">
        <f t="shared" si="27"/>
        <v>2013</v>
      </c>
      <c r="GI39" s="104">
        <f t="shared" si="9"/>
        <v>3</v>
      </c>
      <c r="GJ39" s="35">
        <v>41290</v>
      </c>
      <c r="GK39" s="26">
        <v>2.317</v>
      </c>
      <c r="GL39" s="94">
        <f t="shared" si="28"/>
        <v>4.634</v>
      </c>
      <c r="GM39" s="104">
        <f t="shared" si="29"/>
        <v>2013</v>
      </c>
      <c r="GN39" s="104">
        <f t="shared" si="10"/>
        <v>20</v>
      </c>
      <c r="GO39" s="35">
        <v>41409</v>
      </c>
      <c r="GP39" s="26">
        <v>3.06</v>
      </c>
      <c r="GQ39" s="94">
        <f t="shared" si="30"/>
        <v>6.12</v>
      </c>
      <c r="GR39" s="59"/>
    </row>
    <row r="40" ht="16" spans="3:200">
      <c r="C40" s="80" t="str" cm="1">
        <f t="array" ref="C40">_xlfn.IFS(MONTH(D40)&lt;4,1,MONTH(D40)&lt;7,2,MONTH(D40)&lt;10,3,MONTH(D40)&gt;9,4)&amp;"Q"&amp;RIGHT(YEAR(D40),2)</f>
        <v>1Q16</v>
      </c>
      <c r="D40" s="81">
        <f t="shared" si="11"/>
        <v>42460</v>
      </c>
      <c r="E40" s="82">
        <f t="shared" si="3"/>
        <v>42440</v>
      </c>
      <c r="F40" s="83">
        <f t="shared" si="4"/>
        <v>0.588</v>
      </c>
      <c r="G40" s="83">
        <f t="shared" si="4"/>
        <v>0.4032</v>
      </c>
      <c r="H40" s="81"/>
      <c r="I40" s="84">
        <v>42440</v>
      </c>
      <c r="J40" s="85">
        <v>4.9</v>
      </c>
      <c r="K40" s="85">
        <v>4.6</v>
      </c>
      <c r="L40" s="86">
        <v>4.704</v>
      </c>
      <c r="M40" s="87">
        <v>3.2256</v>
      </c>
      <c r="N40" s="88"/>
      <c r="O40" s="88"/>
      <c r="P40" s="88"/>
      <c r="Q40" s="89">
        <f t="shared" si="5"/>
        <v>0.458333333333333</v>
      </c>
      <c r="R40" s="5"/>
      <c r="S40" s="5"/>
      <c r="T40" s="5"/>
      <c r="U40" s="5"/>
      <c r="V40" s="5"/>
      <c r="W40" s="5"/>
      <c r="X40" s="5"/>
      <c r="Y40" s="5"/>
      <c r="Z40" s="5"/>
      <c r="AA40" s="5"/>
      <c r="AB40" s="5"/>
      <c r="AC40" s="5"/>
      <c r="AD40" s="5"/>
      <c r="AE40" s="5"/>
      <c r="AF40" s="5"/>
      <c r="AG40" s="5"/>
      <c r="AH40" s="105">
        <f t="shared" ref="AH40:AH103" si="35">WORKDAY(AH39,6)</f>
        <v>42520</v>
      </c>
      <c r="AI40" s="91">
        <f t="shared" si="12"/>
        <v>3.755</v>
      </c>
      <c r="AJ40" s="36">
        <f t="shared" si="13"/>
        <v>-0.0459857723577236</v>
      </c>
      <c r="AK40" s="36">
        <f t="shared" si="32"/>
        <v>-0.117508813160987</v>
      </c>
      <c r="AL40" s="105"/>
      <c r="AM40" s="91"/>
      <c r="AN40" s="36"/>
      <c r="AO40" s="36"/>
      <c r="AP40" s="36"/>
      <c r="AQ40" s="92" t="str" cm="1">
        <f t="array" ref="AQ40">_xlfn.IFS(MONTH(AR40)&lt;4,1,MONTH(AR40)&lt;7,2,MONTH(AR40)&lt;10,3,MONTH(AR40)&gt;9,4)&amp;"Q"&amp;RIGHT(YEAR(AR40),2)</f>
        <v>2Q19</v>
      </c>
      <c r="AR40" s="92">
        <f t="shared" si="14"/>
        <v>43585</v>
      </c>
      <c r="AS40" s="109">
        <v>43570</v>
      </c>
      <c r="AT40" s="110"/>
      <c r="AU40" s="94" cm="1">
        <f t="array" ref="AU40">INDEX($CE$29:$CE$1449,MATCH($AR40,$CA$29:$CA$1449,0),)</f>
        <v>152.58</v>
      </c>
      <c r="AV40" s="110"/>
      <c r="AW40" s="94" cm="1">
        <f t="array" ref="AW40">INDEX($CF$29:$CF$1449,MATCH($AR40,$CA$29:$CA$1449,0),)</f>
        <v>320</v>
      </c>
      <c r="AX40" s="94"/>
      <c r="AY40" s="94"/>
      <c r="AZ40" s="94"/>
      <c r="BA40" s="94"/>
      <c r="BB40" s="5"/>
      <c r="BC40" s="5"/>
      <c r="BD40" s="5"/>
      <c r="BE40" s="5"/>
      <c r="BF40" s="5"/>
      <c r="BG40" s="5"/>
      <c r="BH40" s="5"/>
      <c r="BI40" s="5"/>
      <c r="BJ40" s="5"/>
      <c r="BK40" s="5"/>
      <c r="BL40" s="5"/>
      <c r="BM40" s="5"/>
      <c r="BN40" s="5"/>
      <c r="BO40" s="5"/>
      <c r="BP40" s="5"/>
      <c r="BQ40" s="95" t="str" cm="1">
        <f t="array" ref="BQ40">_xlfn.IFS(MONTH(BR40)&lt;4,1,MONTH(BR40)&lt;7,2,MONTH(BR40)&lt;10,3,MONTH(BR40)&gt;9,4)&amp;"Q"&amp;RIGHT(YEAR(BR40),2)</f>
        <v>2Q17</v>
      </c>
      <c r="BR40" s="81">
        <f t="shared" si="15"/>
        <v>42886</v>
      </c>
      <c r="BS40" s="96">
        <f t="shared" si="16"/>
        <v>42886</v>
      </c>
      <c r="BT40" s="85">
        <v>6.56</v>
      </c>
      <c r="BU40" s="85">
        <v>6.44</v>
      </c>
      <c r="BV40" s="85">
        <v>6.5</v>
      </c>
      <c r="BW40" s="85"/>
      <c r="BX40" s="85"/>
      <c r="CA40" s="97"/>
      <c r="CB40" s="97"/>
      <c r="CC40" s="97"/>
      <c r="CD40" s="97"/>
      <c r="CE40" s="97"/>
      <c r="CF40" s="97"/>
      <c r="CG40" s="97"/>
      <c r="CH40" s="97"/>
      <c r="CI40" s="97"/>
      <c r="CJ40" s="97"/>
      <c r="CK40" s="97"/>
      <c r="CL40" s="97"/>
      <c r="CM40" s="97"/>
      <c r="CN40" s="97"/>
      <c r="CO40" s="97"/>
      <c r="CP40" s="97"/>
      <c r="CQ40" s="97"/>
      <c r="CR40" s="97"/>
      <c r="CT40" s="98"/>
      <c r="CU40" s="98"/>
      <c r="CV40" s="98"/>
      <c r="CX40" s="99"/>
      <c r="CY40" s="1"/>
      <c r="CZ40" s="1"/>
      <c r="DA40" s="97"/>
      <c r="DB40" s="98"/>
      <c r="DC40" s="98"/>
      <c r="DD40" s="98"/>
      <c r="DE40" s="98"/>
      <c r="DF40" s="98"/>
      <c r="DG40" s="98"/>
      <c r="DH40" s="98"/>
      <c r="DI40" s="98"/>
      <c r="DJ40" s="98"/>
      <c r="DK40" s="98"/>
      <c r="DL40" s="98"/>
      <c r="DM40" s="1"/>
      <c r="DN40" s="100"/>
      <c r="DQ40" s="100"/>
      <c r="DR40" s="100"/>
      <c r="EA40" s="101" t="s">
        <v>205</v>
      </c>
      <c r="EB40" s="101"/>
      <c r="EC40" s="97"/>
      <c r="ED40" s="97"/>
      <c r="EE40" s="102">
        <v>32.3</v>
      </c>
      <c r="EF40" s="97"/>
      <c r="EG40" s="102">
        <v>23</v>
      </c>
      <c r="EH40" s="102">
        <v>44.5</v>
      </c>
      <c r="EI40" s="111"/>
      <c r="EJ40" s="107"/>
      <c r="EK40" s="107"/>
      <c r="EL40" s="107"/>
      <c r="EM40" s="108">
        <f t="shared" si="34"/>
        <v>0.0221518987341771</v>
      </c>
      <c r="EN40" s="107"/>
      <c r="EO40" s="108">
        <f t="shared" si="33"/>
        <v>0.0267857142857144</v>
      </c>
      <c r="EP40" s="108">
        <f t="shared" si="33"/>
        <v>0.0113636363636365</v>
      </c>
      <c r="ES40" s="36"/>
      <c r="FI40" s="35" t="str">
        <f t="shared" si="17"/>
        <v>2Q20</v>
      </c>
      <c r="FJ40" s="103"/>
      <c r="FK40" s="103"/>
      <c r="FL40" s="26">
        <v>17.1</v>
      </c>
      <c r="FM40" s="104"/>
      <c r="FN40" s="104">
        <f t="shared" si="18"/>
        <v>2009</v>
      </c>
      <c r="FO40" s="104">
        <f t="shared" si="19"/>
        <v>53</v>
      </c>
      <c r="FP40" s="35">
        <v>40178</v>
      </c>
      <c r="FQ40" s="26">
        <v>2.43086956521739</v>
      </c>
      <c r="FR40" s="59">
        <f t="shared" si="20"/>
        <v>19.4469565217391</v>
      </c>
      <c r="FS40" s="104">
        <f t="shared" si="21"/>
        <v>2009</v>
      </c>
      <c r="FT40" s="104">
        <f t="shared" si="6"/>
        <v>53</v>
      </c>
      <c r="FU40" s="35">
        <v>40178</v>
      </c>
      <c r="FV40" s="26">
        <v>2.38</v>
      </c>
      <c r="FW40" s="94">
        <f t="shared" si="22"/>
        <v>19.04</v>
      </c>
      <c r="FX40" s="104">
        <f t="shared" si="23"/>
        <v>2010</v>
      </c>
      <c r="FY40" s="104">
        <f t="shared" si="7"/>
        <v>42</v>
      </c>
      <c r="FZ40" s="35">
        <v>40465</v>
      </c>
      <c r="GA40" s="26">
        <v>3.87</v>
      </c>
      <c r="GB40" s="94">
        <f t="shared" si="24"/>
        <v>15.48</v>
      </c>
      <c r="GC40" s="104">
        <f t="shared" si="25"/>
        <v>2011</v>
      </c>
      <c r="GD40" s="104">
        <f t="shared" si="8"/>
        <v>9</v>
      </c>
      <c r="GE40" s="35">
        <v>40597</v>
      </c>
      <c r="GF40" s="26">
        <v>1.84</v>
      </c>
      <c r="GG40" s="94">
        <f t="shared" si="26"/>
        <v>7.36</v>
      </c>
      <c r="GH40" s="104">
        <f t="shared" si="27"/>
        <v>2013</v>
      </c>
      <c r="GI40" s="104">
        <f t="shared" si="9"/>
        <v>3</v>
      </c>
      <c r="GJ40" s="35">
        <v>41291</v>
      </c>
      <c r="GK40" s="26">
        <v>2.317</v>
      </c>
      <c r="GL40" s="94">
        <f t="shared" si="28"/>
        <v>4.634</v>
      </c>
      <c r="GM40" s="104">
        <f t="shared" si="29"/>
        <v>2013</v>
      </c>
      <c r="GN40" s="104">
        <f t="shared" si="10"/>
        <v>22</v>
      </c>
      <c r="GO40" s="35">
        <v>41425</v>
      </c>
      <c r="GP40" s="26">
        <v>3.06</v>
      </c>
      <c r="GQ40" s="94">
        <f t="shared" si="30"/>
        <v>6.12</v>
      </c>
      <c r="GR40" s="59"/>
    </row>
    <row r="41" ht="16" spans="3:200">
      <c r="C41" s="80" t="str" cm="1">
        <f t="array" ref="C41">_xlfn.IFS(MONTH(D41)&lt;4,1,MONTH(D41)&lt;7,2,MONTH(D41)&lt;10,3,MONTH(D41)&gt;9,4)&amp;"Q"&amp;RIGHT(YEAR(D41),2)</f>
        <v>1Q16</v>
      </c>
      <c r="D41" s="81">
        <f t="shared" si="11"/>
        <v>42460</v>
      </c>
      <c r="E41" s="82">
        <f t="shared" si="3"/>
        <v>42443</v>
      </c>
      <c r="F41" s="83">
        <f t="shared" si="4"/>
        <v>0.588</v>
      </c>
      <c r="G41" s="83">
        <f t="shared" si="4"/>
        <v>0.4032</v>
      </c>
      <c r="H41" s="81"/>
      <c r="I41" s="84">
        <v>42443</v>
      </c>
      <c r="J41" s="85">
        <v>4.9</v>
      </c>
      <c r="K41" s="85">
        <v>4.6</v>
      </c>
      <c r="L41" s="86">
        <v>4.704</v>
      </c>
      <c r="M41" s="87">
        <v>3.2256</v>
      </c>
      <c r="N41" s="88"/>
      <c r="O41" s="88"/>
      <c r="P41" s="88"/>
      <c r="Q41" s="89">
        <f t="shared" si="5"/>
        <v>0.458333333333333</v>
      </c>
      <c r="R41" s="5"/>
      <c r="S41" s="5"/>
      <c r="T41" s="5"/>
      <c r="U41" s="5"/>
      <c r="V41" s="5"/>
      <c r="W41" s="5"/>
      <c r="X41" s="5"/>
      <c r="Y41" s="5"/>
      <c r="Z41" s="5"/>
      <c r="AA41" s="5"/>
      <c r="AB41" s="5"/>
      <c r="AC41" s="5"/>
      <c r="AD41" s="5"/>
      <c r="AE41" s="5"/>
      <c r="AF41" s="5"/>
      <c r="AG41" s="5"/>
      <c r="AH41" s="105">
        <f t="shared" si="35"/>
        <v>42528</v>
      </c>
      <c r="AI41" s="91">
        <f t="shared" si="12"/>
        <v>3.705</v>
      </c>
      <c r="AJ41" s="36">
        <f t="shared" si="13"/>
        <v>-0.0133155792276963</v>
      </c>
      <c r="AK41" s="36">
        <f t="shared" si="32"/>
        <v>-0.0586890243902438</v>
      </c>
      <c r="AL41" s="105"/>
      <c r="AM41" s="91"/>
      <c r="AN41" s="36"/>
      <c r="AO41" s="36"/>
      <c r="AP41" s="36"/>
      <c r="AQ41" s="92" t="str" cm="1">
        <f t="array" ref="AQ41">_xlfn.IFS(MONTH(AR41)&lt;4,1,MONTH(AR41)&lt;7,2,MONTH(AR41)&lt;10,3,MONTH(AR41)&gt;9,4)&amp;"Q"&amp;RIGHT(YEAR(AR41),2)</f>
        <v>2Q19</v>
      </c>
      <c r="AR41" s="92">
        <f t="shared" si="14"/>
        <v>43585</v>
      </c>
      <c r="AS41" s="109">
        <v>43577</v>
      </c>
      <c r="AT41" s="110"/>
      <c r="AU41" s="94" cm="1">
        <f t="array" ref="AU41">INDEX($CE$29:$CE$1449,MATCH($AR41,$CA$29:$CA$1449,0),)</f>
        <v>152.58</v>
      </c>
      <c r="AV41" s="110"/>
      <c r="AW41" s="94" cm="1">
        <f t="array" ref="AW41">INDEX($CF$29:$CF$1449,MATCH($AR41,$CA$29:$CA$1449,0),)</f>
        <v>320</v>
      </c>
      <c r="AX41" s="94"/>
      <c r="AY41" s="94"/>
      <c r="AZ41" s="94"/>
      <c r="BA41" s="94"/>
      <c r="BB41" s="5"/>
      <c r="BC41" s="5"/>
      <c r="BD41" s="5"/>
      <c r="BE41" s="5"/>
      <c r="BF41" s="5"/>
      <c r="BG41" s="5"/>
      <c r="BH41" s="5"/>
      <c r="BI41" s="5"/>
      <c r="BJ41" s="5"/>
      <c r="BK41" s="5"/>
      <c r="BL41" s="5"/>
      <c r="BM41" s="5"/>
      <c r="BN41" s="5"/>
      <c r="BO41" s="5"/>
      <c r="BP41" s="5"/>
      <c r="BQ41" s="95" t="str" cm="1">
        <f t="array" ref="BQ41">_xlfn.IFS(MONTH(BR41)&lt;4,1,MONTH(BR41)&lt;7,2,MONTH(BR41)&lt;10,3,MONTH(BR41)&gt;9,4)&amp;"Q"&amp;RIGHT(YEAR(BR41),2)</f>
        <v>2Q17</v>
      </c>
      <c r="BR41" s="81">
        <f t="shared" si="15"/>
        <v>42916</v>
      </c>
      <c r="BS41" s="96">
        <f t="shared" si="16"/>
        <v>42916</v>
      </c>
      <c r="BT41" s="85">
        <v>6.56</v>
      </c>
      <c r="BU41" s="85">
        <v>6.44</v>
      </c>
      <c r="BV41" s="85">
        <v>6.5</v>
      </c>
      <c r="BW41" s="85"/>
      <c r="BX41" s="85"/>
      <c r="CA41" s="97"/>
      <c r="CB41" s="97"/>
      <c r="CC41" s="97"/>
      <c r="CD41" s="97"/>
      <c r="CE41" s="97"/>
      <c r="CF41" s="97"/>
      <c r="CG41" s="97"/>
      <c r="CH41" s="97"/>
      <c r="CI41" s="97"/>
      <c r="CJ41" s="97"/>
      <c r="CK41" s="97"/>
      <c r="CL41" s="97"/>
      <c r="CM41" s="97"/>
      <c r="CN41" s="97"/>
      <c r="CO41" s="97"/>
      <c r="CP41" s="97"/>
      <c r="CQ41" s="97"/>
      <c r="CR41" s="97"/>
      <c r="CT41" s="98"/>
      <c r="CU41" s="98"/>
      <c r="CV41" s="98"/>
      <c r="CX41" s="99"/>
      <c r="CY41" s="1"/>
      <c r="CZ41" s="1"/>
      <c r="DA41" s="97"/>
      <c r="DB41" s="98"/>
      <c r="DC41" s="98"/>
      <c r="DD41" s="98"/>
      <c r="DE41" s="98"/>
      <c r="DF41" s="98"/>
      <c r="DG41" s="98"/>
      <c r="DH41" s="98"/>
      <c r="DI41" s="98"/>
      <c r="DJ41" s="98"/>
      <c r="DK41" s="98"/>
      <c r="DL41" s="98"/>
      <c r="DM41" s="1"/>
      <c r="DN41" s="100"/>
      <c r="DQ41" s="100"/>
      <c r="DR41" s="100"/>
      <c r="EA41" s="101" t="s">
        <v>206</v>
      </c>
      <c r="EB41" s="101"/>
      <c r="EC41" s="97"/>
      <c r="ED41" s="97"/>
      <c r="EE41" s="102">
        <v>29.5</v>
      </c>
      <c r="EF41" s="97"/>
      <c r="EG41" s="102">
        <v>22</v>
      </c>
      <c r="EH41" s="102">
        <v>40.8</v>
      </c>
      <c r="EI41" s="111"/>
      <c r="EJ41" s="107"/>
      <c r="EK41" s="107"/>
      <c r="EL41" s="107"/>
      <c r="EM41" s="108">
        <f t="shared" si="34"/>
        <v>-0.0866873065015479</v>
      </c>
      <c r="EN41" s="107"/>
      <c r="EO41" s="108">
        <f t="shared" si="33"/>
        <v>-0.0434782608695652</v>
      </c>
      <c r="EP41" s="108">
        <f t="shared" si="33"/>
        <v>-0.0831460674157304</v>
      </c>
      <c r="ES41" s="36"/>
      <c r="FI41" s="35" t="str">
        <f t="shared" si="17"/>
        <v>3Q20</v>
      </c>
      <c r="FJ41" s="103"/>
      <c r="FK41" s="103"/>
      <c r="FL41" s="26">
        <v>16.4</v>
      </c>
      <c r="FM41" s="104"/>
      <c r="FN41" s="104">
        <f t="shared" si="18"/>
        <v>2010</v>
      </c>
      <c r="FO41" s="104">
        <f t="shared" si="19"/>
        <v>6</v>
      </c>
      <c r="FP41" s="35">
        <v>40209</v>
      </c>
      <c r="FQ41" s="26">
        <v>2.429</v>
      </c>
      <c r="FR41" s="59">
        <f t="shared" si="20"/>
        <v>19.432</v>
      </c>
      <c r="FS41" s="104">
        <f t="shared" si="21"/>
        <v>2010</v>
      </c>
      <c r="FT41" s="104">
        <f t="shared" si="6"/>
        <v>6</v>
      </c>
      <c r="FU41" s="35">
        <v>40209</v>
      </c>
      <c r="FV41" s="26">
        <v>2.38</v>
      </c>
      <c r="FW41" s="94">
        <f t="shared" si="22"/>
        <v>19.04</v>
      </c>
      <c r="FX41" s="104">
        <f t="shared" si="23"/>
        <v>2010</v>
      </c>
      <c r="FY41" s="104">
        <f t="shared" si="7"/>
        <v>42</v>
      </c>
      <c r="FZ41" s="35">
        <v>40466</v>
      </c>
      <c r="GA41" s="26">
        <v>3.87</v>
      </c>
      <c r="GB41" s="94">
        <f t="shared" si="24"/>
        <v>15.48</v>
      </c>
      <c r="GC41" s="104">
        <f t="shared" si="25"/>
        <v>2011</v>
      </c>
      <c r="GD41" s="104">
        <f t="shared" si="8"/>
        <v>11</v>
      </c>
      <c r="GE41" s="35">
        <v>40613</v>
      </c>
      <c r="GF41" s="26">
        <v>1.84</v>
      </c>
      <c r="GG41" s="94">
        <f t="shared" si="26"/>
        <v>7.36</v>
      </c>
      <c r="GH41" s="104">
        <f t="shared" si="27"/>
        <v>2013</v>
      </c>
      <c r="GI41" s="104">
        <f t="shared" si="9"/>
        <v>3</v>
      </c>
      <c r="GJ41" s="35">
        <v>41292</v>
      </c>
      <c r="GK41" s="26">
        <v>2.317</v>
      </c>
      <c r="GL41" s="94">
        <f t="shared" si="28"/>
        <v>4.634</v>
      </c>
      <c r="GM41" s="104">
        <f t="shared" si="29"/>
        <v>2013</v>
      </c>
      <c r="GN41" s="104">
        <f t="shared" si="10"/>
        <v>24</v>
      </c>
      <c r="GO41" s="35">
        <v>41439</v>
      </c>
      <c r="GP41" s="26">
        <v>3.09</v>
      </c>
      <c r="GQ41" s="94">
        <f t="shared" si="30"/>
        <v>6.18</v>
      </c>
      <c r="GR41" s="59"/>
    </row>
    <row r="42" ht="16" spans="3:200">
      <c r="C42" s="80" t="str" cm="1">
        <f t="array" ref="C42">_xlfn.IFS(MONTH(D42)&lt;4,1,MONTH(D42)&lt;7,2,MONTH(D42)&lt;10,3,MONTH(D42)&gt;9,4)&amp;"Q"&amp;RIGHT(YEAR(D42),2)</f>
        <v>1Q16</v>
      </c>
      <c r="D42" s="81">
        <f t="shared" si="11"/>
        <v>42460</v>
      </c>
      <c r="E42" s="82">
        <f t="shared" si="3"/>
        <v>42444</v>
      </c>
      <c r="F42" s="83">
        <f t="shared" si="4"/>
        <v>0.586875</v>
      </c>
      <c r="G42" s="83">
        <f t="shared" si="4"/>
        <v>0.4032</v>
      </c>
      <c r="H42" s="81"/>
      <c r="I42" s="84">
        <v>42444</v>
      </c>
      <c r="J42" s="85">
        <v>4.9</v>
      </c>
      <c r="K42" s="85">
        <v>4.6</v>
      </c>
      <c r="L42" s="86">
        <v>4.695</v>
      </c>
      <c r="M42" s="87">
        <v>3.2256</v>
      </c>
      <c r="N42" s="88"/>
      <c r="O42" s="88"/>
      <c r="P42" s="88"/>
      <c r="Q42" s="89">
        <f t="shared" si="5"/>
        <v>0.455543154761905</v>
      </c>
      <c r="R42" s="5"/>
      <c r="S42" s="5"/>
      <c r="T42" s="5"/>
      <c r="U42" s="5"/>
      <c r="V42" s="5"/>
      <c r="W42" s="5"/>
      <c r="X42" s="5"/>
      <c r="Y42" s="5"/>
      <c r="Z42" s="5"/>
      <c r="AA42" s="5"/>
      <c r="AB42" s="5"/>
      <c r="AC42" s="5"/>
      <c r="AD42" s="5"/>
      <c r="AE42" s="5"/>
      <c r="AF42" s="5"/>
      <c r="AG42" s="5"/>
      <c r="AH42" s="105">
        <f t="shared" si="35"/>
        <v>42536</v>
      </c>
      <c r="AI42" s="91">
        <f t="shared" si="12"/>
        <v>3.641</v>
      </c>
      <c r="AJ42" s="36">
        <f t="shared" si="13"/>
        <v>-0.0172739541160594</v>
      </c>
      <c r="AK42" s="36">
        <f t="shared" si="32"/>
        <v>-0.0303595206391478</v>
      </c>
      <c r="AL42" s="105"/>
      <c r="AM42" s="91"/>
      <c r="AN42" s="36"/>
      <c r="AO42" s="36"/>
      <c r="AP42" s="36"/>
      <c r="AQ42" s="92" t="str" cm="1">
        <f t="array" ref="AQ42">_xlfn.IFS(MONTH(AR42)&lt;4,1,MONTH(AR42)&lt;7,2,MONTH(AR42)&lt;10,3,MONTH(AR42)&gt;9,4)&amp;"Q"&amp;RIGHT(YEAR(AR42),2)</f>
        <v>2Q19</v>
      </c>
      <c r="AR42" s="92">
        <f t="shared" si="14"/>
        <v>43585</v>
      </c>
      <c r="AS42" s="109">
        <v>43584</v>
      </c>
      <c r="AT42" s="110"/>
      <c r="AU42" s="94" cm="1">
        <f t="array" ref="AU42">INDEX($CE$29:$CE$1449,MATCH($AR42,$CA$29:$CA$1449,0),)</f>
        <v>152.58</v>
      </c>
      <c r="AV42" s="110"/>
      <c r="AW42" s="94" cm="1">
        <f t="array" ref="AW42">INDEX($CF$29:$CF$1449,MATCH($AR42,$CA$29:$CA$1449,0),)</f>
        <v>320</v>
      </c>
      <c r="AX42" s="94"/>
      <c r="AY42" s="94"/>
      <c r="AZ42" s="94"/>
      <c r="BA42" s="94"/>
      <c r="BB42" s="5"/>
      <c r="BC42" s="5"/>
      <c r="BD42" s="5"/>
      <c r="BE42" s="5"/>
      <c r="BF42" s="5"/>
      <c r="BG42" s="5"/>
      <c r="BH42" s="5"/>
      <c r="BI42" s="5"/>
      <c r="BJ42" s="5"/>
      <c r="BK42" s="5"/>
      <c r="BL42" s="5"/>
      <c r="BM42" s="5"/>
      <c r="BN42" s="5"/>
      <c r="BO42" s="5"/>
      <c r="BP42" s="5"/>
      <c r="BQ42" s="95" t="str" cm="1">
        <f t="array" ref="BQ42">_xlfn.IFS(MONTH(BR42)&lt;4,1,MONTH(BR42)&lt;7,2,MONTH(BR42)&lt;10,3,MONTH(BR42)&gt;9,4)&amp;"Q"&amp;RIGHT(YEAR(BR42),2)</f>
        <v>3Q17</v>
      </c>
      <c r="BR42" s="81">
        <f t="shared" si="15"/>
        <v>42947</v>
      </c>
      <c r="BS42" s="96">
        <f t="shared" si="16"/>
        <v>42947</v>
      </c>
      <c r="BT42" s="85">
        <v>6.94</v>
      </c>
      <c r="BU42" s="85">
        <v>6.74</v>
      </c>
      <c r="BV42" s="85">
        <v>6.81</v>
      </c>
      <c r="BW42" s="85"/>
      <c r="BX42" s="85"/>
      <c r="CA42" s="97"/>
      <c r="CB42" s="97"/>
      <c r="CC42" s="97"/>
      <c r="CD42" s="97"/>
      <c r="CE42" s="97"/>
      <c r="CF42" s="97"/>
      <c r="CG42" s="97"/>
      <c r="CH42" s="97"/>
      <c r="CI42" s="97"/>
      <c r="CJ42" s="97"/>
      <c r="CK42" s="97"/>
      <c r="CL42" s="97"/>
      <c r="CM42" s="97"/>
      <c r="CN42" s="97"/>
      <c r="CO42" s="97"/>
      <c r="CP42" s="97"/>
      <c r="CQ42" s="97"/>
      <c r="CR42" s="97"/>
      <c r="CT42" s="98"/>
      <c r="CU42" s="98"/>
      <c r="CV42" s="98"/>
      <c r="CX42" s="99"/>
      <c r="CY42" s="1"/>
      <c r="CZ42" s="1"/>
      <c r="DA42" s="97"/>
      <c r="DB42" s="98"/>
      <c r="DC42" s="98"/>
      <c r="DD42" s="98"/>
      <c r="DE42" s="98"/>
      <c r="DF42" s="98"/>
      <c r="DG42" s="98"/>
      <c r="DH42" s="98"/>
      <c r="DI42" s="98"/>
      <c r="DJ42" s="98"/>
      <c r="DK42" s="98"/>
      <c r="DL42" s="98"/>
      <c r="DM42" s="1"/>
      <c r="DN42" s="100"/>
      <c r="DQ42" s="100"/>
      <c r="DR42" s="100"/>
      <c r="EA42" s="101" t="s">
        <v>207</v>
      </c>
      <c r="EB42" s="101"/>
      <c r="EC42" s="97"/>
      <c r="ED42" s="97"/>
      <c r="EE42" s="102">
        <v>27.6</v>
      </c>
      <c r="EF42" s="97"/>
      <c r="EG42" s="102">
        <v>21.9</v>
      </c>
      <c r="EH42" s="102">
        <v>39</v>
      </c>
      <c r="EI42" s="111"/>
      <c r="EJ42" s="107"/>
      <c r="EK42" s="107"/>
      <c r="EL42" s="107"/>
      <c r="EM42" s="108">
        <f t="shared" si="34"/>
        <v>-0.0644067796610169</v>
      </c>
      <c r="EN42" s="107"/>
      <c r="EO42" s="108">
        <f t="shared" si="33"/>
        <v>-0.00454545454545463</v>
      </c>
      <c r="EP42" s="108">
        <f t="shared" si="33"/>
        <v>-0.0441176470588235</v>
      </c>
      <c r="ES42" s="36"/>
      <c r="FI42" s="35" t="str">
        <f t="shared" si="17"/>
        <v>4Q20</v>
      </c>
      <c r="FJ42" s="103"/>
      <c r="FK42" s="103"/>
      <c r="FL42" s="26">
        <v>16.4</v>
      </c>
      <c r="FM42" s="104"/>
      <c r="FN42" s="104">
        <f t="shared" si="18"/>
        <v>2010</v>
      </c>
      <c r="FO42" s="104">
        <f t="shared" si="19"/>
        <v>10</v>
      </c>
      <c r="FP42" s="35">
        <v>40237</v>
      </c>
      <c r="FQ42" s="26">
        <v>2.33466666666667</v>
      </c>
      <c r="FR42" s="59">
        <f t="shared" si="20"/>
        <v>18.6773333333333</v>
      </c>
      <c r="FS42" s="104">
        <f t="shared" si="21"/>
        <v>2010</v>
      </c>
      <c r="FT42" s="104">
        <f t="shared" si="6"/>
        <v>10</v>
      </c>
      <c r="FU42" s="35">
        <v>40237</v>
      </c>
      <c r="FV42" s="26">
        <v>2.31</v>
      </c>
      <c r="FW42" s="94">
        <f t="shared" si="22"/>
        <v>18.48</v>
      </c>
      <c r="FX42" s="104">
        <f t="shared" si="23"/>
        <v>2010</v>
      </c>
      <c r="FY42" s="104">
        <f t="shared" si="7"/>
        <v>43</v>
      </c>
      <c r="FZ42" s="35">
        <v>40469</v>
      </c>
      <c r="GA42" s="26">
        <v>3.86</v>
      </c>
      <c r="GB42" s="94">
        <f t="shared" si="24"/>
        <v>15.44</v>
      </c>
      <c r="GC42" s="104">
        <f t="shared" si="25"/>
        <v>2011</v>
      </c>
      <c r="GD42" s="104">
        <f t="shared" si="8"/>
        <v>13</v>
      </c>
      <c r="GE42" s="35">
        <v>40624</v>
      </c>
      <c r="GF42" s="26">
        <v>1.91</v>
      </c>
      <c r="GG42" s="94">
        <f t="shared" si="26"/>
        <v>7.64</v>
      </c>
      <c r="GH42" s="104">
        <f t="shared" si="27"/>
        <v>2013</v>
      </c>
      <c r="GI42" s="104">
        <f t="shared" si="9"/>
        <v>4</v>
      </c>
      <c r="GJ42" s="35">
        <v>41295</v>
      </c>
      <c r="GK42" s="26">
        <v>2.323</v>
      </c>
      <c r="GL42" s="94">
        <f t="shared" si="28"/>
        <v>4.646</v>
      </c>
      <c r="GM42" s="104">
        <f t="shared" si="29"/>
        <v>2013</v>
      </c>
      <c r="GN42" s="104">
        <f t="shared" si="10"/>
        <v>26</v>
      </c>
      <c r="GO42" s="35">
        <v>41451</v>
      </c>
      <c r="GP42" s="26">
        <v>3.09</v>
      </c>
      <c r="GQ42" s="94">
        <f t="shared" si="30"/>
        <v>6.18</v>
      </c>
      <c r="GR42" s="59"/>
    </row>
    <row r="43" ht="16" spans="3:200">
      <c r="C43" s="80" t="str" cm="1">
        <f t="array" ref="C43">_xlfn.IFS(MONTH(D43)&lt;4,1,MONTH(D43)&lt;7,2,MONTH(D43)&lt;10,3,MONTH(D43)&gt;9,4)&amp;"Q"&amp;RIGHT(YEAR(D43),2)</f>
        <v>1Q16</v>
      </c>
      <c r="D43" s="81">
        <f t="shared" si="11"/>
        <v>42460</v>
      </c>
      <c r="E43" s="82">
        <f t="shared" si="3"/>
        <v>42445</v>
      </c>
      <c r="F43" s="83">
        <f t="shared" si="4"/>
        <v>0.586875</v>
      </c>
      <c r="G43" s="83">
        <f t="shared" si="4"/>
        <v>0.4032</v>
      </c>
      <c r="H43" s="81"/>
      <c r="I43" s="84">
        <v>42445</v>
      </c>
      <c r="J43" s="85">
        <v>4.9</v>
      </c>
      <c r="K43" s="85">
        <v>4.6</v>
      </c>
      <c r="L43" s="86">
        <v>4.695</v>
      </c>
      <c r="M43" s="87">
        <v>3.2256</v>
      </c>
      <c r="N43" s="88"/>
      <c r="O43" s="88"/>
      <c r="P43" s="88"/>
      <c r="Q43" s="89">
        <f t="shared" si="5"/>
        <v>0.455543154761905</v>
      </c>
      <c r="R43" s="5"/>
      <c r="S43" s="5"/>
      <c r="T43" s="5"/>
      <c r="U43" s="5"/>
      <c r="V43" s="5"/>
      <c r="W43" s="5"/>
      <c r="X43" s="5"/>
      <c r="Y43" s="5"/>
      <c r="Z43" s="5"/>
      <c r="AA43" s="5"/>
      <c r="AB43" s="5"/>
      <c r="AC43" s="5"/>
      <c r="AD43" s="5"/>
      <c r="AE43" s="5"/>
      <c r="AF43" s="5"/>
      <c r="AG43" s="5"/>
      <c r="AH43" s="105">
        <f t="shared" si="35"/>
        <v>42544</v>
      </c>
      <c r="AI43" s="91">
        <f t="shared" si="12"/>
        <v>3.627</v>
      </c>
      <c r="AJ43" s="36">
        <f t="shared" si="13"/>
        <v>-0.00384509750068673</v>
      </c>
      <c r="AK43" s="36">
        <f t="shared" si="32"/>
        <v>-0.0210526315789474</v>
      </c>
      <c r="AL43" s="105"/>
      <c r="AM43" s="91"/>
      <c r="AN43" s="36"/>
      <c r="AO43" s="36"/>
      <c r="AP43" s="36"/>
      <c r="AQ43" s="92" t="str" cm="1">
        <f t="array" ref="AQ43">_xlfn.IFS(MONTH(AR43)&lt;4,1,MONTH(AR43)&lt;7,2,MONTH(AR43)&lt;10,3,MONTH(AR43)&gt;9,4)&amp;"Q"&amp;RIGHT(YEAR(AR43),2)</f>
        <v>2Q19</v>
      </c>
      <c r="AR43" s="92">
        <f t="shared" si="14"/>
        <v>43616</v>
      </c>
      <c r="AS43" s="109">
        <v>43591</v>
      </c>
      <c r="AT43" s="110"/>
      <c r="AU43" s="94" cm="1">
        <f t="array" ref="AU43">INDEX($CE$29:$CE$1449,MATCH($AR43,$CA$29:$CA$1449,0),)</f>
        <v>137.32</v>
      </c>
      <c r="AV43" s="110"/>
      <c r="AW43" s="94" cm="1">
        <f t="array" ref="AW43">INDEX($CF$29:$CF$1449,MATCH($AR43,$CA$29:$CA$1449,0),)</f>
        <v>280</v>
      </c>
      <c r="AX43" s="94"/>
      <c r="AY43" s="94"/>
      <c r="AZ43" s="94"/>
      <c r="BA43" s="94"/>
      <c r="BB43" s="5"/>
      <c r="BC43" s="5"/>
      <c r="BD43" s="5"/>
      <c r="BE43" s="5"/>
      <c r="BF43" s="5"/>
      <c r="BG43" s="5"/>
      <c r="BH43" s="5"/>
      <c r="BI43" s="5"/>
      <c r="BJ43" s="5"/>
      <c r="BK43" s="5"/>
      <c r="BL43" s="5"/>
      <c r="BM43" s="5"/>
      <c r="BN43" s="5"/>
      <c r="BO43" s="5"/>
      <c r="BP43" s="5"/>
      <c r="BQ43" s="95" t="str" cm="1">
        <f t="array" ref="BQ43">_xlfn.IFS(MONTH(BR43)&lt;4,1,MONTH(BR43)&lt;7,2,MONTH(BR43)&lt;10,3,MONTH(BR43)&gt;9,4)&amp;"Q"&amp;RIGHT(YEAR(BR43),2)</f>
        <v>3Q17</v>
      </c>
      <c r="BR43" s="81">
        <f t="shared" si="15"/>
        <v>42978</v>
      </c>
      <c r="BS43" s="96">
        <f t="shared" si="16"/>
        <v>42978</v>
      </c>
      <c r="BT43" s="85">
        <v>6.94</v>
      </c>
      <c r="BU43" s="85">
        <v>6.74</v>
      </c>
      <c r="BV43" s="85">
        <v>6.81</v>
      </c>
      <c r="BW43" s="85"/>
      <c r="BX43" s="85"/>
      <c r="CA43" s="97"/>
      <c r="CB43" s="97"/>
      <c r="CC43" s="97"/>
      <c r="CD43" s="97"/>
      <c r="CE43" s="97"/>
      <c r="CF43" s="97"/>
      <c r="CG43" s="97"/>
      <c r="CH43" s="97"/>
      <c r="CI43" s="97"/>
      <c r="CJ43" s="97"/>
      <c r="CK43" s="97"/>
      <c r="CL43" s="97"/>
      <c r="CM43" s="97"/>
      <c r="CN43" s="97"/>
      <c r="CO43" s="97"/>
      <c r="CP43" s="97"/>
      <c r="CQ43" s="97"/>
      <c r="CR43" s="97"/>
      <c r="CT43" s="98"/>
      <c r="CU43" s="98"/>
      <c r="CV43" s="98"/>
      <c r="CX43" s="99"/>
      <c r="CY43" s="1"/>
      <c r="CZ43" s="1"/>
      <c r="DA43" s="97"/>
      <c r="DB43" s="98"/>
      <c r="DC43" s="98"/>
      <c r="DD43" s="98"/>
      <c r="DE43" s="98"/>
      <c r="DF43" s="98"/>
      <c r="DG43" s="98"/>
      <c r="DH43" s="98"/>
      <c r="DI43" s="98"/>
      <c r="DJ43" s="98"/>
      <c r="DK43" s="98"/>
      <c r="DL43" s="98"/>
      <c r="DM43" s="1"/>
      <c r="DN43" s="100"/>
      <c r="DQ43" s="100"/>
      <c r="DR43" s="100"/>
      <c r="EA43" s="101" t="s">
        <v>208</v>
      </c>
      <c r="EB43" s="101"/>
      <c r="EC43" s="102">
        <v>28.8</v>
      </c>
      <c r="ED43" s="102"/>
      <c r="EE43" s="102">
        <v>28</v>
      </c>
      <c r="EF43" s="97"/>
      <c r="EG43" s="102">
        <v>21.2</v>
      </c>
      <c r="EH43" s="102">
        <v>39</v>
      </c>
      <c r="EI43" s="111"/>
      <c r="EJ43" s="107"/>
      <c r="EK43" s="107"/>
      <c r="EL43" s="107"/>
      <c r="EM43" s="108">
        <f t="shared" si="34"/>
        <v>0.0144927536231882</v>
      </c>
      <c r="EN43" s="107"/>
      <c r="EO43" s="108">
        <f t="shared" si="33"/>
        <v>-0.0319634703196346</v>
      </c>
      <c r="EP43" s="108">
        <f t="shared" si="33"/>
        <v>0</v>
      </c>
      <c r="ES43" s="36"/>
      <c r="FI43" s="35" t="str">
        <f t="shared" si="17"/>
        <v>1Q21</v>
      </c>
      <c r="FJ43" s="103"/>
      <c r="FK43" s="103"/>
      <c r="FL43" s="26">
        <v>16.4</v>
      </c>
      <c r="FM43" s="104"/>
      <c r="FN43" s="104">
        <f t="shared" si="18"/>
        <v>2010</v>
      </c>
      <c r="FO43" s="104">
        <f t="shared" si="19"/>
        <v>14</v>
      </c>
      <c r="FP43" s="35">
        <v>40268</v>
      </c>
      <c r="FQ43" s="26">
        <v>2.71260869565217</v>
      </c>
      <c r="FR43" s="59">
        <f t="shared" si="20"/>
        <v>21.7008695652174</v>
      </c>
      <c r="FS43" s="104">
        <f t="shared" si="21"/>
        <v>2010</v>
      </c>
      <c r="FT43" s="104">
        <f t="shared" si="6"/>
        <v>14</v>
      </c>
      <c r="FU43" s="35">
        <v>40268</v>
      </c>
      <c r="FV43" s="26">
        <v>2.31</v>
      </c>
      <c r="FW43" s="94">
        <f t="shared" si="22"/>
        <v>18.48</v>
      </c>
      <c r="FX43" s="104">
        <f t="shared" si="23"/>
        <v>2010</v>
      </c>
      <c r="FY43" s="104">
        <f t="shared" si="7"/>
        <v>43</v>
      </c>
      <c r="FZ43" s="35">
        <v>40470</v>
      </c>
      <c r="GA43" s="26">
        <v>3.83</v>
      </c>
      <c r="GB43" s="94">
        <f t="shared" si="24"/>
        <v>15.32</v>
      </c>
      <c r="GC43" s="104">
        <f t="shared" si="25"/>
        <v>2011</v>
      </c>
      <c r="GD43" s="104">
        <f t="shared" si="8"/>
        <v>16</v>
      </c>
      <c r="GE43" s="35">
        <v>40644</v>
      </c>
      <c r="GF43" s="26">
        <v>2.03</v>
      </c>
      <c r="GG43" s="94">
        <f t="shared" si="26"/>
        <v>8.12</v>
      </c>
      <c r="GH43" s="104">
        <f t="shared" si="27"/>
        <v>2013</v>
      </c>
      <c r="GI43" s="104">
        <f t="shared" si="9"/>
        <v>4</v>
      </c>
      <c r="GJ43" s="35">
        <v>41296</v>
      </c>
      <c r="GK43" s="26">
        <v>2.323</v>
      </c>
      <c r="GL43" s="94">
        <f t="shared" si="28"/>
        <v>4.646</v>
      </c>
      <c r="GM43" s="104">
        <f t="shared" si="29"/>
        <v>2013</v>
      </c>
      <c r="GN43" s="104">
        <f t="shared" si="10"/>
        <v>29</v>
      </c>
      <c r="GO43" s="35">
        <v>41473</v>
      </c>
      <c r="GP43" s="26">
        <v>3.16</v>
      </c>
      <c r="GQ43" s="94">
        <f t="shared" si="30"/>
        <v>6.32</v>
      </c>
      <c r="GR43" s="59"/>
    </row>
    <row r="44" ht="16" spans="3:200">
      <c r="C44" s="80" t="str" cm="1">
        <f t="array" ref="C44">_xlfn.IFS(MONTH(D44)&lt;4,1,MONTH(D44)&lt;7,2,MONTH(D44)&lt;10,3,MONTH(D44)&gt;9,4)&amp;"Q"&amp;RIGHT(YEAR(D44),2)</f>
        <v>1Q16</v>
      </c>
      <c r="D44" s="81">
        <f t="shared" si="11"/>
        <v>42460</v>
      </c>
      <c r="E44" s="82">
        <f t="shared" si="3"/>
        <v>42446</v>
      </c>
      <c r="F44" s="83">
        <f t="shared" si="4"/>
        <v>0.586875</v>
      </c>
      <c r="G44" s="83">
        <f t="shared" si="4"/>
        <v>0.4032</v>
      </c>
      <c r="H44" s="81"/>
      <c r="I44" s="84">
        <v>42446</v>
      </c>
      <c r="J44" s="85">
        <v>4.92</v>
      </c>
      <c r="K44" s="85">
        <v>4.6</v>
      </c>
      <c r="L44" s="86">
        <v>4.695</v>
      </c>
      <c r="M44" s="87">
        <v>3.2256</v>
      </c>
      <c r="N44" s="88"/>
      <c r="O44" s="88"/>
      <c r="P44" s="88"/>
      <c r="Q44" s="89">
        <f t="shared" si="5"/>
        <v>0.455543154761905</v>
      </c>
      <c r="R44" s="5"/>
      <c r="S44" s="5"/>
      <c r="T44" s="5"/>
      <c r="U44" s="5"/>
      <c r="V44" s="5"/>
      <c r="W44" s="5"/>
      <c r="X44" s="5"/>
      <c r="Y44" s="5"/>
      <c r="Z44" s="5"/>
      <c r="AA44" s="5"/>
      <c r="AB44" s="5"/>
      <c r="AC44" s="5"/>
      <c r="AD44" s="5"/>
      <c r="AE44" s="5"/>
      <c r="AF44" s="5"/>
      <c r="AG44" s="5"/>
      <c r="AH44" s="105">
        <f t="shared" si="35"/>
        <v>42552</v>
      </c>
      <c r="AI44" s="91">
        <f t="shared" si="12"/>
        <v>3.633</v>
      </c>
      <c r="AJ44" s="36">
        <f t="shared" si="13"/>
        <v>0.00165425971877586</v>
      </c>
      <c r="AK44" s="36">
        <f t="shared" si="32"/>
        <v>-0.00219719857182088</v>
      </c>
      <c r="AL44" s="105"/>
      <c r="AM44" s="91"/>
      <c r="AN44" s="36"/>
      <c r="AO44" s="36"/>
      <c r="AP44" s="36"/>
      <c r="AQ44" s="92" t="str" cm="1">
        <f t="array" ref="AQ44">_xlfn.IFS(MONTH(AR44)&lt;4,1,MONTH(AR44)&lt;7,2,MONTH(AR44)&lt;10,3,MONTH(AR44)&gt;9,4)&amp;"Q"&amp;RIGHT(YEAR(AR44),2)</f>
        <v>2Q19</v>
      </c>
      <c r="AR44" s="92">
        <f t="shared" si="14"/>
        <v>43616</v>
      </c>
      <c r="AS44" s="109">
        <v>43598</v>
      </c>
      <c r="AT44" s="110"/>
      <c r="AU44" s="94" cm="1">
        <f t="array" ref="AU44">INDEX($CE$29:$CE$1449,MATCH($AR44,$CA$29:$CA$1449,0),)</f>
        <v>137.32</v>
      </c>
      <c r="AV44" s="110"/>
      <c r="AW44" s="94" cm="1">
        <f t="array" ref="AW44">INDEX($CF$29:$CF$1449,MATCH($AR44,$CA$29:$CA$1449,0),)</f>
        <v>280</v>
      </c>
      <c r="AX44" s="94"/>
      <c r="AY44" s="94"/>
      <c r="AZ44" s="94"/>
      <c r="BA44" s="94"/>
      <c r="BB44" s="5"/>
      <c r="BC44" s="5"/>
      <c r="BD44" s="5"/>
      <c r="BE44" s="5"/>
      <c r="BF44" s="5"/>
      <c r="BG44" s="5"/>
      <c r="BH44" s="5"/>
      <c r="BI44" s="5"/>
      <c r="BJ44" s="5"/>
      <c r="BK44" s="5"/>
      <c r="BL44" s="5"/>
      <c r="BM44" s="5"/>
      <c r="BN44" s="5"/>
      <c r="BO44" s="5"/>
      <c r="BP44" s="5"/>
      <c r="BQ44" s="95" t="str" cm="1">
        <f t="array" ref="BQ44">_xlfn.IFS(MONTH(BR44)&lt;4,1,MONTH(BR44)&lt;7,2,MONTH(BR44)&lt;10,3,MONTH(BR44)&gt;9,4)&amp;"Q"&amp;RIGHT(YEAR(BR44),2)</f>
        <v>3Q17</v>
      </c>
      <c r="BR44" s="81">
        <f t="shared" si="15"/>
        <v>43008</v>
      </c>
      <c r="BS44" s="96">
        <f t="shared" si="16"/>
        <v>43008</v>
      </c>
      <c r="BT44" s="85">
        <v>6.94</v>
      </c>
      <c r="BU44" s="85">
        <v>6.74</v>
      </c>
      <c r="BV44" s="85">
        <v>6.81</v>
      </c>
      <c r="BW44" s="85"/>
      <c r="BX44" s="85"/>
      <c r="CA44" s="97"/>
      <c r="CB44" s="97"/>
      <c r="CC44" s="97"/>
      <c r="CD44" s="97"/>
      <c r="CE44" s="97"/>
      <c r="CF44" s="97"/>
      <c r="CG44" s="97"/>
      <c r="CH44" s="97"/>
      <c r="CI44" s="97"/>
      <c r="CJ44" s="97"/>
      <c r="CK44" s="97"/>
      <c r="CL44" s="97"/>
      <c r="CM44" s="97"/>
      <c r="CN44" s="97"/>
      <c r="CO44" s="97"/>
      <c r="CP44" s="97"/>
      <c r="CQ44" s="97"/>
      <c r="CR44" s="97"/>
      <c r="CT44" s="98"/>
      <c r="CU44" s="98"/>
      <c r="CV44" s="98"/>
      <c r="CX44" s="99"/>
      <c r="CY44" s="1"/>
      <c r="CZ44" s="1"/>
      <c r="DA44" s="97"/>
      <c r="DB44" s="98"/>
      <c r="DC44" s="98"/>
      <c r="DD44" s="98"/>
      <c r="DE44" s="98"/>
      <c r="DF44" s="98"/>
      <c r="DG44" s="98"/>
      <c r="DH44" s="98"/>
      <c r="DI44" s="98"/>
      <c r="DJ44" s="98"/>
      <c r="DK44" s="98"/>
      <c r="DL44" s="98"/>
      <c r="DM44" s="1"/>
      <c r="DN44" s="100"/>
      <c r="DQ44" s="100"/>
      <c r="DR44" s="100"/>
      <c r="EA44" s="101" t="s">
        <v>209</v>
      </c>
      <c r="EB44" s="101"/>
      <c r="EC44" s="102">
        <v>30.7</v>
      </c>
      <c r="ED44" s="102"/>
      <c r="EE44" s="102">
        <v>30.2</v>
      </c>
      <c r="EF44" s="102">
        <v>18.1</v>
      </c>
      <c r="EG44" s="102">
        <v>23.8</v>
      </c>
      <c r="EH44" s="102">
        <v>43.8</v>
      </c>
      <c r="EI44" s="111"/>
      <c r="EJ44" s="108"/>
      <c r="EK44" s="112">
        <f t="shared" ref="EK44:EP59" si="36">EC44/EC43-1</f>
        <v>0.0659722222222221</v>
      </c>
      <c r="EL44" s="108"/>
      <c r="EM44" s="108">
        <f t="shared" si="34"/>
        <v>0.0785714285714285</v>
      </c>
      <c r="EN44" s="107"/>
      <c r="EO44" s="108">
        <f t="shared" si="33"/>
        <v>0.122641509433962</v>
      </c>
      <c r="EP44" s="108">
        <f t="shared" si="33"/>
        <v>0.123076923076923</v>
      </c>
      <c r="EQ44" s="36"/>
      <c r="ES44" s="36"/>
      <c r="FI44" s="35" t="str">
        <f t="shared" si="17"/>
        <v>2Q21</v>
      </c>
      <c r="FJ44" s="103"/>
      <c r="FK44" s="103"/>
      <c r="FL44" s="26">
        <v>17.9</v>
      </c>
      <c r="FM44" s="104"/>
      <c r="FN44" s="104">
        <f t="shared" si="18"/>
        <v>2010</v>
      </c>
      <c r="FO44" s="104">
        <f t="shared" si="19"/>
        <v>18</v>
      </c>
      <c r="FP44" s="35">
        <v>40298</v>
      </c>
      <c r="FQ44" s="26">
        <v>2.86428571428571</v>
      </c>
      <c r="FR44" s="59">
        <f t="shared" si="20"/>
        <v>22.9142857142857</v>
      </c>
      <c r="FS44" s="104">
        <f t="shared" si="21"/>
        <v>2010</v>
      </c>
      <c r="FT44" s="104">
        <f t="shared" si="6"/>
        <v>18</v>
      </c>
      <c r="FU44" s="35">
        <v>40298</v>
      </c>
      <c r="FV44" s="26">
        <v>2.47</v>
      </c>
      <c r="FW44" s="94">
        <f t="shared" si="22"/>
        <v>19.76</v>
      </c>
      <c r="FX44" s="104">
        <f t="shared" si="23"/>
        <v>2010</v>
      </c>
      <c r="FY44" s="104">
        <f t="shared" si="7"/>
        <v>43</v>
      </c>
      <c r="FZ44" s="35">
        <v>40471</v>
      </c>
      <c r="GA44" s="26">
        <v>3.83</v>
      </c>
      <c r="GB44" s="94">
        <f t="shared" si="24"/>
        <v>15.32</v>
      </c>
      <c r="GC44" s="104">
        <f t="shared" si="25"/>
        <v>2011</v>
      </c>
      <c r="GD44" s="104">
        <f t="shared" si="8"/>
        <v>18</v>
      </c>
      <c r="GE44" s="35">
        <v>40659</v>
      </c>
      <c r="GF44" s="26">
        <v>2.06</v>
      </c>
      <c r="GG44" s="94">
        <f t="shared" si="26"/>
        <v>8.24</v>
      </c>
      <c r="GH44" s="104">
        <f t="shared" si="27"/>
        <v>2013</v>
      </c>
      <c r="GI44" s="104">
        <f t="shared" si="9"/>
        <v>4</v>
      </c>
      <c r="GJ44" s="35">
        <v>41297</v>
      </c>
      <c r="GK44" s="26">
        <v>2.302</v>
      </c>
      <c r="GL44" s="94">
        <f t="shared" si="28"/>
        <v>4.604</v>
      </c>
      <c r="GM44" s="104">
        <f t="shared" si="29"/>
        <v>2013</v>
      </c>
      <c r="GN44" s="104">
        <f t="shared" si="10"/>
        <v>31</v>
      </c>
      <c r="GO44" s="35">
        <v>41486</v>
      </c>
      <c r="GP44" s="26">
        <v>3.16</v>
      </c>
      <c r="GQ44" s="94">
        <f t="shared" si="30"/>
        <v>6.32</v>
      </c>
      <c r="GR44" s="59"/>
    </row>
    <row r="45" ht="16" spans="3:200">
      <c r="C45" s="80" t="str" cm="1">
        <f t="array" ref="C45">_xlfn.IFS(MONTH(D45)&lt;4,1,MONTH(D45)&lt;7,2,MONTH(D45)&lt;10,3,MONTH(D45)&gt;9,4)&amp;"Q"&amp;RIGHT(YEAR(D45),2)</f>
        <v>1Q16</v>
      </c>
      <c r="D45" s="81">
        <f t="shared" si="11"/>
        <v>42460</v>
      </c>
      <c r="E45" s="82">
        <f t="shared" si="3"/>
        <v>42447</v>
      </c>
      <c r="F45" s="83">
        <f t="shared" si="4"/>
        <v>0.586875</v>
      </c>
      <c r="G45" s="83">
        <f t="shared" si="4"/>
        <v>0.4032</v>
      </c>
      <c r="H45" s="81"/>
      <c r="I45" s="84">
        <v>42447</v>
      </c>
      <c r="J45" s="85">
        <v>4.93</v>
      </c>
      <c r="K45" s="85">
        <v>4.6</v>
      </c>
      <c r="L45" s="86">
        <v>4.695</v>
      </c>
      <c r="M45" s="87">
        <v>3.2256</v>
      </c>
      <c r="N45" s="88"/>
      <c r="O45" s="88"/>
      <c r="P45" s="88"/>
      <c r="Q45" s="89">
        <f t="shared" si="5"/>
        <v>0.455543154761905</v>
      </c>
      <c r="R45" s="5"/>
      <c r="S45" s="5"/>
      <c r="T45" s="5"/>
      <c r="U45" s="5"/>
      <c r="V45" s="5"/>
      <c r="W45" s="5"/>
      <c r="X45" s="5"/>
      <c r="Y45" s="5"/>
      <c r="Z45" s="5"/>
      <c r="AA45" s="5"/>
      <c r="AB45" s="5"/>
      <c r="AC45" s="5"/>
      <c r="AD45" s="5"/>
      <c r="AE45" s="5"/>
      <c r="AF45" s="5"/>
      <c r="AG45" s="5"/>
      <c r="AH45" s="105">
        <f t="shared" si="35"/>
        <v>42562</v>
      </c>
      <c r="AI45" s="91">
        <f t="shared" si="12"/>
        <v>3.633</v>
      </c>
      <c r="AJ45" s="36">
        <f t="shared" si="13"/>
        <v>0</v>
      </c>
      <c r="AK45" s="36">
        <f t="shared" si="32"/>
        <v>0.00165425971877586</v>
      </c>
      <c r="AL45" s="105"/>
      <c r="AM45" s="91"/>
      <c r="AN45" s="36"/>
      <c r="AO45" s="36"/>
      <c r="AP45" s="36"/>
      <c r="AQ45" s="92" t="str" cm="1">
        <f t="array" ref="AQ45">_xlfn.IFS(MONTH(AR45)&lt;4,1,MONTH(AR45)&lt;7,2,MONTH(AR45)&lt;10,3,MONTH(AR45)&gt;9,4)&amp;"Q"&amp;RIGHT(YEAR(AR45),2)</f>
        <v>2Q19</v>
      </c>
      <c r="AR45" s="92">
        <f t="shared" si="14"/>
        <v>43616</v>
      </c>
      <c r="AS45" s="109">
        <v>43605</v>
      </c>
      <c r="AT45" s="110"/>
      <c r="AU45" s="94" cm="1">
        <f t="array" ref="AU45">INDEX($CE$29:$CE$1449,MATCH($AR45,$CA$29:$CA$1449,0),)</f>
        <v>137.32</v>
      </c>
      <c r="AV45" s="110"/>
      <c r="AW45" s="94" cm="1">
        <f t="array" ref="AW45">INDEX($CF$29:$CF$1449,MATCH($AR45,$CA$29:$CA$1449,0),)</f>
        <v>280</v>
      </c>
      <c r="AX45" s="94"/>
      <c r="AY45" s="94"/>
      <c r="AZ45" s="94"/>
      <c r="BA45" s="94"/>
      <c r="BB45" s="5"/>
      <c r="BC45" s="5"/>
      <c r="BD45" s="5"/>
      <c r="BE45" s="5"/>
      <c r="BF45" s="5"/>
      <c r="BG45" s="5"/>
      <c r="BH45" s="5"/>
      <c r="BI45" s="5"/>
      <c r="BJ45" s="5"/>
      <c r="BK45" s="5"/>
      <c r="BL45" s="5"/>
      <c r="BM45" s="5"/>
      <c r="BN45" s="5"/>
      <c r="BO45" s="5"/>
      <c r="BP45" s="5"/>
      <c r="BQ45" s="95" t="str" cm="1">
        <f t="array" ref="BQ45">_xlfn.IFS(MONTH(BR45)&lt;4,1,MONTH(BR45)&lt;7,2,MONTH(BR45)&lt;10,3,MONTH(BR45)&gt;9,4)&amp;"Q"&amp;RIGHT(YEAR(BR45),2)</f>
        <v>4Q17</v>
      </c>
      <c r="BR45" s="81">
        <f t="shared" si="15"/>
        <v>43039</v>
      </c>
      <c r="BS45" s="96">
        <f t="shared" si="16"/>
        <v>43039</v>
      </c>
      <c r="BT45" s="85">
        <v>7.69</v>
      </c>
      <c r="BU45" s="85">
        <v>7.06</v>
      </c>
      <c r="BV45" s="85">
        <v>7.31</v>
      </c>
      <c r="BW45" s="85"/>
      <c r="BX45" s="85"/>
      <c r="CA45" s="97"/>
      <c r="CB45" s="97"/>
      <c r="CC45" s="97"/>
      <c r="CD45" s="97"/>
      <c r="CE45" s="97"/>
      <c r="CF45" s="97"/>
      <c r="CG45" s="97"/>
      <c r="CH45" s="97"/>
      <c r="CI45" s="97"/>
      <c r="CJ45" s="97"/>
      <c r="CK45" s="97"/>
      <c r="CL45" s="97"/>
      <c r="CM45" s="97"/>
      <c r="CN45" s="97"/>
      <c r="CO45" s="97"/>
      <c r="CP45" s="97"/>
      <c r="CQ45" s="97"/>
      <c r="CR45" s="97"/>
      <c r="CT45" s="98"/>
      <c r="CU45" s="98"/>
      <c r="CV45" s="98"/>
      <c r="CX45" s="99"/>
      <c r="CY45" s="1"/>
      <c r="CZ45" s="1"/>
      <c r="DA45" s="97"/>
      <c r="DB45" s="98"/>
      <c r="DC45" s="98"/>
      <c r="DD45" s="98"/>
      <c r="DE45" s="98"/>
      <c r="DF45" s="98"/>
      <c r="DG45" s="98"/>
      <c r="DH45" s="98"/>
      <c r="DI45" s="98"/>
      <c r="DJ45" s="98"/>
      <c r="DK45" s="98"/>
      <c r="DL45" s="98"/>
      <c r="DM45" s="1"/>
      <c r="DN45" s="100"/>
      <c r="DQ45" s="100"/>
      <c r="DR45" s="100"/>
      <c r="EA45" s="101" t="s">
        <v>210</v>
      </c>
      <c r="EB45" s="101"/>
      <c r="EC45" s="102">
        <v>32.4</v>
      </c>
      <c r="ED45" s="102"/>
      <c r="EE45" s="102">
        <v>31.8</v>
      </c>
      <c r="EF45" s="102">
        <v>18.9</v>
      </c>
      <c r="EG45" s="102">
        <v>25.6</v>
      </c>
      <c r="EH45" s="102">
        <v>46</v>
      </c>
      <c r="EI45" s="111"/>
      <c r="EJ45" s="108"/>
      <c r="EK45" s="112">
        <f t="shared" si="36"/>
        <v>0.0553745928338762</v>
      </c>
      <c r="EL45" s="108"/>
      <c r="EM45" s="108">
        <f t="shared" si="34"/>
        <v>0.0529801324503312</v>
      </c>
      <c r="EN45" s="108">
        <f t="shared" si="34"/>
        <v>0.0441988950276242</v>
      </c>
      <c r="EO45" s="108">
        <f t="shared" si="33"/>
        <v>0.0756302521008403</v>
      </c>
      <c r="EP45" s="108">
        <f t="shared" si="33"/>
        <v>0.0502283105022832</v>
      </c>
      <c r="EQ45" s="36"/>
      <c r="ES45" s="36"/>
      <c r="FI45" s="35" t="str">
        <f t="shared" si="17"/>
        <v>3Q21</v>
      </c>
      <c r="FJ45" s="103"/>
      <c r="FK45" s="103"/>
      <c r="FL45" s="26">
        <v>19.8</v>
      </c>
      <c r="FM45" s="104"/>
      <c r="FN45" s="104">
        <f t="shared" si="18"/>
        <v>2010</v>
      </c>
      <c r="FO45" s="104">
        <f t="shared" si="19"/>
        <v>23</v>
      </c>
      <c r="FP45" s="35">
        <v>40329</v>
      </c>
      <c r="FQ45" s="26">
        <v>2.49380952380952</v>
      </c>
      <c r="FR45" s="59">
        <f t="shared" si="20"/>
        <v>19.9504761904762</v>
      </c>
      <c r="FS45" s="104">
        <f t="shared" si="21"/>
        <v>2010</v>
      </c>
      <c r="FT45" s="104">
        <f t="shared" si="6"/>
        <v>23</v>
      </c>
      <c r="FU45" s="35">
        <v>40329</v>
      </c>
      <c r="FV45" s="26">
        <v>2.5</v>
      </c>
      <c r="FW45" s="94">
        <f t="shared" si="22"/>
        <v>20</v>
      </c>
      <c r="FX45" s="104">
        <f t="shared" si="23"/>
        <v>2010</v>
      </c>
      <c r="FY45" s="104">
        <f t="shared" si="7"/>
        <v>43</v>
      </c>
      <c r="FZ45" s="35">
        <v>40472</v>
      </c>
      <c r="GA45" s="26">
        <v>3.83</v>
      </c>
      <c r="GB45" s="94">
        <f t="shared" si="24"/>
        <v>15.32</v>
      </c>
      <c r="GC45" s="104">
        <f t="shared" si="25"/>
        <v>2011</v>
      </c>
      <c r="GD45" s="104">
        <f t="shared" si="8"/>
        <v>20</v>
      </c>
      <c r="GE45" s="35">
        <v>40674</v>
      </c>
      <c r="GF45" s="26">
        <v>2.13</v>
      </c>
      <c r="GG45" s="94">
        <f t="shared" si="26"/>
        <v>8.52</v>
      </c>
      <c r="GH45" s="104">
        <f t="shared" si="27"/>
        <v>2013</v>
      </c>
      <c r="GI45" s="104">
        <f t="shared" si="9"/>
        <v>4</v>
      </c>
      <c r="GJ45" s="35">
        <v>41298</v>
      </c>
      <c r="GK45" s="26">
        <v>2.294</v>
      </c>
      <c r="GL45" s="94">
        <f t="shared" si="28"/>
        <v>4.588</v>
      </c>
      <c r="GM45" s="104">
        <f t="shared" si="29"/>
        <v>2013</v>
      </c>
      <c r="GN45" s="104">
        <f t="shared" si="10"/>
        <v>33</v>
      </c>
      <c r="GO45" s="35">
        <v>41501</v>
      </c>
      <c r="GP45" s="26">
        <v>3.16</v>
      </c>
      <c r="GQ45" s="94">
        <f t="shared" si="30"/>
        <v>6.32</v>
      </c>
      <c r="GR45" s="59"/>
    </row>
    <row r="46" ht="16.8" spans="3:200">
      <c r="C46" s="80" t="str" cm="1">
        <f t="array" ref="C46">_xlfn.IFS(MONTH(D46)&lt;4,1,MONTH(D46)&lt;7,2,MONTH(D46)&lt;10,3,MONTH(D46)&gt;9,4)&amp;"Q"&amp;RIGHT(YEAR(D46),2)</f>
        <v>1Q16</v>
      </c>
      <c r="D46" s="81">
        <f t="shared" si="11"/>
        <v>42460</v>
      </c>
      <c r="E46" s="82">
        <f t="shared" si="3"/>
        <v>42450</v>
      </c>
      <c r="F46" s="83">
        <f t="shared" si="4"/>
        <v>0.586875</v>
      </c>
      <c r="G46" s="83">
        <f t="shared" si="4"/>
        <v>0.4032</v>
      </c>
      <c r="H46" s="81"/>
      <c r="I46" s="84">
        <v>42450</v>
      </c>
      <c r="J46" s="85">
        <v>4.95</v>
      </c>
      <c r="K46" s="85">
        <v>4.6</v>
      </c>
      <c r="L46" s="86">
        <v>4.695</v>
      </c>
      <c r="M46" s="87">
        <v>3.2256</v>
      </c>
      <c r="N46" s="88"/>
      <c r="O46" s="88"/>
      <c r="P46" s="88"/>
      <c r="Q46" s="89">
        <f t="shared" si="5"/>
        <v>0.455543154761905</v>
      </c>
      <c r="R46" s="5"/>
      <c r="S46" s="5"/>
      <c r="T46" s="5"/>
      <c r="U46" s="5"/>
      <c r="V46" s="5"/>
      <c r="W46" s="5"/>
      <c r="X46" s="5"/>
      <c r="Y46" s="5"/>
      <c r="Z46" s="5"/>
      <c r="AA46" s="5"/>
      <c r="AB46" s="5"/>
      <c r="AC46" s="5"/>
      <c r="AD46" s="5"/>
      <c r="AE46" s="5"/>
      <c r="AF46" s="5"/>
      <c r="AG46" s="5"/>
      <c r="AH46" s="105">
        <f t="shared" si="35"/>
        <v>42570</v>
      </c>
      <c r="AI46" s="91">
        <f t="shared" si="12"/>
        <v>3.633</v>
      </c>
      <c r="AJ46" s="36">
        <f t="shared" si="13"/>
        <v>0</v>
      </c>
      <c r="AK46" s="36">
        <f t="shared" si="32"/>
        <v>0</v>
      </c>
      <c r="AL46" s="105"/>
      <c r="AM46" s="91"/>
      <c r="AN46" s="36"/>
      <c r="AO46" s="36"/>
      <c r="AP46" s="36"/>
      <c r="AQ46" s="92" t="str" cm="1">
        <f t="array" ref="AQ46">_xlfn.IFS(MONTH(AR46)&lt;4,1,MONTH(AR46)&lt;7,2,MONTH(AR46)&lt;10,3,MONTH(AR46)&gt;9,4)&amp;"Q"&amp;RIGHT(YEAR(AR46),2)</f>
        <v>2Q19</v>
      </c>
      <c r="AR46" s="92">
        <f t="shared" si="14"/>
        <v>43616</v>
      </c>
      <c r="AS46" s="109">
        <v>43612</v>
      </c>
      <c r="AT46" s="110"/>
      <c r="AU46" s="94" cm="1">
        <f t="array" ref="AU46">INDEX($CE$29:$CE$1449,MATCH($AR46,$CA$29:$CA$1449,0),)</f>
        <v>137.32</v>
      </c>
      <c r="AV46" s="110"/>
      <c r="AW46" s="94" cm="1">
        <f t="array" ref="AW46">INDEX($CF$29:$CF$1449,MATCH($AR46,$CA$29:$CA$1449,0),)</f>
        <v>280</v>
      </c>
      <c r="AX46" s="94"/>
      <c r="AY46" s="94"/>
      <c r="AZ46" s="94"/>
      <c r="BA46" s="94"/>
      <c r="BB46" s="5"/>
      <c r="BC46" s="5"/>
      <c r="BD46" s="5"/>
      <c r="BE46" s="5"/>
      <c r="BF46" s="5"/>
      <c r="BG46" s="5"/>
      <c r="BH46" s="5"/>
      <c r="BI46" s="5"/>
      <c r="BJ46" s="5"/>
      <c r="BK46" s="5"/>
      <c r="BL46" s="5"/>
      <c r="BM46" s="5"/>
      <c r="BN46" s="5"/>
      <c r="BO46" s="5"/>
      <c r="BP46" s="5"/>
      <c r="BQ46" s="95" t="str" cm="1">
        <f t="array" ref="BQ46">_xlfn.IFS(MONTH(BR46)&lt;4,1,MONTH(BR46)&lt;7,2,MONTH(BR46)&lt;10,3,MONTH(BR46)&gt;9,4)&amp;"Q"&amp;RIGHT(YEAR(BR46),2)</f>
        <v>4Q17</v>
      </c>
      <c r="BR46" s="81">
        <f t="shared" si="15"/>
        <v>43069</v>
      </c>
      <c r="BS46" s="96">
        <f t="shared" si="16"/>
        <v>43069</v>
      </c>
      <c r="BT46" s="85">
        <v>7.81</v>
      </c>
      <c r="BU46" s="85">
        <v>7.19</v>
      </c>
      <c r="BV46" s="85">
        <v>7.5</v>
      </c>
      <c r="BW46" s="85"/>
      <c r="BX46" s="85"/>
      <c r="CA46" s="35">
        <v>43069</v>
      </c>
      <c r="CB46" s="35"/>
      <c r="CC46" s="35"/>
      <c r="CD46" s="26"/>
      <c r="CE46" s="26">
        <v>292.83</v>
      </c>
      <c r="CF46" s="26">
        <v>600</v>
      </c>
      <c r="CG46" s="26"/>
      <c r="CH46" s="26"/>
      <c r="CI46" s="26"/>
      <c r="CJ46" s="26"/>
      <c r="CK46" s="26"/>
      <c r="CL46" s="26"/>
      <c r="CM46" s="26"/>
      <c r="CN46" s="26"/>
      <c r="CO46" s="26"/>
      <c r="CP46" s="26"/>
      <c r="CQ46" s="26"/>
      <c r="CR46" s="26"/>
      <c r="CT46" s="113"/>
      <c r="CU46" s="113"/>
      <c r="CV46" s="113"/>
      <c r="CX46" s="99"/>
      <c r="CY46" s="1"/>
      <c r="CZ46" s="1"/>
      <c r="DA46" s="100"/>
      <c r="DB46" s="1"/>
      <c r="DC46" s="1"/>
      <c r="DD46" s="1"/>
      <c r="DE46" s="1"/>
      <c r="DF46" s="1"/>
      <c r="DG46" s="1"/>
      <c r="DH46" s="1"/>
      <c r="DI46" s="1"/>
      <c r="DJ46" s="1"/>
      <c r="DK46" s="1"/>
      <c r="DL46" s="1"/>
      <c r="DM46" s="1"/>
      <c r="DN46" s="100"/>
      <c r="DQ46" s="114">
        <f t="shared" ref="DQ46:DQ109" si="37">CE46/32</f>
        <v>9.1509375</v>
      </c>
      <c r="DR46" s="114">
        <f t="shared" ref="DR46:DR109" si="38">CF46/64</f>
        <v>9.375</v>
      </c>
      <c r="EA46" s="35" t="str">
        <f>LEFT(EA42,1)&amp;"Q"&amp;RIGHT(EA42,2)+1</f>
        <v>4Q21</v>
      </c>
      <c r="EB46" s="115"/>
      <c r="EC46" s="115">
        <v>30.7692307692308</v>
      </c>
      <c r="ED46" s="115">
        <v>46.1538461538462</v>
      </c>
      <c r="EE46" s="115">
        <v>30.0653594771242</v>
      </c>
      <c r="EF46" s="115">
        <v>15.04329004329</v>
      </c>
      <c r="EG46" s="115">
        <v>24.0466101694915</v>
      </c>
      <c r="EH46" s="115">
        <v>43.3695652173913</v>
      </c>
      <c r="EI46" s="111"/>
      <c r="EJ46" s="108"/>
      <c r="EK46" s="112">
        <f t="shared" si="36"/>
        <v>-0.050332383665717</v>
      </c>
      <c r="EL46" s="108"/>
      <c r="EM46" s="108">
        <f t="shared" si="34"/>
        <v>-0.0545484441155918</v>
      </c>
      <c r="EN46" s="108">
        <f t="shared" si="34"/>
        <v>-0.204058727868252</v>
      </c>
      <c r="EO46" s="108">
        <f t="shared" si="33"/>
        <v>-0.0606792902542374</v>
      </c>
      <c r="EP46" s="108">
        <f t="shared" si="33"/>
        <v>-0.0571833648393196</v>
      </c>
      <c r="EQ46" s="36"/>
      <c r="ES46" s="36"/>
      <c r="FI46" s="35" t="str">
        <f t="shared" si="17"/>
        <v>4Q21</v>
      </c>
      <c r="FJ46" s="103"/>
      <c r="FK46" s="103"/>
      <c r="FL46" s="26">
        <v>19.8</v>
      </c>
      <c r="FM46" s="104"/>
      <c r="FN46" s="104">
        <f t="shared" si="18"/>
        <v>2010</v>
      </c>
      <c r="FO46" s="104">
        <f t="shared" si="19"/>
        <v>27</v>
      </c>
      <c r="FP46" s="35">
        <v>40359</v>
      </c>
      <c r="FQ46" s="26">
        <v>2.24857142857143</v>
      </c>
      <c r="FR46" s="59">
        <f t="shared" si="20"/>
        <v>17.9885714285714</v>
      </c>
      <c r="FS46" s="104">
        <f t="shared" si="21"/>
        <v>2010</v>
      </c>
      <c r="FT46" s="104">
        <f t="shared" si="6"/>
        <v>27</v>
      </c>
      <c r="FU46" s="35">
        <v>40359</v>
      </c>
      <c r="FV46" s="26">
        <v>2.395</v>
      </c>
      <c r="FW46" s="94">
        <f t="shared" si="22"/>
        <v>19.16</v>
      </c>
      <c r="FX46" s="104">
        <f t="shared" si="23"/>
        <v>2010</v>
      </c>
      <c r="FY46" s="104">
        <f t="shared" si="7"/>
        <v>43</v>
      </c>
      <c r="FZ46" s="35">
        <v>40473</v>
      </c>
      <c r="GA46" s="26">
        <v>3.83</v>
      </c>
      <c r="GB46" s="94">
        <f t="shared" si="24"/>
        <v>15.32</v>
      </c>
      <c r="GC46" s="104">
        <f t="shared" si="25"/>
        <v>2011</v>
      </c>
      <c r="GD46" s="104">
        <f t="shared" si="8"/>
        <v>22</v>
      </c>
      <c r="GE46" s="35">
        <v>40688</v>
      </c>
      <c r="GF46" s="26">
        <v>2.13</v>
      </c>
      <c r="GG46" s="94">
        <f t="shared" si="26"/>
        <v>8.52</v>
      </c>
      <c r="GH46" s="104">
        <f t="shared" si="27"/>
        <v>2013</v>
      </c>
      <c r="GI46" s="104">
        <f t="shared" si="9"/>
        <v>4</v>
      </c>
      <c r="GJ46" s="35">
        <v>41299</v>
      </c>
      <c r="GK46" s="26">
        <v>2.295</v>
      </c>
      <c r="GL46" s="94">
        <f t="shared" si="28"/>
        <v>4.59</v>
      </c>
      <c r="GM46" s="104">
        <f t="shared" si="29"/>
        <v>2013</v>
      </c>
      <c r="GN46" s="104">
        <f t="shared" si="10"/>
        <v>35</v>
      </c>
      <c r="GO46" s="35">
        <v>41517</v>
      </c>
      <c r="GP46" s="26">
        <v>3.16</v>
      </c>
      <c r="GQ46" s="94">
        <f t="shared" si="30"/>
        <v>6.32</v>
      </c>
      <c r="GR46" s="59"/>
    </row>
    <row r="47" ht="16.8" spans="3:200">
      <c r="C47" s="80" t="str" cm="1">
        <f t="array" ref="C47">_xlfn.IFS(MONTH(D47)&lt;4,1,MONTH(D47)&lt;7,2,MONTH(D47)&lt;10,3,MONTH(D47)&gt;9,4)&amp;"Q"&amp;RIGHT(YEAR(D47),2)</f>
        <v>1Q16</v>
      </c>
      <c r="D47" s="81">
        <f t="shared" si="11"/>
        <v>42460</v>
      </c>
      <c r="E47" s="82">
        <f t="shared" si="3"/>
        <v>42451</v>
      </c>
      <c r="F47" s="83">
        <f t="shared" si="4"/>
        <v>0.586625</v>
      </c>
      <c r="G47" s="83">
        <f t="shared" si="4"/>
        <v>0.4032</v>
      </c>
      <c r="H47" s="81"/>
      <c r="I47" s="84">
        <v>42451</v>
      </c>
      <c r="J47" s="85">
        <v>4.96</v>
      </c>
      <c r="K47" s="85">
        <v>4.6</v>
      </c>
      <c r="L47" s="86">
        <v>4.693</v>
      </c>
      <c r="M47" s="87">
        <v>3.2256</v>
      </c>
      <c r="N47" s="88"/>
      <c r="O47" s="88"/>
      <c r="P47" s="88"/>
      <c r="Q47" s="89">
        <f t="shared" si="5"/>
        <v>0.454923115079365</v>
      </c>
      <c r="R47" s="5"/>
      <c r="S47" s="5"/>
      <c r="T47" s="5"/>
      <c r="U47" s="5"/>
      <c r="V47" s="5"/>
      <c r="W47" s="5"/>
      <c r="X47" s="5"/>
      <c r="Y47" s="5"/>
      <c r="Z47" s="5"/>
      <c r="AA47" s="5"/>
      <c r="AB47" s="5"/>
      <c r="AC47" s="5"/>
      <c r="AD47" s="5"/>
      <c r="AE47" s="5"/>
      <c r="AF47" s="5"/>
      <c r="AG47" s="5"/>
      <c r="AH47" s="105">
        <f t="shared" si="35"/>
        <v>42578</v>
      </c>
      <c r="AI47" s="91">
        <f t="shared" si="12"/>
        <v>3.651</v>
      </c>
      <c r="AJ47" s="36">
        <f t="shared" si="13"/>
        <v>0.00495458298926499</v>
      </c>
      <c r="AK47" s="36">
        <f t="shared" si="32"/>
        <v>0.00495458298926499</v>
      </c>
      <c r="AL47" s="105"/>
      <c r="AM47" s="91"/>
      <c r="AN47" s="36"/>
      <c r="AO47" s="36"/>
      <c r="AP47" s="36"/>
      <c r="AQ47" s="92" t="str" cm="1">
        <f t="array" ref="AQ47">_xlfn.IFS(MONTH(AR47)&lt;4,1,MONTH(AR47)&lt;7,2,MONTH(AR47)&lt;10,3,MONTH(AR47)&gt;9,4)&amp;"Q"&amp;RIGHT(YEAR(AR47),2)</f>
        <v>2Q19</v>
      </c>
      <c r="AR47" s="92">
        <f t="shared" si="14"/>
        <v>43646</v>
      </c>
      <c r="AS47" s="109">
        <v>43619</v>
      </c>
      <c r="AT47" s="110"/>
      <c r="AU47" s="94" cm="1">
        <f t="array" ref="AU47">INDEX($CE$29:$CE$1449,MATCH($AR47,$CA$29:$CA$1449,0),)</f>
        <v>123.59</v>
      </c>
      <c r="AV47" s="110"/>
      <c r="AW47" s="94" cm="1">
        <f t="array" ref="AW47">INDEX($CF$29:$CF$1449,MATCH($AR47,$CA$29:$CA$1449,0),)</f>
        <v>265</v>
      </c>
      <c r="AX47" s="94"/>
      <c r="AY47" s="94"/>
      <c r="AZ47" s="94"/>
      <c r="BA47" s="94"/>
      <c r="BB47" s="5"/>
      <c r="BC47" s="5"/>
      <c r="BD47" s="5"/>
      <c r="BE47" s="5"/>
      <c r="BF47" s="5"/>
      <c r="BG47" s="5"/>
      <c r="BH47" s="5"/>
      <c r="BI47" s="5"/>
      <c r="BJ47" s="5"/>
      <c r="BK47" s="5"/>
      <c r="BL47" s="5"/>
      <c r="BM47" s="5"/>
      <c r="BN47" s="5"/>
      <c r="BO47" s="5"/>
      <c r="BP47" s="5"/>
      <c r="BQ47" s="95" t="str" cm="1">
        <f t="array" ref="BQ47">_xlfn.IFS(MONTH(BR47)&lt;4,1,MONTH(BR47)&lt;7,2,MONTH(BR47)&lt;10,3,MONTH(BR47)&gt;9,4)&amp;"Q"&amp;RIGHT(YEAR(BR47),2)</f>
        <v>4Q17</v>
      </c>
      <c r="BR47" s="81">
        <f t="shared" si="15"/>
        <v>43100</v>
      </c>
      <c r="BS47" s="96">
        <f t="shared" si="16"/>
        <v>43100</v>
      </c>
      <c r="BT47" s="85">
        <v>7.81</v>
      </c>
      <c r="BU47" s="85">
        <v>7.19</v>
      </c>
      <c r="BV47" s="85">
        <v>7.5</v>
      </c>
      <c r="BW47" s="85"/>
      <c r="BX47" s="85"/>
      <c r="CA47" s="35">
        <f>EOMONTH(CA46,1)</f>
        <v>43100</v>
      </c>
      <c r="CB47" s="35"/>
      <c r="CC47" s="35"/>
      <c r="CD47" s="26"/>
      <c r="CE47" s="26">
        <v>297.81</v>
      </c>
      <c r="CF47" s="26">
        <v>600</v>
      </c>
      <c r="CG47" s="26"/>
      <c r="CH47" s="26"/>
      <c r="CI47" s="26"/>
      <c r="CJ47" s="26"/>
      <c r="CK47" s="26"/>
      <c r="CL47" s="26"/>
      <c r="CM47" s="26"/>
      <c r="CN47" s="26"/>
      <c r="CO47" s="26"/>
      <c r="CP47" s="26"/>
      <c r="CQ47" s="26">
        <v>3.75</v>
      </c>
      <c r="CR47" s="26">
        <v>3.25</v>
      </c>
      <c r="CT47" s="113"/>
      <c r="CU47" s="113"/>
      <c r="CV47" s="113"/>
      <c r="CX47" s="99"/>
      <c r="CY47" s="1"/>
      <c r="CZ47" s="1"/>
      <c r="DA47" s="108">
        <f t="shared" ref="DA47:DB94" si="39">CE47/CE46-1</f>
        <v>0.0170064542567361</v>
      </c>
      <c r="DB47" s="108">
        <f t="shared" si="39"/>
        <v>0</v>
      </c>
      <c r="DC47" s="36"/>
      <c r="DD47" s="36"/>
      <c r="DE47" s="36"/>
      <c r="DF47" s="36"/>
      <c r="DG47" s="36"/>
      <c r="DH47" s="36"/>
      <c r="DI47" s="36"/>
      <c r="DJ47" s="36"/>
      <c r="DK47" s="36"/>
      <c r="DL47" s="36"/>
      <c r="DM47" s="1"/>
      <c r="DN47" s="100"/>
      <c r="DQ47" s="114">
        <f t="shared" si="37"/>
        <v>9.3065625</v>
      </c>
      <c r="DR47" s="114">
        <f t="shared" si="38"/>
        <v>9.375</v>
      </c>
      <c r="EA47" s="35" t="str">
        <f t="shared" ref="EA47:EA64" si="40">LEFT(EA43,1)&amp;"Q"&amp;RIGHT(EA43,2)+1</f>
        <v>1Q22</v>
      </c>
      <c r="EB47" s="115"/>
      <c r="EC47" s="115">
        <v>28.3551967709384</v>
      </c>
      <c r="ED47" s="115">
        <v>42.6</v>
      </c>
      <c r="EE47" s="115">
        <v>27.6595744680851</v>
      </c>
      <c r="EF47" s="115">
        <v>13.9</v>
      </c>
      <c r="EG47" s="115">
        <v>22.7</v>
      </c>
      <c r="EH47" s="115">
        <v>39.9</v>
      </c>
      <c r="EI47" s="27"/>
      <c r="EJ47" s="116"/>
      <c r="EK47" s="112">
        <f t="shared" si="36"/>
        <v>-0.0784561049445004</v>
      </c>
      <c r="EL47" s="112">
        <f t="shared" si="36"/>
        <v>-0.077</v>
      </c>
      <c r="EM47" s="112">
        <f t="shared" si="36"/>
        <v>-0.080018501387604</v>
      </c>
      <c r="EN47" s="112">
        <f t="shared" si="36"/>
        <v>-0.076</v>
      </c>
      <c r="EO47" s="112">
        <f t="shared" si="36"/>
        <v>-0.056</v>
      </c>
      <c r="EP47" s="112">
        <f t="shared" si="36"/>
        <v>-0.0799999999999998</v>
      </c>
      <c r="EQ47" s="36"/>
      <c r="ES47" s="36"/>
      <c r="FI47" s="35" t="str">
        <f t="shared" si="17"/>
        <v>1Q22</v>
      </c>
      <c r="FM47" s="104"/>
      <c r="FN47" s="104">
        <f t="shared" si="18"/>
        <v>2010</v>
      </c>
      <c r="FO47" s="104">
        <f t="shared" si="19"/>
        <v>31</v>
      </c>
      <c r="FP47" s="35">
        <v>40390</v>
      </c>
      <c r="FQ47" s="26">
        <v>2.12909090909091</v>
      </c>
      <c r="FR47" s="59">
        <f t="shared" si="20"/>
        <v>17.0327272727273</v>
      </c>
      <c r="FS47" s="104">
        <f t="shared" si="21"/>
        <v>2010</v>
      </c>
      <c r="FT47" s="104">
        <f t="shared" si="6"/>
        <v>31</v>
      </c>
      <c r="FU47" s="35">
        <v>40390</v>
      </c>
      <c r="FV47" s="26">
        <v>2.31</v>
      </c>
      <c r="FW47" s="94">
        <f t="shared" si="22"/>
        <v>18.48</v>
      </c>
      <c r="FX47" s="104">
        <f t="shared" si="23"/>
        <v>2010</v>
      </c>
      <c r="FY47" s="104">
        <f t="shared" si="7"/>
        <v>44</v>
      </c>
      <c r="FZ47" s="35">
        <v>40476</v>
      </c>
      <c r="GA47" s="26">
        <v>3.82</v>
      </c>
      <c r="GB47" s="94">
        <f t="shared" si="24"/>
        <v>15.28</v>
      </c>
      <c r="GC47" s="104">
        <f t="shared" si="25"/>
        <v>2011</v>
      </c>
      <c r="GD47" s="104">
        <f t="shared" si="8"/>
        <v>25</v>
      </c>
      <c r="GE47" s="35">
        <v>40707</v>
      </c>
      <c r="GF47" s="26">
        <v>2.06</v>
      </c>
      <c r="GG47" s="94">
        <f t="shared" si="26"/>
        <v>8.24</v>
      </c>
      <c r="GH47" s="104">
        <f t="shared" si="27"/>
        <v>2013</v>
      </c>
      <c r="GI47" s="104">
        <f t="shared" si="9"/>
        <v>5</v>
      </c>
      <c r="GJ47" s="35">
        <v>41302</v>
      </c>
      <c r="GK47" s="26">
        <v>2.304</v>
      </c>
      <c r="GL47" s="94">
        <f t="shared" si="28"/>
        <v>4.608</v>
      </c>
      <c r="GM47" s="104">
        <f t="shared" si="29"/>
        <v>2013</v>
      </c>
      <c r="GN47" s="104">
        <f t="shared" si="10"/>
        <v>40</v>
      </c>
      <c r="GO47" s="35">
        <v>41548</v>
      </c>
      <c r="GP47" s="26">
        <v>3.44</v>
      </c>
      <c r="GQ47" s="94">
        <f t="shared" si="30"/>
        <v>6.88</v>
      </c>
      <c r="GR47" s="59"/>
    </row>
    <row r="48" ht="16.8" spans="3:200">
      <c r="C48" s="80" t="str" cm="1">
        <f t="array" ref="C48">_xlfn.IFS(MONTH(D48)&lt;4,1,MONTH(D48)&lt;7,2,MONTH(D48)&lt;10,3,MONTH(D48)&gt;9,4)&amp;"Q"&amp;RIGHT(YEAR(D48),2)</f>
        <v>1Q16</v>
      </c>
      <c r="D48" s="81">
        <f t="shared" si="11"/>
        <v>42460</v>
      </c>
      <c r="E48" s="82">
        <f t="shared" si="3"/>
        <v>42452</v>
      </c>
      <c r="F48" s="83">
        <f t="shared" si="4"/>
        <v>0.586625</v>
      </c>
      <c r="G48" s="83">
        <f t="shared" si="4"/>
        <v>0.4032</v>
      </c>
      <c r="H48" s="81"/>
      <c r="I48" s="84">
        <v>42452</v>
      </c>
      <c r="J48" s="85">
        <v>4.95</v>
      </c>
      <c r="K48" s="85">
        <v>4.6</v>
      </c>
      <c r="L48" s="86">
        <v>4.693</v>
      </c>
      <c r="M48" s="87">
        <v>3.2256</v>
      </c>
      <c r="N48" s="88"/>
      <c r="O48" s="88"/>
      <c r="P48" s="88"/>
      <c r="Q48" s="89">
        <f t="shared" si="5"/>
        <v>0.454923115079365</v>
      </c>
      <c r="R48" s="5"/>
      <c r="S48" s="5"/>
      <c r="T48" s="5"/>
      <c r="U48" s="5"/>
      <c r="V48" s="5"/>
      <c r="W48" s="5"/>
      <c r="X48" s="5"/>
      <c r="Y48" s="5"/>
      <c r="Z48" s="5"/>
      <c r="AA48" s="5"/>
      <c r="AB48" s="5"/>
      <c r="AC48" s="5"/>
      <c r="AD48" s="5"/>
      <c r="AE48" s="5"/>
      <c r="AF48" s="5"/>
      <c r="AG48" s="5"/>
      <c r="AH48" s="105">
        <f t="shared" si="35"/>
        <v>42586</v>
      </c>
      <c r="AI48" s="91">
        <f t="shared" si="12"/>
        <v>3.689</v>
      </c>
      <c r="AJ48" s="36">
        <f t="shared" si="13"/>
        <v>0.0104081073678446</v>
      </c>
      <c r="AK48" s="36">
        <f t="shared" si="32"/>
        <v>0.0154142581888246</v>
      </c>
      <c r="AL48" s="105"/>
      <c r="AM48" s="91"/>
      <c r="AN48" s="36"/>
      <c r="AO48" s="36"/>
      <c r="AP48" s="36"/>
      <c r="AQ48" s="92" t="str" cm="1">
        <f t="array" ref="AQ48">_xlfn.IFS(MONTH(AR48)&lt;4,1,MONTH(AR48)&lt;7,2,MONTH(AR48)&lt;10,3,MONTH(AR48)&gt;9,4)&amp;"Q"&amp;RIGHT(YEAR(AR48),2)</f>
        <v>2Q19</v>
      </c>
      <c r="AR48" s="92">
        <f t="shared" si="14"/>
        <v>43646</v>
      </c>
      <c r="AS48" s="109">
        <v>43626</v>
      </c>
      <c r="AT48" s="110"/>
      <c r="AU48" s="94" cm="1">
        <f t="array" ref="AU48">INDEX($CE$29:$CE$1449,MATCH($AR48,$CA$29:$CA$1449,0),)</f>
        <v>123.59</v>
      </c>
      <c r="AV48" s="110"/>
      <c r="AW48" s="94" cm="1">
        <f t="array" ref="AW48">INDEX($CF$29:$CF$1449,MATCH($AR48,$CA$29:$CA$1449,0),)</f>
        <v>265</v>
      </c>
      <c r="AX48" s="94"/>
      <c r="AY48" s="94"/>
      <c r="AZ48" s="94"/>
      <c r="BA48" s="94"/>
      <c r="BB48" s="5"/>
      <c r="BC48" s="5"/>
      <c r="BD48" s="5"/>
      <c r="BE48" s="5"/>
      <c r="BF48" s="5"/>
      <c r="BG48" s="5"/>
      <c r="BH48" s="5"/>
      <c r="BI48" s="5"/>
      <c r="BJ48" s="5"/>
      <c r="BK48" s="5"/>
      <c r="BL48" s="5"/>
      <c r="BM48" s="5"/>
      <c r="BN48" s="5"/>
      <c r="BO48" s="5"/>
      <c r="BP48" s="5"/>
      <c r="BQ48" s="95" t="str" cm="1">
        <f t="array" ref="BQ48">_xlfn.IFS(MONTH(BR48)&lt;4,1,MONTH(BR48)&lt;7,2,MONTH(BR48)&lt;10,3,MONTH(BR48)&gt;9,4)&amp;"Q"&amp;RIGHT(YEAR(BR48),2)</f>
        <v>1Q18</v>
      </c>
      <c r="BR48" s="81">
        <f t="shared" si="15"/>
        <v>43131</v>
      </c>
      <c r="BS48" s="96">
        <f t="shared" si="16"/>
        <v>43131</v>
      </c>
      <c r="BT48" s="85">
        <v>8.19</v>
      </c>
      <c r="BU48" s="85">
        <v>7.69</v>
      </c>
      <c r="BV48" s="85">
        <v>7.94</v>
      </c>
      <c r="BW48" s="85"/>
      <c r="BX48" s="85"/>
      <c r="CA48" s="35">
        <f t="shared" ref="CA48:CA111" si="41">EOMONTH(CA47,1)</f>
        <v>43131</v>
      </c>
      <c r="CB48" s="35"/>
      <c r="CC48" s="35"/>
      <c r="CD48" s="26">
        <v>66</v>
      </c>
      <c r="CE48" s="26">
        <v>303.77</v>
      </c>
      <c r="CF48" s="26">
        <v>600</v>
      </c>
      <c r="CG48" s="26"/>
      <c r="CH48" s="26"/>
      <c r="CI48" s="26"/>
      <c r="CJ48" s="26"/>
      <c r="CK48" s="26"/>
      <c r="CL48" s="26"/>
      <c r="CM48" s="26"/>
      <c r="CN48" s="26"/>
      <c r="CO48" s="26"/>
      <c r="CP48" s="26"/>
      <c r="CQ48" s="26"/>
      <c r="CR48" s="26"/>
      <c r="CT48" s="113"/>
      <c r="CU48" s="113"/>
      <c r="CV48" s="113"/>
      <c r="CX48" s="99"/>
      <c r="CY48" s="1"/>
      <c r="CZ48" s="1"/>
      <c r="DA48" s="108">
        <f t="shared" si="39"/>
        <v>0.0200127598133037</v>
      </c>
      <c r="DB48" s="108">
        <f t="shared" si="39"/>
        <v>0</v>
      </c>
      <c r="DC48" s="36"/>
      <c r="DD48" s="36"/>
      <c r="DE48" s="36"/>
      <c r="DF48" s="36"/>
      <c r="DG48" s="36"/>
      <c r="DH48" s="36"/>
      <c r="DI48" s="36"/>
      <c r="DJ48" s="36"/>
      <c r="DK48" s="36"/>
      <c r="DL48" s="36"/>
      <c r="DM48" s="1"/>
      <c r="DN48" s="100"/>
      <c r="DQ48" s="114">
        <f t="shared" si="37"/>
        <v>9.4928125</v>
      </c>
      <c r="DR48" s="114">
        <f t="shared" si="38"/>
        <v>9.375</v>
      </c>
      <c r="EA48" s="35" t="str">
        <f t="shared" si="40"/>
        <v>2Q22</v>
      </c>
      <c r="EB48" s="115"/>
      <c r="EC48" s="115">
        <v>28.1009879253568</v>
      </c>
      <c r="ED48" s="115">
        <v>42.2</v>
      </c>
      <c r="EE48" s="115">
        <v>27.212389380531</v>
      </c>
      <c r="EF48" s="115">
        <v>13.9198218262806</v>
      </c>
      <c r="EG48" s="115">
        <v>22.6519337016575</v>
      </c>
      <c r="EH48" s="115">
        <v>39.2419175027871</v>
      </c>
      <c r="EI48" s="27"/>
      <c r="EJ48" s="116"/>
      <c r="EK48" s="112">
        <f t="shared" si="36"/>
        <v>-0.00896515893136873</v>
      </c>
      <c r="EL48" s="112">
        <f t="shared" si="36"/>
        <v>-0.00938967136150226</v>
      </c>
      <c r="EM48" s="112">
        <f t="shared" si="36"/>
        <v>-0.0161674608577264</v>
      </c>
      <c r="EN48" s="112">
        <f t="shared" si="36"/>
        <v>0.00142603066767077</v>
      </c>
      <c r="EO48" s="112">
        <f t="shared" si="36"/>
        <v>-0.00211745807676389</v>
      </c>
      <c r="EP48" s="112">
        <f t="shared" si="36"/>
        <v>-0.016493295669497</v>
      </c>
      <c r="EQ48" s="36"/>
      <c r="ES48" s="36"/>
      <c r="FI48" s="35" t="str">
        <f t="shared" si="17"/>
        <v>2Q22</v>
      </c>
      <c r="FM48" s="104"/>
      <c r="FN48" s="104">
        <f t="shared" si="18"/>
        <v>2010</v>
      </c>
      <c r="FO48" s="104">
        <f t="shared" si="19"/>
        <v>36</v>
      </c>
      <c r="FP48" s="35">
        <v>40421</v>
      </c>
      <c r="FQ48" s="26">
        <v>2.08</v>
      </c>
      <c r="FR48" s="59">
        <f t="shared" si="20"/>
        <v>16.64</v>
      </c>
      <c r="FS48" s="104">
        <f t="shared" si="21"/>
        <v>2010</v>
      </c>
      <c r="FT48" s="104">
        <f t="shared" si="6"/>
        <v>36</v>
      </c>
      <c r="FU48" s="35">
        <v>40421</v>
      </c>
      <c r="FV48" s="26">
        <v>2.1</v>
      </c>
      <c r="FW48" s="94">
        <f t="shared" si="22"/>
        <v>16.8</v>
      </c>
      <c r="FX48" s="104">
        <f t="shared" si="23"/>
        <v>2010</v>
      </c>
      <c r="FY48" s="104">
        <f t="shared" si="7"/>
        <v>44</v>
      </c>
      <c r="FZ48" s="35">
        <v>40477</v>
      </c>
      <c r="GA48" s="26">
        <v>3.8</v>
      </c>
      <c r="GB48" s="94">
        <f t="shared" si="24"/>
        <v>15.2</v>
      </c>
      <c r="GC48" s="104">
        <f t="shared" si="25"/>
        <v>2011</v>
      </c>
      <c r="GD48" s="104">
        <f t="shared" si="8"/>
        <v>27</v>
      </c>
      <c r="GE48" s="35">
        <v>40722</v>
      </c>
      <c r="GF48" s="26">
        <v>1.94</v>
      </c>
      <c r="GG48" s="94">
        <f t="shared" si="26"/>
        <v>7.76</v>
      </c>
      <c r="GH48" s="104">
        <f t="shared" si="27"/>
        <v>2013</v>
      </c>
      <c r="GI48" s="104">
        <f t="shared" si="9"/>
        <v>5</v>
      </c>
      <c r="GJ48" s="35">
        <v>41303</v>
      </c>
      <c r="GK48" s="26">
        <v>2.31</v>
      </c>
      <c r="GL48" s="94">
        <f t="shared" si="28"/>
        <v>4.62</v>
      </c>
      <c r="GM48" s="104">
        <f t="shared" si="29"/>
        <v>2013</v>
      </c>
      <c r="GN48" s="104">
        <f t="shared" si="10"/>
        <v>42</v>
      </c>
      <c r="GO48" s="35">
        <v>41562</v>
      </c>
      <c r="GP48" s="26">
        <v>3.69</v>
      </c>
      <c r="GQ48" s="94">
        <f t="shared" si="30"/>
        <v>7.38</v>
      </c>
      <c r="GR48" s="59"/>
    </row>
    <row r="49" ht="16.8" spans="3:200">
      <c r="C49" s="80" t="str" cm="1">
        <f t="array" ref="C49">_xlfn.IFS(MONTH(D49)&lt;4,1,MONTH(D49)&lt;7,2,MONTH(D49)&lt;10,3,MONTH(D49)&gt;9,4)&amp;"Q"&amp;RIGHT(YEAR(D49),2)</f>
        <v>1Q16</v>
      </c>
      <c r="D49" s="81">
        <f t="shared" si="11"/>
        <v>42460</v>
      </c>
      <c r="E49" s="82">
        <f t="shared" si="3"/>
        <v>42453</v>
      </c>
      <c r="F49" s="83">
        <f t="shared" si="4"/>
        <v>0.586625</v>
      </c>
      <c r="G49" s="83">
        <f t="shared" si="4"/>
        <v>0.4032</v>
      </c>
      <c r="H49" s="81"/>
      <c r="I49" s="84">
        <v>42453</v>
      </c>
      <c r="J49" s="85">
        <v>4.95</v>
      </c>
      <c r="K49" s="85">
        <v>4.6</v>
      </c>
      <c r="L49" s="86">
        <v>4.693</v>
      </c>
      <c r="M49" s="87">
        <v>3.2256</v>
      </c>
      <c r="N49" s="88"/>
      <c r="O49" s="88"/>
      <c r="P49" s="88"/>
      <c r="Q49" s="89">
        <f t="shared" si="5"/>
        <v>0.454923115079365</v>
      </c>
      <c r="R49" s="5"/>
      <c r="S49" s="5"/>
      <c r="T49" s="5"/>
      <c r="U49" s="5"/>
      <c r="V49" s="5"/>
      <c r="W49" s="5"/>
      <c r="X49" s="5"/>
      <c r="Y49" s="5"/>
      <c r="Z49" s="5"/>
      <c r="AA49" s="5"/>
      <c r="AB49" s="5"/>
      <c r="AC49" s="5"/>
      <c r="AD49" s="5"/>
      <c r="AE49" s="5"/>
      <c r="AF49" s="5"/>
      <c r="AG49" s="5"/>
      <c r="AH49" s="105">
        <f t="shared" si="35"/>
        <v>42594</v>
      </c>
      <c r="AI49" s="91">
        <f t="shared" si="12"/>
        <v>3.717</v>
      </c>
      <c r="AJ49" s="36">
        <f t="shared" si="13"/>
        <v>0.00759013282732446</v>
      </c>
      <c r="AK49" s="36">
        <f t="shared" si="32"/>
        <v>0.0180772391125721</v>
      </c>
      <c r="AL49" s="105"/>
      <c r="AM49" s="91"/>
      <c r="AN49" s="36"/>
      <c r="AO49" s="36"/>
      <c r="AP49" s="36"/>
      <c r="AQ49" s="92" t="str" cm="1">
        <f t="array" ref="AQ49">_xlfn.IFS(MONTH(AR49)&lt;4,1,MONTH(AR49)&lt;7,2,MONTH(AR49)&lt;10,3,MONTH(AR49)&gt;9,4)&amp;"Q"&amp;RIGHT(YEAR(AR49),2)</f>
        <v>2Q19</v>
      </c>
      <c r="AR49" s="92">
        <f t="shared" si="14"/>
        <v>43646</v>
      </c>
      <c r="AS49" s="109">
        <v>43633</v>
      </c>
      <c r="AT49" s="110"/>
      <c r="AU49" s="94" cm="1">
        <f t="array" ref="AU49">INDEX($CE$29:$CE$1449,MATCH($AR49,$CA$29:$CA$1449,0),)</f>
        <v>123.59</v>
      </c>
      <c r="AV49" s="110"/>
      <c r="AW49" s="94" cm="1">
        <f t="array" ref="AW49">INDEX($CF$29:$CF$1449,MATCH($AR49,$CA$29:$CA$1449,0),)</f>
        <v>265</v>
      </c>
      <c r="AX49" s="94"/>
      <c r="AY49" s="94"/>
      <c r="AZ49" s="94"/>
      <c r="BA49" s="94"/>
      <c r="BB49" s="5"/>
      <c r="BC49" s="5"/>
      <c r="BD49" s="5"/>
      <c r="BE49" s="5"/>
      <c r="BF49" s="5"/>
      <c r="BG49" s="5"/>
      <c r="BH49" s="5"/>
      <c r="BI49" s="5"/>
      <c r="BJ49" s="5"/>
      <c r="BK49" s="5"/>
      <c r="BL49" s="5"/>
      <c r="BM49" s="5"/>
      <c r="BN49" s="5"/>
      <c r="BO49" s="5"/>
      <c r="BP49" s="5"/>
      <c r="BQ49" s="95" t="str" cm="1">
        <f t="array" ref="BQ49">_xlfn.IFS(MONTH(BR49)&lt;4,1,MONTH(BR49)&lt;7,2,MONTH(BR49)&lt;10,3,MONTH(BR49)&gt;9,4)&amp;"Q"&amp;RIGHT(YEAR(BR49),2)</f>
        <v>1Q18</v>
      </c>
      <c r="BR49" s="81">
        <f t="shared" si="15"/>
        <v>43159</v>
      </c>
      <c r="BS49" s="96">
        <f t="shared" si="16"/>
        <v>43159</v>
      </c>
      <c r="BT49" s="85">
        <v>8.19</v>
      </c>
      <c r="BU49" s="85">
        <v>7.69</v>
      </c>
      <c r="BV49" s="85">
        <v>7.94</v>
      </c>
      <c r="BW49" s="85"/>
      <c r="BX49" s="85"/>
      <c r="CA49" s="35">
        <f t="shared" si="41"/>
        <v>43159</v>
      </c>
      <c r="CB49" s="35"/>
      <c r="CC49" s="35"/>
      <c r="CD49" s="26">
        <v>66</v>
      </c>
      <c r="CE49" s="26">
        <v>306.81</v>
      </c>
      <c r="CF49" s="26">
        <v>605</v>
      </c>
      <c r="CG49" s="26"/>
      <c r="CH49" s="26"/>
      <c r="CI49" s="26"/>
      <c r="CJ49" s="26"/>
      <c r="CK49" s="26"/>
      <c r="CL49" s="26"/>
      <c r="CM49" s="26"/>
      <c r="CN49" s="26"/>
      <c r="CO49" s="26"/>
      <c r="CP49" s="26"/>
      <c r="CQ49" s="26"/>
      <c r="CR49" s="26"/>
      <c r="CT49" s="113"/>
      <c r="CU49" s="113"/>
      <c r="CV49" s="113"/>
      <c r="CX49" s="99"/>
      <c r="CY49" s="1"/>
      <c r="CZ49" s="108">
        <f t="shared" ref="CZ49:DB95" si="42">CD49/CD48-1</f>
        <v>0</v>
      </c>
      <c r="DA49" s="108">
        <f t="shared" si="39"/>
        <v>0.0100075715179249</v>
      </c>
      <c r="DB49" s="108">
        <f t="shared" si="39"/>
        <v>0.0083333333333333</v>
      </c>
      <c r="DC49" s="36"/>
      <c r="DD49" s="36"/>
      <c r="DE49" s="36"/>
      <c r="DF49" s="36"/>
      <c r="DG49" s="36"/>
      <c r="DH49" s="36"/>
      <c r="DI49" s="36"/>
      <c r="DJ49" s="36"/>
      <c r="DK49" s="36"/>
      <c r="DL49" s="36"/>
      <c r="DM49" s="1"/>
      <c r="DN49" s="100"/>
      <c r="DQ49" s="114">
        <f t="shared" si="37"/>
        <v>9.5878125</v>
      </c>
      <c r="DR49" s="114">
        <f t="shared" si="38"/>
        <v>9.453125</v>
      </c>
      <c r="EA49" s="35" t="str">
        <f t="shared" si="40"/>
        <v>3Q22</v>
      </c>
      <c r="EB49" s="115"/>
      <c r="EC49" s="115">
        <v>25.5501222493887</v>
      </c>
      <c r="ED49" s="115">
        <v>38.3863080684597</v>
      </c>
      <c r="EE49" s="115">
        <v>24.6882793017456</v>
      </c>
      <c r="EF49" s="115">
        <v>12.5</v>
      </c>
      <c r="EG49" s="115">
        <v>20.5524861878453</v>
      </c>
      <c r="EH49" s="115">
        <v>35.1941747572816</v>
      </c>
      <c r="EI49" s="27"/>
      <c r="EJ49" s="116"/>
      <c r="EK49" s="112">
        <f t="shared" si="36"/>
        <v>-0.0907749465158926</v>
      </c>
      <c r="EL49" s="112">
        <f t="shared" si="36"/>
        <v>-0.0903718467189656</v>
      </c>
      <c r="EM49" s="112">
        <f t="shared" si="36"/>
        <v>-0.0927559150903231</v>
      </c>
      <c r="EN49" s="112">
        <f t="shared" si="36"/>
        <v>-0.102</v>
      </c>
      <c r="EO49" s="112">
        <f t="shared" si="36"/>
        <v>-0.0926829268292683</v>
      </c>
      <c r="EP49" s="112">
        <f t="shared" si="36"/>
        <v>-0.10314844439541</v>
      </c>
      <c r="EQ49" s="36"/>
      <c r="ES49" s="36"/>
      <c r="FI49" s="35" t="str">
        <f t="shared" si="17"/>
        <v>3Q22</v>
      </c>
      <c r="FM49" s="104"/>
      <c r="FN49" s="104">
        <f t="shared" si="18"/>
        <v>2010</v>
      </c>
      <c r="FO49" s="104">
        <f t="shared" si="19"/>
        <v>40</v>
      </c>
      <c r="FP49" s="35">
        <v>40451</v>
      </c>
      <c r="FQ49" s="26">
        <v>1.87</v>
      </c>
      <c r="FR49" s="59">
        <f t="shared" si="20"/>
        <v>14.96</v>
      </c>
      <c r="FS49" s="104">
        <f t="shared" si="21"/>
        <v>2010</v>
      </c>
      <c r="FT49" s="104">
        <f t="shared" si="6"/>
        <v>40</v>
      </c>
      <c r="FU49" s="35">
        <v>40451</v>
      </c>
      <c r="FV49" s="26">
        <v>1.97</v>
      </c>
      <c r="FW49" s="94">
        <f t="shared" si="22"/>
        <v>15.76</v>
      </c>
      <c r="FX49" s="104">
        <f t="shared" si="23"/>
        <v>2010</v>
      </c>
      <c r="FY49" s="104">
        <f t="shared" si="7"/>
        <v>44</v>
      </c>
      <c r="FZ49" s="35">
        <v>40478</v>
      </c>
      <c r="GA49" s="26">
        <v>3.77</v>
      </c>
      <c r="GB49" s="94">
        <f t="shared" si="24"/>
        <v>15.08</v>
      </c>
      <c r="GC49" s="104">
        <f t="shared" si="25"/>
        <v>2011</v>
      </c>
      <c r="GD49" s="104">
        <f t="shared" si="8"/>
        <v>29</v>
      </c>
      <c r="GE49" s="35">
        <v>40737</v>
      </c>
      <c r="GF49" s="26">
        <v>1.78</v>
      </c>
      <c r="GG49" s="94">
        <f t="shared" si="26"/>
        <v>7.12</v>
      </c>
      <c r="GH49" s="104">
        <f t="shared" si="27"/>
        <v>2013</v>
      </c>
      <c r="GI49" s="104">
        <f t="shared" si="9"/>
        <v>5</v>
      </c>
      <c r="GJ49" s="35">
        <v>41304</v>
      </c>
      <c r="GK49" s="26">
        <v>2.31</v>
      </c>
      <c r="GL49" s="94">
        <f t="shared" si="28"/>
        <v>4.62</v>
      </c>
      <c r="GM49" s="104">
        <f t="shared" si="29"/>
        <v>2013</v>
      </c>
      <c r="GN49" s="104">
        <f t="shared" si="10"/>
        <v>44</v>
      </c>
      <c r="GO49" s="35">
        <v>41578</v>
      </c>
      <c r="GP49" s="26">
        <v>3.69</v>
      </c>
      <c r="GQ49" s="94">
        <f t="shared" si="30"/>
        <v>7.38</v>
      </c>
      <c r="GR49" s="59"/>
    </row>
    <row r="50" ht="16.8" spans="3:200">
      <c r="C50" s="80" t="str" cm="1">
        <f t="array" ref="C50">_xlfn.IFS(MONTH(D50)&lt;4,1,MONTH(D50)&lt;7,2,MONTH(D50)&lt;10,3,MONTH(D50)&gt;9,4)&amp;"Q"&amp;RIGHT(YEAR(D50),2)</f>
        <v>1Q16</v>
      </c>
      <c r="D50" s="81">
        <f t="shared" si="11"/>
        <v>42460</v>
      </c>
      <c r="E50" s="82">
        <f t="shared" si="3"/>
        <v>42454</v>
      </c>
      <c r="F50" s="83">
        <f t="shared" si="4"/>
        <v>0.5865</v>
      </c>
      <c r="G50" s="83">
        <f t="shared" si="4"/>
        <v>0.4032</v>
      </c>
      <c r="H50" s="81"/>
      <c r="I50" s="84">
        <v>42454</v>
      </c>
      <c r="J50" s="85">
        <v>4.95</v>
      </c>
      <c r="K50" s="85">
        <v>4.6</v>
      </c>
      <c r="L50" s="86">
        <v>4.692</v>
      </c>
      <c r="M50" s="87">
        <v>3.2256</v>
      </c>
      <c r="N50" s="88"/>
      <c r="O50" s="88"/>
      <c r="P50" s="88"/>
      <c r="Q50" s="89">
        <f t="shared" si="5"/>
        <v>0.454613095238095</v>
      </c>
      <c r="R50" s="5"/>
      <c r="S50" s="5"/>
      <c r="T50" s="5"/>
      <c r="U50" s="5"/>
      <c r="V50" s="5"/>
      <c r="W50" s="5"/>
      <c r="X50" s="5"/>
      <c r="Y50" s="5"/>
      <c r="Z50" s="5"/>
      <c r="AA50" s="5"/>
      <c r="AB50" s="5"/>
      <c r="AC50" s="5"/>
      <c r="AD50" s="5"/>
      <c r="AE50" s="5"/>
      <c r="AF50" s="5"/>
      <c r="AG50" s="5"/>
      <c r="AH50" s="105">
        <f t="shared" si="35"/>
        <v>42604</v>
      </c>
      <c r="AI50" s="91">
        <f t="shared" si="12"/>
        <v>3.717</v>
      </c>
      <c r="AJ50" s="36">
        <f t="shared" si="13"/>
        <v>0</v>
      </c>
      <c r="AK50" s="36">
        <f t="shared" si="32"/>
        <v>0.00759013282732446</v>
      </c>
      <c r="AL50" s="105"/>
      <c r="AM50" s="91"/>
      <c r="AN50" s="36"/>
      <c r="AO50" s="36"/>
      <c r="AP50" s="36"/>
      <c r="AQ50" s="92" t="str" cm="1">
        <f t="array" ref="AQ50">_xlfn.IFS(MONTH(AR50)&lt;4,1,MONTH(AR50)&lt;7,2,MONTH(AR50)&lt;10,3,MONTH(AR50)&gt;9,4)&amp;"Q"&amp;RIGHT(YEAR(AR50),2)</f>
        <v>2Q19</v>
      </c>
      <c r="AR50" s="92">
        <f t="shared" si="14"/>
        <v>43646</v>
      </c>
      <c r="AS50" s="109">
        <v>43640</v>
      </c>
      <c r="AT50" s="110"/>
      <c r="AU50" s="94" cm="1">
        <f t="array" ref="AU50">INDEX($CE$29:$CE$1449,MATCH($AR50,$CA$29:$CA$1449,0),)</f>
        <v>123.59</v>
      </c>
      <c r="AV50" s="110"/>
      <c r="AW50" s="94" cm="1">
        <f t="array" ref="AW50">INDEX($CF$29:$CF$1449,MATCH($AR50,$CA$29:$CA$1449,0),)</f>
        <v>265</v>
      </c>
      <c r="AX50" s="94"/>
      <c r="AY50" s="94"/>
      <c r="AZ50" s="94"/>
      <c r="BA50" s="94"/>
      <c r="BB50" s="5"/>
      <c r="BC50" s="5"/>
      <c r="BD50" s="5"/>
      <c r="BE50" s="5"/>
      <c r="BF50" s="5"/>
      <c r="BG50" s="5"/>
      <c r="BH50" s="5"/>
      <c r="BI50" s="5"/>
      <c r="BJ50" s="5"/>
      <c r="BK50" s="5"/>
      <c r="BL50" s="5"/>
      <c r="BM50" s="5"/>
      <c r="BN50" s="5"/>
      <c r="BO50" s="5"/>
      <c r="BP50" s="5"/>
      <c r="BQ50" s="95" t="str" cm="1">
        <f t="array" ref="BQ50">_xlfn.IFS(MONTH(BR50)&lt;4,1,MONTH(BR50)&lt;7,2,MONTH(BR50)&lt;10,3,MONTH(BR50)&gt;9,4)&amp;"Q"&amp;RIGHT(YEAR(BR50),2)</f>
        <v>1Q18</v>
      </c>
      <c r="BR50" s="81">
        <f t="shared" si="15"/>
        <v>43190</v>
      </c>
      <c r="BS50" s="96">
        <f t="shared" si="16"/>
        <v>43190</v>
      </c>
      <c r="BT50" s="85">
        <v>8.19</v>
      </c>
      <c r="BU50" s="85">
        <v>7.69</v>
      </c>
      <c r="BV50" s="85">
        <v>7.94</v>
      </c>
      <c r="BW50" s="85"/>
      <c r="BX50" s="85"/>
      <c r="CA50" s="35">
        <f t="shared" si="41"/>
        <v>43190</v>
      </c>
      <c r="CB50" s="35"/>
      <c r="CC50" s="35"/>
      <c r="CD50" s="26">
        <v>66</v>
      </c>
      <c r="CE50" s="26">
        <v>308.35</v>
      </c>
      <c r="CF50" s="26">
        <v>605</v>
      </c>
      <c r="CG50" s="26"/>
      <c r="CH50" s="26"/>
      <c r="CI50" s="26"/>
      <c r="CJ50" s="26"/>
      <c r="CK50" s="26"/>
      <c r="CL50" s="26"/>
      <c r="CM50" s="26"/>
      <c r="CN50" s="26"/>
      <c r="CO50" s="26"/>
      <c r="CP50" s="26"/>
      <c r="CQ50" s="26"/>
      <c r="CR50" s="26"/>
      <c r="CS50" s="27"/>
      <c r="CT50" s="113"/>
      <c r="CU50" s="113"/>
      <c r="CV50" s="113"/>
      <c r="CW50" s="27"/>
      <c r="CX50" s="117"/>
      <c r="CY50" s="113"/>
      <c r="CZ50" s="108">
        <f t="shared" si="42"/>
        <v>0</v>
      </c>
      <c r="DA50" s="108">
        <f t="shared" si="39"/>
        <v>0.0050193931097422</v>
      </c>
      <c r="DB50" s="108">
        <f t="shared" si="39"/>
        <v>0</v>
      </c>
      <c r="DC50" s="36"/>
      <c r="DD50" s="36"/>
      <c r="DE50" s="36"/>
      <c r="DF50" s="36"/>
      <c r="DG50" s="36"/>
      <c r="DH50" s="36"/>
      <c r="DI50" s="36"/>
      <c r="DJ50" s="36"/>
      <c r="DK50" s="36"/>
      <c r="DL50" s="36"/>
      <c r="DM50" s="113"/>
      <c r="DN50" s="100"/>
      <c r="DQ50" s="114">
        <f t="shared" si="37"/>
        <v>9.6359375</v>
      </c>
      <c r="DR50" s="114">
        <f t="shared" si="38"/>
        <v>9.453125</v>
      </c>
      <c r="EA50" s="35" t="str">
        <f t="shared" si="40"/>
        <v>4Q22</v>
      </c>
      <c r="EB50" s="115">
        <v>38.5365853658537</v>
      </c>
      <c r="EC50" s="102">
        <v>20.9</v>
      </c>
      <c r="ED50" s="115">
        <v>28.8672350791717</v>
      </c>
      <c r="EE50" s="115">
        <v>18.3417085427136</v>
      </c>
      <c r="EF50" s="115">
        <v>10.0606060606061</v>
      </c>
      <c r="EG50" s="115">
        <v>18.2237600922722</v>
      </c>
      <c r="EH50" s="115">
        <v>27.6995305164319</v>
      </c>
      <c r="EI50" s="27"/>
      <c r="EJ50" s="116"/>
      <c r="EK50" s="116">
        <v>-0.182</v>
      </c>
      <c r="EL50" s="112">
        <f t="shared" si="36"/>
        <v>-0.247980946026672</v>
      </c>
      <c r="EM50" s="112">
        <f t="shared" si="36"/>
        <v>-0.257068169128471</v>
      </c>
      <c r="EN50" s="112">
        <f t="shared" si="36"/>
        <v>-0.195151515151515</v>
      </c>
      <c r="EO50" s="112">
        <f t="shared" si="36"/>
        <v>-0.11330629658568</v>
      </c>
      <c r="EP50" s="112">
        <f t="shared" si="36"/>
        <v>-0.212951270843451</v>
      </c>
      <c r="EQ50" s="36"/>
      <c r="ES50" s="36"/>
      <c r="FM50" s="104"/>
      <c r="FN50" s="104">
        <f t="shared" si="18"/>
        <v>2010</v>
      </c>
      <c r="FO50" s="104">
        <f t="shared" si="19"/>
        <v>45</v>
      </c>
      <c r="FP50" s="35">
        <v>40482</v>
      </c>
      <c r="FQ50" s="26">
        <v>1.82</v>
      </c>
      <c r="FR50" s="59">
        <f t="shared" si="20"/>
        <v>14.56</v>
      </c>
      <c r="FS50" s="104">
        <f t="shared" si="21"/>
        <v>2010</v>
      </c>
      <c r="FT50" s="104">
        <f t="shared" si="6"/>
        <v>45</v>
      </c>
      <c r="FU50" s="35">
        <v>40482</v>
      </c>
      <c r="FV50" s="26">
        <v>1.8</v>
      </c>
      <c r="FW50" s="94">
        <f t="shared" si="22"/>
        <v>14.4</v>
      </c>
      <c r="FX50" s="104">
        <f t="shared" si="23"/>
        <v>2010</v>
      </c>
      <c r="FY50" s="104">
        <f t="shared" si="7"/>
        <v>44</v>
      </c>
      <c r="FZ50" s="35">
        <v>40479</v>
      </c>
      <c r="GA50" s="26">
        <v>3.75</v>
      </c>
      <c r="GB50" s="94">
        <f t="shared" si="24"/>
        <v>15</v>
      </c>
      <c r="GC50" s="104">
        <f t="shared" si="25"/>
        <v>2011</v>
      </c>
      <c r="GD50" s="104">
        <f t="shared" si="8"/>
        <v>31</v>
      </c>
      <c r="GE50" s="35">
        <v>40750</v>
      </c>
      <c r="GF50" s="26">
        <v>1.59</v>
      </c>
      <c r="GG50" s="94">
        <f t="shared" si="26"/>
        <v>6.36</v>
      </c>
      <c r="GH50" s="104">
        <f t="shared" si="27"/>
        <v>2013</v>
      </c>
      <c r="GI50" s="104">
        <f t="shared" si="9"/>
        <v>5</v>
      </c>
      <c r="GJ50" s="35">
        <v>41305</v>
      </c>
      <c r="GK50" s="26">
        <v>2.333</v>
      </c>
      <c r="GL50" s="94">
        <f t="shared" si="28"/>
        <v>4.666</v>
      </c>
      <c r="GM50" s="104">
        <f t="shared" si="29"/>
        <v>2013</v>
      </c>
      <c r="GN50" s="104">
        <f t="shared" si="10"/>
        <v>46</v>
      </c>
      <c r="GO50" s="35">
        <v>41592</v>
      </c>
      <c r="GP50" s="26">
        <v>3.69</v>
      </c>
      <c r="GQ50" s="94">
        <f t="shared" si="30"/>
        <v>7.38</v>
      </c>
      <c r="GR50" s="59"/>
    </row>
    <row r="51" ht="16.8" spans="3:200">
      <c r="C51" s="80" t="str" cm="1">
        <f t="array" ref="C51">_xlfn.IFS(MONTH(D51)&lt;4,1,MONTH(D51)&lt;7,2,MONTH(D51)&lt;10,3,MONTH(D51)&gt;9,4)&amp;"Q"&amp;RIGHT(YEAR(D51),2)</f>
        <v>1Q16</v>
      </c>
      <c r="D51" s="81">
        <f t="shared" si="11"/>
        <v>42460</v>
      </c>
      <c r="E51" s="82">
        <f t="shared" si="3"/>
        <v>42457</v>
      </c>
      <c r="F51" s="83">
        <f t="shared" si="4"/>
        <v>0.5865</v>
      </c>
      <c r="G51" s="83">
        <f t="shared" si="4"/>
        <v>0.4032</v>
      </c>
      <c r="H51" s="81"/>
      <c r="I51" s="84">
        <v>42457</v>
      </c>
      <c r="J51" s="85">
        <v>4.95</v>
      </c>
      <c r="K51" s="85">
        <v>4.62</v>
      </c>
      <c r="L51" s="86">
        <v>4.692</v>
      </c>
      <c r="M51" s="87">
        <v>3.2256</v>
      </c>
      <c r="N51" s="88"/>
      <c r="O51" s="88"/>
      <c r="P51" s="88"/>
      <c r="Q51" s="89">
        <f t="shared" si="5"/>
        <v>0.454613095238095</v>
      </c>
      <c r="R51" s="5"/>
      <c r="S51" s="5"/>
      <c r="T51" s="5"/>
      <c r="U51" s="5"/>
      <c r="V51" s="5"/>
      <c r="W51" s="5"/>
      <c r="X51" s="5"/>
      <c r="Y51" s="5"/>
      <c r="Z51" s="5"/>
      <c r="AA51" s="5"/>
      <c r="AB51" s="5"/>
      <c r="AC51" s="5"/>
      <c r="AD51" s="5"/>
      <c r="AE51" s="5"/>
      <c r="AF51" s="5"/>
      <c r="AG51" s="5"/>
      <c r="AH51" s="105">
        <f t="shared" si="35"/>
        <v>42612</v>
      </c>
      <c r="AI51" s="91">
        <f t="shared" si="12"/>
        <v>3.717</v>
      </c>
      <c r="AJ51" s="36">
        <f t="shared" si="13"/>
        <v>0</v>
      </c>
      <c r="AK51" s="36">
        <f t="shared" si="32"/>
        <v>0</v>
      </c>
      <c r="AL51" s="105"/>
      <c r="AM51" s="91"/>
      <c r="AN51" s="36"/>
      <c r="AO51" s="36"/>
      <c r="AP51" s="36"/>
      <c r="AQ51" s="92" t="str" cm="1">
        <f t="array" ref="AQ51">_xlfn.IFS(MONTH(AR51)&lt;4,1,MONTH(AR51)&lt;7,2,MONTH(AR51)&lt;10,3,MONTH(AR51)&gt;9,4)&amp;"Q"&amp;RIGHT(YEAR(AR51),2)</f>
        <v>3Q19</v>
      </c>
      <c r="AR51" s="92">
        <f t="shared" si="14"/>
        <v>43677</v>
      </c>
      <c r="AS51" s="109">
        <v>43647</v>
      </c>
      <c r="AT51" s="110"/>
      <c r="AU51" s="94" cm="1">
        <f t="array" ref="AU51">INDEX($CE$29:$CE$1449,MATCH($AR51,$CA$29:$CA$1449,0),)</f>
        <v>114.94</v>
      </c>
      <c r="AV51" s="110"/>
      <c r="AW51" s="94" cm="1">
        <f t="array" ref="AW51">INDEX($CF$29:$CF$1449,MATCH($AR51,$CA$29:$CA$1449,0),)</f>
        <v>240</v>
      </c>
      <c r="AX51" s="94"/>
      <c r="AY51" s="94"/>
      <c r="AZ51" s="94"/>
      <c r="BA51" s="94"/>
      <c r="BB51" s="5"/>
      <c r="BC51" s="5"/>
      <c r="BD51" s="5"/>
      <c r="BE51" s="5"/>
      <c r="BF51" s="5"/>
      <c r="BG51" s="5"/>
      <c r="BH51" s="5"/>
      <c r="BI51" s="5"/>
      <c r="BJ51" s="5"/>
      <c r="BK51" s="5"/>
      <c r="BL51" s="5"/>
      <c r="BM51" s="5"/>
      <c r="BN51" s="5"/>
      <c r="BO51" s="5"/>
      <c r="BP51" s="5"/>
      <c r="BQ51" s="95" t="str" cm="1">
        <f t="array" ref="BQ51">_xlfn.IFS(MONTH(BR51)&lt;4,1,MONTH(BR51)&lt;7,2,MONTH(BR51)&lt;10,3,MONTH(BR51)&gt;9,4)&amp;"Q"&amp;RIGHT(YEAR(BR51),2)</f>
        <v>2Q18</v>
      </c>
      <c r="BR51" s="81">
        <f t="shared" si="15"/>
        <v>43220</v>
      </c>
      <c r="BS51" s="96">
        <f t="shared" si="16"/>
        <v>43220</v>
      </c>
      <c r="BT51" s="85">
        <v>8.31</v>
      </c>
      <c r="BU51" s="85">
        <v>7.94</v>
      </c>
      <c r="BV51" s="85">
        <v>8.19</v>
      </c>
      <c r="BW51" s="85"/>
      <c r="BX51" s="85"/>
      <c r="CA51" s="35">
        <f t="shared" si="41"/>
        <v>43220</v>
      </c>
      <c r="CB51" s="35"/>
      <c r="CC51" s="35"/>
      <c r="CD51" s="26">
        <v>68</v>
      </c>
      <c r="CE51" s="26">
        <v>310.18</v>
      </c>
      <c r="CF51" s="26">
        <v>615</v>
      </c>
      <c r="CG51" s="26"/>
      <c r="CH51" s="26"/>
      <c r="CI51" s="26"/>
      <c r="CJ51" s="26"/>
      <c r="CK51" s="26"/>
      <c r="CL51" s="26"/>
      <c r="CM51" s="26"/>
      <c r="CN51" s="26"/>
      <c r="CO51" s="26"/>
      <c r="CP51" s="26"/>
      <c r="CQ51" s="26"/>
      <c r="CR51" s="26"/>
      <c r="CS51" s="27"/>
      <c r="CT51" s="113"/>
      <c r="CU51" s="113"/>
      <c r="CV51" s="113"/>
      <c r="CW51" s="27"/>
      <c r="CX51" s="117"/>
      <c r="CY51" s="113"/>
      <c r="CZ51" s="108">
        <f t="shared" si="42"/>
        <v>0.0303030303030303</v>
      </c>
      <c r="DA51" s="108">
        <f t="shared" si="39"/>
        <v>0.00593481433436027</v>
      </c>
      <c r="DB51" s="108">
        <f t="shared" si="39"/>
        <v>0.0165289256198347</v>
      </c>
      <c r="DC51" s="36"/>
      <c r="DD51" s="36"/>
      <c r="DE51" s="36"/>
      <c r="DF51" s="36"/>
      <c r="DG51" s="36"/>
      <c r="DH51" s="36"/>
      <c r="DI51" s="36"/>
      <c r="DJ51" s="36"/>
      <c r="DK51" s="36"/>
      <c r="DL51" s="36"/>
      <c r="DM51" s="113"/>
      <c r="DN51" s="100"/>
      <c r="DQ51" s="114">
        <f t="shared" si="37"/>
        <v>9.693125</v>
      </c>
      <c r="DR51" s="114">
        <f t="shared" si="38"/>
        <v>9.609375</v>
      </c>
      <c r="EA51" s="35" t="str">
        <f t="shared" si="40"/>
        <v>1Q23</v>
      </c>
      <c r="EB51" s="115">
        <v>31.566265060241</v>
      </c>
      <c r="EC51" s="102"/>
      <c r="ED51" s="115">
        <v>23.7349397590361</v>
      </c>
      <c r="EE51" s="115">
        <v>14.6699266503667</v>
      </c>
      <c r="EF51" s="115">
        <v>7.70186335403727</v>
      </c>
      <c r="EG51" s="115">
        <v>15.0731158605174</v>
      </c>
      <c r="EH51" s="115">
        <v>23.3253588516746</v>
      </c>
      <c r="EI51" s="27"/>
      <c r="EJ51" s="112">
        <f t="shared" ref="EJ51:EJ63" si="43">EB51/EB50-1</f>
        <v>-0.180875400335519</v>
      </c>
      <c r="EK51" s="116"/>
      <c r="EL51" s="112">
        <f t="shared" si="36"/>
        <v>-0.177789639570942</v>
      </c>
      <c r="EM51" s="112">
        <f t="shared" si="36"/>
        <v>-0.200187560706032</v>
      </c>
      <c r="EN51" s="112">
        <f t="shared" si="36"/>
        <v>-0.234453341315573</v>
      </c>
      <c r="EO51" s="112">
        <f t="shared" si="36"/>
        <v>-0.172886617020974</v>
      </c>
      <c r="EP51" s="112">
        <f t="shared" si="36"/>
        <v>-0.157915010948017</v>
      </c>
      <c r="EQ51" s="36"/>
      <c r="ES51" s="36"/>
      <c r="FM51" s="104"/>
      <c r="FN51" s="104">
        <f t="shared" si="18"/>
        <v>2010</v>
      </c>
      <c r="FO51" s="104">
        <f t="shared" si="19"/>
        <v>49</v>
      </c>
      <c r="FP51" s="35">
        <v>40512</v>
      </c>
      <c r="FQ51" s="26">
        <v>1.95</v>
      </c>
      <c r="FR51" s="59">
        <f t="shared" si="20"/>
        <v>15.6</v>
      </c>
      <c r="FS51" s="104">
        <f t="shared" si="21"/>
        <v>2010</v>
      </c>
      <c r="FT51" s="104">
        <f t="shared" si="6"/>
        <v>49</v>
      </c>
      <c r="FU51" s="35">
        <v>40512</v>
      </c>
      <c r="FV51" s="26">
        <v>1.6</v>
      </c>
      <c r="FW51" s="94">
        <f t="shared" si="22"/>
        <v>12.8</v>
      </c>
      <c r="FX51" s="104">
        <f t="shared" si="23"/>
        <v>2010</v>
      </c>
      <c r="FY51" s="104">
        <f t="shared" si="7"/>
        <v>44</v>
      </c>
      <c r="FZ51" s="35">
        <v>40480</v>
      </c>
      <c r="GA51" s="26">
        <v>3.26</v>
      </c>
      <c r="GB51" s="94">
        <f t="shared" si="24"/>
        <v>13.04</v>
      </c>
      <c r="GC51" s="104">
        <f t="shared" si="25"/>
        <v>2011</v>
      </c>
      <c r="GD51" s="104">
        <f t="shared" si="8"/>
        <v>33</v>
      </c>
      <c r="GE51" s="35">
        <v>40766</v>
      </c>
      <c r="GF51" s="26">
        <v>1.31</v>
      </c>
      <c r="GG51" s="94">
        <f t="shared" si="26"/>
        <v>5.24</v>
      </c>
      <c r="GH51" s="104">
        <f t="shared" si="27"/>
        <v>2013</v>
      </c>
      <c r="GI51" s="104">
        <f t="shared" si="9"/>
        <v>5</v>
      </c>
      <c r="GJ51" s="35">
        <v>41306</v>
      </c>
      <c r="GK51" s="26">
        <v>2.389</v>
      </c>
      <c r="GL51" s="94">
        <f t="shared" si="28"/>
        <v>4.778</v>
      </c>
      <c r="GM51" s="104">
        <f t="shared" si="29"/>
        <v>2013</v>
      </c>
      <c r="GN51" s="104">
        <f t="shared" si="10"/>
        <v>48</v>
      </c>
      <c r="GO51" s="35">
        <v>41607</v>
      </c>
      <c r="GP51" s="26">
        <v>3.81</v>
      </c>
      <c r="GQ51" s="94">
        <f t="shared" si="30"/>
        <v>7.62</v>
      </c>
      <c r="GR51" s="59"/>
    </row>
    <row r="52" ht="16.8" spans="3:200">
      <c r="C52" s="80" t="str" cm="1">
        <f t="array" ref="C52">_xlfn.IFS(MONTH(D52)&lt;4,1,MONTH(D52)&lt;7,2,MONTH(D52)&lt;10,3,MONTH(D52)&gt;9,4)&amp;"Q"&amp;RIGHT(YEAR(D52),2)</f>
        <v>1Q16</v>
      </c>
      <c r="D52" s="81">
        <f t="shared" si="11"/>
        <v>42460</v>
      </c>
      <c r="E52" s="82">
        <f t="shared" si="3"/>
        <v>42458</v>
      </c>
      <c r="F52" s="83">
        <f t="shared" si="4"/>
        <v>0.586375</v>
      </c>
      <c r="G52" s="83">
        <f t="shared" si="4"/>
        <v>0.4032</v>
      </c>
      <c r="H52" s="81"/>
      <c r="I52" s="84">
        <v>42458</v>
      </c>
      <c r="J52" s="85">
        <v>4.95</v>
      </c>
      <c r="K52" s="85">
        <v>4.63</v>
      </c>
      <c r="L52" s="86">
        <v>4.691</v>
      </c>
      <c r="M52" s="87">
        <v>3.2256</v>
      </c>
      <c r="N52" s="88"/>
      <c r="O52" s="88"/>
      <c r="P52" s="88"/>
      <c r="Q52" s="89">
        <f t="shared" si="5"/>
        <v>0.454303075396825</v>
      </c>
      <c r="R52" s="5"/>
      <c r="S52" s="5"/>
      <c r="T52" s="5"/>
      <c r="U52" s="5"/>
      <c r="V52" s="5"/>
      <c r="W52" s="5"/>
      <c r="X52" s="5"/>
      <c r="Y52" s="5"/>
      <c r="Z52" s="5"/>
      <c r="AA52" s="5"/>
      <c r="AB52" s="5"/>
      <c r="AC52" s="5"/>
      <c r="AD52" s="5"/>
      <c r="AE52" s="5"/>
      <c r="AF52" s="5"/>
      <c r="AG52" s="5"/>
      <c r="AH52" s="105">
        <f t="shared" si="35"/>
        <v>42620</v>
      </c>
      <c r="AI52" s="91">
        <f t="shared" si="12"/>
        <v>3.717</v>
      </c>
      <c r="AJ52" s="36">
        <f t="shared" si="13"/>
        <v>0</v>
      </c>
      <c r="AK52" s="36">
        <f t="shared" si="32"/>
        <v>0</v>
      </c>
      <c r="AL52" s="105"/>
      <c r="AM52" s="91"/>
      <c r="AN52" s="36"/>
      <c r="AO52" s="36"/>
      <c r="AP52" s="36"/>
      <c r="AQ52" s="92" t="str" cm="1">
        <f t="array" ref="AQ52">_xlfn.IFS(MONTH(AR52)&lt;4,1,MONTH(AR52)&lt;7,2,MONTH(AR52)&lt;10,3,MONTH(AR52)&gt;9,4)&amp;"Q"&amp;RIGHT(YEAR(AR52),2)</f>
        <v>3Q19</v>
      </c>
      <c r="AR52" s="92">
        <f t="shared" si="14"/>
        <v>43677</v>
      </c>
      <c r="AS52" s="109">
        <v>43654</v>
      </c>
      <c r="AT52" s="110"/>
      <c r="AU52" s="94" cm="1">
        <f t="array" ref="AU52">INDEX($CE$29:$CE$1449,MATCH($AR52,$CA$29:$CA$1449,0),)</f>
        <v>114.94</v>
      </c>
      <c r="AV52" s="110"/>
      <c r="AW52" s="94" cm="1">
        <f t="array" ref="AW52">INDEX($CF$29:$CF$1449,MATCH($AR52,$CA$29:$CA$1449,0),)</f>
        <v>240</v>
      </c>
      <c r="AX52" s="94"/>
      <c r="AY52" s="94"/>
      <c r="AZ52" s="94"/>
      <c r="BA52" s="94"/>
      <c r="BB52" s="5"/>
      <c r="BC52" s="5"/>
      <c r="BD52" s="5"/>
      <c r="BE52" s="5"/>
      <c r="BF52" s="5"/>
      <c r="BG52" s="5"/>
      <c r="BH52" s="5"/>
      <c r="BI52" s="5"/>
      <c r="BJ52" s="5"/>
      <c r="BK52" s="5"/>
      <c r="BL52" s="5"/>
      <c r="BM52" s="5"/>
      <c r="BN52" s="5"/>
      <c r="BO52" s="5"/>
      <c r="BP52" s="5"/>
      <c r="BQ52" s="95" t="str" cm="1">
        <f t="array" ref="BQ52">_xlfn.IFS(MONTH(BR52)&lt;4,1,MONTH(BR52)&lt;7,2,MONTH(BR52)&lt;10,3,MONTH(BR52)&gt;9,4)&amp;"Q"&amp;RIGHT(YEAR(BR52),2)</f>
        <v>2Q18</v>
      </c>
      <c r="BR52" s="81">
        <f t="shared" si="15"/>
        <v>43251</v>
      </c>
      <c r="BS52" s="96">
        <f t="shared" si="16"/>
        <v>43251</v>
      </c>
      <c r="BT52" s="85">
        <v>8.31</v>
      </c>
      <c r="BU52" s="85">
        <v>7.94</v>
      </c>
      <c r="BV52" s="85">
        <v>8.19</v>
      </c>
      <c r="BW52" s="85"/>
      <c r="BX52" s="85"/>
      <c r="CA52" s="35">
        <f t="shared" si="41"/>
        <v>43251</v>
      </c>
      <c r="CB52" s="35"/>
      <c r="CC52" s="35"/>
      <c r="CD52" s="26">
        <v>68</v>
      </c>
      <c r="CE52" s="26">
        <v>313.28</v>
      </c>
      <c r="CF52" s="26">
        <v>625</v>
      </c>
      <c r="CG52" s="26"/>
      <c r="CH52" s="26"/>
      <c r="CI52" s="26"/>
      <c r="CJ52" s="26"/>
      <c r="CK52" s="26"/>
      <c r="CL52" s="26"/>
      <c r="CM52" s="26"/>
      <c r="CN52" s="26"/>
      <c r="CO52" s="26"/>
      <c r="CP52" s="26"/>
      <c r="CQ52" s="26"/>
      <c r="CR52" s="26"/>
      <c r="CS52" s="27"/>
      <c r="CT52" s="113"/>
      <c r="CU52" s="113"/>
      <c r="CV52" s="113"/>
      <c r="CW52" s="27"/>
      <c r="CX52" s="117"/>
      <c r="CY52" s="113"/>
      <c r="CZ52" s="108">
        <f t="shared" si="42"/>
        <v>0</v>
      </c>
      <c r="DA52" s="108">
        <f t="shared" si="39"/>
        <v>0.00999419691791847</v>
      </c>
      <c r="DB52" s="108">
        <f t="shared" si="39"/>
        <v>0.0162601626016261</v>
      </c>
      <c r="DC52" s="36"/>
      <c r="DD52" s="36"/>
      <c r="DE52" s="36"/>
      <c r="DF52" s="36"/>
      <c r="DG52" s="36"/>
      <c r="DH52" s="36"/>
      <c r="DI52" s="36"/>
      <c r="DJ52" s="36"/>
      <c r="DK52" s="36"/>
      <c r="DL52" s="36"/>
      <c r="DM52" s="113"/>
      <c r="DN52" s="100"/>
      <c r="DQ52" s="114">
        <f t="shared" si="37"/>
        <v>9.79</v>
      </c>
      <c r="DR52" s="114">
        <f t="shared" si="38"/>
        <v>9.765625</v>
      </c>
      <c r="EA52" s="35" t="str">
        <f t="shared" si="40"/>
        <v>2Q23</v>
      </c>
      <c r="EB52" s="115">
        <v>26.2607040913416</v>
      </c>
      <c r="EC52" s="102"/>
      <c r="ED52" s="115">
        <v>19.6955280685062</v>
      </c>
      <c r="EE52" s="115">
        <v>12.037037037037</v>
      </c>
      <c r="EF52" s="115">
        <v>6.13107822410148</v>
      </c>
      <c r="EG52" s="115">
        <v>12.8286014721346</v>
      </c>
      <c r="EH52" s="115">
        <v>19.4708994708995</v>
      </c>
      <c r="EI52" s="27"/>
      <c r="EJ52" s="112">
        <f t="shared" si="43"/>
        <v>-0.168076931457499</v>
      </c>
      <c r="EK52" s="116"/>
      <c r="EL52" s="112">
        <f t="shared" si="36"/>
        <v>-0.170188411326897</v>
      </c>
      <c r="EM52" s="112">
        <f t="shared" si="36"/>
        <v>-0.179475308641975</v>
      </c>
      <c r="EN52" s="112">
        <f t="shared" si="36"/>
        <v>-0.20394871445134</v>
      </c>
      <c r="EO52" s="112">
        <f t="shared" si="36"/>
        <v>-0.148908454572563</v>
      </c>
      <c r="EP52" s="112">
        <f t="shared" si="36"/>
        <v>-0.165247591914259</v>
      </c>
      <c r="EQ52" s="36"/>
      <c r="ES52" s="36"/>
      <c r="FK52" s="104"/>
      <c r="FL52" s="104">
        <f t="shared" ref="FL52" si="44">YEAR(FN52)</f>
        <v>2010</v>
      </c>
      <c r="FM52" s="104">
        <f t="shared" ref="FM52" si="45">WEEKNUM(FN52)</f>
        <v>53</v>
      </c>
      <c r="FN52" s="35">
        <v>40543</v>
      </c>
      <c r="FO52" s="26">
        <v>1.9</v>
      </c>
      <c r="FP52" s="59">
        <f t="shared" ref="FP52" si="46">FO52*8</f>
        <v>15.2</v>
      </c>
      <c r="FQ52" s="104">
        <f t="shared" ref="FQ52" si="47">YEAR(FS52)</f>
        <v>2010</v>
      </c>
      <c r="FR52" s="104">
        <f t="shared" ref="FR52" si="48">WEEKNUM(FS52)</f>
        <v>53</v>
      </c>
      <c r="FS52" s="35">
        <v>40543</v>
      </c>
      <c r="FT52" s="26">
        <v>1.6</v>
      </c>
      <c r="FU52" s="94">
        <f t="shared" ref="FU52" si="49">FT52*8</f>
        <v>12.8</v>
      </c>
      <c r="FV52" s="104">
        <f t="shared" ref="FV52:FV115" si="50">YEAR(FX52)</f>
        <v>2010</v>
      </c>
      <c r="FW52" s="104">
        <f t="shared" ref="FW52:FW115" si="51">WEEKNUM(FX52)</f>
        <v>45</v>
      </c>
      <c r="FX52" s="35">
        <v>40483</v>
      </c>
      <c r="FY52" s="26">
        <v>3</v>
      </c>
      <c r="FZ52" s="94">
        <f t="shared" ref="FZ52:FZ115" si="52">FY52*4</f>
        <v>12</v>
      </c>
      <c r="GA52" s="104">
        <f t="shared" ref="GA52:GA114" si="53">YEAR(GC52)</f>
        <v>2011</v>
      </c>
      <c r="GB52" s="104">
        <f t="shared" ref="GB52:GB114" si="54">WEEKNUM(GC52)</f>
        <v>35</v>
      </c>
      <c r="GC52" s="35">
        <v>40780</v>
      </c>
      <c r="GD52" s="26">
        <v>1.19</v>
      </c>
      <c r="GE52" s="94">
        <f t="shared" ref="GE52:GE114" si="55">GD52*4</f>
        <v>4.76</v>
      </c>
      <c r="GF52" s="104">
        <f t="shared" ref="GF52:GF115" si="56">YEAR(GH52)</f>
        <v>2013</v>
      </c>
      <c r="GG52" s="104">
        <f t="shared" ref="GG52:GG115" si="57">WEEKNUM(GH52)</f>
        <v>6</v>
      </c>
      <c r="GH52" s="35">
        <v>41309</v>
      </c>
      <c r="GI52" s="26">
        <v>2.4</v>
      </c>
      <c r="GJ52" s="94">
        <f t="shared" ref="GJ52:GJ115" si="58">GI52*2</f>
        <v>4.8</v>
      </c>
      <c r="GK52" s="104">
        <f t="shared" ref="GK52:GK115" si="59">YEAR(GM52)</f>
        <v>2013</v>
      </c>
      <c r="GL52" s="104">
        <f t="shared" ref="GL52:GL115" si="60">WEEKNUM(GM52)</f>
        <v>51</v>
      </c>
      <c r="GM52" s="35">
        <v>41624</v>
      </c>
      <c r="GN52" s="26">
        <v>3.94</v>
      </c>
      <c r="GO52" s="94">
        <f t="shared" ref="GO52:GO115" si="61">GN52*2</f>
        <v>7.88</v>
      </c>
      <c r="GP52" s="59"/>
    </row>
    <row r="53" ht="16.8" spans="3:200">
      <c r="C53" s="80" t="str" cm="1">
        <f t="array" ref="C53">_xlfn.IFS(MONTH(D53)&lt;4,1,MONTH(D53)&lt;7,2,MONTH(D53)&lt;10,3,MONTH(D53)&gt;9,4)&amp;"Q"&amp;RIGHT(YEAR(D53),2)</f>
        <v>1Q16</v>
      </c>
      <c r="D53" s="81">
        <f t="shared" si="11"/>
        <v>42460</v>
      </c>
      <c r="E53" s="82">
        <f t="shared" si="3"/>
        <v>42459</v>
      </c>
      <c r="F53" s="83">
        <f t="shared" si="4"/>
        <v>0.586375</v>
      </c>
      <c r="G53" s="83">
        <f t="shared" si="4"/>
        <v>0.4032</v>
      </c>
      <c r="H53" s="81"/>
      <c r="I53" s="84">
        <v>42459</v>
      </c>
      <c r="J53" s="85">
        <v>4.95</v>
      </c>
      <c r="K53" s="85">
        <v>4.63</v>
      </c>
      <c r="L53" s="86">
        <v>4.691</v>
      </c>
      <c r="M53" s="87">
        <v>3.2256</v>
      </c>
      <c r="N53" s="88"/>
      <c r="O53" s="88"/>
      <c r="P53" s="88"/>
      <c r="Q53" s="89">
        <f t="shared" si="5"/>
        <v>0.454303075396825</v>
      </c>
      <c r="R53" s="5"/>
      <c r="S53" s="5"/>
      <c r="T53" s="5"/>
      <c r="U53" s="5"/>
      <c r="V53" s="5"/>
      <c r="W53" s="5"/>
      <c r="X53" s="5"/>
      <c r="Y53" s="5"/>
      <c r="Z53" s="5"/>
      <c r="AA53" s="5"/>
      <c r="AB53" s="5"/>
      <c r="AC53" s="5"/>
      <c r="AD53" s="5"/>
      <c r="AE53" s="5"/>
      <c r="AF53" s="5"/>
      <c r="AG53" s="5"/>
      <c r="AH53" s="105">
        <f t="shared" si="35"/>
        <v>42628</v>
      </c>
      <c r="AI53" s="91">
        <f t="shared" si="12"/>
        <v>3.798</v>
      </c>
      <c r="AJ53" s="36">
        <f t="shared" si="13"/>
        <v>0.0217917675544794</v>
      </c>
      <c r="AK53" s="36">
        <f t="shared" si="32"/>
        <v>0.0217917675544794</v>
      </c>
      <c r="AL53" s="105"/>
      <c r="AM53" s="91"/>
      <c r="AN53" s="36"/>
      <c r="AO53" s="36"/>
      <c r="AP53" s="36"/>
      <c r="AQ53" s="92" t="str" cm="1">
        <f t="array" ref="AQ53">_xlfn.IFS(MONTH(AR53)&lt;4,1,MONTH(AR53)&lt;7,2,MONTH(AR53)&lt;10,3,MONTH(AR53)&gt;9,4)&amp;"Q"&amp;RIGHT(YEAR(AR53),2)</f>
        <v>3Q19</v>
      </c>
      <c r="AR53" s="92">
        <f t="shared" si="14"/>
        <v>43677</v>
      </c>
      <c r="AS53" s="109">
        <v>43661</v>
      </c>
      <c r="AT53" s="110"/>
      <c r="AU53" s="94" cm="1">
        <f t="array" ref="AU53">INDEX($CE$29:$CE$1449,MATCH($AR53,$CA$29:$CA$1449,0),)</f>
        <v>114.94</v>
      </c>
      <c r="AV53" s="110"/>
      <c r="AW53" s="94" cm="1">
        <f t="array" ref="AW53">INDEX($CF$29:$CF$1449,MATCH($AR53,$CA$29:$CA$1449,0),)</f>
        <v>240</v>
      </c>
      <c r="AX53" s="94"/>
      <c r="AY53" s="94"/>
      <c r="AZ53" s="94"/>
      <c r="BA53" s="94"/>
      <c r="BB53" s="5"/>
      <c r="BC53" s="5"/>
      <c r="BD53" s="5"/>
      <c r="BE53" s="5"/>
      <c r="BF53" s="5"/>
      <c r="BG53" s="5"/>
      <c r="BH53" s="5"/>
      <c r="BI53" s="5"/>
      <c r="BJ53" s="5"/>
      <c r="BK53" s="5"/>
      <c r="BL53" s="5"/>
      <c r="BM53" s="5"/>
      <c r="BN53" s="5"/>
      <c r="BO53" s="5"/>
      <c r="BP53" s="5"/>
      <c r="BQ53" s="95" t="str" cm="1">
        <f t="array" ref="BQ53">_xlfn.IFS(MONTH(BR53)&lt;4,1,MONTH(BR53)&lt;7,2,MONTH(BR53)&lt;10,3,MONTH(BR53)&gt;9,4)&amp;"Q"&amp;RIGHT(YEAR(BR53),2)</f>
        <v>2Q18</v>
      </c>
      <c r="BR53" s="81">
        <f t="shared" si="15"/>
        <v>43281</v>
      </c>
      <c r="BS53" s="96">
        <f t="shared" si="16"/>
        <v>43281</v>
      </c>
      <c r="BT53" s="85">
        <v>8.31</v>
      </c>
      <c r="BU53" s="85">
        <v>7.94</v>
      </c>
      <c r="BV53" s="85">
        <v>8.19</v>
      </c>
      <c r="BW53" s="85"/>
      <c r="BX53" s="85"/>
      <c r="CA53" s="35">
        <f t="shared" si="41"/>
        <v>43281</v>
      </c>
      <c r="CB53" s="35"/>
      <c r="CC53" s="35"/>
      <c r="CD53" s="26">
        <v>68</v>
      </c>
      <c r="CE53" s="26">
        <v>316.41</v>
      </c>
      <c r="CF53" s="26">
        <v>632</v>
      </c>
      <c r="CG53" s="26"/>
      <c r="CH53" s="26"/>
      <c r="CI53" s="26"/>
      <c r="CJ53" s="26"/>
      <c r="CK53" s="26"/>
      <c r="CL53" s="26"/>
      <c r="CM53" s="26"/>
      <c r="CN53" s="26"/>
      <c r="CO53" s="26"/>
      <c r="CP53" s="26"/>
      <c r="CQ53" s="26">
        <v>4.03</v>
      </c>
      <c r="CR53" s="26">
        <v>3.3</v>
      </c>
      <c r="CS53" s="27"/>
      <c r="CT53" s="113"/>
      <c r="CU53" s="113"/>
      <c r="CV53" s="113"/>
      <c r="CW53" s="27"/>
      <c r="CX53" s="117"/>
      <c r="CY53" s="113"/>
      <c r="CZ53" s="108">
        <f t="shared" si="42"/>
        <v>0</v>
      </c>
      <c r="DA53" s="108">
        <f t="shared" si="39"/>
        <v>0.00999106230847824</v>
      </c>
      <c r="DB53" s="108">
        <f t="shared" si="39"/>
        <v>0.0112000000000001</v>
      </c>
      <c r="DC53" s="36"/>
      <c r="DD53" s="36"/>
      <c r="DE53" s="36"/>
      <c r="DF53" s="36"/>
      <c r="DG53" s="36"/>
      <c r="DH53" s="36"/>
      <c r="DI53" s="36"/>
      <c r="DJ53" s="36"/>
      <c r="DK53" s="36"/>
      <c r="DL53" s="36"/>
      <c r="DM53" s="113"/>
      <c r="DN53" s="100"/>
      <c r="DQ53" s="114">
        <f t="shared" si="37"/>
        <v>9.8878125</v>
      </c>
      <c r="DR53" s="114">
        <f t="shared" si="38"/>
        <v>9.875</v>
      </c>
      <c r="EA53" s="35" t="str">
        <f t="shared" si="40"/>
        <v>3Q23</v>
      </c>
      <c r="EB53" s="115">
        <v>27.5313807531381</v>
      </c>
      <c r="EC53" s="102"/>
      <c r="ED53" s="115">
        <v>20.6521739130435</v>
      </c>
      <c r="EE53" s="115">
        <v>11.6140051238258</v>
      </c>
      <c r="EF53" s="115">
        <v>5.80204778156997</v>
      </c>
      <c r="EG53" s="115">
        <v>12.1673003802281</v>
      </c>
      <c r="EH53" s="115">
        <v>18.4397163120567</v>
      </c>
      <c r="EI53" s="27"/>
      <c r="EJ53" s="112">
        <f t="shared" si="43"/>
        <v>0.0483869989691343</v>
      </c>
      <c r="EK53" s="116"/>
      <c r="EL53" s="112">
        <f t="shared" si="36"/>
        <v>0.0485717286284395</v>
      </c>
      <c r="EM53" s="112">
        <f t="shared" si="36"/>
        <v>-0.0351441897129343</v>
      </c>
      <c r="EN53" s="112">
        <f t="shared" si="36"/>
        <v>-0.0536659997646228</v>
      </c>
      <c r="EO53" s="112">
        <f t="shared" si="36"/>
        <v>-0.0515489621641837</v>
      </c>
      <c r="EP53" s="112">
        <f t="shared" si="36"/>
        <v>-0.0529602220166514</v>
      </c>
      <c r="EQ53" s="36"/>
      <c r="ES53" s="36"/>
      <c r="FK53" s="104"/>
      <c r="FN53" s="35"/>
      <c r="FO53" s="26"/>
      <c r="FV53" s="104">
        <f t="shared" si="50"/>
        <v>2010</v>
      </c>
      <c r="FW53" s="104">
        <f t="shared" si="51"/>
        <v>45</v>
      </c>
      <c r="FX53" s="35">
        <v>40484</v>
      </c>
      <c r="FY53" s="26">
        <v>2.99</v>
      </c>
      <c r="FZ53" s="94">
        <f t="shared" si="52"/>
        <v>11.96</v>
      </c>
      <c r="GA53" s="104">
        <f t="shared" si="53"/>
        <v>2011</v>
      </c>
      <c r="GB53" s="104">
        <f t="shared" si="54"/>
        <v>38</v>
      </c>
      <c r="GC53" s="35">
        <v>40800</v>
      </c>
      <c r="GD53" s="26">
        <v>1.13</v>
      </c>
      <c r="GE53" s="94">
        <f t="shared" si="55"/>
        <v>4.52</v>
      </c>
      <c r="GF53" s="104">
        <f t="shared" si="56"/>
        <v>2013</v>
      </c>
      <c r="GG53" s="104">
        <f t="shared" si="57"/>
        <v>6</v>
      </c>
      <c r="GH53" s="35">
        <v>41310</v>
      </c>
      <c r="GI53" s="26">
        <v>2.4</v>
      </c>
      <c r="GJ53" s="94">
        <f t="shared" si="58"/>
        <v>4.8</v>
      </c>
      <c r="GK53" s="104">
        <f t="shared" si="59"/>
        <v>2013</v>
      </c>
      <c r="GL53" s="104">
        <f t="shared" si="60"/>
        <v>53</v>
      </c>
      <c r="GM53" s="35">
        <v>41639</v>
      </c>
      <c r="GN53" s="26">
        <v>3.94</v>
      </c>
      <c r="GO53" s="94">
        <f t="shared" si="61"/>
        <v>7.88</v>
      </c>
      <c r="GP53" s="59"/>
    </row>
    <row r="54" ht="16.8" spans="3:200">
      <c r="C54" s="80" t="str" cm="1">
        <f t="array" ref="C54">_xlfn.IFS(MONTH(D54)&lt;4,1,MONTH(D54)&lt;7,2,MONTH(D54)&lt;10,3,MONTH(D54)&gt;9,4)&amp;"Q"&amp;RIGHT(YEAR(D54),2)</f>
        <v>1Q16</v>
      </c>
      <c r="D54" s="81">
        <f t="shared" si="11"/>
        <v>42460</v>
      </c>
      <c r="E54" s="82">
        <f t="shared" si="3"/>
        <v>42460</v>
      </c>
      <c r="F54" s="83">
        <f t="shared" si="4"/>
        <v>0.586375</v>
      </c>
      <c r="G54" s="83">
        <f t="shared" si="4"/>
        <v>0.4032</v>
      </c>
      <c r="H54" s="81"/>
      <c r="I54" s="84">
        <v>42460</v>
      </c>
      <c r="J54" s="85">
        <v>4.95</v>
      </c>
      <c r="K54" s="85">
        <v>4.63</v>
      </c>
      <c r="L54" s="86">
        <v>4.691</v>
      </c>
      <c r="M54" s="87">
        <v>3.2256</v>
      </c>
      <c r="N54" s="88"/>
      <c r="O54" s="88"/>
      <c r="P54" s="88"/>
      <c r="Q54" s="89">
        <f t="shared" si="5"/>
        <v>0.454303075396825</v>
      </c>
      <c r="R54" s="5"/>
      <c r="S54" s="5"/>
      <c r="T54" s="5"/>
      <c r="U54" s="5"/>
      <c r="V54" s="5"/>
      <c r="W54" s="5"/>
      <c r="X54" s="5"/>
      <c r="Y54" s="5"/>
      <c r="Z54" s="5"/>
      <c r="AA54" s="5"/>
      <c r="AB54" s="5"/>
      <c r="AC54" s="5"/>
      <c r="AD54" s="5"/>
      <c r="AE54" s="5"/>
      <c r="AF54" s="5"/>
      <c r="AG54" s="5"/>
      <c r="AH54" s="105">
        <f t="shared" si="35"/>
        <v>42636</v>
      </c>
      <c r="AI54" s="91">
        <f t="shared" si="12"/>
        <v>4.135</v>
      </c>
      <c r="AJ54" s="36">
        <f t="shared" si="13"/>
        <v>0.0887309110057926</v>
      </c>
      <c r="AK54" s="36">
        <f t="shared" si="32"/>
        <v>0.112456281947807</v>
      </c>
      <c r="AL54" s="105"/>
      <c r="AM54" s="91"/>
      <c r="AN54" s="36"/>
      <c r="AO54" s="36"/>
      <c r="AP54" s="36"/>
      <c r="AQ54" s="92" t="str" cm="1">
        <f t="array" ref="AQ54">_xlfn.IFS(MONTH(AR54)&lt;4,1,MONTH(AR54)&lt;7,2,MONTH(AR54)&lt;10,3,MONTH(AR54)&gt;9,4)&amp;"Q"&amp;RIGHT(YEAR(AR54),2)</f>
        <v>3Q19</v>
      </c>
      <c r="AR54" s="92">
        <f t="shared" si="14"/>
        <v>43677</v>
      </c>
      <c r="AS54" s="109">
        <v>43668</v>
      </c>
      <c r="AT54" s="110"/>
      <c r="AU54" s="94" cm="1">
        <f t="array" ref="AU54">INDEX($CE$29:$CE$1449,MATCH($AR54,$CA$29:$CA$1449,0),)</f>
        <v>114.94</v>
      </c>
      <c r="AV54" s="110"/>
      <c r="AW54" s="94" cm="1">
        <f t="array" ref="AW54">INDEX($CF$29:$CF$1449,MATCH($AR54,$CA$29:$CA$1449,0),)</f>
        <v>240</v>
      </c>
      <c r="AX54" s="94"/>
      <c r="AY54" s="94"/>
      <c r="AZ54" s="94"/>
      <c r="BA54" s="94"/>
      <c r="BB54" s="5"/>
      <c r="BC54" s="5"/>
      <c r="BD54" s="5"/>
      <c r="BE54" s="5"/>
      <c r="BF54" s="5"/>
      <c r="BG54" s="5"/>
      <c r="BH54" s="5"/>
      <c r="BI54" s="5"/>
      <c r="BJ54" s="5"/>
      <c r="BK54" s="5"/>
      <c r="BL54" s="5"/>
      <c r="BM54" s="5"/>
      <c r="BN54" s="5"/>
      <c r="BO54" s="5"/>
      <c r="BP54" s="5"/>
      <c r="BQ54" s="95" t="str" cm="1">
        <f t="array" ref="BQ54">_xlfn.IFS(MONTH(BR54)&lt;4,1,MONTH(BR54)&lt;7,2,MONTH(BR54)&lt;10,3,MONTH(BR54)&gt;9,4)&amp;"Q"&amp;RIGHT(YEAR(BR54),2)</f>
        <v>3Q18</v>
      </c>
      <c r="BR54" s="81">
        <f t="shared" si="15"/>
        <v>43312</v>
      </c>
      <c r="BS54" s="96">
        <f t="shared" si="16"/>
        <v>43312</v>
      </c>
      <c r="BT54" s="85">
        <v>8.31</v>
      </c>
      <c r="BU54" s="85">
        <v>7.94</v>
      </c>
      <c r="BV54" s="85">
        <v>8.19</v>
      </c>
      <c r="BW54" s="85"/>
      <c r="BX54" s="85"/>
      <c r="CA54" s="35">
        <f t="shared" si="41"/>
        <v>43312</v>
      </c>
      <c r="CB54" s="35"/>
      <c r="CC54" s="35"/>
      <c r="CD54" s="26">
        <v>68</v>
      </c>
      <c r="CE54" s="26">
        <v>317.36</v>
      </c>
      <c r="CF54" s="26">
        <v>640</v>
      </c>
      <c r="CG54" s="26"/>
      <c r="CH54" s="26"/>
      <c r="CI54" s="26"/>
      <c r="CJ54" s="26"/>
      <c r="CK54" s="26"/>
      <c r="CL54" s="26"/>
      <c r="CM54" s="26"/>
      <c r="CN54" s="26"/>
      <c r="CO54" s="26"/>
      <c r="CP54" s="26"/>
      <c r="CQ54" s="26"/>
      <c r="CR54" s="26"/>
      <c r="CS54" s="27"/>
      <c r="CT54" s="113"/>
      <c r="CU54" s="113"/>
      <c r="CV54" s="113"/>
      <c r="CW54" s="27"/>
      <c r="CX54" s="117"/>
      <c r="CY54" s="113"/>
      <c r="CZ54" s="108">
        <f t="shared" si="42"/>
        <v>0</v>
      </c>
      <c r="DA54" s="108">
        <f t="shared" si="39"/>
        <v>0.00300243355140473</v>
      </c>
      <c r="DB54" s="108">
        <f t="shared" si="39"/>
        <v>0.0126582278481013</v>
      </c>
      <c r="DC54" s="36"/>
      <c r="DD54" s="36"/>
      <c r="DE54" s="36"/>
      <c r="DF54" s="36"/>
      <c r="DG54" s="36"/>
      <c r="DH54" s="36"/>
      <c r="DI54" s="36"/>
      <c r="DJ54" s="36"/>
      <c r="DK54" s="36"/>
      <c r="DL54" s="36"/>
      <c r="DM54" s="113"/>
      <c r="DN54" s="100"/>
      <c r="DQ54" s="114">
        <f t="shared" si="37"/>
        <v>9.9175</v>
      </c>
      <c r="DR54" s="114">
        <f t="shared" si="38"/>
        <v>10</v>
      </c>
      <c r="EA54" s="35" t="str">
        <f t="shared" si="40"/>
        <v>4Q23</v>
      </c>
      <c r="EB54" s="115">
        <v>32.8993055555556</v>
      </c>
      <c r="EC54" s="102"/>
      <c r="ED54" s="115">
        <v>24.7395833333333</v>
      </c>
      <c r="EE54" s="115">
        <v>13.6327817178881</v>
      </c>
      <c r="EF54" s="115">
        <v>6.80544435548439</v>
      </c>
      <c r="EG54" s="115">
        <v>12.8227960819234</v>
      </c>
      <c r="EH54" s="115">
        <v>20.7771609833465</v>
      </c>
      <c r="EI54" s="27"/>
      <c r="EJ54" s="112">
        <f t="shared" si="43"/>
        <v>0.194974776258021</v>
      </c>
      <c r="EK54" s="116"/>
      <c r="EL54" s="112">
        <f t="shared" si="36"/>
        <v>0.197916666666667</v>
      </c>
      <c r="EM54" s="112">
        <f t="shared" si="36"/>
        <v>0.173822602326983</v>
      </c>
      <c r="EN54" s="112">
        <f t="shared" si="36"/>
        <v>0.172938350680544</v>
      </c>
      <c r="EO54" s="112">
        <f t="shared" si="36"/>
        <v>0.0538735529830809</v>
      </c>
      <c r="EP54" s="112">
        <f t="shared" si="36"/>
        <v>0.126761422558409</v>
      </c>
      <c r="EQ54" s="36"/>
      <c r="ES54" s="36"/>
      <c r="FK54" s="104"/>
      <c r="FV54" s="104">
        <f t="shared" si="50"/>
        <v>2010</v>
      </c>
      <c r="FW54" s="104">
        <f t="shared" si="51"/>
        <v>45</v>
      </c>
      <c r="FX54" s="35">
        <v>40485</v>
      </c>
      <c r="FY54" s="26">
        <v>2.96</v>
      </c>
      <c r="FZ54" s="94">
        <f t="shared" si="52"/>
        <v>11.84</v>
      </c>
      <c r="GA54" s="104">
        <f t="shared" si="53"/>
        <v>2011</v>
      </c>
      <c r="GB54" s="104">
        <f t="shared" si="54"/>
        <v>40</v>
      </c>
      <c r="GC54" s="35">
        <v>40814</v>
      </c>
      <c r="GD54" s="26">
        <v>1.06</v>
      </c>
      <c r="GE54" s="94">
        <f t="shared" si="55"/>
        <v>4.24</v>
      </c>
      <c r="GF54" s="104">
        <f t="shared" si="56"/>
        <v>2013</v>
      </c>
      <c r="GG54" s="104">
        <f t="shared" si="57"/>
        <v>6</v>
      </c>
      <c r="GH54" s="35">
        <v>41311</v>
      </c>
      <c r="GI54" s="26">
        <v>2.43</v>
      </c>
      <c r="GJ54" s="94">
        <f t="shared" si="58"/>
        <v>4.86</v>
      </c>
      <c r="GK54" s="104">
        <f t="shared" si="59"/>
        <v>2014</v>
      </c>
      <c r="GL54" s="104">
        <f t="shared" si="60"/>
        <v>3</v>
      </c>
      <c r="GM54" s="35">
        <v>41653</v>
      </c>
      <c r="GN54" s="26">
        <v>3.81</v>
      </c>
      <c r="GO54" s="94">
        <f t="shared" si="61"/>
        <v>7.62</v>
      </c>
      <c r="GP54" s="59"/>
    </row>
    <row r="55" ht="16.8" spans="3:200">
      <c r="C55" s="80" t="str" cm="1">
        <f t="array" ref="C55">_xlfn.IFS(MONTH(D55)&lt;4,1,MONTH(D55)&lt;7,2,MONTH(D55)&lt;10,3,MONTH(D55)&gt;9,4)&amp;"Q"&amp;RIGHT(YEAR(D55),2)</f>
        <v>2Q16</v>
      </c>
      <c r="D55" s="81">
        <f t="shared" si="11"/>
        <v>42490</v>
      </c>
      <c r="E55" s="82">
        <f t="shared" si="3"/>
        <v>42461</v>
      </c>
      <c r="F55" s="83">
        <f t="shared" si="4"/>
        <v>0.586375</v>
      </c>
      <c r="G55" s="83">
        <f t="shared" si="4"/>
        <v>0.3864</v>
      </c>
      <c r="H55" s="81"/>
      <c r="I55" s="84">
        <v>42461</v>
      </c>
      <c r="J55" s="85">
        <v>4.95</v>
      </c>
      <c r="K55" s="85">
        <v>4.65</v>
      </c>
      <c r="L55" s="86">
        <v>4.691</v>
      </c>
      <c r="M55" s="87">
        <v>3.0912</v>
      </c>
      <c r="N55" s="88"/>
      <c r="O55" s="88"/>
      <c r="P55" s="88"/>
      <c r="Q55" s="89">
        <f t="shared" si="5"/>
        <v>0.517533643892339</v>
      </c>
      <c r="R55" s="5"/>
      <c r="S55" s="5"/>
      <c r="T55" s="5"/>
      <c r="U55" s="5"/>
      <c r="V55" s="5"/>
      <c r="W55" s="5"/>
      <c r="X55" s="5"/>
      <c r="Y55" s="5"/>
      <c r="Z55" s="5"/>
      <c r="AA55" s="5"/>
      <c r="AB55" s="5"/>
      <c r="AC55" s="5"/>
      <c r="AD55" s="5"/>
      <c r="AE55" s="5"/>
      <c r="AF55" s="5"/>
      <c r="AG55" s="5"/>
      <c r="AH55" s="105">
        <f t="shared" si="35"/>
        <v>42646</v>
      </c>
      <c r="AI55" s="91">
        <f t="shared" si="12"/>
        <v>4.35</v>
      </c>
      <c r="AJ55" s="36">
        <f t="shared" si="13"/>
        <v>0.0519951632406288</v>
      </c>
      <c r="AK55" s="36">
        <f t="shared" si="32"/>
        <v>0.145339652448657</v>
      </c>
      <c r="AL55" s="105"/>
      <c r="AM55" s="91"/>
      <c r="AN55" s="36"/>
      <c r="AO55" s="36"/>
      <c r="AP55" s="36"/>
      <c r="AQ55" s="92" t="str" cm="1">
        <f t="array" ref="AQ55">_xlfn.IFS(MONTH(AR55)&lt;4,1,MONTH(AR55)&lt;7,2,MONTH(AR55)&lt;10,3,MONTH(AR55)&gt;9,4)&amp;"Q"&amp;RIGHT(YEAR(AR55),2)</f>
        <v>3Q19</v>
      </c>
      <c r="AR55" s="92">
        <f t="shared" si="14"/>
        <v>43677</v>
      </c>
      <c r="AS55" s="109">
        <v>43675</v>
      </c>
      <c r="AT55" s="110"/>
      <c r="AU55" s="94" cm="1">
        <f t="array" ref="AU55">INDEX($CE$29:$CE$1449,MATCH($AR55,$CA$29:$CA$1449,0),)</f>
        <v>114.94</v>
      </c>
      <c r="AV55" s="110"/>
      <c r="AW55" s="94" cm="1">
        <f t="array" ref="AW55">INDEX($CF$29:$CF$1449,MATCH($AR55,$CA$29:$CA$1449,0),)</f>
        <v>240</v>
      </c>
      <c r="AX55" s="94"/>
      <c r="AY55" s="94"/>
      <c r="AZ55" s="94"/>
      <c r="BA55" s="94"/>
      <c r="BB55" s="5"/>
      <c r="BC55" s="5"/>
      <c r="BD55" s="5"/>
      <c r="BE55" s="5"/>
      <c r="BF55" s="5"/>
      <c r="BG55" s="5"/>
      <c r="BH55" s="5"/>
      <c r="BI55" s="5"/>
      <c r="BJ55" s="5"/>
      <c r="BK55" s="5"/>
      <c r="BL55" s="5"/>
      <c r="BM55" s="5"/>
      <c r="BN55" s="5"/>
      <c r="BO55" s="5"/>
      <c r="BP55" s="5"/>
      <c r="BQ55" s="95" t="str" cm="1">
        <f t="array" ref="BQ55">_xlfn.IFS(MONTH(BR55)&lt;4,1,MONTH(BR55)&lt;7,2,MONTH(BR55)&lt;10,3,MONTH(BR55)&gt;9,4)&amp;"Q"&amp;RIGHT(YEAR(BR55),2)</f>
        <v>3Q18</v>
      </c>
      <c r="BR55" s="81">
        <f t="shared" si="15"/>
        <v>43343</v>
      </c>
      <c r="BS55" s="96">
        <f t="shared" si="16"/>
        <v>43343</v>
      </c>
      <c r="BT55" s="85">
        <v>8.31</v>
      </c>
      <c r="BU55" s="85">
        <v>7.94</v>
      </c>
      <c r="BV55" s="85">
        <v>8.19</v>
      </c>
      <c r="BW55" s="85"/>
      <c r="BX55" s="85"/>
      <c r="CA55" s="35">
        <f t="shared" si="41"/>
        <v>43343</v>
      </c>
      <c r="CB55" s="35"/>
      <c r="CC55" s="35"/>
      <c r="CD55" s="26">
        <v>68</v>
      </c>
      <c r="CE55" s="26">
        <v>317.36</v>
      </c>
      <c r="CF55" s="26">
        <v>640</v>
      </c>
      <c r="CG55" s="26"/>
      <c r="CH55" s="26"/>
      <c r="CI55" s="26"/>
      <c r="CJ55" s="26"/>
      <c r="CK55" s="26"/>
      <c r="CL55" s="26"/>
      <c r="CM55" s="26"/>
      <c r="CN55" s="26"/>
      <c r="CO55" s="26"/>
      <c r="CP55" s="26"/>
      <c r="CQ55" s="26">
        <v>3.2</v>
      </c>
      <c r="CR55" s="26">
        <v>4.03</v>
      </c>
      <c r="CS55" s="27"/>
      <c r="CT55" s="113"/>
      <c r="CU55" s="113"/>
      <c r="CV55" s="113"/>
      <c r="CW55" s="27"/>
      <c r="CX55" s="117"/>
      <c r="CY55" s="113"/>
      <c r="CZ55" s="108">
        <f t="shared" si="42"/>
        <v>0</v>
      </c>
      <c r="DA55" s="108">
        <f t="shared" si="39"/>
        <v>0</v>
      </c>
      <c r="DB55" s="108">
        <f t="shared" si="39"/>
        <v>0</v>
      </c>
      <c r="DC55" s="36"/>
      <c r="DD55" s="36"/>
      <c r="DE55" s="36"/>
      <c r="DF55" s="36"/>
      <c r="DG55" s="36"/>
      <c r="DH55" s="36"/>
      <c r="DI55" s="36"/>
      <c r="DJ55" s="36"/>
      <c r="DK55" s="36"/>
      <c r="DL55" s="36"/>
      <c r="DM55" s="113"/>
      <c r="DN55" s="100"/>
      <c r="DQ55" s="114">
        <f t="shared" si="37"/>
        <v>9.9175</v>
      </c>
      <c r="DR55" s="114">
        <f t="shared" si="38"/>
        <v>10</v>
      </c>
      <c r="EA55" s="35" t="str">
        <f t="shared" si="40"/>
        <v>1Q24</v>
      </c>
      <c r="EB55" s="115">
        <v>37.962962962963</v>
      </c>
      <c r="EC55" s="102"/>
      <c r="ED55" s="115">
        <v>28.4259259259259</v>
      </c>
      <c r="EE55" s="115">
        <v>17.3148148148148</v>
      </c>
      <c r="EF55" s="115">
        <v>8.6317722681359</v>
      </c>
      <c r="EG55" s="115">
        <v>14.2990654205607</v>
      </c>
      <c r="EH55" s="115">
        <v>26.1861313868613</v>
      </c>
      <c r="EI55" s="27"/>
      <c r="EJ55" s="112">
        <f t="shared" si="43"/>
        <v>0.15391380826737</v>
      </c>
      <c r="EK55" s="116"/>
      <c r="EL55" s="112">
        <f t="shared" si="36"/>
        <v>0.149005847953216</v>
      </c>
      <c r="EM55" s="112">
        <f t="shared" si="36"/>
        <v>0.270086705202312</v>
      </c>
      <c r="EN55" s="112">
        <f t="shared" si="36"/>
        <v>0.268362772106088</v>
      </c>
      <c r="EO55" s="112">
        <f t="shared" si="36"/>
        <v>0.115128504672897</v>
      </c>
      <c r="EP55" s="112">
        <f t="shared" si="36"/>
        <v>0.260332506825653</v>
      </c>
      <c r="EQ55" s="36"/>
      <c r="ES55" s="36"/>
      <c r="FK55" s="104"/>
      <c r="FV55" s="104">
        <f t="shared" si="50"/>
        <v>2010</v>
      </c>
      <c r="FW55" s="104">
        <f t="shared" si="51"/>
        <v>45</v>
      </c>
      <c r="FX55" s="35">
        <v>40486</v>
      </c>
      <c r="FY55" s="26">
        <v>2.93</v>
      </c>
      <c r="FZ55" s="94">
        <f t="shared" si="52"/>
        <v>11.72</v>
      </c>
      <c r="GA55" s="104">
        <f t="shared" si="53"/>
        <v>2011</v>
      </c>
      <c r="GB55" s="104">
        <f t="shared" si="54"/>
        <v>42</v>
      </c>
      <c r="GC55" s="35">
        <v>40828</v>
      </c>
      <c r="GD55" s="26">
        <v>1.06</v>
      </c>
      <c r="GE55" s="94">
        <f t="shared" si="55"/>
        <v>4.24</v>
      </c>
      <c r="GF55" s="104">
        <f t="shared" si="56"/>
        <v>2013</v>
      </c>
      <c r="GG55" s="104">
        <f t="shared" si="57"/>
        <v>6</v>
      </c>
      <c r="GH55" s="35">
        <v>41312</v>
      </c>
      <c r="GI55" s="26">
        <v>2.43</v>
      </c>
      <c r="GJ55" s="94">
        <f t="shared" si="58"/>
        <v>4.86</v>
      </c>
      <c r="GK55" s="104">
        <f t="shared" si="59"/>
        <v>2014</v>
      </c>
      <c r="GL55" s="104">
        <f t="shared" si="60"/>
        <v>5</v>
      </c>
      <c r="GM55" s="35">
        <v>41667</v>
      </c>
      <c r="GN55" s="26">
        <v>3.81</v>
      </c>
      <c r="GO55" s="94">
        <f t="shared" si="61"/>
        <v>7.62</v>
      </c>
      <c r="GP55" s="59"/>
    </row>
    <row r="56" ht="16.8" spans="3:200">
      <c r="C56" s="80" t="str" cm="1">
        <f t="array" ref="C56">_xlfn.IFS(MONTH(D56)&lt;4,1,MONTH(D56)&lt;7,2,MONTH(D56)&lt;10,3,MONTH(D56)&gt;9,4)&amp;"Q"&amp;RIGHT(YEAR(D56),2)</f>
        <v>2Q16</v>
      </c>
      <c r="D56" s="81">
        <f t="shared" si="11"/>
        <v>42490</v>
      </c>
      <c r="E56" s="82">
        <f t="shared" si="3"/>
        <v>42465</v>
      </c>
      <c r="F56" s="83">
        <f t="shared" si="4"/>
        <v>0.586375</v>
      </c>
      <c r="G56" s="83">
        <f t="shared" si="4"/>
        <v>0.3864</v>
      </c>
      <c r="H56" s="81"/>
      <c r="I56" s="84">
        <v>42465</v>
      </c>
      <c r="J56" s="85">
        <v>4.96</v>
      </c>
      <c r="K56" s="85">
        <v>4.66</v>
      </c>
      <c r="L56" s="86">
        <v>4.691</v>
      </c>
      <c r="M56" s="87">
        <v>3.0912</v>
      </c>
      <c r="N56" s="88"/>
      <c r="O56" s="88"/>
      <c r="P56" s="88"/>
      <c r="Q56" s="89">
        <f t="shared" si="5"/>
        <v>0.517533643892339</v>
      </c>
      <c r="R56" s="5"/>
      <c r="S56" s="5"/>
      <c r="T56" s="5"/>
      <c r="U56" s="5"/>
      <c r="V56" s="5"/>
      <c r="W56" s="5"/>
      <c r="X56" s="5"/>
      <c r="Y56" s="5"/>
      <c r="Z56" s="5"/>
      <c r="AA56" s="5"/>
      <c r="AB56" s="5"/>
      <c r="AC56" s="5"/>
      <c r="AD56" s="5"/>
      <c r="AE56" s="5"/>
      <c r="AF56" s="5"/>
      <c r="AG56" s="5"/>
      <c r="AH56" s="105">
        <f t="shared" si="35"/>
        <v>42654</v>
      </c>
      <c r="AI56" s="91">
        <f t="shared" si="12"/>
        <v>4.475</v>
      </c>
      <c r="AJ56" s="36">
        <f t="shared" si="13"/>
        <v>0.0287356321839081</v>
      </c>
      <c r="AK56" s="36">
        <f t="shared" si="32"/>
        <v>0.0822249093107617</v>
      </c>
      <c r="AL56" s="105"/>
      <c r="AM56" s="91"/>
      <c r="AN56" s="36"/>
      <c r="AO56" s="36"/>
      <c r="AP56" s="36"/>
      <c r="AQ56" s="92" t="str" cm="1">
        <f t="array" ref="AQ56">_xlfn.IFS(MONTH(AR56)&lt;4,1,MONTH(AR56)&lt;7,2,MONTH(AR56)&lt;10,3,MONTH(AR56)&gt;9,4)&amp;"Q"&amp;RIGHT(YEAR(AR56),2)</f>
        <v>3Q19</v>
      </c>
      <c r="AR56" s="92">
        <f t="shared" si="14"/>
        <v>43708</v>
      </c>
      <c r="AS56" s="109">
        <v>43682</v>
      </c>
      <c r="AT56" s="110"/>
      <c r="AU56" s="94" cm="1">
        <f t="array" ref="AU56">INDEX($CE$29:$CE$1449,MATCH($AR56,$CA$29:$CA$1449,0),)</f>
        <v>112.64</v>
      </c>
      <c r="AV56" s="110"/>
      <c r="AW56" s="94" cm="1">
        <f t="array" ref="AW56">INDEX($CF$29:$CF$1449,MATCH($AR56,$CA$29:$CA$1449,0),)</f>
        <v>230</v>
      </c>
      <c r="AX56" s="94"/>
      <c r="AY56" s="94"/>
      <c r="AZ56" s="94"/>
      <c r="BA56" s="94"/>
      <c r="BB56" s="5"/>
      <c r="BC56" s="5"/>
      <c r="BD56" s="5"/>
      <c r="BE56" s="5"/>
      <c r="BF56" s="5"/>
      <c r="BG56" s="5"/>
      <c r="BH56" s="5"/>
      <c r="BI56" s="5"/>
      <c r="BJ56" s="5"/>
      <c r="BK56" s="5"/>
      <c r="BL56" s="5"/>
      <c r="BM56" s="5"/>
      <c r="BN56" s="5"/>
      <c r="BO56" s="5"/>
      <c r="BP56" s="5"/>
      <c r="BQ56" s="95" t="str" cm="1">
        <f t="array" ref="BQ56">_xlfn.IFS(MONTH(BR56)&lt;4,1,MONTH(BR56)&lt;7,2,MONTH(BR56)&lt;10,3,MONTH(BR56)&gt;9,4)&amp;"Q"&amp;RIGHT(YEAR(BR56),2)</f>
        <v>3Q18</v>
      </c>
      <c r="BR56" s="81">
        <f t="shared" si="15"/>
        <v>43373</v>
      </c>
      <c r="BS56" s="96">
        <f t="shared" si="16"/>
        <v>43373</v>
      </c>
      <c r="BT56" s="85">
        <v>8.31</v>
      </c>
      <c r="BU56" s="85">
        <v>7.94</v>
      </c>
      <c r="BV56" s="85">
        <v>8.19</v>
      </c>
      <c r="BW56" s="85"/>
      <c r="BX56" s="85"/>
      <c r="CA56" s="35">
        <f t="shared" si="41"/>
        <v>43373</v>
      </c>
      <c r="CB56" s="35"/>
      <c r="CC56" s="35"/>
      <c r="CD56" s="26">
        <v>68</v>
      </c>
      <c r="CE56" s="26">
        <v>317.36</v>
      </c>
      <c r="CF56" s="26">
        <v>640</v>
      </c>
      <c r="CG56" s="26"/>
      <c r="CH56" s="26"/>
      <c r="CI56" s="26"/>
      <c r="CJ56" s="26"/>
      <c r="CK56" s="26"/>
      <c r="CL56" s="26"/>
      <c r="CM56" s="26"/>
      <c r="CN56" s="26"/>
      <c r="CO56" s="26"/>
      <c r="CP56" s="26"/>
      <c r="CQ56" s="26">
        <v>3.95</v>
      </c>
      <c r="CR56" s="26">
        <v>3.15</v>
      </c>
      <c r="CS56" s="27"/>
      <c r="CT56" s="113"/>
      <c r="CU56" s="113"/>
      <c r="CV56" s="113"/>
      <c r="CW56" s="27"/>
      <c r="CX56" s="117"/>
      <c r="CY56" s="113"/>
      <c r="CZ56" s="108">
        <f t="shared" si="42"/>
        <v>0</v>
      </c>
      <c r="DA56" s="108">
        <f t="shared" si="39"/>
        <v>0</v>
      </c>
      <c r="DB56" s="108">
        <f t="shared" si="39"/>
        <v>0</v>
      </c>
      <c r="DC56" s="108"/>
      <c r="DD56" s="108"/>
      <c r="DE56" s="108"/>
      <c r="DF56" s="108"/>
      <c r="DG56" s="108"/>
      <c r="DH56" s="108"/>
      <c r="DI56" s="108"/>
      <c r="DJ56" s="108"/>
      <c r="DK56" s="108"/>
      <c r="DL56" s="108"/>
      <c r="DM56" s="108">
        <f t="shared" ref="DM56:DN87" si="62">CQ56/CQ55-1</f>
        <v>0.234375</v>
      </c>
      <c r="DN56" s="108">
        <f t="shared" si="62"/>
        <v>-0.218362282878412</v>
      </c>
      <c r="DQ56" s="114">
        <f t="shared" si="37"/>
        <v>9.9175</v>
      </c>
      <c r="DR56" s="114">
        <f t="shared" si="38"/>
        <v>10</v>
      </c>
      <c r="EA56" s="35" t="str">
        <f t="shared" si="40"/>
        <v>2Q24</v>
      </c>
      <c r="EB56" s="115">
        <v>40.0560224089636</v>
      </c>
      <c r="EC56" s="102"/>
      <c r="ED56" s="115">
        <v>30.0934579439252</v>
      </c>
      <c r="EE56" s="115">
        <v>18.8</v>
      </c>
      <c r="EF56" s="115">
        <v>9.3</v>
      </c>
      <c r="EG56" s="115">
        <v>15.3</v>
      </c>
      <c r="EH56" s="115">
        <v>28.4448818897638</v>
      </c>
      <c r="EI56" s="27"/>
      <c r="EJ56" s="112">
        <f t="shared" si="43"/>
        <v>0.0551342488214799</v>
      </c>
      <c r="EK56" s="116"/>
      <c r="EL56" s="112">
        <f t="shared" si="36"/>
        <v>0.0586623641511157</v>
      </c>
      <c r="EM56" s="112">
        <f t="shared" si="36"/>
        <v>0.0857754010695189</v>
      </c>
      <c r="EN56" s="112">
        <f t="shared" si="36"/>
        <v>0.0774148936170214</v>
      </c>
      <c r="EO56" s="112">
        <f t="shared" si="36"/>
        <v>0.0700000000000001</v>
      </c>
      <c r="EP56" s="112">
        <f t="shared" si="36"/>
        <v>0.086257510494115</v>
      </c>
      <c r="EQ56" s="36"/>
      <c r="ES56" s="36"/>
      <c r="FK56" s="104"/>
      <c r="FV56" s="104">
        <f t="shared" si="50"/>
        <v>2010</v>
      </c>
      <c r="FW56" s="104">
        <f t="shared" si="51"/>
        <v>45</v>
      </c>
      <c r="FX56" s="35">
        <v>40487</v>
      </c>
      <c r="FY56" s="26">
        <v>2.8</v>
      </c>
      <c r="FZ56" s="94">
        <f t="shared" si="52"/>
        <v>11.2</v>
      </c>
      <c r="GA56" s="104">
        <f t="shared" si="53"/>
        <v>2011</v>
      </c>
      <c r="GB56" s="104">
        <f t="shared" si="54"/>
        <v>44</v>
      </c>
      <c r="GC56" s="35">
        <v>40842</v>
      </c>
      <c r="GD56" s="26">
        <v>1.06</v>
      </c>
      <c r="GE56" s="94">
        <f t="shared" si="55"/>
        <v>4.24</v>
      </c>
      <c r="GF56" s="104">
        <f t="shared" si="56"/>
        <v>2013</v>
      </c>
      <c r="GG56" s="104">
        <f t="shared" si="57"/>
        <v>6</v>
      </c>
      <c r="GH56" s="35">
        <v>41313</v>
      </c>
      <c r="GI56" s="26">
        <v>2.43</v>
      </c>
      <c r="GJ56" s="94">
        <f t="shared" si="58"/>
        <v>4.86</v>
      </c>
      <c r="GK56" s="104">
        <f t="shared" si="59"/>
        <v>2014</v>
      </c>
      <c r="GL56" s="104">
        <f t="shared" si="60"/>
        <v>8</v>
      </c>
      <c r="GM56" s="35">
        <v>41687</v>
      </c>
      <c r="GN56" s="26">
        <v>3.75</v>
      </c>
      <c r="GO56" s="94">
        <f t="shared" si="61"/>
        <v>7.5</v>
      </c>
      <c r="GP56" s="59"/>
    </row>
    <row r="57" ht="16.8" spans="3:200">
      <c r="C57" s="80" t="str" cm="1">
        <f t="array" ref="C57">_xlfn.IFS(MONTH(D57)&lt;4,1,MONTH(D57)&lt;7,2,MONTH(D57)&lt;10,3,MONTH(D57)&gt;9,4)&amp;"Q"&amp;RIGHT(YEAR(D57),2)</f>
        <v>2Q16</v>
      </c>
      <c r="D57" s="81">
        <f t="shared" si="11"/>
        <v>42490</v>
      </c>
      <c r="E57" s="82">
        <f t="shared" si="3"/>
        <v>42466</v>
      </c>
      <c r="F57" s="83">
        <f t="shared" si="4"/>
        <v>0.586</v>
      </c>
      <c r="G57" s="83">
        <f t="shared" si="4"/>
        <v>0.3864</v>
      </c>
      <c r="H57" s="81"/>
      <c r="I57" s="84">
        <v>42466</v>
      </c>
      <c r="J57" s="85">
        <v>4.96</v>
      </c>
      <c r="K57" s="85">
        <v>4.67</v>
      </c>
      <c r="L57" s="86">
        <v>4.688</v>
      </c>
      <c r="M57" s="87">
        <v>3.0912</v>
      </c>
      <c r="N57" s="88"/>
      <c r="O57" s="88"/>
      <c r="P57" s="88"/>
      <c r="Q57" s="89">
        <f t="shared" si="5"/>
        <v>0.516563146997929</v>
      </c>
      <c r="R57" s="5"/>
      <c r="S57" s="5"/>
      <c r="T57" s="5"/>
      <c r="U57" s="5"/>
      <c r="V57" s="5"/>
      <c r="W57" s="5"/>
      <c r="X57" s="5"/>
      <c r="Y57" s="5"/>
      <c r="Z57" s="5"/>
      <c r="AA57" s="5"/>
      <c r="AB57" s="5"/>
      <c r="AC57" s="5"/>
      <c r="AD57" s="5"/>
      <c r="AE57" s="5"/>
      <c r="AF57" s="5"/>
      <c r="AG57" s="5"/>
      <c r="AH57" s="105">
        <f t="shared" si="35"/>
        <v>42662</v>
      </c>
      <c r="AI57" s="91">
        <f t="shared" si="12"/>
        <v>4.775</v>
      </c>
      <c r="AJ57" s="36">
        <f t="shared" si="13"/>
        <v>0.0670391061452515</v>
      </c>
      <c r="AK57" s="36">
        <f t="shared" si="32"/>
        <v>0.0977011494252875</v>
      </c>
      <c r="AL57" s="105"/>
      <c r="AM57" s="91"/>
      <c r="AN57" s="36"/>
      <c r="AO57" s="36"/>
      <c r="AP57" s="36"/>
      <c r="AQ57" s="92" t="str" cm="1">
        <f t="array" ref="AQ57">_xlfn.IFS(MONTH(AR57)&lt;4,1,MONTH(AR57)&lt;7,2,MONTH(AR57)&lt;10,3,MONTH(AR57)&gt;9,4)&amp;"Q"&amp;RIGHT(YEAR(AR57),2)</f>
        <v>3Q19</v>
      </c>
      <c r="AR57" s="92">
        <f t="shared" si="14"/>
        <v>43708</v>
      </c>
      <c r="AS57" s="109">
        <v>43689</v>
      </c>
      <c r="AT57" s="110"/>
      <c r="AU57" s="94" cm="1">
        <f t="array" ref="AU57">INDEX($CE$29:$CE$1449,MATCH($AR57,$CA$29:$CA$1449,0),)</f>
        <v>112.64</v>
      </c>
      <c r="AV57" s="110"/>
      <c r="AW57" s="94" cm="1">
        <f t="array" ref="AW57">INDEX($CF$29:$CF$1449,MATCH($AR57,$CA$29:$CA$1449,0),)</f>
        <v>230</v>
      </c>
      <c r="AX57" s="94"/>
      <c r="AY57" s="94"/>
      <c r="AZ57" s="94"/>
      <c r="BA57" s="94"/>
      <c r="BB57" s="5"/>
      <c r="BC57" s="5"/>
      <c r="BD57" s="5"/>
      <c r="BE57" s="5"/>
      <c r="BF57" s="5"/>
      <c r="BG57" s="5"/>
      <c r="BH57" s="5"/>
      <c r="BI57" s="5"/>
      <c r="BJ57" s="5"/>
      <c r="BK57" s="5"/>
      <c r="BL57" s="5"/>
      <c r="BM57" s="5"/>
      <c r="BN57" s="5"/>
      <c r="BO57" s="5"/>
      <c r="BP57" s="5"/>
      <c r="BQ57" s="95" t="str" cm="1">
        <f t="array" ref="BQ57">_xlfn.IFS(MONTH(BR57)&lt;4,1,MONTH(BR57)&lt;7,2,MONTH(BR57)&lt;10,3,MONTH(BR57)&gt;9,4)&amp;"Q"&amp;RIGHT(YEAR(BR57),2)</f>
        <v>4Q18</v>
      </c>
      <c r="BR57" s="81">
        <f t="shared" si="15"/>
        <v>43404</v>
      </c>
      <c r="BS57" s="96">
        <f t="shared" si="16"/>
        <v>43404</v>
      </c>
      <c r="BT57" s="85">
        <v>7.44</v>
      </c>
      <c r="BU57" s="85">
        <v>7.19</v>
      </c>
      <c r="BV57" s="85">
        <v>7.31</v>
      </c>
      <c r="BW57" s="85"/>
      <c r="BX57" s="85"/>
      <c r="CA57" s="35">
        <f t="shared" si="41"/>
        <v>43404</v>
      </c>
      <c r="CB57" s="35"/>
      <c r="CC57" s="35"/>
      <c r="CD57" s="26">
        <v>61</v>
      </c>
      <c r="CE57" s="26">
        <v>295.15</v>
      </c>
      <c r="CF57" s="26">
        <v>620</v>
      </c>
      <c r="CG57" s="26"/>
      <c r="CH57" s="26"/>
      <c r="CI57" s="26"/>
      <c r="CJ57" s="26"/>
      <c r="CK57" s="26"/>
      <c r="CL57" s="26"/>
      <c r="CM57" s="26"/>
      <c r="CN57" s="26"/>
      <c r="CO57" s="26"/>
      <c r="CP57" s="26"/>
      <c r="CQ57" s="26">
        <v>3.6</v>
      </c>
      <c r="CR57" s="26">
        <v>3</v>
      </c>
      <c r="CS57" s="27"/>
      <c r="CT57" s="113"/>
      <c r="CU57" s="113"/>
      <c r="CV57" s="113"/>
      <c r="CW57" s="27"/>
      <c r="CX57" s="117"/>
      <c r="CY57" s="113"/>
      <c r="CZ57" s="108">
        <f t="shared" si="42"/>
        <v>-0.102941176470588</v>
      </c>
      <c r="DA57" s="108">
        <f t="shared" si="39"/>
        <v>-0.069983614822284</v>
      </c>
      <c r="DB57" s="108">
        <f t="shared" si="39"/>
        <v>-0.03125</v>
      </c>
      <c r="DC57" s="108"/>
      <c r="DD57" s="108"/>
      <c r="DE57" s="108"/>
      <c r="DF57" s="108"/>
      <c r="DG57" s="108"/>
      <c r="DH57" s="108"/>
      <c r="DI57" s="108"/>
      <c r="DJ57" s="108"/>
      <c r="DK57" s="108"/>
      <c r="DL57" s="108"/>
      <c r="DM57" s="108">
        <f t="shared" si="62"/>
        <v>-0.0886075949367089</v>
      </c>
      <c r="DN57" s="108">
        <f t="shared" si="62"/>
        <v>-0.0476190476190476</v>
      </c>
      <c r="DQ57" s="114">
        <f t="shared" si="37"/>
        <v>9.2234375</v>
      </c>
      <c r="DR57" s="114">
        <f t="shared" si="38"/>
        <v>9.6875</v>
      </c>
      <c r="EA57" s="35" t="str">
        <f t="shared" si="40"/>
        <v>3Q24</v>
      </c>
      <c r="EB57" s="115">
        <v>39.8496240601504</v>
      </c>
      <c r="EC57" s="102"/>
      <c r="ED57" s="115">
        <v>29.8924731182796</v>
      </c>
      <c r="EE57" s="115">
        <v>18.34451901566</v>
      </c>
      <c r="EF57" s="115">
        <v>9.20314253647587</v>
      </c>
      <c r="EG57" s="115">
        <v>15.2980877390326</v>
      </c>
      <c r="EH57" s="115">
        <v>28.4393063583815</v>
      </c>
      <c r="EI57" s="27"/>
      <c r="EJ57" s="112">
        <f t="shared" si="43"/>
        <v>-0.00515274199484728</v>
      </c>
      <c r="EK57" s="116"/>
      <c r="EL57" s="112">
        <f t="shared" si="36"/>
        <v>-0.00667868830561669</v>
      </c>
      <c r="EM57" s="112">
        <f t="shared" si="36"/>
        <v>-0.0242277119329813</v>
      </c>
      <c r="EN57" s="112">
        <f t="shared" si="36"/>
        <v>-0.0104147810241001</v>
      </c>
      <c r="EO57" s="112">
        <f t="shared" si="36"/>
        <v>-0.000124984376952963</v>
      </c>
      <c r="EP57" s="112">
        <f t="shared" si="36"/>
        <v>-0.000196011760705495</v>
      </c>
      <c r="EQ57" s="36"/>
      <c r="ES57" s="36"/>
      <c r="FK57" s="104"/>
      <c r="FV57" s="104">
        <f t="shared" si="50"/>
        <v>2010</v>
      </c>
      <c r="FW57" s="104">
        <f t="shared" si="51"/>
        <v>46</v>
      </c>
      <c r="FX57" s="35">
        <v>40490</v>
      </c>
      <c r="FY57" s="26">
        <v>2.79</v>
      </c>
      <c r="FZ57" s="94">
        <f t="shared" si="52"/>
        <v>11.16</v>
      </c>
      <c r="GA57" s="104">
        <f t="shared" si="53"/>
        <v>2011</v>
      </c>
      <c r="GB57" s="104">
        <f t="shared" si="54"/>
        <v>47</v>
      </c>
      <c r="GC57" s="35">
        <v>40862</v>
      </c>
      <c r="GD57" s="26">
        <v>1.03</v>
      </c>
      <c r="GE57" s="94">
        <f t="shared" si="55"/>
        <v>4.12</v>
      </c>
      <c r="GF57" s="104">
        <f t="shared" si="56"/>
        <v>2013</v>
      </c>
      <c r="GG57" s="104">
        <f t="shared" si="57"/>
        <v>8</v>
      </c>
      <c r="GH57" s="35">
        <v>41323</v>
      </c>
      <c r="GI57" s="26">
        <v>2.43</v>
      </c>
      <c r="GJ57" s="94">
        <f t="shared" si="58"/>
        <v>4.86</v>
      </c>
      <c r="GK57" s="104">
        <f t="shared" si="59"/>
        <v>2014</v>
      </c>
      <c r="GL57" s="104">
        <f t="shared" si="60"/>
        <v>9</v>
      </c>
      <c r="GM57" s="35">
        <v>41697</v>
      </c>
      <c r="GN57" s="26">
        <v>3.69</v>
      </c>
      <c r="GO57" s="94">
        <f t="shared" si="61"/>
        <v>7.38</v>
      </c>
      <c r="GP57" s="59"/>
    </row>
    <row r="58" ht="16.8" spans="3:200">
      <c r="C58" s="80" t="str" cm="1">
        <f t="array" ref="C58">_xlfn.IFS(MONTH(D58)&lt;4,1,MONTH(D58)&lt;7,2,MONTH(D58)&lt;10,3,MONTH(D58)&gt;9,4)&amp;"Q"&amp;RIGHT(YEAR(D58),2)</f>
        <v>2Q16</v>
      </c>
      <c r="D58" s="81">
        <f t="shared" si="11"/>
        <v>42490</v>
      </c>
      <c r="E58" s="82">
        <f t="shared" si="3"/>
        <v>42467</v>
      </c>
      <c r="F58" s="83">
        <f t="shared" si="4"/>
        <v>0.586</v>
      </c>
      <c r="G58" s="83">
        <f t="shared" si="4"/>
        <v>0.3864</v>
      </c>
      <c r="H58" s="81"/>
      <c r="I58" s="84">
        <v>42467</v>
      </c>
      <c r="J58" s="85">
        <v>4.98</v>
      </c>
      <c r="K58" s="85">
        <v>4.67</v>
      </c>
      <c r="L58" s="86">
        <v>4.688</v>
      </c>
      <c r="M58" s="87">
        <v>3.0912</v>
      </c>
      <c r="N58" s="88"/>
      <c r="O58" s="88"/>
      <c r="P58" s="88"/>
      <c r="Q58" s="89">
        <f t="shared" si="5"/>
        <v>0.516563146997929</v>
      </c>
      <c r="R58" s="5"/>
      <c r="S58" s="5"/>
      <c r="T58" s="5"/>
      <c r="U58" s="5"/>
      <c r="V58" s="5"/>
      <c r="W58" s="5"/>
      <c r="X58" s="5"/>
      <c r="Y58" s="5"/>
      <c r="Z58" s="5"/>
      <c r="AA58" s="5"/>
      <c r="AB58" s="5"/>
      <c r="AC58" s="5"/>
      <c r="AD58" s="5"/>
      <c r="AE58" s="5"/>
      <c r="AF58" s="5"/>
      <c r="AG58" s="5"/>
      <c r="AH58" s="105">
        <f t="shared" si="35"/>
        <v>42670</v>
      </c>
      <c r="AI58" s="91">
        <f t="shared" si="12"/>
        <v>4.975</v>
      </c>
      <c r="AJ58" s="36">
        <f t="shared" si="13"/>
        <v>0.0418848167539265</v>
      </c>
      <c r="AK58" s="36">
        <f t="shared" si="32"/>
        <v>0.111731843575419</v>
      </c>
      <c r="AL58" s="105"/>
      <c r="AM58" s="91"/>
      <c r="AN58" s="36"/>
      <c r="AO58" s="36"/>
      <c r="AP58" s="36"/>
      <c r="AQ58" s="92" t="str" cm="1">
        <f t="array" ref="AQ58">_xlfn.IFS(MONTH(AR58)&lt;4,1,MONTH(AR58)&lt;7,2,MONTH(AR58)&lt;10,3,MONTH(AR58)&gt;9,4)&amp;"Q"&amp;RIGHT(YEAR(AR58),2)</f>
        <v>3Q19</v>
      </c>
      <c r="AR58" s="92">
        <f t="shared" si="14"/>
        <v>43708</v>
      </c>
      <c r="AS58" s="109">
        <v>43696</v>
      </c>
      <c r="AT58" s="110"/>
      <c r="AU58" s="94" cm="1">
        <f t="array" ref="AU58">INDEX($CE$29:$CE$1449,MATCH($AR58,$CA$29:$CA$1449,0),)</f>
        <v>112.64</v>
      </c>
      <c r="AV58" s="110"/>
      <c r="AW58" s="94" cm="1">
        <f t="array" ref="AW58">INDEX($CF$29:$CF$1449,MATCH($AR58,$CA$29:$CA$1449,0),)</f>
        <v>230</v>
      </c>
      <c r="AX58" s="94"/>
      <c r="AY58" s="94"/>
      <c r="AZ58" s="94"/>
      <c r="BA58" s="94"/>
      <c r="BB58" s="5"/>
      <c r="BC58" s="5"/>
      <c r="BD58" s="5"/>
      <c r="BE58" s="5"/>
      <c r="BF58" s="5"/>
      <c r="BG58" s="5"/>
      <c r="BH58" s="5"/>
      <c r="BI58" s="5"/>
      <c r="BJ58" s="5"/>
      <c r="BK58" s="5"/>
      <c r="BL58" s="5"/>
      <c r="BM58" s="5"/>
      <c r="BN58" s="5"/>
      <c r="BO58" s="5"/>
      <c r="BP58" s="5"/>
      <c r="BQ58" s="95" t="str" cm="1">
        <f t="array" ref="BQ58">_xlfn.IFS(MONTH(BR58)&lt;4,1,MONTH(BR58)&lt;7,2,MONTH(BR58)&lt;10,3,MONTH(BR58)&gt;9,4)&amp;"Q"&amp;RIGHT(YEAR(BR58),2)</f>
        <v>4Q18</v>
      </c>
      <c r="BR58" s="81">
        <f t="shared" si="15"/>
        <v>43434</v>
      </c>
      <c r="BS58" s="118">
        <f t="shared" si="16"/>
        <v>43434</v>
      </c>
      <c r="BT58" s="85">
        <v>7.44</v>
      </c>
      <c r="BU58" s="85">
        <v>7.06</v>
      </c>
      <c r="BV58" s="85">
        <v>7.19</v>
      </c>
      <c r="BW58" s="85"/>
      <c r="BX58" s="85"/>
      <c r="CA58" s="35">
        <f t="shared" si="41"/>
        <v>43434</v>
      </c>
      <c r="CB58" s="35"/>
      <c r="CC58" s="35"/>
      <c r="CD58" s="26">
        <v>60</v>
      </c>
      <c r="CE58" s="26">
        <v>286.29</v>
      </c>
      <c r="CF58" s="26">
        <v>605</v>
      </c>
      <c r="CG58" s="26"/>
      <c r="CH58" s="26"/>
      <c r="CI58" s="26"/>
      <c r="CJ58" s="26"/>
      <c r="CK58" s="26"/>
      <c r="CL58" s="26"/>
      <c r="CM58" s="26"/>
      <c r="CN58" s="26"/>
      <c r="CO58" s="26"/>
      <c r="CP58" s="26"/>
      <c r="CQ58" s="26">
        <v>3.3</v>
      </c>
      <c r="CR58" s="26">
        <v>2.8</v>
      </c>
      <c r="CS58" s="27"/>
      <c r="CT58" s="113"/>
      <c r="CU58" s="113"/>
      <c r="CV58" s="113"/>
      <c r="CW58" s="27"/>
      <c r="CX58" s="117"/>
      <c r="CY58" s="113"/>
      <c r="CZ58" s="108">
        <f t="shared" si="42"/>
        <v>-0.0163934426229508</v>
      </c>
      <c r="DA58" s="108">
        <f t="shared" si="39"/>
        <v>-0.0300186345925799</v>
      </c>
      <c r="DB58" s="108">
        <f t="shared" si="39"/>
        <v>-0.0241935483870968</v>
      </c>
      <c r="DC58" s="108"/>
      <c r="DD58" s="108"/>
      <c r="DE58" s="108"/>
      <c r="DF58" s="108"/>
      <c r="DG58" s="108"/>
      <c r="DH58" s="108"/>
      <c r="DI58" s="108"/>
      <c r="DJ58" s="108"/>
      <c r="DK58" s="108"/>
      <c r="DL58" s="108"/>
      <c r="DM58" s="108">
        <f t="shared" si="62"/>
        <v>-0.0833333333333334</v>
      </c>
      <c r="DN58" s="108">
        <f t="shared" si="62"/>
        <v>-0.0666666666666668</v>
      </c>
      <c r="DQ58" s="114">
        <f t="shared" si="37"/>
        <v>8.9465625</v>
      </c>
      <c r="DR58" s="114">
        <f t="shared" si="38"/>
        <v>9.453125</v>
      </c>
      <c r="EA58" s="35" t="str">
        <f t="shared" si="40"/>
        <v>4Q24</v>
      </c>
      <c r="EB58" s="115">
        <v>37.1369294605809</v>
      </c>
      <c r="EC58" s="102"/>
      <c r="ED58" s="115">
        <v>27.8008298755187</v>
      </c>
      <c r="EE58" s="115">
        <v>15.7033805888768</v>
      </c>
      <c r="EF58" s="115">
        <v>7.90645879732739</v>
      </c>
      <c r="EG58" s="115">
        <v>13.5371179039301</v>
      </c>
      <c r="EH58" s="115">
        <v>24.2655059847661</v>
      </c>
      <c r="EI58" s="27"/>
      <c r="EJ58" s="112">
        <f t="shared" si="43"/>
        <v>-0.0680732795741017</v>
      </c>
      <c r="EK58" s="116"/>
      <c r="EL58" s="112">
        <f t="shared" si="36"/>
        <v>-0.069972237977253</v>
      </c>
      <c r="EM58" s="112">
        <f t="shared" si="36"/>
        <v>-0.143974253264888</v>
      </c>
      <c r="EN58" s="112">
        <f t="shared" si="36"/>
        <v>-0.140895757509914</v>
      </c>
      <c r="EO58" s="112">
        <f t="shared" si="36"/>
        <v>-0.115110454662214</v>
      </c>
      <c r="EP58" s="112">
        <f t="shared" si="36"/>
        <v>-0.146761679803958</v>
      </c>
      <c r="EQ58" s="36"/>
      <c r="ES58" s="36"/>
      <c r="FK58" s="104"/>
      <c r="FV58" s="104">
        <f t="shared" si="50"/>
        <v>2010</v>
      </c>
      <c r="FW58" s="104">
        <f t="shared" si="51"/>
        <v>46</v>
      </c>
      <c r="FX58" s="35">
        <v>40491</v>
      </c>
      <c r="FY58" s="26">
        <v>2.79</v>
      </c>
      <c r="FZ58" s="94">
        <f t="shared" si="52"/>
        <v>11.16</v>
      </c>
      <c r="GA58" s="104">
        <f t="shared" si="53"/>
        <v>2011</v>
      </c>
      <c r="GB58" s="104">
        <f t="shared" si="54"/>
        <v>49</v>
      </c>
      <c r="GC58" s="35">
        <v>40875</v>
      </c>
      <c r="GD58" s="26">
        <v>0.94</v>
      </c>
      <c r="GE58" s="94">
        <f t="shared" si="55"/>
        <v>3.76</v>
      </c>
      <c r="GF58" s="104">
        <f t="shared" si="56"/>
        <v>2013</v>
      </c>
      <c r="GG58" s="104">
        <f t="shared" si="57"/>
        <v>8</v>
      </c>
      <c r="GH58" s="35">
        <v>41324</v>
      </c>
      <c r="GI58" s="26">
        <v>2.43</v>
      </c>
      <c r="GJ58" s="94">
        <f t="shared" si="58"/>
        <v>4.86</v>
      </c>
      <c r="GK58" s="104">
        <f t="shared" si="59"/>
        <v>2014</v>
      </c>
      <c r="GL58" s="104">
        <f t="shared" si="60"/>
        <v>12</v>
      </c>
      <c r="GM58" s="35">
        <v>41715</v>
      </c>
      <c r="GN58" s="26">
        <v>3.69</v>
      </c>
      <c r="GO58" s="94">
        <f t="shared" si="61"/>
        <v>7.38</v>
      </c>
      <c r="GP58" s="59"/>
    </row>
    <row r="59" ht="16.8" spans="3:200">
      <c r="C59" s="80" t="str" cm="1">
        <f t="array" ref="C59">_xlfn.IFS(MONTH(D59)&lt;4,1,MONTH(D59)&lt;7,2,MONTH(D59)&lt;10,3,MONTH(D59)&gt;9,4)&amp;"Q"&amp;RIGHT(YEAR(D59),2)</f>
        <v>2Q16</v>
      </c>
      <c r="D59" s="81">
        <f t="shared" si="11"/>
        <v>42490</v>
      </c>
      <c r="E59" s="82">
        <f t="shared" si="3"/>
        <v>42468</v>
      </c>
      <c r="F59" s="83">
        <f t="shared" si="4"/>
        <v>0.586</v>
      </c>
      <c r="G59" s="83">
        <f t="shared" si="4"/>
        <v>0.3864</v>
      </c>
      <c r="H59" s="81"/>
      <c r="I59" s="84">
        <v>42468</v>
      </c>
      <c r="J59" s="85">
        <v>4.98</v>
      </c>
      <c r="K59" s="85">
        <v>4.67</v>
      </c>
      <c r="L59" s="86">
        <v>4.688</v>
      </c>
      <c r="M59" s="87">
        <v>3.0912</v>
      </c>
      <c r="N59" s="88"/>
      <c r="O59" s="88"/>
      <c r="P59" s="88"/>
      <c r="Q59" s="89">
        <f t="shared" si="5"/>
        <v>0.516563146997929</v>
      </c>
      <c r="R59" s="5"/>
      <c r="S59" s="5"/>
      <c r="T59" s="5"/>
      <c r="U59" s="5"/>
      <c r="V59" s="5"/>
      <c r="W59" s="5"/>
      <c r="X59" s="5"/>
      <c r="Y59" s="5"/>
      <c r="Z59" s="5"/>
      <c r="AA59" s="5"/>
      <c r="AB59" s="5"/>
      <c r="AC59" s="5"/>
      <c r="AD59" s="5"/>
      <c r="AE59" s="5"/>
      <c r="AF59" s="5"/>
      <c r="AG59" s="5"/>
      <c r="AH59" s="105">
        <f t="shared" si="35"/>
        <v>42678</v>
      </c>
      <c r="AI59" s="91">
        <f t="shared" si="12"/>
        <v>5.09</v>
      </c>
      <c r="AJ59" s="36">
        <f t="shared" si="13"/>
        <v>0.0231155778894472</v>
      </c>
      <c r="AK59" s="36">
        <f t="shared" si="32"/>
        <v>0.0659685863874344</v>
      </c>
      <c r="AL59" s="105"/>
      <c r="AM59" s="91"/>
      <c r="AN59" s="36"/>
      <c r="AO59" s="36"/>
      <c r="AP59" s="36"/>
      <c r="AQ59" s="92" t="str" cm="1">
        <f t="array" ref="AQ59">_xlfn.IFS(MONTH(AR59)&lt;4,1,MONTH(AR59)&lt;7,2,MONTH(AR59)&lt;10,3,MONTH(AR59)&gt;9,4)&amp;"Q"&amp;RIGHT(YEAR(AR59),2)</f>
        <v>3Q19</v>
      </c>
      <c r="AR59" s="92">
        <f t="shared" si="14"/>
        <v>43708</v>
      </c>
      <c r="AS59" s="109">
        <v>43703</v>
      </c>
      <c r="AT59" s="110"/>
      <c r="AU59" s="94" cm="1">
        <f t="array" ref="AU59">INDEX($CE$29:$CE$1449,MATCH($AR59,$CA$29:$CA$1449,0),)</f>
        <v>112.64</v>
      </c>
      <c r="AV59" s="110"/>
      <c r="AW59" s="94" cm="1">
        <f t="array" ref="AW59">INDEX($CF$29:$CF$1449,MATCH($AR59,$CA$29:$CA$1449,0),)</f>
        <v>230</v>
      </c>
      <c r="AX59" s="94"/>
      <c r="AY59" s="94"/>
      <c r="AZ59" s="94"/>
      <c r="BA59" s="94"/>
      <c r="BB59" s="5"/>
      <c r="BC59" s="5"/>
      <c r="BD59" s="5"/>
      <c r="BE59" s="5"/>
      <c r="BF59" s="5"/>
      <c r="BG59" s="5"/>
      <c r="BH59" s="5"/>
      <c r="BI59" s="5"/>
      <c r="BJ59" s="5"/>
      <c r="BK59" s="5"/>
      <c r="BL59" s="5"/>
      <c r="BM59" s="5"/>
      <c r="BN59" s="5"/>
      <c r="BO59" s="5"/>
      <c r="BP59" s="5"/>
      <c r="BQ59" s="95" t="str" cm="1">
        <f t="array" ref="BQ59">_xlfn.IFS(MONTH(BR59)&lt;4,1,MONTH(BR59)&lt;7,2,MONTH(BR59)&lt;10,3,MONTH(BR59)&gt;9,4)&amp;"Q"&amp;RIGHT(YEAR(BR59),2)</f>
        <v>4Q18</v>
      </c>
      <c r="BR59" s="81">
        <f t="shared" si="15"/>
        <v>43465</v>
      </c>
      <c r="BS59" s="118">
        <f t="shared" si="16"/>
        <v>43465</v>
      </c>
      <c r="BT59" s="85"/>
      <c r="BU59" s="85"/>
      <c r="BV59" s="85">
        <v>7.25</v>
      </c>
      <c r="BW59" s="85"/>
      <c r="BX59" s="85"/>
      <c r="CA59" s="35">
        <f t="shared" si="41"/>
        <v>43465</v>
      </c>
      <c r="CB59" s="35"/>
      <c r="CC59" s="35"/>
      <c r="CD59" s="26">
        <v>60</v>
      </c>
      <c r="CE59" s="26">
        <v>280.57</v>
      </c>
      <c r="CF59" s="26">
        <v>580</v>
      </c>
      <c r="CG59" s="26"/>
      <c r="CH59" s="26"/>
      <c r="CI59" s="26"/>
      <c r="CJ59" s="26"/>
      <c r="CK59" s="26"/>
      <c r="CL59" s="26"/>
      <c r="CM59" s="26"/>
      <c r="CN59" s="26"/>
      <c r="CO59" s="26"/>
      <c r="CP59" s="26"/>
      <c r="CQ59" s="26">
        <v>3.2</v>
      </c>
      <c r="CR59" s="26">
        <v>2.7</v>
      </c>
      <c r="CS59" s="27"/>
      <c r="CT59" s="113"/>
      <c r="CU59" s="113"/>
      <c r="CV59" s="113"/>
      <c r="CW59" s="27"/>
      <c r="CX59" s="117"/>
      <c r="CY59" s="113"/>
      <c r="CZ59" s="108">
        <f t="shared" si="42"/>
        <v>0</v>
      </c>
      <c r="DA59" s="108">
        <f t="shared" si="39"/>
        <v>-0.0199797408222433</v>
      </c>
      <c r="DB59" s="108">
        <f t="shared" si="39"/>
        <v>-0.0413223140495868</v>
      </c>
      <c r="DC59" s="108"/>
      <c r="DD59" s="108"/>
      <c r="DE59" s="108"/>
      <c r="DF59" s="108"/>
      <c r="DG59" s="108"/>
      <c r="DH59" s="108"/>
      <c r="DI59" s="108"/>
      <c r="DJ59" s="108"/>
      <c r="DK59" s="108"/>
      <c r="DL59" s="108"/>
      <c r="DM59" s="108">
        <f t="shared" si="62"/>
        <v>-0.0303030303030302</v>
      </c>
      <c r="DN59" s="108">
        <f t="shared" si="62"/>
        <v>-0.0357142857142856</v>
      </c>
      <c r="DQ59" s="114">
        <f t="shared" si="37"/>
        <v>8.7678125</v>
      </c>
      <c r="DR59" s="114">
        <f t="shared" si="38"/>
        <v>9.0625</v>
      </c>
      <c r="EA59" s="35" t="str">
        <f t="shared" si="40"/>
        <v>1Q25</v>
      </c>
      <c r="EB59" s="115">
        <v>35.7407407407407</v>
      </c>
      <c r="EC59" s="102"/>
      <c r="ED59" s="115">
        <v>26.8767377201112</v>
      </c>
      <c r="EE59" s="115">
        <v>14.5052833813641</v>
      </c>
      <c r="EF59" s="115">
        <v>7.03564727954972</v>
      </c>
      <c r="EG59" s="115">
        <v>12.3420796890185</v>
      </c>
      <c r="EH59" s="115">
        <v>21.7264791464597</v>
      </c>
      <c r="EI59" s="27"/>
      <c r="EJ59" s="112">
        <f t="shared" si="43"/>
        <v>-0.037595696254914</v>
      </c>
      <c r="EK59" s="116"/>
      <c r="EL59" s="112">
        <f t="shared" si="36"/>
        <v>-0.0332397327542086</v>
      </c>
      <c r="EM59" s="112">
        <f t="shared" si="36"/>
        <v>-0.0762954957839684</v>
      </c>
      <c r="EN59" s="112">
        <f t="shared" si="36"/>
        <v>-0.110139259572444</v>
      </c>
      <c r="EO59" s="112">
        <f t="shared" si="36"/>
        <v>-0.0882786294241198</v>
      </c>
      <c r="EP59" s="112">
        <f t="shared" si="36"/>
        <v>-0.104635231587601</v>
      </c>
      <c r="EQ59" s="36"/>
      <c r="ES59" s="36"/>
      <c r="FK59" s="104"/>
      <c r="FV59" s="104">
        <f t="shared" si="50"/>
        <v>2010</v>
      </c>
      <c r="FW59" s="104">
        <f t="shared" si="51"/>
        <v>46</v>
      </c>
      <c r="FX59" s="35">
        <v>40492</v>
      </c>
      <c r="FY59" s="26">
        <v>2.73</v>
      </c>
      <c r="FZ59" s="94">
        <f t="shared" si="52"/>
        <v>10.92</v>
      </c>
      <c r="GA59" s="104">
        <f t="shared" si="53"/>
        <v>2011</v>
      </c>
      <c r="GB59" s="104">
        <f t="shared" si="54"/>
        <v>51</v>
      </c>
      <c r="GC59" s="35">
        <v>40890</v>
      </c>
      <c r="GD59" s="26">
        <v>0.88</v>
      </c>
      <c r="GE59" s="94">
        <f t="shared" si="55"/>
        <v>3.52</v>
      </c>
      <c r="GF59" s="104">
        <f t="shared" si="56"/>
        <v>2013</v>
      </c>
      <c r="GG59" s="104">
        <f t="shared" si="57"/>
        <v>8</v>
      </c>
      <c r="GH59" s="35">
        <v>41325</v>
      </c>
      <c r="GI59" s="26">
        <v>2.45</v>
      </c>
      <c r="GJ59" s="94">
        <f t="shared" si="58"/>
        <v>4.9</v>
      </c>
      <c r="GK59" s="104">
        <f t="shared" si="59"/>
        <v>2014</v>
      </c>
      <c r="GL59" s="104">
        <f t="shared" si="60"/>
        <v>14</v>
      </c>
      <c r="GM59" s="35">
        <v>41729</v>
      </c>
      <c r="GN59" s="26">
        <v>3.63</v>
      </c>
      <c r="GO59" s="94">
        <f t="shared" si="61"/>
        <v>7.26</v>
      </c>
      <c r="GP59" s="59"/>
    </row>
    <row r="60" ht="16.8" spans="3:200">
      <c r="C60" s="80" t="str" cm="1">
        <f t="array" ref="C60">_xlfn.IFS(MONTH(D60)&lt;4,1,MONTH(D60)&lt;7,2,MONTH(D60)&lt;10,3,MONTH(D60)&gt;9,4)&amp;"Q"&amp;RIGHT(YEAR(D60),2)</f>
        <v>2Q16</v>
      </c>
      <c r="D60" s="81">
        <f t="shared" si="11"/>
        <v>42490</v>
      </c>
      <c r="E60" s="82">
        <f t="shared" si="3"/>
        <v>42471</v>
      </c>
      <c r="F60" s="83">
        <f t="shared" si="4"/>
        <v>0.585875</v>
      </c>
      <c r="G60" s="83">
        <f t="shared" si="4"/>
        <v>0.3864</v>
      </c>
      <c r="H60" s="81"/>
      <c r="I60" s="84">
        <v>42471</v>
      </c>
      <c r="J60" s="85">
        <v>5</v>
      </c>
      <c r="K60" s="85">
        <v>4.67</v>
      </c>
      <c r="L60" s="86">
        <v>4.687</v>
      </c>
      <c r="M60" s="87">
        <v>3.0912</v>
      </c>
      <c r="N60" s="88"/>
      <c r="O60" s="88"/>
      <c r="P60" s="88"/>
      <c r="Q60" s="89">
        <f t="shared" si="5"/>
        <v>0.516239648033126</v>
      </c>
      <c r="R60" s="5"/>
      <c r="S60" s="5"/>
      <c r="T60" s="5"/>
      <c r="U60" s="5"/>
      <c r="V60" s="5"/>
      <c r="W60" s="5"/>
      <c r="X60" s="5"/>
      <c r="Y60" s="5"/>
      <c r="Z60" s="5"/>
      <c r="AA60" s="5"/>
      <c r="AB60" s="5"/>
      <c r="AC60" s="5"/>
      <c r="AD60" s="5"/>
      <c r="AE60" s="5"/>
      <c r="AF60" s="5"/>
      <c r="AG60" s="5"/>
      <c r="AH60" s="105">
        <f t="shared" si="35"/>
        <v>42688</v>
      </c>
      <c r="AI60" s="91">
        <f t="shared" si="12"/>
        <v>5.16</v>
      </c>
      <c r="AJ60" s="36">
        <f t="shared" si="13"/>
        <v>0.0137524557956779</v>
      </c>
      <c r="AK60" s="36">
        <f t="shared" si="32"/>
        <v>0.0371859296482413</v>
      </c>
      <c r="AL60" s="105"/>
      <c r="AM60" s="91"/>
      <c r="AN60" s="36"/>
      <c r="AO60" s="36"/>
      <c r="AP60" s="36"/>
      <c r="AQ60" s="92" t="str" cm="1">
        <f t="array" ref="AQ60">_xlfn.IFS(MONTH(AR60)&lt;4,1,MONTH(AR60)&lt;7,2,MONTH(AR60)&lt;10,3,MONTH(AR60)&gt;9,4)&amp;"Q"&amp;RIGHT(YEAR(AR60),2)</f>
        <v>3Q19</v>
      </c>
      <c r="AR60" s="92">
        <f t="shared" si="14"/>
        <v>43738</v>
      </c>
      <c r="AS60" s="109">
        <v>43710</v>
      </c>
      <c r="AT60" s="110"/>
      <c r="AU60" s="94" cm="1">
        <f t="array" ref="AU60">INDEX($CE$29:$CE$1449,MATCH($AR60,$CA$29:$CA$1449,0),)</f>
        <v>110.38</v>
      </c>
      <c r="AV60" s="110"/>
      <c r="AW60" s="94" cm="1">
        <f t="array" ref="AW60">INDEX($CF$29:$CF$1449,MATCH($AR60,$CA$29:$CA$1449,0),)</f>
        <v>220</v>
      </c>
      <c r="AX60" s="94"/>
      <c r="AY60" s="94"/>
      <c r="AZ60" s="94"/>
      <c r="BA60" s="94"/>
      <c r="BB60" s="5"/>
      <c r="BC60" s="5"/>
      <c r="BD60" s="5"/>
      <c r="BE60" s="5"/>
      <c r="BF60" s="5"/>
      <c r="BG60" s="5"/>
      <c r="BH60" s="5"/>
      <c r="BI60" s="5"/>
      <c r="BJ60" s="5"/>
      <c r="BK60" s="5"/>
      <c r="BL60" s="5"/>
      <c r="BM60" s="5"/>
      <c r="BN60" s="5"/>
      <c r="BO60" s="5"/>
      <c r="BP60" s="5"/>
      <c r="BQ60" s="95" t="str" cm="1">
        <f t="array" ref="BQ60">_xlfn.IFS(MONTH(BR60)&lt;4,1,MONTH(BR60)&lt;7,2,MONTH(BR60)&lt;10,3,MONTH(BR60)&gt;9,4)&amp;"Q"&amp;RIGHT(YEAR(BR60),2)</f>
        <v>1Q19</v>
      </c>
      <c r="BR60" s="81">
        <f t="shared" si="15"/>
        <v>43496</v>
      </c>
      <c r="BS60" s="118">
        <f t="shared" si="16"/>
        <v>43496</v>
      </c>
      <c r="BT60" s="85"/>
      <c r="BU60" s="85"/>
      <c r="BV60" s="85">
        <v>6</v>
      </c>
      <c r="BW60" s="85"/>
      <c r="BX60" s="85"/>
      <c r="CA60" s="35">
        <f t="shared" si="41"/>
        <v>43496</v>
      </c>
      <c r="CB60" s="35"/>
      <c r="CC60" s="35"/>
      <c r="CD60" s="26">
        <v>50</v>
      </c>
      <c r="CE60" s="26">
        <v>232.87</v>
      </c>
      <c r="CF60" s="26">
        <v>475</v>
      </c>
      <c r="CG60" s="26"/>
      <c r="CH60" s="26"/>
      <c r="CI60" s="26"/>
      <c r="CJ60" s="26"/>
      <c r="CK60" s="26"/>
      <c r="CL60" s="26"/>
      <c r="CM60" s="26"/>
      <c r="CN60" s="26"/>
      <c r="CO60" s="26"/>
      <c r="CP60" s="26"/>
      <c r="CQ60" s="26">
        <v>2.9</v>
      </c>
      <c r="CR60" s="26">
        <v>2.4</v>
      </c>
      <c r="CS60" s="27"/>
      <c r="CT60" s="113"/>
      <c r="CU60" s="113"/>
      <c r="CV60" s="113"/>
      <c r="CW60" s="27"/>
      <c r="CX60" s="117"/>
      <c r="CY60" s="113"/>
      <c r="CZ60" s="108">
        <f t="shared" si="42"/>
        <v>-0.166666666666667</v>
      </c>
      <c r="DA60" s="108">
        <f t="shared" si="39"/>
        <v>-0.170011048936094</v>
      </c>
      <c r="DB60" s="108">
        <f t="shared" si="39"/>
        <v>-0.181034482758621</v>
      </c>
      <c r="DC60" s="108"/>
      <c r="DD60" s="108"/>
      <c r="DE60" s="108"/>
      <c r="DF60" s="108"/>
      <c r="DG60" s="108"/>
      <c r="DH60" s="108"/>
      <c r="DI60" s="108"/>
      <c r="DJ60" s="108"/>
      <c r="DK60" s="108"/>
      <c r="DL60" s="108"/>
      <c r="DM60" s="108">
        <f t="shared" si="62"/>
        <v>-0.0937500000000001</v>
      </c>
      <c r="DN60" s="108">
        <f t="shared" si="62"/>
        <v>-0.111111111111111</v>
      </c>
      <c r="DQ60" s="114">
        <f t="shared" si="37"/>
        <v>7.2771875</v>
      </c>
      <c r="DR60" s="114">
        <f t="shared" si="38"/>
        <v>7.421875</v>
      </c>
      <c r="EA60" s="35" t="str">
        <f t="shared" si="40"/>
        <v>2Q25</v>
      </c>
      <c r="EB60" s="115">
        <v>38.6363636363636</v>
      </c>
      <c r="EC60" s="102"/>
      <c r="ED60" s="115">
        <v>28.9335664335664</v>
      </c>
      <c r="EE60" s="115">
        <v>15.0877192982456</v>
      </c>
      <c r="EF60" s="115">
        <v>7.56832515767344</v>
      </c>
      <c r="EG60" s="115">
        <v>12.695652173913</v>
      </c>
      <c r="EH60" s="115">
        <v>22.4</v>
      </c>
      <c r="EI60" s="27"/>
      <c r="EJ60" s="112">
        <f t="shared" si="43"/>
        <v>0.0810174281676874</v>
      </c>
      <c r="EK60" s="116"/>
      <c r="EL60" s="112">
        <f t="shared" ref="EL60:EP63" si="63">ED60/ED59-1</f>
        <v>0.0765282131661442</v>
      </c>
      <c r="EM60" s="112">
        <f t="shared" si="63"/>
        <v>0.0401533635413036</v>
      </c>
      <c r="EN60" s="112">
        <f t="shared" si="63"/>
        <v>0.0757112824106518</v>
      </c>
      <c r="EO60" s="112">
        <f t="shared" si="63"/>
        <v>0.0286477233824034</v>
      </c>
      <c r="EP60" s="112">
        <f t="shared" si="63"/>
        <v>0.0309999999999999</v>
      </c>
      <c r="EQ60" s="36"/>
      <c r="ES60" s="36"/>
      <c r="FK60" s="104"/>
      <c r="FV60" s="104">
        <f t="shared" si="50"/>
        <v>2010</v>
      </c>
      <c r="FW60" s="104">
        <f t="shared" si="51"/>
        <v>46</v>
      </c>
      <c r="FX60" s="35">
        <v>40493</v>
      </c>
      <c r="FY60" s="26">
        <v>2.69</v>
      </c>
      <c r="FZ60" s="94">
        <f t="shared" si="52"/>
        <v>10.76</v>
      </c>
      <c r="GA60" s="104">
        <f t="shared" si="53"/>
        <v>2011</v>
      </c>
      <c r="GB60" s="104">
        <f t="shared" si="54"/>
        <v>53</v>
      </c>
      <c r="GC60" s="35">
        <v>40903</v>
      </c>
      <c r="GD60" s="26">
        <v>0.88</v>
      </c>
      <c r="GE60" s="94">
        <f t="shared" si="55"/>
        <v>3.52</v>
      </c>
      <c r="GF60" s="104">
        <f t="shared" si="56"/>
        <v>2013</v>
      </c>
      <c r="GG60" s="104">
        <f t="shared" si="57"/>
        <v>8</v>
      </c>
      <c r="GH60" s="35">
        <v>41326</v>
      </c>
      <c r="GI60" s="26">
        <v>2.486</v>
      </c>
      <c r="GJ60" s="94">
        <f t="shared" si="58"/>
        <v>4.972</v>
      </c>
      <c r="GK60" s="104">
        <f t="shared" si="59"/>
        <v>2014</v>
      </c>
      <c r="GL60" s="104">
        <f t="shared" si="60"/>
        <v>16</v>
      </c>
      <c r="GM60" s="35">
        <v>41743</v>
      </c>
      <c r="GN60" s="26">
        <v>3.5</v>
      </c>
      <c r="GO60" s="94">
        <f t="shared" si="61"/>
        <v>7</v>
      </c>
      <c r="GP60" s="59"/>
    </row>
    <row r="61" ht="16.8" spans="3:200">
      <c r="C61" s="80" t="str" cm="1">
        <f t="array" ref="C61">_xlfn.IFS(MONTH(D61)&lt;4,1,MONTH(D61)&lt;7,2,MONTH(D61)&lt;10,3,MONTH(D61)&gt;9,4)&amp;"Q"&amp;RIGHT(YEAR(D61),2)</f>
        <v>2Q16</v>
      </c>
      <c r="D61" s="81">
        <f t="shared" si="11"/>
        <v>42490</v>
      </c>
      <c r="E61" s="82">
        <f t="shared" si="3"/>
        <v>42472</v>
      </c>
      <c r="F61" s="83">
        <f t="shared" si="4"/>
        <v>0.585875</v>
      </c>
      <c r="G61" s="83">
        <f t="shared" si="4"/>
        <v>0.3864</v>
      </c>
      <c r="H61" s="81"/>
      <c r="I61" s="84">
        <v>42472</v>
      </c>
      <c r="J61" s="85">
        <v>5</v>
      </c>
      <c r="K61" s="85">
        <v>4.67</v>
      </c>
      <c r="L61" s="86">
        <v>4.687</v>
      </c>
      <c r="M61" s="87">
        <v>3.0912</v>
      </c>
      <c r="N61" s="88"/>
      <c r="O61" s="88"/>
      <c r="P61" s="88"/>
      <c r="Q61" s="89">
        <f t="shared" si="5"/>
        <v>0.516239648033126</v>
      </c>
      <c r="R61" s="5"/>
      <c r="S61" s="5"/>
      <c r="T61" s="5"/>
      <c r="U61" s="5"/>
      <c r="V61" s="5"/>
      <c r="W61" s="5"/>
      <c r="X61" s="5"/>
      <c r="Y61" s="5"/>
      <c r="Z61" s="5"/>
      <c r="AA61" s="5"/>
      <c r="AB61" s="5"/>
      <c r="AC61" s="5"/>
      <c r="AD61" s="5"/>
      <c r="AE61" s="5"/>
      <c r="AF61" s="5"/>
      <c r="AG61" s="5"/>
      <c r="AH61" s="105">
        <f t="shared" si="35"/>
        <v>42696</v>
      </c>
      <c r="AI61" s="91">
        <f t="shared" si="12"/>
        <v>5.23</v>
      </c>
      <c r="AJ61" s="36">
        <f t="shared" si="13"/>
        <v>0.0135658914728682</v>
      </c>
      <c r="AK61" s="36">
        <f t="shared" si="32"/>
        <v>0.0275049115913557</v>
      </c>
      <c r="AL61" s="105"/>
      <c r="AM61" s="91"/>
      <c r="AN61" s="36"/>
      <c r="AO61" s="36"/>
      <c r="AP61" s="36"/>
      <c r="AQ61" s="92" t="str" cm="1">
        <f t="array" ref="AQ61">_xlfn.IFS(MONTH(AR61)&lt;4,1,MONTH(AR61)&lt;7,2,MONTH(AR61)&lt;10,3,MONTH(AR61)&gt;9,4)&amp;"Q"&amp;RIGHT(YEAR(AR61),2)</f>
        <v>3Q19</v>
      </c>
      <c r="AR61" s="92">
        <f t="shared" si="14"/>
        <v>43738</v>
      </c>
      <c r="AS61" s="109">
        <v>43717</v>
      </c>
      <c r="AT61" s="110"/>
      <c r="AU61" s="94" cm="1">
        <f t="array" ref="AU61">INDEX($CE$29:$CE$1449,MATCH($AR61,$CA$29:$CA$1449,0),)</f>
        <v>110.38</v>
      </c>
      <c r="AV61" s="110"/>
      <c r="AW61" s="94" cm="1">
        <f t="array" ref="AW61">INDEX($CF$29:$CF$1449,MATCH($AR61,$CA$29:$CA$1449,0),)</f>
        <v>220</v>
      </c>
      <c r="AX61" s="94"/>
      <c r="AY61" s="94"/>
      <c r="AZ61" s="94"/>
      <c r="BA61" s="94"/>
      <c r="BB61" s="5"/>
      <c r="BC61" s="5"/>
      <c r="BD61" s="5"/>
      <c r="BE61" s="5"/>
      <c r="BF61" s="5"/>
      <c r="BG61" s="5"/>
      <c r="BH61" s="5"/>
      <c r="BI61" s="5"/>
      <c r="BJ61" s="5"/>
      <c r="BK61" s="5"/>
      <c r="BL61" s="5"/>
      <c r="BM61" s="5"/>
      <c r="BN61" s="5"/>
      <c r="BO61" s="5"/>
      <c r="BP61" s="5"/>
      <c r="BQ61" s="95" t="str" cm="1">
        <f t="array" ref="BQ61">_xlfn.IFS(MONTH(BR61)&lt;4,1,MONTH(BR61)&lt;7,2,MONTH(BR61)&lt;10,3,MONTH(BR61)&gt;9,4)&amp;"Q"&amp;RIGHT(YEAR(BR61),2)</f>
        <v>1Q19</v>
      </c>
      <c r="BR61" s="81">
        <f t="shared" si="15"/>
        <v>43524</v>
      </c>
      <c r="BS61" s="118">
        <f t="shared" si="16"/>
        <v>43524</v>
      </c>
      <c r="BT61" s="85"/>
      <c r="BU61" s="85"/>
      <c r="BV61" s="85">
        <v>5.13</v>
      </c>
      <c r="BW61" s="85"/>
      <c r="BX61" s="85"/>
      <c r="CA61" s="35">
        <f t="shared" si="41"/>
        <v>43524</v>
      </c>
      <c r="CB61" s="35"/>
      <c r="CC61" s="35"/>
      <c r="CD61" s="26">
        <v>43</v>
      </c>
      <c r="CE61" s="26">
        <v>209.58</v>
      </c>
      <c r="CF61" s="26">
        <v>420</v>
      </c>
      <c r="CG61" s="26"/>
      <c r="CH61" s="26"/>
      <c r="CI61" s="26"/>
      <c r="CJ61" s="26"/>
      <c r="CK61" s="26"/>
      <c r="CL61" s="26"/>
      <c r="CM61" s="26"/>
      <c r="CN61" s="26"/>
      <c r="CO61" s="26"/>
      <c r="CP61" s="26"/>
      <c r="CQ61" s="26">
        <v>2.8</v>
      </c>
      <c r="CR61" s="26">
        <v>2.35</v>
      </c>
      <c r="CS61" s="27"/>
      <c r="CT61" s="113"/>
      <c r="CU61" s="113"/>
      <c r="CV61" s="113"/>
      <c r="CW61" s="27"/>
      <c r="CX61" s="117"/>
      <c r="CY61" s="113"/>
      <c r="CZ61" s="108">
        <f t="shared" si="42"/>
        <v>-0.14</v>
      </c>
      <c r="DA61" s="108">
        <f t="shared" si="39"/>
        <v>-0.100012882724267</v>
      </c>
      <c r="DB61" s="108">
        <f t="shared" si="39"/>
        <v>-0.115789473684211</v>
      </c>
      <c r="DC61" s="108"/>
      <c r="DD61" s="108"/>
      <c r="DE61" s="108"/>
      <c r="DF61" s="108"/>
      <c r="DG61" s="108"/>
      <c r="DH61" s="108"/>
      <c r="DI61" s="108"/>
      <c r="DJ61" s="108"/>
      <c r="DK61" s="108"/>
      <c r="DL61" s="108"/>
      <c r="DM61" s="108">
        <f t="shared" si="62"/>
        <v>-0.0344827586206897</v>
      </c>
      <c r="DN61" s="108">
        <f t="shared" si="62"/>
        <v>-0.0208333333333333</v>
      </c>
      <c r="DQ61" s="114">
        <f t="shared" si="37"/>
        <v>6.549375</v>
      </c>
      <c r="DR61" s="114">
        <f t="shared" si="38"/>
        <v>6.5625</v>
      </c>
      <c r="EA61" s="35" t="str">
        <f t="shared" si="40"/>
        <v>3Q25</v>
      </c>
      <c r="EB61" s="115">
        <v>44.0028388928318</v>
      </c>
      <c r="EC61" s="102"/>
      <c r="ED61" s="115">
        <v>33.0021291696238</v>
      </c>
      <c r="EE61" s="115">
        <v>20.8815028901734</v>
      </c>
      <c r="EF61" s="115">
        <v>10.4046242774566</v>
      </c>
      <c r="EG61" s="115">
        <v>14.6636432350718</v>
      </c>
      <c r="EH61" s="115">
        <v>28.0178837555887</v>
      </c>
      <c r="EI61" s="27"/>
      <c r="EJ61" s="112">
        <f t="shared" si="43"/>
        <v>0.138897006637999</v>
      </c>
      <c r="EK61" s="116"/>
      <c r="EL61" s="112">
        <f t="shared" si="63"/>
        <v>0.140617394865549</v>
      </c>
      <c r="EM61" s="112">
        <f t="shared" si="63"/>
        <v>0.384006586906843</v>
      </c>
      <c r="EN61" s="112">
        <f t="shared" si="63"/>
        <v>0.3747591522158</v>
      </c>
      <c r="EO61" s="112">
        <f t="shared" si="63"/>
        <v>0.155012994543327</v>
      </c>
      <c r="EP61" s="112">
        <f t="shared" si="63"/>
        <v>0.250798381945923</v>
      </c>
      <c r="EQ61" s="36"/>
      <c r="ES61" s="36"/>
      <c r="FK61" s="104"/>
      <c r="FV61" s="104">
        <f t="shared" si="50"/>
        <v>2010</v>
      </c>
      <c r="FW61" s="104">
        <f t="shared" si="51"/>
        <v>46</v>
      </c>
      <c r="FX61" s="35">
        <v>40494</v>
      </c>
      <c r="FY61" s="26">
        <v>2.55</v>
      </c>
      <c r="FZ61" s="94">
        <f t="shared" si="52"/>
        <v>10.2</v>
      </c>
      <c r="GA61" s="104">
        <f t="shared" si="53"/>
        <v>2012</v>
      </c>
      <c r="GB61" s="104">
        <f t="shared" si="54"/>
        <v>2</v>
      </c>
      <c r="GC61" s="35">
        <v>40918</v>
      </c>
      <c r="GD61" s="26">
        <v>0.88</v>
      </c>
      <c r="GE61" s="94">
        <f t="shared" si="55"/>
        <v>3.52</v>
      </c>
      <c r="GF61" s="104">
        <f t="shared" si="56"/>
        <v>2013</v>
      </c>
      <c r="GG61" s="104">
        <f t="shared" si="57"/>
        <v>8</v>
      </c>
      <c r="GH61" s="35">
        <v>41327</v>
      </c>
      <c r="GI61" s="26">
        <v>2.491</v>
      </c>
      <c r="GJ61" s="94">
        <f t="shared" si="58"/>
        <v>4.982</v>
      </c>
      <c r="GK61" s="104">
        <f t="shared" si="59"/>
        <v>2014</v>
      </c>
      <c r="GL61" s="104">
        <f t="shared" si="60"/>
        <v>18</v>
      </c>
      <c r="GM61" s="35">
        <v>41759</v>
      </c>
      <c r="GN61" s="26">
        <v>3.5</v>
      </c>
      <c r="GO61" s="94">
        <f t="shared" si="61"/>
        <v>7</v>
      </c>
      <c r="GP61" s="59"/>
    </row>
    <row r="62" ht="16.8" spans="3:200">
      <c r="C62" s="80" t="str" cm="1">
        <f t="array" ref="C62">_xlfn.IFS(MONTH(D62)&lt;4,1,MONTH(D62)&lt;7,2,MONTH(D62)&lt;10,3,MONTH(D62)&gt;9,4)&amp;"Q"&amp;RIGHT(YEAR(D62),2)</f>
        <v>2Q16</v>
      </c>
      <c r="D62" s="81">
        <f t="shared" si="11"/>
        <v>42490</v>
      </c>
      <c r="E62" s="82">
        <f t="shared" si="3"/>
        <v>42473</v>
      </c>
      <c r="F62" s="83">
        <f t="shared" si="4"/>
        <v>0.585875</v>
      </c>
      <c r="G62" s="83">
        <f t="shared" si="4"/>
        <v>0.3864</v>
      </c>
      <c r="H62" s="81"/>
      <c r="I62" s="84">
        <v>42473</v>
      </c>
      <c r="J62" s="85">
        <v>5</v>
      </c>
      <c r="K62" s="85">
        <v>4.67</v>
      </c>
      <c r="L62" s="86">
        <v>4.687</v>
      </c>
      <c r="M62" s="87">
        <v>3.0912</v>
      </c>
      <c r="N62" s="88"/>
      <c r="O62" s="88"/>
      <c r="P62" s="88"/>
      <c r="Q62" s="89">
        <f t="shared" si="5"/>
        <v>0.516239648033126</v>
      </c>
      <c r="R62" s="5"/>
      <c r="S62" s="5"/>
      <c r="T62" s="5"/>
      <c r="U62" s="5"/>
      <c r="V62" s="5"/>
      <c r="W62" s="5"/>
      <c r="X62" s="5"/>
      <c r="Y62" s="5"/>
      <c r="Z62" s="5"/>
      <c r="AA62" s="5"/>
      <c r="AB62" s="5"/>
      <c r="AC62" s="5"/>
      <c r="AD62" s="5"/>
      <c r="AE62" s="5"/>
      <c r="AF62" s="5"/>
      <c r="AG62" s="5"/>
      <c r="AH62" s="105">
        <f t="shared" si="35"/>
        <v>42704</v>
      </c>
      <c r="AI62" s="91">
        <f t="shared" si="12"/>
        <v>5.2</v>
      </c>
      <c r="AJ62" s="36">
        <f t="shared" si="13"/>
        <v>-0.00573613766730408</v>
      </c>
      <c r="AK62" s="36">
        <f t="shared" si="32"/>
        <v>0.00775193798449614</v>
      </c>
      <c r="AL62" s="105"/>
      <c r="AM62" s="91"/>
      <c r="AN62" s="36"/>
      <c r="AO62" s="36"/>
      <c r="AP62" s="36"/>
      <c r="AQ62" s="92" t="str" cm="1">
        <f t="array" ref="AQ62">_xlfn.IFS(MONTH(AR62)&lt;4,1,MONTH(AR62)&lt;7,2,MONTH(AR62)&lt;10,3,MONTH(AR62)&gt;9,4)&amp;"Q"&amp;RIGHT(YEAR(AR62),2)</f>
        <v>3Q19</v>
      </c>
      <c r="AR62" s="92">
        <f t="shared" si="14"/>
        <v>43738</v>
      </c>
      <c r="AS62" s="109">
        <v>43724</v>
      </c>
      <c r="AT62" s="110"/>
      <c r="AU62" s="94" cm="1">
        <f t="array" ref="AU62">INDEX($CE$29:$CE$1449,MATCH($AR62,$CA$29:$CA$1449,0),)</f>
        <v>110.38</v>
      </c>
      <c r="AV62" s="110"/>
      <c r="AW62" s="94" cm="1">
        <f t="array" ref="AW62">INDEX($CF$29:$CF$1449,MATCH($AR62,$CA$29:$CA$1449,0),)</f>
        <v>220</v>
      </c>
      <c r="AX62" s="94"/>
      <c r="AY62" s="94"/>
      <c r="AZ62" s="94"/>
      <c r="BA62" s="94"/>
      <c r="BB62" s="5"/>
      <c r="BC62" s="5"/>
      <c r="BD62" s="5"/>
      <c r="BE62" s="5"/>
      <c r="BF62" s="5"/>
      <c r="BG62" s="5"/>
      <c r="BH62" s="5"/>
      <c r="BI62" s="5"/>
      <c r="BJ62" s="5"/>
      <c r="BK62" s="5"/>
      <c r="BL62" s="5"/>
      <c r="BM62" s="5"/>
      <c r="BN62" s="5"/>
      <c r="BO62" s="5"/>
      <c r="BP62" s="5"/>
      <c r="BQ62" s="95" t="str" cm="1">
        <f t="array" ref="BQ62">_xlfn.IFS(MONTH(BR62)&lt;4,1,MONTH(BR62)&lt;7,2,MONTH(BR62)&lt;10,3,MONTH(BR62)&gt;9,4)&amp;"Q"&amp;RIGHT(YEAR(BR62),2)</f>
        <v>1Q19</v>
      </c>
      <c r="BR62" s="81">
        <f t="shared" si="15"/>
        <v>43555</v>
      </c>
      <c r="BS62" s="118">
        <f t="shared" si="16"/>
        <v>43555</v>
      </c>
      <c r="BT62" s="85"/>
      <c r="BU62" s="85"/>
      <c r="BV62" s="85">
        <v>4.56</v>
      </c>
      <c r="BW62" s="85"/>
      <c r="BX62" s="85"/>
      <c r="CA62" s="35">
        <f t="shared" si="41"/>
        <v>43555</v>
      </c>
      <c r="CB62" s="35"/>
      <c r="CC62" s="35"/>
      <c r="CD62" s="26">
        <v>38.5</v>
      </c>
      <c r="CE62" s="26">
        <v>167.67</v>
      </c>
      <c r="CF62" s="26">
        <v>340</v>
      </c>
      <c r="CG62" s="26"/>
      <c r="CH62" s="26"/>
      <c r="CI62" s="26"/>
      <c r="CJ62" s="26"/>
      <c r="CK62" s="26"/>
      <c r="CL62" s="26"/>
      <c r="CM62" s="26"/>
      <c r="CN62" s="26"/>
      <c r="CO62" s="26"/>
      <c r="CP62" s="26"/>
      <c r="CQ62" s="26">
        <v>2.52</v>
      </c>
      <c r="CR62" s="26">
        <v>2.1</v>
      </c>
      <c r="CS62" s="27"/>
      <c r="CT62" s="113"/>
      <c r="CU62" s="113"/>
      <c r="CV62" s="113"/>
      <c r="CW62" s="27"/>
      <c r="CX62" s="117"/>
      <c r="CY62" s="113"/>
      <c r="CZ62" s="108">
        <f t="shared" si="42"/>
        <v>-0.104651162790698</v>
      </c>
      <c r="DA62" s="108">
        <f t="shared" si="39"/>
        <v>-0.199971371314057</v>
      </c>
      <c r="DB62" s="108">
        <f t="shared" si="39"/>
        <v>-0.19047619047619</v>
      </c>
      <c r="DC62" s="108"/>
      <c r="DD62" s="108"/>
      <c r="DE62" s="108"/>
      <c r="DF62" s="108"/>
      <c r="DG62" s="108"/>
      <c r="DH62" s="108"/>
      <c r="DI62" s="108"/>
      <c r="DJ62" s="108"/>
      <c r="DK62" s="108"/>
      <c r="DL62" s="108"/>
      <c r="DM62" s="108">
        <f t="shared" si="62"/>
        <v>-0.1</v>
      </c>
      <c r="DN62" s="108">
        <f t="shared" si="62"/>
        <v>-0.106382978723404</v>
      </c>
      <c r="DQ62" s="114">
        <f t="shared" si="37"/>
        <v>5.2396875</v>
      </c>
      <c r="DR62" s="114">
        <f t="shared" si="38"/>
        <v>5.3125</v>
      </c>
      <c r="EA62" s="35" t="str">
        <f t="shared" si="40"/>
        <v>4Q25</v>
      </c>
      <c r="EB62" s="115">
        <v>63.9430680021086</v>
      </c>
      <c r="EC62" s="102"/>
      <c r="ED62" s="115">
        <v>47.9704797047971</v>
      </c>
      <c r="EE62" s="115">
        <v>31.4666666666667</v>
      </c>
      <c r="EF62" s="115">
        <v>15.7333333333333</v>
      </c>
      <c r="EG62" s="115">
        <v>20.9011943539631</v>
      </c>
      <c r="EH62" s="115">
        <v>40.8667032364235</v>
      </c>
      <c r="EI62" s="27"/>
      <c r="EJ62" s="112">
        <f t="shared" si="43"/>
        <v>0.453157787338242</v>
      </c>
      <c r="EK62" s="116"/>
      <c r="EL62" s="112">
        <f t="shared" si="63"/>
        <v>0.453557116216323</v>
      </c>
      <c r="EM62" s="112">
        <f t="shared" si="63"/>
        <v>0.506915801614763</v>
      </c>
      <c r="EN62" s="112">
        <f t="shared" si="63"/>
        <v>0.512148148148148</v>
      </c>
      <c r="EO62" s="112">
        <f t="shared" si="63"/>
        <v>0.425375264448101</v>
      </c>
      <c r="EP62" s="112">
        <f t="shared" si="63"/>
        <v>0.458593503810646</v>
      </c>
      <c r="FK62" s="104"/>
      <c r="FV62" s="104">
        <f t="shared" si="50"/>
        <v>2010</v>
      </c>
      <c r="FW62" s="104">
        <f t="shared" si="51"/>
        <v>47</v>
      </c>
      <c r="FX62" s="35">
        <v>40497</v>
      </c>
      <c r="FY62" s="26">
        <v>2.54</v>
      </c>
      <c r="FZ62" s="94">
        <f t="shared" si="52"/>
        <v>10.16</v>
      </c>
      <c r="GA62" s="104">
        <f t="shared" si="53"/>
        <v>2012</v>
      </c>
      <c r="GB62" s="104">
        <f t="shared" si="54"/>
        <v>5</v>
      </c>
      <c r="GC62" s="35">
        <v>40938</v>
      </c>
      <c r="GD62" s="26">
        <v>0.88</v>
      </c>
      <c r="GE62" s="94">
        <f t="shared" si="55"/>
        <v>3.52</v>
      </c>
      <c r="GF62" s="104">
        <f t="shared" si="56"/>
        <v>2013</v>
      </c>
      <c r="GG62" s="104">
        <f t="shared" si="57"/>
        <v>9</v>
      </c>
      <c r="GH62" s="35">
        <v>41330</v>
      </c>
      <c r="GI62" s="26">
        <v>2.5</v>
      </c>
      <c r="GJ62" s="94">
        <f t="shared" si="58"/>
        <v>5</v>
      </c>
      <c r="GK62" s="104">
        <f t="shared" si="59"/>
        <v>2014</v>
      </c>
      <c r="GL62" s="104">
        <f t="shared" si="60"/>
        <v>20</v>
      </c>
      <c r="GM62" s="35">
        <v>41774</v>
      </c>
      <c r="GN62" s="26">
        <v>3.5</v>
      </c>
      <c r="GO62" s="94">
        <f t="shared" si="61"/>
        <v>7</v>
      </c>
      <c r="GP62" s="59"/>
    </row>
    <row r="63" ht="16.8" spans="3:200">
      <c r="C63" s="80" t="str" cm="1">
        <f t="array" ref="C63">_xlfn.IFS(MONTH(D63)&lt;4,1,MONTH(D63)&lt;7,2,MONTH(D63)&lt;10,3,MONTH(D63)&gt;9,4)&amp;"Q"&amp;RIGHT(YEAR(D63),2)</f>
        <v>2Q16</v>
      </c>
      <c r="D63" s="81">
        <f t="shared" si="11"/>
        <v>42490</v>
      </c>
      <c r="E63" s="82">
        <f t="shared" si="3"/>
        <v>42474</v>
      </c>
      <c r="F63" s="83">
        <f t="shared" si="4"/>
        <v>0.58575</v>
      </c>
      <c r="G63" s="83">
        <f t="shared" si="4"/>
        <v>0.3864</v>
      </c>
      <c r="H63" s="81"/>
      <c r="I63" s="84">
        <v>42474</v>
      </c>
      <c r="J63" s="85">
        <v>5</v>
      </c>
      <c r="K63" s="85">
        <v>4.65</v>
      </c>
      <c r="L63" s="86">
        <v>4.686</v>
      </c>
      <c r="M63" s="87">
        <v>3.0912</v>
      </c>
      <c r="N63" s="88"/>
      <c r="O63" s="88"/>
      <c r="P63" s="88"/>
      <c r="Q63" s="89">
        <f t="shared" si="5"/>
        <v>0.515916149068323</v>
      </c>
      <c r="R63" s="5"/>
      <c r="S63" s="5"/>
      <c r="T63" s="5"/>
      <c r="U63" s="5"/>
      <c r="V63" s="5"/>
      <c r="W63" s="5"/>
      <c r="X63" s="5"/>
      <c r="Y63" s="5"/>
      <c r="Z63" s="5"/>
      <c r="AA63" s="5"/>
      <c r="AB63" s="5"/>
      <c r="AC63" s="5"/>
      <c r="AD63" s="5"/>
      <c r="AE63" s="5"/>
      <c r="AF63" s="5"/>
      <c r="AG63" s="5"/>
      <c r="AH63" s="105">
        <f t="shared" si="35"/>
        <v>42712</v>
      </c>
      <c r="AI63" s="91">
        <f t="shared" si="12"/>
        <v>5.4</v>
      </c>
      <c r="AJ63" s="36">
        <f t="shared" si="13"/>
        <v>0.0384615384615385</v>
      </c>
      <c r="AK63" s="36">
        <f t="shared" si="32"/>
        <v>0.0325047801147227</v>
      </c>
      <c r="AL63" s="105"/>
      <c r="AM63" s="91"/>
      <c r="AN63" s="36"/>
      <c r="AO63" s="36"/>
      <c r="AP63" s="36"/>
      <c r="AQ63" s="92" t="str" cm="1">
        <f t="array" ref="AQ63">_xlfn.IFS(MONTH(AR63)&lt;4,1,MONTH(AR63)&lt;7,2,MONTH(AR63)&lt;10,3,MONTH(AR63)&gt;9,4)&amp;"Q"&amp;RIGHT(YEAR(AR63),2)</f>
        <v>3Q19</v>
      </c>
      <c r="AR63" s="92">
        <f t="shared" si="14"/>
        <v>43738</v>
      </c>
      <c r="AS63" s="109">
        <v>43731</v>
      </c>
      <c r="AT63" s="110"/>
      <c r="AU63" s="94" cm="1">
        <f t="array" ref="AU63">INDEX($CE$29:$CE$1449,MATCH($AR63,$CA$29:$CA$1449,0),)</f>
        <v>110.38</v>
      </c>
      <c r="AV63" s="110"/>
      <c r="AW63" s="94" cm="1">
        <f t="array" ref="AW63">INDEX($CF$29:$CF$1449,MATCH($AR63,$CA$29:$CA$1449,0),)</f>
        <v>220</v>
      </c>
      <c r="AX63" s="94"/>
      <c r="AY63" s="94"/>
      <c r="AZ63" s="94"/>
      <c r="BA63" s="94"/>
      <c r="BB63" s="5"/>
      <c r="BC63" s="5"/>
      <c r="BD63" s="5"/>
      <c r="BE63" s="5"/>
      <c r="BF63" s="5"/>
      <c r="BG63" s="5"/>
      <c r="BH63" s="5"/>
      <c r="BI63" s="5"/>
      <c r="BJ63" s="5"/>
      <c r="BK63" s="5"/>
      <c r="BL63" s="5"/>
      <c r="BM63" s="5"/>
      <c r="BN63" s="5"/>
      <c r="BO63" s="5"/>
      <c r="BP63" s="5"/>
      <c r="BQ63" s="95" t="str" cm="1">
        <f t="array" ref="BQ63">_xlfn.IFS(MONTH(BR63)&lt;4,1,MONTH(BR63)&lt;7,2,MONTH(BR63)&lt;10,3,MONTH(BR63)&gt;9,4)&amp;"Q"&amp;RIGHT(YEAR(BR63),2)</f>
        <v>2Q19</v>
      </c>
      <c r="BR63" s="81">
        <f t="shared" si="15"/>
        <v>43585</v>
      </c>
      <c r="BS63" s="118">
        <f t="shared" si="16"/>
        <v>43585</v>
      </c>
      <c r="BT63" s="85"/>
      <c r="BU63" s="85"/>
      <c r="BV63" s="85">
        <v>4</v>
      </c>
      <c r="BW63" s="85"/>
      <c r="BX63" s="85"/>
      <c r="CA63" s="35">
        <f t="shared" si="41"/>
        <v>43585</v>
      </c>
      <c r="CB63" s="35"/>
      <c r="CC63" s="35"/>
      <c r="CD63" s="26">
        <v>34</v>
      </c>
      <c r="CE63" s="26">
        <v>152.58</v>
      </c>
      <c r="CF63" s="26">
        <v>320</v>
      </c>
      <c r="CG63" s="26"/>
      <c r="CH63" s="26"/>
      <c r="CI63" s="26"/>
      <c r="CJ63" s="26"/>
      <c r="CK63" s="26"/>
      <c r="CL63" s="26"/>
      <c r="CM63" s="26"/>
      <c r="CN63" s="26"/>
      <c r="CO63" s="26"/>
      <c r="CP63" s="26"/>
      <c r="CQ63" s="26">
        <v>2.3</v>
      </c>
      <c r="CR63" s="26">
        <v>1.77</v>
      </c>
      <c r="CS63" s="27"/>
      <c r="CT63" s="113"/>
      <c r="CU63" s="113"/>
      <c r="CV63" s="113"/>
      <c r="CW63" s="27"/>
      <c r="CX63" s="117"/>
      <c r="CY63" s="113"/>
      <c r="CZ63" s="108">
        <f t="shared" si="42"/>
        <v>-0.116883116883117</v>
      </c>
      <c r="DA63" s="108">
        <f t="shared" si="39"/>
        <v>-0.0899982107711574</v>
      </c>
      <c r="DB63" s="108">
        <f t="shared" si="39"/>
        <v>-0.0588235294117647</v>
      </c>
      <c r="DC63" s="108"/>
      <c r="DD63" s="108"/>
      <c r="DE63" s="108"/>
      <c r="DF63" s="108"/>
      <c r="DG63" s="108"/>
      <c r="DH63" s="108"/>
      <c r="DI63" s="108"/>
      <c r="DJ63" s="108"/>
      <c r="DK63" s="108"/>
      <c r="DL63" s="108"/>
      <c r="DM63" s="108">
        <f t="shared" si="62"/>
        <v>-0.0873015873015873</v>
      </c>
      <c r="DN63" s="108">
        <f t="shared" si="62"/>
        <v>-0.157142857142857</v>
      </c>
      <c r="DQ63" s="114">
        <f t="shared" si="37"/>
        <v>4.768125</v>
      </c>
      <c r="DR63" s="114">
        <f t="shared" si="38"/>
        <v>5</v>
      </c>
      <c r="EA63" s="35" t="str">
        <f t="shared" si="40"/>
        <v>1Q26</v>
      </c>
      <c r="EB63" s="115">
        <v>101.218161683278</v>
      </c>
      <c r="EC63" s="102"/>
      <c r="ED63" s="115">
        <v>76.0821309655938</v>
      </c>
      <c r="EE63" s="115">
        <v>49.44670937682</v>
      </c>
      <c r="EF63" s="115">
        <v>24.6798603026775</v>
      </c>
      <c r="EG63" s="115">
        <v>34.8319709355132</v>
      </c>
      <c r="EH63" s="115">
        <v>65.6531531531532</v>
      </c>
      <c r="EI63" s="27"/>
      <c r="EJ63" s="112">
        <f t="shared" si="43"/>
        <v>0.582941902004768</v>
      </c>
      <c r="EK63" s="116"/>
      <c r="EL63" s="112">
        <f t="shared" si="63"/>
        <v>0.586019807051993</v>
      </c>
      <c r="EM63" s="112">
        <f t="shared" si="63"/>
        <v>0.571399662398942</v>
      </c>
      <c r="EN63" s="112">
        <f t="shared" si="63"/>
        <v>0.568635188729504</v>
      </c>
      <c r="EO63" s="112">
        <f t="shared" si="63"/>
        <v>0.666506245797799</v>
      </c>
      <c r="EP63" s="112">
        <f t="shared" si="63"/>
        <v>0.606519438901989</v>
      </c>
      <c r="FK63" s="104"/>
      <c r="FV63" s="104">
        <f t="shared" si="50"/>
        <v>2010</v>
      </c>
      <c r="FW63" s="104">
        <f t="shared" si="51"/>
        <v>47</v>
      </c>
      <c r="FX63" s="35">
        <v>40498</v>
      </c>
      <c r="FY63" s="26">
        <v>2.5</v>
      </c>
      <c r="FZ63" s="94">
        <f t="shared" si="52"/>
        <v>10</v>
      </c>
      <c r="GA63" s="104">
        <f t="shared" si="53"/>
        <v>2012</v>
      </c>
      <c r="GB63" s="104">
        <f t="shared" si="54"/>
        <v>7</v>
      </c>
      <c r="GC63" s="35">
        <v>40953</v>
      </c>
      <c r="GD63" s="26">
        <v>0.94</v>
      </c>
      <c r="GE63" s="94">
        <f t="shared" si="55"/>
        <v>3.76</v>
      </c>
      <c r="GF63" s="104">
        <f t="shared" si="56"/>
        <v>2013</v>
      </c>
      <c r="GG63" s="104">
        <f t="shared" si="57"/>
        <v>9</v>
      </c>
      <c r="GH63" s="35">
        <v>41331</v>
      </c>
      <c r="GI63" s="26">
        <v>2.51</v>
      </c>
      <c r="GJ63" s="94">
        <f t="shared" si="58"/>
        <v>5.02</v>
      </c>
      <c r="GK63" s="104">
        <f t="shared" si="59"/>
        <v>2014</v>
      </c>
      <c r="GL63" s="104">
        <f t="shared" si="60"/>
        <v>22</v>
      </c>
      <c r="GM63" s="35">
        <v>41789</v>
      </c>
      <c r="GN63" s="26">
        <v>3.5</v>
      </c>
      <c r="GO63" s="94">
        <f t="shared" si="61"/>
        <v>7</v>
      </c>
      <c r="GP63" s="59"/>
    </row>
    <row r="64" ht="16.8" spans="3:200">
      <c r="C64" s="80" t="str" cm="1">
        <f t="array" ref="C64">_xlfn.IFS(MONTH(D64)&lt;4,1,MONTH(D64)&lt;7,2,MONTH(D64)&lt;10,3,MONTH(D64)&gt;9,4)&amp;"Q"&amp;RIGHT(YEAR(D64),2)</f>
        <v>2Q16</v>
      </c>
      <c r="D64" s="81">
        <f t="shared" si="11"/>
        <v>42490</v>
      </c>
      <c r="E64" s="82">
        <f t="shared" si="3"/>
        <v>42475</v>
      </c>
      <c r="F64" s="83">
        <f t="shared" si="4"/>
        <v>0.58575</v>
      </c>
      <c r="G64" s="83">
        <f t="shared" si="4"/>
        <v>0.3864</v>
      </c>
      <c r="H64" s="81"/>
      <c r="I64" s="84">
        <v>42475</v>
      </c>
      <c r="J64" s="85">
        <v>5</v>
      </c>
      <c r="K64" s="85">
        <v>4.65</v>
      </c>
      <c r="L64" s="86">
        <v>4.686</v>
      </c>
      <c r="M64" s="87">
        <v>3.0912</v>
      </c>
      <c r="N64" s="88"/>
      <c r="O64" s="88"/>
      <c r="P64" s="88"/>
      <c r="Q64" s="89">
        <f t="shared" si="5"/>
        <v>0.515916149068323</v>
      </c>
      <c r="R64" s="5"/>
      <c r="S64" s="5"/>
      <c r="T64" s="5"/>
      <c r="U64" s="5"/>
      <c r="V64" s="5"/>
      <c r="W64" s="5"/>
      <c r="X64" s="5"/>
      <c r="Y64" s="5"/>
      <c r="Z64" s="5"/>
      <c r="AA64" s="5"/>
      <c r="AB64" s="5"/>
      <c r="AC64" s="5"/>
      <c r="AD64" s="5"/>
      <c r="AE64" s="5"/>
      <c r="AF64" s="5"/>
      <c r="AG64" s="5"/>
      <c r="AH64" s="105">
        <f t="shared" si="35"/>
        <v>42720</v>
      </c>
      <c r="AI64" s="91">
        <f t="shared" si="12"/>
        <v>5.555</v>
      </c>
      <c r="AJ64" s="36">
        <f t="shared" si="13"/>
        <v>0.0287037037037037</v>
      </c>
      <c r="AK64" s="36">
        <f t="shared" si="32"/>
        <v>0.0682692307692307</v>
      </c>
      <c r="AL64" s="105"/>
      <c r="AM64" s="91"/>
      <c r="AN64" s="36"/>
      <c r="AO64" s="36"/>
      <c r="AP64" s="36"/>
      <c r="AQ64" s="92" t="str" cm="1">
        <f t="array" ref="AQ64">_xlfn.IFS(MONTH(AR64)&lt;4,1,MONTH(AR64)&lt;7,2,MONTH(AR64)&lt;10,3,MONTH(AR64)&gt;9,4)&amp;"Q"&amp;RIGHT(YEAR(AR64),2)</f>
        <v>3Q19</v>
      </c>
      <c r="AR64" s="92">
        <f t="shared" si="14"/>
        <v>43738</v>
      </c>
      <c r="AS64" s="109">
        <v>43738</v>
      </c>
      <c r="AT64" s="110"/>
      <c r="AU64" s="94" cm="1">
        <f t="array" ref="AU64">INDEX($CE$29:$CE$1449,MATCH($AR64,$CA$29:$CA$1449,0),)</f>
        <v>110.38</v>
      </c>
      <c r="AV64" s="110"/>
      <c r="AW64" s="94" cm="1">
        <f t="array" ref="AW64">INDEX($CF$29:$CF$1449,MATCH($AR64,$CA$29:$CA$1449,0),)</f>
        <v>220</v>
      </c>
      <c r="AX64" s="94"/>
      <c r="AY64" s="94"/>
      <c r="AZ64" s="94"/>
      <c r="BA64" s="94"/>
      <c r="BB64" s="5"/>
      <c r="BC64" s="5"/>
      <c r="BD64" s="5"/>
      <c r="BE64" s="5"/>
      <c r="BF64" s="5"/>
      <c r="BG64" s="5"/>
      <c r="BH64" s="5"/>
      <c r="BI64" s="5"/>
      <c r="BJ64" s="5"/>
      <c r="BK64" s="5"/>
      <c r="BL64" s="5"/>
      <c r="BM64" s="5"/>
      <c r="BN64" s="5"/>
      <c r="BO64" s="5"/>
      <c r="BP64" s="5"/>
      <c r="BQ64" s="95" t="str" cm="1">
        <f t="array" ref="BQ64">_xlfn.IFS(MONTH(BR64)&lt;4,1,MONTH(BR64)&lt;7,2,MONTH(BR64)&lt;10,3,MONTH(BR64)&gt;9,4)&amp;"Q"&amp;RIGHT(YEAR(BR64),2)</f>
        <v>2Q19</v>
      </c>
      <c r="BR64" s="81">
        <f t="shared" si="15"/>
        <v>43616</v>
      </c>
      <c r="BS64" s="118">
        <f t="shared" si="16"/>
        <v>43616</v>
      </c>
      <c r="BT64" s="85"/>
      <c r="BU64" s="85"/>
      <c r="BV64" s="85">
        <v>3.75</v>
      </c>
      <c r="BW64" s="85"/>
      <c r="BX64" s="85"/>
      <c r="CA64" s="35">
        <f t="shared" si="41"/>
        <v>43616</v>
      </c>
      <c r="CB64" s="35"/>
      <c r="CC64" s="35"/>
      <c r="CD64" s="26">
        <v>32</v>
      </c>
      <c r="CE64" s="26">
        <v>137.32</v>
      </c>
      <c r="CF64" s="26">
        <v>280</v>
      </c>
      <c r="CG64" s="26"/>
      <c r="CH64" s="26"/>
      <c r="CI64" s="26"/>
      <c r="CJ64" s="26"/>
      <c r="CK64" s="26"/>
      <c r="CL64" s="26"/>
      <c r="CM64" s="26"/>
      <c r="CN64" s="26"/>
      <c r="CO64" s="26"/>
      <c r="CP64" s="26"/>
      <c r="CQ64" s="26">
        <v>2.11</v>
      </c>
      <c r="CR64" s="26">
        <v>1.66</v>
      </c>
      <c r="CS64" s="27"/>
      <c r="CT64" s="113"/>
      <c r="CU64" s="113"/>
      <c r="CV64" s="113"/>
      <c r="CW64" s="27"/>
      <c r="CX64" s="117"/>
      <c r="CY64" s="113"/>
      <c r="CZ64" s="108">
        <f t="shared" si="42"/>
        <v>-0.0588235294117647</v>
      </c>
      <c r="DA64" s="108">
        <f t="shared" si="39"/>
        <v>-0.100013107877835</v>
      </c>
      <c r="DB64" s="108">
        <f t="shared" si="39"/>
        <v>-0.125</v>
      </c>
      <c r="DC64" s="108"/>
      <c r="DD64" s="108"/>
      <c r="DE64" s="108"/>
      <c r="DF64" s="108"/>
      <c r="DG64" s="108"/>
      <c r="DH64" s="108"/>
      <c r="DI64" s="108"/>
      <c r="DJ64" s="108"/>
      <c r="DK64" s="108"/>
      <c r="DL64" s="108"/>
      <c r="DM64" s="108">
        <f t="shared" si="62"/>
        <v>-0.0826086956521739</v>
      </c>
      <c r="DN64" s="108">
        <f t="shared" si="62"/>
        <v>-0.0621468926553673</v>
      </c>
      <c r="DQ64" s="114">
        <f t="shared" si="37"/>
        <v>4.29125</v>
      </c>
      <c r="DR64" s="114">
        <f t="shared" si="38"/>
        <v>4.375</v>
      </c>
      <c r="EA64" s="35" t="str">
        <f t="shared" si="40"/>
        <v>2Q26</v>
      </c>
      <c r="EB64" s="102">
        <v>182.8</v>
      </c>
      <c r="EC64" s="102"/>
      <c r="ED64" s="102">
        <v>137.1</v>
      </c>
      <c r="EE64" s="102">
        <v>84.9</v>
      </c>
      <c r="EF64" s="102">
        <v>42.4</v>
      </c>
      <c r="EG64" s="102">
        <v>76.7</v>
      </c>
      <c r="EH64" s="102">
        <v>116.6</v>
      </c>
      <c r="EI64" s="27"/>
      <c r="EJ64" s="116">
        <v>0.806</v>
      </c>
      <c r="EK64" s="116"/>
      <c r="EL64" s="116">
        <v>0.802</v>
      </c>
      <c r="EM64" s="116">
        <v>0.717</v>
      </c>
      <c r="EN64" s="116">
        <v>0.718</v>
      </c>
      <c r="EO64" s="116">
        <v>1.202</v>
      </c>
      <c r="EP64" s="116">
        <v>0.776</v>
      </c>
      <c r="FK64" s="104"/>
      <c r="FV64" s="104">
        <f t="shared" si="50"/>
        <v>2010</v>
      </c>
      <c r="FW64" s="104">
        <f t="shared" si="51"/>
        <v>47</v>
      </c>
      <c r="FX64" s="35">
        <v>40499</v>
      </c>
      <c r="FY64" s="26">
        <v>2.5</v>
      </c>
      <c r="FZ64" s="94">
        <f t="shared" si="52"/>
        <v>10</v>
      </c>
      <c r="GA64" s="104">
        <f t="shared" si="53"/>
        <v>2012</v>
      </c>
      <c r="GB64" s="104">
        <f t="shared" si="54"/>
        <v>8</v>
      </c>
      <c r="GC64" s="35">
        <v>40962</v>
      </c>
      <c r="GD64" s="26">
        <v>0.94</v>
      </c>
      <c r="GE64" s="94">
        <f t="shared" si="55"/>
        <v>3.76</v>
      </c>
      <c r="GF64" s="104">
        <f t="shared" si="56"/>
        <v>2013</v>
      </c>
      <c r="GG64" s="104">
        <f t="shared" si="57"/>
        <v>9</v>
      </c>
      <c r="GH64" s="35">
        <v>41332</v>
      </c>
      <c r="GI64" s="26">
        <v>2.52</v>
      </c>
      <c r="GJ64" s="94">
        <f t="shared" si="58"/>
        <v>5.04</v>
      </c>
      <c r="GK64" s="104">
        <f t="shared" si="59"/>
        <v>2014</v>
      </c>
      <c r="GL64" s="104">
        <f t="shared" si="60"/>
        <v>24</v>
      </c>
      <c r="GM64" s="35">
        <v>41803</v>
      </c>
      <c r="GN64" s="26">
        <v>3.5</v>
      </c>
      <c r="GO64" s="94">
        <f t="shared" si="61"/>
        <v>7</v>
      </c>
      <c r="GP64" s="59"/>
    </row>
    <row r="65" ht="16.8" spans="3:198">
      <c r="C65" s="80" t="str" cm="1">
        <f t="array" ref="C65">_xlfn.IFS(MONTH(D65)&lt;4,1,MONTH(D65)&lt;7,2,MONTH(D65)&lt;10,3,MONTH(D65)&gt;9,4)&amp;"Q"&amp;RIGHT(YEAR(D65),2)</f>
        <v>2Q16</v>
      </c>
      <c r="D65" s="81">
        <f t="shared" si="11"/>
        <v>42490</v>
      </c>
      <c r="E65" s="82">
        <f t="shared" si="3"/>
        <v>42478</v>
      </c>
      <c r="F65" s="83">
        <f t="shared" si="4"/>
        <v>0.58575</v>
      </c>
      <c r="G65" s="83">
        <f t="shared" si="4"/>
        <v>0.3864</v>
      </c>
      <c r="H65" s="81"/>
      <c r="I65" s="84">
        <v>42478</v>
      </c>
      <c r="J65" s="85">
        <v>5</v>
      </c>
      <c r="K65" s="85">
        <v>4.65</v>
      </c>
      <c r="L65" s="86">
        <v>4.686</v>
      </c>
      <c r="M65" s="87">
        <v>3.0912</v>
      </c>
      <c r="N65" s="88"/>
      <c r="O65" s="88"/>
      <c r="P65" s="88"/>
      <c r="Q65" s="89">
        <f t="shared" si="5"/>
        <v>0.515916149068323</v>
      </c>
      <c r="R65" s="5"/>
      <c r="S65" s="5"/>
      <c r="T65" s="5"/>
      <c r="U65" s="5"/>
      <c r="V65" s="5"/>
      <c r="W65" s="5"/>
      <c r="X65" s="5"/>
      <c r="Y65" s="5"/>
      <c r="Z65" s="5"/>
      <c r="AA65" s="5"/>
      <c r="AB65" s="5"/>
      <c r="AC65" s="5"/>
      <c r="AD65" s="5"/>
      <c r="AE65" s="5"/>
      <c r="AF65" s="5"/>
      <c r="AG65" s="5"/>
      <c r="AH65" s="105">
        <f t="shared" si="35"/>
        <v>42730</v>
      </c>
      <c r="AI65" s="91">
        <f t="shared" si="12"/>
        <v>5.675</v>
      </c>
      <c r="AJ65" s="36">
        <f t="shared" si="13"/>
        <v>0.0216021602160217</v>
      </c>
      <c r="AK65" s="36">
        <f t="shared" si="32"/>
        <v>0.0509259259259258</v>
      </c>
      <c r="AL65" s="105"/>
      <c r="AM65" s="91"/>
      <c r="AN65" s="36"/>
      <c r="AO65" s="36"/>
      <c r="AP65" s="36"/>
      <c r="AQ65" s="92" t="str" cm="1">
        <f t="array" ref="AQ65">_xlfn.IFS(MONTH(AR65)&lt;4,1,MONTH(AR65)&lt;7,2,MONTH(AR65)&lt;10,3,MONTH(AR65)&gt;9,4)&amp;"Q"&amp;RIGHT(YEAR(AR65),2)</f>
        <v>4Q19</v>
      </c>
      <c r="AR65" s="92">
        <f t="shared" si="14"/>
        <v>43769</v>
      </c>
      <c r="AS65" s="109">
        <v>43745</v>
      </c>
      <c r="AT65" s="110"/>
      <c r="AU65" s="94" cm="1">
        <f t="array" ref="AU65">INDEX($CE$29:$CE$1449,MATCH($AR65,$CA$29:$CA$1449,0),)</f>
        <v>108.18</v>
      </c>
      <c r="AV65" s="110"/>
      <c r="AW65" s="94" cm="1">
        <f t="array" ref="AW65">INDEX($CF$29:$CF$1449,MATCH($AR65,$CA$29:$CA$1449,0),)</f>
        <v>215</v>
      </c>
      <c r="AX65" s="94"/>
      <c r="AY65" s="94"/>
      <c r="AZ65" s="94"/>
      <c r="BA65" s="94"/>
      <c r="BB65" s="5"/>
      <c r="BC65" s="5"/>
      <c r="BD65" s="5"/>
      <c r="BE65" s="5"/>
      <c r="BF65" s="5"/>
      <c r="BG65" s="5"/>
      <c r="BH65" s="5"/>
      <c r="BI65" s="5"/>
      <c r="BJ65" s="5"/>
      <c r="BK65" s="5"/>
      <c r="BL65" s="5"/>
      <c r="BM65" s="5"/>
      <c r="BN65" s="5"/>
      <c r="BO65" s="5"/>
      <c r="BP65" s="5"/>
      <c r="BQ65" s="95" t="str" cm="1">
        <f t="array" ref="BQ65">_xlfn.IFS(MONTH(BR65)&lt;4,1,MONTH(BR65)&lt;7,2,MONTH(BR65)&lt;10,3,MONTH(BR65)&gt;9,4)&amp;"Q"&amp;RIGHT(YEAR(BR65),2)</f>
        <v>2Q19</v>
      </c>
      <c r="BR65" s="81">
        <f t="shared" si="15"/>
        <v>43646</v>
      </c>
      <c r="BS65" s="118">
        <f t="shared" si="16"/>
        <v>43646</v>
      </c>
      <c r="BT65" s="85"/>
      <c r="BU65" s="85"/>
      <c r="BV65" s="85">
        <v>3.31</v>
      </c>
      <c r="BW65" s="85"/>
      <c r="BX65" s="85"/>
      <c r="CA65" s="35">
        <f t="shared" si="41"/>
        <v>43646</v>
      </c>
      <c r="CB65" s="35"/>
      <c r="CC65" s="35"/>
      <c r="CD65" s="26">
        <v>28.5</v>
      </c>
      <c r="CE65" s="26">
        <v>123.59</v>
      </c>
      <c r="CF65" s="26">
        <v>265</v>
      </c>
      <c r="CG65" s="26"/>
      <c r="CH65" s="26"/>
      <c r="CI65" s="26"/>
      <c r="CJ65" s="26"/>
      <c r="CK65" s="26"/>
      <c r="CL65" s="26"/>
      <c r="CM65" s="26"/>
      <c r="CN65" s="26"/>
      <c r="CO65" s="26"/>
      <c r="CP65" s="26"/>
      <c r="CQ65" s="26">
        <v>1.87</v>
      </c>
      <c r="CR65" s="26">
        <v>1.57</v>
      </c>
      <c r="CS65" s="27"/>
      <c r="CT65" s="113"/>
      <c r="CU65" s="113"/>
      <c r="CV65" s="113"/>
      <c r="CW65" s="27"/>
      <c r="CX65" s="117"/>
      <c r="CY65" s="113"/>
      <c r="CZ65" s="108">
        <f t="shared" si="42"/>
        <v>-0.109375</v>
      </c>
      <c r="DA65" s="108">
        <f t="shared" si="39"/>
        <v>-0.0999854354791727</v>
      </c>
      <c r="DB65" s="108">
        <f t="shared" si="39"/>
        <v>-0.0535714285714286</v>
      </c>
      <c r="DC65" s="108"/>
      <c r="DD65" s="108"/>
      <c r="DE65" s="108"/>
      <c r="DF65" s="108"/>
      <c r="DG65" s="108"/>
      <c r="DH65" s="108"/>
      <c r="DI65" s="108"/>
      <c r="DJ65" s="108"/>
      <c r="DK65" s="108"/>
      <c r="DL65" s="108"/>
      <c r="DM65" s="108">
        <f t="shared" si="62"/>
        <v>-0.113744075829384</v>
      </c>
      <c r="DN65" s="108">
        <f t="shared" si="62"/>
        <v>-0.0542168674698794</v>
      </c>
      <c r="DQ65" s="114">
        <f t="shared" si="37"/>
        <v>3.8621875</v>
      </c>
      <c r="DR65" s="114">
        <f t="shared" si="38"/>
        <v>4.140625</v>
      </c>
      <c r="ED65" s="3"/>
      <c r="FK65" s="104"/>
      <c r="FV65" s="104">
        <f t="shared" si="50"/>
        <v>2010</v>
      </c>
      <c r="FW65" s="104">
        <f t="shared" si="51"/>
        <v>47</v>
      </c>
      <c r="FX65" s="35">
        <v>40500</v>
      </c>
      <c r="FY65" s="26">
        <v>2.42</v>
      </c>
      <c r="FZ65" s="94">
        <f t="shared" si="52"/>
        <v>9.68</v>
      </c>
      <c r="GA65" s="104">
        <f t="shared" si="53"/>
        <v>2012</v>
      </c>
      <c r="GB65" s="104">
        <f t="shared" si="54"/>
        <v>10</v>
      </c>
      <c r="GC65" s="35">
        <v>40976</v>
      </c>
      <c r="GD65" s="26">
        <v>1</v>
      </c>
      <c r="GE65" s="94">
        <f t="shared" si="55"/>
        <v>4</v>
      </c>
      <c r="GF65" s="104">
        <f t="shared" si="56"/>
        <v>2013</v>
      </c>
      <c r="GG65" s="104">
        <f t="shared" si="57"/>
        <v>9</v>
      </c>
      <c r="GH65" s="35">
        <v>41333</v>
      </c>
      <c r="GI65" s="26">
        <v>2.53</v>
      </c>
      <c r="GJ65" s="94">
        <f t="shared" si="58"/>
        <v>5.06</v>
      </c>
      <c r="GK65" s="104">
        <f t="shared" si="59"/>
        <v>2014</v>
      </c>
      <c r="GL65" s="104">
        <f t="shared" si="60"/>
        <v>26</v>
      </c>
      <c r="GM65" s="35">
        <v>41817</v>
      </c>
      <c r="GN65" s="26">
        <v>3.5</v>
      </c>
      <c r="GO65" s="94">
        <f t="shared" si="61"/>
        <v>7</v>
      </c>
      <c r="GP65" s="59"/>
    </row>
    <row r="66" ht="16.8" spans="3:198">
      <c r="C66" s="80" t="str" cm="1">
        <f t="array" ref="C66">_xlfn.IFS(MONTH(D66)&lt;4,1,MONTH(D66)&lt;7,2,MONTH(D66)&lt;10,3,MONTH(D66)&gt;9,4)&amp;"Q"&amp;RIGHT(YEAR(D66),2)</f>
        <v>2Q16</v>
      </c>
      <c r="D66" s="81">
        <f t="shared" si="11"/>
        <v>42490</v>
      </c>
      <c r="E66" s="82">
        <f t="shared" si="3"/>
        <v>42479</v>
      </c>
      <c r="F66" s="83">
        <f t="shared" si="4"/>
        <v>0.585625</v>
      </c>
      <c r="G66" s="83">
        <f t="shared" si="4"/>
        <v>0.3864</v>
      </c>
      <c r="H66" s="81"/>
      <c r="I66" s="84">
        <v>42479</v>
      </c>
      <c r="J66" s="85">
        <v>4.98</v>
      </c>
      <c r="K66" s="85">
        <v>4.65</v>
      </c>
      <c r="L66" s="86">
        <v>4.685</v>
      </c>
      <c r="M66" s="87">
        <v>3.0912</v>
      </c>
      <c r="N66" s="88"/>
      <c r="O66" s="88"/>
      <c r="P66" s="88"/>
      <c r="Q66" s="89">
        <f t="shared" si="5"/>
        <v>0.51559265010352</v>
      </c>
      <c r="R66" s="5"/>
      <c r="S66" s="5"/>
      <c r="T66" s="5"/>
      <c r="U66" s="5"/>
      <c r="V66" s="5"/>
      <c r="W66" s="5"/>
      <c r="X66" s="5"/>
      <c r="Y66" s="5"/>
      <c r="Z66" s="5"/>
      <c r="AA66" s="5"/>
      <c r="AB66" s="5"/>
      <c r="AC66" s="5"/>
      <c r="AD66" s="5"/>
      <c r="AE66" s="5"/>
      <c r="AF66" s="5"/>
      <c r="AG66" s="5"/>
      <c r="AH66" s="105">
        <f t="shared" si="35"/>
        <v>42738</v>
      </c>
      <c r="AI66" s="91">
        <f t="shared" si="12"/>
        <v>5.728</v>
      </c>
      <c r="AJ66" s="36">
        <f t="shared" si="13"/>
        <v>0.00933920704845814</v>
      </c>
      <c r="AK66" s="36">
        <f t="shared" si="32"/>
        <v>0.0311431143114311</v>
      </c>
      <c r="AL66" s="105"/>
      <c r="AM66" s="91"/>
      <c r="AN66" s="36"/>
      <c r="AO66" s="36"/>
      <c r="AP66" s="36"/>
      <c r="AQ66" s="92" t="str" cm="1">
        <f t="array" ref="AQ66">_xlfn.IFS(MONTH(AR66)&lt;4,1,MONTH(AR66)&lt;7,2,MONTH(AR66)&lt;10,3,MONTH(AR66)&gt;9,4)&amp;"Q"&amp;RIGHT(YEAR(AR66),2)</f>
        <v>4Q19</v>
      </c>
      <c r="AR66" s="92">
        <f t="shared" si="14"/>
        <v>43769</v>
      </c>
      <c r="AS66" s="109">
        <v>43752</v>
      </c>
      <c r="AT66" s="110"/>
      <c r="AU66" s="94" cm="1">
        <f t="array" ref="AU66">INDEX($CE$29:$CE$1449,MATCH($AR66,$CA$29:$CA$1449,0),)</f>
        <v>108.18</v>
      </c>
      <c r="AV66" s="110"/>
      <c r="AW66" s="94" cm="1">
        <f t="array" ref="AW66">INDEX($CF$29:$CF$1449,MATCH($AR66,$CA$29:$CA$1449,0),)</f>
        <v>215</v>
      </c>
      <c r="AX66" s="94"/>
      <c r="AY66" s="94"/>
      <c r="AZ66" s="94"/>
      <c r="BA66" s="94"/>
      <c r="BB66" s="5"/>
      <c r="BC66" s="5"/>
      <c r="BD66" s="5"/>
      <c r="BE66" s="5"/>
      <c r="BF66" s="5"/>
      <c r="BG66" s="5"/>
      <c r="BH66" s="5"/>
      <c r="BI66" s="5"/>
      <c r="BJ66" s="5"/>
      <c r="BK66" s="5"/>
      <c r="BL66" s="5"/>
      <c r="BM66" s="5"/>
      <c r="BN66" s="5"/>
      <c r="BO66" s="5"/>
      <c r="BP66" s="5"/>
      <c r="BQ66" s="95" t="str" cm="1">
        <f t="array" ref="BQ66">_xlfn.IFS(MONTH(BR66)&lt;4,1,MONTH(BR66)&lt;7,2,MONTH(BR66)&lt;10,3,MONTH(BR66)&gt;9,4)&amp;"Q"&amp;RIGHT(YEAR(BR66),2)</f>
        <v>3Q19</v>
      </c>
      <c r="BR66" s="81">
        <f t="shared" si="15"/>
        <v>43677</v>
      </c>
      <c r="BS66" s="106">
        <f t="shared" si="16"/>
        <v>43677</v>
      </c>
      <c r="BT66" s="85"/>
      <c r="BU66" s="85"/>
      <c r="BV66" s="85">
        <v>2.94</v>
      </c>
      <c r="BW66" s="85"/>
      <c r="BX66" s="85"/>
      <c r="CA66" s="35">
        <f t="shared" si="41"/>
        <v>43677</v>
      </c>
      <c r="CB66" s="35"/>
      <c r="CC66" s="35"/>
      <c r="CD66" s="26">
        <v>25.5</v>
      </c>
      <c r="CE66" s="26">
        <v>114.94</v>
      </c>
      <c r="CF66" s="26">
        <v>240</v>
      </c>
      <c r="CG66" s="26"/>
      <c r="CH66" s="26"/>
      <c r="CI66" s="26"/>
      <c r="CJ66" s="26"/>
      <c r="CK66" s="26"/>
      <c r="CL66" s="26"/>
      <c r="CM66" s="26"/>
      <c r="CN66" s="26"/>
      <c r="CO66" s="26"/>
      <c r="CP66" s="26"/>
      <c r="CQ66" s="26">
        <v>1.8</v>
      </c>
      <c r="CR66" s="26">
        <v>1.55</v>
      </c>
      <c r="CS66" s="27"/>
      <c r="CT66" s="113"/>
      <c r="CU66" s="113"/>
      <c r="CV66" s="113"/>
      <c r="CW66" s="27"/>
      <c r="CX66" s="117"/>
      <c r="CY66" s="113"/>
      <c r="CZ66" s="108">
        <f t="shared" si="42"/>
        <v>-0.105263157894737</v>
      </c>
      <c r="DA66" s="108">
        <f t="shared" si="39"/>
        <v>-0.0699894813496238</v>
      </c>
      <c r="DB66" s="108">
        <f t="shared" si="39"/>
        <v>-0.0943396226415094</v>
      </c>
      <c r="DC66" s="108"/>
      <c r="DD66" s="108"/>
      <c r="DE66" s="108"/>
      <c r="DF66" s="108"/>
      <c r="DG66" s="108"/>
      <c r="DH66" s="108"/>
      <c r="DI66" s="108"/>
      <c r="DJ66" s="108"/>
      <c r="DK66" s="108"/>
      <c r="DL66" s="108"/>
      <c r="DM66" s="108">
        <f t="shared" si="62"/>
        <v>-0.0374331550802139</v>
      </c>
      <c r="DN66" s="108">
        <f t="shared" si="62"/>
        <v>-0.0127388535031847</v>
      </c>
      <c r="DQ66" s="114">
        <f t="shared" si="37"/>
        <v>3.591875</v>
      </c>
      <c r="DR66" s="114">
        <f t="shared" si="38"/>
        <v>3.75</v>
      </c>
      <c r="EB66" s="3"/>
      <c r="ED66" s="3"/>
      <c r="EE66" s="3"/>
      <c r="FK66" s="104"/>
      <c r="FV66" s="104">
        <f t="shared" si="50"/>
        <v>2010</v>
      </c>
      <c r="FW66" s="104">
        <f t="shared" si="51"/>
        <v>47</v>
      </c>
      <c r="FX66" s="35">
        <v>40501</v>
      </c>
      <c r="FY66" s="26">
        <v>2.4</v>
      </c>
      <c r="FZ66" s="94">
        <f t="shared" si="52"/>
        <v>9.6</v>
      </c>
      <c r="GA66" s="104">
        <f t="shared" si="53"/>
        <v>2012</v>
      </c>
      <c r="GB66" s="104">
        <f t="shared" si="54"/>
        <v>12</v>
      </c>
      <c r="GC66" s="35">
        <v>40991</v>
      </c>
      <c r="GD66" s="26">
        <v>1.03</v>
      </c>
      <c r="GE66" s="94">
        <f t="shared" si="55"/>
        <v>4.12</v>
      </c>
      <c r="GF66" s="104">
        <f t="shared" si="56"/>
        <v>2013</v>
      </c>
      <c r="GG66" s="104">
        <f t="shared" si="57"/>
        <v>9</v>
      </c>
      <c r="GH66" s="35">
        <v>41334</v>
      </c>
      <c r="GI66" s="26">
        <v>2.54</v>
      </c>
      <c r="GJ66" s="94">
        <f t="shared" si="58"/>
        <v>5.08</v>
      </c>
      <c r="GK66" s="104">
        <f t="shared" si="59"/>
        <v>2014</v>
      </c>
      <c r="GL66" s="104">
        <f t="shared" si="60"/>
        <v>29</v>
      </c>
      <c r="GM66" s="35">
        <v>41835</v>
      </c>
      <c r="GN66" s="26">
        <v>3.5</v>
      </c>
      <c r="GO66" s="94">
        <f t="shared" si="61"/>
        <v>7</v>
      </c>
      <c r="GP66" s="59"/>
    </row>
    <row r="67" ht="16.8" spans="3:198">
      <c r="C67" s="80" t="str" cm="1">
        <f t="array" ref="C67">_xlfn.IFS(MONTH(D67)&lt;4,1,MONTH(D67)&lt;7,2,MONTH(D67)&lt;10,3,MONTH(D67)&gt;9,4)&amp;"Q"&amp;RIGHT(YEAR(D67),2)</f>
        <v>2Q16</v>
      </c>
      <c r="D67" s="81">
        <f t="shared" si="11"/>
        <v>42490</v>
      </c>
      <c r="E67" s="82">
        <f t="shared" si="3"/>
        <v>42480</v>
      </c>
      <c r="F67" s="83">
        <f t="shared" si="4"/>
        <v>0.585625</v>
      </c>
      <c r="G67" s="83">
        <f t="shared" si="4"/>
        <v>0.3864</v>
      </c>
      <c r="H67" s="81"/>
      <c r="I67" s="84">
        <v>42480</v>
      </c>
      <c r="J67" s="85">
        <v>4.97</v>
      </c>
      <c r="K67" s="85">
        <v>4.65</v>
      </c>
      <c r="L67" s="86">
        <v>4.685</v>
      </c>
      <c r="M67" s="87">
        <v>3.0912</v>
      </c>
      <c r="N67" s="88"/>
      <c r="O67" s="88"/>
      <c r="P67" s="88"/>
      <c r="Q67" s="89">
        <f t="shared" si="5"/>
        <v>0.51559265010352</v>
      </c>
      <c r="R67" s="5"/>
      <c r="S67" s="5"/>
      <c r="T67" s="5"/>
      <c r="U67" s="5"/>
      <c r="V67" s="5"/>
      <c r="W67" s="5"/>
      <c r="X67" s="5"/>
      <c r="Y67" s="5"/>
      <c r="Z67" s="5"/>
      <c r="AA67" s="5"/>
      <c r="AB67" s="5"/>
      <c r="AC67" s="5"/>
      <c r="AD67" s="5"/>
      <c r="AE67" s="5"/>
      <c r="AF67" s="5"/>
      <c r="AG67" s="5"/>
      <c r="AH67" s="105">
        <f t="shared" si="35"/>
        <v>42746</v>
      </c>
      <c r="AI67" s="91">
        <f t="shared" si="12"/>
        <v>6.175</v>
      </c>
      <c r="AJ67" s="36">
        <f t="shared" si="13"/>
        <v>0.0780377094972067</v>
      </c>
      <c r="AK67" s="36">
        <f t="shared" si="32"/>
        <v>0.0881057268722467</v>
      </c>
      <c r="AL67" s="105"/>
      <c r="AM67" s="91"/>
      <c r="AN67" s="36"/>
      <c r="AO67" s="36"/>
      <c r="AP67" s="36"/>
      <c r="AQ67" s="92" t="str" cm="1">
        <f t="array" ref="AQ67">_xlfn.IFS(MONTH(AR67)&lt;4,1,MONTH(AR67)&lt;7,2,MONTH(AR67)&lt;10,3,MONTH(AR67)&gt;9,4)&amp;"Q"&amp;RIGHT(YEAR(AR67),2)</f>
        <v>4Q19</v>
      </c>
      <c r="AR67" s="92">
        <f t="shared" si="14"/>
        <v>43769</v>
      </c>
      <c r="AS67" s="109">
        <v>43759</v>
      </c>
      <c r="AT67" s="110"/>
      <c r="AU67" s="94" cm="1">
        <f t="array" ref="AU67">INDEX($CE$29:$CE$1449,MATCH($AR67,$CA$29:$CA$1449,0),)</f>
        <v>108.18</v>
      </c>
      <c r="AV67" s="110"/>
      <c r="AW67" s="94" cm="1">
        <f t="array" ref="AW67">INDEX($CF$29:$CF$1449,MATCH($AR67,$CA$29:$CA$1449,0),)</f>
        <v>215</v>
      </c>
      <c r="AX67" s="94"/>
      <c r="AY67" s="94"/>
      <c r="AZ67" s="94"/>
      <c r="BA67" s="94"/>
      <c r="BB67" s="5"/>
      <c r="BC67" s="5"/>
      <c r="BD67" s="5"/>
      <c r="BE67" s="5"/>
      <c r="BF67" s="5"/>
      <c r="BG67" s="5"/>
      <c r="BH67" s="5"/>
      <c r="BI67" s="5"/>
      <c r="BJ67" s="5"/>
      <c r="BK67" s="5"/>
      <c r="BL67" s="5"/>
      <c r="BM67" s="5"/>
      <c r="BN67" s="5"/>
      <c r="BO67" s="5"/>
      <c r="BP67" s="5"/>
      <c r="BQ67" s="95" t="str" cm="1">
        <f t="array" ref="BQ67">_xlfn.IFS(MONTH(BR67)&lt;4,1,MONTH(BR67)&lt;7,2,MONTH(BR67)&lt;10,3,MONTH(BR67)&gt;9,4)&amp;"Q"&amp;RIGHT(YEAR(BR67),2)</f>
        <v>3Q19</v>
      </c>
      <c r="BR67" s="81">
        <f t="shared" si="15"/>
        <v>43708</v>
      </c>
      <c r="BS67" s="106">
        <f t="shared" si="16"/>
        <v>43708</v>
      </c>
      <c r="BT67" s="85"/>
      <c r="BU67" s="85"/>
      <c r="BV67" s="85">
        <v>2.94</v>
      </c>
      <c r="BW67" s="85"/>
      <c r="BX67" s="85"/>
      <c r="CA67" s="35">
        <f t="shared" si="41"/>
        <v>43708</v>
      </c>
      <c r="CB67" s="35"/>
      <c r="CC67" s="35"/>
      <c r="CD67" s="26">
        <v>25.5</v>
      </c>
      <c r="CE67" s="26">
        <v>112.64</v>
      </c>
      <c r="CF67" s="26">
        <v>230</v>
      </c>
      <c r="CG67" s="26"/>
      <c r="CH67" s="26"/>
      <c r="CI67" s="26"/>
      <c r="CJ67" s="26"/>
      <c r="CK67" s="26"/>
      <c r="CL67" s="26"/>
      <c r="CM67" s="26"/>
      <c r="CN67" s="26"/>
      <c r="CO67" s="26"/>
      <c r="CP67" s="26"/>
      <c r="CQ67" s="26">
        <v>1.85</v>
      </c>
      <c r="CR67" s="26">
        <v>1.59</v>
      </c>
      <c r="CS67" s="27"/>
      <c r="CT67" s="113"/>
      <c r="CU67" s="113"/>
      <c r="CV67" s="113"/>
      <c r="CW67" s="27"/>
      <c r="CX67" s="117"/>
      <c r="CY67" s="113"/>
      <c r="CZ67" s="108">
        <f t="shared" si="42"/>
        <v>0</v>
      </c>
      <c r="DA67" s="108">
        <f t="shared" si="39"/>
        <v>-0.020010440229685</v>
      </c>
      <c r="DB67" s="108">
        <f t="shared" si="39"/>
        <v>-0.0416666666666666</v>
      </c>
      <c r="DC67" s="108"/>
      <c r="DD67" s="108"/>
      <c r="DE67" s="108"/>
      <c r="DF67" s="108"/>
      <c r="DG67" s="108"/>
      <c r="DH67" s="108"/>
      <c r="DI67" s="108"/>
      <c r="DJ67" s="108"/>
      <c r="DK67" s="108"/>
      <c r="DL67" s="108"/>
      <c r="DM67" s="108">
        <f t="shared" si="62"/>
        <v>0.0277777777777779</v>
      </c>
      <c r="DN67" s="108">
        <f t="shared" si="62"/>
        <v>0.0258064516129033</v>
      </c>
      <c r="DQ67" s="114">
        <f t="shared" si="37"/>
        <v>3.52</v>
      </c>
      <c r="DR67" s="114">
        <f t="shared" si="38"/>
        <v>3.59375</v>
      </c>
      <c r="EB67" s="3"/>
      <c r="ED67" s="3"/>
      <c r="EE67" s="3"/>
      <c r="EF67" s="3"/>
      <c r="FK67" s="104"/>
      <c r="FV67" s="104">
        <f t="shared" si="50"/>
        <v>2010</v>
      </c>
      <c r="FW67" s="104">
        <f t="shared" si="51"/>
        <v>48</v>
      </c>
      <c r="FX67" s="35">
        <v>40504</v>
      </c>
      <c r="FY67" s="26">
        <v>2.4</v>
      </c>
      <c r="FZ67" s="94">
        <f t="shared" si="52"/>
        <v>9.6</v>
      </c>
      <c r="GA67" s="104">
        <f t="shared" si="53"/>
        <v>2012</v>
      </c>
      <c r="GB67" s="104">
        <f t="shared" si="54"/>
        <v>16</v>
      </c>
      <c r="GC67" s="35">
        <v>41019</v>
      </c>
      <c r="GD67" s="26">
        <v>1.11</v>
      </c>
      <c r="GE67" s="94">
        <f t="shared" si="55"/>
        <v>4.44</v>
      </c>
      <c r="GF67" s="104">
        <f t="shared" si="56"/>
        <v>2013</v>
      </c>
      <c r="GG67" s="104">
        <f t="shared" si="57"/>
        <v>10</v>
      </c>
      <c r="GH67" s="35">
        <v>41337</v>
      </c>
      <c r="GI67" s="26">
        <v>2.7</v>
      </c>
      <c r="GJ67" s="94">
        <f t="shared" si="58"/>
        <v>5.4</v>
      </c>
      <c r="GK67" s="104">
        <f t="shared" si="59"/>
        <v>2014</v>
      </c>
      <c r="GL67" s="104">
        <f t="shared" si="60"/>
        <v>31</v>
      </c>
      <c r="GM67" s="35">
        <v>41850</v>
      </c>
      <c r="GN67" s="26">
        <v>3.69</v>
      </c>
      <c r="GO67" s="94">
        <f t="shared" si="61"/>
        <v>7.38</v>
      </c>
      <c r="GP67" s="59"/>
    </row>
    <row r="68" ht="16.8" spans="3:198">
      <c r="C68" s="80" t="str" cm="1">
        <f t="array" ref="C68">_xlfn.IFS(MONTH(D68)&lt;4,1,MONTH(D68)&lt;7,2,MONTH(D68)&lt;10,3,MONTH(D68)&gt;9,4)&amp;"Q"&amp;RIGHT(YEAR(D68),2)</f>
        <v>2Q16</v>
      </c>
      <c r="D68" s="81">
        <f t="shared" si="11"/>
        <v>42490</v>
      </c>
      <c r="E68" s="82">
        <f t="shared" si="3"/>
        <v>42481</v>
      </c>
      <c r="F68" s="83">
        <f t="shared" si="4"/>
        <v>0.5855</v>
      </c>
      <c r="G68" s="83">
        <f t="shared" si="4"/>
        <v>0.3864</v>
      </c>
      <c r="H68" s="81"/>
      <c r="I68" s="84">
        <v>42481</v>
      </c>
      <c r="J68" s="85">
        <v>4.97</v>
      </c>
      <c r="K68" s="85">
        <v>4.65</v>
      </c>
      <c r="L68" s="86">
        <v>4.684</v>
      </c>
      <c r="M68" s="87">
        <v>3.0912</v>
      </c>
      <c r="N68" s="88"/>
      <c r="O68" s="88"/>
      <c r="P68" s="88"/>
      <c r="Q68" s="89">
        <f t="shared" si="5"/>
        <v>0.515269151138716</v>
      </c>
      <c r="R68" s="5"/>
      <c r="S68" s="5"/>
      <c r="T68" s="5"/>
      <c r="U68" s="5"/>
      <c r="V68" s="5"/>
      <c r="W68" s="5"/>
      <c r="X68" s="5"/>
      <c r="Y68" s="5"/>
      <c r="Z68" s="5"/>
      <c r="AA68" s="5"/>
      <c r="AB68" s="5"/>
      <c r="AC68" s="5"/>
      <c r="AD68" s="5"/>
      <c r="AE68" s="5"/>
      <c r="AF68" s="5"/>
      <c r="AG68" s="5"/>
      <c r="AH68" s="105">
        <f t="shared" si="35"/>
        <v>42754</v>
      </c>
      <c r="AI68" s="91">
        <f t="shared" si="12"/>
        <v>6.55</v>
      </c>
      <c r="AJ68" s="36">
        <f t="shared" si="13"/>
        <v>0.0607287449392713</v>
      </c>
      <c r="AK68" s="36">
        <f t="shared" si="32"/>
        <v>0.143505586592179</v>
      </c>
      <c r="AL68" s="105"/>
      <c r="AM68" s="91"/>
      <c r="AN68" s="36"/>
      <c r="AO68" s="36"/>
      <c r="AP68" s="36"/>
      <c r="AQ68" s="92" t="str" cm="1">
        <f t="array" ref="AQ68">_xlfn.IFS(MONTH(AR68)&lt;4,1,MONTH(AR68)&lt;7,2,MONTH(AR68)&lt;10,3,MONTH(AR68)&gt;9,4)&amp;"Q"&amp;RIGHT(YEAR(AR68),2)</f>
        <v>4Q19</v>
      </c>
      <c r="AR68" s="92">
        <f t="shared" si="14"/>
        <v>43769</v>
      </c>
      <c r="AS68" s="109">
        <v>43766</v>
      </c>
      <c r="AT68" s="110"/>
      <c r="AU68" s="94" cm="1">
        <f t="array" ref="AU68">INDEX($CE$29:$CE$1449,MATCH($AR68,$CA$29:$CA$1449,0),)</f>
        <v>108.18</v>
      </c>
      <c r="AV68" s="110"/>
      <c r="AW68" s="94" cm="1">
        <f t="array" ref="AW68">INDEX($CF$29:$CF$1449,MATCH($AR68,$CA$29:$CA$1449,0),)</f>
        <v>215</v>
      </c>
      <c r="AX68" s="94"/>
      <c r="AY68" s="94"/>
      <c r="AZ68" s="94"/>
      <c r="BA68" s="94"/>
      <c r="BB68" s="5"/>
      <c r="BC68" s="5"/>
      <c r="BD68" s="5"/>
      <c r="BE68" s="5"/>
      <c r="BF68" s="5"/>
      <c r="BG68" s="5"/>
      <c r="BH68" s="5"/>
      <c r="BI68" s="5"/>
      <c r="BJ68" s="5"/>
      <c r="BK68" s="5"/>
      <c r="BL68" s="5"/>
      <c r="BM68" s="5"/>
      <c r="BN68" s="5"/>
      <c r="BO68" s="5"/>
      <c r="BP68" s="5"/>
      <c r="BQ68" s="95" t="str" cm="1">
        <f t="array" ref="BQ68">_xlfn.IFS(MONTH(BR68)&lt;4,1,MONTH(BR68)&lt;7,2,MONTH(BR68)&lt;10,3,MONTH(BR68)&gt;9,4)&amp;"Q"&amp;RIGHT(YEAR(BR68),2)</f>
        <v>3Q19</v>
      </c>
      <c r="BR68" s="81">
        <f t="shared" si="15"/>
        <v>43738</v>
      </c>
      <c r="BS68" s="106">
        <f t="shared" si="16"/>
        <v>43738</v>
      </c>
      <c r="BT68" s="85"/>
      <c r="BU68" s="85"/>
      <c r="BV68" s="85">
        <v>2.94</v>
      </c>
      <c r="BW68" s="85"/>
      <c r="BX68" s="85"/>
      <c r="CA68" s="35">
        <f t="shared" si="41"/>
        <v>43738</v>
      </c>
      <c r="CB68" s="35"/>
      <c r="CC68" s="35"/>
      <c r="CD68" s="26">
        <v>25.5</v>
      </c>
      <c r="CE68" s="26">
        <v>110.38</v>
      </c>
      <c r="CF68" s="26">
        <v>220</v>
      </c>
      <c r="CG68" s="26"/>
      <c r="CH68" s="26"/>
      <c r="CI68" s="26"/>
      <c r="CJ68" s="26"/>
      <c r="CK68" s="26"/>
      <c r="CL68" s="26"/>
      <c r="CM68" s="26"/>
      <c r="CN68" s="26"/>
      <c r="CO68" s="26"/>
      <c r="CP68" s="26"/>
      <c r="CQ68" s="26">
        <v>1.74</v>
      </c>
      <c r="CR68" s="26">
        <v>1.55</v>
      </c>
      <c r="CS68" s="27"/>
      <c r="CT68" s="113"/>
      <c r="CU68" s="113"/>
      <c r="CV68" s="113"/>
      <c r="CW68" s="27"/>
      <c r="CX68" s="117"/>
      <c r="CY68" s="113"/>
      <c r="CZ68" s="108">
        <f t="shared" si="42"/>
        <v>0</v>
      </c>
      <c r="DA68" s="108">
        <f t="shared" si="39"/>
        <v>-0.0200639204545455</v>
      </c>
      <c r="DB68" s="108">
        <f t="shared" si="39"/>
        <v>-0.0434782608695652</v>
      </c>
      <c r="DC68" s="108"/>
      <c r="DD68" s="108"/>
      <c r="DE68" s="108"/>
      <c r="DF68" s="108"/>
      <c r="DG68" s="108"/>
      <c r="DH68" s="108"/>
      <c r="DI68" s="108"/>
      <c r="DJ68" s="108"/>
      <c r="DK68" s="108"/>
      <c r="DL68" s="108"/>
      <c r="DM68" s="108">
        <f t="shared" si="62"/>
        <v>-0.0594594594594595</v>
      </c>
      <c r="DN68" s="108">
        <f t="shared" si="62"/>
        <v>-0.0251572327044025</v>
      </c>
      <c r="DQ68" s="114">
        <f t="shared" si="37"/>
        <v>3.449375</v>
      </c>
      <c r="DR68" s="114">
        <f t="shared" si="38"/>
        <v>3.4375</v>
      </c>
      <c r="ED68" s="3"/>
      <c r="EE68" s="3"/>
      <c r="FK68" s="104"/>
      <c r="FV68" s="104">
        <f t="shared" si="50"/>
        <v>2010</v>
      </c>
      <c r="FW68" s="104">
        <f t="shared" si="51"/>
        <v>48</v>
      </c>
      <c r="FX68" s="35">
        <v>40505</v>
      </c>
      <c r="FY68" s="26">
        <v>2.39</v>
      </c>
      <c r="FZ68" s="94">
        <f t="shared" si="52"/>
        <v>9.56</v>
      </c>
      <c r="GA68" s="104">
        <f t="shared" si="53"/>
        <v>2012</v>
      </c>
      <c r="GB68" s="104">
        <f t="shared" si="54"/>
        <v>18</v>
      </c>
      <c r="GC68" s="35">
        <v>41029</v>
      </c>
      <c r="GD68" s="26">
        <v>1.11</v>
      </c>
      <c r="GE68" s="94">
        <f t="shared" si="55"/>
        <v>4.44</v>
      </c>
      <c r="GF68" s="104">
        <f t="shared" si="56"/>
        <v>2013</v>
      </c>
      <c r="GG68" s="104">
        <f t="shared" si="57"/>
        <v>10</v>
      </c>
      <c r="GH68" s="35">
        <v>41338</v>
      </c>
      <c r="GI68" s="26">
        <v>2.914</v>
      </c>
      <c r="GJ68" s="94">
        <f t="shared" si="58"/>
        <v>5.828</v>
      </c>
      <c r="GK68" s="104">
        <f t="shared" si="59"/>
        <v>2014</v>
      </c>
      <c r="GL68" s="104">
        <f t="shared" si="60"/>
        <v>33</v>
      </c>
      <c r="GM68" s="35">
        <v>41864</v>
      </c>
      <c r="GN68" s="26">
        <v>3.69</v>
      </c>
      <c r="GO68" s="94">
        <f t="shared" si="61"/>
        <v>7.38</v>
      </c>
      <c r="GP68" s="59"/>
    </row>
    <row r="69" ht="16.8" spans="3:198">
      <c r="C69" s="80" t="str" cm="1">
        <f t="array" ref="C69">_xlfn.IFS(MONTH(D69)&lt;4,1,MONTH(D69)&lt;7,2,MONTH(D69)&lt;10,3,MONTH(D69)&gt;9,4)&amp;"Q"&amp;RIGHT(YEAR(D69),2)</f>
        <v>2Q16</v>
      </c>
      <c r="D69" s="81">
        <f t="shared" si="11"/>
        <v>42490</v>
      </c>
      <c r="E69" s="82">
        <f t="shared" si="3"/>
        <v>42482</v>
      </c>
      <c r="F69" s="83">
        <f t="shared" si="4"/>
        <v>0.5855</v>
      </c>
      <c r="G69" s="83">
        <f t="shared" si="4"/>
        <v>0.3864</v>
      </c>
      <c r="H69" s="81"/>
      <c r="I69" s="84">
        <v>42482</v>
      </c>
      <c r="J69" s="85">
        <v>4.97</v>
      </c>
      <c r="K69" s="85">
        <v>4.65</v>
      </c>
      <c r="L69" s="86">
        <v>4.684</v>
      </c>
      <c r="M69" s="87">
        <v>3.0912</v>
      </c>
      <c r="N69" s="88"/>
      <c r="O69" s="88"/>
      <c r="P69" s="88"/>
      <c r="Q69" s="89">
        <f t="shared" si="5"/>
        <v>0.515269151138716</v>
      </c>
      <c r="R69" s="5"/>
      <c r="S69" s="5"/>
      <c r="T69" s="5"/>
      <c r="U69" s="5"/>
      <c r="V69" s="5"/>
      <c r="W69" s="5"/>
      <c r="X69" s="5"/>
      <c r="Y69" s="5"/>
      <c r="Z69" s="5"/>
      <c r="AA69" s="5"/>
      <c r="AB69" s="5"/>
      <c r="AC69" s="5"/>
      <c r="AD69" s="5"/>
      <c r="AE69" s="5"/>
      <c r="AF69" s="5"/>
      <c r="AG69" s="5"/>
      <c r="AH69" s="105">
        <f t="shared" si="35"/>
        <v>42762</v>
      </c>
      <c r="AI69" s="91">
        <f t="shared" si="12"/>
        <v>6.755</v>
      </c>
      <c r="AJ69" s="36">
        <f t="shared" si="13"/>
        <v>0.0312977099236642</v>
      </c>
      <c r="AK69" s="36">
        <f t="shared" si="32"/>
        <v>0.093927125506073</v>
      </c>
      <c r="AL69" s="105"/>
      <c r="AM69" s="91"/>
      <c r="AN69" s="36"/>
      <c r="AO69" s="36"/>
      <c r="AP69" s="36"/>
      <c r="AQ69" s="92" t="str" cm="1">
        <f t="array" ref="AQ69">_xlfn.IFS(MONTH(AR69)&lt;4,1,MONTH(AR69)&lt;7,2,MONTH(AR69)&lt;10,3,MONTH(AR69)&gt;9,4)&amp;"Q"&amp;RIGHT(YEAR(AR69),2)</f>
        <v>4Q19</v>
      </c>
      <c r="AR69" s="92">
        <f t="shared" si="14"/>
        <v>43799</v>
      </c>
      <c r="AS69" s="109">
        <v>43773</v>
      </c>
      <c r="AT69" s="110"/>
      <c r="AU69" s="94" cm="1">
        <f t="array" ref="AU69">INDEX($CE$29:$CE$1449,MATCH($AR69,$CA$29:$CA$1449,0),)</f>
        <v>106.01</v>
      </c>
      <c r="AV69" s="110"/>
      <c r="AW69" s="94" cm="1">
        <f t="array" ref="AW69">INDEX($CF$29:$CF$1449,MATCH($AR69,$CA$29:$CA$1449,0),)</f>
        <v>215</v>
      </c>
      <c r="AX69" s="94"/>
      <c r="AY69" s="94"/>
      <c r="AZ69" s="94"/>
      <c r="BA69" s="94"/>
      <c r="BB69" s="5"/>
      <c r="BC69" s="5"/>
      <c r="BD69" s="5"/>
      <c r="BE69" s="5"/>
      <c r="BF69" s="5"/>
      <c r="BG69" s="5"/>
      <c r="BH69" s="5"/>
      <c r="BI69" s="5"/>
      <c r="BJ69" s="5"/>
      <c r="BK69" s="5"/>
      <c r="BL69" s="5"/>
      <c r="BM69" s="5"/>
      <c r="BN69" s="5"/>
      <c r="BO69" s="5"/>
      <c r="BP69" s="5"/>
      <c r="BQ69" s="95" t="str" cm="1">
        <f t="array" ref="BQ69">_xlfn.IFS(MONTH(BR69)&lt;4,1,MONTH(BR69)&lt;7,2,MONTH(BR69)&lt;10,3,MONTH(BR69)&gt;9,4)&amp;"Q"&amp;RIGHT(YEAR(BR69),2)</f>
        <v>4Q19</v>
      </c>
      <c r="BR69" s="81">
        <f t="shared" si="15"/>
        <v>43769</v>
      </c>
      <c r="BS69" s="106">
        <f t="shared" si="16"/>
        <v>43769</v>
      </c>
      <c r="BT69" s="85"/>
      <c r="BU69" s="85"/>
      <c r="BV69" s="85">
        <v>2.81</v>
      </c>
      <c r="BW69" s="85"/>
      <c r="BX69" s="85"/>
      <c r="CA69" s="35">
        <f t="shared" si="41"/>
        <v>43769</v>
      </c>
      <c r="CB69" s="35"/>
      <c r="CC69" s="35"/>
      <c r="CD69" s="26">
        <v>24.5</v>
      </c>
      <c r="CE69" s="26">
        <v>108.18</v>
      </c>
      <c r="CF69" s="26">
        <v>215</v>
      </c>
      <c r="CG69" s="26"/>
      <c r="CH69" s="26"/>
      <c r="CI69" s="26"/>
      <c r="CJ69" s="26"/>
      <c r="CK69" s="26"/>
      <c r="CL69" s="26"/>
      <c r="CM69" s="26"/>
      <c r="CN69" s="26"/>
      <c r="CO69" s="26"/>
      <c r="CP69" s="26"/>
      <c r="CQ69" s="26">
        <v>1.68</v>
      </c>
      <c r="CR69" s="26">
        <v>1.5</v>
      </c>
      <c r="CS69" s="27"/>
      <c r="CT69" s="113"/>
      <c r="CU69" s="113"/>
      <c r="CV69" s="113"/>
      <c r="CW69" s="27"/>
      <c r="CX69" s="117"/>
      <c r="CY69" s="113"/>
      <c r="CZ69" s="108">
        <f t="shared" si="42"/>
        <v>-0.0392156862745098</v>
      </c>
      <c r="DA69" s="108">
        <f t="shared" si="39"/>
        <v>-0.0199311469469106</v>
      </c>
      <c r="DB69" s="108">
        <f t="shared" si="39"/>
        <v>-0.0227272727272727</v>
      </c>
      <c r="DC69" s="108"/>
      <c r="DD69" s="108"/>
      <c r="DE69" s="108"/>
      <c r="DF69" s="108"/>
      <c r="DG69" s="108"/>
      <c r="DH69" s="108"/>
      <c r="DI69" s="108"/>
      <c r="DJ69" s="108"/>
      <c r="DK69" s="108"/>
      <c r="DL69" s="108"/>
      <c r="DM69" s="108">
        <f t="shared" si="62"/>
        <v>-0.0344827586206897</v>
      </c>
      <c r="DN69" s="108">
        <f t="shared" si="62"/>
        <v>-0.0322580645161291</v>
      </c>
      <c r="DQ69" s="114">
        <f t="shared" si="37"/>
        <v>3.380625</v>
      </c>
      <c r="DR69" s="114">
        <f t="shared" si="38"/>
        <v>3.359375</v>
      </c>
      <c r="EE69" s="3"/>
      <c r="EF69" s="36"/>
      <c r="FK69" s="104"/>
      <c r="FV69" s="104">
        <f t="shared" si="50"/>
        <v>2010</v>
      </c>
      <c r="FW69" s="104">
        <f t="shared" si="51"/>
        <v>48</v>
      </c>
      <c r="FX69" s="35">
        <v>40506</v>
      </c>
      <c r="FY69" s="26">
        <v>2.37</v>
      </c>
      <c r="FZ69" s="94">
        <f t="shared" si="52"/>
        <v>9.48</v>
      </c>
      <c r="GA69" s="104">
        <f t="shared" si="53"/>
        <v>2012</v>
      </c>
      <c r="GB69" s="104">
        <f t="shared" si="54"/>
        <v>21</v>
      </c>
      <c r="GC69" s="35">
        <v>41052</v>
      </c>
      <c r="GD69" s="26">
        <v>1.17</v>
      </c>
      <c r="GE69" s="94">
        <f t="shared" si="55"/>
        <v>4.68</v>
      </c>
      <c r="GF69" s="104">
        <f t="shared" si="56"/>
        <v>2013</v>
      </c>
      <c r="GG69" s="104">
        <f t="shared" si="57"/>
        <v>10</v>
      </c>
      <c r="GH69" s="35">
        <v>41339</v>
      </c>
      <c r="GI69" s="26">
        <v>3.023</v>
      </c>
      <c r="GJ69" s="94">
        <f t="shared" si="58"/>
        <v>6.046</v>
      </c>
      <c r="GK69" s="104">
        <f t="shared" si="59"/>
        <v>2014</v>
      </c>
      <c r="GL69" s="104">
        <f t="shared" si="60"/>
        <v>35</v>
      </c>
      <c r="GM69" s="35">
        <v>41879</v>
      </c>
      <c r="GN69" s="26">
        <v>3.69</v>
      </c>
      <c r="GO69" s="94">
        <f t="shared" si="61"/>
        <v>7.38</v>
      </c>
      <c r="GP69" s="59"/>
    </row>
    <row r="70" ht="16.8" spans="3:198">
      <c r="C70" s="80" t="str" cm="1">
        <f t="array" ref="C70">_xlfn.IFS(MONTH(D70)&lt;4,1,MONTH(D70)&lt;7,2,MONTH(D70)&lt;10,3,MONTH(D70)&gt;9,4)&amp;"Q"&amp;RIGHT(YEAR(D70),2)</f>
        <v>2Q16</v>
      </c>
      <c r="D70" s="81">
        <f t="shared" si="11"/>
        <v>42490</v>
      </c>
      <c r="E70" s="82">
        <f t="shared" si="3"/>
        <v>42485</v>
      </c>
      <c r="F70" s="83">
        <f t="shared" si="4"/>
        <v>0.585</v>
      </c>
      <c r="G70" s="83">
        <f t="shared" si="4"/>
        <v>0.3864</v>
      </c>
      <c r="H70" s="81"/>
      <c r="I70" s="84">
        <v>42485</v>
      </c>
      <c r="J70" s="85">
        <v>4.97</v>
      </c>
      <c r="K70" s="85">
        <v>4.65</v>
      </c>
      <c r="L70" s="86">
        <v>4.68</v>
      </c>
      <c r="M70" s="87">
        <v>3.0912</v>
      </c>
      <c r="N70" s="88"/>
      <c r="O70" s="88"/>
      <c r="P70" s="88"/>
      <c r="Q70" s="89">
        <f t="shared" si="5"/>
        <v>0.513975155279503</v>
      </c>
      <c r="R70" s="5"/>
      <c r="S70" s="5"/>
      <c r="T70" s="5"/>
      <c r="U70" s="5"/>
      <c r="V70" s="5"/>
      <c r="W70" s="5"/>
      <c r="X70" s="5"/>
      <c r="Y70" s="5"/>
      <c r="Z70" s="5"/>
      <c r="AA70" s="5"/>
      <c r="AB70" s="5"/>
      <c r="AC70" s="5"/>
      <c r="AD70" s="5"/>
      <c r="AE70" s="5"/>
      <c r="AF70" s="5"/>
      <c r="AG70" s="5"/>
      <c r="AH70" s="105">
        <f t="shared" si="35"/>
        <v>42772</v>
      </c>
      <c r="AI70" s="91">
        <f t="shared" si="12"/>
        <v>6.916</v>
      </c>
      <c r="AJ70" s="36">
        <f t="shared" si="13"/>
        <v>0.0238341968911917</v>
      </c>
      <c r="AK70" s="36">
        <f t="shared" si="32"/>
        <v>0.0558778625954199</v>
      </c>
      <c r="AL70" s="105"/>
      <c r="AM70" s="91"/>
      <c r="AN70" s="36"/>
      <c r="AO70" s="36"/>
      <c r="AP70" s="36"/>
      <c r="AQ70" s="92" t="str" cm="1">
        <f t="array" ref="AQ70">_xlfn.IFS(MONTH(AR70)&lt;4,1,MONTH(AR70)&lt;7,2,MONTH(AR70)&lt;10,3,MONTH(AR70)&gt;9,4)&amp;"Q"&amp;RIGHT(YEAR(AR70),2)</f>
        <v>4Q19</v>
      </c>
      <c r="AR70" s="92">
        <f t="shared" si="14"/>
        <v>43799</v>
      </c>
      <c r="AS70" s="109">
        <v>43780</v>
      </c>
      <c r="AT70" s="110"/>
      <c r="AU70" s="94" cm="1">
        <f t="array" ref="AU70">INDEX($CE$29:$CE$1449,MATCH($AR70,$CA$29:$CA$1449,0),)</f>
        <v>106.01</v>
      </c>
      <c r="AV70" s="110"/>
      <c r="AW70" s="94" cm="1">
        <f t="array" ref="AW70">INDEX($CF$29:$CF$1449,MATCH($AR70,$CA$29:$CA$1449,0),)</f>
        <v>215</v>
      </c>
      <c r="AX70" s="94"/>
      <c r="AY70" s="94"/>
      <c r="AZ70" s="94"/>
      <c r="BA70" s="94"/>
      <c r="BB70" s="5"/>
      <c r="BC70" s="5"/>
      <c r="BD70" s="5"/>
      <c r="BE70" s="5"/>
      <c r="BF70" s="5"/>
      <c r="BG70" s="5"/>
      <c r="BH70" s="5"/>
      <c r="BI70" s="5"/>
      <c r="BJ70" s="5"/>
      <c r="BK70" s="5"/>
      <c r="BL70" s="5"/>
      <c r="BM70" s="5"/>
      <c r="BN70" s="5"/>
      <c r="BO70" s="5"/>
      <c r="BP70" s="5"/>
      <c r="BQ70" s="95" t="str" cm="1">
        <f t="array" ref="BQ70">_xlfn.IFS(MONTH(BR70)&lt;4,1,MONTH(BR70)&lt;7,2,MONTH(BR70)&lt;10,3,MONTH(BR70)&gt;9,4)&amp;"Q"&amp;RIGHT(YEAR(BR70),2)</f>
        <v>4Q19</v>
      </c>
      <c r="BR70" s="81">
        <f t="shared" si="15"/>
        <v>43799</v>
      </c>
      <c r="BS70" s="106">
        <f t="shared" si="16"/>
        <v>43799</v>
      </c>
      <c r="BT70" s="85"/>
      <c r="BU70" s="85"/>
      <c r="BV70" s="85">
        <v>2.81</v>
      </c>
      <c r="BW70" s="85"/>
      <c r="BX70" s="85"/>
      <c r="CA70" s="35">
        <f t="shared" si="41"/>
        <v>43799</v>
      </c>
      <c r="CB70" s="35"/>
      <c r="CC70" s="35"/>
      <c r="CD70" s="26">
        <v>24.5</v>
      </c>
      <c r="CE70" s="26">
        <v>106.01</v>
      </c>
      <c r="CF70" s="26">
        <v>215</v>
      </c>
      <c r="CG70" s="26"/>
      <c r="CH70" s="26"/>
      <c r="CI70" s="26"/>
      <c r="CJ70" s="26"/>
      <c r="CK70" s="26"/>
      <c r="CL70" s="26"/>
      <c r="CM70" s="26"/>
      <c r="CN70" s="26"/>
      <c r="CO70" s="26"/>
      <c r="CP70" s="26"/>
      <c r="CQ70" s="26">
        <v>1.65</v>
      </c>
      <c r="CR70" s="26">
        <v>1.48</v>
      </c>
      <c r="CS70" s="27"/>
      <c r="CT70" s="113"/>
      <c r="CU70" s="113"/>
      <c r="CV70" s="113"/>
      <c r="CW70" s="27"/>
      <c r="CX70" s="117"/>
      <c r="CY70" s="113"/>
      <c r="CZ70" s="108">
        <f t="shared" si="42"/>
        <v>0</v>
      </c>
      <c r="DA70" s="108">
        <f t="shared" si="39"/>
        <v>-0.0200591606581624</v>
      </c>
      <c r="DB70" s="108">
        <f t="shared" si="39"/>
        <v>0</v>
      </c>
      <c r="DC70" s="108"/>
      <c r="DD70" s="108"/>
      <c r="DE70" s="108"/>
      <c r="DF70" s="108"/>
      <c r="DG70" s="108"/>
      <c r="DH70" s="108"/>
      <c r="DI70" s="108"/>
      <c r="DJ70" s="108"/>
      <c r="DK70" s="108"/>
      <c r="DL70" s="108"/>
      <c r="DM70" s="108">
        <f t="shared" si="62"/>
        <v>-0.0178571428571429</v>
      </c>
      <c r="DN70" s="108">
        <f t="shared" si="62"/>
        <v>-0.0133333333333333</v>
      </c>
      <c r="DQ70" s="114">
        <f t="shared" si="37"/>
        <v>3.3128125</v>
      </c>
      <c r="DR70" s="114">
        <f t="shared" si="38"/>
        <v>3.359375</v>
      </c>
      <c r="FK70" s="104"/>
      <c r="FV70" s="104">
        <f t="shared" si="50"/>
        <v>2010</v>
      </c>
      <c r="FW70" s="104">
        <f t="shared" si="51"/>
        <v>48</v>
      </c>
      <c r="FX70" s="35">
        <v>40507</v>
      </c>
      <c r="FY70" s="26">
        <v>2.32</v>
      </c>
      <c r="FZ70" s="94">
        <f t="shared" si="52"/>
        <v>9.28</v>
      </c>
      <c r="GA70" s="104">
        <f t="shared" si="53"/>
        <v>2012</v>
      </c>
      <c r="GB70" s="104">
        <f t="shared" si="54"/>
        <v>22</v>
      </c>
      <c r="GC70" s="35">
        <v>41060</v>
      </c>
      <c r="GD70" s="26">
        <v>1.17</v>
      </c>
      <c r="GE70" s="94">
        <f t="shared" si="55"/>
        <v>4.68</v>
      </c>
      <c r="GF70" s="104">
        <f t="shared" si="56"/>
        <v>2013</v>
      </c>
      <c r="GG70" s="104">
        <f t="shared" si="57"/>
        <v>10</v>
      </c>
      <c r="GH70" s="35">
        <v>41340</v>
      </c>
      <c r="GI70" s="26">
        <v>3.064</v>
      </c>
      <c r="GJ70" s="94">
        <f t="shared" si="58"/>
        <v>6.128</v>
      </c>
      <c r="GK70" s="104">
        <f t="shared" si="59"/>
        <v>2014</v>
      </c>
      <c r="GL70" s="104">
        <f t="shared" si="60"/>
        <v>38</v>
      </c>
      <c r="GM70" s="35">
        <v>41897</v>
      </c>
      <c r="GN70" s="26">
        <v>3.69</v>
      </c>
      <c r="GO70" s="94">
        <f t="shared" si="61"/>
        <v>7.38</v>
      </c>
      <c r="GP70" s="59"/>
    </row>
    <row r="71" ht="16.8" spans="3:198">
      <c r="C71" s="80" t="str" cm="1">
        <f t="array" ref="C71">_xlfn.IFS(MONTH(D71)&lt;4,1,MONTH(D71)&lt;7,2,MONTH(D71)&lt;10,3,MONTH(D71)&gt;9,4)&amp;"Q"&amp;RIGHT(YEAR(D71),2)</f>
        <v>2Q16</v>
      </c>
      <c r="D71" s="81">
        <f t="shared" si="11"/>
        <v>42490</v>
      </c>
      <c r="E71" s="82">
        <f t="shared" si="3"/>
        <v>42486</v>
      </c>
      <c r="F71" s="83">
        <f t="shared" si="4"/>
        <v>0.5845</v>
      </c>
      <c r="G71" s="83">
        <f t="shared" si="4"/>
        <v>0.3864</v>
      </c>
      <c r="H71" s="81"/>
      <c r="I71" s="84">
        <v>42486</v>
      </c>
      <c r="J71" s="85">
        <v>4.97</v>
      </c>
      <c r="K71" s="85">
        <v>4.65</v>
      </c>
      <c r="L71" s="86">
        <v>4.676</v>
      </c>
      <c r="M71" s="87">
        <v>3.0912</v>
      </c>
      <c r="N71" s="88"/>
      <c r="O71" s="88"/>
      <c r="P71" s="88"/>
      <c r="Q71" s="89">
        <f t="shared" si="5"/>
        <v>0.51268115942029</v>
      </c>
      <c r="R71" s="5"/>
      <c r="S71" s="5"/>
      <c r="T71" s="5"/>
      <c r="U71" s="5"/>
      <c r="V71" s="5"/>
      <c r="W71" s="5"/>
      <c r="X71" s="5"/>
      <c r="Y71" s="5"/>
      <c r="Z71" s="5"/>
      <c r="AA71" s="5"/>
      <c r="AB71" s="5"/>
      <c r="AC71" s="5"/>
      <c r="AD71" s="5"/>
      <c r="AE71" s="5"/>
      <c r="AF71" s="5"/>
      <c r="AG71" s="5"/>
      <c r="AH71" s="105">
        <f t="shared" si="35"/>
        <v>42780</v>
      </c>
      <c r="AI71" s="91">
        <f t="shared" si="12"/>
        <v>6.927</v>
      </c>
      <c r="AJ71" s="36">
        <f t="shared" si="13"/>
        <v>0.00159051474840943</v>
      </c>
      <c r="AK71" s="36">
        <f t="shared" si="32"/>
        <v>0.0254626202812731</v>
      </c>
      <c r="AL71" s="105"/>
      <c r="AM71" s="91"/>
      <c r="AN71" s="36"/>
      <c r="AO71" s="36"/>
      <c r="AP71" s="36"/>
      <c r="AQ71" s="92" t="str" cm="1">
        <f t="array" ref="AQ71">_xlfn.IFS(MONTH(AR71)&lt;4,1,MONTH(AR71)&lt;7,2,MONTH(AR71)&lt;10,3,MONTH(AR71)&gt;9,4)&amp;"Q"&amp;RIGHT(YEAR(AR71),2)</f>
        <v>4Q19</v>
      </c>
      <c r="AR71" s="92">
        <f t="shared" si="14"/>
        <v>43799</v>
      </c>
      <c r="AS71" s="109">
        <v>43787</v>
      </c>
      <c r="AT71" s="110"/>
      <c r="AU71" s="94" cm="1">
        <f t="array" ref="AU71">INDEX($CE$29:$CE$1449,MATCH($AR71,$CA$29:$CA$1449,0),)</f>
        <v>106.01</v>
      </c>
      <c r="AV71" s="110"/>
      <c r="AW71" s="94" cm="1">
        <f t="array" ref="AW71">INDEX($CF$29:$CF$1449,MATCH($AR71,$CA$29:$CA$1449,0),)</f>
        <v>215</v>
      </c>
      <c r="AX71" s="94"/>
      <c r="AY71" s="94"/>
      <c r="AZ71" s="94"/>
      <c r="BA71" s="94"/>
      <c r="BB71" s="5"/>
      <c r="BC71" s="5"/>
      <c r="BD71" s="5"/>
      <c r="BE71" s="5"/>
      <c r="BF71" s="5"/>
      <c r="BG71" s="5"/>
      <c r="BH71" s="5"/>
      <c r="BI71" s="5"/>
      <c r="BJ71" s="5"/>
      <c r="BK71" s="5"/>
      <c r="BL71" s="5"/>
      <c r="BM71" s="5"/>
      <c r="BN71" s="5"/>
      <c r="BO71" s="5"/>
      <c r="BP71" s="5"/>
      <c r="BQ71" s="95" t="str" cm="1">
        <f t="array" ref="BQ71">_xlfn.IFS(MONTH(BR71)&lt;4,1,MONTH(BR71)&lt;7,2,MONTH(BR71)&lt;10,3,MONTH(BR71)&gt;9,4)&amp;"Q"&amp;RIGHT(YEAR(BR71),2)</f>
        <v>4Q19</v>
      </c>
      <c r="BR71" s="81">
        <f t="shared" si="15"/>
        <v>43830</v>
      </c>
      <c r="BS71" s="106">
        <f t="shared" si="16"/>
        <v>43830</v>
      </c>
      <c r="BT71" s="85"/>
      <c r="BU71" s="85"/>
      <c r="BV71" s="85">
        <v>2.81</v>
      </c>
      <c r="BW71" s="85"/>
      <c r="BX71" s="85"/>
      <c r="CA71" s="35">
        <f t="shared" si="41"/>
        <v>43830</v>
      </c>
      <c r="CB71" s="35"/>
      <c r="CC71" s="35"/>
      <c r="CD71" s="26">
        <v>24.5</v>
      </c>
      <c r="CE71" s="26">
        <v>106.01</v>
      </c>
      <c r="CF71" s="26">
        <v>215</v>
      </c>
      <c r="CG71" s="26"/>
      <c r="CH71" s="26"/>
      <c r="CI71" s="26"/>
      <c r="CJ71" s="26"/>
      <c r="CK71" s="26"/>
      <c r="CL71" s="26"/>
      <c r="CM71" s="26"/>
      <c r="CN71" s="26"/>
      <c r="CO71" s="26"/>
      <c r="CP71" s="26"/>
      <c r="CQ71" s="26">
        <v>1.65</v>
      </c>
      <c r="CR71" s="26">
        <v>1.48</v>
      </c>
      <c r="CS71" s="27"/>
      <c r="CT71" s="113"/>
      <c r="CU71" s="113"/>
      <c r="CV71" s="113"/>
      <c r="CW71" s="27"/>
      <c r="CX71" s="117"/>
      <c r="CY71" s="113"/>
      <c r="CZ71" s="108">
        <f t="shared" si="42"/>
        <v>0</v>
      </c>
      <c r="DA71" s="108">
        <f t="shared" si="39"/>
        <v>0</v>
      </c>
      <c r="DB71" s="108">
        <f t="shared" si="39"/>
        <v>0</v>
      </c>
      <c r="DC71" s="108"/>
      <c r="DD71" s="108"/>
      <c r="DE71" s="108"/>
      <c r="DF71" s="108"/>
      <c r="DG71" s="108"/>
      <c r="DH71" s="108"/>
      <c r="DI71" s="108"/>
      <c r="DJ71" s="108"/>
      <c r="DK71" s="108"/>
      <c r="DL71" s="108"/>
      <c r="DM71" s="108">
        <f t="shared" si="62"/>
        <v>0</v>
      </c>
      <c r="DN71" s="108">
        <f t="shared" si="62"/>
        <v>0</v>
      </c>
      <c r="DQ71" s="114">
        <f t="shared" si="37"/>
        <v>3.3128125</v>
      </c>
      <c r="DR71" s="114">
        <f t="shared" si="38"/>
        <v>3.359375</v>
      </c>
      <c r="FK71" s="104"/>
      <c r="FV71" s="104">
        <f t="shared" si="50"/>
        <v>2010</v>
      </c>
      <c r="FW71" s="104">
        <f t="shared" si="51"/>
        <v>48</v>
      </c>
      <c r="FX71" s="35">
        <v>40508</v>
      </c>
      <c r="FY71" s="26">
        <v>2.3</v>
      </c>
      <c r="FZ71" s="94">
        <f t="shared" si="52"/>
        <v>9.2</v>
      </c>
      <c r="GA71" s="104">
        <f t="shared" si="53"/>
        <v>2012</v>
      </c>
      <c r="GB71" s="104">
        <f t="shared" si="54"/>
        <v>24</v>
      </c>
      <c r="GC71" s="35">
        <v>41075</v>
      </c>
      <c r="GD71" s="26">
        <v>1.17</v>
      </c>
      <c r="GE71" s="94">
        <f t="shared" si="55"/>
        <v>4.68</v>
      </c>
      <c r="GF71" s="104">
        <f t="shared" si="56"/>
        <v>2013</v>
      </c>
      <c r="GG71" s="104">
        <f t="shared" si="57"/>
        <v>10</v>
      </c>
      <c r="GH71" s="35">
        <v>41341</v>
      </c>
      <c r="GI71" s="26">
        <v>3.223</v>
      </c>
      <c r="GJ71" s="94">
        <f t="shared" si="58"/>
        <v>6.446</v>
      </c>
      <c r="GK71" s="104">
        <f t="shared" si="59"/>
        <v>2014</v>
      </c>
      <c r="GL71" s="104">
        <f t="shared" si="60"/>
        <v>40</v>
      </c>
      <c r="GM71" s="35">
        <v>41912</v>
      </c>
      <c r="GN71" s="26">
        <v>3.69</v>
      </c>
      <c r="GO71" s="94">
        <f t="shared" si="61"/>
        <v>7.38</v>
      </c>
      <c r="GP71" s="59"/>
    </row>
    <row r="72" ht="16.8" spans="3:198">
      <c r="C72" s="80" t="str" cm="1">
        <f t="array" ref="C72">_xlfn.IFS(MONTH(D72)&lt;4,1,MONTH(D72)&lt;7,2,MONTH(D72)&lt;10,3,MONTH(D72)&gt;9,4)&amp;"Q"&amp;RIGHT(YEAR(D72),2)</f>
        <v>2Q16</v>
      </c>
      <c r="D72" s="81">
        <f t="shared" si="11"/>
        <v>42490</v>
      </c>
      <c r="E72" s="82">
        <f t="shared" si="3"/>
        <v>42487</v>
      </c>
      <c r="F72" s="83">
        <f t="shared" si="4"/>
        <v>0.5845</v>
      </c>
      <c r="G72" s="83">
        <f t="shared" si="4"/>
        <v>0.3864</v>
      </c>
      <c r="H72" s="81"/>
      <c r="I72" s="84">
        <v>42487</v>
      </c>
      <c r="J72" s="85">
        <v>4.97</v>
      </c>
      <c r="K72" s="85">
        <v>4.65</v>
      </c>
      <c r="L72" s="86">
        <v>4.676</v>
      </c>
      <c r="M72" s="87">
        <v>3.0912</v>
      </c>
      <c r="N72" s="88"/>
      <c r="O72" s="88"/>
      <c r="P72" s="88"/>
      <c r="Q72" s="89">
        <f t="shared" si="5"/>
        <v>0.51268115942029</v>
      </c>
      <c r="R72" s="5"/>
      <c r="S72" s="5"/>
      <c r="T72" s="5"/>
      <c r="U72" s="5"/>
      <c r="V72" s="5"/>
      <c r="W72" s="5"/>
      <c r="X72" s="5"/>
      <c r="Y72" s="5"/>
      <c r="Z72" s="5"/>
      <c r="AA72" s="5"/>
      <c r="AB72" s="5"/>
      <c r="AC72" s="5"/>
      <c r="AD72" s="5"/>
      <c r="AE72" s="5"/>
      <c r="AF72" s="5"/>
      <c r="AG72" s="5"/>
      <c r="AH72" s="105">
        <f t="shared" si="35"/>
        <v>42788</v>
      </c>
      <c r="AI72" s="91">
        <f t="shared" si="12"/>
        <v>6.892</v>
      </c>
      <c r="AJ72" s="36">
        <f t="shared" si="13"/>
        <v>-0.00505269236321626</v>
      </c>
      <c r="AK72" s="36">
        <f t="shared" si="32"/>
        <v>-0.0034702139965298</v>
      </c>
      <c r="AL72" s="105"/>
      <c r="AM72" s="91"/>
      <c r="AN72" s="36"/>
      <c r="AO72" s="36"/>
      <c r="AP72" s="36"/>
      <c r="AQ72" s="92" t="str" cm="1">
        <f t="array" ref="AQ72">_xlfn.IFS(MONTH(AR72)&lt;4,1,MONTH(AR72)&lt;7,2,MONTH(AR72)&lt;10,3,MONTH(AR72)&gt;9,4)&amp;"Q"&amp;RIGHT(YEAR(AR72),2)</f>
        <v>4Q19</v>
      </c>
      <c r="AR72" s="92">
        <f t="shared" si="14"/>
        <v>43799</v>
      </c>
      <c r="AS72" s="109">
        <v>43794</v>
      </c>
      <c r="AT72" s="110"/>
      <c r="AU72" s="94" cm="1">
        <f t="array" ref="AU72">INDEX($CE$29:$CE$1449,MATCH($AR72,$CA$29:$CA$1449,0),)</f>
        <v>106.01</v>
      </c>
      <c r="AV72" s="110"/>
      <c r="AW72" s="94" cm="1">
        <f t="array" ref="AW72">INDEX($CF$29:$CF$1449,MATCH($AR72,$CA$29:$CA$1449,0),)</f>
        <v>215</v>
      </c>
      <c r="AX72" s="94"/>
      <c r="AY72" s="94"/>
      <c r="AZ72" s="94"/>
      <c r="BA72" s="94"/>
      <c r="BB72" s="5"/>
      <c r="BC72" s="5"/>
      <c r="BD72" s="5"/>
      <c r="BE72" s="5"/>
      <c r="BF72" s="5"/>
      <c r="BG72" s="5"/>
      <c r="BH72" s="5"/>
      <c r="BI72" s="5"/>
      <c r="BJ72" s="5"/>
      <c r="BK72" s="5"/>
      <c r="BL72" s="5"/>
      <c r="BM72" s="5"/>
      <c r="BN72" s="5"/>
      <c r="BO72" s="5"/>
      <c r="BP72" s="5"/>
      <c r="BQ72" s="95" t="str" cm="1">
        <f t="array" ref="BQ72">_xlfn.IFS(MONTH(BR72)&lt;4,1,MONTH(BR72)&lt;7,2,MONTH(BR72)&lt;10,3,MONTH(BR72)&gt;9,4)&amp;"Q"&amp;RIGHT(YEAR(BR72),2)</f>
        <v>1Q20</v>
      </c>
      <c r="BR72" s="81">
        <f t="shared" si="15"/>
        <v>43861</v>
      </c>
      <c r="BS72" s="106">
        <f t="shared" si="16"/>
        <v>43861</v>
      </c>
      <c r="BT72" s="85"/>
      <c r="BU72" s="85"/>
      <c r="BV72" s="85">
        <v>2.84</v>
      </c>
      <c r="BW72" s="85"/>
      <c r="BX72" s="85"/>
      <c r="CA72" s="35">
        <f t="shared" si="41"/>
        <v>43861</v>
      </c>
      <c r="CB72" s="35"/>
      <c r="CC72" s="35"/>
      <c r="CD72" s="26">
        <v>24.7</v>
      </c>
      <c r="CE72" s="26">
        <v>109</v>
      </c>
      <c r="CF72" s="26">
        <v>217</v>
      </c>
      <c r="CG72" s="26"/>
      <c r="CH72" s="26"/>
      <c r="CI72" s="26"/>
      <c r="CJ72" s="26"/>
      <c r="CK72" s="26"/>
      <c r="CL72" s="26"/>
      <c r="CM72" s="26"/>
      <c r="CN72" s="26"/>
      <c r="CO72" s="26"/>
      <c r="CP72" s="26"/>
      <c r="CQ72" s="26">
        <v>1.68</v>
      </c>
      <c r="CR72" s="26">
        <v>1.51</v>
      </c>
      <c r="CS72" s="27"/>
      <c r="CT72" s="113"/>
      <c r="CU72" s="113"/>
      <c r="CV72" s="113"/>
      <c r="CW72" s="27"/>
      <c r="CX72" s="117"/>
      <c r="CY72" s="113"/>
      <c r="CZ72" s="108">
        <f t="shared" si="42"/>
        <v>0.00816326530612232</v>
      </c>
      <c r="DA72" s="108">
        <f t="shared" si="39"/>
        <v>0.0282048863314781</v>
      </c>
      <c r="DB72" s="108">
        <f t="shared" si="39"/>
        <v>0.00930232558139532</v>
      </c>
      <c r="DC72" s="108"/>
      <c r="DD72" s="108"/>
      <c r="DE72" s="108"/>
      <c r="DF72" s="108"/>
      <c r="DG72" s="108"/>
      <c r="DH72" s="108"/>
      <c r="DI72" s="108"/>
      <c r="DJ72" s="108"/>
      <c r="DK72" s="108"/>
      <c r="DL72" s="108"/>
      <c r="DM72" s="108">
        <f t="shared" si="62"/>
        <v>0.0181818181818183</v>
      </c>
      <c r="DN72" s="108">
        <f t="shared" si="62"/>
        <v>0.0202702702702704</v>
      </c>
      <c r="DQ72" s="114">
        <f t="shared" si="37"/>
        <v>3.40625</v>
      </c>
      <c r="DR72" s="114">
        <f t="shared" si="38"/>
        <v>3.390625</v>
      </c>
      <c r="FK72" s="104"/>
      <c r="FV72" s="104">
        <f t="shared" si="50"/>
        <v>2010</v>
      </c>
      <c r="FW72" s="104">
        <f t="shared" si="51"/>
        <v>49</v>
      </c>
      <c r="FX72" s="35">
        <v>40511</v>
      </c>
      <c r="FY72" s="26">
        <v>2.29</v>
      </c>
      <c r="FZ72" s="94">
        <f t="shared" si="52"/>
        <v>9.16</v>
      </c>
      <c r="GA72" s="104">
        <f t="shared" si="53"/>
        <v>2012</v>
      </c>
      <c r="GB72" s="104">
        <f t="shared" si="54"/>
        <v>26</v>
      </c>
      <c r="GC72" s="35">
        <v>41089</v>
      </c>
      <c r="GD72" s="26">
        <v>1.17</v>
      </c>
      <c r="GE72" s="94">
        <f t="shared" si="55"/>
        <v>4.68</v>
      </c>
      <c r="GF72" s="104">
        <f t="shared" si="56"/>
        <v>2013</v>
      </c>
      <c r="GG72" s="104">
        <f t="shared" si="57"/>
        <v>11</v>
      </c>
      <c r="GH72" s="35">
        <v>41344</v>
      </c>
      <c r="GI72" s="26">
        <v>3.436</v>
      </c>
      <c r="GJ72" s="94">
        <f t="shared" si="58"/>
        <v>6.872</v>
      </c>
      <c r="GK72" s="104">
        <f t="shared" si="59"/>
        <v>2014</v>
      </c>
      <c r="GL72" s="104">
        <f t="shared" si="60"/>
        <v>42</v>
      </c>
      <c r="GM72" s="35">
        <v>41926</v>
      </c>
      <c r="GN72" s="26">
        <v>3.78</v>
      </c>
      <c r="GO72" s="94">
        <f t="shared" si="61"/>
        <v>7.56</v>
      </c>
      <c r="GP72" s="59"/>
    </row>
    <row r="73" ht="16.8" spans="3:198">
      <c r="C73" s="80" t="str" cm="1">
        <f t="array" ref="C73">_xlfn.IFS(MONTH(D73)&lt;4,1,MONTH(D73)&lt;7,2,MONTH(D73)&lt;10,3,MONTH(D73)&gt;9,4)&amp;"Q"&amp;RIGHT(YEAR(D73),2)</f>
        <v>2Q16</v>
      </c>
      <c r="D73" s="81">
        <f t="shared" si="11"/>
        <v>42490</v>
      </c>
      <c r="E73" s="82">
        <f t="shared" si="3"/>
        <v>42488</v>
      </c>
      <c r="F73" s="83">
        <f t="shared" si="4"/>
        <v>0.584375</v>
      </c>
      <c r="G73" s="83">
        <f t="shared" si="4"/>
        <v>0.3864</v>
      </c>
      <c r="H73" s="81"/>
      <c r="I73" s="84">
        <v>42488</v>
      </c>
      <c r="J73" s="85">
        <v>4.97</v>
      </c>
      <c r="K73" s="85">
        <v>4.65</v>
      </c>
      <c r="L73" s="86">
        <v>4.675</v>
      </c>
      <c r="M73" s="87">
        <v>3.0912</v>
      </c>
      <c r="N73" s="88"/>
      <c r="O73" s="88"/>
      <c r="P73" s="88"/>
      <c r="Q73" s="89">
        <f t="shared" si="5"/>
        <v>0.512357660455486</v>
      </c>
      <c r="R73" s="5"/>
      <c r="S73" s="5"/>
      <c r="T73" s="5"/>
      <c r="U73" s="5"/>
      <c r="V73" s="5"/>
      <c r="W73" s="5"/>
      <c r="X73" s="5"/>
      <c r="Y73" s="5"/>
      <c r="Z73" s="5"/>
      <c r="AA73" s="5"/>
      <c r="AB73" s="5"/>
      <c r="AC73" s="5"/>
      <c r="AD73" s="5"/>
      <c r="AE73" s="5"/>
      <c r="AF73" s="5"/>
      <c r="AG73" s="5"/>
      <c r="AH73" s="105">
        <f t="shared" si="35"/>
        <v>42796</v>
      </c>
      <c r="AI73" s="91">
        <f t="shared" si="12"/>
        <v>6.849</v>
      </c>
      <c r="AJ73" s="36">
        <f t="shared" si="13"/>
        <v>-0.00623911781775977</v>
      </c>
      <c r="AK73" s="36">
        <f t="shared" si="32"/>
        <v>-0.0112602858380251</v>
      </c>
      <c r="AL73" s="105"/>
      <c r="AM73" s="91"/>
      <c r="AN73" s="36"/>
      <c r="AO73" s="36"/>
      <c r="AP73" s="36"/>
      <c r="AQ73" s="92" t="str" cm="1">
        <f t="array" ref="AQ73">_xlfn.IFS(MONTH(AR73)&lt;4,1,MONTH(AR73)&lt;7,2,MONTH(AR73)&lt;10,3,MONTH(AR73)&gt;9,4)&amp;"Q"&amp;RIGHT(YEAR(AR73),2)</f>
        <v>4Q19</v>
      </c>
      <c r="AR73" s="92">
        <f t="shared" si="14"/>
        <v>43830</v>
      </c>
      <c r="AS73" s="109">
        <v>43801</v>
      </c>
      <c r="AT73" s="110"/>
      <c r="AU73" s="94" cm="1">
        <f t="array" ref="AU73">INDEX($CE$29:$CE$1449,MATCH($AR73,$CA$29:$CA$1449,0),)</f>
        <v>106.01</v>
      </c>
      <c r="AV73" s="110"/>
      <c r="AW73" s="94" cm="1">
        <f t="array" ref="AW73">INDEX($CF$29:$CF$1449,MATCH($AR73,$CA$29:$CA$1449,0),)</f>
        <v>215</v>
      </c>
      <c r="AX73" s="94"/>
      <c r="AY73" s="94"/>
      <c r="AZ73" s="94"/>
      <c r="BA73" s="94"/>
      <c r="BB73" s="5"/>
      <c r="BC73" s="5"/>
      <c r="BD73" s="5"/>
      <c r="BE73" s="5"/>
      <c r="BF73" s="5"/>
      <c r="BG73" s="5"/>
      <c r="BH73" s="5"/>
      <c r="BI73" s="5"/>
      <c r="BJ73" s="5"/>
      <c r="BK73" s="5"/>
      <c r="BL73" s="5"/>
      <c r="BM73" s="5"/>
      <c r="BN73" s="5"/>
      <c r="BO73" s="5"/>
      <c r="BP73" s="5"/>
      <c r="BQ73" s="95" t="str" cm="1">
        <f t="array" ref="BQ73">_xlfn.IFS(MONTH(BR73)&lt;4,1,MONTH(BR73)&lt;7,2,MONTH(BR73)&lt;10,3,MONTH(BR73)&gt;9,4)&amp;"Q"&amp;RIGHT(YEAR(BR73),2)</f>
        <v>1Q20</v>
      </c>
      <c r="BR73" s="81">
        <f t="shared" si="15"/>
        <v>43890</v>
      </c>
      <c r="BS73" s="106">
        <f t="shared" si="16"/>
        <v>43890</v>
      </c>
      <c r="BT73" s="85"/>
      <c r="BU73" s="85"/>
      <c r="BV73" s="85">
        <v>2.88</v>
      </c>
      <c r="BW73" s="85"/>
      <c r="BX73" s="85"/>
      <c r="CA73" s="35">
        <f t="shared" si="41"/>
        <v>43890</v>
      </c>
      <c r="CB73" s="35"/>
      <c r="CC73" s="35"/>
      <c r="CD73" s="26">
        <v>25</v>
      </c>
      <c r="CE73" s="26">
        <v>115.54</v>
      </c>
      <c r="CF73" s="26">
        <v>230.84</v>
      </c>
      <c r="CG73" s="26"/>
      <c r="CH73" s="26"/>
      <c r="CI73" s="26"/>
      <c r="CJ73" s="26"/>
      <c r="CK73" s="26"/>
      <c r="CL73" s="26"/>
      <c r="CM73" s="26"/>
      <c r="CN73" s="26"/>
      <c r="CO73" s="26"/>
      <c r="CP73" s="26"/>
      <c r="CQ73" s="26">
        <v>1.76</v>
      </c>
      <c r="CR73" s="26">
        <v>1.6</v>
      </c>
      <c r="CS73" s="27"/>
      <c r="CT73" s="113"/>
      <c r="CU73" s="113"/>
      <c r="CV73" s="113"/>
      <c r="CW73" s="27"/>
      <c r="CX73" s="117"/>
      <c r="CY73" s="113"/>
      <c r="CZ73" s="108">
        <f t="shared" si="42"/>
        <v>0.0121457489878543</v>
      </c>
      <c r="DA73" s="108">
        <f t="shared" si="39"/>
        <v>0.0600000000000001</v>
      </c>
      <c r="DB73" s="108">
        <f t="shared" si="39"/>
        <v>0.0637788018433181</v>
      </c>
      <c r="DC73" s="108"/>
      <c r="DD73" s="108"/>
      <c r="DE73" s="108"/>
      <c r="DF73" s="108"/>
      <c r="DG73" s="108"/>
      <c r="DH73" s="108"/>
      <c r="DI73" s="108"/>
      <c r="DJ73" s="108"/>
      <c r="DK73" s="108"/>
      <c r="DL73" s="108"/>
      <c r="DM73" s="108">
        <f t="shared" si="62"/>
        <v>0.0476190476190477</v>
      </c>
      <c r="DN73" s="108">
        <f t="shared" si="62"/>
        <v>0.0596026490066226</v>
      </c>
      <c r="DQ73" s="114">
        <f t="shared" si="37"/>
        <v>3.610625</v>
      </c>
      <c r="DR73" s="114">
        <f t="shared" si="38"/>
        <v>3.606875</v>
      </c>
      <c r="FK73" s="104"/>
      <c r="FV73" s="104">
        <f t="shared" si="50"/>
        <v>2010</v>
      </c>
      <c r="FW73" s="104">
        <f t="shared" si="51"/>
        <v>49</v>
      </c>
      <c r="FX73" s="35">
        <v>40512</v>
      </c>
      <c r="FY73" s="26">
        <v>2.29</v>
      </c>
      <c r="FZ73" s="94">
        <f t="shared" si="52"/>
        <v>9.16</v>
      </c>
      <c r="GA73" s="104">
        <f t="shared" si="53"/>
        <v>2012</v>
      </c>
      <c r="GB73" s="104">
        <f t="shared" si="54"/>
        <v>29</v>
      </c>
      <c r="GC73" s="35">
        <v>41106</v>
      </c>
      <c r="GD73" s="26">
        <v>1.11</v>
      </c>
      <c r="GE73" s="94">
        <f t="shared" si="55"/>
        <v>4.44</v>
      </c>
      <c r="GF73" s="104">
        <f t="shared" si="56"/>
        <v>2013</v>
      </c>
      <c r="GG73" s="104">
        <f t="shared" si="57"/>
        <v>11</v>
      </c>
      <c r="GH73" s="35">
        <v>41345</v>
      </c>
      <c r="GI73" s="26">
        <v>3.473</v>
      </c>
      <c r="GJ73" s="94">
        <f t="shared" si="58"/>
        <v>6.946</v>
      </c>
      <c r="GK73" s="104">
        <f t="shared" si="59"/>
        <v>2014</v>
      </c>
      <c r="GL73" s="104">
        <f t="shared" si="60"/>
        <v>44</v>
      </c>
      <c r="GM73" s="35">
        <v>41942</v>
      </c>
      <c r="GN73" s="26">
        <v>3.78</v>
      </c>
      <c r="GO73" s="94">
        <f t="shared" si="61"/>
        <v>7.56</v>
      </c>
      <c r="GP73" s="59"/>
    </row>
    <row r="74" ht="16.8" spans="3:198">
      <c r="C74" s="80" t="str" cm="1">
        <f t="array" ref="C74">_xlfn.IFS(MONTH(D74)&lt;4,1,MONTH(D74)&lt;7,2,MONTH(D74)&lt;10,3,MONTH(D74)&gt;9,4)&amp;"Q"&amp;RIGHT(YEAR(D74),2)</f>
        <v>2Q16</v>
      </c>
      <c r="D74" s="81">
        <f t="shared" si="11"/>
        <v>42490</v>
      </c>
      <c r="E74" s="82">
        <f t="shared" si="3"/>
        <v>42489</v>
      </c>
      <c r="F74" s="83">
        <f t="shared" si="4"/>
        <v>0.584375</v>
      </c>
      <c r="G74" s="83">
        <f t="shared" si="4"/>
        <v>0.3864</v>
      </c>
      <c r="H74" s="81"/>
      <c r="I74" s="84">
        <v>42489</v>
      </c>
      <c r="J74" s="85">
        <v>4.97</v>
      </c>
      <c r="K74" s="85">
        <v>4.65</v>
      </c>
      <c r="L74" s="86">
        <v>4.675</v>
      </c>
      <c r="M74" s="87">
        <v>3.0912</v>
      </c>
      <c r="N74" s="88"/>
      <c r="O74" s="88"/>
      <c r="P74" s="88"/>
      <c r="Q74" s="89">
        <f t="shared" si="5"/>
        <v>0.512357660455486</v>
      </c>
      <c r="R74" s="5"/>
      <c r="S74" s="5"/>
      <c r="T74" s="5"/>
      <c r="U74" s="5"/>
      <c r="V74" s="5"/>
      <c r="W74" s="5"/>
      <c r="X74" s="5"/>
      <c r="Y74" s="5"/>
      <c r="Z74" s="5"/>
      <c r="AA74" s="5"/>
      <c r="AB74" s="5"/>
      <c r="AC74" s="5"/>
      <c r="AD74" s="5"/>
      <c r="AE74" s="5"/>
      <c r="AF74" s="5"/>
      <c r="AG74" s="5"/>
      <c r="AH74" s="105">
        <f t="shared" si="35"/>
        <v>42804</v>
      </c>
      <c r="AI74" s="91">
        <f t="shared" si="12"/>
        <v>6.886</v>
      </c>
      <c r="AJ74" s="36">
        <f t="shared" si="13"/>
        <v>0.00540224850343107</v>
      </c>
      <c r="AK74" s="36">
        <f t="shared" si="32"/>
        <v>-0.00087057457922235</v>
      </c>
      <c r="AL74" s="105"/>
      <c r="AM74" s="91"/>
      <c r="AN74" s="36"/>
      <c r="AO74" s="36"/>
      <c r="AP74" s="36"/>
      <c r="AQ74" s="92" t="str" cm="1">
        <f t="array" ref="AQ74">_xlfn.IFS(MONTH(AR74)&lt;4,1,MONTH(AR74)&lt;7,2,MONTH(AR74)&lt;10,3,MONTH(AR74)&gt;9,4)&amp;"Q"&amp;RIGHT(YEAR(AR74),2)</f>
        <v>4Q19</v>
      </c>
      <c r="AR74" s="92">
        <f t="shared" si="14"/>
        <v>43830</v>
      </c>
      <c r="AS74" s="109">
        <v>43808</v>
      </c>
      <c r="AT74" s="110"/>
      <c r="AU74" s="94" cm="1">
        <f t="array" ref="AU74">INDEX($CE$29:$CE$1449,MATCH($AR74,$CA$29:$CA$1449,0),)</f>
        <v>106.01</v>
      </c>
      <c r="AV74" s="110"/>
      <c r="AW74" s="94" cm="1">
        <f t="array" ref="AW74">INDEX($CF$29:$CF$1449,MATCH($AR74,$CA$29:$CA$1449,0),)</f>
        <v>215</v>
      </c>
      <c r="AX74" s="94"/>
      <c r="AY74" s="94"/>
      <c r="AZ74" s="94"/>
      <c r="BA74" s="94"/>
      <c r="BB74" s="5"/>
      <c r="BC74" s="5"/>
      <c r="BD74" s="5"/>
      <c r="BE74" s="5"/>
      <c r="BF74" s="5"/>
      <c r="BG74" s="5"/>
      <c r="BH74" s="5"/>
      <c r="BI74" s="5"/>
      <c r="BJ74" s="5"/>
      <c r="BK74" s="5"/>
      <c r="BL74" s="5"/>
      <c r="BM74" s="5"/>
      <c r="BN74" s="5"/>
      <c r="BO74" s="5"/>
      <c r="BP74" s="5"/>
      <c r="BQ74" s="95" t="str" cm="1">
        <f t="array" ref="BQ74">_xlfn.IFS(MONTH(BR74)&lt;4,1,MONTH(BR74)&lt;7,2,MONTH(BR74)&lt;10,3,MONTH(BR74)&gt;9,4)&amp;"Q"&amp;RIGHT(YEAR(BR74),2)</f>
        <v>1Q20</v>
      </c>
      <c r="BR74" s="81">
        <f t="shared" si="15"/>
        <v>43921</v>
      </c>
      <c r="BS74" s="106">
        <f t="shared" si="16"/>
        <v>43921</v>
      </c>
      <c r="BT74" s="85"/>
      <c r="BU74" s="85"/>
      <c r="BV74" s="85">
        <v>2.94</v>
      </c>
      <c r="BW74" s="85"/>
      <c r="BX74" s="85"/>
      <c r="CA74" s="35">
        <f t="shared" si="41"/>
        <v>43921</v>
      </c>
      <c r="CB74" s="35"/>
      <c r="CC74" s="35"/>
      <c r="CD74" s="26">
        <v>25.5</v>
      </c>
      <c r="CE74" s="26">
        <v>121.32</v>
      </c>
      <c r="CF74" s="26">
        <v>244.45</v>
      </c>
      <c r="CG74" s="26"/>
      <c r="CH74" s="26"/>
      <c r="CI74" s="26"/>
      <c r="CJ74" s="26"/>
      <c r="CK74" s="26"/>
      <c r="CL74" s="26"/>
      <c r="CM74" s="26"/>
      <c r="CN74" s="26"/>
      <c r="CO74" s="26"/>
      <c r="CP74" s="26"/>
      <c r="CQ74" s="26">
        <v>1.85</v>
      </c>
      <c r="CR74" s="26">
        <v>1.65</v>
      </c>
      <c r="CS74" s="27"/>
      <c r="CT74" s="113"/>
      <c r="CU74" s="113"/>
      <c r="CV74" s="113"/>
      <c r="CW74" s="27"/>
      <c r="CX74" s="117"/>
      <c r="CY74" s="113"/>
      <c r="CZ74" s="108">
        <f t="shared" si="42"/>
        <v>0.02</v>
      </c>
      <c r="DA74" s="108">
        <f t="shared" si="39"/>
        <v>0.0500259650337544</v>
      </c>
      <c r="DB74" s="108">
        <f t="shared" si="39"/>
        <v>0.0589585860336164</v>
      </c>
      <c r="DC74" s="108"/>
      <c r="DD74" s="108"/>
      <c r="DE74" s="108"/>
      <c r="DF74" s="108"/>
      <c r="DG74" s="108"/>
      <c r="DH74" s="108"/>
      <c r="DI74" s="108"/>
      <c r="DJ74" s="108"/>
      <c r="DK74" s="108"/>
      <c r="DL74" s="108"/>
      <c r="DM74" s="108">
        <f t="shared" si="62"/>
        <v>0.0511363636363638</v>
      </c>
      <c r="DN74" s="108">
        <f t="shared" si="62"/>
        <v>0.0312499999999998</v>
      </c>
      <c r="DQ74" s="114">
        <f t="shared" si="37"/>
        <v>3.79125</v>
      </c>
      <c r="DR74" s="114">
        <f t="shared" si="38"/>
        <v>3.81953125</v>
      </c>
      <c r="FK74" s="104"/>
      <c r="FV74" s="104">
        <f t="shared" si="50"/>
        <v>2010</v>
      </c>
      <c r="FW74" s="104">
        <f t="shared" si="51"/>
        <v>49</v>
      </c>
      <c r="FX74" s="35">
        <v>40513</v>
      </c>
      <c r="FY74" s="26">
        <v>2.19</v>
      </c>
      <c r="FZ74" s="94">
        <f t="shared" si="52"/>
        <v>8.76</v>
      </c>
      <c r="GA74" s="104">
        <f t="shared" si="53"/>
        <v>2012</v>
      </c>
      <c r="GB74" s="104">
        <f t="shared" si="54"/>
        <v>31</v>
      </c>
      <c r="GC74" s="35">
        <v>41120</v>
      </c>
      <c r="GD74" s="26">
        <v>1.08</v>
      </c>
      <c r="GE74" s="94">
        <f t="shared" si="55"/>
        <v>4.32</v>
      </c>
      <c r="GF74" s="104">
        <f t="shared" si="56"/>
        <v>2013</v>
      </c>
      <c r="GG74" s="104">
        <f t="shared" si="57"/>
        <v>11</v>
      </c>
      <c r="GH74" s="35">
        <v>41346</v>
      </c>
      <c r="GI74" s="26">
        <v>3.478</v>
      </c>
      <c r="GJ74" s="94">
        <f t="shared" si="58"/>
        <v>6.956</v>
      </c>
      <c r="GK74" s="104">
        <f t="shared" si="59"/>
        <v>2014</v>
      </c>
      <c r="GL74" s="104">
        <f t="shared" si="60"/>
        <v>46</v>
      </c>
      <c r="GM74" s="35">
        <v>41957</v>
      </c>
      <c r="GN74" s="26">
        <v>3.66</v>
      </c>
      <c r="GO74" s="94">
        <f t="shared" si="61"/>
        <v>7.32</v>
      </c>
      <c r="GP74" s="59"/>
    </row>
    <row r="75" ht="16.8" spans="3:198">
      <c r="C75" s="80" t="str" cm="1">
        <f t="array" ref="C75">_xlfn.IFS(MONTH(D75)&lt;4,1,MONTH(D75)&lt;7,2,MONTH(D75)&lt;10,3,MONTH(D75)&gt;9,4)&amp;"Q"&amp;RIGHT(YEAR(D75),2)</f>
        <v>2Q16</v>
      </c>
      <c r="D75" s="81">
        <f t="shared" si="11"/>
        <v>42521</v>
      </c>
      <c r="E75" s="82">
        <f t="shared" si="3"/>
        <v>42493</v>
      </c>
      <c r="F75" s="83">
        <f t="shared" si="4"/>
        <v>0.58425</v>
      </c>
      <c r="G75" s="83">
        <f t="shared" si="4"/>
        <v>0.3668</v>
      </c>
      <c r="H75" s="81"/>
      <c r="I75" s="84">
        <v>42493</v>
      </c>
      <c r="J75" s="85">
        <v>4.97</v>
      </c>
      <c r="K75" s="85">
        <v>4.65</v>
      </c>
      <c r="L75" s="86">
        <v>4.674</v>
      </c>
      <c r="M75" s="87">
        <v>2.9344</v>
      </c>
      <c r="N75" s="88"/>
      <c r="O75" s="88"/>
      <c r="P75" s="88"/>
      <c r="Q75" s="89">
        <f t="shared" si="5"/>
        <v>0.59282988004362</v>
      </c>
      <c r="R75" s="5"/>
      <c r="S75" s="5"/>
      <c r="T75" s="5"/>
      <c r="U75" s="5"/>
      <c r="V75" s="5"/>
      <c r="W75" s="5"/>
      <c r="X75" s="5"/>
      <c r="Y75" s="5"/>
      <c r="Z75" s="5"/>
      <c r="AA75" s="5"/>
      <c r="AB75" s="5"/>
      <c r="AC75" s="5"/>
      <c r="AD75" s="5"/>
      <c r="AE75" s="5"/>
      <c r="AF75" s="5"/>
      <c r="AG75" s="5"/>
      <c r="AH75" s="105">
        <f t="shared" si="35"/>
        <v>42814</v>
      </c>
      <c r="AI75" s="91">
        <f t="shared" si="12"/>
        <v>6.821</v>
      </c>
      <c r="AJ75" s="36">
        <f t="shared" si="13"/>
        <v>-0.00943944234679062</v>
      </c>
      <c r="AK75" s="36">
        <f t="shared" si="32"/>
        <v>-0.00408818805665068</v>
      </c>
      <c r="AL75" s="105"/>
      <c r="AM75" s="91"/>
      <c r="AN75" s="36"/>
      <c r="AO75" s="36"/>
      <c r="AP75" s="36"/>
      <c r="AQ75" s="92" t="str" cm="1">
        <f t="array" ref="AQ75">_xlfn.IFS(MONTH(AR75)&lt;4,1,MONTH(AR75)&lt;7,2,MONTH(AR75)&lt;10,3,MONTH(AR75)&gt;9,4)&amp;"Q"&amp;RIGHT(YEAR(AR75),2)</f>
        <v>4Q19</v>
      </c>
      <c r="AR75" s="92">
        <f t="shared" si="14"/>
        <v>43830</v>
      </c>
      <c r="AS75" s="109">
        <v>43815</v>
      </c>
      <c r="AT75" s="110"/>
      <c r="AU75" s="94" cm="1">
        <f t="array" ref="AU75">INDEX($CE$29:$CE$1449,MATCH($AR75,$CA$29:$CA$1449,0),)</f>
        <v>106.01</v>
      </c>
      <c r="AV75" s="110"/>
      <c r="AW75" s="94" cm="1">
        <f t="array" ref="AW75">INDEX($CF$29:$CF$1449,MATCH($AR75,$CA$29:$CA$1449,0),)</f>
        <v>215</v>
      </c>
      <c r="AX75" s="94"/>
      <c r="AY75" s="94"/>
      <c r="AZ75" s="94"/>
      <c r="BA75" s="94"/>
      <c r="BB75" s="5"/>
      <c r="BC75" s="5"/>
      <c r="BD75" s="5"/>
      <c r="BE75" s="5"/>
      <c r="BF75" s="5"/>
      <c r="BG75" s="5"/>
      <c r="BH75" s="5"/>
      <c r="BI75" s="5"/>
      <c r="BJ75" s="5"/>
      <c r="BK75" s="5"/>
      <c r="BL75" s="5"/>
      <c r="BM75" s="5"/>
      <c r="BN75" s="5"/>
      <c r="BO75" s="5"/>
      <c r="BP75" s="5"/>
      <c r="BQ75" s="95" t="str" cm="1">
        <f t="array" ref="BQ75">_xlfn.IFS(MONTH(BR75)&lt;4,1,MONTH(BR75)&lt;7,2,MONTH(BR75)&lt;10,3,MONTH(BR75)&gt;9,4)&amp;"Q"&amp;RIGHT(YEAR(BR75),2)</f>
        <v>2Q20</v>
      </c>
      <c r="BR75" s="81">
        <f t="shared" si="15"/>
        <v>43951</v>
      </c>
      <c r="BS75" s="106">
        <f t="shared" si="16"/>
        <v>43951</v>
      </c>
      <c r="BT75" s="85"/>
      <c r="BU75" s="85"/>
      <c r="BV75" s="85">
        <v>3.29</v>
      </c>
      <c r="BW75" s="85"/>
      <c r="BX75" s="85"/>
      <c r="CA75" s="35">
        <f t="shared" si="41"/>
        <v>43951</v>
      </c>
      <c r="CB75" s="35"/>
      <c r="CC75" s="35"/>
      <c r="CD75" s="26">
        <v>28.3</v>
      </c>
      <c r="CE75" s="26">
        <v>143.15</v>
      </c>
      <c r="CF75" s="26">
        <v>288</v>
      </c>
      <c r="CG75" s="26"/>
      <c r="CH75" s="26"/>
      <c r="CI75" s="26"/>
      <c r="CJ75" s="26"/>
      <c r="CK75" s="26"/>
      <c r="CL75" s="26"/>
      <c r="CM75" s="26"/>
      <c r="CN75" s="26"/>
      <c r="CO75" s="26"/>
      <c r="CP75" s="26"/>
      <c r="CQ75" s="26">
        <v>1.91</v>
      </c>
      <c r="CR75" s="26">
        <v>1.7</v>
      </c>
      <c r="CS75" s="27"/>
      <c r="CT75" s="113"/>
      <c r="CU75" s="113"/>
      <c r="CV75" s="113"/>
      <c r="CW75" s="27"/>
      <c r="CX75" s="117"/>
      <c r="CY75" s="113"/>
      <c r="CZ75" s="108">
        <f t="shared" si="42"/>
        <v>0.109803921568628</v>
      </c>
      <c r="DA75" s="108">
        <f t="shared" si="39"/>
        <v>0.17993735575338</v>
      </c>
      <c r="DB75" s="108">
        <f t="shared" si="39"/>
        <v>0.178155041930865</v>
      </c>
      <c r="DC75" s="108"/>
      <c r="DD75" s="108"/>
      <c r="DE75" s="108"/>
      <c r="DF75" s="108"/>
      <c r="DG75" s="108"/>
      <c r="DH75" s="108"/>
      <c r="DI75" s="108"/>
      <c r="DJ75" s="108"/>
      <c r="DK75" s="108"/>
      <c r="DL75" s="108"/>
      <c r="DM75" s="108">
        <f t="shared" si="62"/>
        <v>0.0324324324324323</v>
      </c>
      <c r="DN75" s="108">
        <f t="shared" si="62"/>
        <v>0.0303030303030303</v>
      </c>
      <c r="DQ75" s="114">
        <f t="shared" si="37"/>
        <v>4.4734375</v>
      </c>
      <c r="DR75" s="114">
        <f t="shared" si="38"/>
        <v>4.5</v>
      </c>
      <c r="FK75" s="104"/>
      <c r="FV75" s="104">
        <f t="shared" si="50"/>
        <v>2010</v>
      </c>
      <c r="FW75" s="104">
        <f t="shared" si="51"/>
        <v>49</v>
      </c>
      <c r="FX75" s="35">
        <v>40514</v>
      </c>
      <c r="FY75" s="26">
        <v>2.12</v>
      </c>
      <c r="FZ75" s="94">
        <f t="shared" si="52"/>
        <v>8.48</v>
      </c>
      <c r="GA75" s="104">
        <f t="shared" si="53"/>
        <v>2012</v>
      </c>
      <c r="GB75" s="104">
        <f t="shared" si="54"/>
        <v>33</v>
      </c>
      <c r="GC75" s="35">
        <v>41135</v>
      </c>
      <c r="GD75" s="26">
        <v>1.02</v>
      </c>
      <c r="GE75" s="94">
        <f t="shared" si="55"/>
        <v>4.08</v>
      </c>
      <c r="GF75" s="104">
        <f t="shared" si="56"/>
        <v>2013</v>
      </c>
      <c r="GG75" s="104">
        <f t="shared" si="57"/>
        <v>11</v>
      </c>
      <c r="GH75" s="35">
        <v>41347</v>
      </c>
      <c r="GI75" s="26">
        <v>3.478</v>
      </c>
      <c r="GJ75" s="94">
        <f t="shared" si="58"/>
        <v>6.956</v>
      </c>
      <c r="GK75" s="104">
        <f t="shared" si="59"/>
        <v>2014</v>
      </c>
      <c r="GL75" s="104">
        <f t="shared" si="60"/>
        <v>48</v>
      </c>
      <c r="GM75" s="35">
        <v>41971</v>
      </c>
      <c r="GN75" s="26">
        <v>3.66</v>
      </c>
      <c r="GO75" s="94">
        <f t="shared" si="61"/>
        <v>7.32</v>
      </c>
      <c r="GP75" s="59"/>
    </row>
    <row r="76" ht="16.8" spans="3:198">
      <c r="C76" s="80" t="str" cm="1">
        <f t="array" ref="C76">_xlfn.IFS(MONTH(D76)&lt;4,1,MONTH(D76)&lt;7,2,MONTH(D76)&lt;10,3,MONTH(D76)&gt;9,4)&amp;"Q"&amp;RIGHT(YEAR(D76),2)</f>
        <v>2Q16</v>
      </c>
      <c r="D76" s="81">
        <f t="shared" si="11"/>
        <v>42521</v>
      </c>
      <c r="E76" s="82">
        <f t="shared" si="3"/>
        <v>42494</v>
      </c>
      <c r="F76" s="83">
        <f t="shared" si="4"/>
        <v>0.58375</v>
      </c>
      <c r="G76" s="83">
        <f t="shared" si="4"/>
        <v>0.3668</v>
      </c>
      <c r="H76" s="81"/>
      <c r="I76" s="84">
        <v>42494</v>
      </c>
      <c r="J76" s="85">
        <v>4.95</v>
      </c>
      <c r="K76" s="85">
        <v>4.62</v>
      </c>
      <c r="L76" s="86">
        <v>4.67</v>
      </c>
      <c r="M76" s="87">
        <v>2.9344</v>
      </c>
      <c r="N76" s="88"/>
      <c r="O76" s="88"/>
      <c r="P76" s="88"/>
      <c r="Q76" s="89">
        <f t="shared" si="5"/>
        <v>0.591466739367502</v>
      </c>
      <c r="R76" s="5"/>
      <c r="S76" s="5"/>
      <c r="T76" s="5"/>
      <c r="U76" s="5"/>
      <c r="V76" s="5"/>
      <c r="W76" s="5"/>
      <c r="X76" s="5"/>
      <c r="Y76" s="5"/>
      <c r="Z76" s="5"/>
      <c r="AA76" s="5"/>
      <c r="AB76" s="5"/>
      <c r="AC76" s="5"/>
      <c r="AD76" s="5"/>
      <c r="AE76" s="5"/>
      <c r="AF76" s="5"/>
      <c r="AG76" s="5"/>
      <c r="AH76" s="105">
        <f t="shared" si="35"/>
        <v>42822</v>
      </c>
      <c r="AI76" s="91">
        <f t="shared" si="12"/>
        <v>6.78</v>
      </c>
      <c r="AJ76" s="36">
        <f t="shared" si="13"/>
        <v>-0.00601084884914227</v>
      </c>
      <c r="AK76" s="36">
        <f t="shared" si="32"/>
        <v>-0.0153935521347661</v>
      </c>
      <c r="AL76" s="105"/>
      <c r="AM76" s="91"/>
      <c r="AN76" s="36"/>
      <c r="AO76" s="36"/>
      <c r="AP76" s="36"/>
      <c r="AQ76" s="92" t="str" cm="1">
        <f t="array" ref="AQ76">_xlfn.IFS(MONTH(AR76)&lt;4,1,MONTH(AR76)&lt;7,2,MONTH(AR76)&lt;10,3,MONTH(AR76)&gt;9,4)&amp;"Q"&amp;RIGHT(YEAR(AR76),2)</f>
        <v>4Q19</v>
      </c>
      <c r="AR76" s="92">
        <f t="shared" si="14"/>
        <v>43830</v>
      </c>
      <c r="AS76" s="109">
        <v>43822</v>
      </c>
      <c r="AT76" s="110"/>
      <c r="AU76" s="94" cm="1">
        <f t="array" ref="AU76">INDEX($CE$29:$CE$1449,MATCH($AR76,$CA$29:$CA$1449,0),)</f>
        <v>106.01</v>
      </c>
      <c r="AV76" s="110"/>
      <c r="AW76" s="94" cm="1">
        <f t="array" ref="AW76">INDEX($CF$29:$CF$1449,MATCH($AR76,$CA$29:$CA$1449,0),)</f>
        <v>215</v>
      </c>
      <c r="AX76" s="94"/>
      <c r="AY76" s="94"/>
      <c r="AZ76" s="94"/>
      <c r="BA76" s="94"/>
      <c r="BB76" s="5"/>
      <c r="BC76" s="5"/>
      <c r="BD76" s="5"/>
      <c r="BE76" s="5"/>
      <c r="BF76" s="5"/>
      <c r="BG76" s="5"/>
      <c r="BH76" s="5"/>
      <c r="BI76" s="5"/>
      <c r="BJ76" s="5"/>
      <c r="BK76" s="5"/>
      <c r="BL76" s="5"/>
      <c r="BM76" s="5"/>
      <c r="BN76" s="5"/>
      <c r="BO76" s="5"/>
      <c r="BP76" s="5"/>
      <c r="BQ76" s="95" t="str" cm="1">
        <f t="array" ref="BQ76">_xlfn.IFS(MONTH(BR76)&lt;4,1,MONTH(BR76)&lt;7,2,MONTH(BR76)&lt;10,3,MONTH(BR76)&gt;9,4)&amp;"Q"&amp;RIGHT(YEAR(BR76),2)</f>
        <v>2Q20</v>
      </c>
      <c r="BR76" s="81">
        <f t="shared" si="15"/>
        <v>43982</v>
      </c>
      <c r="BS76" s="106">
        <f t="shared" si="16"/>
        <v>43982</v>
      </c>
      <c r="BT76" s="85"/>
      <c r="BU76" s="85"/>
      <c r="BV76" s="85">
        <v>3.31</v>
      </c>
      <c r="BW76" s="85"/>
      <c r="BX76" s="85"/>
      <c r="CA76" s="35">
        <f t="shared" si="41"/>
        <v>43982</v>
      </c>
      <c r="CB76" s="35"/>
      <c r="CC76" s="35"/>
      <c r="CD76" s="26">
        <v>28.5</v>
      </c>
      <c r="CE76" s="26">
        <v>143.15</v>
      </c>
      <c r="CF76" s="26">
        <v>288</v>
      </c>
      <c r="CG76" s="26"/>
      <c r="CH76" s="26"/>
      <c r="CI76" s="26"/>
      <c r="CJ76" s="26"/>
      <c r="CK76" s="26"/>
      <c r="CL76" s="26"/>
      <c r="CM76" s="26"/>
      <c r="CN76" s="26"/>
      <c r="CO76" s="26"/>
      <c r="CP76" s="26"/>
      <c r="CQ76" s="26">
        <v>1.91</v>
      </c>
      <c r="CR76" s="26">
        <v>1.7</v>
      </c>
      <c r="CS76" s="27"/>
      <c r="CT76" s="113"/>
      <c r="CU76" s="113"/>
      <c r="CV76" s="113"/>
      <c r="CW76" s="27"/>
      <c r="CX76" s="117"/>
      <c r="CY76" s="113"/>
      <c r="CZ76" s="108">
        <f t="shared" si="42"/>
        <v>0.00706713780918733</v>
      </c>
      <c r="DA76" s="108">
        <f t="shared" si="39"/>
        <v>0</v>
      </c>
      <c r="DB76" s="108">
        <f t="shared" si="39"/>
        <v>0</v>
      </c>
      <c r="DC76" s="108"/>
      <c r="DD76" s="108"/>
      <c r="DE76" s="108"/>
      <c r="DF76" s="108"/>
      <c r="DG76" s="108"/>
      <c r="DH76" s="108"/>
      <c r="DI76" s="108"/>
      <c r="DJ76" s="108"/>
      <c r="DK76" s="108"/>
      <c r="DL76" s="108"/>
      <c r="DM76" s="108">
        <f t="shared" si="62"/>
        <v>0</v>
      </c>
      <c r="DN76" s="108">
        <f t="shared" si="62"/>
        <v>0</v>
      </c>
      <c r="DQ76" s="114">
        <f t="shared" si="37"/>
        <v>4.4734375</v>
      </c>
      <c r="DR76" s="114">
        <f t="shared" si="38"/>
        <v>4.5</v>
      </c>
      <c r="FK76" s="104"/>
      <c r="FV76" s="104">
        <f t="shared" si="50"/>
        <v>2010</v>
      </c>
      <c r="FW76" s="104">
        <f t="shared" si="51"/>
        <v>49</v>
      </c>
      <c r="FX76" s="35">
        <v>40515</v>
      </c>
      <c r="FY76" s="26">
        <v>2.09</v>
      </c>
      <c r="FZ76" s="94">
        <f t="shared" si="52"/>
        <v>8.36</v>
      </c>
      <c r="GA76" s="104">
        <f t="shared" si="53"/>
        <v>2012</v>
      </c>
      <c r="GB76" s="104">
        <f t="shared" si="54"/>
        <v>35</v>
      </c>
      <c r="GC76" s="35">
        <v>41152</v>
      </c>
      <c r="GD76" s="26">
        <v>0.97</v>
      </c>
      <c r="GE76" s="94">
        <f t="shared" si="55"/>
        <v>3.88</v>
      </c>
      <c r="GF76" s="104">
        <f t="shared" si="56"/>
        <v>2013</v>
      </c>
      <c r="GG76" s="104">
        <f t="shared" si="57"/>
        <v>11</v>
      </c>
      <c r="GH76" s="35">
        <v>41348</v>
      </c>
      <c r="GI76" s="26">
        <v>3.458</v>
      </c>
      <c r="GJ76" s="94">
        <f t="shared" si="58"/>
        <v>6.916</v>
      </c>
      <c r="GK76" s="104">
        <f t="shared" si="59"/>
        <v>2014</v>
      </c>
      <c r="GL76" s="104">
        <f t="shared" si="60"/>
        <v>50</v>
      </c>
      <c r="GM76" s="35">
        <v>41985</v>
      </c>
      <c r="GN76" s="26">
        <v>3.59</v>
      </c>
      <c r="GO76" s="94">
        <f t="shared" si="61"/>
        <v>7.18</v>
      </c>
      <c r="GP76" s="59"/>
    </row>
    <row r="77" ht="16.8" spans="3:198">
      <c r="C77" s="80" t="str" cm="1">
        <f t="array" ref="C77">_xlfn.IFS(MONTH(D77)&lt;4,1,MONTH(D77)&lt;7,2,MONTH(D77)&lt;10,3,MONTH(D77)&gt;9,4)&amp;"Q"&amp;RIGHT(YEAR(D77),2)</f>
        <v>2Q16</v>
      </c>
      <c r="D77" s="81">
        <f t="shared" si="11"/>
        <v>42521</v>
      </c>
      <c r="E77" s="82">
        <f t="shared" si="3"/>
        <v>42495</v>
      </c>
      <c r="F77" s="83">
        <f t="shared" si="4"/>
        <v>0.566625</v>
      </c>
      <c r="G77" s="83">
        <f t="shared" si="4"/>
        <v>0.3668</v>
      </c>
      <c r="H77" s="81"/>
      <c r="I77" s="84">
        <v>42495</v>
      </c>
      <c r="J77" s="85">
        <v>4.85</v>
      </c>
      <c r="K77" s="85">
        <v>4.4</v>
      </c>
      <c r="L77" s="86">
        <v>4.533</v>
      </c>
      <c r="M77" s="87">
        <v>2.9344</v>
      </c>
      <c r="N77" s="88"/>
      <c r="O77" s="88"/>
      <c r="P77" s="88"/>
      <c r="Q77" s="89">
        <f t="shared" si="5"/>
        <v>0.544779171210469</v>
      </c>
      <c r="R77" s="5"/>
      <c r="S77" s="5"/>
      <c r="T77" s="5"/>
      <c r="U77" s="5"/>
      <c r="V77" s="5"/>
      <c r="W77" s="5"/>
      <c r="X77" s="5"/>
      <c r="Y77" s="5"/>
      <c r="Z77" s="5"/>
      <c r="AA77" s="5"/>
      <c r="AB77" s="5"/>
      <c r="AC77" s="5"/>
      <c r="AD77" s="5"/>
      <c r="AE77" s="5"/>
      <c r="AF77" s="5"/>
      <c r="AG77" s="5"/>
      <c r="AH77" s="105">
        <f t="shared" si="35"/>
        <v>42830</v>
      </c>
      <c r="AI77" s="91">
        <f t="shared" si="12"/>
        <v>6.79</v>
      </c>
      <c r="AJ77" s="36">
        <f t="shared" si="13"/>
        <v>0.00147492625368728</v>
      </c>
      <c r="AK77" s="36">
        <f t="shared" si="32"/>
        <v>-0.00454478815422954</v>
      </c>
      <c r="AL77" s="105"/>
      <c r="AM77" s="91"/>
      <c r="AN77" s="36"/>
      <c r="AO77" s="36"/>
      <c r="AP77" s="36"/>
      <c r="AQ77" s="92" t="str" cm="1">
        <f t="array" ref="AQ77">_xlfn.IFS(MONTH(AR77)&lt;4,1,MONTH(AR77)&lt;7,2,MONTH(AR77)&lt;10,3,MONTH(AR77)&gt;9,4)&amp;"Q"&amp;RIGHT(YEAR(AR77),2)</f>
        <v>4Q19</v>
      </c>
      <c r="AR77" s="92">
        <f t="shared" si="14"/>
        <v>43830</v>
      </c>
      <c r="AS77" s="109">
        <v>43829</v>
      </c>
      <c r="AT77" s="110"/>
      <c r="AU77" s="94" cm="1">
        <f t="array" ref="AU77">INDEX($CE$29:$CE$1449,MATCH($AR77,$CA$29:$CA$1449,0),)</f>
        <v>106.01</v>
      </c>
      <c r="AV77" s="110"/>
      <c r="AW77" s="94" cm="1">
        <f t="array" ref="AW77">INDEX($CF$29:$CF$1449,MATCH($AR77,$CA$29:$CA$1449,0),)</f>
        <v>215</v>
      </c>
      <c r="AX77" s="94"/>
      <c r="AY77" s="94"/>
      <c r="AZ77" s="94"/>
      <c r="BA77" s="94"/>
      <c r="BB77" s="5"/>
      <c r="BC77" s="5"/>
      <c r="BD77" s="5"/>
      <c r="BE77" s="5"/>
      <c r="BF77" s="5"/>
      <c r="BG77" s="5"/>
      <c r="BH77" s="5"/>
      <c r="BI77" s="5"/>
      <c r="BJ77" s="5"/>
      <c r="BK77" s="5"/>
      <c r="BL77" s="5"/>
      <c r="BM77" s="5"/>
      <c r="BN77" s="5"/>
      <c r="BO77" s="5"/>
      <c r="BP77" s="5"/>
      <c r="BQ77" s="95" t="str" cm="1">
        <f t="array" ref="BQ77">_xlfn.IFS(MONTH(BR77)&lt;4,1,MONTH(BR77)&lt;7,2,MONTH(BR77)&lt;10,3,MONTH(BR77)&gt;9,4)&amp;"Q"&amp;RIGHT(YEAR(BR77),2)</f>
        <v>2Q20</v>
      </c>
      <c r="BR77" s="81">
        <f t="shared" si="15"/>
        <v>44012</v>
      </c>
      <c r="BS77" s="106">
        <f t="shared" si="16"/>
        <v>44012</v>
      </c>
      <c r="BT77" s="85"/>
      <c r="BU77" s="85"/>
      <c r="BV77" s="85">
        <v>3.31</v>
      </c>
      <c r="BW77" s="85"/>
      <c r="BX77" s="85"/>
      <c r="CA77" s="35">
        <f t="shared" si="41"/>
        <v>44012</v>
      </c>
      <c r="CB77" s="35"/>
      <c r="CC77" s="35"/>
      <c r="CD77" s="26">
        <v>28.5</v>
      </c>
      <c r="CE77" s="26">
        <v>143.15</v>
      </c>
      <c r="CF77" s="26">
        <v>288</v>
      </c>
      <c r="CG77" s="26"/>
      <c r="CH77" s="26"/>
      <c r="CI77" s="26"/>
      <c r="CJ77" s="26"/>
      <c r="CK77" s="26"/>
      <c r="CL77" s="26"/>
      <c r="CM77" s="26"/>
      <c r="CN77" s="26"/>
      <c r="CO77" s="26"/>
      <c r="CP77" s="26"/>
      <c r="CQ77" s="26">
        <v>1.82</v>
      </c>
      <c r="CR77" s="26">
        <v>1.63</v>
      </c>
      <c r="CS77" s="27"/>
      <c r="CT77" s="113"/>
      <c r="CU77" s="113"/>
      <c r="CV77" s="113"/>
      <c r="CW77" s="27"/>
      <c r="CX77" s="117"/>
      <c r="CY77" s="113"/>
      <c r="CZ77" s="108">
        <f t="shared" si="42"/>
        <v>0</v>
      </c>
      <c r="DA77" s="108">
        <f t="shared" si="39"/>
        <v>0</v>
      </c>
      <c r="DB77" s="108">
        <f t="shared" si="39"/>
        <v>0</v>
      </c>
      <c r="DC77" s="108"/>
      <c r="DD77" s="108"/>
      <c r="DE77" s="108"/>
      <c r="DF77" s="108"/>
      <c r="DG77" s="108"/>
      <c r="DH77" s="108"/>
      <c r="DI77" s="108"/>
      <c r="DJ77" s="108"/>
      <c r="DK77" s="108"/>
      <c r="DL77" s="108"/>
      <c r="DM77" s="108">
        <f t="shared" si="62"/>
        <v>-0.0471204188481674</v>
      </c>
      <c r="DN77" s="108">
        <f t="shared" si="62"/>
        <v>-0.0411764705882354</v>
      </c>
      <c r="DQ77" s="114">
        <f t="shared" si="37"/>
        <v>4.4734375</v>
      </c>
      <c r="DR77" s="114">
        <f t="shared" si="38"/>
        <v>4.5</v>
      </c>
      <c r="FK77" s="104"/>
      <c r="FV77" s="104">
        <f t="shared" si="50"/>
        <v>2010</v>
      </c>
      <c r="FW77" s="104">
        <f t="shared" si="51"/>
        <v>50</v>
      </c>
      <c r="FX77" s="35">
        <v>40518</v>
      </c>
      <c r="FY77" s="26">
        <v>2.07</v>
      </c>
      <c r="FZ77" s="94">
        <f t="shared" si="52"/>
        <v>8.28</v>
      </c>
      <c r="GA77" s="104">
        <f t="shared" si="53"/>
        <v>2012</v>
      </c>
      <c r="GB77" s="104">
        <f t="shared" si="54"/>
        <v>37</v>
      </c>
      <c r="GC77" s="35">
        <v>41166</v>
      </c>
      <c r="GD77" s="26">
        <v>0.92</v>
      </c>
      <c r="GE77" s="94">
        <f t="shared" si="55"/>
        <v>3.68</v>
      </c>
      <c r="GF77" s="104">
        <f t="shared" si="56"/>
        <v>2013</v>
      </c>
      <c r="GG77" s="104">
        <f t="shared" si="57"/>
        <v>12</v>
      </c>
      <c r="GH77" s="35">
        <v>41351</v>
      </c>
      <c r="GI77" s="26">
        <v>3.458</v>
      </c>
      <c r="GJ77" s="94">
        <f t="shared" si="58"/>
        <v>6.916</v>
      </c>
      <c r="GK77" s="104">
        <f t="shared" si="59"/>
        <v>2014</v>
      </c>
      <c r="GL77" s="104">
        <f t="shared" si="60"/>
        <v>53</v>
      </c>
      <c r="GM77" s="35">
        <v>42004</v>
      </c>
      <c r="GN77" s="26">
        <v>3.59</v>
      </c>
      <c r="GO77" s="94">
        <f t="shared" si="61"/>
        <v>7.18</v>
      </c>
      <c r="GP77" s="59"/>
    </row>
    <row r="78" ht="16.8" spans="3:198">
      <c r="C78" s="80" t="str" cm="1">
        <f t="array" ref="C78">_xlfn.IFS(MONTH(D78)&lt;4,1,MONTH(D78)&lt;7,2,MONTH(D78)&lt;10,3,MONTH(D78)&gt;9,4)&amp;"Q"&amp;RIGHT(YEAR(D78),2)</f>
        <v>2Q16</v>
      </c>
      <c r="D78" s="81">
        <f t="shared" si="11"/>
        <v>42521</v>
      </c>
      <c r="E78" s="82">
        <f t="shared" si="3"/>
        <v>42496</v>
      </c>
      <c r="F78" s="83">
        <f t="shared" si="4"/>
        <v>0.559375</v>
      </c>
      <c r="G78" s="83">
        <f t="shared" si="4"/>
        <v>0.3668</v>
      </c>
      <c r="H78" s="81"/>
      <c r="I78" s="84">
        <v>42496</v>
      </c>
      <c r="J78" s="85">
        <v>4.85</v>
      </c>
      <c r="K78" s="85">
        <v>4.2</v>
      </c>
      <c r="L78" s="86">
        <v>4.475</v>
      </c>
      <c r="M78" s="87">
        <v>2.9344</v>
      </c>
      <c r="N78" s="88"/>
      <c r="O78" s="88"/>
      <c r="P78" s="88"/>
      <c r="Q78" s="89">
        <f t="shared" si="5"/>
        <v>0.525013631406761</v>
      </c>
      <c r="R78" s="5"/>
      <c r="S78" s="5"/>
      <c r="T78" s="5"/>
      <c r="U78" s="5"/>
      <c r="V78" s="5"/>
      <c r="W78" s="5"/>
      <c r="X78" s="5"/>
      <c r="Y78" s="5"/>
      <c r="Z78" s="5"/>
      <c r="AA78" s="5"/>
      <c r="AB78" s="5"/>
      <c r="AC78" s="5"/>
      <c r="AD78" s="5"/>
      <c r="AE78" s="5"/>
      <c r="AF78" s="5"/>
      <c r="AG78" s="5"/>
      <c r="AH78" s="105">
        <f t="shared" si="35"/>
        <v>42838</v>
      </c>
      <c r="AI78" s="91">
        <f t="shared" si="12"/>
        <v>6.825</v>
      </c>
      <c r="AJ78" s="36">
        <f t="shared" si="13"/>
        <v>0.00515463917525771</v>
      </c>
      <c r="AK78" s="36">
        <f t="shared" si="32"/>
        <v>0.00663716814159288</v>
      </c>
      <c r="AL78" s="105"/>
      <c r="AM78" s="91"/>
      <c r="AN78" s="36"/>
      <c r="AO78" s="36"/>
      <c r="AP78" s="36"/>
      <c r="AQ78" s="92" t="str" cm="1">
        <f t="array" ref="AQ78">_xlfn.IFS(MONTH(AR78)&lt;4,1,MONTH(AR78)&lt;7,2,MONTH(AR78)&lt;10,3,MONTH(AR78)&gt;9,4)&amp;"Q"&amp;RIGHT(YEAR(AR78),2)</f>
        <v>1Q20</v>
      </c>
      <c r="AR78" s="92">
        <f t="shared" si="14"/>
        <v>43861</v>
      </c>
      <c r="AS78" s="109">
        <v>43836</v>
      </c>
      <c r="AT78" s="110"/>
      <c r="AU78" s="94" cm="1">
        <f t="array" ref="AU78">INDEX($CE$29:$CE$1449,MATCH($AR78,$CA$29:$CA$1449,0),)</f>
        <v>109</v>
      </c>
      <c r="AV78" s="110"/>
      <c r="AW78" s="94" cm="1">
        <f t="array" ref="AW78">INDEX($CF$29:$CF$1449,MATCH($AR78,$CA$29:$CA$1449,0),)</f>
        <v>217</v>
      </c>
      <c r="AX78" s="94"/>
      <c r="AY78" s="94"/>
      <c r="AZ78" s="94"/>
      <c r="BA78" s="94"/>
      <c r="BB78" s="5"/>
      <c r="BC78" s="5"/>
      <c r="BD78" s="5"/>
      <c r="BE78" s="5"/>
      <c r="BF78" s="5"/>
      <c r="BG78" s="5"/>
      <c r="BH78" s="5"/>
      <c r="BI78" s="5"/>
      <c r="BJ78" s="5"/>
      <c r="BK78" s="5"/>
      <c r="BL78" s="5"/>
      <c r="BM78" s="5"/>
      <c r="BN78" s="5"/>
      <c r="BO78" s="5"/>
      <c r="BP78" s="5"/>
      <c r="BQ78" s="95" t="str" cm="1">
        <f t="array" ref="BQ78">_xlfn.IFS(MONTH(BR78)&lt;4,1,MONTH(BR78)&lt;7,2,MONTH(BR78)&lt;10,3,MONTH(BR78)&gt;9,4)&amp;"Q"&amp;RIGHT(YEAR(BR78),2)</f>
        <v>3Q20</v>
      </c>
      <c r="BR78" s="81">
        <f t="shared" si="15"/>
        <v>44043</v>
      </c>
      <c r="BS78" s="106">
        <f t="shared" si="16"/>
        <v>44043</v>
      </c>
      <c r="BT78" s="85"/>
      <c r="BU78" s="85"/>
      <c r="BV78" s="85">
        <v>3.13</v>
      </c>
      <c r="BW78" s="85"/>
      <c r="BX78" s="85"/>
      <c r="CA78" s="35">
        <f t="shared" si="41"/>
        <v>44043</v>
      </c>
      <c r="CB78" s="35"/>
      <c r="CC78" s="35"/>
      <c r="CD78" s="26">
        <v>27</v>
      </c>
      <c r="CE78" s="26">
        <v>134</v>
      </c>
      <c r="CF78" s="26">
        <v>270</v>
      </c>
      <c r="CG78" s="26"/>
      <c r="CH78" s="26"/>
      <c r="CI78" s="26"/>
      <c r="CJ78" s="26"/>
      <c r="CK78" s="26"/>
      <c r="CL78" s="26"/>
      <c r="CM78" s="26"/>
      <c r="CN78" s="26"/>
      <c r="CO78" s="26"/>
      <c r="CP78" s="26"/>
      <c r="CQ78" s="26">
        <v>1.72</v>
      </c>
      <c r="CR78" s="26">
        <v>1.58</v>
      </c>
      <c r="CS78" s="27"/>
      <c r="CT78" s="113"/>
      <c r="CU78" s="113"/>
      <c r="CV78" s="113"/>
      <c r="CW78" s="27"/>
      <c r="CX78" s="117"/>
      <c r="CY78" s="113"/>
      <c r="CZ78" s="108">
        <f t="shared" si="42"/>
        <v>-0.0526315789473685</v>
      </c>
      <c r="DA78" s="108">
        <f t="shared" si="39"/>
        <v>-0.0639189661194551</v>
      </c>
      <c r="DB78" s="108">
        <f t="shared" si="39"/>
        <v>-0.0625</v>
      </c>
      <c r="DC78" s="108"/>
      <c r="DD78" s="108"/>
      <c r="DE78" s="108"/>
      <c r="DF78" s="108"/>
      <c r="DG78" s="108"/>
      <c r="DH78" s="108"/>
      <c r="DI78" s="108"/>
      <c r="DJ78" s="108"/>
      <c r="DK78" s="108"/>
      <c r="DL78" s="108"/>
      <c r="DM78" s="108">
        <f t="shared" si="62"/>
        <v>-0.054945054945055</v>
      </c>
      <c r="DN78" s="108">
        <f t="shared" si="62"/>
        <v>-0.0306748466257668</v>
      </c>
      <c r="DQ78" s="114">
        <f t="shared" si="37"/>
        <v>4.1875</v>
      </c>
      <c r="DR78" s="114">
        <f t="shared" si="38"/>
        <v>4.21875</v>
      </c>
      <c r="FK78" s="104"/>
      <c r="FV78" s="104">
        <f t="shared" si="50"/>
        <v>2010</v>
      </c>
      <c r="FW78" s="104">
        <f t="shared" si="51"/>
        <v>50</v>
      </c>
      <c r="FX78" s="35">
        <v>40519</v>
      </c>
      <c r="FY78" s="26">
        <v>2.07</v>
      </c>
      <c r="FZ78" s="94">
        <f t="shared" si="52"/>
        <v>8.28</v>
      </c>
      <c r="GA78" s="104">
        <f t="shared" si="53"/>
        <v>2012</v>
      </c>
      <c r="GB78" s="104">
        <f t="shared" si="54"/>
        <v>39</v>
      </c>
      <c r="GC78" s="35">
        <v>41178</v>
      </c>
      <c r="GD78" s="26">
        <v>0.86</v>
      </c>
      <c r="GE78" s="94">
        <f t="shared" si="55"/>
        <v>3.44</v>
      </c>
      <c r="GF78" s="104">
        <f t="shared" si="56"/>
        <v>2013</v>
      </c>
      <c r="GG78" s="104">
        <f t="shared" si="57"/>
        <v>12</v>
      </c>
      <c r="GH78" s="35">
        <v>41352</v>
      </c>
      <c r="GI78" s="26">
        <v>3.414</v>
      </c>
      <c r="GJ78" s="94">
        <f t="shared" si="58"/>
        <v>6.828</v>
      </c>
      <c r="GK78" s="104">
        <f t="shared" si="59"/>
        <v>2015</v>
      </c>
      <c r="GL78" s="104">
        <f t="shared" si="60"/>
        <v>3</v>
      </c>
      <c r="GM78" s="35">
        <v>42018</v>
      </c>
      <c r="GN78" s="26">
        <v>3.38</v>
      </c>
      <c r="GO78" s="94">
        <f t="shared" si="61"/>
        <v>6.76</v>
      </c>
      <c r="GP78" s="59"/>
    </row>
    <row r="79" ht="16.8" spans="3:198">
      <c r="C79" s="80" t="str" cm="1">
        <f t="array" ref="C79">_xlfn.IFS(MONTH(D79)&lt;4,1,MONTH(D79)&lt;7,2,MONTH(D79)&lt;10,3,MONTH(D79)&gt;9,4)&amp;"Q"&amp;RIGHT(YEAR(D79),2)</f>
        <v>2Q16</v>
      </c>
      <c r="D79" s="81">
        <f t="shared" si="11"/>
        <v>42521</v>
      </c>
      <c r="E79" s="82">
        <f t="shared" si="3"/>
        <v>42499</v>
      </c>
      <c r="F79" s="83">
        <f t="shared" si="4"/>
        <v>0.555</v>
      </c>
      <c r="G79" s="83">
        <f t="shared" si="4"/>
        <v>0.3668</v>
      </c>
      <c r="H79" s="81"/>
      <c r="I79" s="84">
        <v>42499</v>
      </c>
      <c r="J79" s="85">
        <v>4.8</v>
      </c>
      <c r="K79" s="85">
        <v>4</v>
      </c>
      <c r="L79" s="86">
        <v>4.44</v>
      </c>
      <c r="M79" s="87">
        <v>2.9344</v>
      </c>
      <c r="N79" s="88"/>
      <c r="O79" s="88"/>
      <c r="P79" s="88"/>
      <c r="Q79" s="89">
        <f t="shared" si="5"/>
        <v>0.51308615049073</v>
      </c>
      <c r="R79" s="5"/>
      <c r="S79" s="5"/>
      <c r="T79" s="5"/>
      <c r="U79" s="5"/>
      <c r="V79" s="5"/>
      <c r="W79" s="5"/>
      <c r="X79" s="5"/>
      <c r="Y79" s="5"/>
      <c r="Z79" s="5"/>
      <c r="AA79" s="5"/>
      <c r="AB79" s="5"/>
      <c r="AC79" s="5"/>
      <c r="AD79" s="5"/>
      <c r="AE79" s="5"/>
      <c r="AF79" s="5"/>
      <c r="AG79" s="5"/>
      <c r="AH79" s="105">
        <f t="shared" si="35"/>
        <v>42846</v>
      </c>
      <c r="AI79" s="91">
        <f t="shared" si="12"/>
        <v>6.716</v>
      </c>
      <c r="AJ79" s="36">
        <f t="shared" si="13"/>
        <v>-0.015970695970696</v>
      </c>
      <c r="AK79" s="36">
        <f t="shared" si="32"/>
        <v>-0.0108983799705449</v>
      </c>
      <c r="AL79" s="105"/>
      <c r="AM79" s="91"/>
      <c r="AN79" s="36"/>
      <c r="AO79" s="36"/>
      <c r="AP79" s="36"/>
      <c r="AQ79" s="92" t="str" cm="1">
        <f t="array" ref="AQ79">_xlfn.IFS(MONTH(AR79)&lt;4,1,MONTH(AR79)&lt;7,2,MONTH(AR79)&lt;10,3,MONTH(AR79)&gt;9,4)&amp;"Q"&amp;RIGHT(YEAR(AR79),2)</f>
        <v>1Q20</v>
      </c>
      <c r="AR79" s="92">
        <f t="shared" si="14"/>
        <v>43861</v>
      </c>
      <c r="AS79" s="109">
        <v>43843</v>
      </c>
      <c r="AT79" s="110"/>
      <c r="AU79" s="94" cm="1">
        <f t="array" ref="AU79">INDEX($CE$29:$CE$1449,MATCH($AR79,$CA$29:$CA$1449,0),)</f>
        <v>109</v>
      </c>
      <c r="AV79" s="110"/>
      <c r="AW79" s="94" cm="1">
        <f t="array" ref="AW79">INDEX($CF$29:$CF$1449,MATCH($AR79,$CA$29:$CA$1449,0),)</f>
        <v>217</v>
      </c>
      <c r="AX79" s="94"/>
      <c r="AY79" s="94"/>
      <c r="AZ79" s="94"/>
      <c r="BA79" s="94"/>
      <c r="BB79" s="5"/>
      <c r="BC79" s="5"/>
      <c r="BD79" s="5"/>
      <c r="BE79" s="5"/>
      <c r="BF79" s="5"/>
      <c r="BG79" s="5"/>
      <c r="BH79" s="5"/>
      <c r="BI79" s="5"/>
      <c r="BJ79" s="5"/>
      <c r="BK79" s="5"/>
      <c r="BL79" s="5"/>
      <c r="BM79" s="5"/>
      <c r="BN79" s="5"/>
      <c r="BO79" s="5"/>
      <c r="BP79" s="5"/>
      <c r="BQ79" s="95" t="str" cm="1">
        <f t="array" ref="BQ79">_xlfn.IFS(MONTH(BR79)&lt;4,1,MONTH(BR79)&lt;7,2,MONTH(BR79)&lt;10,3,MONTH(BR79)&gt;9,4)&amp;"Q"&amp;RIGHT(YEAR(BR79),2)</f>
        <v>3Q20</v>
      </c>
      <c r="BR79" s="81">
        <f t="shared" si="15"/>
        <v>44074</v>
      </c>
      <c r="BS79" s="106">
        <f t="shared" si="16"/>
        <v>44074</v>
      </c>
      <c r="BT79" s="85"/>
      <c r="BU79" s="85"/>
      <c r="BV79" s="85">
        <v>3.13</v>
      </c>
      <c r="BW79" s="85"/>
      <c r="BX79" s="85"/>
      <c r="CA79" s="35">
        <f t="shared" si="41"/>
        <v>44074</v>
      </c>
      <c r="CB79" s="35"/>
      <c r="CC79" s="35"/>
      <c r="CD79" s="26">
        <v>27</v>
      </c>
      <c r="CE79" s="26">
        <v>128</v>
      </c>
      <c r="CF79" s="26">
        <v>258</v>
      </c>
      <c r="CG79" s="26"/>
      <c r="CH79" s="26"/>
      <c r="CI79" s="26"/>
      <c r="CJ79" s="26"/>
      <c r="CK79" s="26"/>
      <c r="CL79" s="26"/>
      <c r="CM79" s="26"/>
      <c r="CN79" s="26"/>
      <c r="CO79" s="26"/>
      <c r="CP79" s="26"/>
      <c r="CQ79" s="26">
        <v>1.63</v>
      </c>
      <c r="CR79" s="26">
        <v>1.5</v>
      </c>
      <c r="CS79" s="27"/>
      <c r="CT79" s="113"/>
      <c r="CU79" s="113"/>
      <c r="CV79" s="113"/>
      <c r="CW79" s="27"/>
      <c r="CX79" s="117"/>
      <c r="CY79" s="113"/>
      <c r="CZ79" s="108">
        <f t="shared" si="42"/>
        <v>0</v>
      </c>
      <c r="DA79" s="108">
        <f t="shared" si="39"/>
        <v>-0.0447761194029851</v>
      </c>
      <c r="DB79" s="108">
        <f t="shared" si="39"/>
        <v>-0.0444444444444444</v>
      </c>
      <c r="DC79" s="108"/>
      <c r="DD79" s="108"/>
      <c r="DE79" s="108"/>
      <c r="DF79" s="108"/>
      <c r="DG79" s="108"/>
      <c r="DH79" s="108"/>
      <c r="DI79" s="108"/>
      <c r="DJ79" s="108"/>
      <c r="DK79" s="108"/>
      <c r="DL79" s="108"/>
      <c r="DM79" s="108">
        <f t="shared" si="62"/>
        <v>-0.0523255813953489</v>
      </c>
      <c r="DN79" s="108">
        <f t="shared" si="62"/>
        <v>-0.0506329113924051</v>
      </c>
      <c r="DQ79" s="114">
        <f t="shared" si="37"/>
        <v>4</v>
      </c>
      <c r="DR79" s="114">
        <f t="shared" si="38"/>
        <v>4.03125</v>
      </c>
      <c r="FK79" s="104"/>
      <c r="FV79" s="104">
        <f t="shared" si="50"/>
        <v>2010</v>
      </c>
      <c r="FW79" s="104">
        <f t="shared" si="51"/>
        <v>50</v>
      </c>
      <c r="FX79" s="35">
        <v>40520</v>
      </c>
      <c r="FY79" s="26">
        <v>2.06</v>
      </c>
      <c r="FZ79" s="94">
        <f t="shared" si="52"/>
        <v>8.24</v>
      </c>
      <c r="GA79" s="104">
        <f t="shared" si="53"/>
        <v>2012</v>
      </c>
      <c r="GB79" s="104">
        <f t="shared" si="54"/>
        <v>42</v>
      </c>
      <c r="GC79" s="35">
        <v>41197</v>
      </c>
      <c r="GD79" s="26">
        <v>0.84</v>
      </c>
      <c r="GE79" s="94">
        <f t="shared" si="55"/>
        <v>3.36</v>
      </c>
      <c r="GF79" s="104">
        <f t="shared" si="56"/>
        <v>2013</v>
      </c>
      <c r="GG79" s="104">
        <f t="shared" si="57"/>
        <v>12</v>
      </c>
      <c r="GH79" s="35">
        <v>41353</v>
      </c>
      <c r="GI79" s="26">
        <v>3.403</v>
      </c>
      <c r="GJ79" s="94">
        <f t="shared" si="58"/>
        <v>6.806</v>
      </c>
      <c r="GK79" s="104">
        <f t="shared" si="59"/>
        <v>2015</v>
      </c>
      <c r="GL79" s="104">
        <f t="shared" si="60"/>
        <v>5</v>
      </c>
      <c r="GM79" s="35">
        <v>42034</v>
      </c>
      <c r="GN79" s="26">
        <v>3.38</v>
      </c>
      <c r="GO79" s="94">
        <f t="shared" si="61"/>
        <v>6.76</v>
      </c>
      <c r="GP79" s="59"/>
    </row>
    <row r="80" ht="16.8" spans="3:198">
      <c r="C80" s="80" t="str" cm="1">
        <f t="array" ref="C80">_xlfn.IFS(MONTH(D80)&lt;4,1,MONTH(D80)&lt;7,2,MONTH(D80)&lt;10,3,MONTH(D80)&gt;9,4)&amp;"Q"&amp;RIGHT(YEAR(D80),2)</f>
        <v>2Q16</v>
      </c>
      <c r="D80" s="81">
        <f t="shared" si="11"/>
        <v>42521</v>
      </c>
      <c r="E80" s="82">
        <f t="shared" si="3"/>
        <v>42500</v>
      </c>
      <c r="F80" s="83">
        <f t="shared" si="4"/>
        <v>0.547</v>
      </c>
      <c r="G80" s="83">
        <f t="shared" si="4"/>
        <v>0.3668</v>
      </c>
      <c r="H80" s="81"/>
      <c r="I80" s="84">
        <v>42500</v>
      </c>
      <c r="J80" s="85">
        <v>4.7</v>
      </c>
      <c r="K80" s="85">
        <v>3.95</v>
      </c>
      <c r="L80" s="86">
        <v>4.376</v>
      </c>
      <c r="M80" s="87">
        <v>2.9344</v>
      </c>
      <c r="N80" s="88"/>
      <c r="O80" s="88"/>
      <c r="P80" s="88"/>
      <c r="Q80" s="89">
        <f t="shared" si="5"/>
        <v>0.491275899672846</v>
      </c>
      <c r="R80" s="5"/>
      <c r="S80" s="5"/>
      <c r="T80" s="5"/>
      <c r="U80" s="5"/>
      <c r="V80" s="5"/>
      <c r="W80" s="5"/>
      <c r="X80" s="5"/>
      <c r="Y80" s="5"/>
      <c r="Z80" s="5"/>
      <c r="AA80" s="5"/>
      <c r="AB80" s="5"/>
      <c r="AC80" s="5"/>
      <c r="AD80" s="5"/>
      <c r="AE80" s="5"/>
      <c r="AF80" s="5"/>
      <c r="AG80" s="5"/>
      <c r="AH80" s="105">
        <f t="shared" si="35"/>
        <v>42856</v>
      </c>
      <c r="AI80" s="91">
        <f t="shared" si="12"/>
        <v>6.45</v>
      </c>
      <c r="AJ80" s="36">
        <f t="shared" si="13"/>
        <v>-0.0396069088743299</v>
      </c>
      <c r="AK80" s="36">
        <f t="shared" si="32"/>
        <v>-0.054945054945055</v>
      </c>
      <c r="AL80" s="105"/>
      <c r="AM80" s="91"/>
      <c r="AN80" s="36"/>
      <c r="AO80" s="36"/>
      <c r="AP80" s="36"/>
      <c r="AQ80" s="92" t="str" cm="1">
        <f t="array" ref="AQ80">_xlfn.IFS(MONTH(AR80)&lt;4,1,MONTH(AR80)&lt;7,2,MONTH(AR80)&lt;10,3,MONTH(AR80)&gt;9,4)&amp;"Q"&amp;RIGHT(YEAR(AR80),2)</f>
        <v>1Q20</v>
      </c>
      <c r="AR80" s="92">
        <f t="shared" si="14"/>
        <v>43861</v>
      </c>
      <c r="AS80" s="109">
        <v>43850</v>
      </c>
      <c r="AT80" s="110"/>
      <c r="AU80" s="94" cm="1">
        <f t="array" ref="AU80">INDEX($CE$29:$CE$1449,MATCH($AR80,$CA$29:$CA$1449,0),)</f>
        <v>109</v>
      </c>
      <c r="AV80" s="110"/>
      <c r="AW80" s="94" cm="1">
        <f t="array" ref="AW80">INDEX($CF$29:$CF$1449,MATCH($AR80,$CA$29:$CA$1449,0),)</f>
        <v>217</v>
      </c>
      <c r="AX80" s="94"/>
      <c r="AY80" s="94"/>
      <c r="AZ80" s="94"/>
      <c r="BA80" s="94"/>
      <c r="BB80" s="5"/>
      <c r="BC80" s="5"/>
      <c r="BD80" s="5"/>
      <c r="BE80" s="5"/>
      <c r="BF80" s="5"/>
      <c r="BG80" s="5"/>
      <c r="BH80" s="5"/>
      <c r="BI80" s="5"/>
      <c r="BJ80" s="5"/>
      <c r="BK80" s="5"/>
      <c r="BL80" s="5"/>
      <c r="BM80" s="5"/>
      <c r="BN80" s="5"/>
      <c r="BO80" s="5"/>
      <c r="BP80" s="5"/>
      <c r="BQ80" s="95" t="str" cm="1">
        <f t="array" ref="BQ80">_xlfn.IFS(MONTH(BR80)&lt;4,1,MONTH(BR80)&lt;7,2,MONTH(BR80)&lt;10,3,MONTH(BR80)&gt;9,4)&amp;"Q"&amp;RIGHT(YEAR(BR80),2)</f>
        <v>3Q20</v>
      </c>
      <c r="BR80" s="81">
        <f t="shared" si="15"/>
        <v>44104</v>
      </c>
      <c r="BS80" s="106">
        <f t="shared" si="16"/>
        <v>44104</v>
      </c>
      <c r="BT80" s="85"/>
      <c r="BU80" s="85"/>
      <c r="BV80" s="85">
        <v>3.13</v>
      </c>
      <c r="BW80" s="85"/>
      <c r="BX80" s="85"/>
      <c r="CA80" s="35">
        <f t="shared" si="41"/>
        <v>44104</v>
      </c>
      <c r="CB80" s="35"/>
      <c r="CC80" s="35"/>
      <c r="CD80" s="26">
        <v>27</v>
      </c>
      <c r="CE80" s="26">
        <v>122</v>
      </c>
      <c r="CF80" s="26">
        <v>246</v>
      </c>
      <c r="CG80" s="26"/>
      <c r="CH80" s="26"/>
      <c r="CI80" s="26"/>
      <c r="CJ80" s="26"/>
      <c r="CK80" s="26"/>
      <c r="CL80" s="26"/>
      <c r="CM80" s="26"/>
      <c r="CN80" s="26"/>
      <c r="CO80" s="26"/>
      <c r="CP80" s="26"/>
      <c r="CQ80" s="26">
        <v>1.68</v>
      </c>
      <c r="CR80" s="26">
        <v>1.55</v>
      </c>
      <c r="CS80" s="27"/>
      <c r="CT80" s="113"/>
      <c r="CU80" s="113"/>
      <c r="CV80" s="113"/>
      <c r="CW80" s="27"/>
      <c r="CX80" s="117"/>
      <c r="CY80" s="113"/>
      <c r="CZ80" s="108">
        <f t="shared" si="42"/>
        <v>0</v>
      </c>
      <c r="DA80" s="108">
        <f t="shared" si="39"/>
        <v>-0.046875</v>
      </c>
      <c r="DB80" s="108">
        <f t="shared" si="39"/>
        <v>-0.0465116279069767</v>
      </c>
      <c r="DC80" s="108"/>
      <c r="DD80" s="108"/>
      <c r="DE80" s="108"/>
      <c r="DF80" s="108"/>
      <c r="DG80" s="108"/>
      <c r="DH80" s="108"/>
      <c r="DI80" s="108"/>
      <c r="DJ80" s="108"/>
      <c r="DK80" s="108"/>
      <c r="DL80" s="108"/>
      <c r="DM80" s="108">
        <f t="shared" si="62"/>
        <v>0.0306748466257669</v>
      </c>
      <c r="DN80" s="108">
        <f t="shared" si="62"/>
        <v>0.0333333333333334</v>
      </c>
      <c r="DQ80" s="114">
        <f t="shared" si="37"/>
        <v>3.8125</v>
      </c>
      <c r="DR80" s="114">
        <f t="shared" si="38"/>
        <v>3.84375</v>
      </c>
      <c r="FK80" s="104"/>
      <c r="FV80" s="104">
        <f t="shared" si="50"/>
        <v>2010</v>
      </c>
      <c r="FW80" s="104">
        <f t="shared" si="51"/>
        <v>50</v>
      </c>
      <c r="FX80" s="35">
        <v>40521</v>
      </c>
      <c r="FY80" s="26">
        <v>2.05</v>
      </c>
      <c r="FZ80" s="94">
        <f t="shared" si="52"/>
        <v>8.2</v>
      </c>
      <c r="GA80" s="104">
        <f t="shared" si="53"/>
        <v>2012</v>
      </c>
      <c r="GB80" s="104">
        <f t="shared" si="54"/>
        <v>44</v>
      </c>
      <c r="GC80" s="35">
        <v>41212</v>
      </c>
      <c r="GD80" s="26">
        <v>0.83</v>
      </c>
      <c r="GE80" s="94">
        <f t="shared" si="55"/>
        <v>3.32</v>
      </c>
      <c r="GF80" s="104">
        <f t="shared" si="56"/>
        <v>2013</v>
      </c>
      <c r="GG80" s="104">
        <f t="shared" si="57"/>
        <v>12</v>
      </c>
      <c r="GH80" s="35">
        <v>41354</v>
      </c>
      <c r="GI80" s="26">
        <v>3.339</v>
      </c>
      <c r="GJ80" s="94">
        <f t="shared" si="58"/>
        <v>6.678</v>
      </c>
      <c r="GK80" s="104">
        <f t="shared" si="59"/>
        <v>2015</v>
      </c>
      <c r="GL80" s="104">
        <f t="shared" si="60"/>
        <v>7</v>
      </c>
      <c r="GM80" s="35">
        <v>42048</v>
      </c>
      <c r="GN80" s="26">
        <v>3.38</v>
      </c>
      <c r="GO80" s="94">
        <f t="shared" si="61"/>
        <v>6.76</v>
      </c>
      <c r="GP80" s="59"/>
    </row>
    <row r="81" ht="16.8" spans="3:198">
      <c r="C81" s="80" t="str" cm="1">
        <f t="array" ref="C81">_xlfn.IFS(MONTH(D81)&lt;4,1,MONTH(D81)&lt;7,2,MONTH(D81)&lt;10,3,MONTH(D81)&gt;9,4)&amp;"Q"&amp;RIGHT(YEAR(D81),2)</f>
        <v>2Q16</v>
      </c>
      <c r="D81" s="81">
        <f t="shared" si="11"/>
        <v>42521</v>
      </c>
      <c r="E81" s="82">
        <f t="shared" si="3"/>
        <v>42501</v>
      </c>
      <c r="F81" s="83">
        <f t="shared" si="4"/>
        <v>0.5425</v>
      </c>
      <c r="G81" s="83">
        <f t="shared" si="4"/>
        <v>0.3668</v>
      </c>
      <c r="H81" s="81"/>
      <c r="I81" s="84">
        <v>42501</v>
      </c>
      <c r="J81" s="85">
        <v>4.6</v>
      </c>
      <c r="K81" s="85">
        <v>3.95</v>
      </c>
      <c r="L81" s="86">
        <v>4.34</v>
      </c>
      <c r="M81" s="87">
        <v>2.9344</v>
      </c>
      <c r="N81" s="88"/>
      <c r="O81" s="88"/>
      <c r="P81" s="88"/>
      <c r="Q81" s="89">
        <f t="shared" si="5"/>
        <v>0.479007633587786</v>
      </c>
      <c r="R81" s="5"/>
      <c r="S81" s="5"/>
      <c r="T81" s="5"/>
      <c r="U81" s="5"/>
      <c r="V81" s="5"/>
      <c r="W81" s="5"/>
      <c r="X81" s="5"/>
      <c r="Y81" s="5"/>
      <c r="Z81" s="5"/>
      <c r="AA81" s="5"/>
      <c r="AB81" s="5"/>
      <c r="AC81" s="5"/>
      <c r="AD81" s="5"/>
      <c r="AE81" s="5"/>
      <c r="AF81" s="5"/>
      <c r="AG81" s="5"/>
      <c r="AH81" s="105">
        <f t="shared" si="35"/>
        <v>42864</v>
      </c>
      <c r="AI81" s="91">
        <f t="shared" si="12"/>
        <v>6.375</v>
      </c>
      <c r="AJ81" s="36">
        <f t="shared" si="13"/>
        <v>-0.0116279069767442</v>
      </c>
      <c r="AK81" s="36">
        <f t="shared" si="32"/>
        <v>-0.050774270399047</v>
      </c>
      <c r="AL81" s="105"/>
      <c r="AM81" s="91"/>
      <c r="AN81" s="36"/>
      <c r="AO81" s="36"/>
      <c r="AP81" s="36"/>
      <c r="AQ81" s="92" t="str" cm="1">
        <f t="array" ref="AQ81">_xlfn.IFS(MONTH(AR81)&lt;4,1,MONTH(AR81)&lt;7,2,MONTH(AR81)&lt;10,3,MONTH(AR81)&gt;9,4)&amp;"Q"&amp;RIGHT(YEAR(AR81),2)</f>
        <v>1Q20</v>
      </c>
      <c r="AR81" s="92">
        <f t="shared" si="14"/>
        <v>43890</v>
      </c>
      <c r="AS81" s="109">
        <v>43864</v>
      </c>
      <c r="AT81" s="110"/>
      <c r="AU81" s="94" cm="1">
        <f t="array" ref="AU81">INDEX($CE$29:$CE$1449,MATCH($AR81,$CA$29:$CA$1449,0),)</f>
        <v>115.54</v>
      </c>
      <c r="AV81" s="110"/>
      <c r="AW81" s="94" cm="1">
        <f t="array" ref="AW81">INDEX($CF$29:$CF$1449,MATCH($AR81,$CA$29:$CA$1449,0),)</f>
        <v>230.84</v>
      </c>
      <c r="AX81" s="94"/>
      <c r="AY81" s="94"/>
      <c r="AZ81" s="94"/>
      <c r="BA81" s="94"/>
      <c r="BB81" s="5"/>
      <c r="BC81" s="5"/>
      <c r="BD81" s="5"/>
      <c r="BE81" s="5"/>
      <c r="BF81" s="5"/>
      <c r="BG81" s="5"/>
      <c r="BH81" s="5"/>
      <c r="BI81" s="5"/>
      <c r="BJ81" s="5"/>
      <c r="BK81" s="5"/>
      <c r="BL81" s="5"/>
      <c r="BM81" s="5"/>
      <c r="BN81" s="5"/>
      <c r="BO81" s="5"/>
      <c r="BP81" s="5"/>
      <c r="BQ81" s="95" t="str" cm="1">
        <f t="array" ref="BQ81">_xlfn.IFS(MONTH(BR81)&lt;4,1,MONTH(BR81)&lt;7,2,MONTH(BR81)&lt;10,3,MONTH(BR81)&gt;9,4)&amp;"Q"&amp;RIGHT(YEAR(BR81),2)</f>
        <v>4Q20</v>
      </c>
      <c r="BR81" s="81">
        <f t="shared" si="15"/>
        <v>44135</v>
      </c>
      <c r="BS81" s="106">
        <f t="shared" si="16"/>
        <v>44135</v>
      </c>
      <c r="BT81" s="85"/>
      <c r="BU81" s="85"/>
      <c r="BV81" s="85">
        <v>2.85</v>
      </c>
      <c r="BW81" s="85"/>
      <c r="BX81" s="85"/>
      <c r="CA81" s="35">
        <f t="shared" si="41"/>
        <v>44135</v>
      </c>
      <c r="CB81" s="35"/>
      <c r="CC81" s="35"/>
      <c r="CD81" s="26">
        <v>24.8</v>
      </c>
      <c r="CE81" s="26">
        <v>112</v>
      </c>
      <c r="CF81" s="26">
        <v>228</v>
      </c>
      <c r="CG81" s="26"/>
      <c r="CH81" s="26"/>
      <c r="CI81" s="26"/>
      <c r="CJ81" s="26"/>
      <c r="CK81" s="26"/>
      <c r="CL81" s="26"/>
      <c r="CM81" s="26"/>
      <c r="CN81" s="26"/>
      <c r="CO81" s="26"/>
      <c r="CP81" s="26"/>
      <c r="CQ81" s="26">
        <v>1.59</v>
      </c>
      <c r="CR81" s="26">
        <v>1.5</v>
      </c>
      <c r="CS81" s="27"/>
      <c r="CT81" s="113"/>
      <c r="CU81" s="113"/>
      <c r="CV81" s="113"/>
      <c r="CW81" s="27"/>
      <c r="CX81" s="117"/>
      <c r="CY81" s="113"/>
      <c r="CZ81" s="108">
        <f t="shared" si="42"/>
        <v>-0.0814814814814815</v>
      </c>
      <c r="DA81" s="108">
        <f t="shared" si="39"/>
        <v>-0.0819672131147541</v>
      </c>
      <c r="DB81" s="108">
        <f t="shared" si="39"/>
        <v>-0.073170731707317</v>
      </c>
      <c r="DC81" s="108"/>
      <c r="DD81" s="108"/>
      <c r="DE81" s="108"/>
      <c r="DF81" s="108"/>
      <c r="DG81" s="108"/>
      <c r="DH81" s="108"/>
      <c r="DI81" s="108"/>
      <c r="DJ81" s="108"/>
      <c r="DK81" s="108"/>
      <c r="DL81" s="108"/>
      <c r="DM81" s="108">
        <f t="shared" si="62"/>
        <v>-0.0535714285714285</v>
      </c>
      <c r="DN81" s="108">
        <f t="shared" si="62"/>
        <v>-0.0322580645161291</v>
      </c>
      <c r="DQ81" s="114">
        <f t="shared" si="37"/>
        <v>3.5</v>
      </c>
      <c r="DR81" s="114">
        <f t="shared" si="38"/>
        <v>3.5625</v>
      </c>
      <c r="FK81" s="104"/>
      <c r="FV81" s="104">
        <f t="shared" si="50"/>
        <v>2010</v>
      </c>
      <c r="FW81" s="104">
        <f t="shared" si="51"/>
        <v>50</v>
      </c>
      <c r="FX81" s="35">
        <v>40522</v>
      </c>
      <c r="FY81" s="26">
        <v>2.03</v>
      </c>
      <c r="FZ81" s="94">
        <f t="shared" si="52"/>
        <v>8.12</v>
      </c>
      <c r="GA81" s="104">
        <f t="shared" si="53"/>
        <v>2012</v>
      </c>
      <c r="GB81" s="104">
        <f t="shared" si="54"/>
        <v>46</v>
      </c>
      <c r="GC81" s="35">
        <v>41226</v>
      </c>
      <c r="GD81" s="26">
        <v>0.83</v>
      </c>
      <c r="GE81" s="94">
        <f t="shared" si="55"/>
        <v>3.32</v>
      </c>
      <c r="GF81" s="104">
        <f t="shared" si="56"/>
        <v>2013</v>
      </c>
      <c r="GG81" s="104">
        <f t="shared" si="57"/>
        <v>12</v>
      </c>
      <c r="GH81" s="35">
        <v>41355</v>
      </c>
      <c r="GI81" s="26">
        <v>3.373</v>
      </c>
      <c r="GJ81" s="94">
        <f t="shared" si="58"/>
        <v>6.746</v>
      </c>
      <c r="GK81" s="104">
        <f t="shared" si="59"/>
        <v>2015</v>
      </c>
      <c r="GL81" s="104">
        <f t="shared" si="60"/>
        <v>9</v>
      </c>
      <c r="GM81" s="35">
        <v>42061</v>
      </c>
      <c r="GN81" s="26">
        <v>3.25</v>
      </c>
      <c r="GO81" s="94">
        <f t="shared" si="61"/>
        <v>6.5</v>
      </c>
      <c r="GP81" s="59"/>
    </row>
    <row r="82" ht="16.8" spans="3:198">
      <c r="C82" s="80" t="str" cm="1">
        <f t="array" ref="C82">_xlfn.IFS(MONTH(D82)&lt;4,1,MONTH(D82)&lt;7,2,MONTH(D82)&lt;10,3,MONTH(D82)&gt;9,4)&amp;"Q"&amp;RIGHT(YEAR(D82),2)</f>
        <v>2Q16</v>
      </c>
      <c r="D82" s="81">
        <f t="shared" si="11"/>
        <v>42521</v>
      </c>
      <c r="E82" s="82">
        <f t="shared" si="3"/>
        <v>42502</v>
      </c>
      <c r="F82" s="83">
        <f t="shared" si="4"/>
        <v>0.531875</v>
      </c>
      <c r="G82" s="83">
        <f t="shared" si="4"/>
        <v>0.3668</v>
      </c>
      <c r="H82" s="81"/>
      <c r="I82" s="84">
        <v>42502</v>
      </c>
      <c r="J82" s="85">
        <v>4.5</v>
      </c>
      <c r="K82" s="85">
        <v>3.92</v>
      </c>
      <c r="L82" s="86">
        <v>4.255</v>
      </c>
      <c r="M82" s="87">
        <v>2.9344</v>
      </c>
      <c r="N82" s="88"/>
      <c r="O82" s="88"/>
      <c r="P82" s="88"/>
      <c r="Q82" s="89">
        <f t="shared" si="5"/>
        <v>0.450040894220283</v>
      </c>
      <c r="R82" s="5"/>
      <c r="S82" s="5"/>
      <c r="T82" s="5"/>
      <c r="U82" s="5"/>
      <c r="V82" s="5"/>
      <c r="W82" s="5"/>
      <c r="X82" s="5"/>
      <c r="Y82" s="5"/>
      <c r="Z82" s="5"/>
      <c r="AA82" s="5"/>
      <c r="AB82" s="5"/>
      <c r="AC82" s="5"/>
      <c r="AD82" s="5"/>
      <c r="AE82" s="5"/>
      <c r="AF82" s="5"/>
      <c r="AG82" s="5"/>
      <c r="AH82" s="105">
        <f t="shared" si="35"/>
        <v>42872</v>
      </c>
      <c r="AI82" s="91">
        <f t="shared" si="12"/>
        <v>6.386</v>
      </c>
      <c r="AJ82" s="36">
        <f t="shared" si="13"/>
        <v>0.00172549019607837</v>
      </c>
      <c r="AK82" s="36">
        <f t="shared" si="32"/>
        <v>-0.00992248062015499</v>
      </c>
      <c r="AL82" s="105"/>
      <c r="AM82" s="91"/>
      <c r="AN82" s="36"/>
      <c r="AO82" s="36"/>
      <c r="AP82" s="36"/>
      <c r="AQ82" s="92" t="str" cm="1">
        <f t="array" ref="AQ82">_xlfn.IFS(MONTH(AR82)&lt;4,1,MONTH(AR82)&lt;7,2,MONTH(AR82)&lt;10,3,MONTH(AR82)&gt;9,4)&amp;"Q"&amp;RIGHT(YEAR(AR82),2)</f>
        <v>1Q20</v>
      </c>
      <c r="AR82" s="92">
        <f t="shared" si="14"/>
        <v>43890</v>
      </c>
      <c r="AS82" s="109">
        <v>43871</v>
      </c>
      <c r="AT82" s="110"/>
      <c r="AU82" s="94" cm="1">
        <f t="array" ref="AU82">INDEX($CE$29:$CE$1449,MATCH($AR82,$CA$29:$CA$1449,0),)</f>
        <v>115.54</v>
      </c>
      <c r="AV82" s="110"/>
      <c r="AW82" s="94" cm="1">
        <f t="array" ref="AW82">INDEX($CF$29:$CF$1449,MATCH($AR82,$CA$29:$CA$1449,0),)</f>
        <v>230.84</v>
      </c>
      <c r="AX82" s="94"/>
      <c r="AY82" s="94"/>
      <c r="AZ82" s="94"/>
      <c r="BA82" s="94"/>
      <c r="BB82" s="5"/>
      <c r="BC82" s="5"/>
      <c r="BD82" s="5"/>
      <c r="BE82" s="5"/>
      <c r="BF82" s="5"/>
      <c r="BG82" s="5"/>
      <c r="BH82" s="5"/>
      <c r="BI82" s="5"/>
      <c r="BJ82" s="5"/>
      <c r="BK82" s="5"/>
      <c r="BL82" s="5"/>
      <c r="BM82" s="5"/>
      <c r="BN82" s="5"/>
      <c r="BO82" s="5"/>
      <c r="BP82" s="5"/>
      <c r="BQ82" s="95" t="str" cm="1">
        <f t="array" ref="BQ82">_xlfn.IFS(MONTH(BR82)&lt;4,1,MONTH(BR82)&lt;7,2,MONTH(BR82)&lt;10,3,MONTH(BR82)&gt;9,4)&amp;"Q"&amp;RIGHT(YEAR(BR82),2)</f>
        <v>4Q20</v>
      </c>
      <c r="BR82" s="81">
        <f t="shared" si="15"/>
        <v>44165</v>
      </c>
      <c r="BS82" s="106">
        <f t="shared" si="16"/>
        <v>44165</v>
      </c>
      <c r="BT82" s="85"/>
      <c r="BU82" s="85"/>
      <c r="BV82" s="85">
        <v>2.85</v>
      </c>
      <c r="BW82" s="85"/>
      <c r="BX82" s="85"/>
      <c r="CA82" s="35">
        <f t="shared" si="41"/>
        <v>44165</v>
      </c>
      <c r="CB82" s="35"/>
      <c r="CC82" s="35"/>
      <c r="CD82" s="26">
        <v>24.8</v>
      </c>
      <c r="CE82" s="26">
        <v>110</v>
      </c>
      <c r="CF82" s="26">
        <v>220</v>
      </c>
      <c r="CG82" s="26"/>
      <c r="CH82" s="26"/>
      <c r="CI82" s="26"/>
      <c r="CJ82" s="26"/>
      <c r="CK82" s="26"/>
      <c r="CL82" s="26"/>
      <c r="CM82" s="26"/>
      <c r="CN82" s="26"/>
      <c r="CO82" s="26"/>
      <c r="CP82" s="26"/>
      <c r="CQ82" s="26">
        <v>1.59</v>
      </c>
      <c r="CR82" s="26">
        <v>1.52</v>
      </c>
      <c r="CS82" s="27"/>
      <c r="CT82" s="113"/>
      <c r="CU82" s="113"/>
      <c r="CV82" s="113"/>
      <c r="CW82" s="27"/>
      <c r="CX82" s="117"/>
      <c r="CY82" s="113"/>
      <c r="CZ82" s="108">
        <f t="shared" si="42"/>
        <v>0</v>
      </c>
      <c r="DA82" s="108">
        <f t="shared" si="39"/>
        <v>-0.0178571428571429</v>
      </c>
      <c r="DB82" s="108">
        <f t="shared" si="39"/>
        <v>-0.0350877192982456</v>
      </c>
      <c r="DC82" s="108"/>
      <c r="DD82" s="108"/>
      <c r="DE82" s="108"/>
      <c r="DF82" s="108"/>
      <c r="DG82" s="108"/>
      <c r="DH82" s="108"/>
      <c r="DI82" s="108"/>
      <c r="DJ82" s="108"/>
      <c r="DK82" s="108"/>
      <c r="DL82" s="108"/>
      <c r="DM82" s="108">
        <f t="shared" si="62"/>
        <v>0</v>
      </c>
      <c r="DN82" s="108">
        <f t="shared" si="62"/>
        <v>0.0133333333333334</v>
      </c>
      <c r="DQ82" s="114">
        <f t="shared" si="37"/>
        <v>3.4375</v>
      </c>
      <c r="DR82" s="114">
        <f t="shared" si="38"/>
        <v>3.4375</v>
      </c>
      <c r="FK82" s="104"/>
      <c r="FV82" s="104">
        <f t="shared" si="50"/>
        <v>2010</v>
      </c>
      <c r="FW82" s="104">
        <f t="shared" si="51"/>
        <v>51</v>
      </c>
      <c r="FX82" s="35">
        <v>40525</v>
      </c>
      <c r="FY82" s="26">
        <v>2.04</v>
      </c>
      <c r="FZ82" s="94">
        <f t="shared" si="52"/>
        <v>8.16</v>
      </c>
      <c r="GA82" s="104">
        <f t="shared" si="53"/>
        <v>2012</v>
      </c>
      <c r="GB82" s="104">
        <f t="shared" si="54"/>
        <v>48</v>
      </c>
      <c r="GC82" s="35">
        <v>41241</v>
      </c>
      <c r="GD82" s="26">
        <v>0.8</v>
      </c>
      <c r="GE82" s="94">
        <f t="shared" si="55"/>
        <v>3.2</v>
      </c>
      <c r="GF82" s="104">
        <f t="shared" si="56"/>
        <v>2013</v>
      </c>
      <c r="GG82" s="104">
        <f t="shared" si="57"/>
        <v>13</v>
      </c>
      <c r="GH82" s="35">
        <v>41358</v>
      </c>
      <c r="GI82" s="26">
        <v>3.373</v>
      </c>
      <c r="GJ82" s="94">
        <f t="shared" si="58"/>
        <v>6.746</v>
      </c>
      <c r="GK82" s="104">
        <f t="shared" si="59"/>
        <v>2015</v>
      </c>
      <c r="GL82" s="104">
        <f t="shared" si="60"/>
        <v>11</v>
      </c>
      <c r="GM82" s="35">
        <v>42076</v>
      </c>
      <c r="GN82" s="26">
        <v>3.13</v>
      </c>
      <c r="GO82" s="94">
        <f t="shared" si="61"/>
        <v>6.26</v>
      </c>
      <c r="GP82" s="59"/>
    </row>
    <row r="83" ht="16.8" spans="3:198">
      <c r="C83" s="80" t="str" cm="1">
        <f t="array" ref="C83">_xlfn.IFS(MONTH(D83)&lt;4,1,MONTH(D83)&lt;7,2,MONTH(D83)&lt;10,3,MONTH(D83)&gt;9,4)&amp;"Q"&amp;RIGHT(YEAR(D83),2)</f>
        <v>2Q16</v>
      </c>
      <c r="D83" s="81">
        <f t="shared" si="11"/>
        <v>42521</v>
      </c>
      <c r="E83" s="82">
        <f t="shared" si="3"/>
        <v>42503</v>
      </c>
      <c r="F83" s="83">
        <f t="shared" si="4"/>
        <v>0.524</v>
      </c>
      <c r="G83" s="83">
        <f t="shared" si="4"/>
        <v>0.3668</v>
      </c>
      <c r="H83" s="81"/>
      <c r="I83" s="84">
        <v>42503</v>
      </c>
      <c r="J83" s="85">
        <v>4.4</v>
      </c>
      <c r="K83" s="85">
        <v>3.87</v>
      </c>
      <c r="L83" s="86">
        <v>4.192</v>
      </c>
      <c r="M83" s="87">
        <v>2.9344</v>
      </c>
      <c r="N83" s="88"/>
      <c r="O83" s="88"/>
      <c r="P83" s="88"/>
      <c r="Q83" s="89">
        <f t="shared" si="5"/>
        <v>0.428571428571428</v>
      </c>
      <c r="R83" s="5"/>
      <c r="S83" s="5"/>
      <c r="T83" s="5"/>
      <c r="U83" s="5"/>
      <c r="V83" s="5"/>
      <c r="W83" s="5"/>
      <c r="X83" s="5"/>
      <c r="Y83" s="5"/>
      <c r="Z83" s="5"/>
      <c r="AA83" s="5"/>
      <c r="AB83" s="5"/>
      <c r="AC83" s="5"/>
      <c r="AD83" s="5"/>
      <c r="AE83" s="5"/>
      <c r="AF83" s="5"/>
      <c r="AG83" s="5"/>
      <c r="AH83" s="105">
        <f t="shared" si="35"/>
        <v>42880</v>
      </c>
      <c r="AI83" s="91">
        <f t="shared" si="12"/>
        <v>6.391</v>
      </c>
      <c r="AJ83" s="36">
        <f t="shared" si="13"/>
        <v>0.000782962730973891</v>
      </c>
      <c r="AK83" s="36">
        <f t="shared" si="32"/>
        <v>0.00250980392156852</v>
      </c>
      <c r="AL83" s="105"/>
      <c r="AM83" s="91"/>
      <c r="AN83" s="36"/>
      <c r="AO83" s="36"/>
      <c r="AP83" s="36"/>
      <c r="AQ83" s="92" t="str" cm="1">
        <f t="array" ref="AQ83">_xlfn.IFS(MONTH(AR83)&lt;4,1,MONTH(AR83)&lt;7,2,MONTH(AR83)&lt;10,3,MONTH(AR83)&gt;9,4)&amp;"Q"&amp;RIGHT(YEAR(AR83),2)</f>
        <v>1Q20</v>
      </c>
      <c r="AR83" s="92">
        <f t="shared" si="14"/>
        <v>43890</v>
      </c>
      <c r="AS83" s="109">
        <v>43878</v>
      </c>
      <c r="AT83" s="110"/>
      <c r="AU83" s="94" cm="1">
        <f t="array" ref="AU83">INDEX($CE$29:$CE$1449,MATCH($AR83,$CA$29:$CA$1449,0),)</f>
        <v>115.54</v>
      </c>
      <c r="AV83" s="110"/>
      <c r="AW83" s="94" cm="1">
        <f t="array" ref="AW83">INDEX($CF$29:$CF$1449,MATCH($AR83,$CA$29:$CA$1449,0),)</f>
        <v>230.84</v>
      </c>
      <c r="AX83" s="94"/>
      <c r="AY83" s="94"/>
      <c r="AZ83" s="94"/>
      <c r="BA83" s="94"/>
      <c r="BB83" s="5"/>
      <c r="BC83" s="5"/>
      <c r="BD83" s="5"/>
      <c r="BE83" s="5"/>
      <c r="BF83" s="5"/>
      <c r="BG83" s="5"/>
      <c r="BH83" s="5"/>
      <c r="BI83" s="5"/>
      <c r="BJ83" s="5"/>
      <c r="BK83" s="5"/>
      <c r="BL83" s="5"/>
      <c r="BM83" s="5"/>
      <c r="BN83" s="5"/>
      <c r="BO83" s="5"/>
      <c r="BP83" s="5"/>
      <c r="BQ83" s="95" t="str" cm="1">
        <f t="array" ref="BQ83">_xlfn.IFS(MONTH(BR83)&lt;4,1,MONTH(BR83)&lt;7,2,MONTH(BR83)&lt;10,3,MONTH(BR83)&gt;9,4)&amp;"Q"&amp;RIGHT(YEAR(BR83),2)</f>
        <v>4Q20</v>
      </c>
      <c r="BR83" s="81">
        <f t="shared" si="15"/>
        <v>44196</v>
      </c>
      <c r="BS83" s="106">
        <f t="shared" si="16"/>
        <v>44196</v>
      </c>
      <c r="BT83" s="85"/>
      <c r="BU83" s="85"/>
      <c r="BV83" s="85">
        <v>2.85</v>
      </c>
      <c r="BW83" s="85"/>
      <c r="BX83" s="85"/>
      <c r="CA83" s="35">
        <f t="shared" si="41"/>
        <v>44196</v>
      </c>
      <c r="CB83" s="35"/>
      <c r="CC83" s="35"/>
      <c r="CD83" s="26">
        <v>24.8</v>
      </c>
      <c r="CE83" s="26">
        <v>110</v>
      </c>
      <c r="CF83" s="26">
        <v>220</v>
      </c>
      <c r="CG83" s="26"/>
      <c r="CH83" s="26"/>
      <c r="CI83" s="26"/>
      <c r="CJ83" s="26"/>
      <c r="CK83" s="26"/>
      <c r="CL83" s="26"/>
      <c r="CM83" s="26"/>
      <c r="CN83" s="26"/>
      <c r="CO83" s="26"/>
      <c r="CP83" s="26"/>
      <c r="CQ83" s="26">
        <v>1.61</v>
      </c>
      <c r="CR83" s="26">
        <v>1.55</v>
      </c>
      <c r="CS83" s="36"/>
      <c r="CT83" s="113"/>
      <c r="CU83" s="113"/>
      <c r="CV83" s="113"/>
      <c r="CW83" s="27"/>
      <c r="CX83" s="117"/>
      <c r="CY83" s="113"/>
      <c r="CZ83" s="108">
        <f t="shared" si="42"/>
        <v>0</v>
      </c>
      <c r="DA83" s="108">
        <f t="shared" si="39"/>
        <v>0</v>
      </c>
      <c r="DB83" s="108">
        <f t="shared" si="39"/>
        <v>0</v>
      </c>
      <c r="DC83" s="108"/>
      <c r="DD83" s="108"/>
      <c r="DE83" s="108"/>
      <c r="DF83" s="108"/>
      <c r="DG83" s="108"/>
      <c r="DH83" s="108"/>
      <c r="DI83" s="108"/>
      <c r="DJ83" s="108"/>
      <c r="DK83" s="108"/>
      <c r="DL83" s="108"/>
      <c r="DM83" s="108">
        <f t="shared" si="62"/>
        <v>0.0125786163522013</v>
      </c>
      <c r="DN83" s="108">
        <f t="shared" si="62"/>
        <v>0.0197368421052633</v>
      </c>
      <c r="DQ83" s="114">
        <f t="shared" si="37"/>
        <v>3.4375</v>
      </c>
      <c r="DR83" s="114">
        <f t="shared" si="38"/>
        <v>3.4375</v>
      </c>
      <c r="FK83" s="104"/>
      <c r="FV83" s="104">
        <f t="shared" si="50"/>
        <v>2010</v>
      </c>
      <c r="FW83" s="104">
        <f t="shared" si="51"/>
        <v>51</v>
      </c>
      <c r="FX83" s="35">
        <v>40526</v>
      </c>
      <c r="FY83" s="26">
        <v>2.03</v>
      </c>
      <c r="FZ83" s="94">
        <f t="shared" si="52"/>
        <v>8.12</v>
      </c>
      <c r="GA83" s="104">
        <f t="shared" si="53"/>
        <v>2012</v>
      </c>
      <c r="GB83" s="104">
        <f t="shared" si="54"/>
        <v>50</v>
      </c>
      <c r="GC83" s="35">
        <v>41256</v>
      </c>
      <c r="GD83" s="26">
        <v>0.81</v>
      </c>
      <c r="GE83" s="94">
        <f t="shared" si="55"/>
        <v>3.24</v>
      </c>
      <c r="GF83" s="104">
        <f t="shared" si="56"/>
        <v>2013</v>
      </c>
      <c r="GG83" s="104">
        <f t="shared" si="57"/>
        <v>13</v>
      </c>
      <c r="GH83" s="35">
        <v>41359</v>
      </c>
      <c r="GI83" s="26">
        <v>3.345</v>
      </c>
      <c r="GJ83" s="94">
        <f t="shared" si="58"/>
        <v>6.69</v>
      </c>
      <c r="GK83" s="104">
        <f t="shared" si="59"/>
        <v>2015</v>
      </c>
      <c r="GL83" s="104">
        <f t="shared" si="60"/>
        <v>14</v>
      </c>
      <c r="GM83" s="35">
        <v>42093</v>
      </c>
      <c r="GN83" s="26">
        <v>3.13</v>
      </c>
      <c r="GO83" s="94">
        <f t="shared" si="61"/>
        <v>6.26</v>
      </c>
      <c r="GP83" s="59"/>
    </row>
    <row r="84" ht="16.8" spans="3:198">
      <c r="C84" s="80" t="str" cm="1">
        <f t="array" ref="C84">_xlfn.IFS(MONTH(D84)&lt;4,1,MONTH(D84)&lt;7,2,MONTH(D84)&lt;10,3,MONTH(D84)&gt;9,4)&amp;"Q"&amp;RIGHT(YEAR(D84),2)</f>
        <v>2Q16</v>
      </c>
      <c r="D84" s="81">
        <f t="shared" si="11"/>
        <v>42521</v>
      </c>
      <c r="E84" s="82">
        <f t="shared" si="3"/>
        <v>42506</v>
      </c>
      <c r="F84" s="83">
        <f t="shared" si="4"/>
        <v>0.5205</v>
      </c>
      <c r="G84" s="83">
        <f t="shared" si="4"/>
        <v>0.3668</v>
      </c>
      <c r="H84" s="81"/>
      <c r="I84" s="84">
        <v>42506</v>
      </c>
      <c r="J84" s="85">
        <v>4.3</v>
      </c>
      <c r="K84" s="85">
        <v>3.8</v>
      </c>
      <c r="L84" s="86">
        <v>4.164</v>
      </c>
      <c r="M84" s="87">
        <v>2.9344</v>
      </c>
      <c r="N84" s="88"/>
      <c r="O84" s="88"/>
      <c r="P84" s="88"/>
      <c r="Q84" s="89">
        <f t="shared" si="5"/>
        <v>0.419029443838604</v>
      </c>
      <c r="R84" s="5"/>
      <c r="S84" s="5"/>
      <c r="T84" s="5"/>
      <c r="U84" s="5"/>
      <c r="V84" s="5"/>
      <c r="W84" s="5"/>
      <c r="X84" s="5"/>
      <c r="Y84" s="5"/>
      <c r="Z84" s="5"/>
      <c r="AA84" s="5"/>
      <c r="AB84" s="5"/>
      <c r="AC84" s="5"/>
      <c r="AD84" s="5"/>
      <c r="AE84" s="5"/>
      <c r="AF84" s="5"/>
      <c r="AG84" s="5"/>
      <c r="AH84" s="105">
        <f t="shared" si="35"/>
        <v>42888</v>
      </c>
      <c r="AI84" s="91">
        <f t="shared" si="12"/>
        <v>6.391</v>
      </c>
      <c r="AJ84" s="36">
        <f t="shared" si="13"/>
        <v>0</v>
      </c>
      <c r="AK84" s="36">
        <f t="shared" si="32"/>
        <v>0.000782962730973891</v>
      </c>
      <c r="AL84" s="105"/>
      <c r="AM84" s="91"/>
      <c r="AN84" s="36"/>
      <c r="AO84" s="36"/>
      <c r="AP84" s="36"/>
      <c r="AQ84" s="92" t="str" cm="1">
        <f t="array" ref="AQ84">_xlfn.IFS(MONTH(AR84)&lt;4,1,MONTH(AR84)&lt;7,2,MONTH(AR84)&lt;10,3,MONTH(AR84)&gt;9,4)&amp;"Q"&amp;RIGHT(YEAR(AR84),2)</f>
        <v>1Q20</v>
      </c>
      <c r="AR84" s="92">
        <f t="shared" si="14"/>
        <v>43890</v>
      </c>
      <c r="AS84" s="109">
        <v>43885</v>
      </c>
      <c r="AT84" s="110"/>
      <c r="AU84" s="94" cm="1">
        <f t="array" ref="AU84">INDEX($CE$29:$CE$1449,MATCH($AR84,$CA$29:$CA$1449,0),)</f>
        <v>115.54</v>
      </c>
      <c r="AV84" s="110"/>
      <c r="AW84" s="94" cm="1">
        <f t="array" ref="AW84">INDEX($CF$29:$CF$1449,MATCH($AR84,$CA$29:$CA$1449,0),)</f>
        <v>230.84</v>
      </c>
      <c r="AX84" s="94"/>
      <c r="AY84" s="94"/>
      <c r="AZ84" s="94"/>
      <c r="BA84" s="94"/>
      <c r="BB84" s="5"/>
      <c r="BC84" s="5"/>
      <c r="BD84" s="5"/>
      <c r="BE84" s="5"/>
      <c r="BF84" s="5"/>
      <c r="BG84" s="5"/>
      <c r="BH84" s="5"/>
      <c r="BI84" s="5"/>
      <c r="BJ84" s="5"/>
      <c r="BK84" s="5"/>
      <c r="BL84" s="5"/>
      <c r="BM84" s="5"/>
      <c r="BN84" s="5"/>
      <c r="BO84" s="5"/>
      <c r="BP84" s="5"/>
      <c r="BQ84" s="95" t="str" cm="1">
        <f t="array" ref="BQ84">_xlfn.IFS(MONTH(BR84)&lt;4,1,MONTH(BR84)&lt;7,2,MONTH(BR84)&lt;10,3,MONTH(BR84)&gt;9,4)&amp;"Q"&amp;RIGHT(YEAR(BR84),2)</f>
        <v>1Q21</v>
      </c>
      <c r="BR84" s="81">
        <f t="shared" si="15"/>
        <v>44227</v>
      </c>
      <c r="BS84" s="106">
        <f t="shared" si="16"/>
        <v>44227</v>
      </c>
      <c r="BT84" s="85"/>
      <c r="BU84" s="85"/>
      <c r="BV84" s="85">
        <v>3</v>
      </c>
      <c r="BW84" s="85"/>
      <c r="BX84" s="85"/>
      <c r="CA84" s="35">
        <f t="shared" si="41"/>
        <v>44227</v>
      </c>
      <c r="CB84" s="35"/>
      <c r="CC84" s="35"/>
      <c r="CD84" s="26">
        <v>26</v>
      </c>
      <c r="CE84" s="26">
        <v>115</v>
      </c>
      <c r="CF84" s="26">
        <v>230</v>
      </c>
      <c r="CG84" s="26"/>
      <c r="CH84" s="26"/>
      <c r="CI84" s="26"/>
      <c r="CJ84" s="26"/>
      <c r="CK84" s="26"/>
      <c r="CL84" s="26"/>
      <c r="CM84" s="26"/>
      <c r="CN84" s="26"/>
      <c r="CO84" s="26"/>
      <c r="CP84" s="26"/>
      <c r="CQ84" s="26">
        <v>1.67</v>
      </c>
      <c r="CR84" s="26">
        <v>1.62</v>
      </c>
      <c r="CS84" s="36"/>
      <c r="CT84" s="113"/>
      <c r="CU84" s="113"/>
      <c r="CV84" s="113"/>
      <c r="CW84" s="27"/>
      <c r="CX84" s="117"/>
      <c r="CY84" s="113"/>
      <c r="CZ84" s="108">
        <f t="shared" si="42"/>
        <v>0.0483870967741935</v>
      </c>
      <c r="DA84" s="108">
        <f t="shared" si="39"/>
        <v>0.0454545454545454</v>
      </c>
      <c r="DB84" s="108">
        <f t="shared" si="39"/>
        <v>0.0454545454545454</v>
      </c>
      <c r="DC84" s="108"/>
      <c r="DD84" s="108"/>
      <c r="DE84" s="108"/>
      <c r="DF84" s="108"/>
      <c r="DG84" s="108"/>
      <c r="DH84" s="108"/>
      <c r="DI84" s="108"/>
      <c r="DJ84" s="108"/>
      <c r="DK84" s="108"/>
      <c r="DL84" s="108"/>
      <c r="DM84" s="108">
        <f t="shared" si="62"/>
        <v>0.0372670807453415</v>
      </c>
      <c r="DN84" s="108">
        <f t="shared" si="62"/>
        <v>0.0451612903225806</v>
      </c>
      <c r="DQ84" s="114">
        <f t="shared" si="37"/>
        <v>3.59375</v>
      </c>
      <c r="DR84" s="114">
        <f t="shared" si="38"/>
        <v>3.59375</v>
      </c>
      <c r="FK84" s="104"/>
      <c r="FV84" s="104">
        <f t="shared" si="50"/>
        <v>2010</v>
      </c>
      <c r="FW84" s="104">
        <f t="shared" si="51"/>
        <v>51</v>
      </c>
      <c r="FX84" s="35">
        <v>40527</v>
      </c>
      <c r="FY84" s="26">
        <v>2.01</v>
      </c>
      <c r="FZ84" s="94">
        <f t="shared" si="52"/>
        <v>8.04</v>
      </c>
      <c r="GA84" s="104">
        <f t="shared" si="53"/>
        <v>2012</v>
      </c>
      <c r="GB84" s="104">
        <f t="shared" si="54"/>
        <v>52</v>
      </c>
      <c r="GC84" s="35">
        <v>41271</v>
      </c>
      <c r="GD84" s="26">
        <v>0.83</v>
      </c>
      <c r="GE84" s="94">
        <f t="shared" si="55"/>
        <v>3.32</v>
      </c>
      <c r="GF84" s="104">
        <f t="shared" si="56"/>
        <v>2013</v>
      </c>
      <c r="GG84" s="104">
        <f t="shared" si="57"/>
        <v>13</v>
      </c>
      <c r="GH84" s="35">
        <v>41360</v>
      </c>
      <c r="GI84" s="26">
        <v>3.323</v>
      </c>
      <c r="GJ84" s="94">
        <f t="shared" si="58"/>
        <v>6.646</v>
      </c>
      <c r="GK84" s="104">
        <f t="shared" si="59"/>
        <v>2015</v>
      </c>
      <c r="GL84" s="104">
        <f t="shared" si="60"/>
        <v>16</v>
      </c>
      <c r="GM84" s="35">
        <v>42109</v>
      </c>
      <c r="GN84" s="26">
        <v>2.88</v>
      </c>
      <c r="GO84" s="94">
        <f t="shared" si="61"/>
        <v>5.76</v>
      </c>
      <c r="GP84" s="59"/>
    </row>
    <row r="85" ht="16.8" spans="3:198">
      <c r="C85" s="80" t="str" cm="1">
        <f t="array" ref="C85">_xlfn.IFS(MONTH(D85)&lt;4,1,MONTH(D85)&lt;7,2,MONTH(D85)&lt;10,3,MONTH(D85)&gt;9,4)&amp;"Q"&amp;RIGHT(YEAR(D85),2)</f>
        <v>2Q16</v>
      </c>
      <c r="D85" s="81">
        <f t="shared" si="11"/>
        <v>42521</v>
      </c>
      <c r="E85" s="82">
        <f t="shared" si="3"/>
        <v>42507</v>
      </c>
      <c r="F85" s="83">
        <f t="shared" si="4"/>
        <v>0.512625</v>
      </c>
      <c r="G85" s="83">
        <f t="shared" si="4"/>
        <v>0.3668</v>
      </c>
      <c r="H85" s="81"/>
      <c r="I85" s="84">
        <v>42507</v>
      </c>
      <c r="J85" s="85">
        <v>4.2</v>
      </c>
      <c r="K85" s="85">
        <v>3.7</v>
      </c>
      <c r="L85" s="86">
        <v>4.101</v>
      </c>
      <c r="M85" s="87">
        <v>2.9344</v>
      </c>
      <c r="N85" s="88"/>
      <c r="O85" s="88"/>
      <c r="P85" s="88"/>
      <c r="Q85" s="89">
        <f t="shared" si="5"/>
        <v>0.397559978189749</v>
      </c>
      <c r="R85" s="5"/>
      <c r="S85" s="5"/>
      <c r="T85" s="5"/>
      <c r="U85" s="5"/>
      <c r="V85" s="5"/>
      <c r="W85" s="5"/>
      <c r="X85" s="5"/>
      <c r="Y85" s="5"/>
      <c r="Z85" s="5"/>
      <c r="AA85" s="5"/>
      <c r="AB85" s="5"/>
      <c r="AC85" s="5"/>
      <c r="AD85" s="5"/>
      <c r="AE85" s="5"/>
      <c r="AF85" s="5"/>
      <c r="AG85" s="5"/>
      <c r="AH85" s="105">
        <f t="shared" si="35"/>
        <v>42898</v>
      </c>
      <c r="AI85" s="91">
        <f t="shared" si="12"/>
        <v>6.386</v>
      </c>
      <c r="AJ85" s="36">
        <f t="shared" si="13"/>
        <v>-0.00078235017994055</v>
      </c>
      <c r="AK85" s="36">
        <f t="shared" si="32"/>
        <v>-0.00078235017994055</v>
      </c>
      <c r="AL85" s="105"/>
      <c r="AM85" s="91"/>
      <c r="AN85" s="36"/>
      <c r="AO85" s="36"/>
      <c r="AP85" s="36"/>
      <c r="AQ85" s="92" t="str" cm="1">
        <f t="array" ref="AQ85">_xlfn.IFS(MONTH(AR85)&lt;4,1,MONTH(AR85)&lt;7,2,MONTH(AR85)&lt;10,3,MONTH(AR85)&gt;9,4)&amp;"Q"&amp;RIGHT(YEAR(AR85),2)</f>
        <v>1Q20</v>
      </c>
      <c r="AR85" s="92">
        <f t="shared" si="14"/>
        <v>43921</v>
      </c>
      <c r="AS85" s="109">
        <v>43892</v>
      </c>
      <c r="AT85" s="110"/>
      <c r="AU85" s="94" cm="1">
        <f t="array" ref="AU85">INDEX($CE$29:$CE$1449,MATCH($AR85,$CA$29:$CA$1449,0),)</f>
        <v>121.32</v>
      </c>
      <c r="AV85" s="110"/>
      <c r="AW85" s="94" cm="1">
        <f t="array" ref="AW85">INDEX($CF$29:$CF$1449,MATCH($AR85,$CA$29:$CA$1449,0),)</f>
        <v>244.45</v>
      </c>
      <c r="AX85" s="94"/>
      <c r="AY85" s="94"/>
      <c r="AZ85" s="94"/>
      <c r="BA85" s="94"/>
      <c r="BB85" s="5"/>
      <c r="BC85" s="5"/>
      <c r="BD85" s="5"/>
      <c r="BE85" s="5"/>
      <c r="BF85" s="5"/>
      <c r="BG85" s="5"/>
      <c r="BH85" s="5"/>
      <c r="BI85" s="5"/>
      <c r="BJ85" s="5"/>
      <c r="BK85" s="5"/>
      <c r="BL85" s="5"/>
      <c r="BM85" s="5"/>
      <c r="BN85" s="5"/>
      <c r="BO85" s="5"/>
      <c r="BP85" s="5"/>
      <c r="BQ85" s="95" t="str" cm="1">
        <f t="array" ref="BQ85">_xlfn.IFS(MONTH(BR85)&lt;4,1,MONTH(BR85)&lt;7,2,MONTH(BR85)&lt;10,3,MONTH(BR85)&gt;9,4)&amp;"Q"&amp;RIGHT(YEAR(BR85),2)</f>
        <v>1Q21</v>
      </c>
      <c r="BR85" s="81">
        <f t="shared" si="15"/>
        <v>44255</v>
      </c>
      <c r="BS85" s="106">
        <f t="shared" si="16"/>
        <v>44255</v>
      </c>
      <c r="BT85" s="85"/>
      <c r="BU85" s="85"/>
      <c r="BV85" s="85">
        <v>3</v>
      </c>
      <c r="BW85" s="85"/>
      <c r="BX85" s="85"/>
      <c r="CA85" s="35">
        <f t="shared" si="41"/>
        <v>44255</v>
      </c>
      <c r="CB85" s="35"/>
      <c r="CC85" s="35"/>
      <c r="CD85" s="26">
        <v>26</v>
      </c>
      <c r="CE85" s="26">
        <v>119</v>
      </c>
      <c r="CF85" s="26">
        <v>238</v>
      </c>
      <c r="CG85" s="26"/>
      <c r="CH85" s="26"/>
      <c r="CI85" s="26"/>
      <c r="CJ85" s="26"/>
      <c r="CK85" s="26"/>
      <c r="CL85" s="26"/>
      <c r="CM85" s="26"/>
      <c r="CN85" s="26"/>
      <c r="CO85" s="26"/>
      <c r="CP85" s="26"/>
      <c r="CQ85" s="26">
        <v>1.78</v>
      </c>
      <c r="CR85" s="26">
        <v>1.73</v>
      </c>
      <c r="CS85" s="36"/>
      <c r="CT85" s="113"/>
      <c r="CU85" s="113"/>
      <c r="CV85" s="113"/>
      <c r="CW85" s="27"/>
      <c r="CX85" s="117"/>
      <c r="CY85" s="113"/>
      <c r="CZ85" s="108">
        <f t="shared" si="42"/>
        <v>0</v>
      </c>
      <c r="DA85" s="108">
        <f t="shared" si="39"/>
        <v>0.0347826086956522</v>
      </c>
      <c r="DB85" s="108">
        <f t="shared" si="39"/>
        <v>0.0347826086956522</v>
      </c>
      <c r="DC85" s="108"/>
      <c r="DD85" s="108"/>
      <c r="DE85" s="108"/>
      <c r="DF85" s="108"/>
      <c r="DG85" s="108"/>
      <c r="DH85" s="108"/>
      <c r="DI85" s="108"/>
      <c r="DJ85" s="108"/>
      <c r="DK85" s="108"/>
      <c r="DL85" s="108"/>
      <c r="DM85" s="108">
        <f t="shared" si="62"/>
        <v>0.0658682634730539</v>
      </c>
      <c r="DN85" s="108">
        <f t="shared" si="62"/>
        <v>0.0679012345679011</v>
      </c>
      <c r="DQ85" s="114">
        <f t="shared" si="37"/>
        <v>3.71875</v>
      </c>
      <c r="DR85" s="114">
        <f t="shared" si="38"/>
        <v>3.71875</v>
      </c>
      <c r="FK85" s="104"/>
      <c r="FV85" s="104">
        <f t="shared" si="50"/>
        <v>2010</v>
      </c>
      <c r="FW85" s="104">
        <f t="shared" si="51"/>
        <v>51</v>
      </c>
      <c r="FX85" s="35">
        <v>40528</v>
      </c>
      <c r="FY85" s="26">
        <v>1.97</v>
      </c>
      <c r="FZ85" s="94">
        <f t="shared" si="52"/>
        <v>7.88</v>
      </c>
      <c r="GA85" s="104">
        <f t="shared" si="53"/>
        <v>2013</v>
      </c>
      <c r="GB85" s="104">
        <f t="shared" si="54"/>
        <v>3</v>
      </c>
      <c r="GC85" s="35">
        <v>41289</v>
      </c>
      <c r="GD85" s="26">
        <v>0.92</v>
      </c>
      <c r="GE85" s="94">
        <f t="shared" si="55"/>
        <v>3.68</v>
      </c>
      <c r="GF85" s="104">
        <f t="shared" si="56"/>
        <v>2013</v>
      </c>
      <c r="GG85" s="104">
        <f t="shared" si="57"/>
        <v>13</v>
      </c>
      <c r="GH85" s="35">
        <v>41361</v>
      </c>
      <c r="GI85" s="26">
        <v>3.336</v>
      </c>
      <c r="GJ85" s="94">
        <f t="shared" si="58"/>
        <v>6.672</v>
      </c>
      <c r="GK85" s="104">
        <f t="shared" si="59"/>
        <v>2015</v>
      </c>
      <c r="GL85" s="104">
        <f t="shared" si="60"/>
        <v>18</v>
      </c>
      <c r="GM85" s="35">
        <v>42123</v>
      </c>
      <c r="GN85" s="26">
        <v>2.88</v>
      </c>
      <c r="GO85" s="94">
        <f t="shared" si="61"/>
        <v>5.76</v>
      </c>
      <c r="GP85" s="59"/>
    </row>
    <row r="86" ht="16.8" spans="3:198">
      <c r="C86" s="80" t="str" cm="1">
        <f t="array" ref="C86">_xlfn.IFS(MONTH(D86)&lt;4,1,MONTH(D86)&lt;7,2,MONTH(D86)&lt;10,3,MONTH(D86)&gt;9,4)&amp;"Q"&amp;RIGHT(YEAR(D86),2)</f>
        <v>2Q16</v>
      </c>
      <c r="D86" s="81">
        <f t="shared" si="11"/>
        <v>42521</v>
      </c>
      <c r="E86" s="82">
        <f t="shared" si="3"/>
        <v>42508</v>
      </c>
      <c r="F86" s="83">
        <f t="shared" si="4"/>
        <v>0.5045</v>
      </c>
      <c r="G86" s="83">
        <f t="shared" si="4"/>
        <v>0.3668</v>
      </c>
      <c r="H86" s="81"/>
      <c r="I86" s="84">
        <v>42508</v>
      </c>
      <c r="J86" s="85">
        <v>4.1</v>
      </c>
      <c r="K86" s="85">
        <v>3.6</v>
      </c>
      <c r="L86" s="86">
        <v>4.036</v>
      </c>
      <c r="M86" s="87">
        <v>2.9344</v>
      </c>
      <c r="N86" s="88"/>
      <c r="O86" s="88"/>
      <c r="P86" s="88"/>
      <c r="Q86" s="89">
        <f t="shared" si="5"/>
        <v>0.375408942202835</v>
      </c>
      <c r="AH86" s="105">
        <f t="shared" si="35"/>
        <v>42906</v>
      </c>
      <c r="AI86" s="91">
        <f t="shared" si="12"/>
        <v>6.444</v>
      </c>
      <c r="AJ86" s="36">
        <f t="shared" si="13"/>
        <v>0.00908236767929838</v>
      </c>
      <c r="AK86" s="36">
        <f t="shared" si="32"/>
        <v>0.0082929119073698</v>
      </c>
      <c r="AL86" s="105"/>
      <c r="AM86" s="91"/>
      <c r="AN86" s="36"/>
      <c r="AO86" s="36"/>
      <c r="AP86" s="36"/>
      <c r="AQ86" s="92" t="str" cm="1">
        <f t="array" ref="AQ86">_xlfn.IFS(MONTH(AR86)&lt;4,1,MONTH(AR86)&lt;7,2,MONTH(AR86)&lt;10,3,MONTH(AR86)&gt;9,4)&amp;"Q"&amp;RIGHT(YEAR(AR86),2)</f>
        <v>1Q20</v>
      </c>
      <c r="AR86" s="92">
        <f t="shared" si="14"/>
        <v>43921</v>
      </c>
      <c r="AS86" s="109">
        <v>43899</v>
      </c>
      <c r="AT86" s="110"/>
      <c r="AU86" s="94" cm="1">
        <f t="array" ref="AU86">INDEX($CE$29:$CE$1449,MATCH($AR86,$CA$29:$CA$1449,0),)</f>
        <v>121.32</v>
      </c>
      <c r="AV86" s="110"/>
      <c r="AW86" s="94" cm="1">
        <f t="array" ref="AW86">INDEX($CF$29:$CF$1449,MATCH($AR86,$CA$29:$CA$1449,0),)</f>
        <v>244.45</v>
      </c>
      <c r="AX86" s="94"/>
      <c r="AY86" s="94"/>
      <c r="AZ86" s="94"/>
      <c r="BA86" s="94"/>
      <c r="BB86" s="5"/>
      <c r="BC86" s="5"/>
      <c r="BD86" s="5"/>
      <c r="BE86" s="5"/>
      <c r="BF86" s="5"/>
      <c r="BG86" s="5"/>
      <c r="BH86" s="5"/>
      <c r="BI86" s="5"/>
      <c r="BJ86" s="5"/>
      <c r="BK86" s="5"/>
      <c r="BL86" s="5"/>
      <c r="BM86" s="5"/>
      <c r="BN86" s="5"/>
      <c r="BO86" s="5"/>
      <c r="BQ86" s="95" t="str" cm="1">
        <f t="array" ref="BQ86">_xlfn.IFS(MONTH(BR86)&lt;4,1,MONTH(BR86)&lt;7,2,MONTH(BR86)&lt;10,3,MONTH(BR86)&gt;9,4)&amp;"Q"&amp;RIGHT(YEAR(BR86),2)</f>
        <v>1Q21</v>
      </c>
      <c r="BR86" s="81">
        <f t="shared" si="15"/>
        <v>44286</v>
      </c>
      <c r="BS86" s="106">
        <f t="shared" si="16"/>
        <v>44286</v>
      </c>
      <c r="BT86" s="85"/>
      <c r="BU86" s="85"/>
      <c r="BV86" s="85">
        <v>3</v>
      </c>
      <c r="BW86" s="85"/>
      <c r="BX86" s="85"/>
      <c r="CA86" s="35">
        <f t="shared" si="41"/>
        <v>44286</v>
      </c>
      <c r="CB86" s="35"/>
      <c r="CC86" s="35"/>
      <c r="CD86" s="26">
        <v>26</v>
      </c>
      <c r="CE86" s="26">
        <v>125</v>
      </c>
      <c r="CF86" s="26">
        <v>243.75</v>
      </c>
      <c r="CG86" s="26"/>
      <c r="CH86" s="26"/>
      <c r="CI86" s="26"/>
      <c r="CJ86" s="26"/>
      <c r="CK86" s="26"/>
      <c r="CL86" s="26"/>
      <c r="CM86" s="26"/>
      <c r="CN86" s="26"/>
      <c r="CO86" s="26"/>
      <c r="CP86" s="26"/>
      <c r="CQ86" s="26">
        <v>1.99</v>
      </c>
      <c r="CR86" s="26">
        <v>1.97</v>
      </c>
      <c r="CS86" s="36"/>
      <c r="CT86" s="113"/>
      <c r="CU86" s="113"/>
      <c r="CV86" s="113"/>
      <c r="CW86" s="27"/>
      <c r="CX86" s="117"/>
      <c r="CY86" s="113"/>
      <c r="CZ86" s="108">
        <f t="shared" si="42"/>
        <v>0</v>
      </c>
      <c r="DA86" s="108">
        <f t="shared" si="39"/>
        <v>0.0504201680672269</v>
      </c>
      <c r="DB86" s="108">
        <f t="shared" si="39"/>
        <v>0.0241596638655461</v>
      </c>
      <c r="DC86" s="108"/>
      <c r="DD86" s="108"/>
      <c r="DE86" s="108"/>
      <c r="DF86" s="108"/>
      <c r="DG86" s="108"/>
      <c r="DH86" s="108"/>
      <c r="DI86" s="108"/>
      <c r="DJ86" s="108"/>
      <c r="DK86" s="108"/>
      <c r="DL86" s="108"/>
      <c r="DM86" s="108">
        <f t="shared" si="62"/>
        <v>0.117977528089888</v>
      </c>
      <c r="DN86" s="108">
        <f t="shared" si="62"/>
        <v>0.138728323699422</v>
      </c>
      <c r="DQ86" s="114">
        <f t="shared" si="37"/>
        <v>3.90625</v>
      </c>
      <c r="DR86" s="114">
        <f t="shared" si="38"/>
        <v>3.80859375</v>
      </c>
      <c r="FK86" s="104"/>
      <c r="FV86" s="104">
        <f t="shared" si="50"/>
        <v>2010</v>
      </c>
      <c r="FW86" s="104">
        <f t="shared" si="51"/>
        <v>51</v>
      </c>
      <c r="FX86" s="35">
        <v>40529</v>
      </c>
      <c r="FY86" s="26">
        <v>1.95</v>
      </c>
      <c r="FZ86" s="94">
        <f t="shared" si="52"/>
        <v>7.8</v>
      </c>
      <c r="GA86" s="104">
        <f t="shared" si="53"/>
        <v>2013</v>
      </c>
      <c r="GB86" s="104">
        <f t="shared" si="54"/>
        <v>5</v>
      </c>
      <c r="GC86" s="35">
        <v>41303</v>
      </c>
      <c r="GD86" s="26">
        <v>0.95</v>
      </c>
      <c r="GE86" s="94">
        <f t="shared" si="55"/>
        <v>3.8</v>
      </c>
      <c r="GF86" s="104">
        <f t="shared" si="56"/>
        <v>2013</v>
      </c>
      <c r="GG86" s="104">
        <f t="shared" si="57"/>
        <v>13</v>
      </c>
      <c r="GH86" s="35">
        <v>41362</v>
      </c>
      <c r="GI86" s="26">
        <v>3.364</v>
      </c>
      <c r="GJ86" s="94">
        <f t="shared" si="58"/>
        <v>6.728</v>
      </c>
      <c r="GK86" s="104">
        <f t="shared" si="59"/>
        <v>2015</v>
      </c>
      <c r="GL86" s="104">
        <f t="shared" si="60"/>
        <v>20</v>
      </c>
      <c r="GM86" s="35">
        <v>42139</v>
      </c>
      <c r="GN86" s="26">
        <v>2.75</v>
      </c>
      <c r="GO86" s="94">
        <f t="shared" si="61"/>
        <v>5.5</v>
      </c>
      <c r="GP86" s="59"/>
    </row>
    <row r="87" ht="16.8" spans="3:198">
      <c r="C87" s="80" t="str" cm="1">
        <f t="array" ref="C87">_xlfn.IFS(MONTH(D87)&lt;4,1,MONTH(D87)&lt;7,2,MONTH(D87)&lt;10,3,MONTH(D87)&gt;9,4)&amp;"Q"&amp;RIGHT(YEAR(D87),2)</f>
        <v>2Q16</v>
      </c>
      <c r="D87" s="81">
        <f t="shared" si="11"/>
        <v>42521</v>
      </c>
      <c r="E87" s="82">
        <f t="shared" si="3"/>
        <v>42509</v>
      </c>
      <c r="F87" s="83">
        <f t="shared" si="4"/>
        <v>0.495625</v>
      </c>
      <c r="G87" s="83">
        <f t="shared" si="4"/>
        <v>0.3668</v>
      </c>
      <c r="H87" s="81"/>
      <c r="I87" s="84">
        <v>42509</v>
      </c>
      <c r="J87" s="85">
        <v>4</v>
      </c>
      <c r="K87" s="85">
        <v>3.5</v>
      </c>
      <c r="L87" s="86">
        <v>3.965</v>
      </c>
      <c r="M87" s="87">
        <v>2.9344</v>
      </c>
      <c r="N87" s="88"/>
      <c r="O87" s="88"/>
      <c r="P87" s="88"/>
      <c r="Q87" s="89">
        <f t="shared" si="5"/>
        <v>0.351213195201745</v>
      </c>
      <c r="AH87" s="105">
        <f t="shared" si="35"/>
        <v>42914</v>
      </c>
      <c r="AI87" s="91">
        <f t="shared" si="12"/>
        <v>6.543</v>
      </c>
      <c r="AJ87" s="36">
        <f t="shared" si="13"/>
        <v>0.0153631284916202</v>
      </c>
      <c r="AK87" s="36">
        <f t="shared" si="32"/>
        <v>0.0245850297525838</v>
      </c>
      <c r="AL87" s="105"/>
      <c r="AM87" s="91"/>
      <c r="AN87" s="36"/>
      <c r="AO87" s="36"/>
      <c r="AP87" s="36"/>
      <c r="AQ87" s="92" t="str" cm="1">
        <f t="array" ref="AQ87">_xlfn.IFS(MONTH(AR87)&lt;4,1,MONTH(AR87)&lt;7,2,MONTH(AR87)&lt;10,3,MONTH(AR87)&gt;9,4)&amp;"Q"&amp;RIGHT(YEAR(AR87),2)</f>
        <v>1Q20</v>
      </c>
      <c r="AR87" s="92">
        <f t="shared" si="14"/>
        <v>43921</v>
      </c>
      <c r="AS87" s="109">
        <v>43906</v>
      </c>
      <c r="AT87" s="110"/>
      <c r="AU87" s="94" cm="1">
        <f t="array" ref="AU87">INDEX($CE$29:$CE$1449,MATCH($AR87,$CA$29:$CA$1449,0),)</f>
        <v>121.32</v>
      </c>
      <c r="AV87" s="110"/>
      <c r="AW87" s="94" cm="1">
        <f t="array" ref="AW87">INDEX($CF$29:$CF$1449,MATCH($AR87,$CA$29:$CA$1449,0),)</f>
        <v>244.45</v>
      </c>
      <c r="AX87" s="94"/>
      <c r="AY87" s="94"/>
      <c r="AZ87" s="94"/>
      <c r="BA87" s="94"/>
      <c r="BB87" s="5"/>
      <c r="BC87" s="5"/>
      <c r="BD87" s="5"/>
      <c r="BE87" s="5"/>
      <c r="BF87" s="5"/>
      <c r="BG87" s="5"/>
      <c r="BH87" s="5"/>
      <c r="BI87" s="5"/>
      <c r="BJ87" s="5"/>
      <c r="BK87" s="5"/>
      <c r="BL87" s="5"/>
      <c r="BM87" s="5"/>
      <c r="BN87" s="5"/>
      <c r="BO87" s="5"/>
      <c r="BQ87" s="95" t="str" cm="1">
        <f t="array" ref="BQ87">_xlfn.IFS(MONTH(BR87)&lt;4,1,MONTH(BR87)&lt;7,2,MONTH(BR87)&lt;10,3,MONTH(BR87)&gt;9,4)&amp;"Q"&amp;RIGHT(YEAR(BR87),2)</f>
        <v>2Q21</v>
      </c>
      <c r="BR87" s="81">
        <f t="shared" si="15"/>
        <v>44316</v>
      </c>
      <c r="BS87" s="106">
        <f t="shared" si="16"/>
        <v>44316</v>
      </c>
      <c r="BT87" s="85"/>
      <c r="BU87" s="85"/>
      <c r="BV87" s="85">
        <v>3.8</v>
      </c>
      <c r="BW87" s="85"/>
      <c r="BX87" s="85"/>
      <c r="CA87" s="35">
        <f t="shared" si="41"/>
        <v>44316</v>
      </c>
      <c r="CB87" s="35"/>
      <c r="CC87" s="35"/>
      <c r="CD87" s="26">
        <v>32.4</v>
      </c>
      <c r="CE87" s="26">
        <v>145</v>
      </c>
      <c r="CF87" s="26">
        <v>282.75</v>
      </c>
      <c r="CG87" s="26"/>
      <c r="CH87" s="26"/>
      <c r="CI87" s="26"/>
      <c r="CJ87" s="26"/>
      <c r="CK87" s="26"/>
      <c r="CL87" s="26"/>
      <c r="CM87" s="26"/>
      <c r="CN87" s="26"/>
      <c r="CO87" s="26"/>
      <c r="CP87" s="26"/>
      <c r="CQ87" s="26">
        <v>2.25</v>
      </c>
      <c r="CR87" s="26">
        <v>2.23</v>
      </c>
      <c r="CS87" s="36"/>
      <c r="CT87" s="113"/>
      <c r="CU87" s="113"/>
      <c r="CV87" s="113"/>
      <c r="CW87" s="27"/>
      <c r="CX87" s="117"/>
      <c r="CY87" s="113"/>
      <c r="CZ87" s="108">
        <f t="shared" si="42"/>
        <v>0.246153846153846</v>
      </c>
      <c r="DA87" s="108">
        <f t="shared" si="39"/>
        <v>0.16</v>
      </c>
      <c r="DB87" s="108">
        <f t="shared" si="39"/>
        <v>0.16</v>
      </c>
      <c r="DC87" s="108"/>
      <c r="DD87" s="108"/>
      <c r="DE87" s="108"/>
      <c r="DF87" s="108"/>
      <c r="DG87" s="108"/>
      <c r="DH87" s="108"/>
      <c r="DI87" s="108"/>
      <c r="DJ87" s="108"/>
      <c r="DK87" s="108"/>
      <c r="DL87" s="108"/>
      <c r="DM87" s="108">
        <f t="shared" si="62"/>
        <v>0.130653266331658</v>
      </c>
      <c r="DN87" s="108">
        <f t="shared" si="62"/>
        <v>0.131979695431472</v>
      </c>
      <c r="DQ87" s="114">
        <f t="shared" si="37"/>
        <v>4.53125</v>
      </c>
      <c r="DR87" s="114">
        <f t="shared" si="38"/>
        <v>4.41796875</v>
      </c>
      <c r="FK87" s="104"/>
      <c r="FV87" s="104">
        <f t="shared" si="50"/>
        <v>2010</v>
      </c>
      <c r="FW87" s="104">
        <f t="shared" si="51"/>
        <v>52</v>
      </c>
      <c r="FX87" s="35">
        <v>40532</v>
      </c>
      <c r="FY87" s="26">
        <v>1.95</v>
      </c>
      <c r="FZ87" s="94">
        <f t="shared" si="52"/>
        <v>7.8</v>
      </c>
      <c r="GA87" s="104">
        <f t="shared" si="53"/>
        <v>2013</v>
      </c>
      <c r="GB87" s="104">
        <f t="shared" si="54"/>
        <v>7</v>
      </c>
      <c r="GC87" s="35">
        <v>41320</v>
      </c>
      <c r="GD87" s="26">
        <v>0.95</v>
      </c>
      <c r="GE87" s="94">
        <f t="shared" si="55"/>
        <v>3.8</v>
      </c>
      <c r="GF87" s="104">
        <f t="shared" si="56"/>
        <v>2013</v>
      </c>
      <c r="GG87" s="104">
        <f t="shared" si="57"/>
        <v>14</v>
      </c>
      <c r="GH87" s="35">
        <v>41365</v>
      </c>
      <c r="GI87" s="26">
        <v>3.381</v>
      </c>
      <c r="GJ87" s="94">
        <f t="shared" si="58"/>
        <v>6.762</v>
      </c>
      <c r="GK87" s="104">
        <f t="shared" si="59"/>
        <v>2015</v>
      </c>
      <c r="GL87" s="104">
        <f t="shared" si="60"/>
        <v>22</v>
      </c>
      <c r="GM87" s="35">
        <v>42153</v>
      </c>
      <c r="GN87" s="26">
        <v>2.75</v>
      </c>
      <c r="GO87" s="94">
        <f t="shared" si="61"/>
        <v>5.5</v>
      </c>
      <c r="GP87" s="59"/>
    </row>
    <row r="88" ht="16.8" spans="3:198">
      <c r="C88" s="80" t="str" cm="1">
        <f t="array" ref="C88">_xlfn.IFS(MONTH(D88)&lt;4,1,MONTH(D88)&lt;7,2,MONTH(D88)&lt;10,3,MONTH(D88)&gt;9,4)&amp;"Q"&amp;RIGHT(YEAR(D88),2)</f>
        <v>2Q16</v>
      </c>
      <c r="D88" s="81">
        <f t="shared" si="11"/>
        <v>42521</v>
      </c>
      <c r="E88" s="82">
        <f t="shared" si="3"/>
        <v>42510</v>
      </c>
      <c r="F88" s="83">
        <f t="shared" si="4"/>
        <v>0.492</v>
      </c>
      <c r="G88" s="83">
        <f t="shared" si="4"/>
        <v>0.3668</v>
      </c>
      <c r="H88" s="81"/>
      <c r="I88" s="84">
        <v>42510</v>
      </c>
      <c r="J88" s="85">
        <v>4</v>
      </c>
      <c r="K88" s="85">
        <v>3.5</v>
      </c>
      <c r="L88" s="86">
        <v>3.936</v>
      </c>
      <c r="M88" s="87">
        <v>2.9344</v>
      </c>
      <c r="N88" s="88"/>
      <c r="O88" s="88"/>
      <c r="P88" s="88"/>
      <c r="Q88" s="89">
        <f t="shared" si="5"/>
        <v>0.341330425299891</v>
      </c>
      <c r="AH88" s="105">
        <f t="shared" si="35"/>
        <v>42922</v>
      </c>
      <c r="AI88" s="91">
        <f t="shared" si="12"/>
        <v>6.77</v>
      </c>
      <c r="AJ88" s="36">
        <f t="shared" si="13"/>
        <v>0.0346935656426715</v>
      </c>
      <c r="AK88" s="36">
        <f t="shared" si="32"/>
        <v>0.0505896958410925</v>
      </c>
      <c r="AL88" s="105"/>
      <c r="AM88" s="91"/>
      <c r="AN88" s="36"/>
      <c r="AO88" s="36"/>
      <c r="AP88" s="36"/>
      <c r="AQ88" s="92" t="str" cm="1">
        <f t="array" ref="AQ88">_xlfn.IFS(MONTH(AR88)&lt;4,1,MONTH(AR88)&lt;7,2,MONTH(AR88)&lt;10,3,MONTH(AR88)&gt;9,4)&amp;"Q"&amp;RIGHT(YEAR(AR88),2)</f>
        <v>1Q20</v>
      </c>
      <c r="AR88" s="92">
        <f t="shared" si="14"/>
        <v>43921</v>
      </c>
      <c r="AS88" s="109">
        <v>43913</v>
      </c>
      <c r="AT88" s="110"/>
      <c r="AU88" s="94" cm="1">
        <f t="array" ref="AU88">INDEX($CE$29:$CE$1449,MATCH($AR88,$CA$29:$CA$1449,0),)</f>
        <v>121.32</v>
      </c>
      <c r="AV88" s="110"/>
      <c r="AW88" s="94" cm="1">
        <f t="array" ref="AW88">INDEX($CF$29:$CF$1449,MATCH($AR88,$CA$29:$CA$1449,0),)</f>
        <v>244.45</v>
      </c>
      <c r="AX88" s="94"/>
      <c r="AY88" s="94"/>
      <c r="AZ88" s="94"/>
      <c r="BA88" s="94"/>
      <c r="BB88" s="5"/>
      <c r="BC88" s="5"/>
      <c r="BD88" s="5"/>
      <c r="BE88" s="5"/>
      <c r="BF88" s="5"/>
      <c r="BG88" s="5"/>
      <c r="BH88" s="5"/>
      <c r="BI88" s="5"/>
      <c r="BJ88" s="5"/>
      <c r="BK88" s="5"/>
      <c r="BL88" s="5"/>
      <c r="BM88" s="5"/>
      <c r="BN88" s="5"/>
      <c r="BO88" s="5"/>
      <c r="BQ88" s="95" t="str" cm="1">
        <f t="array" ref="BQ88">_xlfn.IFS(MONTH(BR88)&lt;4,1,MONTH(BR88)&lt;7,2,MONTH(BR88)&lt;10,3,MONTH(BR88)&gt;9,4)&amp;"Q"&amp;RIGHT(YEAR(BR88),2)</f>
        <v>2Q21</v>
      </c>
      <c r="BR88" s="81">
        <f t="shared" si="15"/>
        <v>44347</v>
      </c>
      <c r="BS88" s="106">
        <f t="shared" si="16"/>
        <v>44347</v>
      </c>
      <c r="BT88" s="85"/>
      <c r="BU88" s="85"/>
      <c r="BV88" s="85">
        <v>3.8</v>
      </c>
      <c r="BW88" s="85"/>
      <c r="BX88" s="85"/>
      <c r="CA88" s="35">
        <f t="shared" si="41"/>
        <v>44347</v>
      </c>
      <c r="CB88" s="35"/>
      <c r="CC88" s="35"/>
      <c r="CD88" s="26">
        <v>32.4</v>
      </c>
      <c r="CE88" s="26">
        <v>147</v>
      </c>
      <c r="CF88" s="26">
        <v>286.65</v>
      </c>
      <c r="CG88" s="26"/>
      <c r="CH88" s="26"/>
      <c r="CI88" s="26"/>
      <c r="CJ88" s="26"/>
      <c r="CK88" s="26"/>
      <c r="CL88" s="26"/>
      <c r="CM88" s="26"/>
      <c r="CN88" s="26"/>
      <c r="CO88" s="26"/>
      <c r="CP88" s="26"/>
      <c r="CQ88" s="26">
        <v>2.45</v>
      </c>
      <c r="CR88" s="26">
        <v>2.45</v>
      </c>
      <c r="CS88" s="36"/>
      <c r="CT88" s="113"/>
      <c r="CU88" s="113"/>
      <c r="CV88" s="113"/>
      <c r="CW88" s="27"/>
      <c r="CX88" s="117"/>
      <c r="CY88" s="113"/>
      <c r="CZ88" s="108">
        <f t="shared" si="42"/>
        <v>0</v>
      </c>
      <c r="DA88" s="108">
        <f t="shared" si="39"/>
        <v>0.0137931034482759</v>
      </c>
      <c r="DB88" s="108">
        <f t="shared" si="39"/>
        <v>0.0137931034482759</v>
      </c>
      <c r="DC88" s="108"/>
      <c r="DD88" s="108"/>
      <c r="DE88" s="108"/>
      <c r="DF88" s="108"/>
      <c r="DG88" s="108"/>
      <c r="DH88" s="108"/>
      <c r="DI88" s="108"/>
      <c r="DJ88" s="108"/>
      <c r="DK88" s="108"/>
      <c r="DL88" s="108"/>
      <c r="DM88" s="108">
        <f t="shared" ref="DM88:DN119" si="64">CQ88/CQ87-1</f>
        <v>0.088888888888889</v>
      </c>
      <c r="DN88" s="108">
        <f t="shared" si="64"/>
        <v>0.0986547085201794</v>
      </c>
      <c r="DQ88" s="114">
        <f t="shared" si="37"/>
        <v>4.59375</v>
      </c>
      <c r="DR88" s="114">
        <f t="shared" si="38"/>
        <v>4.47890625</v>
      </c>
      <c r="FK88" s="104"/>
      <c r="FV88" s="104">
        <f t="shared" si="50"/>
        <v>2010</v>
      </c>
      <c r="FW88" s="104">
        <f t="shared" si="51"/>
        <v>52</v>
      </c>
      <c r="FX88" s="35">
        <v>40533</v>
      </c>
      <c r="FY88" s="26">
        <v>1.94</v>
      </c>
      <c r="FZ88" s="94">
        <f t="shared" si="52"/>
        <v>7.76</v>
      </c>
      <c r="GA88" s="104">
        <f t="shared" si="53"/>
        <v>2013</v>
      </c>
      <c r="GB88" s="104">
        <f t="shared" si="54"/>
        <v>9</v>
      </c>
      <c r="GC88" s="35">
        <v>41330</v>
      </c>
      <c r="GD88" s="26">
        <v>1.08</v>
      </c>
      <c r="GE88" s="94">
        <f t="shared" si="55"/>
        <v>4.32</v>
      </c>
      <c r="GF88" s="104">
        <f t="shared" si="56"/>
        <v>2013</v>
      </c>
      <c r="GG88" s="104">
        <f t="shared" si="57"/>
        <v>14</v>
      </c>
      <c r="GH88" s="35">
        <v>41366</v>
      </c>
      <c r="GI88" s="26">
        <v>3.4</v>
      </c>
      <c r="GJ88" s="94">
        <f t="shared" si="58"/>
        <v>6.8</v>
      </c>
      <c r="GK88" s="104">
        <f t="shared" si="59"/>
        <v>2015</v>
      </c>
      <c r="GL88" s="104">
        <f t="shared" si="60"/>
        <v>25</v>
      </c>
      <c r="GM88" s="35">
        <v>42170</v>
      </c>
      <c r="GN88" s="26">
        <v>2.69</v>
      </c>
      <c r="GO88" s="94">
        <f t="shared" si="61"/>
        <v>5.38</v>
      </c>
      <c r="GP88" s="59"/>
    </row>
    <row r="89" ht="16.8" spans="3:198">
      <c r="C89" s="80" t="str" cm="1">
        <f t="array" ref="C89">_xlfn.IFS(MONTH(D89)&lt;4,1,MONTH(D89)&lt;7,2,MONTH(D89)&lt;10,3,MONTH(D89)&gt;9,4)&amp;"Q"&amp;RIGHT(YEAR(D89),2)</f>
        <v>2Q16</v>
      </c>
      <c r="D89" s="81">
        <f t="shared" si="11"/>
        <v>42521</v>
      </c>
      <c r="E89" s="82">
        <f t="shared" si="3"/>
        <v>42513</v>
      </c>
      <c r="F89" s="83">
        <f t="shared" si="4"/>
        <v>0.484125</v>
      </c>
      <c r="G89" s="83">
        <f t="shared" si="4"/>
        <v>0.3668</v>
      </c>
      <c r="H89" s="81"/>
      <c r="I89" s="84">
        <v>42513</v>
      </c>
      <c r="J89" s="85">
        <v>4</v>
      </c>
      <c r="K89" s="85">
        <v>3.5</v>
      </c>
      <c r="L89" s="86">
        <v>3.873</v>
      </c>
      <c r="M89" s="87">
        <v>2.9344</v>
      </c>
      <c r="N89" s="88"/>
      <c r="O89" s="88"/>
      <c r="P89" s="88"/>
      <c r="Q89" s="89">
        <f t="shared" si="5"/>
        <v>0.319860959651036</v>
      </c>
      <c r="AH89" s="105">
        <f t="shared" si="35"/>
        <v>42930</v>
      </c>
      <c r="AI89" s="91">
        <f t="shared" si="12"/>
        <v>7.008</v>
      </c>
      <c r="AJ89" s="36">
        <f t="shared" si="13"/>
        <v>0.035155096011817</v>
      </c>
      <c r="AK89" s="36">
        <f t="shared" si="32"/>
        <v>0.0710683172856488</v>
      </c>
      <c r="AL89" s="105"/>
      <c r="AM89" s="91"/>
      <c r="AN89" s="36"/>
      <c r="AO89" s="36"/>
      <c r="AP89" s="36"/>
      <c r="AQ89" s="92" t="str" cm="1">
        <f t="array" ref="AQ89">_xlfn.IFS(MONTH(AR89)&lt;4,1,MONTH(AR89)&lt;7,2,MONTH(AR89)&lt;10,3,MONTH(AR89)&gt;9,4)&amp;"Q"&amp;RIGHT(YEAR(AR89),2)</f>
        <v>1Q20</v>
      </c>
      <c r="AR89" s="92">
        <f t="shared" si="14"/>
        <v>43921</v>
      </c>
      <c r="AS89" s="109">
        <v>43920</v>
      </c>
      <c r="AT89" s="110"/>
      <c r="AU89" s="94" cm="1">
        <f t="array" ref="AU89">INDEX($CE$29:$CE$1449,MATCH($AR89,$CA$29:$CA$1449,0),)</f>
        <v>121.32</v>
      </c>
      <c r="AV89" s="110"/>
      <c r="AW89" s="94" cm="1">
        <f t="array" ref="AW89">INDEX($CF$29:$CF$1449,MATCH($AR89,$CA$29:$CA$1449,0),)</f>
        <v>244.45</v>
      </c>
      <c r="AX89" s="94"/>
      <c r="AY89" s="94"/>
      <c r="AZ89" s="94"/>
      <c r="BA89" s="94"/>
      <c r="BB89" s="5"/>
      <c r="BC89" s="5"/>
      <c r="BD89" s="5"/>
      <c r="BE89" s="5"/>
      <c r="BF89" s="5"/>
      <c r="BG89" s="5"/>
      <c r="BH89" s="5"/>
      <c r="BI89" s="5"/>
      <c r="BJ89" s="5"/>
      <c r="BK89" s="5"/>
      <c r="BL89" s="5"/>
      <c r="BM89" s="5"/>
      <c r="BN89" s="5"/>
      <c r="BO89" s="5"/>
      <c r="BQ89" s="95" t="str" cm="1">
        <f t="array" ref="BQ89">_xlfn.IFS(MONTH(BR89)&lt;4,1,MONTH(BR89)&lt;7,2,MONTH(BR89)&lt;10,3,MONTH(BR89)&gt;9,4)&amp;"Q"&amp;RIGHT(YEAR(BR89),2)</f>
        <v>2Q21</v>
      </c>
      <c r="BR89" s="81">
        <f t="shared" si="15"/>
        <v>44377</v>
      </c>
      <c r="BS89" s="106">
        <f t="shared" si="16"/>
        <v>44377</v>
      </c>
      <c r="BT89" s="85"/>
      <c r="BU89" s="85"/>
      <c r="BV89" s="85">
        <v>3.8</v>
      </c>
      <c r="BW89" s="85"/>
      <c r="BX89" s="85"/>
      <c r="CA89" s="35">
        <f t="shared" si="41"/>
        <v>44377</v>
      </c>
      <c r="CB89" s="35"/>
      <c r="CC89" s="35"/>
      <c r="CD89" s="26">
        <v>32.4</v>
      </c>
      <c r="CE89" s="26">
        <v>151</v>
      </c>
      <c r="CF89" s="26">
        <v>298.98</v>
      </c>
      <c r="CG89" s="26"/>
      <c r="CH89" s="26"/>
      <c r="CI89" s="26"/>
      <c r="CJ89" s="26"/>
      <c r="CK89" s="26"/>
      <c r="CL89" s="26"/>
      <c r="CM89" s="26"/>
      <c r="CN89" s="26"/>
      <c r="CO89" s="26"/>
      <c r="CP89" s="26"/>
      <c r="CQ89" s="26">
        <v>2.5</v>
      </c>
      <c r="CR89" s="26">
        <v>2.5</v>
      </c>
      <c r="CS89" s="36"/>
      <c r="CT89" s="113"/>
      <c r="CU89" s="113"/>
      <c r="CV89" s="113"/>
      <c r="CW89" s="27"/>
      <c r="CX89" s="117"/>
      <c r="CY89" s="113"/>
      <c r="CZ89" s="108">
        <f t="shared" si="42"/>
        <v>0</v>
      </c>
      <c r="DA89" s="108">
        <f t="shared" si="39"/>
        <v>0.0272108843537415</v>
      </c>
      <c r="DB89" s="108">
        <f t="shared" si="39"/>
        <v>0.0430141287284145</v>
      </c>
      <c r="DC89" s="108"/>
      <c r="DD89" s="108"/>
      <c r="DE89" s="108"/>
      <c r="DF89" s="108"/>
      <c r="DG89" s="108"/>
      <c r="DH89" s="108"/>
      <c r="DI89" s="108"/>
      <c r="DJ89" s="108"/>
      <c r="DK89" s="108"/>
      <c r="DL89" s="108"/>
      <c r="DM89" s="108">
        <f t="shared" si="64"/>
        <v>0.0204081632653061</v>
      </c>
      <c r="DN89" s="108">
        <f t="shared" si="64"/>
        <v>0.0204081632653061</v>
      </c>
      <c r="DQ89" s="114">
        <f t="shared" si="37"/>
        <v>4.71875</v>
      </c>
      <c r="DR89" s="114">
        <f t="shared" si="38"/>
        <v>4.6715625</v>
      </c>
      <c r="FK89" s="104"/>
      <c r="FV89" s="104">
        <f t="shared" si="50"/>
        <v>2010</v>
      </c>
      <c r="FW89" s="104">
        <f t="shared" si="51"/>
        <v>52</v>
      </c>
      <c r="FX89" s="35">
        <v>40534</v>
      </c>
      <c r="FY89" s="26">
        <v>1.94</v>
      </c>
      <c r="FZ89" s="94">
        <f t="shared" si="52"/>
        <v>7.76</v>
      </c>
      <c r="GA89" s="104">
        <f t="shared" si="53"/>
        <v>2013</v>
      </c>
      <c r="GB89" s="104">
        <f t="shared" si="54"/>
        <v>11</v>
      </c>
      <c r="GC89" s="35">
        <v>41347</v>
      </c>
      <c r="GD89" s="26">
        <v>1.28</v>
      </c>
      <c r="GE89" s="94">
        <f t="shared" si="55"/>
        <v>5.12</v>
      </c>
      <c r="GF89" s="104">
        <f t="shared" si="56"/>
        <v>2013</v>
      </c>
      <c r="GG89" s="104">
        <f t="shared" si="57"/>
        <v>14</v>
      </c>
      <c r="GH89" s="35">
        <v>41367</v>
      </c>
      <c r="GI89" s="26">
        <v>3.409</v>
      </c>
      <c r="GJ89" s="94">
        <f t="shared" si="58"/>
        <v>6.818</v>
      </c>
      <c r="GK89" s="104">
        <f t="shared" si="59"/>
        <v>2015</v>
      </c>
      <c r="GL89" s="104">
        <f t="shared" si="60"/>
        <v>27</v>
      </c>
      <c r="GM89" s="35">
        <v>42185</v>
      </c>
      <c r="GN89" s="26">
        <v>2.69</v>
      </c>
      <c r="GO89" s="94">
        <f t="shared" si="61"/>
        <v>5.38</v>
      </c>
      <c r="GP89" s="59"/>
    </row>
    <row r="90" ht="16.8" spans="3:198">
      <c r="C90" s="80" t="str" cm="1">
        <f t="array" ref="C90">_xlfn.IFS(MONTH(D90)&lt;4,1,MONTH(D90)&lt;7,2,MONTH(D90)&lt;10,3,MONTH(D90)&gt;9,4)&amp;"Q"&amp;RIGHT(YEAR(D90),2)</f>
        <v>2Q16</v>
      </c>
      <c r="D90" s="81">
        <f t="shared" si="11"/>
        <v>42521</v>
      </c>
      <c r="E90" s="82">
        <f t="shared" si="3"/>
        <v>42514</v>
      </c>
      <c r="F90" s="83">
        <f t="shared" si="4"/>
        <v>0.47975</v>
      </c>
      <c r="G90" s="83">
        <f t="shared" si="4"/>
        <v>0.3668</v>
      </c>
      <c r="H90" s="81"/>
      <c r="I90" s="84">
        <v>42514</v>
      </c>
      <c r="J90" s="85">
        <v>4</v>
      </c>
      <c r="K90" s="85">
        <v>3.45</v>
      </c>
      <c r="L90" s="86">
        <v>3.838</v>
      </c>
      <c r="M90" s="87">
        <v>2.9344</v>
      </c>
      <c r="N90" s="88"/>
      <c r="O90" s="88"/>
      <c r="P90" s="88"/>
      <c r="Q90" s="89">
        <f t="shared" si="5"/>
        <v>0.307933478735005</v>
      </c>
      <c r="AH90" s="105">
        <f t="shared" si="35"/>
        <v>42940</v>
      </c>
      <c r="AI90" s="91">
        <f t="shared" si="12"/>
        <v>7.22</v>
      </c>
      <c r="AJ90" s="36">
        <f t="shared" si="13"/>
        <v>0.0302511415525113</v>
      </c>
      <c r="AK90" s="36">
        <f t="shared" si="32"/>
        <v>0.0664697193500738</v>
      </c>
      <c r="AL90" s="105"/>
      <c r="AM90" s="91"/>
      <c r="AN90" s="36"/>
      <c r="AO90" s="36"/>
      <c r="AP90" s="36"/>
      <c r="AQ90" s="92" t="str" cm="1">
        <f t="array" ref="AQ90">_xlfn.IFS(MONTH(AR90)&lt;4,1,MONTH(AR90)&lt;7,2,MONTH(AR90)&lt;10,3,MONTH(AR90)&gt;9,4)&amp;"Q"&amp;RIGHT(YEAR(AR90),2)</f>
        <v>2Q20</v>
      </c>
      <c r="AR90" s="92">
        <f t="shared" si="14"/>
        <v>43951</v>
      </c>
      <c r="AS90" s="109">
        <v>43927</v>
      </c>
      <c r="AT90" s="110"/>
      <c r="AU90" s="94" cm="1">
        <f t="array" ref="AU90">INDEX($CE$29:$CE$1449,MATCH($AR90,$CA$29:$CA$1449,0),)</f>
        <v>143.15</v>
      </c>
      <c r="AV90" s="110"/>
      <c r="AW90" s="94" cm="1">
        <f t="array" ref="AW90">INDEX($CF$29:$CF$1449,MATCH($AR90,$CA$29:$CA$1449,0),)</f>
        <v>288</v>
      </c>
      <c r="AX90" s="94"/>
      <c r="AY90" s="94"/>
      <c r="AZ90" s="94"/>
      <c r="BA90" s="94"/>
      <c r="BB90" s="5"/>
      <c r="BC90" s="5"/>
      <c r="BD90" s="5"/>
      <c r="BE90" s="5"/>
      <c r="BF90" s="5"/>
      <c r="BG90" s="5"/>
      <c r="BH90" s="5"/>
      <c r="BI90" s="5"/>
      <c r="BJ90" s="5"/>
      <c r="BK90" s="5"/>
      <c r="BL90" s="5"/>
      <c r="BM90" s="5"/>
      <c r="BN90" s="5"/>
      <c r="BO90" s="5"/>
      <c r="BQ90" s="95" t="str" cm="1">
        <f t="array" ref="BQ90">_xlfn.IFS(MONTH(BR90)&lt;4,1,MONTH(BR90)&lt;7,2,MONTH(BR90)&lt;10,3,MONTH(BR90)&gt;9,4)&amp;"Q"&amp;RIGHT(YEAR(BR90),2)</f>
        <v>3Q21</v>
      </c>
      <c r="BR90" s="81">
        <f t="shared" si="15"/>
        <v>44408</v>
      </c>
      <c r="BS90" s="106">
        <f t="shared" si="16"/>
        <v>44408</v>
      </c>
      <c r="BT90" s="85"/>
      <c r="BU90" s="85"/>
      <c r="BV90" s="85">
        <v>4.1</v>
      </c>
      <c r="BW90" s="85"/>
      <c r="BX90" s="85"/>
      <c r="CA90" s="35">
        <f t="shared" si="41"/>
        <v>44408</v>
      </c>
      <c r="CB90" s="35"/>
      <c r="CC90" s="35"/>
      <c r="CD90" s="26">
        <v>34.8</v>
      </c>
      <c r="CE90" s="26">
        <v>160</v>
      </c>
      <c r="CF90" s="119">
        <v>316.8</v>
      </c>
      <c r="CG90" s="119"/>
      <c r="CH90" s="119"/>
      <c r="CI90" s="119"/>
      <c r="CJ90" s="119"/>
      <c r="CK90" s="119"/>
      <c r="CL90" s="119"/>
      <c r="CM90" s="119"/>
      <c r="CN90" s="119"/>
      <c r="CO90" s="119"/>
      <c r="CP90" s="119"/>
      <c r="CQ90" s="26">
        <v>2.73</v>
      </c>
      <c r="CR90" s="26">
        <v>2.73</v>
      </c>
      <c r="CS90" s="36"/>
      <c r="CT90" s="113"/>
      <c r="CU90" s="113"/>
      <c r="CV90" s="113"/>
      <c r="CW90" s="27"/>
      <c r="CX90" s="117"/>
      <c r="CY90" s="113"/>
      <c r="CZ90" s="108">
        <f t="shared" si="42"/>
        <v>0.074074074074074</v>
      </c>
      <c r="DA90" s="108">
        <f t="shared" si="39"/>
        <v>0.0596026490066226</v>
      </c>
      <c r="DB90" s="108">
        <f t="shared" si="39"/>
        <v>0.0596026490066226</v>
      </c>
      <c r="DC90" s="108"/>
      <c r="DD90" s="108"/>
      <c r="DE90" s="108"/>
      <c r="DF90" s="108"/>
      <c r="DG90" s="108"/>
      <c r="DH90" s="108"/>
      <c r="DI90" s="108"/>
      <c r="DJ90" s="108"/>
      <c r="DK90" s="108"/>
      <c r="DL90" s="108"/>
      <c r="DM90" s="108">
        <f t="shared" si="64"/>
        <v>0.0920000000000001</v>
      </c>
      <c r="DN90" s="108">
        <f t="shared" si="64"/>
        <v>0.0920000000000001</v>
      </c>
      <c r="DQ90" s="114">
        <f t="shared" si="37"/>
        <v>5</v>
      </c>
      <c r="DR90" s="114">
        <f t="shared" si="38"/>
        <v>4.95</v>
      </c>
      <c r="FK90" s="104"/>
      <c r="FV90" s="104">
        <f t="shared" si="50"/>
        <v>2010</v>
      </c>
      <c r="FW90" s="104">
        <f t="shared" si="51"/>
        <v>52</v>
      </c>
      <c r="FX90" s="35">
        <v>40535</v>
      </c>
      <c r="FY90" s="26">
        <v>1.89</v>
      </c>
      <c r="FZ90" s="94">
        <f t="shared" si="52"/>
        <v>7.56</v>
      </c>
      <c r="GA90" s="104">
        <f t="shared" si="53"/>
        <v>2013</v>
      </c>
      <c r="GB90" s="104">
        <f t="shared" si="54"/>
        <v>13</v>
      </c>
      <c r="GC90" s="35">
        <v>41360</v>
      </c>
      <c r="GD90" s="26">
        <v>1.31</v>
      </c>
      <c r="GE90" s="94">
        <f t="shared" si="55"/>
        <v>5.24</v>
      </c>
      <c r="GF90" s="104">
        <f t="shared" si="56"/>
        <v>2013</v>
      </c>
      <c r="GG90" s="104">
        <f t="shared" si="57"/>
        <v>15</v>
      </c>
      <c r="GH90" s="35">
        <v>41372</v>
      </c>
      <c r="GI90" s="26">
        <v>3.409</v>
      </c>
      <c r="GJ90" s="94">
        <f t="shared" si="58"/>
        <v>6.818</v>
      </c>
      <c r="GK90" s="104">
        <f t="shared" si="59"/>
        <v>2015</v>
      </c>
      <c r="GL90" s="104">
        <f t="shared" si="60"/>
        <v>29</v>
      </c>
      <c r="GM90" s="35">
        <v>42200</v>
      </c>
      <c r="GN90" s="26">
        <v>2.25</v>
      </c>
      <c r="GO90" s="94">
        <f t="shared" si="61"/>
        <v>4.5</v>
      </c>
      <c r="GP90" s="59"/>
    </row>
    <row r="91" ht="16.8" spans="3:198">
      <c r="C91" s="80" t="str" cm="1">
        <f t="array" ref="C91">_xlfn.IFS(MONTH(D91)&lt;4,1,MONTH(D91)&lt;7,2,MONTH(D91)&lt;10,3,MONTH(D91)&gt;9,4)&amp;"Q"&amp;RIGHT(YEAR(D91),2)</f>
        <v>2Q16</v>
      </c>
      <c r="D91" s="81">
        <f t="shared" si="11"/>
        <v>42521</v>
      </c>
      <c r="E91" s="82">
        <f t="shared" si="3"/>
        <v>42515</v>
      </c>
      <c r="F91" s="83">
        <f t="shared" si="4"/>
        <v>0.477125</v>
      </c>
      <c r="G91" s="83">
        <f t="shared" si="4"/>
        <v>0.3668</v>
      </c>
      <c r="H91" s="81"/>
      <c r="I91" s="84">
        <v>42515</v>
      </c>
      <c r="J91" s="85">
        <v>4</v>
      </c>
      <c r="K91" s="85">
        <v>3.45</v>
      </c>
      <c r="L91" s="86">
        <v>3.817</v>
      </c>
      <c r="M91" s="87">
        <v>2.9344</v>
      </c>
      <c r="N91" s="88"/>
      <c r="O91" s="88"/>
      <c r="P91" s="88"/>
      <c r="Q91" s="89">
        <f t="shared" si="5"/>
        <v>0.300776990185387</v>
      </c>
      <c r="AH91" s="105">
        <f t="shared" si="35"/>
        <v>42948</v>
      </c>
      <c r="AI91" s="91">
        <f t="shared" si="12"/>
        <v>7.336</v>
      </c>
      <c r="AJ91" s="36">
        <f t="shared" si="13"/>
        <v>0.0160664819944598</v>
      </c>
      <c r="AK91" s="36">
        <f t="shared" si="32"/>
        <v>0.0468036529680367</v>
      </c>
      <c r="AL91" s="105"/>
      <c r="AM91" s="91"/>
      <c r="AN91" s="36"/>
      <c r="AO91" s="36"/>
      <c r="AP91" s="36"/>
      <c r="AQ91" s="92" t="str" cm="1">
        <f t="array" ref="AQ91">_xlfn.IFS(MONTH(AR91)&lt;4,1,MONTH(AR91)&lt;7,2,MONTH(AR91)&lt;10,3,MONTH(AR91)&gt;9,4)&amp;"Q"&amp;RIGHT(YEAR(AR91),2)</f>
        <v>2Q20</v>
      </c>
      <c r="AR91" s="92">
        <f t="shared" si="14"/>
        <v>43951</v>
      </c>
      <c r="AS91" s="109">
        <v>43934</v>
      </c>
      <c r="AT91" s="110"/>
      <c r="AU91" s="94" cm="1">
        <f t="array" ref="AU91">INDEX($CE$29:$CE$1449,MATCH($AR91,$CA$29:$CA$1449,0),)</f>
        <v>143.15</v>
      </c>
      <c r="AV91" s="110"/>
      <c r="AW91" s="94" cm="1">
        <f t="array" ref="AW91">INDEX($CF$29:$CF$1449,MATCH($AR91,$CA$29:$CA$1449,0),)</f>
        <v>288</v>
      </c>
      <c r="AX91" s="94"/>
      <c r="AY91" s="94"/>
      <c r="AZ91" s="94"/>
      <c r="BA91" s="94"/>
      <c r="BB91" s="5"/>
      <c r="BC91" s="5"/>
      <c r="BD91" s="5"/>
      <c r="BE91" s="5"/>
      <c r="BF91" s="5"/>
      <c r="BG91" s="5"/>
      <c r="BH91" s="5"/>
      <c r="BI91" s="5"/>
      <c r="BJ91" s="5"/>
      <c r="BK91" s="5"/>
      <c r="BL91" s="5"/>
      <c r="BM91" s="5"/>
      <c r="BN91" s="5"/>
      <c r="BO91" s="5"/>
      <c r="BQ91" s="95" t="str" cm="1">
        <f t="array" ref="BQ91">_xlfn.IFS(MONTH(BR91)&lt;4,1,MONTH(BR91)&lt;7,2,MONTH(BR91)&lt;10,3,MONTH(BR91)&gt;9,4)&amp;"Q"&amp;RIGHT(YEAR(BR91),2)</f>
        <v>3Q21</v>
      </c>
      <c r="BR91" s="81">
        <f t="shared" si="15"/>
        <v>44439</v>
      </c>
      <c r="BS91" s="106">
        <f t="shared" si="16"/>
        <v>44439</v>
      </c>
      <c r="BT91" s="85"/>
      <c r="BU91" s="85"/>
      <c r="BV91" s="85">
        <v>4.1</v>
      </c>
      <c r="BW91" s="85"/>
      <c r="BX91" s="85"/>
      <c r="CA91" s="35">
        <f t="shared" si="41"/>
        <v>44439</v>
      </c>
      <c r="CB91" s="35"/>
      <c r="CC91" s="35"/>
      <c r="CD91" s="26">
        <v>34.8</v>
      </c>
      <c r="CE91" s="26">
        <v>160</v>
      </c>
      <c r="CF91" s="119">
        <v>316.8</v>
      </c>
      <c r="CG91" s="119"/>
      <c r="CH91" s="119"/>
      <c r="CI91" s="119"/>
      <c r="CJ91" s="119"/>
      <c r="CK91" s="119"/>
      <c r="CL91" s="119"/>
      <c r="CM91" s="119"/>
      <c r="CN91" s="119"/>
      <c r="CO91" s="119"/>
      <c r="CP91" s="119"/>
      <c r="CQ91" s="26">
        <v>2.78</v>
      </c>
      <c r="CR91" s="26">
        <v>2.78</v>
      </c>
      <c r="CS91" s="36"/>
      <c r="CT91" s="113"/>
      <c r="CU91" s="113"/>
      <c r="CV91" s="113"/>
      <c r="CW91" s="27"/>
      <c r="CX91" s="117"/>
      <c r="CY91" s="113"/>
      <c r="CZ91" s="108">
        <f t="shared" si="42"/>
        <v>0</v>
      </c>
      <c r="DA91" s="108">
        <f t="shared" si="39"/>
        <v>0</v>
      </c>
      <c r="DB91" s="108">
        <f t="shared" si="39"/>
        <v>0</v>
      </c>
      <c r="DC91" s="108"/>
      <c r="DD91" s="108"/>
      <c r="DE91" s="108"/>
      <c r="DF91" s="108"/>
      <c r="DG91" s="108"/>
      <c r="DH91" s="108"/>
      <c r="DI91" s="108"/>
      <c r="DJ91" s="108"/>
      <c r="DK91" s="108"/>
      <c r="DL91" s="108"/>
      <c r="DM91" s="108">
        <f t="shared" si="64"/>
        <v>0.0183150183150182</v>
      </c>
      <c r="DN91" s="108">
        <f t="shared" si="64"/>
        <v>0.0183150183150182</v>
      </c>
      <c r="DQ91" s="114">
        <f t="shared" si="37"/>
        <v>5</v>
      </c>
      <c r="DR91" s="114">
        <f t="shared" si="38"/>
        <v>4.95</v>
      </c>
      <c r="FK91" s="104"/>
      <c r="FV91" s="104">
        <f t="shared" si="50"/>
        <v>2010</v>
      </c>
      <c r="FW91" s="104">
        <f t="shared" si="51"/>
        <v>52</v>
      </c>
      <c r="FX91" s="35">
        <v>40536</v>
      </c>
      <c r="FY91" s="26">
        <v>1.89</v>
      </c>
      <c r="FZ91" s="94">
        <f t="shared" si="52"/>
        <v>7.56</v>
      </c>
      <c r="GA91" s="104">
        <f t="shared" si="53"/>
        <v>2013</v>
      </c>
      <c r="GB91" s="104">
        <f t="shared" si="54"/>
        <v>15</v>
      </c>
      <c r="GC91" s="35">
        <v>41376</v>
      </c>
      <c r="GD91" s="26">
        <v>1.44</v>
      </c>
      <c r="GE91" s="94">
        <f t="shared" si="55"/>
        <v>5.76</v>
      </c>
      <c r="GF91" s="104">
        <f t="shared" si="56"/>
        <v>2013</v>
      </c>
      <c r="GG91" s="104">
        <f t="shared" si="57"/>
        <v>15</v>
      </c>
      <c r="GH91" s="35">
        <v>41373</v>
      </c>
      <c r="GI91" s="26">
        <v>3.389</v>
      </c>
      <c r="GJ91" s="94">
        <f t="shared" si="58"/>
        <v>6.778</v>
      </c>
      <c r="GK91" s="104">
        <f t="shared" si="59"/>
        <v>2015</v>
      </c>
      <c r="GL91" s="104">
        <f t="shared" si="60"/>
        <v>31</v>
      </c>
      <c r="GM91" s="35">
        <v>42215</v>
      </c>
      <c r="GN91" s="26">
        <v>2.25</v>
      </c>
      <c r="GO91" s="94">
        <f t="shared" si="61"/>
        <v>4.5</v>
      </c>
      <c r="GP91" s="59"/>
    </row>
    <row r="92" ht="16.8" spans="3:198">
      <c r="C92" s="80" t="str" cm="1">
        <f t="array" ref="C92">_xlfn.IFS(MONTH(D92)&lt;4,1,MONTH(D92)&lt;7,2,MONTH(D92)&lt;10,3,MONTH(D92)&gt;9,4)&amp;"Q"&amp;RIGHT(YEAR(D92),2)</f>
        <v>2Q16</v>
      </c>
      <c r="D92" s="81">
        <f t="shared" si="11"/>
        <v>42521</v>
      </c>
      <c r="E92" s="82">
        <f t="shared" si="3"/>
        <v>42516</v>
      </c>
      <c r="F92" s="83">
        <f t="shared" si="4"/>
        <v>0.47275</v>
      </c>
      <c r="G92" s="83">
        <f t="shared" si="4"/>
        <v>0.3668</v>
      </c>
      <c r="H92" s="81"/>
      <c r="I92" s="84">
        <v>42516</v>
      </c>
      <c r="J92" s="85">
        <v>4</v>
      </c>
      <c r="K92" s="85">
        <v>3.45</v>
      </c>
      <c r="L92" s="86">
        <v>3.782</v>
      </c>
      <c r="M92" s="87">
        <v>2.9344</v>
      </c>
      <c r="N92" s="88"/>
      <c r="O92" s="88"/>
      <c r="P92" s="88"/>
      <c r="Q92" s="89">
        <f t="shared" si="5"/>
        <v>0.288849509269356</v>
      </c>
      <c r="AH92" s="105">
        <f t="shared" si="35"/>
        <v>42956</v>
      </c>
      <c r="AI92" s="91">
        <f t="shared" si="12"/>
        <v>7.281</v>
      </c>
      <c r="AJ92" s="36">
        <f t="shared" si="13"/>
        <v>-0.00749727371864783</v>
      </c>
      <c r="AK92" s="36">
        <f t="shared" si="32"/>
        <v>0.00844875346260388</v>
      </c>
      <c r="AL92" s="105"/>
      <c r="AM92" s="91"/>
      <c r="AN92" s="36"/>
      <c r="AO92" s="36"/>
      <c r="AP92" s="36"/>
      <c r="AQ92" s="92" t="str" cm="1">
        <f t="array" ref="AQ92">_xlfn.IFS(MONTH(AR92)&lt;4,1,MONTH(AR92)&lt;7,2,MONTH(AR92)&lt;10,3,MONTH(AR92)&gt;9,4)&amp;"Q"&amp;RIGHT(YEAR(AR92),2)</f>
        <v>2Q20</v>
      </c>
      <c r="AR92" s="92">
        <f t="shared" si="14"/>
        <v>43951</v>
      </c>
      <c r="AS92" s="109">
        <v>43941</v>
      </c>
      <c r="AT92" s="110"/>
      <c r="AU92" s="94" cm="1">
        <f t="array" ref="AU92">INDEX($CE$29:$CE$1449,MATCH($AR92,$CA$29:$CA$1449,0),)</f>
        <v>143.15</v>
      </c>
      <c r="AV92" s="110"/>
      <c r="AW92" s="94" cm="1">
        <f t="array" ref="AW92">INDEX($CF$29:$CF$1449,MATCH($AR92,$CA$29:$CA$1449,0),)</f>
        <v>288</v>
      </c>
      <c r="AX92" s="94"/>
      <c r="AY92" s="94"/>
      <c r="AZ92" s="94"/>
      <c r="BA92" s="94"/>
      <c r="BB92" s="5"/>
      <c r="BC92" s="5"/>
      <c r="BD92" s="5"/>
      <c r="BE92" s="5"/>
      <c r="BF92" s="5"/>
      <c r="BG92" s="5"/>
      <c r="BH92" s="5"/>
      <c r="BI92" s="5"/>
      <c r="BJ92" s="5"/>
      <c r="BK92" s="5"/>
      <c r="BL92" s="5"/>
      <c r="BM92" s="5"/>
      <c r="BN92" s="5"/>
      <c r="BO92" s="5"/>
      <c r="BQ92" s="95" t="str" cm="1">
        <f t="array" ref="BQ92">_xlfn.IFS(MONTH(BR92)&lt;4,1,MONTH(BR92)&lt;7,2,MONTH(BR92)&lt;10,3,MONTH(BR92)&gt;9,4)&amp;"Q"&amp;RIGHT(YEAR(BR92),2)</f>
        <v>3Q21</v>
      </c>
      <c r="BR92" s="81">
        <f t="shared" si="15"/>
        <v>44469</v>
      </c>
      <c r="BS92" s="106">
        <f t="shared" si="16"/>
        <v>44469</v>
      </c>
      <c r="BT92" s="85"/>
      <c r="BU92" s="85"/>
      <c r="BV92" s="85">
        <v>4.1</v>
      </c>
      <c r="BW92" s="85">
        <v>8.45</v>
      </c>
      <c r="BX92" s="85"/>
      <c r="CA92" s="35">
        <f t="shared" si="41"/>
        <v>44469</v>
      </c>
      <c r="CB92" s="35"/>
      <c r="CC92" s="26">
        <v>69.6</v>
      </c>
      <c r="CD92" s="26">
        <v>34.8</v>
      </c>
      <c r="CE92" s="26">
        <v>160</v>
      </c>
      <c r="CF92" s="119">
        <v>316.8</v>
      </c>
      <c r="CG92" s="119"/>
      <c r="CH92" s="119"/>
      <c r="CI92" s="119"/>
      <c r="CJ92" s="119"/>
      <c r="CK92" s="119"/>
      <c r="CL92" s="119"/>
      <c r="CM92" s="119"/>
      <c r="CN92" s="119"/>
      <c r="CO92" s="119"/>
      <c r="CP92" s="119"/>
      <c r="CQ92" s="26">
        <v>2.77</v>
      </c>
      <c r="CR92" s="120">
        <v>2.75</v>
      </c>
      <c r="CS92" s="36"/>
      <c r="CT92" s="113"/>
      <c r="CU92" s="113"/>
      <c r="CV92" s="113"/>
      <c r="CW92" s="27"/>
      <c r="CX92" s="121"/>
      <c r="CY92" s="107"/>
      <c r="CZ92" s="108">
        <f t="shared" si="42"/>
        <v>0</v>
      </c>
      <c r="DA92" s="108">
        <f t="shared" si="39"/>
        <v>0</v>
      </c>
      <c r="DB92" s="108">
        <f t="shared" si="39"/>
        <v>0</v>
      </c>
      <c r="DC92" s="108"/>
      <c r="DD92" s="108"/>
      <c r="DE92" s="108"/>
      <c r="DF92" s="108"/>
      <c r="DG92" s="108"/>
      <c r="DH92" s="108"/>
      <c r="DI92" s="108"/>
      <c r="DJ92" s="108"/>
      <c r="DK92" s="108"/>
      <c r="DL92" s="108"/>
      <c r="DM92" s="108">
        <f t="shared" si="64"/>
        <v>-0.00359712230215825</v>
      </c>
      <c r="DN92" s="108">
        <f t="shared" si="64"/>
        <v>-0.0107913669064748</v>
      </c>
      <c r="DQ92" s="114">
        <f t="shared" si="37"/>
        <v>5</v>
      </c>
      <c r="DR92" s="114">
        <f t="shared" si="38"/>
        <v>4.95</v>
      </c>
      <c r="FK92" s="104"/>
      <c r="FV92" s="104">
        <f t="shared" si="50"/>
        <v>2010</v>
      </c>
      <c r="FW92" s="104">
        <f t="shared" si="51"/>
        <v>53</v>
      </c>
      <c r="FX92" s="35">
        <v>40539</v>
      </c>
      <c r="FY92" s="26">
        <v>1.88</v>
      </c>
      <c r="FZ92" s="94">
        <f t="shared" si="52"/>
        <v>7.52</v>
      </c>
      <c r="GA92" s="104">
        <f t="shared" si="53"/>
        <v>2013</v>
      </c>
      <c r="GB92" s="104">
        <f t="shared" si="54"/>
        <v>18</v>
      </c>
      <c r="GC92" s="35">
        <v>41394</v>
      </c>
      <c r="GD92" s="26">
        <v>1.5</v>
      </c>
      <c r="GE92" s="94">
        <f t="shared" si="55"/>
        <v>6</v>
      </c>
      <c r="GF92" s="104">
        <f t="shared" si="56"/>
        <v>2013</v>
      </c>
      <c r="GG92" s="104">
        <f t="shared" si="57"/>
        <v>15</v>
      </c>
      <c r="GH92" s="35">
        <v>41374</v>
      </c>
      <c r="GI92" s="26">
        <v>3.384</v>
      </c>
      <c r="GJ92" s="94">
        <f t="shared" si="58"/>
        <v>6.768</v>
      </c>
      <c r="GK92" s="104">
        <f t="shared" si="59"/>
        <v>2015</v>
      </c>
      <c r="GL92" s="104">
        <f t="shared" si="60"/>
        <v>33</v>
      </c>
      <c r="GM92" s="35">
        <v>42230</v>
      </c>
      <c r="GN92" s="26">
        <v>2.06</v>
      </c>
      <c r="GO92" s="94">
        <f t="shared" si="61"/>
        <v>4.12</v>
      </c>
      <c r="GP92" s="59"/>
    </row>
    <row r="93" ht="16.8" spans="3:198">
      <c r="C93" s="80" t="str" cm="1">
        <f t="array" ref="C93">_xlfn.IFS(MONTH(D93)&lt;4,1,MONTH(D93)&lt;7,2,MONTH(D93)&lt;10,3,MONTH(D93)&gt;9,4)&amp;"Q"&amp;RIGHT(YEAR(D93),2)</f>
        <v>2Q16</v>
      </c>
      <c r="D93" s="81">
        <f t="shared" si="11"/>
        <v>42521</v>
      </c>
      <c r="E93" s="82">
        <f t="shared" ref="E93:E156" si="65">+I93</f>
        <v>42517</v>
      </c>
      <c r="F93" s="83">
        <f t="shared" ref="F93:G156" si="66">+L93/8</f>
        <v>0.471</v>
      </c>
      <c r="G93" s="83">
        <f t="shared" si="66"/>
        <v>0.3668</v>
      </c>
      <c r="H93" s="81"/>
      <c r="I93" s="84">
        <v>42517</v>
      </c>
      <c r="J93" s="85">
        <v>3.95</v>
      </c>
      <c r="K93" s="85">
        <v>3.45</v>
      </c>
      <c r="L93" s="86">
        <v>3.768</v>
      </c>
      <c r="M93" s="87">
        <v>2.9344</v>
      </c>
      <c r="N93" s="88"/>
      <c r="O93" s="88"/>
      <c r="P93" s="88"/>
      <c r="Q93" s="89">
        <f t="shared" ref="Q93:Q156" si="67">L93/M93-1</f>
        <v>0.284078516902944</v>
      </c>
      <c r="AH93" s="105">
        <f t="shared" si="35"/>
        <v>42964</v>
      </c>
      <c r="AI93" s="91">
        <f t="shared" si="12"/>
        <v>7.25</v>
      </c>
      <c r="AJ93" s="36">
        <f t="shared" si="13"/>
        <v>-0.00425765691525881</v>
      </c>
      <c r="AK93" s="36">
        <f t="shared" si="32"/>
        <v>-0.0117230098146129</v>
      </c>
      <c r="AL93" s="105"/>
      <c r="AM93" s="91"/>
      <c r="AN93" s="36"/>
      <c r="AO93" s="36"/>
      <c r="AP93" s="36"/>
      <c r="AQ93" s="92" t="str" cm="1">
        <f t="array" ref="AQ93">_xlfn.IFS(MONTH(AR93)&lt;4,1,MONTH(AR93)&lt;7,2,MONTH(AR93)&lt;10,3,MONTH(AR93)&gt;9,4)&amp;"Q"&amp;RIGHT(YEAR(AR93),2)</f>
        <v>2Q20</v>
      </c>
      <c r="AR93" s="92">
        <f t="shared" si="14"/>
        <v>43951</v>
      </c>
      <c r="AS93" s="109">
        <v>43948</v>
      </c>
      <c r="AT93" s="110"/>
      <c r="AU93" s="94" cm="1">
        <f t="array" ref="AU93">INDEX($CE$29:$CE$1449,MATCH($AR93,$CA$29:$CA$1449,0),)</f>
        <v>143.15</v>
      </c>
      <c r="AV93" s="110"/>
      <c r="AW93" s="94" cm="1">
        <f t="array" ref="AW93">INDEX($CF$29:$CF$1449,MATCH($AR93,$CA$29:$CA$1449,0),)</f>
        <v>288</v>
      </c>
      <c r="AX93" s="94"/>
      <c r="AY93" s="94"/>
      <c r="AZ93" s="94"/>
      <c r="BA93" s="94"/>
      <c r="BB93" s="5"/>
      <c r="BC93" s="5"/>
      <c r="BD93" s="5"/>
      <c r="BE93" s="5"/>
      <c r="BF93" s="5"/>
      <c r="BG93" s="5"/>
      <c r="BH93" s="5"/>
      <c r="BI93" s="5"/>
      <c r="BJ93" s="5"/>
      <c r="BK93" s="5"/>
      <c r="BL93" s="5"/>
      <c r="BM93" s="5"/>
      <c r="BN93" s="5"/>
      <c r="BO93" s="5">
        <f>YEAR(BS93)</f>
        <v>2021</v>
      </c>
      <c r="BQ93" s="95" t="str" cm="1">
        <f t="array" ref="BQ93">_xlfn.IFS(MONTH(BR93)&lt;4,1,MONTH(BR93)&lt;7,2,MONTH(BR93)&lt;10,3,MONTH(BR93)&gt;9,4)&amp;"Q"&amp;RIGHT(YEAR(BR93),2)</f>
        <v>4Q21</v>
      </c>
      <c r="BR93" s="81">
        <f t="shared" si="15"/>
        <v>44500</v>
      </c>
      <c r="BS93" s="106">
        <f t="shared" si="16"/>
        <v>44500</v>
      </c>
      <c r="BT93" s="85"/>
      <c r="BU93" s="85"/>
      <c r="BV93" s="122">
        <v>3.71</v>
      </c>
      <c r="BW93" s="122">
        <v>7.68</v>
      </c>
      <c r="BX93" s="122"/>
      <c r="CA93" s="35">
        <f t="shared" si="41"/>
        <v>44500</v>
      </c>
      <c r="CB93" s="35"/>
      <c r="CC93" s="26">
        <v>63.4</v>
      </c>
      <c r="CD93" s="26">
        <v>31.7</v>
      </c>
      <c r="CE93" s="26">
        <v>153</v>
      </c>
      <c r="CF93" s="26">
        <v>302.94</v>
      </c>
      <c r="CG93" s="26"/>
      <c r="CH93" s="26"/>
      <c r="CI93" s="26"/>
      <c r="CJ93" s="26"/>
      <c r="CK93" s="26"/>
      <c r="CL93" s="26"/>
      <c r="CM93" s="26"/>
      <c r="CN93" s="26"/>
      <c r="CO93" s="26"/>
      <c r="CP93" s="26"/>
      <c r="CQ93" s="26">
        <v>2.6</v>
      </c>
      <c r="CR93" s="26">
        <v>2.58</v>
      </c>
      <c r="CS93" s="36"/>
      <c r="CT93" s="113"/>
      <c r="CU93" s="113"/>
      <c r="CV93" s="113"/>
      <c r="CW93" s="27"/>
      <c r="CX93" s="121"/>
      <c r="CY93" s="108">
        <f t="shared" ref="CY93:DB108" si="68">CC93/CC92-1</f>
        <v>-0.0890804597701149</v>
      </c>
      <c r="CZ93" s="108">
        <f t="shared" si="42"/>
        <v>-0.0890804597701149</v>
      </c>
      <c r="DA93" s="108">
        <f t="shared" si="39"/>
        <v>-0.04375</v>
      </c>
      <c r="DB93" s="108">
        <f t="shared" si="39"/>
        <v>-0.0437500000000001</v>
      </c>
      <c r="DC93" s="108"/>
      <c r="DD93" s="108"/>
      <c r="DE93" s="108"/>
      <c r="DF93" s="108"/>
      <c r="DG93" s="108"/>
      <c r="DH93" s="108"/>
      <c r="DI93" s="108"/>
      <c r="DJ93" s="108"/>
      <c r="DK93" s="108"/>
      <c r="DL93" s="108"/>
      <c r="DM93" s="108">
        <f t="shared" si="64"/>
        <v>-0.0613718411552346</v>
      </c>
      <c r="DN93" s="108">
        <f t="shared" si="64"/>
        <v>-0.0618181818181818</v>
      </c>
      <c r="DQ93" s="114">
        <f t="shared" si="37"/>
        <v>4.78125</v>
      </c>
      <c r="DR93" s="114">
        <f t="shared" si="38"/>
        <v>4.7334375</v>
      </c>
      <c r="FK93" s="104"/>
      <c r="FV93" s="104">
        <f t="shared" si="50"/>
        <v>2010</v>
      </c>
      <c r="FW93" s="104">
        <f t="shared" si="51"/>
        <v>53</v>
      </c>
      <c r="FX93" s="35">
        <v>40540</v>
      </c>
      <c r="FY93" s="26">
        <v>1.87</v>
      </c>
      <c r="FZ93" s="94">
        <f t="shared" si="52"/>
        <v>7.48</v>
      </c>
      <c r="GA93" s="104">
        <f t="shared" si="53"/>
        <v>2013</v>
      </c>
      <c r="GB93" s="104">
        <f t="shared" si="54"/>
        <v>20</v>
      </c>
      <c r="GC93" s="35">
        <v>41409</v>
      </c>
      <c r="GD93" s="26">
        <v>1.53</v>
      </c>
      <c r="GE93" s="94">
        <f t="shared" si="55"/>
        <v>6.12</v>
      </c>
      <c r="GF93" s="104">
        <f t="shared" si="56"/>
        <v>2013</v>
      </c>
      <c r="GG93" s="104">
        <f t="shared" si="57"/>
        <v>15</v>
      </c>
      <c r="GH93" s="35">
        <v>41375</v>
      </c>
      <c r="GI93" s="26">
        <v>3.364</v>
      </c>
      <c r="GJ93" s="94">
        <f t="shared" si="58"/>
        <v>6.728</v>
      </c>
      <c r="GK93" s="104">
        <f t="shared" si="59"/>
        <v>2015</v>
      </c>
      <c r="GL93" s="104">
        <f t="shared" si="60"/>
        <v>35</v>
      </c>
      <c r="GM93" s="35">
        <v>42244</v>
      </c>
      <c r="GN93" s="26">
        <v>2.06</v>
      </c>
      <c r="GO93" s="94">
        <f t="shared" si="61"/>
        <v>4.12</v>
      </c>
      <c r="GP93" s="59"/>
    </row>
    <row r="94" ht="16.8" spans="3:198">
      <c r="C94" s="80" t="str" cm="1">
        <f t="array" ref="C94">_xlfn.IFS(MONTH(D94)&lt;4,1,MONTH(D94)&lt;7,2,MONTH(D94)&lt;10,3,MONTH(D94)&gt;9,4)&amp;"Q"&amp;RIGHT(YEAR(D94),2)</f>
        <v>2Q16</v>
      </c>
      <c r="D94" s="81">
        <f t="shared" ref="D94:D157" si="69">EOMONTH(E94,0)</f>
        <v>42521</v>
      </c>
      <c r="E94" s="82">
        <f t="shared" si="65"/>
        <v>42520</v>
      </c>
      <c r="F94" s="83">
        <f t="shared" si="66"/>
        <v>0.469375</v>
      </c>
      <c r="G94" s="83">
        <f t="shared" si="66"/>
        <v>0.3668</v>
      </c>
      <c r="H94" s="81"/>
      <c r="I94" s="84">
        <v>42520</v>
      </c>
      <c r="J94" s="85">
        <v>3.95</v>
      </c>
      <c r="K94" s="85">
        <v>3.45</v>
      </c>
      <c r="L94" s="86">
        <v>3.755</v>
      </c>
      <c r="M94" s="87">
        <v>2.9344</v>
      </c>
      <c r="N94" s="88"/>
      <c r="O94" s="88"/>
      <c r="P94" s="88"/>
      <c r="Q94" s="89">
        <f t="shared" si="67"/>
        <v>0.279648309705561</v>
      </c>
      <c r="AH94" s="105">
        <f t="shared" si="35"/>
        <v>42972</v>
      </c>
      <c r="AI94" s="91">
        <f t="shared" ref="AI94:AI157" si="70">IFERROR(VLOOKUP(AH94,$I:$L,4,FALSE),VLOOKUP(AH94,$I:$L,4,TRUE))</f>
        <v>7.253</v>
      </c>
      <c r="AJ94" s="36">
        <f t="shared" ref="AJ94:AJ157" si="71">AI94/AI93-1</f>
        <v>0.000413793103448246</v>
      </c>
      <c r="AK94" s="36">
        <f t="shared" si="32"/>
        <v>-0.00384562560087898</v>
      </c>
      <c r="AL94" s="105"/>
      <c r="AM94" s="91"/>
      <c r="AN94" s="36"/>
      <c r="AO94" s="36"/>
      <c r="AP94" s="36"/>
      <c r="AQ94" s="92" t="str" cm="1">
        <f t="array" ref="AQ94">_xlfn.IFS(MONTH(AR94)&lt;4,1,MONTH(AR94)&lt;7,2,MONTH(AR94)&lt;10,3,MONTH(AR94)&gt;9,4)&amp;"Q"&amp;RIGHT(YEAR(AR94),2)</f>
        <v>2Q20</v>
      </c>
      <c r="AR94" s="92">
        <f t="shared" ref="AR94:AR157" si="72">EOMONTH(AS94,0)</f>
        <v>43982</v>
      </c>
      <c r="AS94" s="109">
        <v>43955</v>
      </c>
      <c r="AT94" s="110"/>
      <c r="AU94" s="94" cm="1">
        <f t="array" ref="AU94">INDEX($CE$29:$CE$1449,MATCH($AR94,$CA$29:$CA$1449,0),)</f>
        <v>143.15</v>
      </c>
      <c r="AV94" s="110"/>
      <c r="AW94" s="94" cm="1">
        <f t="array" ref="AW94">INDEX($CF$29:$CF$1449,MATCH($AR94,$CA$29:$CA$1449,0),)</f>
        <v>288</v>
      </c>
      <c r="AX94" s="94"/>
      <c r="AY94" s="94"/>
      <c r="AZ94" s="94"/>
      <c r="BA94" s="94"/>
      <c r="BB94" s="5"/>
      <c r="BC94" s="5"/>
      <c r="BD94" s="5"/>
      <c r="BE94" s="5"/>
      <c r="BF94" s="5"/>
      <c r="BG94" s="5"/>
      <c r="BH94" s="5"/>
      <c r="BI94" s="5"/>
      <c r="BJ94" s="5"/>
      <c r="BK94" s="5"/>
      <c r="BL94" s="5"/>
      <c r="BM94" s="5"/>
      <c r="BN94" s="5"/>
      <c r="BO94" s="5">
        <f t="shared" ref="BO94:BO148" si="73">YEAR(BS94)</f>
        <v>2021</v>
      </c>
      <c r="BQ94" s="95" t="str" cm="1">
        <f t="array" ref="BQ94">_xlfn.IFS(MONTH(BR94)&lt;4,1,MONTH(BR94)&lt;7,2,MONTH(BR94)&lt;10,3,MONTH(BR94)&gt;9,4)&amp;"Q"&amp;RIGHT(YEAR(BR94),2)</f>
        <v>4Q21</v>
      </c>
      <c r="BR94" s="81">
        <f t="shared" ref="BR94:BR148" si="74">EOMONTH(BS94,0)</f>
        <v>44530</v>
      </c>
      <c r="BS94" s="106">
        <f t="shared" ref="BS94:BS148" si="75">EOMONTH(BS93,1)</f>
        <v>44530</v>
      </c>
      <c r="BT94" s="85"/>
      <c r="BU94" s="85"/>
      <c r="BV94" s="122">
        <v>3.71</v>
      </c>
      <c r="BW94" s="122">
        <v>7.68</v>
      </c>
      <c r="BX94" s="122"/>
      <c r="CA94" s="35">
        <f t="shared" si="41"/>
        <v>44530</v>
      </c>
      <c r="CB94" s="35"/>
      <c r="CC94" s="26">
        <v>63.4</v>
      </c>
      <c r="CD94" s="26">
        <v>31.7</v>
      </c>
      <c r="CE94" s="26">
        <v>151</v>
      </c>
      <c r="CF94" s="26">
        <v>297.47</v>
      </c>
      <c r="CG94" s="26"/>
      <c r="CH94" s="26"/>
      <c r="CI94" s="26"/>
      <c r="CJ94" s="26"/>
      <c r="CK94" s="26"/>
      <c r="CL94" s="26"/>
      <c r="CM94" s="26"/>
      <c r="CN94" s="26"/>
      <c r="CO94" s="26"/>
      <c r="CP94" s="26"/>
      <c r="CQ94" s="26">
        <v>2.52</v>
      </c>
      <c r="CR94" s="119">
        <v>2.5</v>
      </c>
      <c r="CS94" s="36"/>
      <c r="CT94" s="113"/>
      <c r="CU94" s="113"/>
      <c r="CV94" s="113"/>
      <c r="CX94" s="121"/>
      <c r="CY94" s="108">
        <f t="shared" si="68"/>
        <v>0</v>
      </c>
      <c r="CZ94" s="108">
        <f t="shared" si="42"/>
        <v>0</v>
      </c>
      <c r="DA94" s="108">
        <f t="shared" si="39"/>
        <v>-0.0130718954248366</v>
      </c>
      <c r="DB94" s="108">
        <f t="shared" si="39"/>
        <v>-0.0180563808014788</v>
      </c>
      <c r="DC94" s="108"/>
      <c r="DD94" s="108"/>
      <c r="DE94" s="108"/>
      <c r="DF94" s="108"/>
      <c r="DG94" s="108"/>
      <c r="DH94" s="108"/>
      <c r="DI94" s="108"/>
      <c r="DJ94" s="108"/>
      <c r="DK94" s="108"/>
      <c r="DL94" s="108"/>
      <c r="DM94" s="108">
        <f t="shared" si="64"/>
        <v>-0.0307692307692308</v>
      </c>
      <c r="DN94" s="108">
        <f t="shared" si="64"/>
        <v>-0.0310077519379846</v>
      </c>
      <c r="DQ94" s="114">
        <f t="shared" si="37"/>
        <v>4.71875</v>
      </c>
      <c r="DR94" s="114">
        <f t="shared" si="38"/>
        <v>4.64796875</v>
      </c>
      <c r="FK94" s="104"/>
      <c r="FV94" s="104">
        <f t="shared" si="50"/>
        <v>2010</v>
      </c>
      <c r="FW94" s="104">
        <f t="shared" si="51"/>
        <v>53</v>
      </c>
      <c r="FX94" s="35">
        <v>40541</v>
      </c>
      <c r="FY94" s="26">
        <v>1.87</v>
      </c>
      <c r="FZ94" s="94">
        <f t="shared" si="52"/>
        <v>7.48</v>
      </c>
      <c r="GA94" s="104">
        <f t="shared" si="53"/>
        <v>2013</v>
      </c>
      <c r="GB94" s="104">
        <f t="shared" si="54"/>
        <v>22</v>
      </c>
      <c r="GC94" s="35">
        <v>41425</v>
      </c>
      <c r="GD94" s="26">
        <v>1.53</v>
      </c>
      <c r="GE94" s="94">
        <f t="shared" si="55"/>
        <v>6.12</v>
      </c>
      <c r="GF94" s="104">
        <f t="shared" si="56"/>
        <v>2013</v>
      </c>
      <c r="GG94" s="104">
        <f t="shared" si="57"/>
        <v>15</v>
      </c>
      <c r="GH94" s="35">
        <v>41376</v>
      </c>
      <c r="GI94" s="26">
        <v>3.363</v>
      </c>
      <c r="GJ94" s="94">
        <f t="shared" si="58"/>
        <v>6.726</v>
      </c>
      <c r="GK94" s="104">
        <f t="shared" si="59"/>
        <v>2015</v>
      </c>
      <c r="GL94" s="104">
        <f t="shared" si="60"/>
        <v>38</v>
      </c>
      <c r="GM94" s="35">
        <v>42262</v>
      </c>
      <c r="GN94" s="26">
        <v>2</v>
      </c>
      <c r="GO94" s="94">
        <f t="shared" si="61"/>
        <v>4</v>
      </c>
      <c r="GP94" s="59"/>
    </row>
    <row r="95" ht="16.8" spans="3:198">
      <c r="C95" s="80" t="str" cm="1">
        <f t="array" ref="C95">_xlfn.IFS(MONTH(D95)&lt;4,1,MONTH(D95)&lt;7,2,MONTH(D95)&lt;10,3,MONTH(D95)&gt;9,4)&amp;"Q"&amp;RIGHT(YEAR(D95),2)</f>
        <v>2Q16</v>
      </c>
      <c r="D95" s="81">
        <f t="shared" si="69"/>
        <v>42521</v>
      </c>
      <c r="E95" s="82">
        <f t="shared" si="65"/>
        <v>42521</v>
      </c>
      <c r="F95" s="83">
        <f t="shared" si="66"/>
        <v>0.4675</v>
      </c>
      <c r="G95" s="83">
        <f t="shared" si="66"/>
        <v>0.3668</v>
      </c>
      <c r="H95" s="81"/>
      <c r="I95" s="84">
        <v>42521</v>
      </c>
      <c r="J95" s="85">
        <v>3.95</v>
      </c>
      <c r="K95" s="85">
        <v>3.45</v>
      </c>
      <c r="L95" s="86">
        <v>3.74</v>
      </c>
      <c r="M95" s="87">
        <v>2.9344</v>
      </c>
      <c r="N95" s="88"/>
      <c r="O95" s="88"/>
      <c r="P95" s="88"/>
      <c r="Q95" s="89">
        <f t="shared" si="67"/>
        <v>0.27453653217012</v>
      </c>
      <c r="AH95" s="105">
        <f t="shared" si="35"/>
        <v>42982</v>
      </c>
      <c r="AI95" s="91">
        <f t="shared" si="70"/>
        <v>7.344</v>
      </c>
      <c r="AJ95" s="36">
        <f t="shared" si="71"/>
        <v>0.012546532469323</v>
      </c>
      <c r="AK95" s="36">
        <f t="shared" ref="AK95:AK158" si="76">AI95/AI93-1</f>
        <v>0.0129655172413794</v>
      </c>
      <c r="AL95" s="105"/>
      <c r="AM95" s="91"/>
      <c r="AN95" s="36"/>
      <c r="AO95" s="36"/>
      <c r="AP95" s="36"/>
      <c r="AQ95" s="92" t="str" cm="1">
        <f t="array" ref="AQ95">_xlfn.IFS(MONTH(AR95)&lt;4,1,MONTH(AR95)&lt;7,2,MONTH(AR95)&lt;10,3,MONTH(AR95)&gt;9,4)&amp;"Q"&amp;RIGHT(YEAR(AR95),2)</f>
        <v>2Q20</v>
      </c>
      <c r="AR95" s="92">
        <f t="shared" si="72"/>
        <v>43982</v>
      </c>
      <c r="AS95" s="109">
        <v>43962</v>
      </c>
      <c r="AT95" s="110"/>
      <c r="AU95" s="94" cm="1">
        <f t="array" ref="AU95">INDEX($CE$29:$CE$1449,MATCH($AR95,$CA$29:$CA$1449,0),)</f>
        <v>143.15</v>
      </c>
      <c r="AV95" s="110"/>
      <c r="AW95" s="94" cm="1">
        <f t="array" ref="AW95">INDEX($CF$29:$CF$1449,MATCH($AR95,$CA$29:$CA$1449,0),)</f>
        <v>288</v>
      </c>
      <c r="AX95" s="94"/>
      <c r="AY95" s="94"/>
      <c r="AZ95" s="94"/>
      <c r="BA95" s="94"/>
      <c r="BB95" s="5"/>
      <c r="BC95" s="5"/>
      <c r="BD95" s="5"/>
      <c r="BE95" s="5"/>
      <c r="BF95" s="5"/>
      <c r="BG95" s="5"/>
      <c r="BH95" s="5"/>
      <c r="BI95" s="5"/>
      <c r="BJ95" s="5"/>
      <c r="BK95" s="5"/>
      <c r="BL95" s="5"/>
      <c r="BM95" s="5"/>
      <c r="BN95" s="5"/>
      <c r="BO95" s="5">
        <f t="shared" si="73"/>
        <v>2021</v>
      </c>
      <c r="BQ95" s="95" t="str" cm="1">
        <f t="array" ref="BQ95">_xlfn.IFS(MONTH(BR95)&lt;4,1,MONTH(BR95)&lt;7,2,MONTH(BR95)&lt;10,3,MONTH(BR95)&gt;9,4)&amp;"Q"&amp;RIGHT(YEAR(BR95),2)</f>
        <v>4Q21</v>
      </c>
      <c r="BR95" s="81">
        <f t="shared" si="74"/>
        <v>44561</v>
      </c>
      <c r="BS95" s="106">
        <f t="shared" si="75"/>
        <v>44561</v>
      </c>
      <c r="BT95" s="85"/>
      <c r="BU95" s="85"/>
      <c r="BV95" s="122">
        <v>3.71</v>
      </c>
      <c r="BW95" s="122">
        <v>7.68</v>
      </c>
      <c r="BX95" s="122">
        <v>10.24</v>
      </c>
      <c r="CA95" s="35">
        <f t="shared" si="41"/>
        <v>44561</v>
      </c>
      <c r="CB95" s="26">
        <v>89.39</v>
      </c>
      <c r="CC95" s="26">
        <v>63.4</v>
      </c>
      <c r="CD95" s="26">
        <v>31.7</v>
      </c>
      <c r="CE95" s="26">
        <v>150</v>
      </c>
      <c r="CF95" s="26">
        <v>292.5</v>
      </c>
      <c r="CG95" s="26"/>
      <c r="CH95" s="26"/>
      <c r="CI95" s="26"/>
      <c r="CJ95" s="26"/>
      <c r="CK95" s="26"/>
      <c r="CL95" s="26"/>
      <c r="CM95" s="26"/>
      <c r="CN95" s="26"/>
      <c r="CO95" s="26"/>
      <c r="CP95" s="26"/>
      <c r="CQ95" s="26">
        <v>2.52</v>
      </c>
      <c r="CR95" s="119">
        <v>2.52</v>
      </c>
      <c r="CS95" s="36"/>
      <c r="CT95" s="123">
        <f>CB95/CC95-1</f>
        <v>0.40993690851735</v>
      </c>
      <c r="CU95" s="123"/>
      <c r="CV95" s="123"/>
      <c r="CX95" s="121"/>
      <c r="CY95" s="108">
        <f t="shared" si="68"/>
        <v>0</v>
      </c>
      <c r="CZ95" s="108">
        <f t="shared" si="42"/>
        <v>0</v>
      </c>
      <c r="DA95" s="108">
        <f t="shared" si="42"/>
        <v>-0.00662251655629142</v>
      </c>
      <c r="DB95" s="108">
        <f t="shared" si="42"/>
        <v>-0.0167075671496286</v>
      </c>
      <c r="DC95" s="108"/>
      <c r="DD95" s="108"/>
      <c r="DE95" s="108"/>
      <c r="DF95" s="108"/>
      <c r="DG95" s="108"/>
      <c r="DH95" s="108"/>
      <c r="DI95" s="108"/>
      <c r="DJ95" s="108"/>
      <c r="DK95" s="108"/>
      <c r="DL95" s="108"/>
      <c r="DM95" s="108">
        <f t="shared" si="64"/>
        <v>0</v>
      </c>
      <c r="DN95" s="108">
        <f t="shared" si="64"/>
        <v>0.00800000000000001</v>
      </c>
      <c r="DQ95" s="114">
        <f t="shared" si="37"/>
        <v>4.6875</v>
      </c>
      <c r="DR95" s="114">
        <f t="shared" si="38"/>
        <v>4.5703125</v>
      </c>
      <c r="FK95" s="104"/>
      <c r="FV95" s="104">
        <f t="shared" si="50"/>
        <v>2010</v>
      </c>
      <c r="FW95" s="104">
        <f t="shared" si="51"/>
        <v>53</v>
      </c>
      <c r="FX95" s="35">
        <v>40542</v>
      </c>
      <c r="FY95" s="26">
        <v>1.85</v>
      </c>
      <c r="FZ95" s="94">
        <f t="shared" si="52"/>
        <v>7.4</v>
      </c>
      <c r="GA95" s="104">
        <f t="shared" si="53"/>
        <v>2013</v>
      </c>
      <c r="GB95" s="104">
        <f t="shared" si="54"/>
        <v>24</v>
      </c>
      <c r="GC95" s="35">
        <v>41439</v>
      </c>
      <c r="GD95" s="26">
        <v>1.55</v>
      </c>
      <c r="GE95" s="94">
        <f t="shared" si="55"/>
        <v>6.2</v>
      </c>
      <c r="GF95" s="104">
        <f t="shared" si="56"/>
        <v>2013</v>
      </c>
      <c r="GG95" s="104">
        <f t="shared" si="57"/>
        <v>16</v>
      </c>
      <c r="GH95" s="35">
        <v>41379</v>
      </c>
      <c r="GI95" s="26">
        <v>3.363</v>
      </c>
      <c r="GJ95" s="94">
        <f t="shared" si="58"/>
        <v>6.726</v>
      </c>
      <c r="GK95" s="104">
        <f t="shared" si="59"/>
        <v>2015</v>
      </c>
      <c r="GL95" s="104">
        <f t="shared" si="60"/>
        <v>40</v>
      </c>
      <c r="GM95" s="35">
        <v>42277</v>
      </c>
      <c r="GN95" s="26">
        <v>2</v>
      </c>
      <c r="GO95" s="94">
        <f t="shared" si="61"/>
        <v>4</v>
      </c>
      <c r="GP95" s="59"/>
    </row>
    <row r="96" ht="16.8" spans="3:198">
      <c r="C96" s="80" t="str" cm="1">
        <f t="array" ref="C96">_xlfn.IFS(MONTH(D96)&lt;4,1,MONTH(D96)&lt;7,2,MONTH(D96)&lt;10,3,MONTH(D96)&gt;9,4)&amp;"Q"&amp;RIGHT(YEAR(D96),2)</f>
        <v>2Q16</v>
      </c>
      <c r="D96" s="81">
        <f t="shared" si="69"/>
        <v>42551</v>
      </c>
      <c r="E96" s="82">
        <f t="shared" si="65"/>
        <v>42522</v>
      </c>
      <c r="F96" s="83">
        <f t="shared" si="66"/>
        <v>0.466625</v>
      </c>
      <c r="G96" s="83">
        <f t="shared" si="66"/>
        <v>0.3675</v>
      </c>
      <c r="H96" s="81"/>
      <c r="I96" s="84">
        <v>42522</v>
      </c>
      <c r="J96" s="85">
        <v>3.93</v>
      </c>
      <c r="K96" s="85">
        <v>3.45</v>
      </c>
      <c r="L96" s="86">
        <v>3.733</v>
      </c>
      <c r="M96" s="94" cm="1">
        <f t="array" ref="M96">INDEX($BV$29:$BV$1449,MATCH($D96,$BR$29:$BR$1449,0),)</f>
        <v>2.94</v>
      </c>
      <c r="N96" s="88"/>
      <c r="O96" s="88"/>
      <c r="P96" s="88"/>
      <c r="Q96" s="89">
        <f t="shared" si="67"/>
        <v>0.269727891156463</v>
      </c>
      <c r="AH96" s="105">
        <f t="shared" si="35"/>
        <v>42990</v>
      </c>
      <c r="AI96" s="91">
        <f t="shared" si="70"/>
        <v>7.54</v>
      </c>
      <c r="AJ96" s="36">
        <f t="shared" si="71"/>
        <v>0.0266884531590414</v>
      </c>
      <c r="AK96" s="36">
        <f t="shared" si="76"/>
        <v>0.0395698331724803</v>
      </c>
      <c r="AL96" s="105"/>
      <c r="AM96" s="91"/>
      <c r="AN96" s="36"/>
      <c r="AO96" s="36"/>
      <c r="AP96" s="36"/>
      <c r="AQ96" s="92" t="str" cm="1">
        <f t="array" ref="AQ96">_xlfn.IFS(MONTH(AR96)&lt;4,1,MONTH(AR96)&lt;7,2,MONTH(AR96)&lt;10,3,MONTH(AR96)&gt;9,4)&amp;"Q"&amp;RIGHT(YEAR(AR96),2)</f>
        <v>2Q20</v>
      </c>
      <c r="AR96" s="92">
        <f t="shared" si="72"/>
        <v>43982</v>
      </c>
      <c r="AS96" s="109">
        <v>43969</v>
      </c>
      <c r="AT96" s="110"/>
      <c r="AU96" s="94" cm="1">
        <f t="array" ref="AU96">INDEX($CE$29:$CE$1449,MATCH($AR96,$CA$29:$CA$1449,0),)</f>
        <v>143.15</v>
      </c>
      <c r="AV96" s="110"/>
      <c r="AW96" s="94" cm="1">
        <f t="array" ref="AW96">INDEX($CF$29:$CF$1449,MATCH($AR96,$CA$29:$CA$1449,0),)</f>
        <v>288</v>
      </c>
      <c r="AX96" s="94"/>
      <c r="AY96" s="94"/>
      <c r="AZ96" s="94"/>
      <c r="BA96" s="94"/>
      <c r="BB96" s="5"/>
      <c r="BC96" s="5"/>
      <c r="BD96" s="5"/>
      <c r="BE96" s="5"/>
      <c r="BF96" s="5"/>
      <c r="BG96" s="5"/>
      <c r="BH96" s="5"/>
      <c r="BI96" s="5"/>
      <c r="BJ96" s="5"/>
      <c r="BK96" s="5"/>
      <c r="BL96" s="5"/>
      <c r="BM96" s="5"/>
      <c r="BN96" s="5"/>
      <c r="BO96" s="5">
        <f t="shared" si="73"/>
        <v>2022</v>
      </c>
      <c r="BQ96" s="95" t="str" cm="1">
        <f t="array" ref="BQ96">_xlfn.IFS(MONTH(BR96)&lt;4,1,MONTH(BR96)&lt;7,2,MONTH(BR96)&lt;10,3,MONTH(BR96)&gt;9,4)&amp;"Q"&amp;RIGHT(YEAR(BR96),2)</f>
        <v>1Q22</v>
      </c>
      <c r="BR96" s="81">
        <f t="shared" si="74"/>
        <v>44592</v>
      </c>
      <c r="BS96" s="106">
        <f t="shared" si="75"/>
        <v>44592</v>
      </c>
      <c r="BT96" s="85"/>
      <c r="BU96" s="85"/>
      <c r="BV96" s="122">
        <v>3.41</v>
      </c>
      <c r="BW96" s="122">
        <v>7.08</v>
      </c>
      <c r="BX96" s="122">
        <v>10.24</v>
      </c>
      <c r="CA96" s="35">
        <f t="shared" si="41"/>
        <v>44592</v>
      </c>
      <c r="CB96" s="26">
        <v>89.39</v>
      </c>
      <c r="CC96" s="26">
        <v>58.6</v>
      </c>
      <c r="CD96" s="26">
        <v>29.3</v>
      </c>
      <c r="CE96" s="26">
        <v>140</v>
      </c>
      <c r="CF96" s="26">
        <v>271.6</v>
      </c>
      <c r="CG96" s="26"/>
      <c r="CH96" s="26"/>
      <c r="CI96" s="26"/>
      <c r="CJ96" s="26"/>
      <c r="CK96" s="26"/>
      <c r="CL96" s="26"/>
      <c r="CM96" s="26"/>
      <c r="CN96" s="26"/>
      <c r="CO96" s="26"/>
      <c r="CP96" s="26"/>
      <c r="CQ96" s="26">
        <v>2.45</v>
      </c>
      <c r="CR96" s="119">
        <v>2.52</v>
      </c>
      <c r="CS96" s="36"/>
      <c r="CT96" s="123">
        <f t="shared" ref="CT96:CT148" si="77">CB96/CC96-1</f>
        <v>0.52542662116041</v>
      </c>
      <c r="CU96" s="123"/>
      <c r="CV96" s="123"/>
      <c r="CX96" s="108">
        <f t="shared" ref="CX96:DB111" si="78">CB96/CB95-1</f>
        <v>0</v>
      </c>
      <c r="CY96" s="108">
        <f t="shared" si="68"/>
        <v>-0.0757097791798107</v>
      </c>
      <c r="CZ96" s="108">
        <f t="shared" si="68"/>
        <v>-0.0757097791798107</v>
      </c>
      <c r="DA96" s="108">
        <f t="shared" si="68"/>
        <v>-0.0666666666666667</v>
      </c>
      <c r="DB96" s="108">
        <f t="shared" si="68"/>
        <v>-0.0714529914529913</v>
      </c>
      <c r="DC96" s="108"/>
      <c r="DD96" s="108"/>
      <c r="DE96" s="108"/>
      <c r="DF96" s="108"/>
      <c r="DG96" s="108"/>
      <c r="DH96" s="108"/>
      <c r="DI96" s="108"/>
      <c r="DJ96" s="108"/>
      <c r="DK96" s="108"/>
      <c r="DL96" s="108"/>
      <c r="DM96" s="108">
        <f t="shared" si="64"/>
        <v>-0.0277777777777777</v>
      </c>
      <c r="DN96" s="108">
        <f t="shared" si="64"/>
        <v>0</v>
      </c>
      <c r="DQ96" s="114">
        <f t="shared" si="37"/>
        <v>4.375</v>
      </c>
      <c r="DR96" s="114">
        <f t="shared" si="38"/>
        <v>4.24375</v>
      </c>
      <c r="FK96" s="104"/>
      <c r="FV96" s="104">
        <f t="shared" si="50"/>
        <v>2010</v>
      </c>
      <c r="FW96" s="104">
        <f t="shared" si="51"/>
        <v>53</v>
      </c>
      <c r="FX96" s="35">
        <v>40543</v>
      </c>
      <c r="FY96" s="26">
        <v>1.85</v>
      </c>
      <c r="FZ96" s="94">
        <f t="shared" si="52"/>
        <v>7.4</v>
      </c>
      <c r="GA96" s="104">
        <f t="shared" si="53"/>
        <v>2013</v>
      </c>
      <c r="GB96" s="104">
        <f t="shared" si="54"/>
        <v>27</v>
      </c>
      <c r="GC96" s="35">
        <v>41456</v>
      </c>
      <c r="GD96" s="26">
        <v>1.55</v>
      </c>
      <c r="GE96" s="94">
        <f t="shared" si="55"/>
        <v>6.2</v>
      </c>
      <c r="GF96" s="104">
        <f t="shared" si="56"/>
        <v>2013</v>
      </c>
      <c r="GG96" s="104">
        <f t="shared" si="57"/>
        <v>16</v>
      </c>
      <c r="GH96" s="35">
        <v>41380</v>
      </c>
      <c r="GI96" s="26">
        <v>3.36</v>
      </c>
      <c r="GJ96" s="94">
        <f t="shared" si="58"/>
        <v>6.72</v>
      </c>
      <c r="GK96" s="104">
        <f t="shared" si="59"/>
        <v>2015</v>
      </c>
      <c r="GL96" s="104">
        <f t="shared" si="60"/>
        <v>42</v>
      </c>
      <c r="GM96" s="35">
        <v>42292</v>
      </c>
      <c r="GN96" s="26">
        <v>1.78</v>
      </c>
      <c r="GO96" s="94">
        <f t="shared" si="61"/>
        <v>3.56</v>
      </c>
      <c r="GP96" s="59"/>
    </row>
    <row r="97" ht="16.8" spans="3:198">
      <c r="C97" s="80" t="str" cm="1">
        <f t="array" ref="C97">_xlfn.IFS(MONTH(D97)&lt;4,1,MONTH(D97)&lt;7,2,MONTH(D97)&lt;10,3,MONTH(D97)&gt;9,4)&amp;"Q"&amp;RIGHT(YEAR(D97),2)</f>
        <v>2Q16</v>
      </c>
      <c r="D97" s="81">
        <f t="shared" si="69"/>
        <v>42551</v>
      </c>
      <c r="E97" s="82">
        <f t="shared" si="65"/>
        <v>42523</v>
      </c>
      <c r="F97" s="83">
        <f t="shared" si="66"/>
        <v>0.465875</v>
      </c>
      <c r="G97" s="83">
        <f t="shared" si="66"/>
        <v>0.3675</v>
      </c>
      <c r="H97" s="81"/>
      <c r="I97" s="84">
        <v>42523</v>
      </c>
      <c r="J97" s="85">
        <v>3.93</v>
      </c>
      <c r="K97" s="85">
        <v>3.45</v>
      </c>
      <c r="L97" s="86">
        <v>3.727</v>
      </c>
      <c r="M97" s="94" cm="1">
        <f t="array" ref="M97">INDEX($BV$29:$BV$1449,MATCH($D97,$BR$29:$BR$1449,0),)</f>
        <v>2.94</v>
      </c>
      <c r="N97" s="88"/>
      <c r="O97" s="88"/>
      <c r="P97" s="88"/>
      <c r="Q97" s="89">
        <f t="shared" si="67"/>
        <v>0.267687074829932</v>
      </c>
      <c r="AH97" s="105">
        <f t="shared" si="35"/>
        <v>42998</v>
      </c>
      <c r="AI97" s="91">
        <f t="shared" si="70"/>
        <v>7.759</v>
      </c>
      <c r="AJ97" s="36">
        <f t="shared" si="71"/>
        <v>0.0290450928381962</v>
      </c>
      <c r="AK97" s="36">
        <f t="shared" si="76"/>
        <v>0.0565087145969498</v>
      </c>
      <c r="AL97" s="105"/>
      <c r="AM97" s="91"/>
      <c r="AN97" s="36"/>
      <c r="AO97" s="36"/>
      <c r="AP97" s="36"/>
      <c r="AQ97" s="92" t="str" cm="1">
        <f t="array" ref="AQ97">_xlfn.IFS(MONTH(AR97)&lt;4,1,MONTH(AR97)&lt;7,2,MONTH(AR97)&lt;10,3,MONTH(AR97)&gt;9,4)&amp;"Q"&amp;RIGHT(YEAR(AR97),2)</f>
        <v>2Q20</v>
      </c>
      <c r="AR97" s="92">
        <f t="shared" si="72"/>
        <v>43982</v>
      </c>
      <c r="AS97" s="109">
        <v>43976</v>
      </c>
      <c r="AT97" s="110"/>
      <c r="AU97" s="94" cm="1">
        <f t="array" ref="AU97">INDEX($CE$29:$CE$1449,MATCH($AR97,$CA$29:$CA$1449,0),)</f>
        <v>143.15</v>
      </c>
      <c r="AV97" s="110"/>
      <c r="AW97" s="94" cm="1">
        <f t="array" ref="AW97">INDEX($CF$29:$CF$1449,MATCH($AR97,$CA$29:$CA$1449,0),)</f>
        <v>288</v>
      </c>
      <c r="AX97" s="94"/>
      <c r="AY97" s="94"/>
      <c r="AZ97" s="94"/>
      <c r="BA97" s="94"/>
      <c r="BB97" s="5"/>
      <c r="BC97" s="5"/>
      <c r="BD97" s="5"/>
      <c r="BE97" s="5"/>
      <c r="BF97" s="5"/>
      <c r="BG97" s="5"/>
      <c r="BH97" s="5"/>
      <c r="BI97" s="5"/>
      <c r="BJ97" s="5"/>
      <c r="BK97" s="5"/>
      <c r="BL97" s="5"/>
      <c r="BM97" s="5"/>
      <c r="BN97" s="5"/>
      <c r="BO97" s="5">
        <f t="shared" si="73"/>
        <v>2022</v>
      </c>
      <c r="BQ97" s="95" t="str" cm="1">
        <f t="array" ref="BQ97">_xlfn.IFS(MONTH(BR97)&lt;4,1,MONTH(BR97)&lt;7,2,MONTH(BR97)&lt;10,3,MONTH(BR97)&gt;9,4)&amp;"Q"&amp;RIGHT(YEAR(BR97),2)</f>
        <v>1Q22</v>
      </c>
      <c r="BR97" s="81">
        <f t="shared" si="74"/>
        <v>44620</v>
      </c>
      <c r="BS97" s="106">
        <f t="shared" si="75"/>
        <v>44620</v>
      </c>
      <c r="BT97" s="85"/>
      <c r="BU97" s="85"/>
      <c r="BV97" s="122">
        <v>3.41</v>
      </c>
      <c r="BW97" s="122">
        <v>7.08</v>
      </c>
      <c r="BX97" s="122">
        <v>9.56</v>
      </c>
      <c r="CA97" s="35">
        <f t="shared" si="41"/>
        <v>44620</v>
      </c>
      <c r="CB97" s="26">
        <v>84</v>
      </c>
      <c r="CC97" s="26">
        <v>58.6</v>
      </c>
      <c r="CD97" s="26">
        <v>29.3</v>
      </c>
      <c r="CE97" s="26">
        <v>139</v>
      </c>
      <c r="CF97" s="26">
        <v>271.6</v>
      </c>
      <c r="CG97" s="26"/>
      <c r="CH97" s="26"/>
      <c r="CI97" s="26"/>
      <c r="CJ97" s="26"/>
      <c r="CK97" s="26"/>
      <c r="CL97" s="26"/>
      <c r="CM97" s="26"/>
      <c r="CN97" s="26"/>
      <c r="CO97" s="26"/>
      <c r="CP97" s="26"/>
      <c r="CQ97" s="26">
        <v>2.48</v>
      </c>
      <c r="CR97" s="119">
        <v>2.6</v>
      </c>
      <c r="CS97" s="36"/>
      <c r="CT97" s="123">
        <f t="shared" si="77"/>
        <v>0.433447098976109</v>
      </c>
      <c r="CU97" s="123"/>
      <c r="CV97" s="123"/>
      <c r="CX97" s="108">
        <f t="shared" si="78"/>
        <v>-0.0602975724353955</v>
      </c>
      <c r="CY97" s="108">
        <f t="shared" si="68"/>
        <v>0</v>
      </c>
      <c r="CZ97" s="108">
        <f t="shared" si="68"/>
        <v>0</v>
      </c>
      <c r="DA97" s="108">
        <f t="shared" si="68"/>
        <v>-0.00714285714285712</v>
      </c>
      <c r="DB97" s="108">
        <f t="shared" si="68"/>
        <v>0</v>
      </c>
      <c r="DC97" s="108"/>
      <c r="DD97" s="108"/>
      <c r="DE97" s="108"/>
      <c r="DF97" s="108"/>
      <c r="DG97" s="108"/>
      <c r="DH97" s="108"/>
      <c r="DI97" s="108"/>
      <c r="DJ97" s="108"/>
      <c r="DK97" s="108"/>
      <c r="DL97" s="108"/>
      <c r="DM97" s="108">
        <f t="shared" si="64"/>
        <v>0.0122448979591836</v>
      </c>
      <c r="DN97" s="108">
        <f t="shared" si="64"/>
        <v>0.0317460317460319</v>
      </c>
      <c r="DQ97" s="114">
        <f t="shared" si="37"/>
        <v>4.34375</v>
      </c>
      <c r="DR97" s="114">
        <f t="shared" si="38"/>
        <v>4.24375</v>
      </c>
      <c r="FK97" s="104"/>
      <c r="FV97" s="104">
        <f t="shared" si="50"/>
        <v>2011</v>
      </c>
      <c r="FW97" s="104">
        <f t="shared" si="51"/>
        <v>2</v>
      </c>
      <c r="FX97" s="35">
        <v>40546</v>
      </c>
      <c r="FY97" s="26">
        <v>1.85</v>
      </c>
      <c r="FZ97" s="94">
        <f t="shared" si="52"/>
        <v>7.4</v>
      </c>
      <c r="GA97" s="104">
        <f t="shared" si="53"/>
        <v>2013</v>
      </c>
      <c r="GB97" s="104">
        <f t="shared" si="54"/>
        <v>29</v>
      </c>
      <c r="GC97" s="35">
        <v>41472</v>
      </c>
      <c r="GD97" s="26">
        <v>1.58</v>
      </c>
      <c r="GE97" s="94">
        <f t="shared" si="55"/>
        <v>6.32</v>
      </c>
      <c r="GF97" s="104">
        <f t="shared" si="56"/>
        <v>2013</v>
      </c>
      <c r="GG97" s="104">
        <f t="shared" si="57"/>
        <v>16</v>
      </c>
      <c r="GH97" s="35">
        <v>41381</v>
      </c>
      <c r="GI97" s="26">
        <v>3.349</v>
      </c>
      <c r="GJ97" s="94">
        <f t="shared" si="58"/>
        <v>6.698</v>
      </c>
      <c r="GK97" s="104">
        <f t="shared" si="59"/>
        <v>2015</v>
      </c>
      <c r="GL97" s="104">
        <f t="shared" si="60"/>
        <v>44</v>
      </c>
      <c r="GM97" s="35">
        <v>42307</v>
      </c>
      <c r="GN97" s="26">
        <v>1.78</v>
      </c>
      <c r="GO97" s="94">
        <f t="shared" si="61"/>
        <v>3.56</v>
      </c>
      <c r="GP97" s="59"/>
    </row>
    <row r="98" ht="16.8" spans="3:198">
      <c r="C98" s="80" t="str" cm="1">
        <f t="array" ref="C98">_xlfn.IFS(MONTH(D98)&lt;4,1,MONTH(D98)&lt;7,2,MONTH(D98)&lt;10,3,MONTH(D98)&gt;9,4)&amp;"Q"&amp;RIGHT(YEAR(D98),2)</f>
        <v>2Q16</v>
      </c>
      <c r="D98" s="81">
        <f t="shared" si="69"/>
        <v>42551</v>
      </c>
      <c r="E98" s="82">
        <f t="shared" si="65"/>
        <v>42524</v>
      </c>
      <c r="F98" s="83">
        <f t="shared" si="66"/>
        <v>0.464125</v>
      </c>
      <c r="G98" s="83">
        <f t="shared" si="66"/>
        <v>0.3675</v>
      </c>
      <c r="H98" s="81"/>
      <c r="I98" s="84">
        <v>42524</v>
      </c>
      <c r="J98" s="85">
        <v>3.93</v>
      </c>
      <c r="K98" s="85">
        <v>3.45</v>
      </c>
      <c r="L98" s="86">
        <v>3.713</v>
      </c>
      <c r="M98" s="94" cm="1">
        <f t="array" ref="M98">INDEX($BV$29:$BV$1449,MATCH($D98,$BR$29:$BR$1449,0),)</f>
        <v>2.94</v>
      </c>
      <c r="N98" s="88"/>
      <c r="O98" s="88"/>
      <c r="P98" s="88"/>
      <c r="Q98" s="89">
        <f t="shared" si="67"/>
        <v>0.262925170068027</v>
      </c>
      <c r="AH98" s="105">
        <f t="shared" si="35"/>
        <v>43006</v>
      </c>
      <c r="AI98" s="91">
        <f t="shared" si="70"/>
        <v>8.343</v>
      </c>
      <c r="AJ98" s="36">
        <f t="shared" si="71"/>
        <v>0.0752674313700219</v>
      </c>
      <c r="AK98" s="36">
        <f t="shared" si="76"/>
        <v>0.106498673740053</v>
      </c>
      <c r="AL98" s="105"/>
      <c r="AM98" s="91"/>
      <c r="AN98" s="36"/>
      <c r="AO98" s="36"/>
      <c r="AP98" s="36"/>
      <c r="AQ98" s="92" t="str" cm="1">
        <f t="array" ref="AQ98">_xlfn.IFS(MONTH(AR98)&lt;4,1,MONTH(AR98)&lt;7,2,MONTH(AR98)&lt;10,3,MONTH(AR98)&gt;9,4)&amp;"Q"&amp;RIGHT(YEAR(AR98),2)</f>
        <v>2Q20</v>
      </c>
      <c r="AR98" s="92">
        <f t="shared" si="72"/>
        <v>44012</v>
      </c>
      <c r="AS98" s="109">
        <v>43983</v>
      </c>
      <c r="AT98" s="110"/>
      <c r="AU98" s="94" cm="1">
        <f t="array" ref="AU98">INDEX($CE$29:$CE$1449,MATCH($AR98,$CA$29:$CA$1449,0),)</f>
        <v>143.15</v>
      </c>
      <c r="AV98" s="110"/>
      <c r="AW98" s="94" cm="1">
        <f t="array" ref="AW98">INDEX($CF$29:$CF$1449,MATCH($AR98,$CA$29:$CA$1449,0),)</f>
        <v>288</v>
      </c>
      <c r="AX98" s="94"/>
      <c r="AY98" s="94"/>
      <c r="AZ98" s="94"/>
      <c r="BA98" s="94"/>
      <c r="BB98" s="5"/>
      <c r="BC98" s="5"/>
      <c r="BD98" s="5"/>
      <c r="BE98" s="5"/>
      <c r="BF98" s="5"/>
      <c r="BG98" s="5"/>
      <c r="BH98" s="5"/>
      <c r="BI98" s="5"/>
      <c r="BJ98" s="5"/>
      <c r="BK98" s="5"/>
      <c r="BL98" s="5"/>
      <c r="BM98" s="5"/>
      <c r="BN98" s="5"/>
      <c r="BO98" s="5">
        <f t="shared" si="73"/>
        <v>2022</v>
      </c>
      <c r="BQ98" s="95" t="str" cm="1">
        <f t="array" ref="BQ98">_xlfn.IFS(MONTH(BR98)&lt;4,1,MONTH(BR98)&lt;7,2,MONTH(BR98)&lt;10,3,MONTH(BR98)&gt;9,4)&amp;"Q"&amp;RIGHT(YEAR(BR98),2)</f>
        <v>1Q22</v>
      </c>
      <c r="BR98" s="81">
        <f t="shared" si="74"/>
        <v>44651</v>
      </c>
      <c r="BS98" s="106">
        <f t="shared" si="75"/>
        <v>44651</v>
      </c>
      <c r="BT98" s="85"/>
      <c r="BU98" s="85"/>
      <c r="BV98" s="122">
        <v>3.41</v>
      </c>
      <c r="BW98" s="122">
        <v>7.08</v>
      </c>
      <c r="BX98" s="122">
        <v>9.56</v>
      </c>
      <c r="CA98" s="35">
        <f t="shared" si="41"/>
        <v>44651</v>
      </c>
      <c r="CB98" s="26">
        <v>84</v>
      </c>
      <c r="CC98" s="26">
        <v>58.6</v>
      </c>
      <c r="CD98" s="26">
        <v>29.3</v>
      </c>
      <c r="CE98" s="26">
        <v>138</v>
      </c>
      <c r="CF98" s="26">
        <v>270</v>
      </c>
      <c r="CG98" s="26"/>
      <c r="CH98" s="26"/>
      <c r="CI98" s="26"/>
      <c r="CJ98" s="26"/>
      <c r="CK98" s="26"/>
      <c r="CL98" s="26"/>
      <c r="CM98" s="26"/>
      <c r="CN98" s="26"/>
      <c r="CO98" s="26"/>
      <c r="CP98" s="26"/>
      <c r="CQ98" s="26">
        <v>2.4</v>
      </c>
      <c r="CR98" s="119">
        <v>2.72</v>
      </c>
      <c r="CS98" s="36"/>
      <c r="CT98" s="123">
        <f t="shared" si="77"/>
        <v>0.433447098976109</v>
      </c>
      <c r="CU98" s="123"/>
      <c r="CV98" s="123"/>
      <c r="CX98" s="108">
        <f t="shared" si="78"/>
        <v>0</v>
      </c>
      <c r="CY98" s="108">
        <f t="shared" si="68"/>
        <v>0</v>
      </c>
      <c r="CZ98" s="108">
        <f t="shared" si="68"/>
        <v>0</v>
      </c>
      <c r="DA98" s="108">
        <f t="shared" si="68"/>
        <v>-0.0071942446043165</v>
      </c>
      <c r="DB98" s="108">
        <f t="shared" si="68"/>
        <v>-0.00589101620029464</v>
      </c>
      <c r="DC98" s="108"/>
      <c r="DD98" s="108"/>
      <c r="DE98" s="108"/>
      <c r="DF98" s="108"/>
      <c r="DG98" s="108"/>
      <c r="DH98" s="108"/>
      <c r="DI98" s="108"/>
      <c r="DJ98" s="108"/>
      <c r="DK98" s="108"/>
      <c r="DL98" s="108"/>
      <c r="DM98" s="108">
        <f t="shared" si="64"/>
        <v>-0.0322580645161291</v>
      </c>
      <c r="DN98" s="108">
        <f t="shared" si="64"/>
        <v>0.0461538461538462</v>
      </c>
      <c r="DQ98" s="114">
        <f t="shared" si="37"/>
        <v>4.3125</v>
      </c>
      <c r="DR98" s="124">
        <f t="shared" si="38"/>
        <v>4.21875</v>
      </c>
      <c r="FK98" s="104"/>
      <c r="FV98" s="104">
        <f t="shared" si="50"/>
        <v>2011</v>
      </c>
      <c r="FW98" s="104">
        <f t="shared" si="51"/>
        <v>2</v>
      </c>
      <c r="FX98" s="35">
        <v>40547</v>
      </c>
      <c r="FY98" s="26">
        <v>1.84</v>
      </c>
      <c r="FZ98" s="94">
        <f t="shared" si="52"/>
        <v>7.36</v>
      </c>
      <c r="GA98" s="104">
        <f t="shared" si="53"/>
        <v>2013</v>
      </c>
      <c r="GB98" s="104">
        <f t="shared" si="54"/>
        <v>31</v>
      </c>
      <c r="GC98" s="35">
        <v>41486</v>
      </c>
      <c r="GD98" s="26">
        <v>1.58</v>
      </c>
      <c r="GE98" s="94">
        <f t="shared" si="55"/>
        <v>6.32</v>
      </c>
      <c r="GF98" s="104">
        <f t="shared" si="56"/>
        <v>2013</v>
      </c>
      <c r="GG98" s="104">
        <f t="shared" si="57"/>
        <v>16</v>
      </c>
      <c r="GH98" s="35">
        <v>41382</v>
      </c>
      <c r="GI98" s="26">
        <v>3.335</v>
      </c>
      <c r="GJ98" s="94">
        <f t="shared" si="58"/>
        <v>6.67</v>
      </c>
      <c r="GK98" s="104">
        <f t="shared" si="59"/>
        <v>2015</v>
      </c>
      <c r="GL98" s="104">
        <f t="shared" si="60"/>
        <v>46</v>
      </c>
      <c r="GM98" s="35">
        <v>42321</v>
      </c>
      <c r="GN98" s="26">
        <v>1.72</v>
      </c>
      <c r="GO98" s="94">
        <f t="shared" si="61"/>
        <v>3.44</v>
      </c>
      <c r="GP98" s="59"/>
    </row>
    <row r="99" ht="16.8" spans="3:198">
      <c r="C99" s="80" t="str" cm="1">
        <f t="array" ref="C99">_xlfn.IFS(MONTH(D99)&lt;4,1,MONTH(D99)&lt;7,2,MONTH(D99)&lt;10,3,MONTH(D99)&gt;9,4)&amp;"Q"&amp;RIGHT(YEAR(D99),2)</f>
        <v>2Q16</v>
      </c>
      <c r="D99" s="81">
        <f t="shared" si="69"/>
        <v>42551</v>
      </c>
      <c r="E99" s="82">
        <f t="shared" si="65"/>
        <v>42527</v>
      </c>
      <c r="F99" s="83">
        <f t="shared" si="66"/>
        <v>0.463125</v>
      </c>
      <c r="G99" s="83">
        <f t="shared" si="66"/>
        <v>0.3675</v>
      </c>
      <c r="H99" s="81"/>
      <c r="I99" s="84">
        <v>42527</v>
      </c>
      <c r="J99" s="85">
        <v>3.9</v>
      </c>
      <c r="K99" s="85">
        <v>3.45</v>
      </c>
      <c r="L99" s="86">
        <v>3.705</v>
      </c>
      <c r="M99" s="94" cm="1">
        <f t="array" ref="M99">INDEX($BV$29:$BV$1449,MATCH($D99,$BR$29:$BR$1449,0),)</f>
        <v>2.94</v>
      </c>
      <c r="N99" s="88"/>
      <c r="O99" s="88"/>
      <c r="P99" s="88"/>
      <c r="Q99" s="89">
        <f t="shared" si="67"/>
        <v>0.260204081632653</v>
      </c>
      <c r="AH99" s="105">
        <f t="shared" si="35"/>
        <v>43014</v>
      </c>
      <c r="AI99" s="91">
        <f t="shared" si="70"/>
        <v>8.837</v>
      </c>
      <c r="AJ99" s="36">
        <f t="shared" si="71"/>
        <v>0.0592113148747453</v>
      </c>
      <c r="AK99" s="36">
        <f t="shared" si="76"/>
        <v>0.138935429823431</v>
      </c>
      <c r="AL99" s="105"/>
      <c r="AM99" s="91"/>
      <c r="AN99" s="36"/>
      <c r="AO99" s="36"/>
      <c r="AP99" s="36"/>
      <c r="AQ99" s="92" t="str" cm="1">
        <f t="array" ref="AQ99">_xlfn.IFS(MONTH(AR99)&lt;4,1,MONTH(AR99)&lt;7,2,MONTH(AR99)&lt;10,3,MONTH(AR99)&gt;9,4)&amp;"Q"&amp;RIGHT(YEAR(AR99),2)</f>
        <v>2Q20</v>
      </c>
      <c r="AR99" s="92">
        <f t="shared" si="72"/>
        <v>44012</v>
      </c>
      <c r="AS99" s="109">
        <v>43990</v>
      </c>
      <c r="AT99" s="110"/>
      <c r="AU99" s="94" cm="1">
        <f t="array" ref="AU99">INDEX($CE$29:$CE$1449,MATCH($AR99,$CA$29:$CA$1449,0),)</f>
        <v>143.15</v>
      </c>
      <c r="AV99" s="110"/>
      <c r="AW99" s="94" cm="1">
        <f t="array" ref="AW99">INDEX($CF$29:$CF$1449,MATCH($AR99,$CA$29:$CA$1449,0),)</f>
        <v>288</v>
      </c>
      <c r="AX99" s="94"/>
      <c r="AY99" s="94"/>
      <c r="AZ99" s="94"/>
      <c r="BA99" s="94"/>
      <c r="BB99" s="5"/>
      <c r="BC99" s="5"/>
      <c r="BD99" s="5"/>
      <c r="BE99" s="5"/>
      <c r="BF99" s="5"/>
      <c r="BG99" s="5"/>
      <c r="BH99" s="5"/>
      <c r="BI99" s="5"/>
      <c r="BJ99" s="5"/>
      <c r="BK99" s="5"/>
      <c r="BL99" s="5"/>
      <c r="BM99" s="5"/>
      <c r="BN99" s="5"/>
      <c r="BO99" s="5">
        <f t="shared" si="73"/>
        <v>2022</v>
      </c>
      <c r="BQ99" s="95" t="str" cm="1">
        <f t="array" ref="BQ99">_xlfn.IFS(MONTH(BR99)&lt;4,1,MONTH(BR99)&lt;7,2,MONTH(BR99)&lt;10,3,MONTH(BR99)&gt;9,4)&amp;"Q"&amp;RIGHT(YEAR(BR99),2)</f>
        <v>2Q22</v>
      </c>
      <c r="BR99" s="81">
        <f t="shared" si="74"/>
        <v>44681</v>
      </c>
      <c r="BS99" s="106">
        <f t="shared" si="75"/>
        <v>44681</v>
      </c>
      <c r="BT99" s="85"/>
      <c r="BU99" s="85"/>
      <c r="BV99" s="122">
        <v>3.41</v>
      </c>
      <c r="BW99" s="122">
        <v>7.08</v>
      </c>
      <c r="BX99" s="122">
        <v>9.56</v>
      </c>
      <c r="CA99" s="35">
        <f t="shared" si="41"/>
        <v>44681</v>
      </c>
      <c r="CB99" s="26">
        <v>84</v>
      </c>
      <c r="CC99" s="26">
        <v>58.6</v>
      </c>
      <c r="CD99" s="119">
        <v>29.3</v>
      </c>
      <c r="CE99" s="119">
        <v>136</v>
      </c>
      <c r="CF99" s="119">
        <v>268</v>
      </c>
      <c r="CG99" s="119"/>
      <c r="CH99" s="119"/>
      <c r="CI99" s="119"/>
      <c r="CJ99" s="119"/>
      <c r="CK99" s="119"/>
      <c r="CL99" s="119"/>
      <c r="CM99" s="119"/>
      <c r="CN99" s="119"/>
      <c r="CO99" s="119"/>
      <c r="CP99" s="119"/>
      <c r="CQ99" s="119">
        <v>2.38</v>
      </c>
      <c r="CR99" s="119">
        <v>2.77</v>
      </c>
      <c r="CS99" s="36"/>
      <c r="CT99" s="123">
        <f t="shared" si="77"/>
        <v>0.433447098976109</v>
      </c>
      <c r="CU99" s="123"/>
      <c r="CV99" s="123"/>
      <c r="CX99" s="108">
        <f t="shared" si="78"/>
        <v>0</v>
      </c>
      <c r="CY99" s="108">
        <f t="shared" si="68"/>
        <v>0</v>
      </c>
      <c r="CZ99" s="108">
        <f t="shared" si="68"/>
        <v>0</v>
      </c>
      <c r="DA99" s="108">
        <f t="shared" si="68"/>
        <v>-0.0144927536231884</v>
      </c>
      <c r="DB99" s="108">
        <f t="shared" si="68"/>
        <v>-0.00740740740740742</v>
      </c>
      <c r="DC99" s="108"/>
      <c r="DD99" s="108"/>
      <c r="DE99" s="108"/>
      <c r="DF99" s="108"/>
      <c r="DG99" s="108"/>
      <c r="DH99" s="108"/>
      <c r="DI99" s="108"/>
      <c r="DJ99" s="108"/>
      <c r="DK99" s="108"/>
      <c r="DL99" s="108"/>
      <c r="DM99" s="108">
        <f t="shared" si="64"/>
        <v>-0.0083333333333333</v>
      </c>
      <c r="DN99" s="108">
        <f t="shared" si="64"/>
        <v>0.0183823529411764</v>
      </c>
      <c r="DQ99" s="114">
        <f t="shared" si="37"/>
        <v>4.25</v>
      </c>
      <c r="DR99" s="124">
        <f t="shared" si="38"/>
        <v>4.1875</v>
      </c>
      <c r="FK99" s="104"/>
      <c r="FV99" s="104">
        <f t="shared" si="50"/>
        <v>2011</v>
      </c>
      <c r="FW99" s="104">
        <f t="shared" si="51"/>
        <v>2</v>
      </c>
      <c r="FX99" s="35">
        <v>40548</v>
      </c>
      <c r="FY99" s="26">
        <v>1.83</v>
      </c>
      <c r="FZ99" s="94">
        <f t="shared" si="52"/>
        <v>7.32</v>
      </c>
      <c r="GA99" s="104">
        <f t="shared" si="53"/>
        <v>2013</v>
      </c>
      <c r="GB99" s="104">
        <f t="shared" si="54"/>
        <v>33</v>
      </c>
      <c r="GC99" s="35">
        <v>41501</v>
      </c>
      <c r="GD99" s="26">
        <v>1.58</v>
      </c>
      <c r="GE99" s="94">
        <f t="shared" si="55"/>
        <v>6.32</v>
      </c>
      <c r="GF99" s="104">
        <f t="shared" si="56"/>
        <v>2013</v>
      </c>
      <c r="GG99" s="104">
        <f t="shared" si="57"/>
        <v>16</v>
      </c>
      <c r="GH99" s="35">
        <v>41383</v>
      </c>
      <c r="GI99" s="26">
        <v>3.335</v>
      </c>
      <c r="GJ99" s="94">
        <f t="shared" si="58"/>
        <v>6.67</v>
      </c>
      <c r="GK99" s="104">
        <f t="shared" si="59"/>
        <v>2015</v>
      </c>
      <c r="GL99" s="104">
        <f t="shared" si="60"/>
        <v>48</v>
      </c>
      <c r="GM99" s="35">
        <v>42335</v>
      </c>
      <c r="GN99" s="26">
        <v>1.72</v>
      </c>
      <c r="GO99" s="94">
        <f t="shared" si="61"/>
        <v>3.44</v>
      </c>
      <c r="GP99" s="59"/>
    </row>
    <row r="100" ht="16.8" spans="3:198">
      <c r="C100" s="80" t="str" cm="1">
        <f t="array" ref="C100">_xlfn.IFS(MONTH(D100)&lt;4,1,MONTH(D100)&lt;7,2,MONTH(D100)&lt;10,3,MONTH(D100)&gt;9,4)&amp;"Q"&amp;RIGHT(YEAR(D100),2)</f>
        <v>2Q16</v>
      </c>
      <c r="D100" s="81">
        <f t="shared" si="69"/>
        <v>42551</v>
      </c>
      <c r="E100" s="82">
        <f t="shared" si="65"/>
        <v>42528</v>
      </c>
      <c r="F100" s="83">
        <f t="shared" si="66"/>
        <v>0.463125</v>
      </c>
      <c r="G100" s="83">
        <f t="shared" si="66"/>
        <v>0.3675</v>
      </c>
      <c r="H100" s="81"/>
      <c r="I100" s="84">
        <v>42528</v>
      </c>
      <c r="J100" s="85">
        <v>3.9</v>
      </c>
      <c r="K100" s="85">
        <v>3.45</v>
      </c>
      <c r="L100" s="86">
        <v>3.705</v>
      </c>
      <c r="M100" s="94" cm="1">
        <f t="array" ref="M100">INDEX($BV$29:$BV$1449,MATCH($D100,$BR$29:$BR$1449,0),)</f>
        <v>2.94</v>
      </c>
      <c r="N100" s="88"/>
      <c r="O100" s="88"/>
      <c r="P100" s="88"/>
      <c r="Q100" s="89">
        <f t="shared" si="67"/>
        <v>0.260204081632653</v>
      </c>
      <c r="AH100" s="105">
        <f t="shared" si="35"/>
        <v>43024</v>
      </c>
      <c r="AI100" s="91">
        <f t="shared" si="70"/>
        <v>9.215</v>
      </c>
      <c r="AJ100" s="36">
        <f t="shared" si="71"/>
        <v>0.0427746972954623</v>
      </c>
      <c r="AK100" s="36">
        <f t="shared" si="76"/>
        <v>0.104518758240441</v>
      </c>
      <c r="AL100" s="105"/>
      <c r="AM100" s="91"/>
      <c r="AN100" s="36"/>
      <c r="AO100" s="36"/>
      <c r="AP100" s="36"/>
      <c r="AQ100" s="92" t="str" cm="1">
        <f t="array" ref="AQ100">_xlfn.IFS(MONTH(AR100)&lt;4,1,MONTH(AR100)&lt;7,2,MONTH(AR100)&lt;10,3,MONTH(AR100)&gt;9,4)&amp;"Q"&amp;RIGHT(YEAR(AR100),2)</f>
        <v>2Q20</v>
      </c>
      <c r="AR100" s="92">
        <f t="shared" si="72"/>
        <v>44012</v>
      </c>
      <c r="AS100" s="109">
        <v>43997</v>
      </c>
      <c r="AT100" s="110"/>
      <c r="AU100" s="94" cm="1">
        <f t="array" ref="AU100">INDEX($CE$29:$CE$1449,MATCH($AR100,$CA$29:$CA$1449,0),)</f>
        <v>143.15</v>
      </c>
      <c r="AV100" s="110"/>
      <c r="AW100" s="94" cm="1">
        <f t="array" ref="AW100">INDEX($CF$29:$CF$1449,MATCH($AR100,$CA$29:$CA$1449,0),)</f>
        <v>288</v>
      </c>
      <c r="AX100" s="94"/>
      <c r="AY100" s="94"/>
      <c r="AZ100" s="94"/>
      <c r="BA100" s="94"/>
      <c r="BB100" s="5"/>
      <c r="BC100" s="5"/>
      <c r="BD100" s="5"/>
      <c r="BE100" s="5"/>
      <c r="BF100" s="5"/>
      <c r="BG100" s="5"/>
      <c r="BH100" s="5"/>
      <c r="BI100" s="5"/>
      <c r="BJ100" s="5"/>
      <c r="BK100" s="5"/>
      <c r="BL100" s="5"/>
      <c r="BM100" s="5"/>
      <c r="BN100" s="5"/>
      <c r="BO100" s="5">
        <f t="shared" si="73"/>
        <v>2022</v>
      </c>
      <c r="BQ100" s="95" t="str" cm="1">
        <f t="array" ref="BQ100">_xlfn.IFS(MONTH(BR100)&lt;4,1,MONTH(BR100)&lt;7,2,MONTH(BR100)&lt;10,3,MONTH(BR100)&gt;9,4)&amp;"Q"&amp;RIGHT(YEAR(BR100),2)</f>
        <v>2Q22</v>
      </c>
      <c r="BR100" s="81">
        <f t="shared" si="74"/>
        <v>44712</v>
      </c>
      <c r="BS100" s="106">
        <f t="shared" si="75"/>
        <v>44712</v>
      </c>
      <c r="BT100" s="85"/>
      <c r="BU100" s="85"/>
      <c r="BV100" s="122">
        <v>3.35</v>
      </c>
      <c r="BW100" s="122">
        <v>6.95</v>
      </c>
      <c r="BX100" s="122">
        <v>8.69</v>
      </c>
      <c r="CA100" s="35">
        <f t="shared" si="41"/>
        <v>44712</v>
      </c>
      <c r="CB100" s="26">
        <v>77</v>
      </c>
      <c r="CC100" s="26">
        <v>57.6</v>
      </c>
      <c r="CD100" s="119">
        <v>28.8</v>
      </c>
      <c r="CE100" s="119">
        <v>136</v>
      </c>
      <c r="CF100" s="119">
        <v>268</v>
      </c>
      <c r="CG100" s="119"/>
      <c r="CH100" s="119"/>
      <c r="CI100" s="119"/>
      <c r="CJ100" s="119"/>
      <c r="CK100" s="119"/>
      <c r="CL100" s="119"/>
      <c r="CM100" s="119"/>
      <c r="CN100" s="119"/>
      <c r="CO100" s="119"/>
      <c r="CP100" s="119"/>
      <c r="CQ100" s="119">
        <v>2.35</v>
      </c>
      <c r="CR100" s="119">
        <v>2.75</v>
      </c>
      <c r="CS100" s="36"/>
      <c r="CT100" s="123">
        <f t="shared" si="77"/>
        <v>0.336805555555556</v>
      </c>
      <c r="CU100" s="123"/>
      <c r="CV100" s="123"/>
      <c r="CX100" s="108">
        <f t="shared" si="78"/>
        <v>-0.0833333333333334</v>
      </c>
      <c r="CY100" s="108">
        <f t="shared" si="68"/>
        <v>-0.0170648464163823</v>
      </c>
      <c r="CZ100" s="108">
        <f t="shared" si="68"/>
        <v>-0.0170648464163823</v>
      </c>
      <c r="DA100" s="108">
        <f t="shared" si="68"/>
        <v>0</v>
      </c>
      <c r="DB100" s="108">
        <f t="shared" si="68"/>
        <v>0</v>
      </c>
      <c r="DC100" s="108"/>
      <c r="DD100" s="108"/>
      <c r="DE100" s="108"/>
      <c r="DF100" s="108"/>
      <c r="DG100" s="108"/>
      <c r="DH100" s="108"/>
      <c r="DI100" s="108"/>
      <c r="DJ100" s="108"/>
      <c r="DK100" s="108"/>
      <c r="DL100" s="108"/>
      <c r="DM100" s="108">
        <f t="shared" si="64"/>
        <v>-0.0126050420168067</v>
      </c>
      <c r="DN100" s="108">
        <f t="shared" si="64"/>
        <v>-0.00722021660649819</v>
      </c>
      <c r="DQ100" s="114">
        <f t="shared" si="37"/>
        <v>4.25</v>
      </c>
      <c r="DR100" s="124">
        <f t="shared" si="38"/>
        <v>4.1875</v>
      </c>
      <c r="FK100" s="104"/>
      <c r="FV100" s="104">
        <f t="shared" si="50"/>
        <v>2011</v>
      </c>
      <c r="FW100" s="104">
        <f t="shared" si="51"/>
        <v>2</v>
      </c>
      <c r="FX100" s="35">
        <v>40549</v>
      </c>
      <c r="FY100" s="26">
        <v>1.83</v>
      </c>
      <c r="FZ100" s="94">
        <f t="shared" si="52"/>
        <v>7.32</v>
      </c>
      <c r="GA100" s="104">
        <f t="shared" si="53"/>
        <v>2013</v>
      </c>
      <c r="GB100" s="104">
        <f t="shared" si="54"/>
        <v>35</v>
      </c>
      <c r="GC100" s="35">
        <v>41516</v>
      </c>
      <c r="GD100" s="26">
        <v>1.58</v>
      </c>
      <c r="GE100" s="94">
        <f t="shared" si="55"/>
        <v>6.32</v>
      </c>
      <c r="GF100" s="104">
        <f t="shared" si="56"/>
        <v>2013</v>
      </c>
      <c r="GG100" s="104">
        <f t="shared" si="57"/>
        <v>17</v>
      </c>
      <c r="GH100" s="35">
        <v>41386</v>
      </c>
      <c r="GI100" s="26">
        <v>3.325</v>
      </c>
      <c r="GJ100" s="94">
        <f t="shared" si="58"/>
        <v>6.65</v>
      </c>
      <c r="GK100" s="104">
        <f t="shared" si="59"/>
        <v>2015</v>
      </c>
      <c r="GL100" s="104">
        <f t="shared" si="60"/>
        <v>51</v>
      </c>
      <c r="GM100" s="35">
        <v>42353</v>
      </c>
      <c r="GN100" s="26">
        <v>1.72</v>
      </c>
      <c r="GO100" s="94">
        <f t="shared" si="61"/>
        <v>3.44</v>
      </c>
      <c r="GP100" s="59"/>
    </row>
    <row r="101" ht="16.8" spans="3:198">
      <c r="C101" s="80" t="str" cm="1">
        <f t="array" ref="C101">_xlfn.IFS(MONTH(D101)&lt;4,1,MONTH(D101)&lt;7,2,MONTH(D101)&lt;10,3,MONTH(D101)&gt;9,4)&amp;"Q"&amp;RIGHT(YEAR(D101),2)</f>
        <v>2Q16</v>
      </c>
      <c r="D101" s="81">
        <f t="shared" si="69"/>
        <v>42551</v>
      </c>
      <c r="E101" s="82">
        <f t="shared" si="65"/>
        <v>42529</v>
      </c>
      <c r="F101" s="83">
        <f t="shared" si="66"/>
        <v>0.462125</v>
      </c>
      <c r="G101" s="83">
        <f t="shared" si="66"/>
        <v>0.3675</v>
      </c>
      <c r="H101" s="81"/>
      <c r="I101" s="84">
        <v>42529</v>
      </c>
      <c r="J101" s="85">
        <v>3.93</v>
      </c>
      <c r="K101" s="85">
        <v>3.4</v>
      </c>
      <c r="L101" s="86">
        <v>3.697</v>
      </c>
      <c r="M101" s="94" cm="1">
        <f t="array" ref="M101">INDEX($BV$29:$BV$1449,MATCH($D101,$BR$29:$BR$1449,0),)</f>
        <v>2.94</v>
      </c>
      <c r="N101" s="88"/>
      <c r="O101" s="88"/>
      <c r="P101" s="88"/>
      <c r="Q101" s="89">
        <f t="shared" si="67"/>
        <v>0.257482993197279</v>
      </c>
      <c r="AH101" s="105">
        <f t="shared" si="35"/>
        <v>43032</v>
      </c>
      <c r="AI101" s="91">
        <f t="shared" si="70"/>
        <v>9.606</v>
      </c>
      <c r="AJ101" s="36">
        <f t="shared" si="71"/>
        <v>0.0424308193163321</v>
      </c>
      <c r="AK101" s="36">
        <f t="shared" si="76"/>
        <v>0.087020482064049</v>
      </c>
      <c r="AL101" s="105"/>
      <c r="AM101" s="91"/>
      <c r="AN101" s="36"/>
      <c r="AO101" s="36"/>
      <c r="AP101" s="36"/>
      <c r="AQ101" s="92" t="str" cm="1">
        <f t="array" ref="AQ101">_xlfn.IFS(MONTH(AR101)&lt;4,1,MONTH(AR101)&lt;7,2,MONTH(AR101)&lt;10,3,MONTH(AR101)&gt;9,4)&amp;"Q"&amp;RIGHT(YEAR(AR101),2)</f>
        <v>2Q20</v>
      </c>
      <c r="AR101" s="92">
        <f t="shared" si="72"/>
        <v>44012</v>
      </c>
      <c r="AS101" s="109">
        <v>44004</v>
      </c>
      <c r="AT101" s="110"/>
      <c r="AU101" s="94" cm="1">
        <f t="array" ref="AU101">INDEX($CE$29:$CE$1449,MATCH($AR101,$CA$29:$CA$1449,0),)</f>
        <v>143.15</v>
      </c>
      <c r="AV101" s="110"/>
      <c r="AW101" s="94" cm="1">
        <f t="array" ref="AW101">INDEX($CF$29:$CF$1449,MATCH($AR101,$CA$29:$CA$1449,0),)</f>
        <v>288</v>
      </c>
      <c r="AX101" s="94"/>
      <c r="AY101" s="94"/>
      <c r="AZ101" s="94"/>
      <c r="BA101" s="94"/>
      <c r="BB101" s="5"/>
      <c r="BC101" s="5"/>
      <c r="BD101" s="5"/>
      <c r="BE101" s="5"/>
      <c r="BF101" s="5"/>
      <c r="BG101" s="5"/>
      <c r="BH101" s="5"/>
      <c r="BI101" s="5"/>
      <c r="BJ101" s="5"/>
      <c r="BK101" s="5"/>
      <c r="BL101" s="5"/>
      <c r="BM101" s="5"/>
      <c r="BN101" s="5"/>
      <c r="BO101" s="5">
        <f t="shared" si="73"/>
        <v>2022</v>
      </c>
      <c r="BQ101" s="95" t="str" cm="1">
        <f t="array" ref="BQ101">_xlfn.IFS(MONTH(BR101)&lt;4,1,MONTH(BR101)&lt;7,2,MONTH(BR101)&lt;10,3,MONTH(BR101)&gt;9,4)&amp;"Q"&amp;RIGHT(YEAR(BR101),2)</f>
        <v>2Q22</v>
      </c>
      <c r="BR101" s="81">
        <f t="shared" si="74"/>
        <v>44742</v>
      </c>
      <c r="BS101" s="106">
        <f t="shared" si="75"/>
        <v>44742</v>
      </c>
      <c r="BT101" s="85"/>
      <c r="BU101" s="85"/>
      <c r="BV101" s="122">
        <v>3.35</v>
      </c>
      <c r="BW101" s="122">
        <v>6.95</v>
      </c>
      <c r="BX101" s="122">
        <v>8.69</v>
      </c>
      <c r="CA101" s="35">
        <f t="shared" si="41"/>
        <v>44742</v>
      </c>
      <c r="CB101" s="26">
        <v>77</v>
      </c>
      <c r="CC101" s="26">
        <v>57.6</v>
      </c>
      <c r="CD101" s="119">
        <v>28.8</v>
      </c>
      <c r="CE101" s="119">
        <v>133</v>
      </c>
      <c r="CF101" s="119">
        <v>268</v>
      </c>
      <c r="CG101" s="119"/>
      <c r="CH101" s="119"/>
      <c r="CI101" s="119"/>
      <c r="CJ101" s="119"/>
      <c r="CK101" s="119"/>
      <c r="CL101" s="119"/>
      <c r="CM101" s="119"/>
      <c r="CN101" s="119"/>
      <c r="CO101" s="119"/>
      <c r="CP101" s="119"/>
      <c r="CQ101" s="119">
        <v>2.3</v>
      </c>
      <c r="CR101" s="119">
        <v>2.65</v>
      </c>
      <c r="CS101" s="36"/>
      <c r="CT101" s="123">
        <f t="shared" si="77"/>
        <v>0.336805555555556</v>
      </c>
      <c r="CU101" s="123"/>
      <c r="CV101" s="123"/>
      <c r="CX101" s="108">
        <f t="shared" si="78"/>
        <v>0</v>
      </c>
      <c r="CY101" s="108">
        <f t="shared" si="68"/>
        <v>0</v>
      </c>
      <c r="CZ101" s="108">
        <f t="shared" si="68"/>
        <v>0</v>
      </c>
      <c r="DA101" s="125">
        <f t="shared" si="68"/>
        <v>-0.0220588235294118</v>
      </c>
      <c r="DB101" s="125">
        <f t="shared" si="68"/>
        <v>0</v>
      </c>
      <c r="DC101" s="125"/>
      <c r="DD101" s="125"/>
      <c r="DE101" s="125"/>
      <c r="DF101" s="125"/>
      <c r="DG101" s="125"/>
      <c r="DH101" s="125"/>
      <c r="DI101" s="125"/>
      <c r="DJ101" s="125"/>
      <c r="DK101" s="125"/>
      <c r="DL101" s="125"/>
      <c r="DM101" s="125">
        <f t="shared" si="64"/>
        <v>-0.021276595744681</v>
      </c>
      <c r="DN101" s="125">
        <f t="shared" si="64"/>
        <v>-0.0363636363636364</v>
      </c>
      <c r="DQ101" s="114">
        <f t="shared" si="37"/>
        <v>4.15625</v>
      </c>
      <c r="DR101" s="124">
        <f t="shared" si="38"/>
        <v>4.1875</v>
      </c>
      <c r="FK101" s="104"/>
      <c r="FV101" s="104">
        <f t="shared" si="50"/>
        <v>2011</v>
      </c>
      <c r="FW101" s="104">
        <f t="shared" si="51"/>
        <v>2</v>
      </c>
      <c r="FX101" s="35">
        <v>40550</v>
      </c>
      <c r="FY101" s="26">
        <v>1.82</v>
      </c>
      <c r="FZ101" s="94">
        <f t="shared" si="52"/>
        <v>7.28</v>
      </c>
      <c r="GA101" s="104">
        <f t="shared" si="53"/>
        <v>2013</v>
      </c>
      <c r="GB101" s="104">
        <f t="shared" si="54"/>
        <v>40</v>
      </c>
      <c r="GC101" s="35">
        <v>41548</v>
      </c>
      <c r="GD101" s="26">
        <v>1.72</v>
      </c>
      <c r="GE101" s="94">
        <f t="shared" si="55"/>
        <v>6.88</v>
      </c>
      <c r="GF101" s="104">
        <f t="shared" si="56"/>
        <v>2013</v>
      </c>
      <c r="GG101" s="104">
        <f t="shared" si="57"/>
        <v>17</v>
      </c>
      <c r="GH101" s="35">
        <v>41387</v>
      </c>
      <c r="GI101" s="26">
        <v>3.28</v>
      </c>
      <c r="GJ101" s="94">
        <f t="shared" si="58"/>
        <v>6.56</v>
      </c>
      <c r="GK101" s="104">
        <f t="shared" si="59"/>
        <v>2015</v>
      </c>
      <c r="GL101" s="104">
        <f t="shared" si="60"/>
        <v>53</v>
      </c>
      <c r="GM101" s="35">
        <v>42369</v>
      </c>
      <c r="GN101" s="26">
        <v>1.72</v>
      </c>
      <c r="GO101" s="94">
        <f t="shared" si="61"/>
        <v>3.44</v>
      </c>
      <c r="GP101" s="59"/>
    </row>
    <row r="102" ht="16.8" spans="3:198">
      <c r="C102" s="80" t="str" cm="1">
        <f t="array" ref="C102">_xlfn.IFS(MONTH(D102)&lt;4,1,MONTH(D102)&lt;7,2,MONTH(D102)&lt;10,3,MONTH(D102)&gt;9,4)&amp;"Q"&amp;RIGHT(YEAR(D102),2)</f>
        <v>2Q16</v>
      </c>
      <c r="D102" s="81">
        <f t="shared" si="69"/>
        <v>42551</v>
      </c>
      <c r="E102" s="82">
        <f t="shared" si="65"/>
        <v>42534</v>
      </c>
      <c r="F102" s="83">
        <f t="shared" si="66"/>
        <v>0.4585</v>
      </c>
      <c r="G102" s="83">
        <f t="shared" si="66"/>
        <v>0.3675</v>
      </c>
      <c r="H102" s="81"/>
      <c r="I102" s="84">
        <v>42534</v>
      </c>
      <c r="J102" s="85">
        <v>3.93</v>
      </c>
      <c r="K102" s="85">
        <v>3.37</v>
      </c>
      <c r="L102" s="86">
        <v>3.668</v>
      </c>
      <c r="M102" s="94" cm="1">
        <f t="array" ref="M102">INDEX($BV$29:$BV$1449,MATCH($D102,$BR$29:$BR$1449,0),)</f>
        <v>2.94</v>
      </c>
      <c r="N102" s="88"/>
      <c r="O102" s="88"/>
      <c r="P102" s="88"/>
      <c r="Q102" s="89">
        <f t="shared" si="67"/>
        <v>0.247619047619048</v>
      </c>
      <c r="AH102" s="105">
        <f t="shared" si="35"/>
        <v>43040</v>
      </c>
      <c r="AI102" s="91">
        <f t="shared" si="70"/>
        <v>9.576</v>
      </c>
      <c r="AJ102" s="36">
        <f t="shared" si="71"/>
        <v>-0.00312304809494057</v>
      </c>
      <c r="AK102" s="36">
        <f t="shared" si="76"/>
        <v>0.0391752577319588</v>
      </c>
      <c r="AL102" s="105"/>
      <c r="AM102" s="91"/>
      <c r="AN102" s="36"/>
      <c r="AO102" s="36"/>
      <c r="AP102" s="36"/>
      <c r="AQ102" s="92" t="str" cm="1">
        <f t="array" ref="AQ102">_xlfn.IFS(MONTH(AR102)&lt;4,1,MONTH(AR102)&lt;7,2,MONTH(AR102)&lt;10,3,MONTH(AR102)&gt;9,4)&amp;"Q"&amp;RIGHT(YEAR(AR102),2)</f>
        <v>2Q20</v>
      </c>
      <c r="AR102" s="92">
        <f t="shared" si="72"/>
        <v>44012</v>
      </c>
      <c r="AS102" s="109">
        <v>44011</v>
      </c>
      <c r="AT102" s="110"/>
      <c r="AU102" s="94" cm="1">
        <f t="array" ref="AU102">INDEX($CE$29:$CE$1449,MATCH($AR102,$CA$29:$CA$1449,0),)</f>
        <v>143.15</v>
      </c>
      <c r="AV102" s="110"/>
      <c r="AW102" s="94" cm="1">
        <f t="array" ref="AW102">INDEX($CF$29:$CF$1449,MATCH($AR102,$CA$29:$CA$1449,0),)</f>
        <v>288</v>
      </c>
      <c r="AX102" s="94"/>
      <c r="AY102" s="94"/>
      <c r="AZ102" s="94"/>
      <c r="BA102" s="94"/>
      <c r="BB102" s="5"/>
      <c r="BC102" s="5"/>
      <c r="BD102" s="5"/>
      <c r="BE102" s="5"/>
      <c r="BF102" s="5"/>
      <c r="BG102" s="5"/>
      <c r="BH102" s="5"/>
      <c r="BI102" s="5"/>
      <c r="BJ102" s="5"/>
      <c r="BK102" s="5"/>
      <c r="BL102" s="5"/>
      <c r="BM102" s="5"/>
      <c r="BN102" s="5"/>
      <c r="BO102" s="5">
        <f t="shared" si="73"/>
        <v>2022</v>
      </c>
      <c r="BQ102" s="95" t="str" cm="1">
        <f t="array" ref="BQ102">_xlfn.IFS(MONTH(BR102)&lt;4,1,MONTH(BR102)&lt;7,2,MONTH(BR102)&lt;10,3,MONTH(BR102)&gt;9,4)&amp;"Q"&amp;RIGHT(YEAR(BR102),2)</f>
        <v>3Q22</v>
      </c>
      <c r="BR102" s="81">
        <f t="shared" si="74"/>
        <v>44773</v>
      </c>
      <c r="BS102" s="106">
        <f t="shared" si="75"/>
        <v>44773</v>
      </c>
      <c r="BV102" s="122">
        <v>2.88</v>
      </c>
      <c r="BW102" s="122">
        <v>5.85</v>
      </c>
      <c r="BX102" s="122">
        <v>6.99</v>
      </c>
      <c r="CA102" s="35">
        <f t="shared" si="41"/>
        <v>44773</v>
      </c>
      <c r="CB102" s="26">
        <v>63.44</v>
      </c>
      <c r="CC102" s="26">
        <v>48.8</v>
      </c>
      <c r="CD102" s="119">
        <v>25</v>
      </c>
      <c r="CE102" s="119">
        <v>130</v>
      </c>
      <c r="CF102" s="119">
        <v>255</v>
      </c>
      <c r="CG102" s="119"/>
      <c r="CH102" s="119"/>
      <c r="CI102" s="119"/>
      <c r="CJ102" s="119"/>
      <c r="CK102" s="119"/>
      <c r="CL102" s="119"/>
      <c r="CM102" s="119"/>
      <c r="CN102" s="119"/>
      <c r="CO102" s="119"/>
      <c r="CP102" s="119"/>
      <c r="CQ102" s="119">
        <v>2.12</v>
      </c>
      <c r="CR102" s="119">
        <v>2.38</v>
      </c>
      <c r="CS102" s="36"/>
      <c r="CT102" s="123">
        <f t="shared" si="77"/>
        <v>0.3</v>
      </c>
      <c r="CU102" s="123"/>
      <c r="CV102" s="123"/>
      <c r="CX102" s="108">
        <f t="shared" si="78"/>
        <v>-0.176103896103896</v>
      </c>
      <c r="CY102" s="108">
        <f t="shared" si="68"/>
        <v>-0.152777777777778</v>
      </c>
      <c r="CZ102" s="108">
        <f t="shared" si="68"/>
        <v>-0.131944444444444</v>
      </c>
      <c r="DA102" s="125">
        <f t="shared" si="68"/>
        <v>-0.0225563909774437</v>
      </c>
      <c r="DB102" s="125">
        <f t="shared" si="68"/>
        <v>-0.0485074626865671</v>
      </c>
      <c r="DC102" s="125"/>
      <c r="DD102" s="125"/>
      <c r="DE102" s="125"/>
      <c r="DF102" s="125"/>
      <c r="DG102" s="125"/>
      <c r="DH102" s="125"/>
      <c r="DI102" s="125"/>
      <c r="DJ102" s="125"/>
      <c r="DK102" s="125"/>
      <c r="DL102" s="125"/>
      <c r="DM102" s="125">
        <f t="shared" si="64"/>
        <v>-0.0782608695652173</v>
      </c>
      <c r="DN102" s="108">
        <f t="shared" si="64"/>
        <v>-0.10188679245283</v>
      </c>
      <c r="DQ102" s="114">
        <f t="shared" si="37"/>
        <v>4.0625</v>
      </c>
      <c r="DR102" s="124">
        <f t="shared" si="38"/>
        <v>3.984375</v>
      </c>
      <c r="FK102" s="104"/>
      <c r="FV102" s="104">
        <f t="shared" si="50"/>
        <v>2011</v>
      </c>
      <c r="FW102" s="104">
        <f t="shared" si="51"/>
        <v>3</v>
      </c>
      <c r="FX102" s="35">
        <v>40553</v>
      </c>
      <c r="FY102" s="26">
        <v>1.82</v>
      </c>
      <c r="FZ102" s="94">
        <f t="shared" si="52"/>
        <v>7.28</v>
      </c>
      <c r="GA102" s="104">
        <f t="shared" si="53"/>
        <v>2013</v>
      </c>
      <c r="GB102" s="104">
        <f t="shared" si="54"/>
        <v>42</v>
      </c>
      <c r="GC102" s="35">
        <v>41562</v>
      </c>
      <c r="GD102" s="26">
        <v>1.84</v>
      </c>
      <c r="GE102" s="94">
        <f t="shared" si="55"/>
        <v>7.36</v>
      </c>
      <c r="GF102" s="104">
        <f t="shared" si="56"/>
        <v>2013</v>
      </c>
      <c r="GG102" s="104">
        <f t="shared" si="57"/>
        <v>17</v>
      </c>
      <c r="GH102" s="35">
        <v>41388</v>
      </c>
      <c r="GI102" s="26">
        <v>3.2</v>
      </c>
      <c r="GJ102" s="94">
        <f t="shared" si="58"/>
        <v>6.4</v>
      </c>
      <c r="GK102" s="104">
        <f t="shared" si="59"/>
        <v>2016</v>
      </c>
      <c r="GL102" s="104">
        <f t="shared" si="60"/>
        <v>3</v>
      </c>
      <c r="GM102" s="35">
        <v>42384</v>
      </c>
      <c r="GN102" s="26">
        <v>1.59</v>
      </c>
      <c r="GO102" s="94">
        <f t="shared" si="61"/>
        <v>3.18</v>
      </c>
      <c r="GP102" s="59"/>
    </row>
    <row r="103" ht="16.8" spans="3:198">
      <c r="C103" s="80" t="str" cm="1">
        <f t="array" ref="C103">_xlfn.IFS(MONTH(D103)&lt;4,1,MONTH(D103)&lt;7,2,MONTH(D103)&lt;10,3,MONTH(D103)&gt;9,4)&amp;"Q"&amp;RIGHT(YEAR(D103),2)</f>
        <v>2Q16</v>
      </c>
      <c r="D103" s="81">
        <f t="shared" si="69"/>
        <v>42551</v>
      </c>
      <c r="E103" s="82">
        <f t="shared" si="65"/>
        <v>42535</v>
      </c>
      <c r="F103" s="83">
        <f t="shared" si="66"/>
        <v>0.4585</v>
      </c>
      <c r="G103" s="83">
        <f t="shared" si="66"/>
        <v>0.3675</v>
      </c>
      <c r="H103" s="81"/>
      <c r="I103" s="84">
        <v>42535</v>
      </c>
      <c r="J103" s="85">
        <v>3.93</v>
      </c>
      <c r="K103" s="85">
        <v>3.37</v>
      </c>
      <c r="L103" s="86">
        <v>3.668</v>
      </c>
      <c r="M103" s="94" cm="1">
        <f t="array" ref="M103">INDEX($BV$29:$BV$1449,MATCH($D103,$BR$29:$BR$1449,0),)</f>
        <v>2.94</v>
      </c>
      <c r="N103" s="88"/>
      <c r="O103" s="88"/>
      <c r="P103" s="88"/>
      <c r="Q103" s="89">
        <f t="shared" si="67"/>
        <v>0.247619047619048</v>
      </c>
      <c r="AH103" s="105">
        <f t="shared" si="35"/>
        <v>43048</v>
      </c>
      <c r="AI103" s="91">
        <f t="shared" si="70"/>
        <v>9.58</v>
      </c>
      <c r="AJ103" s="36">
        <f t="shared" si="71"/>
        <v>0.00041771094402665</v>
      </c>
      <c r="AK103" s="36">
        <f t="shared" si="76"/>
        <v>-0.00270664168228185</v>
      </c>
      <c r="AL103" s="105"/>
      <c r="AM103" s="91"/>
      <c r="AN103" s="36"/>
      <c r="AO103" s="36"/>
      <c r="AP103" s="36"/>
      <c r="AQ103" s="92" t="str" cm="1">
        <f t="array" ref="AQ103">_xlfn.IFS(MONTH(AR103)&lt;4,1,MONTH(AR103)&lt;7,2,MONTH(AR103)&lt;10,3,MONTH(AR103)&gt;9,4)&amp;"Q"&amp;RIGHT(YEAR(AR103),2)</f>
        <v>3Q20</v>
      </c>
      <c r="AR103" s="92">
        <f t="shared" si="72"/>
        <v>44043</v>
      </c>
      <c r="AS103" s="109">
        <v>44018</v>
      </c>
      <c r="AT103" s="110"/>
      <c r="AU103" s="94" cm="1">
        <f t="array" ref="AU103">INDEX($CE$29:$CE$1449,MATCH($AR103,$CA$29:$CA$1449,0),)</f>
        <v>134</v>
      </c>
      <c r="AV103" s="110"/>
      <c r="AW103" s="94" cm="1">
        <f t="array" ref="AW103">INDEX($CF$29:$CF$1449,MATCH($AR103,$CA$29:$CA$1449,0),)</f>
        <v>270</v>
      </c>
      <c r="AX103" s="94"/>
      <c r="AY103" s="94"/>
      <c r="AZ103" s="94"/>
      <c r="BA103" s="94"/>
      <c r="BB103" s="5"/>
      <c r="BC103" s="5"/>
      <c r="BD103" s="5"/>
      <c r="BE103" s="5"/>
      <c r="BF103" s="5"/>
      <c r="BG103" s="5"/>
      <c r="BH103" s="5"/>
      <c r="BI103" s="5"/>
      <c r="BJ103" s="5"/>
      <c r="BK103" s="5"/>
      <c r="BL103" s="5"/>
      <c r="BM103" s="5"/>
      <c r="BN103" s="5"/>
      <c r="BO103" s="5">
        <f t="shared" si="73"/>
        <v>2022</v>
      </c>
      <c r="BQ103" s="95" t="str" cm="1">
        <f t="array" ref="BQ103">_xlfn.IFS(MONTH(BR103)&lt;4,1,MONTH(BR103)&lt;7,2,MONTH(BR103)&lt;10,3,MONTH(BR103)&gt;9,4)&amp;"Q"&amp;RIGHT(YEAR(BR103),2)</f>
        <v>3Q22</v>
      </c>
      <c r="BR103" s="81">
        <f t="shared" si="74"/>
        <v>44804</v>
      </c>
      <c r="BS103" s="106">
        <f t="shared" si="75"/>
        <v>44804</v>
      </c>
      <c r="BV103" s="122">
        <v>2.85</v>
      </c>
      <c r="BW103" s="122">
        <v>5.83</v>
      </c>
      <c r="BX103" s="122">
        <v>6.96</v>
      </c>
      <c r="CA103" s="35">
        <f t="shared" si="41"/>
        <v>44804</v>
      </c>
      <c r="CB103" s="26">
        <v>63.18</v>
      </c>
      <c r="CC103" s="26">
        <v>48.6</v>
      </c>
      <c r="CD103" s="119">
        <v>24.8</v>
      </c>
      <c r="CE103" s="119">
        <v>115</v>
      </c>
      <c r="CF103" s="119">
        <v>224</v>
      </c>
      <c r="CG103" s="119"/>
      <c r="CH103" s="119"/>
      <c r="CI103" s="119"/>
      <c r="CJ103" s="119"/>
      <c r="CK103" s="119"/>
      <c r="CL103" s="119"/>
      <c r="CM103" s="119"/>
      <c r="CN103" s="119"/>
      <c r="CO103" s="119"/>
      <c r="CP103" s="119"/>
      <c r="CQ103" s="119">
        <v>2</v>
      </c>
      <c r="CR103" s="119">
        <v>2.22</v>
      </c>
      <c r="CS103" s="36"/>
      <c r="CT103" s="123">
        <f t="shared" si="77"/>
        <v>0.3</v>
      </c>
      <c r="CU103" s="123"/>
      <c r="CV103" s="123"/>
      <c r="CX103" s="108">
        <f t="shared" si="78"/>
        <v>-0.00409836065573765</v>
      </c>
      <c r="CY103" s="108">
        <f t="shared" si="68"/>
        <v>-0.00409836065573765</v>
      </c>
      <c r="CZ103" s="108">
        <f t="shared" si="68"/>
        <v>-0.00800000000000001</v>
      </c>
      <c r="DA103" s="125">
        <f t="shared" si="68"/>
        <v>-0.115384615384615</v>
      </c>
      <c r="DB103" s="125">
        <f t="shared" si="68"/>
        <v>-0.12156862745098</v>
      </c>
      <c r="DC103" s="125"/>
      <c r="DD103" s="125"/>
      <c r="DE103" s="125"/>
      <c r="DF103" s="125"/>
      <c r="DG103" s="125"/>
      <c r="DH103" s="125"/>
      <c r="DI103" s="125"/>
      <c r="DJ103" s="125"/>
      <c r="DK103" s="125"/>
      <c r="DL103" s="125"/>
      <c r="DM103" s="125">
        <f t="shared" si="64"/>
        <v>-0.0566037735849058</v>
      </c>
      <c r="DN103" s="125">
        <f t="shared" si="64"/>
        <v>-0.0672268907563024</v>
      </c>
      <c r="DQ103" s="114">
        <f t="shared" si="37"/>
        <v>3.59375</v>
      </c>
      <c r="DR103" s="124">
        <f t="shared" si="38"/>
        <v>3.5</v>
      </c>
      <c r="FK103" s="104"/>
      <c r="FV103" s="104">
        <f t="shared" si="50"/>
        <v>2011</v>
      </c>
      <c r="FW103" s="104">
        <f t="shared" si="51"/>
        <v>3</v>
      </c>
      <c r="FX103" s="35">
        <v>40554</v>
      </c>
      <c r="FY103" s="26">
        <v>1.82</v>
      </c>
      <c r="FZ103" s="94">
        <f t="shared" si="52"/>
        <v>7.28</v>
      </c>
      <c r="GA103" s="104">
        <f t="shared" si="53"/>
        <v>2013</v>
      </c>
      <c r="GB103" s="104">
        <f t="shared" si="54"/>
        <v>44</v>
      </c>
      <c r="GC103" s="35">
        <v>41578</v>
      </c>
      <c r="GD103" s="26">
        <v>1.84</v>
      </c>
      <c r="GE103" s="94">
        <f t="shared" si="55"/>
        <v>7.36</v>
      </c>
      <c r="GF103" s="104">
        <f t="shared" si="56"/>
        <v>2013</v>
      </c>
      <c r="GG103" s="104">
        <f t="shared" si="57"/>
        <v>17</v>
      </c>
      <c r="GH103" s="35">
        <v>41389</v>
      </c>
      <c r="GI103" s="26">
        <v>3.19</v>
      </c>
      <c r="GJ103" s="94">
        <f t="shared" si="58"/>
        <v>6.38</v>
      </c>
      <c r="GK103" s="104">
        <f t="shared" si="59"/>
        <v>2016</v>
      </c>
      <c r="GL103" s="104">
        <f t="shared" si="60"/>
        <v>5</v>
      </c>
      <c r="GM103" s="35">
        <v>42397</v>
      </c>
      <c r="GN103" s="26">
        <v>1.59</v>
      </c>
      <c r="GO103" s="94">
        <f t="shared" si="61"/>
        <v>3.18</v>
      </c>
      <c r="GP103" s="59"/>
    </row>
    <row r="104" ht="16.8" spans="3:198">
      <c r="C104" s="80" t="str" cm="1">
        <f t="array" ref="C104">_xlfn.IFS(MONTH(D104)&lt;4,1,MONTH(D104)&lt;7,2,MONTH(D104)&lt;10,3,MONTH(D104)&gt;9,4)&amp;"Q"&amp;RIGHT(YEAR(D104),2)</f>
        <v>2Q16</v>
      </c>
      <c r="D104" s="81">
        <f t="shared" si="69"/>
        <v>42551</v>
      </c>
      <c r="E104" s="82">
        <f t="shared" si="65"/>
        <v>42536</v>
      </c>
      <c r="F104" s="83">
        <f t="shared" si="66"/>
        <v>0.455125</v>
      </c>
      <c r="G104" s="83">
        <f t="shared" si="66"/>
        <v>0.3675</v>
      </c>
      <c r="H104" s="81"/>
      <c r="I104" s="84">
        <v>42536</v>
      </c>
      <c r="J104" s="85">
        <v>3.93</v>
      </c>
      <c r="K104" s="85">
        <v>3.35</v>
      </c>
      <c r="L104" s="86">
        <v>3.641</v>
      </c>
      <c r="M104" s="94" cm="1">
        <f t="array" ref="M104">INDEX($BV$29:$BV$1449,MATCH($D104,$BR$29:$BR$1449,0),)</f>
        <v>2.94</v>
      </c>
      <c r="N104" s="88"/>
      <c r="O104" s="88"/>
      <c r="P104" s="88"/>
      <c r="Q104" s="89">
        <f t="shared" si="67"/>
        <v>0.23843537414966</v>
      </c>
      <c r="AH104" s="105">
        <f t="shared" ref="AH104:AH167" si="79">WORKDAY(AH103,6)</f>
        <v>43056</v>
      </c>
      <c r="AI104" s="91">
        <f t="shared" si="70"/>
        <v>9.499</v>
      </c>
      <c r="AJ104" s="36">
        <f t="shared" si="71"/>
        <v>-0.00845511482254691</v>
      </c>
      <c r="AK104" s="36">
        <f t="shared" si="76"/>
        <v>-0.00804093567251463</v>
      </c>
      <c r="AL104" s="105"/>
      <c r="AM104" s="91"/>
      <c r="AN104" s="36"/>
      <c r="AO104" s="36"/>
      <c r="AP104" s="36"/>
      <c r="AQ104" s="92" t="str" cm="1">
        <f t="array" ref="AQ104">_xlfn.IFS(MONTH(AR104)&lt;4,1,MONTH(AR104)&lt;7,2,MONTH(AR104)&lt;10,3,MONTH(AR104)&gt;9,4)&amp;"Q"&amp;RIGHT(YEAR(AR104),2)</f>
        <v>3Q20</v>
      </c>
      <c r="AR104" s="92">
        <f t="shared" si="72"/>
        <v>44043</v>
      </c>
      <c r="AS104" s="109">
        <v>44025</v>
      </c>
      <c r="AT104" s="110"/>
      <c r="AU104" s="94" cm="1">
        <f t="array" ref="AU104">INDEX($CE$29:$CE$1449,MATCH($AR104,$CA$29:$CA$1449,0),)</f>
        <v>134</v>
      </c>
      <c r="AV104" s="110"/>
      <c r="AW104" s="94" cm="1">
        <f t="array" ref="AW104">INDEX($CF$29:$CF$1449,MATCH($AR104,$CA$29:$CA$1449,0),)</f>
        <v>270</v>
      </c>
      <c r="AX104" s="94"/>
      <c r="AY104" s="94"/>
      <c r="AZ104" s="94"/>
      <c r="BA104" s="94"/>
      <c r="BB104" s="5"/>
      <c r="BC104" s="5"/>
      <c r="BD104" s="5"/>
      <c r="BE104" s="5"/>
      <c r="BF104" s="5"/>
      <c r="BG104" s="5"/>
      <c r="BH104" s="5"/>
      <c r="BI104" s="5"/>
      <c r="BJ104" s="5"/>
      <c r="BK104" s="5"/>
      <c r="BL104" s="5"/>
      <c r="BM104" s="5"/>
      <c r="BN104" s="5"/>
      <c r="BO104" s="5">
        <f t="shared" si="73"/>
        <v>2022</v>
      </c>
      <c r="BQ104" s="95" t="str" cm="1">
        <f t="array" ref="BQ104">_xlfn.IFS(MONTH(BR104)&lt;4,1,MONTH(BR104)&lt;7,2,MONTH(BR104)&lt;10,3,MONTH(BR104)&gt;9,4)&amp;"Q"&amp;RIGHT(YEAR(BR104),2)</f>
        <v>3Q22</v>
      </c>
      <c r="BR104" s="81">
        <f t="shared" si="74"/>
        <v>44834</v>
      </c>
      <c r="BS104" s="106">
        <f t="shared" si="75"/>
        <v>44834</v>
      </c>
      <c r="BV104" s="122">
        <v>2.85</v>
      </c>
      <c r="BW104" s="122">
        <v>5.83</v>
      </c>
      <c r="BX104" s="122">
        <v>6.96</v>
      </c>
      <c r="CA104" s="35">
        <f t="shared" si="41"/>
        <v>44834</v>
      </c>
      <c r="CB104" s="26">
        <v>63.18</v>
      </c>
      <c r="CC104" s="26">
        <v>48.6</v>
      </c>
      <c r="CD104" s="119">
        <v>24.8</v>
      </c>
      <c r="CE104" s="119">
        <v>103</v>
      </c>
      <c r="CF104" s="119">
        <v>205</v>
      </c>
      <c r="CG104" s="119"/>
      <c r="CH104" s="119"/>
      <c r="CI104" s="119"/>
      <c r="CJ104" s="119"/>
      <c r="CK104" s="119"/>
      <c r="CL104" s="119"/>
      <c r="CM104" s="119"/>
      <c r="CN104" s="119"/>
      <c r="CO104" s="119"/>
      <c r="CP104" s="119"/>
      <c r="CQ104" s="119">
        <v>1.86</v>
      </c>
      <c r="CR104" s="119">
        <v>2.05</v>
      </c>
      <c r="CS104" s="36"/>
      <c r="CT104" s="123">
        <f t="shared" si="77"/>
        <v>0.3</v>
      </c>
      <c r="CU104" s="123"/>
      <c r="CV104" s="123"/>
      <c r="CX104" s="108">
        <f t="shared" si="78"/>
        <v>0</v>
      </c>
      <c r="CY104" s="108">
        <f t="shared" si="68"/>
        <v>0</v>
      </c>
      <c r="CZ104" s="108">
        <f t="shared" si="68"/>
        <v>0</v>
      </c>
      <c r="DA104" s="125">
        <f t="shared" si="68"/>
        <v>-0.104347826086956</v>
      </c>
      <c r="DB104" s="125">
        <f t="shared" si="68"/>
        <v>-0.0848214285714286</v>
      </c>
      <c r="DC104" s="125"/>
      <c r="DD104" s="125"/>
      <c r="DE104" s="125"/>
      <c r="DF104" s="125"/>
      <c r="DG104" s="125"/>
      <c r="DH104" s="125"/>
      <c r="DI104" s="125"/>
      <c r="DJ104" s="125"/>
      <c r="DK104" s="125"/>
      <c r="DL104" s="125"/>
      <c r="DM104" s="125">
        <f t="shared" si="64"/>
        <v>-0.07</v>
      </c>
      <c r="DN104" s="125">
        <f t="shared" si="64"/>
        <v>-0.0765765765765767</v>
      </c>
      <c r="DQ104" s="114">
        <f t="shared" si="37"/>
        <v>3.21875</v>
      </c>
      <c r="DR104" s="124">
        <f t="shared" si="38"/>
        <v>3.203125</v>
      </c>
      <c r="FK104" s="104"/>
      <c r="FV104" s="104">
        <f t="shared" si="50"/>
        <v>2011</v>
      </c>
      <c r="FW104" s="104">
        <f t="shared" si="51"/>
        <v>3</v>
      </c>
      <c r="FX104" s="35">
        <v>40555</v>
      </c>
      <c r="FY104" s="26">
        <v>1.81</v>
      </c>
      <c r="FZ104" s="94">
        <f t="shared" si="52"/>
        <v>7.24</v>
      </c>
      <c r="GA104" s="104">
        <f t="shared" si="53"/>
        <v>2013</v>
      </c>
      <c r="GB104" s="104">
        <f t="shared" si="54"/>
        <v>46</v>
      </c>
      <c r="GC104" s="35">
        <v>41592</v>
      </c>
      <c r="GD104" s="26">
        <v>1.84</v>
      </c>
      <c r="GE104" s="94">
        <f t="shared" si="55"/>
        <v>7.36</v>
      </c>
      <c r="GF104" s="104">
        <f t="shared" si="56"/>
        <v>2013</v>
      </c>
      <c r="GG104" s="104">
        <f t="shared" si="57"/>
        <v>17</v>
      </c>
      <c r="GH104" s="35">
        <v>41390</v>
      </c>
      <c r="GI104" s="26">
        <v>3.18</v>
      </c>
      <c r="GJ104" s="94">
        <f t="shared" si="58"/>
        <v>6.36</v>
      </c>
      <c r="GK104" s="104">
        <f t="shared" si="59"/>
        <v>2016</v>
      </c>
      <c r="GL104" s="104">
        <f t="shared" si="60"/>
        <v>8</v>
      </c>
      <c r="GM104" s="35">
        <v>42415</v>
      </c>
      <c r="GN104" s="26">
        <v>1.47</v>
      </c>
      <c r="GO104" s="94">
        <f t="shared" si="61"/>
        <v>2.94</v>
      </c>
      <c r="GP104" s="59"/>
    </row>
    <row r="105" ht="16.8" spans="3:198">
      <c r="C105" s="80" t="str" cm="1">
        <f t="array" ref="C105">_xlfn.IFS(MONTH(D105)&lt;4,1,MONTH(D105)&lt;7,2,MONTH(D105)&lt;10,3,MONTH(D105)&gt;9,4)&amp;"Q"&amp;RIGHT(YEAR(D105),2)</f>
        <v>2Q16</v>
      </c>
      <c r="D105" s="81">
        <f t="shared" si="69"/>
        <v>42551</v>
      </c>
      <c r="E105" s="82">
        <f t="shared" si="65"/>
        <v>42537</v>
      </c>
      <c r="F105" s="83">
        <f t="shared" si="66"/>
        <v>0.453375</v>
      </c>
      <c r="G105" s="83">
        <f t="shared" si="66"/>
        <v>0.3675</v>
      </c>
      <c r="H105" s="81"/>
      <c r="I105" s="84">
        <v>42537</v>
      </c>
      <c r="J105" s="85">
        <v>3.95</v>
      </c>
      <c r="K105" s="85">
        <v>3.3</v>
      </c>
      <c r="L105" s="86">
        <v>3.627</v>
      </c>
      <c r="M105" s="94" cm="1">
        <f t="array" ref="M105">INDEX($BV$29:$BV$1449,MATCH($D105,$BR$29:$BR$1449,0),)</f>
        <v>2.94</v>
      </c>
      <c r="N105" s="88"/>
      <c r="O105" s="88"/>
      <c r="P105" s="88"/>
      <c r="Q105" s="89">
        <f t="shared" si="67"/>
        <v>0.233673469387755</v>
      </c>
      <c r="AH105" s="105">
        <f t="shared" si="79"/>
        <v>43066</v>
      </c>
      <c r="AI105" s="91">
        <f t="shared" si="70"/>
        <v>9.595</v>
      </c>
      <c r="AJ105" s="36">
        <f t="shared" si="71"/>
        <v>0.0101063269817876</v>
      </c>
      <c r="AK105" s="36">
        <f t="shared" si="76"/>
        <v>0.00156576200417535</v>
      </c>
      <c r="AL105" s="105"/>
      <c r="AM105" s="91"/>
      <c r="AN105" s="36"/>
      <c r="AO105" s="36"/>
      <c r="AP105" s="36"/>
      <c r="AQ105" s="92" t="str" cm="1">
        <f t="array" ref="AQ105">_xlfn.IFS(MONTH(AR105)&lt;4,1,MONTH(AR105)&lt;7,2,MONTH(AR105)&lt;10,3,MONTH(AR105)&gt;9,4)&amp;"Q"&amp;RIGHT(YEAR(AR105),2)</f>
        <v>3Q20</v>
      </c>
      <c r="AR105" s="92">
        <f t="shared" si="72"/>
        <v>44043</v>
      </c>
      <c r="AS105" s="109">
        <v>44032</v>
      </c>
      <c r="AT105" s="110"/>
      <c r="AU105" s="94" cm="1">
        <f t="array" ref="AU105">INDEX($CE$29:$CE$1449,MATCH($AR105,$CA$29:$CA$1449,0),)</f>
        <v>134</v>
      </c>
      <c r="AV105" s="110"/>
      <c r="AW105" s="94" cm="1">
        <f t="array" ref="AW105">INDEX($CF$29:$CF$1449,MATCH($AR105,$CA$29:$CA$1449,0),)</f>
        <v>270</v>
      </c>
      <c r="AX105" s="94"/>
      <c r="AY105" s="94"/>
      <c r="AZ105" s="94"/>
      <c r="BA105" s="94"/>
      <c r="BB105" s="5"/>
      <c r="BC105" s="5"/>
      <c r="BD105" s="5"/>
      <c r="BE105" s="5"/>
      <c r="BF105" s="5"/>
      <c r="BG105" s="5"/>
      <c r="BH105" s="5"/>
      <c r="BI105" s="5"/>
      <c r="BJ105" s="5"/>
      <c r="BK105" s="5"/>
      <c r="BL105" s="5"/>
      <c r="BM105" s="5"/>
      <c r="BN105" s="5"/>
      <c r="BO105" s="5">
        <f t="shared" si="73"/>
        <v>2022</v>
      </c>
      <c r="BQ105" s="95" t="str" cm="1">
        <f t="array" ref="BQ105">_xlfn.IFS(MONTH(BR105)&lt;4,1,MONTH(BR105)&lt;7,2,MONTH(BR105)&lt;10,3,MONTH(BR105)&gt;9,4)&amp;"Q"&amp;RIGHT(YEAR(BR105),2)</f>
        <v>4Q22</v>
      </c>
      <c r="BR105" s="81">
        <f t="shared" si="74"/>
        <v>44865</v>
      </c>
      <c r="BS105" s="106">
        <f t="shared" si="75"/>
        <v>44865</v>
      </c>
      <c r="BV105" s="122">
        <v>2.21</v>
      </c>
      <c r="BW105" s="122">
        <v>4.55</v>
      </c>
      <c r="BX105" s="122">
        <v>5.38</v>
      </c>
      <c r="CA105" s="35">
        <f t="shared" si="41"/>
        <v>44865</v>
      </c>
      <c r="CB105" s="26">
        <v>48</v>
      </c>
      <c r="CC105" s="26">
        <v>38.4</v>
      </c>
      <c r="CD105" s="119">
        <v>19.7</v>
      </c>
      <c r="CE105" s="119">
        <v>95</v>
      </c>
      <c r="CF105" s="119">
        <v>186</v>
      </c>
      <c r="CG105" s="119"/>
      <c r="CH105" s="119"/>
      <c r="CI105" s="119"/>
      <c r="CJ105" s="119"/>
      <c r="CK105" s="119"/>
      <c r="CL105" s="119"/>
      <c r="CM105" s="119"/>
      <c r="CN105" s="119"/>
      <c r="CO105" s="119"/>
      <c r="CP105" s="119"/>
      <c r="CQ105" s="119">
        <v>1.65</v>
      </c>
      <c r="CR105" s="119">
        <v>1.85</v>
      </c>
      <c r="CS105" s="36"/>
      <c r="CT105" s="123">
        <f t="shared" si="77"/>
        <v>0.25</v>
      </c>
      <c r="CU105" s="123"/>
      <c r="CV105" s="123"/>
      <c r="CX105" s="108">
        <f t="shared" si="78"/>
        <v>-0.240265906932574</v>
      </c>
      <c r="CY105" s="108">
        <f t="shared" si="68"/>
        <v>-0.209876543209877</v>
      </c>
      <c r="CZ105" s="108">
        <f t="shared" si="68"/>
        <v>-0.205645161290323</v>
      </c>
      <c r="DA105" s="125">
        <f t="shared" si="68"/>
        <v>-0.0776699029126213</v>
      </c>
      <c r="DB105" s="125">
        <f t="shared" si="68"/>
        <v>-0.0926829268292683</v>
      </c>
      <c r="DC105" s="125"/>
      <c r="DD105" s="125"/>
      <c r="DE105" s="125"/>
      <c r="DF105" s="125"/>
      <c r="DG105" s="125"/>
      <c r="DH105" s="125"/>
      <c r="DI105" s="125"/>
      <c r="DJ105" s="125"/>
      <c r="DK105" s="125"/>
      <c r="DL105" s="125"/>
      <c r="DM105" s="125">
        <f t="shared" si="64"/>
        <v>-0.112903225806452</v>
      </c>
      <c r="DN105" s="125">
        <f t="shared" si="64"/>
        <v>-0.097560975609756</v>
      </c>
      <c r="DQ105" s="114">
        <f t="shared" si="37"/>
        <v>2.96875</v>
      </c>
      <c r="DR105" s="124">
        <f t="shared" si="38"/>
        <v>2.90625</v>
      </c>
      <c r="FK105" s="104"/>
      <c r="FV105" s="104">
        <f t="shared" si="50"/>
        <v>2011</v>
      </c>
      <c r="FW105" s="104">
        <f t="shared" si="51"/>
        <v>3</v>
      </c>
      <c r="FX105" s="35">
        <v>40556</v>
      </c>
      <c r="FY105" s="26">
        <v>1.81</v>
      </c>
      <c r="FZ105" s="94">
        <f t="shared" si="52"/>
        <v>7.24</v>
      </c>
      <c r="GA105" s="104">
        <f t="shared" si="53"/>
        <v>2013</v>
      </c>
      <c r="GB105" s="104">
        <f t="shared" si="54"/>
        <v>48</v>
      </c>
      <c r="GC105" s="35">
        <v>41607</v>
      </c>
      <c r="GD105" s="26">
        <v>1.91</v>
      </c>
      <c r="GE105" s="94">
        <f t="shared" si="55"/>
        <v>7.64</v>
      </c>
      <c r="GF105" s="104">
        <f t="shared" si="56"/>
        <v>2013</v>
      </c>
      <c r="GG105" s="104">
        <f t="shared" si="57"/>
        <v>18</v>
      </c>
      <c r="GH105" s="35">
        <v>41393</v>
      </c>
      <c r="GI105" s="26">
        <v>3.18</v>
      </c>
      <c r="GJ105" s="94">
        <f t="shared" si="58"/>
        <v>6.36</v>
      </c>
      <c r="GK105" s="104">
        <f t="shared" si="59"/>
        <v>2016</v>
      </c>
      <c r="GL105" s="104">
        <f t="shared" si="60"/>
        <v>9</v>
      </c>
      <c r="GM105" s="35">
        <v>42426</v>
      </c>
      <c r="GN105" s="26">
        <v>1.47</v>
      </c>
      <c r="GO105" s="94">
        <f t="shared" si="61"/>
        <v>2.94</v>
      </c>
      <c r="GP105" s="59"/>
    </row>
    <row r="106" ht="16.8" spans="3:198">
      <c r="C106" s="80" t="str" cm="1">
        <f t="array" ref="C106">_xlfn.IFS(MONTH(D106)&lt;4,1,MONTH(D106)&lt;7,2,MONTH(D106)&lt;10,3,MONTH(D106)&gt;9,4)&amp;"Q"&amp;RIGHT(YEAR(D106),2)</f>
        <v>2Q16</v>
      </c>
      <c r="D106" s="81">
        <f t="shared" si="69"/>
        <v>42551</v>
      </c>
      <c r="E106" s="82">
        <f t="shared" si="65"/>
        <v>42538</v>
      </c>
      <c r="F106" s="83">
        <f t="shared" si="66"/>
        <v>0.453375</v>
      </c>
      <c r="G106" s="83">
        <f t="shared" si="66"/>
        <v>0.3675</v>
      </c>
      <c r="H106" s="81"/>
      <c r="I106" s="84">
        <v>42538</v>
      </c>
      <c r="J106" s="85">
        <v>3.95</v>
      </c>
      <c r="K106" s="85">
        <v>3.3</v>
      </c>
      <c r="L106" s="86">
        <v>3.627</v>
      </c>
      <c r="M106" s="94" cm="1">
        <f t="array" ref="M106">INDEX($BV$29:$BV$1449,MATCH($D106,$BR$29:$BR$1449,0),)</f>
        <v>2.94</v>
      </c>
      <c r="N106" s="88"/>
      <c r="O106" s="88"/>
      <c r="P106" s="88"/>
      <c r="Q106" s="89">
        <f t="shared" si="67"/>
        <v>0.233673469387755</v>
      </c>
      <c r="AH106" s="105">
        <f t="shared" si="79"/>
        <v>43074</v>
      </c>
      <c r="AI106" s="91">
        <f t="shared" si="70"/>
        <v>9.668</v>
      </c>
      <c r="AJ106" s="36">
        <f t="shared" si="71"/>
        <v>0.0076081292339758</v>
      </c>
      <c r="AK106" s="36">
        <f t="shared" si="76"/>
        <v>0.0177913464575217</v>
      </c>
      <c r="AL106" s="105"/>
      <c r="AM106" s="91"/>
      <c r="AN106" s="36"/>
      <c r="AO106" s="36"/>
      <c r="AP106" s="36"/>
      <c r="AQ106" s="92" t="str" cm="1">
        <f t="array" ref="AQ106">_xlfn.IFS(MONTH(AR106)&lt;4,1,MONTH(AR106)&lt;7,2,MONTH(AR106)&lt;10,3,MONTH(AR106)&gt;9,4)&amp;"Q"&amp;RIGHT(YEAR(AR106),2)</f>
        <v>3Q20</v>
      </c>
      <c r="AR106" s="92">
        <f t="shared" si="72"/>
        <v>44043</v>
      </c>
      <c r="AS106" s="109">
        <v>44039</v>
      </c>
      <c r="AT106" s="110"/>
      <c r="AU106" s="94" cm="1">
        <f t="array" ref="AU106">INDEX($CE$29:$CE$1449,MATCH($AR106,$CA$29:$CA$1449,0),)</f>
        <v>134</v>
      </c>
      <c r="AV106" s="110"/>
      <c r="AW106" s="94" cm="1">
        <f t="array" ref="AW106">INDEX($CF$29:$CF$1449,MATCH($AR106,$CA$29:$CA$1449,0),)</f>
        <v>270</v>
      </c>
      <c r="AX106" s="94"/>
      <c r="AY106" s="94"/>
      <c r="AZ106" s="94"/>
      <c r="BA106" s="94"/>
      <c r="BB106" s="5"/>
      <c r="BC106" s="5"/>
      <c r="BD106" s="5"/>
      <c r="BE106" s="5"/>
      <c r="BF106" s="5"/>
      <c r="BG106" s="5"/>
      <c r="BH106" s="5"/>
      <c r="BI106" s="5"/>
      <c r="BJ106" s="5"/>
      <c r="BK106" s="5"/>
      <c r="BL106" s="5"/>
      <c r="BM106" s="5"/>
      <c r="BN106" s="5"/>
      <c r="BO106" s="5">
        <f t="shared" si="73"/>
        <v>2022</v>
      </c>
      <c r="BQ106" s="95" t="str" cm="1">
        <f t="array" ref="BQ106">_xlfn.IFS(MONTH(BR106)&lt;4,1,MONTH(BR106)&lt;7,2,MONTH(BR106)&lt;10,3,MONTH(BR106)&gt;9,4)&amp;"Q"&amp;RIGHT(YEAR(BR106),2)</f>
        <v>4Q22</v>
      </c>
      <c r="BR106" s="81">
        <f t="shared" si="74"/>
        <v>44895</v>
      </c>
      <c r="BS106" s="106">
        <f t="shared" si="75"/>
        <v>44895</v>
      </c>
      <c r="BV106" s="122">
        <v>2.21</v>
      </c>
      <c r="BW106" s="122">
        <v>4.55</v>
      </c>
      <c r="BX106" s="122">
        <v>5.38</v>
      </c>
      <c r="CA106" s="35">
        <f t="shared" si="41"/>
        <v>44895</v>
      </c>
      <c r="CB106" s="26">
        <v>48</v>
      </c>
      <c r="CC106" s="26">
        <v>38.4</v>
      </c>
      <c r="CD106" s="119">
        <v>19.7</v>
      </c>
      <c r="CE106" s="119">
        <v>85</v>
      </c>
      <c r="CF106" s="119">
        <v>170</v>
      </c>
      <c r="CG106" s="119"/>
      <c r="CH106" s="119"/>
      <c r="CI106" s="119"/>
      <c r="CJ106" s="119"/>
      <c r="CK106" s="119"/>
      <c r="CL106" s="119"/>
      <c r="CM106" s="119"/>
      <c r="CN106" s="119"/>
      <c r="CO106" s="119"/>
      <c r="CP106" s="119"/>
      <c r="CQ106" s="119">
        <v>1.5</v>
      </c>
      <c r="CR106" s="119">
        <v>1.67</v>
      </c>
      <c r="CS106" s="36"/>
      <c r="CT106" s="123">
        <f t="shared" si="77"/>
        <v>0.25</v>
      </c>
      <c r="CU106" s="123"/>
      <c r="CV106" s="123"/>
      <c r="CX106" s="108">
        <f t="shared" si="78"/>
        <v>0</v>
      </c>
      <c r="CY106" s="108">
        <f t="shared" si="68"/>
        <v>0</v>
      </c>
      <c r="CZ106" s="108">
        <f t="shared" si="68"/>
        <v>0</v>
      </c>
      <c r="DA106" s="125">
        <f t="shared" si="68"/>
        <v>-0.105263157894737</v>
      </c>
      <c r="DB106" s="125">
        <f t="shared" si="68"/>
        <v>-0.0860215053763441</v>
      </c>
      <c r="DC106" s="125"/>
      <c r="DD106" s="125"/>
      <c r="DE106" s="125"/>
      <c r="DF106" s="125"/>
      <c r="DG106" s="125"/>
      <c r="DH106" s="125"/>
      <c r="DI106" s="125"/>
      <c r="DJ106" s="125"/>
      <c r="DK106" s="125"/>
      <c r="DL106" s="125"/>
      <c r="DM106" s="125">
        <f t="shared" si="64"/>
        <v>-0.0909090909090908</v>
      </c>
      <c r="DN106" s="125">
        <f t="shared" si="64"/>
        <v>-0.0972972972972974</v>
      </c>
      <c r="DQ106" s="114">
        <f t="shared" si="37"/>
        <v>2.65625</v>
      </c>
      <c r="DR106" s="124">
        <f t="shared" si="38"/>
        <v>2.65625</v>
      </c>
      <c r="FK106" s="104"/>
      <c r="FV106" s="104">
        <f t="shared" si="50"/>
        <v>2011</v>
      </c>
      <c r="FW106" s="104">
        <f t="shared" si="51"/>
        <v>3</v>
      </c>
      <c r="FX106" s="35">
        <v>40557</v>
      </c>
      <c r="FY106" s="26">
        <v>1.8</v>
      </c>
      <c r="FZ106" s="94">
        <f t="shared" si="52"/>
        <v>7.2</v>
      </c>
      <c r="GA106" s="104">
        <f t="shared" si="53"/>
        <v>2013</v>
      </c>
      <c r="GB106" s="104">
        <f t="shared" si="54"/>
        <v>51</v>
      </c>
      <c r="GC106" s="35">
        <v>41624</v>
      </c>
      <c r="GD106" s="26">
        <v>1.97</v>
      </c>
      <c r="GE106" s="94">
        <f t="shared" si="55"/>
        <v>7.88</v>
      </c>
      <c r="GF106" s="104">
        <f t="shared" si="56"/>
        <v>2013</v>
      </c>
      <c r="GG106" s="104">
        <f t="shared" si="57"/>
        <v>18</v>
      </c>
      <c r="GH106" s="35">
        <v>41394</v>
      </c>
      <c r="GI106" s="26">
        <v>3.19</v>
      </c>
      <c r="GJ106" s="94">
        <f t="shared" si="58"/>
        <v>6.38</v>
      </c>
      <c r="GK106" s="104">
        <f t="shared" si="59"/>
        <v>2016</v>
      </c>
      <c r="GL106" s="104">
        <f t="shared" si="60"/>
        <v>12</v>
      </c>
      <c r="GM106" s="35">
        <v>42444</v>
      </c>
      <c r="GN106" s="26">
        <v>1.38</v>
      </c>
      <c r="GO106" s="94">
        <f t="shared" si="61"/>
        <v>2.76</v>
      </c>
      <c r="GP106" s="59"/>
    </row>
    <row r="107" ht="16.8" spans="3:198">
      <c r="C107" s="80" t="str" cm="1">
        <f t="array" ref="C107">_xlfn.IFS(MONTH(D107)&lt;4,1,MONTH(D107)&lt;7,2,MONTH(D107)&lt;10,3,MONTH(D107)&gt;9,4)&amp;"Q"&amp;RIGHT(YEAR(D107),2)</f>
        <v>2Q16</v>
      </c>
      <c r="D107" s="81">
        <f t="shared" si="69"/>
        <v>42551</v>
      </c>
      <c r="E107" s="82">
        <f t="shared" si="65"/>
        <v>42541</v>
      </c>
      <c r="F107" s="83">
        <f t="shared" si="66"/>
        <v>0.453375</v>
      </c>
      <c r="G107" s="83">
        <f t="shared" si="66"/>
        <v>0.3675</v>
      </c>
      <c r="H107" s="81"/>
      <c r="I107" s="84">
        <v>42541</v>
      </c>
      <c r="J107" s="85">
        <v>3.95</v>
      </c>
      <c r="K107" s="85">
        <v>3.3</v>
      </c>
      <c r="L107" s="86">
        <v>3.627</v>
      </c>
      <c r="M107" s="94" cm="1">
        <f t="array" ref="M107">INDEX($BV$29:$BV$1449,MATCH($D107,$BR$29:$BR$1449,0),)</f>
        <v>2.94</v>
      </c>
      <c r="N107" s="88"/>
      <c r="O107" s="88"/>
      <c r="P107" s="88"/>
      <c r="Q107" s="89">
        <f t="shared" si="67"/>
        <v>0.233673469387755</v>
      </c>
      <c r="AH107" s="105">
        <f t="shared" si="79"/>
        <v>43082</v>
      </c>
      <c r="AI107" s="91">
        <f t="shared" si="70"/>
        <v>9.666</v>
      </c>
      <c r="AJ107" s="36">
        <f t="shared" si="71"/>
        <v>-0.000206868018204243</v>
      </c>
      <c r="AK107" s="36">
        <f t="shared" si="76"/>
        <v>0.00739968733715468</v>
      </c>
      <c r="AL107" s="105"/>
      <c r="AM107" s="91"/>
      <c r="AN107" s="36"/>
      <c r="AO107" s="36"/>
      <c r="AP107" s="36"/>
      <c r="AQ107" s="92" t="str" cm="1">
        <f t="array" ref="AQ107">_xlfn.IFS(MONTH(AR107)&lt;4,1,MONTH(AR107)&lt;7,2,MONTH(AR107)&lt;10,3,MONTH(AR107)&gt;9,4)&amp;"Q"&amp;RIGHT(YEAR(AR107),2)</f>
        <v>3Q20</v>
      </c>
      <c r="AR107" s="92">
        <f t="shared" si="72"/>
        <v>44074</v>
      </c>
      <c r="AS107" s="109">
        <v>44046</v>
      </c>
      <c r="AT107" s="110"/>
      <c r="AU107" s="94" cm="1">
        <f t="array" ref="AU107">INDEX($CE$29:$CE$1449,MATCH($AR107,$CA$29:$CA$1449,0),)</f>
        <v>128</v>
      </c>
      <c r="AV107" s="110"/>
      <c r="AW107" s="94" cm="1">
        <f t="array" ref="AW107">INDEX($CF$29:$CF$1449,MATCH($AR107,$CA$29:$CA$1449,0),)</f>
        <v>258</v>
      </c>
      <c r="AX107" s="94"/>
      <c r="AY107" s="94"/>
      <c r="AZ107" s="94"/>
      <c r="BA107" s="94"/>
      <c r="BB107" s="5"/>
      <c r="BC107" s="5"/>
      <c r="BD107" s="5"/>
      <c r="BE107" s="5"/>
      <c r="BF107" s="5"/>
      <c r="BG107" s="5"/>
      <c r="BH107" s="5"/>
      <c r="BI107" s="5"/>
      <c r="BJ107" s="5"/>
      <c r="BK107" s="5"/>
      <c r="BL107" s="5"/>
      <c r="BM107" s="5"/>
      <c r="BN107" s="5"/>
      <c r="BO107" s="5">
        <f t="shared" si="73"/>
        <v>2022</v>
      </c>
      <c r="BQ107" s="95" t="str" cm="1">
        <f t="array" ref="BQ107">_xlfn.IFS(MONTH(BR107)&lt;4,1,MONTH(BR107)&lt;7,2,MONTH(BR107)&lt;10,3,MONTH(BR107)&gt;9,4)&amp;"Q"&amp;RIGHT(YEAR(BR107),2)</f>
        <v>4Q22</v>
      </c>
      <c r="BR107" s="81">
        <f t="shared" si="74"/>
        <v>44926</v>
      </c>
      <c r="BS107" s="106">
        <f t="shared" si="75"/>
        <v>44926</v>
      </c>
      <c r="BV107" s="122">
        <v>2.21</v>
      </c>
      <c r="BW107" s="122">
        <v>4.55</v>
      </c>
      <c r="BX107" s="122">
        <v>5.38</v>
      </c>
      <c r="CA107" s="35">
        <f t="shared" si="41"/>
        <v>44926</v>
      </c>
      <c r="CB107" s="26">
        <v>48</v>
      </c>
      <c r="CC107" s="26">
        <v>38.4</v>
      </c>
      <c r="CD107" s="119">
        <v>19.7</v>
      </c>
      <c r="CE107" s="119">
        <v>80</v>
      </c>
      <c r="CF107" s="119">
        <v>155</v>
      </c>
      <c r="CG107" s="119"/>
      <c r="CH107" s="119"/>
      <c r="CI107" s="119"/>
      <c r="CJ107" s="119"/>
      <c r="CK107" s="119"/>
      <c r="CL107" s="119"/>
      <c r="CM107" s="119"/>
      <c r="CN107" s="119"/>
      <c r="CO107" s="119"/>
      <c r="CP107" s="119"/>
      <c r="CQ107" s="119">
        <v>1.45</v>
      </c>
      <c r="CR107" s="119">
        <v>1.55</v>
      </c>
      <c r="CS107" s="36"/>
      <c r="CT107" s="123">
        <f t="shared" si="77"/>
        <v>0.25</v>
      </c>
      <c r="CU107" s="123"/>
      <c r="CV107" s="123"/>
      <c r="CX107" s="108">
        <f t="shared" si="78"/>
        <v>0</v>
      </c>
      <c r="CY107" s="108">
        <f t="shared" si="68"/>
        <v>0</v>
      </c>
      <c r="CZ107" s="108">
        <f t="shared" si="68"/>
        <v>0</v>
      </c>
      <c r="DA107" s="125">
        <f t="shared" si="68"/>
        <v>-0.0588235294117647</v>
      </c>
      <c r="DB107" s="125">
        <f t="shared" si="68"/>
        <v>-0.0882352941176471</v>
      </c>
      <c r="DC107" s="125"/>
      <c r="DD107" s="125"/>
      <c r="DE107" s="125"/>
      <c r="DF107" s="125"/>
      <c r="DG107" s="125"/>
      <c r="DH107" s="125"/>
      <c r="DI107" s="125"/>
      <c r="DJ107" s="125"/>
      <c r="DK107" s="125"/>
      <c r="DL107" s="125"/>
      <c r="DM107" s="125">
        <f t="shared" si="64"/>
        <v>-0.0333333333333333</v>
      </c>
      <c r="DN107" s="125">
        <f t="shared" si="64"/>
        <v>-0.0718562874251496</v>
      </c>
      <c r="DQ107" s="114">
        <f t="shared" si="37"/>
        <v>2.5</v>
      </c>
      <c r="DR107" s="124">
        <f t="shared" si="38"/>
        <v>2.421875</v>
      </c>
      <c r="FK107" s="104"/>
      <c r="FV107" s="104">
        <f t="shared" si="50"/>
        <v>2011</v>
      </c>
      <c r="FW107" s="104">
        <f t="shared" si="51"/>
        <v>4</v>
      </c>
      <c r="FX107" s="35">
        <v>40560</v>
      </c>
      <c r="FY107" s="26">
        <v>1.79</v>
      </c>
      <c r="FZ107" s="94">
        <f t="shared" si="52"/>
        <v>7.16</v>
      </c>
      <c r="GA107" s="104">
        <f t="shared" si="53"/>
        <v>2013</v>
      </c>
      <c r="GB107" s="104">
        <f t="shared" si="54"/>
        <v>53</v>
      </c>
      <c r="GC107" s="35">
        <v>41639</v>
      </c>
      <c r="GD107" s="26">
        <v>1.97</v>
      </c>
      <c r="GE107" s="94">
        <f t="shared" si="55"/>
        <v>7.88</v>
      </c>
      <c r="GF107" s="104">
        <f t="shared" si="56"/>
        <v>2013</v>
      </c>
      <c r="GG107" s="104">
        <f t="shared" si="57"/>
        <v>18</v>
      </c>
      <c r="GH107" s="35">
        <v>41396</v>
      </c>
      <c r="GI107" s="26">
        <v>3.2</v>
      </c>
      <c r="GJ107" s="94">
        <f t="shared" si="58"/>
        <v>6.4</v>
      </c>
      <c r="GK107" s="104">
        <f t="shared" si="59"/>
        <v>2016</v>
      </c>
      <c r="GL107" s="104">
        <f t="shared" si="60"/>
        <v>14</v>
      </c>
      <c r="GM107" s="35">
        <v>42460</v>
      </c>
      <c r="GN107" s="26">
        <v>1.38</v>
      </c>
      <c r="GO107" s="94">
        <f t="shared" si="61"/>
        <v>2.76</v>
      </c>
      <c r="GP107" s="59"/>
    </row>
    <row r="108" ht="16.8" spans="3:198">
      <c r="C108" s="80" t="str" cm="1">
        <f t="array" ref="C108">_xlfn.IFS(MONTH(D108)&lt;4,1,MONTH(D108)&lt;7,2,MONTH(D108)&lt;10,3,MONTH(D108)&gt;9,4)&amp;"Q"&amp;RIGHT(YEAR(D108),2)</f>
        <v>2Q16</v>
      </c>
      <c r="D108" s="81">
        <f t="shared" si="69"/>
        <v>42551</v>
      </c>
      <c r="E108" s="82">
        <f t="shared" si="65"/>
        <v>42542</v>
      </c>
      <c r="F108" s="83">
        <f t="shared" si="66"/>
        <v>0.453375</v>
      </c>
      <c r="G108" s="83">
        <f t="shared" si="66"/>
        <v>0.3675</v>
      </c>
      <c r="H108" s="81"/>
      <c r="I108" s="84">
        <v>42542</v>
      </c>
      <c r="J108" s="85">
        <v>3.95</v>
      </c>
      <c r="K108" s="85">
        <v>3.3</v>
      </c>
      <c r="L108" s="86">
        <v>3.627</v>
      </c>
      <c r="M108" s="94" cm="1">
        <f t="array" ref="M108">INDEX($BV$29:$BV$1449,MATCH($D108,$BR$29:$BR$1449,0),)</f>
        <v>2.94</v>
      </c>
      <c r="N108" s="88"/>
      <c r="O108" s="88"/>
      <c r="P108" s="88"/>
      <c r="Q108" s="89">
        <f t="shared" si="67"/>
        <v>0.233673469387755</v>
      </c>
      <c r="AH108" s="105">
        <f t="shared" si="79"/>
        <v>43090</v>
      </c>
      <c r="AI108" s="91">
        <f t="shared" si="70"/>
        <v>9.62</v>
      </c>
      <c r="AJ108" s="36">
        <f t="shared" si="71"/>
        <v>-0.00475894889302719</v>
      </c>
      <c r="AK108" s="36">
        <f t="shared" si="76"/>
        <v>-0.00496483243690526</v>
      </c>
      <c r="AL108" s="105"/>
      <c r="AM108" s="91"/>
      <c r="AN108" s="36"/>
      <c r="AO108" s="36"/>
      <c r="AP108" s="36"/>
      <c r="AQ108" s="92" t="str" cm="1">
        <f t="array" ref="AQ108">_xlfn.IFS(MONTH(AR108)&lt;4,1,MONTH(AR108)&lt;7,2,MONTH(AR108)&lt;10,3,MONTH(AR108)&gt;9,4)&amp;"Q"&amp;RIGHT(YEAR(AR108),2)</f>
        <v>3Q20</v>
      </c>
      <c r="AR108" s="92">
        <f t="shared" si="72"/>
        <v>44074</v>
      </c>
      <c r="AS108" s="109">
        <v>44053</v>
      </c>
      <c r="AT108" s="110"/>
      <c r="AU108" s="94" cm="1">
        <f t="array" ref="AU108">INDEX($CE$29:$CE$1449,MATCH($AR108,$CA$29:$CA$1449,0),)</f>
        <v>128</v>
      </c>
      <c r="AV108" s="110"/>
      <c r="AW108" s="94" cm="1">
        <f t="array" ref="AW108">INDEX($CF$29:$CF$1449,MATCH($AR108,$CA$29:$CA$1449,0),)</f>
        <v>258</v>
      </c>
      <c r="AX108" s="94"/>
      <c r="AY108" s="94"/>
      <c r="AZ108" s="94"/>
      <c r="BA108" s="94"/>
      <c r="BB108" s="5"/>
      <c r="BC108" s="5"/>
      <c r="BD108" s="5"/>
      <c r="BE108" s="5"/>
      <c r="BF108" s="5"/>
      <c r="BG108" s="5"/>
      <c r="BH108" s="5"/>
      <c r="BI108" s="5"/>
      <c r="BJ108" s="5"/>
      <c r="BK108" s="5"/>
      <c r="BL108" s="5"/>
      <c r="BM108" s="5"/>
      <c r="BN108" s="5"/>
      <c r="BO108" s="5">
        <f t="shared" si="73"/>
        <v>2023</v>
      </c>
      <c r="BQ108" s="95" t="str" cm="1">
        <f t="array" ref="BQ108">_xlfn.IFS(MONTH(BR108)&lt;4,1,MONTH(BR108)&lt;7,2,MONTH(BR108)&lt;10,3,MONTH(BR108)&gt;9,4)&amp;"Q"&amp;RIGHT(YEAR(BR108),2)</f>
        <v>1Q23</v>
      </c>
      <c r="BR108" s="81">
        <f t="shared" si="74"/>
        <v>44957</v>
      </c>
      <c r="BS108" s="106">
        <f t="shared" si="75"/>
        <v>44957</v>
      </c>
      <c r="BV108" s="122">
        <v>1.81</v>
      </c>
      <c r="BW108" s="122">
        <v>3.75</v>
      </c>
      <c r="BX108" s="122">
        <v>4</v>
      </c>
      <c r="CA108" s="35">
        <f t="shared" si="41"/>
        <v>44957</v>
      </c>
      <c r="CB108" s="26">
        <v>36.8</v>
      </c>
      <c r="CC108" s="26">
        <v>32</v>
      </c>
      <c r="CD108" s="119">
        <v>16.5</v>
      </c>
      <c r="CE108" s="119">
        <v>72</v>
      </c>
      <c r="CF108" s="119">
        <v>140</v>
      </c>
      <c r="CG108" s="119"/>
      <c r="CH108" s="119"/>
      <c r="CI108" s="119"/>
      <c r="CJ108" s="119"/>
      <c r="CK108" s="119"/>
      <c r="CL108" s="119"/>
      <c r="CM108" s="119"/>
      <c r="CN108" s="119"/>
      <c r="CO108" s="119"/>
      <c r="CP108" s="119"/>
      <c r="CQ108" s="119">
        <v>1.3</v>
      </c>
      <c r="CR108" s="119">
        <v>1.38</v>
      </c>
      <c r="CS108" s="36"/>
      <c r="CT108" s="123">
        <f t="shared" si="77"/>
        <v>0.15</v>
      </c>
      <c r="CU108" s="123"/>
      <c r="CV108" s="123"/>
      <c r="CX108" s="108">
        <f t="shared" si="78"/>
        <v>-0.233333333333333</v>
      </c>
      <c r="CY108" s="108">
        <f t="shared" si="68"/>
        <v>-0.166666666666667</v>
      </c>
      <c r="CZ108" s="108">
        <f t="shared" si="68"/>
        <v>-0.16243654822335</v>
      </c>
      <c r="DA108" s="125">
        <f t="shared" si="68"/>
        <v>-0.1</v>
      </c>
      <c r="DB108" s="125">
        <f t="shared" si="68"/>
        <v>-0.0967741935483871</v>
      </c>
      <c r="DC108" s="125"/>
      <c r="DD108" s="125"/>
      <c r="DE108" s="125"/>
      <c r="DF108" s="125"/>
      <c r="DG108" s="125"/>
      <c r="DH108" s="125"/>
      <c r="DI108" s="125"/>
      <c r="DJ108" s="125"/>
      <c r="DK108" s="125"/>
      <c r="DL108" s="125"/>
      <c r="DM108" s="125">
        <f t="shared" si="64"/>
        <v>-0.103448275862069</v>
      </c>
      <c r="DN108" s="125">
        <f t="shared" si="64"/>
        <v>-0.109677419354839</v>
      </c>
      <c r="DQ108" s="114">
        <f t="shared" si="37"/>
        <v>2.25</v>
      </c>
      <c r="DR108" s="124">
        <f t="shared" si="38"/>
        <v>2.1875</v>
      </c>
      <c r="DS108" s="124"/>
      <c r="DT108" s="124"/>
      <c r="DU108" s="124"/>
      <c r="DV108" s="124"/>
      <c r="DW108" s="124"/>
      <c r="DX108" s="124"/>
      <c r="FK108" s="104"/>
      <c r="FV108" s="104">
        <f t="shared" si="50"/>
        <v>2011</v>
      </c>
      <c r="FW108" s="104">
        <f t="shared" si="51"/>
        <v>4</v>
      </c>
      <c r="FX108" s="35">
        <v>40561</v>
      </c>
      <c r="FY108" s="26">
        <v>1.78</v>
      </c>
      <c r="FZ108" s="94">
        <f t="shared" si="52"/>
        <v>7.12</v>
      </c>
      <c r="GA108" s="104">
        <f t="shared" si="53"/>
        <v>2014</v>
      </c>
      <c r="GB108" s="104">
        <f t="shared" si="54"/>
        <v>3</v>
      </c>
      <c r="GC108" s="35">
        <v>41654</v>
      </c>
      <c r="GD108" s="26">
        <v>1.91</v>
      </c>
      <c r="GE108" s="94">
        <f t="shared" si="55"/>
        <v>7.64</v>
      </c>
      <c r="GF108" s="104">
        <f t="shared" si="56"/>
        <v>2013</v>
      </c>
      <c r="GG108" s="104">
        <f t="shared" si="57"/>
        <v>18</v>
      </c>
      <c r="GH108" s="35">
        <v>41397</v>
      </c>
      <c r="GI108" s="26">
        <v>3.2</v>
      </c>
      <c r="GJ108" s="94">
        <f t="shared" si="58"/>
        <v>6.4</v>
      </c>
      <c r="GK108" s="104">
        <f t="shared" si="59"/>
        <v>2016</v>
      </c>
      <c r="GL108" s="104">
        <f t="shared" si="60"/>
        <v>16</v>
      </c>
      <c r="GM108" s="35">
        <v>42475</v>
      </c>
      <c r="GN108" s="26">
        <v>1.31</v>
      </c>
      <c r="GO108" s="94">
        <f t="shared" si="61"/>
        <v>2.62</v>
      </c>
      <c r="GP108" s="59"/>
    </row>
    <row r="109" ht="16.8" spans="3:198">
      <c r="C109" s="80" t="str" cm="1">
        <f t="array" ref="C109">_xlfn.IFS(MONTH(D109)&lt;4,1,MONTH(D109)&lt;7,2,MONTH(D109)&lt;10,3,MONTH(D109)&gt;9,4)&amp;"Q"&amp;RIGHT(YEAR(D109),2)</f>
        <v>2Q16</v>
      </c>
      <c r="D109" s="81">
        <f t="shared" si="69"/>
        <v>42551</v>
      </c>
      <c r="E109" s="82">
        <f t="shared" si="65"/>
        <v>42543</v>
      </c>
      <c r="F109" s="83">
        <f t="shared" si="66"/>
        <v>0.453375</v>
      </c>
      <c r="G109" s="83">
        <f t="shared" si="66"/>
        <v>0.3675</v>
      </c>
      <c r="H109" s="81"/>
      <c r="I109" s="84">
        <v>42543</v>
      </c>
      <c r="J109" s="85">
        <v>3.95</v>
      </c>
      <c r="K109" s="85">
        <v>3.3</v>
      </c>
      <c r="L109" s="86">
        <v>3.627</v>
      </c>
      <c r="M109" s="94" cm="1">
        <f t="array" ref="M109">INDEX($BV$29:$BV$1449,MATCH($D109,$BR$29:$BR$1449,0),)</f>
        <v>2.94</v>
      </c>
      <c r="N109" s="88"/>
      <c r="O109" s="88"/>
      <c r="P109" s="88"/>
      <c r="Q109" s="89">
        <f t="shared" si="67"/>
        <v>0.233673469387755</v>
      </c>
      <c r="AH109" s="105">
        <f t="shared" si="79"/>
        <v>43098</v>
      </c>
      <c r="AI109" s="91">
        <f t="shared" si="70"/>
        <v>9.592</v>
      </c>
      <c r="AJ109" s="36">
        <f t="shared" si="71"/>
        <v>-0.00291060291060274</v>
      </c>
      <c r="AK109" s="36">
        <f t="shared" si="76"/>
        <v>-0.00765570039313057</v>
      </c>
      <c r="AL109" s="105"/>
      <c r="AM109" s="91"/>
      <c r="AN109" s="36"/>
      <c r="AO109" s="36"/>
      <c r="AP109" s="36"/>
      <c r="AQ109" s="92" t="str" cm="1">
        <f t="array" ref="AQ109">_xlfn.IFS(MONTH(AR109)&lt;4,1,MONTH(AR109)&lt;7,2,MONTH(AR109)&lt;10,3,MONTH(AR109)&gt;9,4)&amp;"Q"&amp;RIGHT(YEAR(AR109),2)</f>
        <v>3Q20</v>
      </c>
      <c r="AR109" s="92">
        <f t="shared" si="72"/>
        <v>44074</v>
      </c>
      <c r="AS109" s="109">
        <v>44060</v>
      </c>
      <c r="AT109" s="110"/>
      <c r="AU109" s="94" cm="1">
        <f t="array" ref="AU109">INDEX($CE$29:$CE$1449,MATCH($AR109,$CA$29:$CA$1449,0),)</f>
        <v>128</v>
      </c>
      <c r="AV109" s="110"/>
      <c r="AW109" s="94" cm="1">
        <f t="array" ref="AW109">INDEX($CF$29:$CF$1449,MATCH($AR109,$CA$29:$CA$1449,0),)</f>
        <v>258</v>
      </c>
      <c r="AX109" s="94"/>
      <c r="AY109" s="94"/>
      <c r="AZ109" s="94"/>
      <c r="BA109" s="94"/>
      <c r="BB109" s="5"/>
      <c r="BC109" s="5"/>
      <c r="BD109" s="5"/>
      <c r="BE109" s="5"/>
      <c r="BF109" s="5"/>
      <c r="BG109" s="5"/>
      <c r="BH109" s="5"/>
      <c r="BI109" s="5"/>
      <c r="BJ109" s="5"/>
      <c r="BK109" s="5"/>
      <c r="BL109" s="5"/>
      <c r="BM109" s="5"/>
      <c r="BN109" s="5"/>
      <c r="BO109" s="5">
        <f t="shared" si="73"/>
        <v>2023</v>
      </c>
      <c r="BQ109" s="95" t="str" cm="1">
        <f t="array" ref="BQ109">_xlfn.IFS(MONTH(BR109)&lt;4,1,MONTH(BR109)&lt;7,2,MONTH(BR109)&lt;10,3,MONTH(BR109)&gt;9,4)&amp;"Q"&amp;RIGHT(YEAR(BR109),2)</f>
        <v>1Q23</v>
      </c>
      <c r="BR109" s="81">
        <f t="shared" si="74"/>
        <v>44985</v>
      </c>
      <c r="BS109" s="106">
        <f t="shared" si="75"/>
        <v>44985</v>
      </c>
      <c r="BV109" s="122">
        <v>1.81</v>
      </c>
      <c r="BW109" s="122">
        <v>3.75</v>
      </c>
      <c r="BX109" s="122">
        <v>4</v>
      </c>
      <c r="CA109" s="35">
        <f t="shared" si="41"/>
        <v>44985</v>
      </c>
      <c r="CB109" s="26">
        <v>36.8</v>
      </c>
      <c r="CC109" s="26">
        <v>32</v>
      </c>
      <c r="CD109" s="119">
        <v>16.5</v>
      </c>
      <c r="CE109" s="119">
        <v>67</v>
      </c>
      <c r="CF109" s="119">
        <v>129</v>
      </c>
      <c r="CG109" s="119"/>
      <c r="CH109" s="119"/>
      <c r="CI109" s="119"/>
      <c r="CJ109" s="119"/>
      <c r="CK109" s="119"/>
      <c r="CL109" s="119"/>
      <c r="CM109" s="119"/>
      <c r="CN109" s="119"/>
      <c r="CO109" s="119"/>
      <c r="CP109" s="119"/>
      <c r="CQ109" s="119">
        <v>1.24</v>
      </c>
      <c r="CR109" s="119">
        <v>1.3</v>
      </c>
      <c r="CS109" s="36"/>
      <c r="CT109" s="123">
        <f t="shared" si="77"/>
        <v>0.15</v>
      </c>
      <c r="CU109" s="123"/>
      <c r="CV109" s="123"/>
      <c r="CX109" s="108">
        <f t="shared" si="78"/>
        <v>0</v>
      </c>
      <c r="CY109" s="108">
        <f t="shared" si="78"/>
        <v>0</v>
      </c>
      <c r="CZ109" s="108">
        <f t="shared" si="78"/>
        <v>0</v>
      </c>
      <c r="DA109" s="125">
        <f t="shared" si="78"/>
        <v>-0.0694444444444444</v>
      </c>
      <c r="DB109" s="125">
        <f t="shared" si="78"/>
        <v>-0.0785714285714286</v>
      </c>
      <c r="DC109" s="125"/>
      <c r="DD109" s="125"/>
      <c r="DE109" s="125"/>
      <c r="DF109" s="125"/>
      <c r="DG109" s="125"/>
      <c r="DH109" s="125"/>
      <c r="DI109" s="125"/>
      <c r="DJ109" s="125"/>
      <c r="DK109" s="125"/>
      <c r="DL109" s="125"/>
      <c r="DM109" s="125">
        <f t="shared" si="64"/>
        <v>-0.0461538461538462</v>
      </c>
      <c r="DN109" s="125">
        <f t="shared" si="64"/>
        <v>-0.0579710144927535</v>
      </c>
      <c r="DQ109" s="114">
        <f t="shared" si="37"/>
        <v>2.09375</v>
      </c>
      <c r="DR109" s="124">
        <f t="shared" si="38"/>
        <v>2.015625</v>
      </c>
      <c r="DS109" s="124"/>
      <c r="DT109" s="124"/>
      <c r="DU109" s="124"/>
      <c r="DV109" s="124"/>
      <c r="DW109" s="124"/>
      <c r="DX109" s="124"/>
      <c r="FK109" s="104"/>
      <c r="FV109" s="104">
        <f t="shared" si="50"/>
        <v>2011</v>
      </c>
      <c r="FW109" s="104">
        <f t="shared" si="51"/>
        <v>4</v>
      </c>
      <c r="FX109" s="35">
        <v>40562</v>
      </c>
      <c r="FY109" s="26">
        <v>1.78</v>
      </c>
      <c r="FZ109" s="94">
        <f t="shared" si="52"/>
        <v>7.12</v>
      </c>
      <c r="GA109" s="104">
        <f t="shared" si="53"/>
        <v>2014</v>
      </c>
      <c r="GB109" s="104">
        <f t="shared" si="54"/>
        <v>5</v>
      </c>
      <c r="GC109" s="35">
        <v>41667</v>
      </c>
      <c r="GD109" s="26">
        <v>1.91</v>
      </c>
      <c r="GE109" s="94">
        <f t="shared" si="55"/>
        <v>7.64</v>
      </c>
      <c r="GF109" s="104">
        <f t="shared" si="56"/>
        <v>2013</v>
      </c>
      <c r="GG109" s="104">
        <f t="shared" si="57"/>
        <v>19</v>
      </c>
      <c r="GH109" s="35">
        <v>41400</v>
      </c>
      <c r="GI109" s="26">
        <v>3.2</v>
      </c>
      <c r="GJ109" s="94">
        <f t="shared" si="58"/>
        <v>6.4</v>
      </c>
      <c r="GK109" s="104">
        <f t="shared" si="59"/>
        <v>2016</v>
      </c>
      <c r="GL109" s="104">
        <f t="shared" si="60"/>
        <v>18</v>
      </c>
      <c r="GM109" s="35">
        <v>42489</v>
      </c>
      <c r="GN109" s="26">
        <v>1.31</v>
      </c>
      <c r="GO109" s="94">
        <f t="shared" si="61"/>
        <v>2.62</v>
      </c>
      <c r="GP109" s="59"/>
    </row>
    <row r="110" ht="16.8" spans="3:198">
      <c r="C110" s="80" t="str" cm="1">
        <f t="array" ref="C110">_xlfn.IFS(MONTH(D110)&lt;4,1,MONTH(D110)&lt;7,2,MONTH(D110)&lt;10,3,MONTH(D110)&gt;9,4)&amp;"Q"&amp;RIGHT(YEAR(D110),2)</f>
        <v>2Q16</v>
      </c>
      <c r="D110" s="81">
        <f t="shared" si="69"/>
        <v>42551</v>
      </c>
      <c r="E110" s="82">
        <f t="shared" si="65"/>
        <v>42544</v>
      </c>
      <c r="F110" s="83">
        <f t="shared" si="66"/>
        <v>0.453375</v>
      </c>
      <c r="G110" s="83">
        <f t="shared" si="66"/>
        <v>0.3675</v>
      </c>
      <c r="H110" s="81"/>
      <c r="I110" s="84">
        <v>42544</v>
      </c>
      <c r="J110" s="85">
        <v>3.95</v>
      </c>
      <c r="K110" s="85">
        <v>3.3</v>
      </c>
      <c r="L110" s="86">
        <v>3.627</v>
      </c>
      <c r="M110" s="94" cm="1">
        <f t="array" ref="M110">INDEX($BV$29:$BV$1449,MATCH($D110,$BR$29:$BR$1449,0),)</f>
        <v>2.94</v>
      </c>
      <c r="N110" s="88"/>
      <c r="O110" s="88"/>
      <c r="P110" s="88"/>
      <c r="Q110" s="89">
        <f t="shared" si="67"/>
        <v>0.233673469387755</v>
      </c>
      <c r="AH110" s="105">
        <f t="shared" si="79"/>
        <v>43108</v>
      </c>
      <c r="AI110" s="91">
        <f t="shared" si="70"/>
        <v>9.649</v>
      </c>
      <c r="AJ110" s="36">
        <f t="shared" si="71"/>
        <v>0.0059424520433693</v>
      </c>
      <c r="AK110" s="36">
        <f t="shared" si="76"/>
        <v>0.00301455301455311</v>
      </c>
      <c r="AL110" s="105"/>
      <c r="AM110" s="91"/>
      <c r="AN110" s="36"/>
      <c r="AO110" s="36"/>
      <c r="AP110" s="36"/>
      <c r="AQ110" s="92" t="str" cm="1">
        <f t="array" ref="AQ110">_xlfn.IFS(MONTH(AR110)&lt;4,1,MONTH(AR110)&lt;7,2,MONTH(AR110)&lt;10,3,MONTH(AR110)&gt;9,4)&amp;"Q"&amp;RIGHT(YEAR(AR110),2)</f>
        <v>3Q20</v>
      </c>
      <c r="AR110" s="92">
        <f t="shared" si="72"/>
        <v>44074</v>
      </c>
      <c r="AS110" s="109">
        <v>44067</v>
      </c>
      <c r="AT110" s="110"/>
      <c r="AU110" s="94" cm="1">
        <f t="array" ref="AU110">INDEX($CE$29:$CE$1449,MATCH($AR110,$CA$29:$CA$1449,0),)</f>
        <v>128</v>
      </c>
      <c r="AV110" s="110"/>
      <c r="AW110" s="94" cm="1">
        <f t="array" ref="AW110">INDEX($CF$29:$CF$1449,MATCH($AR110,$CA$29:$CA$1449,0),)</f>
        <v>258</v>
      </c>
      <c r="AX110" s="94"/>
      <c r="AY110" s="94"/>
      <c r="AZ110" s="94"/>
      <c r="BA110" s="94"/>
      <c r="BB110" s="5"/>
      <c r="BC110" s="5"/>
      <c r="BD110" s="5"/>
      <c r="BE110" s="5"/>
      <c r="BF110" s="5"/>
      <c r="BG110" s="5"/>
      <c r="BH110" s="5"/>
      <c r="BI110" s="5"/>
      <c r="BJ110" s="5"/>
      <c r="BK110" s="5"/>
      <c r="BL110" s="5"/>
      <c r="BM110" s="5"/>
      <c r="BN110" s="5"/>
      <c r="BO110" s="5">
        <f t="shared" si="73"/>
        <v>2023</v>
      </c>
      <c r="BQ110" s="95" t="str" cm="1">
        <f t="array" ref="BQ110">_xlfn.IFS(MONTH(BR110)&lt;4,1,MONTH(BR110)&lt;7,2,MONTH(BR110)&lt;10,3,MONTH(BR110)&gt;9,4)&amp;"Q"&amp;RIGHT(YEAR(BR110),2)</f>
        <v>1Q23</v>
      </c>
      <c r="BR110" s="81">
        <f t="shared" si="74"/>
        <v>45016</v>
      </c>
      <c r="BS110" s="106">
        <f t="shared" si="75"/>
        <v>45016</v>
      </c>
      <c r="BV110" s="122">
        <v>1.81</v>
      </c>
      <c r="BW110" s="122">
        <v>3.75</v>
      </c>
      <c r="BX110" s="122">
        <v>4</v>
      </c>
      <c r="CA110" s="35">
        <f t="shared" si="41"/>
        <v>45016</v>
      </c>
      <c r="CB110" s="26">
        <v>36.8</v>
      </c>
      <c r="CC110" s="26">
        <v>32</v>
      </c>
      <c r="CD110" s="119">
        <v>16.5</v>
      </c>
      <c r="CE110" s="119">
        <v>60</v>
      </c>
      <c r="CF110" s="119">
        <v>117</v>
      </c>
      <c r="CG110" s="119"/>
      <c r="CH110" s="119"/>
      <c r="CI110" s="119"/>
      <c r="CJ110" s="119"/>
      <c r="CK110" s="119"/>
      <c r="CL110" s="119"/>
      <c r="CM110" s="119"/>
      <c r="CN110" s="119"/>
      <c r="CO110" s="119"/>
      <c r="CP110" s="119"/>
      <c r="CQ110" s="119">
        <v>1.17</v>
      </c>
      <c r="CR110" s="119">
        <v>1.2</v>
      </c>
      <c r="CS110" s="36"/>
      <c r="CT110" s="123">
        <f t="shared" si="77"/>
        <v>0.15</v>
      </c>
      <c r="CU110" s="123"/>
      <c r="CV110" s="123"/>
      <c r="CX110" s="108">
        <f t="shared" si="78"/>
        <v>0</v>
      </c>
      <c r="CY110" s="108">
        <f t="shared" si="78"/>
        <v>0</v>
      </c>
      <c r="CZ110" s="108">
        <f t="shared" si="78"/>
        <v>0</v>
      </c>
      <c r="DA110" s="125">
        <f t="shared" si="78"/>
        <v>-0.104477611940298</v>
      </c>
      <c r="DB110" s="125">
        <f t="shared" si="78"/>
        <v>-0.0930232558139535</v>
      </c>
      <c r="DC110" s="125"/>
      <c r="DD110" s="125"/>
      <c r="DE110" s="125"/>
      <c r="DF110" s="125"/>
      <c r="DG110" s="125"/>
      <c r="DH110" s="125"/>
      <c r="DI110" s="125"/>
      <c r="DJ110" s="125"/>
      <c r="DK110" s="125"/>
      <c r="DL110" s="125"/>
      <c r="DM110" s="125">
        <f t="shared" si="64"/>
        <v>-0.0564516129032259</v>
      </c>
      <c r="DN110" s="125">
        <f t="shared" si="64"/>
        <v>-0.076923076923077</v>
      </c>
      <c r="DQ110" s="114">
        <f t="shared" ref="DQ110:DQ148" si="80">CE110/32</f>
        <v>1.875</v>
      </c>
      <c r="DR110" s="124">
        <f t="shared" ref="DR110:DR148" si="81">CF110/64</f>
        <v>1.828125</v>
      </c>
      <c r="DS110" s="124"/>
      <c r="DT110" s="124"/>
      <c r="DU110" s="124"/>
      <c r="DV110" s="124"/>
      <c r="DW110" s="124"/>
      <c r="DX110" s="124"/>
      <c r="FK110" s="104"/>
      <c r="FV110" s="104">
        <f t="shared" si="50"/>
        <v>2011</v>
      </c>
      <c r="FW110" s="104">
        <f t="shared" si="51"/>
        <v>4</v>
      </c>
      <c r="FX110" s="35">
        <v>40563</v>
      </c>
      <c r="FY110" s="26">
        <v>1.77</v>
      </c>
      <c r="FZ110" s="94">
        <f t="shared" si="52"/>
        <v>7.08</v>
      </c>
      <c r="GA110" s="104">
        <f t="shared" si="53"/>
        <v>2014</v>
      </c>
      <c r="GB110" s="104">
        <f t="shared" si="54"/>
        <v>8</v>
      </c>
      <c r="GC110" s="35">
        <v>41687</v>
      </c>
      <c r="GD110" s="26">
        <v>1.88</v>
      </c>
      <c r="GE110" s="94">
        <f t="shared" si="55"/>
        <v>7.52</v>
      </c>
      <c r="GF110" s="104">
        <f t="shared" si="56"/>
        <v>2013</v>
      </c>
      <c r="GG110" s="104">
        <f t="shared" si="57"/>
        <v>19</v>
      </c>
      <c r="GH110" s="35">
        <v>41401</v>
      </c>
      <c r="GI110" s="26">
        <v>3.2</v>
      </c>
      <c r="GJ110" s="94">
        <f t="shared" si="58"/>
        <v>6.4</v>
      </c>
      <c r="GK110" s="104">
        <f t="shared" si="59"/>
        <v>2016</v>
      </c>
      <c r="GL110" s="104">
        <f t="shared" si="60"/>
        <v>21</v>
      </c>
      <c r="GM110" s="35">
        <v>42506</v>
      </c>
      <c r="GN110" s="26">
        <v>1.25</v>
      </c>
      <c r="GO110" s="94">
        <f t="shared" si="61"/>
        <v>2.5</v>
      </c>
      <c r="GP110" s="59"/>
    </row>
    <row r="111" ht="16.8" spans="3:198">
      <c r="C111" s="80" t="str" cm="1">
        <f t="array" ref="C111">_xlfn.IFS(MONTH(D111)&lt;4,1,MONTH(D111)&lt;7,2,MONTH(D111)&lt;10,3,MONTH(D111)&gt;9,4)&amp;"Q"&amp;RIGHT(YEAR(D111),2)</f>
        <v>2Q16</v>
      </c>
      <c r="D111" s="81">
        <f t="shared" si="69"/>
        <v>42551</v>
      </c>
      <c r="E111" s="82">
        <f t="shared" si="65"/>
        <v>42545</v>
      </c>
      <c r="F111" s="83">
        <f t="shared" si="66"/>
        <v>0.453375</v>
      </c>
      <c r="G111" s="83">
        <f t="shared" si="66"/>
        <v>0.3675</v>
      </c>
      <c r="H111" s="81"/>
      <c r="I111" s="84">
        <v>42545</v>
      </c>
      <c r="J111" s="85">
        <v>3.95</v>
      </c>
      <c r="K111" s="85">
        <v>3.3</v>
      </c>
      <c r="L111" s="86">
        <v>3.627</v>
      </c>
      <c r="M111" s="94" cm="1">
        <f t="array" ref="M111">INDEX($BV$29:$BV$1449,MATCH($D111,$BR$29:$BR$1449,0),)</f>
        <v>2.94</v>
      </c>
      <c r="N111" s="88"/>
      <c r="O111" s="88"/>
      <c r="P111" s="88"/>
      <c r="Q111" s="89">
        <f t="shared" si="67"/>
        <v>0.233673469387755</v>
      </c>
      <c r="AH111" s="105">
        <f t="shared" si="79"/>
        <v>43116</v>
      </c>
      <c r="AI111" s="91">
        <f t="shared" si="70"/>
        <v>9.65</v>
      </c>
      <c r="AJ111" s="36">
        <f t="shared" si="71"/>
        <v>0.000103637682661528</v>
      </c>
      <c r="AK111" s="36">
        <f t="shared" si="76"/>
        <v>0.00604670558799003</v>
      </c>
      <c r="AL111" s="105"/>
      <c r="AM111" s="91"/>
      <c r="AN111" s="36"/>
      <c r="AO111" s="36"/>
      <c r="AP111" s="36"/>
      <c r="AQ111" s="92" t="str" cm="1">
        <f t="array" ref="AQ111">_xlfn.IFS(MONTH(AR111)&lt;4,1,MONTH(AR111)&lt;7,2,MONTH(AR111)&lt;10,3,MONTH(AR111)&gt;9,4)&amp;"Q"&amp;RIGHT(YEAR(AR111),2)</f>
        <v>3Q20</v>
      </c>
      <c r="AR111" s="92">
        <f t="shared" si="72"/>
        <v>44074</v>
      </c>
      <c r="AS111" s="109">
        <v>44074</v>
      </c>
      <c r="AT111" s="110"/>
      <c r="AU111" s="94" cm="1">
        <f t="array" ref="AU111">INDEX($CE$29:$CE$1449,MATCH($AR111,$CA$29:$CA$1449,0),)</f>
        <v>128</v>
      </c>
      <c r="AV111" s="110"/>
      <c r="AW111" s="94" cm="1">
        <f t="array" ref="AW111">INDEX($CF$29:$CF$1449,MATCH($AR111,$CA$29:$CA$1449,0),)</f>
        <v>258</v>
      </c>
      <c r="AX111" s="94"/>
      <c r="AY111" s="94"/>
      <c r="AZ111" s="94"/>
      <c r="BA111" s="94"/>
      <c r="BB111" s="5"/>
      <c r="BC111" s="5"/>
      <c r="BD111" s="5"/>
      <c r="BE111" s="5"/>
      <c r="BF111" s="5"/>
      <c r="BG111" s="5"/>
      <c r="BH111" s="5"/>
      <c r="BI111" s="5"/>
      <c r="BJ111" s="5"/>
      <c r="BK111" s="5"/>
      <c r="BL111" s="5"/>
      <c r="BM111" s="5"/>
      <c r="BN111" s="5"/>
      <c r="BO111" s="5">
        <f t="shared" si="73"/>
        <v>2023</v>
      </c>
      <c r="BQ111" s="95" t="str" cm="1">
        <f t="array" ref="BQ111">_xlfn.IFS(MONTH(BR111)&lt;4,1,MONTH(BR111)&lt;7,2,MONTH(BR111)&lt;10,3,MONTH(BR111)&gt;9,4)&amp;"Q"&amp;RIGHT(YEAR(BR111),2)</f>
        <v>2Q23</v>
      </c>
      <c r="BR111" s="81">
        <f t="shared" si="74"/>
        <v>45046</v>
      </c>
      <c r="BS111" s="106">
        <f t="shared" si="75"/>
        <v>45046</v>
      </c>
      <c r="BV111" s="122">
        <v>1.45</v>
      </c>
      <c r="BW111" s="122">
        <v>3.03</v>
      </c>
      <c r="BX111" s="122">
        <v>3.17</v>
      </c>
      <c r="CA111" s="35">
        <f t="shared" si="41"/>
        <v>45046</v>
      </c>
      <c r="CB111" s="26">
        <v>30.13</v>
      </c>
      <c r="CC111" s="26">
        <v>26.2</v>
      </c>
      <c r="CD111" s="119">
        <v>13.6</v>
      </c>
      <c r="CE111" s="119">
        <v>54</v>
      </c>
      <c r="CF111" s="119">
        <v>109</v>
      </c>
      <c r="CG111" s="119">
        <f>CG112/(1-2.41%)</f>
        <v>87.1503227789732</v>
      </c>
      <c r="CH111" s="119">
        <f>CH112/(1-3.23%)</f>
        <v>162.757052805622</v>
      </c>
      <c r="CI111" s="119">
        <f>CI112/(1-2.41%)</f>
        <v>83.000307408546</v>
      </c>
      <c r="CJ111" s="119">
        <f>CJ112/(1-3.23%)</f>
        <v>155.006716957735</v>
      </c>
      <c r="CK111" s="119"/>
      <c r="CL111" s="119"/>
      <c r="CM111" s="119"/>
      <c r="CN111" s="119"/>
      <c r="CO111" s="126">
        <f t="shared" ref="CO111:CP126" si="82">AVERAGE(CI111,CG111)</f>
        <v>85.0753150937596</v>
      </c>
      <c r="CP111" s="126">
        <f t="shared" si="82"/>
        <v>158.881884881678</v>
      </c>
      <c r="CQ111" s="119">
        <v>1.11</v>
      </c>
      <c r="CR111" s="119">
        <v>1.11</v>
      </c>
      <c r="CS111" s="36"/>
      <c r="CT111" s="123">
        <f t="shared" si="77"/>
        <v>0.15</v>
      </c>
      <c r="CU111" s="123">
        <f t="shared" ref="CU111:CV126" si="83">CO111/CE111-1</f>
        <v>0.575468798032585</v>
      </c>
      <c r="CV111" s="123">
        <f t="shared" si="83"/>
        <v>0.457631971391543</v>
      </c>
      <c r="CX111" s="108">
        <f t="shared" si="78"/>
        <v>-0.18125</v>
      </c>
      <c r="CY111" s="108">
        <f t="shared" si="78"/>
        <v>-0.18125</v>
      </c>
      <c r="CZ111" s="108">
        <f t="shared" si="78"/>
        <v>-0.175757575757576</v>
      </c>
      <c r="DA111" s="125">
        <f t="shared" si="78"/>
        <v>-0.1</v>
      </c>
      <c r="DB111" s="125">
        <f t="shared" si="78"/>
        <v>-0.0683760683760684</v>
      </c>
      <c r="DC111" s="125"/>
      <c r="DD111" s="125"/>
      <c r="DE111" s="125"/>
      <c r="DF111" s="125"/>
      <c r="DG111" s="125"/>
      <c r="DH111" s="125"/>
      <c r="DI111" s="125"/>
      <c r="DJ111" s="125"/>
      <c r="DK111" s="125"/>
      <c r="DL111" s="125"/>
      <c r="DM111" s="125">
        <f t="shared" si="64"/>
        <v>-0.0512820512820511</v>
      </c>
      <c r="DN111" s="125">
        <f t="shared" si="64"/>
        <v>-0.0749999999999998</v>
      </c>
      <c r="DQ111" s="114">
        <f t="shared" si="80"/>
        <v>1.6875</v>
      </c>
      <c r="DR111" s="124">
        <f t="shared" si="81"/>
        <v>1.703125</v>
      </c>
      <c r="DS111" s="124">
        <f t="shared" ref="DS111:DS148" si="84">CO111/32</f>
        <v>2.65860359667999</v>
      </c>
      <c r="DT111" s="124">
        <f t="shared" ref="DT111:DT148" si="85">CP111/64</f>
        <v>2.48252945127622</v>
      </c>
      <c r="DU111" s="124"/>
      <c r="DV111" s="124"/>
      <c r="DW111" s="124"/>
      <c r="DX111" s="124"/>
      <c r="FK111" s="104"/>
      <c r="FV111" s="104">
        <f t="shared" si="50"/>
        <v>2011</v>
      </c>
      <c r="FW111" s="104">
        <f t="shared" si="51"/>
        <v>4</v>
      </c>
      <c r="FX111" s="35">
        <v>40564</v>
      </c>
      <c r="FY111" s="26">
        <v>1.76</v>
      </c>
      <c r="FZ111" s="94">
        <f t="shared" si="52"/>
        <v>7.04</v>
      </c>
      <c r="GA111" s="104">
        <f t="shared" si="53"/>
        <v>2014</v>
      </c>
      <c r="GB111" s="104">
        <f t="shared" si="54"/>
        <v>9</v>
      </c>
      <c r="GC111" s="35">
        <v>41697</v>
      </c>
      <c r="GD111" s="26">
        <v>1.84</v>
      </c>
      <c r="GE111" s="94">
        <f t="shared" si="55"/>
        <v>7.36</v>
      </c>
      <c r="GF111" s="104">
        <f t="shared" si="56"/>
        <v>2013</v>
      </c>
      <c r="GG111" s="104">
        <f t="shared" si="57"/>
        <v>19</v>
      </c>
      <c r="GH111" s="35">
        <v>41402</v>
      </c>
      <c r="GI111" s="26">
        <v>3.18</v>
      </c>
      <c r="GJ111" s="94">
        <f t="shared" si="58"/>
        <v>6.36</v>
      </c>
      <c r="GK111" s="104">
        <f t="shared" si="59"/>
        <v>2016</v>
      </c>
      <c r="GL111" s="104">
        <f t="shared" si="60"/>
        <v>23</v>
      </c>
      <c r="GM111" s="35">
        <v>42521</v>
      </c>
      <c r="GN111" s="26">
        <v>1.25</v>
      </c>
      <c r="GO111" s="94">
        <f t="shared" si="61"/>
        <v>2.5</v>
      </c>
      <c r="GP111" s="59"/>
    </row>
    <row r="112" ht="16.8" spans="3:198">
      <c r="C112" s="80" t="str" cm="1">
        <f t="array" ref="C112">_xlfn.IFS(MONTH(D112)&lt;4,1,MONTH(D112)&lt;7,2,MONTH(D112)&lt;10,3,MONTH(D112)&gt;9,4)&amp;"Q"&amp;RIGHT(YEAR(D112),2)</f>
        <v>2Q16</v>
      </c>
      <c r="D112" s="81">
        <f t="shared" si="69"/>
        <v>42551</v>
      </c>
      <c r="E112" s="82">
        <f t="shared" si="65"/>
        <v>42548</v>
      </c>
      <c r="F112" s="83">
        <f t="shared" si="66"/>
        <v>0.454125</v>
      </c>
      <c r="G112" s="83">
        <f t="shared" si="66"/>
        <v>0.3675</v>
      </c>
      <c r="H112" s="81"/>
      <c r="I112" s="84">
        <v>42548</v>
      </c>
      <c r="J112" s="85">
        <v>3.95</v>
      </c>
      <c r="K112" s="85">
        <v>3.3</v>
      </c>
      <c r="L112" s="86">
        <v>3.633</v>
      </c>
      <c r="M112" s="94" cm="1">
        <f t="array" ref="M112">INDEX($BV$29:$BV$1449,MATCH($D112,$BR$29:$BR$1449,0),)</f>
        <v>2.94</v>
      </c>
      <c r="N112" s="88"/>
      <c r="O112" s="88"/>
      <c r="P112" s="88"/>
      <c r="Q112" s="89">
        <f t="shared" si="67"/>
        <v>0.235714285714286</v>
      </c>
      <c r="AH112" s="105">
        <f t="shared" si="79"/>
        <v>43124</v>
      </c>
      <c r="AI112" s="91">
        <f t="shared" si="70"/>
        <v>9.583</v>
      </c>
      <c r="AJ112" s="36">
        <f t="shared" si="71"/>
        <v>-0.00694300518134716</v>
      </c>
      <c r="AK112" s="36">
        <f t="shared" si="76"/>
        <v>-0.00684008705565331</v>
      </c>
      <c r="AL112" s="105"/>
      <c r="AM112" s="91"/>
      <c r="AN112" s="36"/>
      <c r="AO112" s="36"/>
      <c r="AP112" s="36"/>
      <c r="AQ112" s="92" t="str" cm="1">
        <f t="array" ref="AQ112">_xlfn.IFS(MONTH(AR112)&lt;4,1,MONTH(AR112)&lt;7,2,MONTH(AR112)&lt;10,3,MONTH(AR112)&gt;9,4)&amp;"Q"&amp;RIGHT(YEAR(AR112),2)</f>
        <v>3Q20</v>
      </c>
      <c r="AR112" s="92">
        <f t="shared" si="72"/>
        <v>44104</v>
      </c>
      <c r="AS112" s="109">
        <v>44081</v>
      </c>
      <c r="AT112" s="110"/>
      <c r="AU112" s="94" cm="1">
        <f t="array" ref="AU112">INDEX($CE$29:$CE$1449,MATCH($AR112,$CA$29:$CA$1449,0),)</f>
        <v>122</v>
      </c>
      <c r="AV112" s="110"/>
      <c r="AW112" s="94" cm="1">
        <f t="array" ref="AW112">INDEX($CF$29:$CF$1449,MATCH($AR112,$CA$29:$CA$1449,0),)</f>
        <v>246</v>
      </c>
      <c r="AX112" s="94"/>
      <c r="AY112" s="94"/>
      <c r="AZ112" s="94"/>
      <c r="BA112" s="94"/>
      <c r="BB112" s="5"/>
      <c r="BC112" s="5"/>
      <c r="BD112" s="5"/>
      <c r="BE112" s="5"/>
      <c r="BF112" s="5"/>
      <c r="BG112" s="5"/>
      <c r="BH112" s="5"/>
      <c r="BI112" s="5"/>
      <c r="BJ112" s="5"/>
      <c r="BK112" s="5"/>
      <c r="BL112" s="5"/>
      <c r="BM112" s="5"/>
      <c r="BN112" s="5"/>
      <c r="BO112" s="5">
        <f t="shared" si="73"/>
        <v>2023</v>
      </c>
      <c r="BQ112" s="95" t="str" cm="1">
        <f t="array" ref="BQ112">_xlfn.IFS(MONTH(BR112)&lt;4,1,MONTH(BR112)&lt;7,2,MONTH(BR112)&lt;10,3,MONTH(BR112)&gt;9,4)&amp;"Q"&amp;RIGHT(YEAR(BR112),2)</f>
        <v>2Q23</v>
      </c>
      <c r="BR112" s="81">
        <f t="shared" si="74"/>
        <v>45077</v>
      </c>
      <c r="BS112" s="106">
        <f t="shared" si="75"/>
        <v>45077</v>
      </c>
      <c r="BV112" s="122">
        <v>1.4</v>
      </c>
      <c r="BW112" s="122">
        <v>2.93</v>
      </c>
      <c r="BX112" s="122">
        <v>3.17</v>
      </c>
      <c r="CA112" s="35">
        <f t="shared" ref="CA112:CA148" si="86">EOMONTH(CA111,1)</f>
        <v>45077</v>
      </c>
      <c r="CB112" s="26">
        <v>29.21</v>
      </c>
      <c r="CC112" s="26">
        <v>25.4</v>
      </c>
      <c r="CD112" s="119">
        <v>13.2</v>
      </c>
      <c r="CE112" s="119">
        <v>51</v>
      </c>
      <c r="CF112" s="119">
        <v>103</v>
      </c>
      <c r="CG112" s="119">
        <v>85.05</v>
      </c>
      <c r="CH112" s="119">
        <v>157.5</v>
      </c>
      <c r="CI112" s="119">
        <v>81</v>
      </c>
      <c r="CJ112" s="119">
        <v>150</v>
      </c>
      <c r="CK112" s="119"/>
      <c r="CL112" s="119"/>
      <c r="CM112" s="119"/>
      <c r="CN112" s="119"/>
      <c r="CO112" s="126">
        <f t="shared" si="82"/>
        <v>83.025</v>
      </c>
      <c r="CP112" s="126">
        <f t="shared" si="82"/>
        <v>153.75</v>
      </c>
      <c r="CQ112" s="119">
        <v>1.08</v>
      </c>
      <c r="CR112" s="119">
        <v>1.08</v>
      </c>
      <c r="CS112" s="36"/>
      <c r="CT112" s="123">
        <f t="shared" si="77"/>
        <v>0.15</v>
      </c>
      <c r="CU112" s="123">
        <f t="shared" si="83"/>
        <v>0.627941176470588</v>
      </c>
      <c r="CV112" s="123">
        <f t="shared" si="83"/>
        <v>0.492718446601942</v>
      </c>
      <c r="CX112" s="125">
        <f t="shared" ref="CX112:DJ127" si="87">CB112/CB111-1</f>
        <v>-0.0305343511450381</v>
      </c>
      <c r="CY112" s="125">
        <f t="shared" si="87"/>
        <v>-0.0305343511450382</v>
      </c>
      <c r="CZ112" s="125">
        <f t="shared" si="87"/>
        <v>-0.0294117647058824</v>
      </c>
      <c r="DA112" s="125">
        <f t="shared" si="87"/>
        <v>-0.0555555555555556</v>
      </c>
      <c r="DB112" s="125">
        <f t="shared" si="87"/>
        <v>-0.055045871559633</v>
      </c>
      <c r="DC112" s="125">
        <f t="shared" si="87"/>
        <v>-0.0240999999999999</v>
      </c>
      <c r="DD112" s="125">
        <f t="shared" si="87"/>
        <v>-0.0323</v>
      </c>
      <c r="DE112" s="125">
        <v>-0.0241</v>
      </c>
      <c r="DF112" s="125">
        <v>-0.0323</v>
      </c>
      <c r="DG112" s="125"/>
      <c r="DH112" s="125"/>
      <c r="DI112" s="125"/>
      <c r="DJ112" s="125"/>
      <c r="DK112" s="125">
        <v>-0.0323</v>
      </c>
      <c r="DL112" s="125">
        <v>-0.0323</v>
      </c>
      <c r="DM112" s="125">
        <f t="shared" si="64"/>
        <v>-0.0270270270270271</v>
      </c>
      <c r="DN112" s="125">
        <f t="shared" si="64"/>
        <v>-0.0270270270270271</v>
      </c>
      <c r="DQ112" s="114">
        <f t="shared" si="80"/>
        <v>1.59375</v>
      </c>
      <c r="DR112" s="124">
        <f t="shared" si="81"/>
        <v>1.609375</v>
      </c>
      <c r="DS112" s="124">
        <f t="shared" si="84"/>
        <v>2.59453125</v>
      </c>
      <c r="DT112" s="124">
        <f t="shared" si="85"/>
        <v>2.40234375</v>
      </c>
      <c r="DU112" s="124"/>
      <c r="DV112" s="124"/>
      <c r="DW112" s="124"/>
      <c r="DX112" s="124"/>
      <c r="FK112" s="104"/>
      <c r="FV112" s="104">
        <f t="shared" si="50"/>
        <v>2011</v>
      </c>
      <c r="FW112" s="104">
        <f t="shared" si="51"/>
        <v>5</v>
      </c>
      <c r="FX112" s="35">
        <v>40567</v>
      </c>
      <c r="FY112" s="26">
        <v>1.77</v>
      </c>
      <c r="FZ112" s="94">
        <f t="shared" si="52"/>
        <v>7.08</v>
      </c>
      <c r="GA112" s="104">
        <f t="shared" si="53"/>
        <v>2014</v>
      </c>
      <c r="GB112" s="104">
        <f t="shared" si="54"/>
        <v>12</v>
      </c>
      <c r="GC112" s="35">
        <v>41715</v>
      </c>
      <c r="GD112" s="26">
        <v>1.84</v>
      </c>
      <c r="GE112" s="94">
        <f t="shared" si="55"/>
        <v>7.36</v>
      </c>
      <c r="GF112" s="104">
        <f t="shared" si="56"/>
        <v>2013</v>
      </c>
      <c r="GG112" s="104">
        <f t="shared" si="57"/>
        <v>19</v>
      </c>
      <c r="GH112" s="35">
        <v>41403</v>
      </c>
      <c r="GI112" s="26">
        <v>3.17</v>
      </c>
      <c r="GJ112" s="94">
        <f t="shared" si="58"/>
        <v>6.34</v>
      </c>
      <c r="GK112" s="104">
        <f t="shared" si="59"/>
        <v>2016</v>
      </c>
      <c r="GL112" s="104">
        <f t="shared" si="60"/>
        <v>25</v>
      </c>
      <c r="GM112" s="35">
        <v>42536</v>
      </c>
      <c r="GN112" s="26">
        <v>1.25</v>
      </c>
      <c r="GO112" s="94">
        <f t="shared" si="61"/>
        <v>2.5</v>
      </c>
      <c r="GP112" s="59"/>
    </row>
    <row r="113" ht="16.8" spans="3:198">
      <c r="C113" s="80" t="str" cm="1">
        <f t="array" ref="C113">_xlfn.IFS(MONTH(D113)&lt;4,1,MONTH(D113)&lt;7,2,MONTH(D113)&lt;10,3,MONTH(D113)&gt;9,4)&amp;"Q"&amp;RIGHT(YEAR(D113),2)</f>
        <v>2Q16</v>
      </c>
      <c r="D113" s="81">
        <f t="shared" si="69"/>
        <v>42551</v>
      </c>
      <c r="E113" s="82">
        <f t="shared" si="65"/>
        <v>42549</v>
      </c>
      <c r="F113" s="83">
        <f t="shared" si="66"/>
        <v>0.454125</v>
      </c>
      <c r="G113" s="83">
        <f t="shared" si="66"/>
        <v>0.3675</v>
      </c>
      <c r="H113" s="81"/>
      <c r="I113" s="84">
        <v>42549</v>
      </c>
      <c r="J113" s="85">
        <v>3.95</v>
      </c>
      <c r="K113" s="85">
        <v>3.3</v>
      </c>
      <c r="L113" s="86">
        <v>3.633</v>
      </c>
      <c r="M113" s="94" cm="1">
        <f t="array" ref="M113">INDEX($BV$29:$BV$1449,MATCH($D113,$BR$29:$BR$1449,0),)</f>
        <v>2.94</v>
      </c>
      <c r="N113" s="88"/>
      <c r="O113" s="88"/>
      <c r="P113" s="88"/>
      <c r="Q113" s="89">
        <f t="shared" si="67"/>
        <v>0.235714285714286</v>
      </c>
      <c r="AH113" s="105">
        <f t="shared" si="79"/>
        <v>43132</v>
      </c>
      <c r="AI113" s="91">
        <f t="shared" si="70"/>
        <v>9.364</v>
      </c>
      <c r="AJ113" s="36">
        <f t="shared" si="71"/>
        <v>-0.0228529687989146</v>
      </c>
      <c r="AK113" s="36">
        <f t="shared" si="76"/>
        <v>-0.0296373056994819</v>
      </c>
      <c r="AL113" s="105"/>
      <c r="AM113" s="91"/>
      <c r="AN113" s="36"/>
      <c r="AO113" s="36"/>
      <c r="AP113" s="36"/>
      <c r="AQ113" s="92" t="str" cm="1">
        <f t="array" ref="AQ113">_xlfn.IFS(MONTH(AR113)&lt;4,1,MONTH(AR113)&lt;7,2,MONTH(AR113)&lt;10,3,MONTH(AR113)&gt;9,4)&amp;"Q"&amp;RIGHT(YEAR(AR113),2)</f>
        <v>3Q20</v>
      </c>
      <c r="AR113" s="92">
        <f t="shared" si="72"/>
        <v>44104</v>
      </c>
      <c r="AS113" s="109">
        <v>44088</v>
      </c>
      <c r="AT113" s="110"/>
      <c r="AU113" s="94" cm="1">
        <f t="array" ref="AU113">INDEX($CE$29:$CE$1449,MATCH($AR113,$CA$29:$CA$1449,0),)</f>
        <v>122</v>
      </c>
      <c r="AV113" s="110"/>
      <c r="AW113" s="94" cm="1">
        <f t="array" ref="AW113">INDEX($CF$29:$CF$1449,MATCH($AR113,$CA$29:$CA$1449,0),)</f>
        <v>246</v>
      </c>
      <c r="AX113" s="94"/>
      <c r="AY113" s="94"/>
      <c r="AZ113" s="94"/>
      <c r="BA113" s="94"/>
      <c r="BB113" s="5"/>
      <c r="BC113" s="5"/>
      <c r="BD113" s="5"/>
      <c r="BE113" s="5"/>
      <c r="BF113" s="5"/>
      <c r="BG113" s="5"/>
      <c r="BH113" s="5"/>
      <c r="BI113" s="5"/>
      <c r="BJ113" s="5"/>
      <c r="BK113" s="5"/>
      <c r="BL113" s="5"/>
      <c r="BM113" s="5"/>
      <c r="BN113" s="5"/>
      <c r="BO113" s="5">
        <f t="shared" si="73"/>
        <v>2023</v>
      </c>
      <c r="BQ113" s="95" t="str" cm="1">
        <f t="array" ref="BQ113">_xlfn.IFS(MONTH(BR113)&lt;4,1,MONTH(BR113)&lt;7,2,MONTH(BR113)&lt;10,3,MONTH(BR113)&gt;9,4)&amp;"Q"&amp;RIGHT(YEAR(BR113),2)</f>
        <v>2Q23</v>
      </c>
      <c r="BR113" s="81">
        <f t="shared" si="74"/>
        <v>45107</v>
      </c>
      <c r="BS113" s="106">
        <f t="shared" si="75"/>
        <v>45107</v>
      </c>
      <c r="BV113" s="122">
        <v>1.36</v>
      </c>
      <c r="BW113" s="122">
        <v>2.85</v>
      </c>
      <c r="BX113" s="122">
        <v>3.17</v>
      </c>
      <c r="CA113" s="35">
        <f t="shared" si="86"/>
        <v>45107</v>
      </c>
      <c r="CB113" s="26">
        <v>28.52</v>
      </c>
      <c r="CC113" s="26">
        <v>24.8</v>
      </c>
      <c r="CD113" s="119">
        <v>12.9</v>
      </c>
      <c r="CE113" s="119">
        <v>49.5</v>
      </c>
      <c r="CF113" s="119">
        <v>100</v>
      </c>
      <c r="CG113" s="119">
        <v>81.9</v>
      </c>
      <c r="CH113" s="119">
        <v>152.25</v>
      </c>
      <c r="CI113" s="119">
        <v>78</v>
      </c>
      <c r="CJ113" s="119">
        <v>145</v>
      </c>
      <c r="CK113" s="119"/>
      <c r="CL113" s="119"/>
      <c r="CM113" s="119"/>
      <c r="CN113" s="119"/>
      <c r="CO113" s="126">
        <f t="shared" si="82"/>
        <v>79.95</v>
      </c>
      <c r="CP113" s="126">
        <f t="shared" si="82"/>
        <v>148.625</v>
      </c>
      <c r="CQ113" s="119">
        <v>1.05</v>
      </c>
      <c r="CR113" s="119">
        <v>1.05</v>
      </c>
      <c r="CS113" s="36"/>
      <c r="CT113" s="123">
        <f t="shared" si="77"/>
        <v>0.15</v>
      </c>
      <c r="CU113" s="123">
        <f t="shared" si="83"/>
        <v>0.615151515151515</v>
      </c>
      <c r="CV113" s="123">
        <f t="shared" si="83"/>
        <v>0.48625</v>
      </c>
      <c r="CX113" s="125">
        <f t="shared" si="87"/>
        <v>-0.0236220472440946</v>
      </c>
      <c r="CY113" s="125">
        <f t="shared" si="87"/>
        <v>-0.0236220472440944</v>
      </c>
      <c r="CZ113" s="125">
        <f t="shared" si="87"/>
        <v>-0.0227272727272726</v>
      </c>
      <c r="DA113" s="125">
        <f t="shared" si="87"/>
        <v>-0.0294117647058824</v>
      </c>
      <c r="DB113" s="125">
        <f t="shared" si="87"/>
        <v>-0.029126213592233</v>
      </c>
      <c r="DC113" s="125">
        <f t="shared" si="87"/>
        <v>-0.037037037037037</v>
      </c>
      <c r="DD113" s="125">
        <f t="shared" si="87"/>
        <v>-0.0333333333333333</v>
      </c>
      <c r="DE113" s="125">
        <f>CI113/CI112-1</f>
        <v>-0.0370370370370371</v>
      </c>
      <c r="DF113" s="125">
        <f>CJ113/CJ112-1</f>
        <v>-0.0333333333333333</v>
      </c>
      <c r="DG113" s="125"/>
      <c r="DH113" s="125"/>
      <c r="DI113" s="125"/>
      <c r="DJ113" s="125"/>
      <c r="DK113" s="125">
        <f>CO113/CO112-1</f>
        <v>-0.0370370370370371</v>
      </c>
      <c r="DL113" s="125">
        <f>CP113/CP112-1</f>
        <v>-0.0333333333333333</v>
      </c>
      <c r="DM113" s="125">
        <f t="shared" si="64"/>
        <v>-0.0277777777777778</v>
      </c>
      <c r="DN113" s="125">
        <f t="shared" si="64"/>
        <v>-0.0277777777777778</v>
      </c>
      <c r="DQ113" s="114">
        <f t="shared" si="80"/>
        <v>1.546875</v>
      </c>
      <c r="DR113" s="124">
        <f t="shared" si="81"/>
        <v>1.5625</v>
      </c>
      <c r="DS113" s="124">
        <f t="shared" si="84"/>
        <v>2.4984375</v>
      </c>
      <c r="DT113" s="124">
        <f t="shared" si="85"/>
        <v>2.322265625</v>
      </c>
      <c r="DU113" s="124"/>
      <c r="DV113" s="124"/>
      <c r="DW113" s="124"/>
      <c r="DX113" s="124"/>
      <c r="FK113" s="104"/>
      <c r="FV113" s="104">
        <f t="shared" si="50"/>
        <v>2011</v>
      </c>
      <c r="FW113" s="104">
        <f t="shared" si="51"/>
        <v>5</v>
      </c>
      <c r="FX113" s="35">
        <v>40568</v>
      </c>
      <c r="FY113" s="26">
        <v>1.8</v>
      </c>
      <c r="FZ113" s="94">
        <f t="shared" si="52"/>
        <v>7.2</v>
      </c>
      <c r="GA113" s="104">
        <f t="shared" si="53"/>
        <v>2014</v>
      </c>
      <c r="GB113" s="104">
        <f t="shared" si="54"/>
        <v>14</v>
      </c>
      <c r="GC113" s="35">
        <v>41729</v>
      </c>
      <c r="GD113" s="26">
        <v>1.81</v>
      </c>
      <c r="GE113" s="94">
        <f t="shared" si="55"/>
        <v>7.24</v>
      </c>
      <c r="GF113" s="104">
        <f t="shared" si="56"/>
        <v>2013</v>
      </c>
      <c r="GG113" s="104">
        <f t="shared" si="57"/>
        <v>19</v>
      </c>
      <c r="GH113" s="35">
        <v>41404</v>
      </c>
      <c r="GI113" s="26">
        <v>3.17</v>
      </c>
      <c r="GJ113" s="94">
        <f t="shared" si="58"/>
        <v>6.34</v>
      </c>
      <c r="GK113" s="104">
        <f t="shared" si="59"/>
        <v>2016</v>
      </c>
      <c r="GL113" s="104">
        <f t="shared" si="60"/>
        <v>27</v>
      </c>
      <c r="GM113" s="35">
        <v>42551</v>
      </c>
      <c r="GN113" s="26">
        <v>1.25</v>
      </c>
      <c r="GO113" s="94">
        <f t="shared" si="61"/>
        <v>2.5</v>
      </c>
      <c r="GP113" s="59"/>
    </row>
    <row r="114" ht="16.8" spans="3:198">
      <c r="C114" s="80" t="str" cm="1">
        <f t="array" ref="C114">_xlfn.IFS(MONTH(D114)&lt;4,1,MONTH(D114)&lt;7,2,MONTH(D114)&lt;10,3,MONTH(D114)&gt;9,4)&amp;"Q"&amp;RIGHT(YEAR(D114),2)</f>
        <v>2Q16</v>
      </c>
      <c r="D114" s="81">
        <f t="shared" si="69"/>
        <v>42551</v>
      </c>
      <c r="E114" s="82">
        <f t="shared" si="65"/>
        <v>42550</v>
      </c>
      <c r="F114" s="83">
        <f t="shared" si="66"/>
        <v>0.454125</v>
      </c>
      <c r="G114" s="83">
        <f t="shared" si="66"/>
        <v>0.3675</v>
      </c>
      <c r="H114" s="81"/>
      <c r="I114" s="84">
        <v>42550</v>
      </c>
      <c r="J114" s="85">
        <v>3.95</v>
      </c>
      <c r="K114" s="85">
        <v>3.3</v>
      </c>
      <c r="L114" s="86">
        <v>3.633</v>
      </c>
      <c r="M114" s="94" cm="1">
        <f t="array" ref="M114">INDEX($BV$29:$BV$1449,MATCH($D114,$BR$29:$BR$1449,0),)</f>
        <v>2.94</v>
      </c>
      <c r="N114" s="88"/>
      <c r="O114" s="88"/>
      <c r="P114" s="88"/>
      <c r="Q114" s="89">
        <f t="shared" si="67"/>
        <v>0.235714285714286</v>
      </c>
      <c r="AH114" s="105">
        <f t="shared" si="79"/>
        <v>43140</v>
      </c>
      <c r="AI114" s="91">
        <f t="shared" si="70"/>
        <v>9.265</v>
      </c>
      <c r="AJ114" s="36">
        <f t="shared" si="71"/>
        <v>-0.0105724049551474</v>
      </c>
      <c r="AK114" s="36">
        <f t="shared" si="76"/>
        <v>-0.0331837629134926</v>
      </c>
      <c r="AL114" s="105"/>
      <c r="AM114" s="91"/>
      <c r="AN114" s="36"/>
      <c r="AO114" s="36"/>
      <c r="AP114" s="36"/>
      <c r="AQ114" s="92" t="str" cm="1">
        <f t="array" ref="AQ114">_xlfn.IFS(MONTH(AR114)&lt;4,1,MONTH(AR114)&lt;7,2,MONTH(AR114)&lt;10,3,MONTH(AR114)&gt;9,4)&amp;"Q"&amp;RIGHT(YEAR(AR114),2)</f>
        <v>3Q20</v>
      </c>
      <c r="AR114" s="92">
        <f t="shared" si="72"/>
        <v>44104</v>
      </c>
      <c r="AS114" s="109">
        <v>44095</v>
      </c>
      <c r="AT114" s="110"/>
      <c r="AU114" s="94" cm="1">
        <f t="array" ref="AU114">INDEX($CE$29:$CE$1449,MATCH($AR114,$CA$29:$CA$1449,0),)</f>
        <v>122</v>
      </c>
      <c r="AV114" s="110"/>
      <c r="AW114" s="94" cm="1">
        <f t="array" ref="AW114">INDEX($CF$29:$CF$1449,MATCH($AR114,$CA$29:$CA$1449,0),)</f>
        <v>246</v>
      </c>
      <c r="AX114" s="94"/>
      <c r="AY114" s="94"/>
      <c r="AZ114" s="94"/>
      <c r="BA114" s="94"/>
      <c r="BB114" s="5"/>
      <c r="BC114" s="5"/>
      <c r="BD114" s="5"/>
      <c r="BE114" s="5"/>
      <c r="BF114" s="5"/>
      <c r="BG114" s="5"/>
      <c r="BH114" s="5"/>
      <c r="BI114" s="5"/>
      <c r="BJ114" s="5"/>
      <c r="BK114" s="5"/>
      <c r="BL114" s="5"/>
      <c r="BM114" s="5"/>
      <c r="BN114" s="5"/>
      <c r="BO114" s="5">
        <f t="shared" si="73"/>
        <v>2023</v>
      </c>
      <c r="BQ114" s="95" t="str" cm="1">
        <f t="array" ref="BQ114">_xlfn.IFS(MONTH(BR114)&lt;4,1,MONTH(BR114)&lt;7,2,MONTH(BR114)&lt;10,3,MONTH(BR114)&gt;9,4)&amp;"Q"&amp;RIGHT(YEAR(BR114),2)</f>
        <v>3Q23</v>
      </c>
      <c r="BR114" s="81">
        <f t="shared" si="74"/>
        <v>45138</v>
      </c>
      <c r="BS114" s="106">
        <f t="shared" si="75"/>
        <v>45138</v>
      </c>
      <c r="BV114" s="122">
        <v>1.34</v>
      </c>
      <c r="BW114" s="122">
        <v>2.8</v>
      </c>
      <c r="BX114" s="122">
        <v>3.17</v>
      </c>
      <c r="CA114" s="35">
        <f t="shared" si="86"/>
        <v>45138</v>
      </c>
      <c r="CB114" s="26">
        <v>29.6</v>
      </c>
      <c r="CC114" s="26">
        <v>24.4</v>
      </c>
      <c r="CD114" s="119">
        <v>12.7</v>
      </c>
      <c r="CE114" s="119">
        <v>48</v>
      </c>
      <c r="CF114" s="119">
        <v>96</v>
      </c>
      <c r="CG114" s="119">
        <v>80.85</v>
      </c>
      <c r="CH114" s="119">
        <v>151.2</v>
      </c>
      <c r="CI114" s="119">
        <v>77</v>
      </c>
      <c r="CJ114" s="119">
        <v>144</v>
      </c>
      <c r="CK114" s="119"/>
      <c r="CL114" s="119"/>
      <c r="CM114" s="119"/>
      <c r="CN114" s="119"/>
      <c r="CO114" s="126">
        <f t="shared" si="82"/>
        <v>78.925</v>
      </c>
      <c r="CP114" s="126">
        <f t="shared" si="82"/>
        <v>147.6</v>
      </c>
      <c r="CQ114" s="119">
        <v>1.02</v>
      </c>
      <c r="CR114" s="119">
        <v>1.02</v>
      </c>
      <c r="CS114" s="36"/>
      <c r="CT114" s="123">
        <f t="shared" si="77"/>
        <v>0.213114754098361</v>
      </c>
      <c r="CU114" s="123">
        <f t="shared" si="83"/>
        <v>0.644270833333333</v>
      </c>
      <c r="CV114" s="123">
        <f t="shared" si="83"/>
        <v>0.5375</v>
      </c>
      <c r="CX114" s="125">
        <f t="shared" si="87"/>
        <v>0.0378681626928472</v>
      </c>
      <c r="CY114" s="125">
        <f t="shared" si="87"/>
        <v>-0.0161290322580646</v>
      </c>
      <c r="CZ114" s="125">
        <f t="shared" si="87"/>
        <v>-0.0155038759689923</v>
      </c>
      <c r="DA114" s="125">
        <f t="shared" si="87"/>
        <v>-0.0303030303030303</v>
      </c>
      <c r="DB114" s="125">
        <f t="shared" si="87"/>
        <v>-0.04</v>
      </c>
      <c r="DC114" s="125">
        <f t="shared" si="87"/>
        <v>-0.012820512820513</v>
      </c>
      <c r="DD114" s="125">
        <f t="shared" si="87"/>
        <v>-0.00689655172413806</v>
      </c>
      <c r="DE114" s="125">
        <f t="shared" si="87"/>
        <v>-0.0128205128205128</v>
      </c>
      <c r="DF114" s="125">
        <f t="shared" si="87"/>
        <v>-0.00689655172413794</v>
      </c>
      <c r="DG114" s="125"/>
      <c r="DH114" s="125"/>
      <c r="DI114" s="125"/>
      <c r="DJ114" s="125"/>
      <c r="DK114" s="125">
        <f>CO114/CO113-1</f>
        <v>-0.0128205128205129</v>
      </c>
      <c r="DL114" s="125">
        <f>CP114/CP113-1</f>
        <v>-0.00689655172413794</v>
      </c>
      <c r="DM114" s="125">
        <f t="shared" si="64"/>
        <v>-0.0285714285714286</v>
      </c>
      <c r="DN114" s="125">
        <f t="shared" si="64"/>
        <v>-0.0285714285714286</v>
      </c>
      <c r="DQ114" s="114">
        <f t="shared" si="80"/>
        <v>1.5</v>
      </c>
      <c r="DR114" s="124">
        <f t="shared" si="81"/>
        <v>1.5</v>
      </c>
      <c r="DS114" s="124">
        <f t="shared" si="84"/>
        <v>2.46640625</v>
      </c>
      <c r="DT114" s="124">
        <f t="shared" si="85"/>
        <v>2.30625</v>
      </c>
      <c r="DU114" s="124"/>
      <c r="DV114" s="124"/>
      <c r="DW114" s="124"/>
      <c r="DX114" s="124"/>
      <c r="FV114" s="104">
        <f t="shared" si="50"/>
        <v>2011</v>
      </c>
      <c r="FW114" s="104">
        <f t="shared" si="51"/>
        <v>5</v>
      </c>
      <c r="FX114" s="35">
        <v>40569</v>
      </c>
      <c r="FY114" s="26">
        <v>1.83</v>
      </c>
      <c r="FZ114" s="94">
        <f t="shared" si="52"/>
        <v>7.32</v>
      </c>
      <c r="GA114" s="104">
        <f t="shared" si="53"/>
        <v>2014</v>
      </c>
      <c r="GB114" s="104">
        <f t="shared" si="54"/>
        <v>16</v>
      </c>
      <c r="GC114" s="35">
        <v>41743</v>
      </c>
      <c r="GD114" s="26">
        <v>1.75</v>
      </c>
      <c r="GE114" s="94">
        <f t="shared" si="55"/>
        <v>7</v>
      </c>
      <c r="GF114" s="104">
        <f t="shared" si="56"/>
        <v>2013</v>
      </c>
      <c r="GG114" s="104">
        <f t="shared" si="57"/>
        <v>20</v>
      </c>
      <c r="GH114" s="35">
        <v>41407</v>
      </c>
      <c r="GI114" s="26">
        <v>3.17</v>
      </c>
      <c r="GJ114" s="94">
        <f t="shared" si="58"/>
        <v>6.34</v>
      </c>
      <c r="GK114" s="104">
        <f t="shared" si="59"/>
        <v>2016</v>
      </c>
      <c r="GL114" s="104">
        <f t="shared" si="60"/>
        <v>29</v>
      </c>
      <c r="GM114" s="35">
        <v>42566</v>
      </c>
      <c r="GN114" s="26">
        <v>1.34</v>
      </c>
      <c r="GO114" s="94">
        <f t="shared" si="61"/>
        <v>2.68</v>
      </c>
      <c r="GP114" s="59"/>
    </row>
    <row r="115" ht="16.8" spans="3:198">
      <c r="C115" s="80" t="str" cm="1">
        <f t="array" ref="C115">_xlfn.IFS(MONTH(D115)&lt;4,1,MONTH(D115)&lt;7,2,MONTH(D115)&lt;10,3,MONTH(D115)&gt;9,4)&amp;"Q"&amp;RIGHT(YEAR(D115),2)</f>
        <v>2Q16</v>
      </c>
      <c r="D115" s="81">
        <f t="shared" si="69"/>
        <v>42551</v>
      </c>
      <c r="E115" s="82">
        <f t="shared" si="65"/>
        <v>42551</v>
      </c>
      <c r="F115" s="83">
        <f t="shared" si="66"/>
        <v>0.454125</v>
      </c>
      <c r="G115" s="83">
        <f t="shared" si="66"/>
        <v>0.3675</v>
      </c>
      <c r="H115" s="81"/>
      <c r="I115" s="84">
        <v>42551</v>
      </c>
      <c r="J115" s="85">
        <v>3.95</v>
      </c>
      <c r="K115" s="85">
        <v>3.3</v>
      </c>
      <c r="L115" s="86">
        <v>3.633</v>
      </c>
      <c r="M115" s="94" cm="1">
        <f t="array" ref="M115">INDEX($BV$29:$BV$1449,MATCH($D115,$BR$29:$BR$1449,0),)</f>
        <v>2.94</v>
      </c>
      <c r="N115" s="88"/>
      <c r="O115" s="88"/>
      <c r="P115" s="88"/>
      <c r="Q115" s="89">
        <f t="shared" si="67"/>
        <v>0.235714285714286</v>
      </c>
      <c r="AH115" s="105">
        <f t="shared" si="79"/>
        <v>43150</v>
      </c>
      <c r="AI115" s="91">
        <f t="shared" si="70"/>
        <v>9.264</v>
      </c>
      <c r="AJ115" s="36">
        <f t="shared" si="71"/>
        <v>-0.000107933081489597</v>
      </c>
      <c r="AK115" s="36">
        <f t="shared" si="76"/>
        <v>-0.0106791969243915</v>
      </c>
      <c r="AL115" s="105"/>
      <c r="AM115" s="91"/>
      <c r="AN115" s="36"/>
      <c r="AO115" s="36"/>
      <c r="AP115" s="36"/>
      <c r="AQ115" s="92" t="str" cm="1">
        <f t="array" ref="AQ115">_xlfn.IFS(MONTH(AR115)&lt;4,1,MONTH(AR115)&lt;7,2,MONTH(AR115)&lt;10,3,MONTH(AR115)&gt;9,4)&amp;"Q"&amp;RIGHT(YEAR(AR115),2)</f>
        <v>3Q20</v>
      </c>
      <c r="AR115" s="92">
        <f t="shared" si="72"/>
        <v>44104</v>
      </c>
      <c r="AS115" s="109">
        <v>44102</v>
      </c>
      <c r="AT115" s="110"/>
      <c r="AU115" s="94" cm="1">
        <f t="array" ref="AU115">INDEX($CE$29:$CE$1449,MATCH($AR115,$CA$29:$CA$1449,0),)</f>
        <v>122</v>
      </c>
      <c r="AV115" s="110"/>
      <c r="AW115" s="94" cm="1">
        <f t="array" ref="AW115">INDEX($CF$29:$CF$1449,MATCH($AR115,$CA$29:$CA$1449,0),)</f>
        <v>246</v>
      </c>
      <c r="AX115" s="94"/>
      <c r="AY115" s="94"/>
      <c r="AZ115" s="94"/>
      <c r="BA115" s="94"/>
      <c r="BB115" s="5"/>
      <c r="BC115" s="5"/>
      <c r="BD115" s="5"/>
      <c r="BE115" s="5"/>
      <c r="BF115" s="5"/>
      <c r="BG115" s="5"/>
      <c r="BH115" s="5"/>
      <c r="BI115" s="5"/>
      <c r="BJ115" s="5"/>
      <c r="BK115" s="5"/>
      <c r="BL115" s="5"/>
      <c r="BM115" s="5"/>
      <c r="BN115" s="5"/>
      <c r="BO115" s="5">
        <f t="shared" si="73"/>
        <v>2023</v>
      </c>
      <c r="BQ115" s="95" t="str" cm="1">
        <f t="array" ref="BQ115">_xlfn.IFS(MONTH(BR115)&lt;4,1,MONTH(BR115)&lt;7,2,MONTH(BR115)&lt;10,3,MONTH(BR115)&gt;9,4)&amp;"Q"&amp;RIGHT(YEAR(BR115),2)</f>
        <v>3Q23</v>
      </c>
      <c r="BR115" s="81">
        <f t="shared" si="74"/>
        <v>45169</v>
      </c>
      <c r="BS115" s="106">
        <f t="shared" si="75"/>
        <v>45169</v>
      </c>
      <c r="BV115" s="122">
        <v>1.3</v>
      </c>
      <c r="BW115" s="122">
        <v>2.73</v>
      </c>
      <c r="BX115" s="122">
        <v>3.4</v>
      </c>
      <c r="CA115" s="35">
        <f t="shared" si="86"/>
        <v>45169</v>
      </c>
      <c r="CB115" s="26">
        <v>29.6</v>
      </c>
      <c r="CC115" s="26">
        <v>23.8</v>
      </c>
      <c r="CD115" s="119">
        <v>12.4</v>
      </c>
      <c r="CE115" s="119">
        <v>47.5</v>
      </c>
      <c r="CF115" s="119">
        <v>94</v>
      </c>
      <c r="CG115" s="119">
        <v>80.85</v>
      </c>
      <c r="CH115" s="119">
        <v>151.2</v>
      </c>
      <c r="CI115" s="119">
        <v>77</v>
      </c>
      <c r="CJ115" s="119">
        <v>144</v>
      </c>
      <c r="CK115" s="119"/>
      <c r="CL115" s="119"/>
      <c r="CM115" s="119"/>
      <c r="CN115" s="119"/>
      <c r="CO115" s="126">
        <f t="shared" si="82"/>
        <v>78.925</v>
      </c>
      <c r="CP115" s="126">
        <f t="shared" si="82"/>
        <v>147.6</v>
      </c>
      <c r="CQ115" s="119">
        <v>1.02</v>
      </c>
      <c r="CR115" s="119">
        <v>1.02</v>
      </c>
      <c r="CS115" s="36"/>
      <c r="CT115" s="123">
        <f t="shared" si="77"/>
        <v>0.243697478991597</v>
      </c>
      <c r="CU115" s="123">
        <f t="shared" si="83"/>
        <v>0.661578947368421</v>
      </c>
      <c r="CV115" s="123">
        <f t="shared" si="83"/>
        <v>0.570212765957447</v>
      </c>
      <c r="CX115" s="125">
        <f t="shared" si="87"/>
        <v>0</v>
      </c>
      <c r="CY115" s="125">
        <f t="shared" si="87"/>
        <v>-0.0245901639344261</v>
      </c>
      <c r="CZ115" s="125">
        <f t="shared" si="87"/>
        <v>-0.0236220472440944</v>
      </c>
      <c r="DA115" s="125">
        <f>CE115/CE114-1</f>
        <v>-0.0104166666666666</v>
      </c>
      <c r="DB115" s="125">
        <f>CF115/CF114-1</f>
        <v>-0.0208333333333334</v>
      </c>
      <c r="DC115" s="125">
        <f t="shared" si="87"/>
        <v>0</v>
      </c>
      <c r="DD115" s="125">
        <f t="shared" si="87"/>
        <v>0</v>
      </c>
      <c r="DE115" s="125">
        <f t="shared" si="87"/>
        <v>0</v>
      </c>
      <c r="DF115" s="125">
        <f t="shared" si="87"/>
        <v>0</v>
      </c>
      <c r="DG115" s="125"/>
      <c r="DH115" s="125"/>
      <c r="DI115" s="125"/>
      <c r="DJ115" s="125"/>
      <c r="DK115" s="125">
        <f t="shared" ref="DK115:DN130" si="88">CO115/CO114-1</f>
        <v>0</v>
      </c>
      <c r="DL115" s="125">
        <f t="shared" si="88"/>
        <v>0</v>
      </c>
      <c r="DM115" s="125">
        <f t="shared" si="64"/>
        <v>0</v>
      </c>
      <c r="DN115" s="125">
        <f t="shared" si="64"/>
        <v>0</v>
      </c>
      <c r="DQ115" s="114">
        <f t="shared" si="80"/>
        <v>1.484375</v>
      </c>
      <c r="DR115" s="124">
        <f t="shared" si="81"/>
        <v>1.46875</v>
      </c>
      <c r="DS115" s="124">
        <f t="shared" si="84"/>
        <v>2.46640625</v>
      </c>
      <c r="DT115" s="124">
        <f t="shared" si="85"/>
        <v>2.30625</v>
      </c>
      <c r="DU115" s="124"/>
      <c r="DV115" s="124"/>
      <c r="DW115" s="124"/>
      <c r="DX115" s="124"/>
      <c r="FV115" s="104">
        <f t="shared" si="50"/>
        <v>2011</v>
      </c>
      <c r="FW115" s="104">
        <f t="shared" si="51"/>
        <v>5</v>
      </c>
      <c r="FX115" s="35">
        <v>40570</v>
      </c>
      <c r="FY115" s="26">
        <v>2.03</v>
      </c>
      <c r="FZ115" s="94">
        <f t="shared" si="52"/>
        <v>8.12</v>
      </c>
      <c r="GA115" s="104"/>
      <c r="GB115" s="104"/>
      <c r="GE115" s="94"/>
      <c r="GF115" s="104">
        <f t="shared" si="56"/>
        <v>2013</v>
      </c>
      <c r="GG115" s="104">
        <f t="shared" si="57"/>
        <v>20</v>
      </c>
      <c r="GH115" s="35">
        <v>41408</v>
      </c>
      <c r="GI115" s="26">
        <v>3.17</v>
      </c>
      <c r="GJ115" s="94">
        <f t="shared" si="58"/>
        <v>6.34</v>
      </c>
      <c r="GK115" s="104">
        <f t="shared" si="59"/>
        <v>2016</v>
      </c>
      <c r="GL115" s="104">
        <f t="shared" si="60"/>
        <v>31</v>
      </c>
      <c r="GM115" s="127">
        <v>42581</v>
      </c>
      <c r="GN115" s="120">
        <v>1.34</v>
      </c>
      <c r="GO115" s="94">
        <f t="shared" si="61"/>
        <v>2.68</v>
      </c>
      <c r="GP115" s="59"/>
    </row>
    <row r="116" ht="16.8" spans="3:198">
      <c r="C116" s="80" t="str" cm="1">
        <f t="array" ref="C116">_xlfn.IFS(MONTH(D116)&lt;4,1,MONTH(D116)&lt;7,2,MONTH(D116)&lt;10,3,MONTH(D116)&gt;9,4)&amp;"Q"&amp;RIGHT(YEAR(D116),2)</f>
        <v>3Q16</v>
      </c>
      <c r="D116" s="81">
        <f t="shared" si="69"/>
        <v>42582</v>
      </c>
      <c r="E116" s="82">
        <f t="shared" si="65"/>
        <v>42552</v>
      </c>
      <c r="F116" s="83">
        <f t="shared" si="66"/>
        <v>0.454125</v>
      </c>
      <c r="G116" s="83">
        <f t="shared" si="66"/>
        <v>0.375</v>
      </c>
      <c r="H116" s="81"/>
      <c r="I116" s="84">
        <v>42552</v>
      </c>
      <c r="J116" s="85">
        <v>3.95</v>
      </c>
      <c r="K116" s="85">
        <v>3.3</v>
      </c>
      <c r="L116" s="86">
        <v>3.633</v>
      </c>
      <c r="M116" s="94" cm="1">
        <f t="array" ref="M116">INDEX($BV$29:$BV$1449,MATCH($D116,$BR$29:$BR$1449,0),)</f>
        <v>3</v>
      </c>
      <c r="N116" s="88"/>
      <c r="O116" s="88"/>
      <c r="P116" s="88"/>
      <c r="Q116" s="89">
        <f t="shared" si="67"/>
        <v>0.211</v>
      </c>
      <c r="AH116" s="105">
        <f t="shared" si="79"/>
        <v>43158</v>
      </c>
      <c r="AI116" s="91">
        <f t="shared" si="70"/>
        <v>9.17</v>
      </c>
      <c r="AJ116" s="36">
        <f t="shared" si="71"/>
        <v>-0.0101468048359239</v>
      </c>
      <c r="AK116" s="36">
        <f t="shared" si="76"/>
        <v>-0.0102536427415003</v>
      </c>
      <c r="AL116" s="105"/>
      <c r="AM116" s="91"/>
      <c r="AN116" s="36"/>
      <c r="AO116" s="36"/>
      <c r="AP116" s="36"/>
      <c r="AQ116" s="92" t="str" cm="1">
        <f t="array" ref="AQ116">_xlfn.IFS(MONTH(AR116)&lt;4,1,MONTH(AR116)&lt;7,2,MONTH(AR116)&lt;10,3,MONTH(AR116)&gt;9,4)&amp;"Q"&amp;RIGHT(YEAR(AR116),2)</f>
        <v>4Q20</v>
      </c>
      <c r="AR116" s="92">
        <f t="shared" si="72"/>
        <v>44135</v>
      </c>
      <c r="AS116" s="109">
        <v>44109</v>
      </c>
      <c r="AT116" s="110"/>
      <c r="AU116" s="94" cm="1">
        <f t="array" ref="AU116">INDEX($CE$29:$CE$1449,MATCH($AR116,$CA$29:$CA$1449,0),)</f>
        <v>112</v>
      </c>
      <c r="AV116" s="110"/>
      <c r="AW116" s="94" cm="1">
        <f t="array" ref="AW116">INDEX($CF$29:$CF$1449,MATCH($AR116,$CA$29:$CA$1449,0),)</f>
        <v>228</v>
      </c>
      <c r="AX116" s="94"/>
      <c r="AY116" s="94"/>
      <c r="AZ116" s="94"/>
      <c r="BA116" s="94"/>
      <c r="BB116" s="5"/>
      <c r="BC116" s="5"/>
      <c r="BD116" s="5"/>
      <c r="BE116" s="5"/>
      <c r="BF116" s="5"/>
      <c r="BG116" s="5"/>
      <c r="BH116" s="5"/>
      <c r="BI116" s="5"/>
      <c r="BJ116" s="5"/>
      <c r="BK116" s="5"/>
      <c r="BL116" s="5"/>
      <c r="BM116" s="36"/>
      <c r="BN116" s="5"/>
      <c r="BO116" s="5">
        <f t="shared" si="73"/>
        <v>2023</v>
      </c>
      <c r="BQ116" s="95" t="str" cm="1">
        <f t="array" ref="BQ116">_xlfn.IFS(MONTH(BR116)&lt;4,1,MONTH(BR116)&lt;7,2,MONTH(BR116)&lt;10,3,MONTH(BR116)&gt;9,4)&amp;"Q"&amp;RIGHT(YEAR(BR116),2)</f>
        <v>3Q23</v>
      </c>
      <c r="BR116" s="81">
        <f t="shared" si="74"/>
        <v>45199</v>
      </c>
      <c r="BS116" s="106">
        <f t="shared" si="75"/>
        <v>45199</v>
      </c>
      <c r="BV116" s="122">
        <v>1.3</v>
      </c>
      <c r="BW116" s="122">
        <v>2.73</v>
      </c>
      <c r="BX116" s="122">
        <v>3.4</v>
      </c>
      <c r="BY116" s="36"/>
      <c r="CA116" s="35">
        <f t="shared" si="86"/>
        <v>45199</v>
      </c>
      <c r="CB116" s="26">
        <v>29.6</v>
      </c>
      <c r="CC116" s="26">
        <v>23.8</v>
      </c>
      <c r="CD116" s="119">
        <v>12.4</v>
      </c>
      <c r="CE116" s="119">
        <v>47.5</v>
      </c>
      <c r="CF116" s="119">
        <v>94</v>
      </c>
      <c r="CG116" s="119">
        <v>80.85</v>
      </c>
      <c r="CH116" s="119">
        <v>151.2</v>
      </c>
      <c r="CI116" s="119">
        <v>77</v>
      </c>
      <c r="CJ116" s="119">
        <v>144</v>
      </c>
      <c r="CK116" s="119"/>
      <c r="CL116" s="119"/>
      <c r="CM116" s="119"/>
      <c r="CN116" s="119"/>
      <c r="CO116" s="126">
        <f t="shared" si="82"/>
        <v>78.925</v>
      </c>
      <c r="CP116" s="126">
        <f t="shared" si="82"/>
        <v>147.6</v>
      </c>
      <c r="CQ116" s="119">
        <v>1.02</v>
      </c>
      <c r="CR116" s="119">
        <v>1.02</v>
      </c>
      <c r="CS116" s="36"/>
      <c r="CT116" s="123">
        <f t="shared" si="77"/>
        <v>0.243697478991597</v>
      </c>
      <c r="CU116" s="123">
        <f t="shared" si="83"/>
        <v>0.661578947368421</v>
      </c>
      <c r="CV116" s="123">
        <f t="shared" si="83"/>
        <v>0.570212765957447</v>
      </c>
      <c r="CX116" s="125">
        <f t="shared" si="87"/>
        <v>0</v>
      </c>
      <c r="CY116" s="125">
        <f t="shared" si="87"/>
        <v>0</v>
      </c>
      <c r="CZ116" s="125">
        <f t="shared" si="87"/>
        <v>0</v>
      </c>
      <c r="DA116" s="125">
        <f t="shared" si="87"/>
        <v>0</v>
      </c>
      <c r="DB116" s="125">
        <f t="shared" si="87"/>
        <v>0</v>
      </c>
      <c r="DC116" s="125">
        <f t="shared" si="87"/>
        <v>0</v>
      </c>
      <c r="DD116" s="125">
        <f t="shared" si="87"/>
        <v>0</v>
      </c>
      <c r="DE116" s="125">
        <f t="shared" si="87"/>
        <v>0</v>
      </c>
      <c r="DF116" s="125">
        <f t="shared" si="87"/>
        <v>0</v>
      </c>
      <c r="DG116" s="125"/>
      <c r="DH116" s="125"/>
      <c r="DI116" s="125"/>
      <c r="DJ116" s="125"/>
      <c r="DK116" s="125">
        <f t="shared" si="88"/>
        <v>0</v>
      </c>
      <c r="DL116" s="125">
        <f t="shared" si="88"/>
        <v>0</v>
      </c>
      <c r="DM116" s="125">
        <f t="shared" si="64"/>
        <v>0</v>
      </c>
      <c r="DN116" s="125">
        <f t="shared" si="64"/>
        <v>0</v>
      </c>
      <c r="DQ116" s="114">
        <f t="shared" si="80"/>
        <v>1.484375</v>
      </c>
      <c r="DR116" s="124">
        <f t="shared" si="81"/>
        <v>1.46875</v>
      </c>
      <c r="DS116" s="124">
        <f t="shared" si="84"/>
        <v>2.46640625</v>
      </c>
      <c r="DT116" s="124">
        <f t="shared" si="85"/>
        <v>2.30625</v>
      </c>
      <c r="DU116" s="124"/>
      <c r="DV116" s="124"/>
      <c r="DW116" s="124"/>
      <c r="DX116" s="124"/>
      <c r="FV116" s="104">
        <f t="shared" ref="FV116:FV179" si="89">YEAR(FX116)</f>
        <v>2011</v>
      </c>
      <c r="FW116" s="104">
        <f t="shared" ref="FW116:FW179" si="90">WEEKNUM(FX116)</f>
        <v>5</v>
      </c>
      <c r="FX116" s="35">
        <v>40571</v>
      </c>
      <c r="FY116" s="26">
        <v>2.24</v>
      </c>
      <c r="FZ116" s="94">
        <f t="shared" ref="FZ116:FZ179" si="91">FY116*4</f>
        <v>8.96</v>
      </c>
      <c r="GA116" s="104"/>
      <c r="GB116" s="104"/>
      <c r="GE116" s="94"/>
      <c r="GF116" s="104">
        <f t="shared" ref="GF116:GF179" si="92">YEAR(GH116)</f>
        <v>2013</v>
      </c>
      <c r="GG116" s="104">
        <f t="shared" ref="GG116:GG179" si="93">WEEKNUM(GH116)</f>
        <v>20</v>
      </c>
      <c r="GH116" s="35">
        <v>41409</v>
      </c>
      <c r="GI116" s="26">
        <v>3.17</v>
      </c>
      <c r="GJ116" s="94">
        <f t="shared" ref="GJ116:GJ179" si="94">GI116*2</f>
        <v>6.34</v>
      </c>
      <c r="GK116" s="104">
        <f t="shared" ref="GK116:GK120" si="95">YEAR(GM116)</f>
        <v>2016</v>
      </c>
      <c r="GL116" s="104">
        <f t="shared" ref="GL116:GL120" si="96">WEEKNUM(GM116)</f>
        <v>36</v>
      </c>
      <c r="GM116" s="127">
        <f>EOMONTH(GM115,1)</f>
        <v>42613</v>
      </c>
      <c r="GN116" s="120">
        <v>1.38</v>
      </c>
      <c r="GO116" s="94">
        <f t="shared" ref="GO116:GO120" si="97">GN116*2</f>
        <v>2.76</v>
      </c>
      <c r="GP116" s="59"/>
    </row>
    <row r="117" ht="16.8" spans="3:198">
      <c r="C117" s="80" t="str" cm="1">
        <f t="array" ref="C117">_xlfn.IFS(MONTH(D117)&lt;4,1,MONTH(D117)&lt;7,2,MONTH(D117)&lt;10,3,MONTH(D117)&gt;9,4)&amp;"Q"&amp;RIGHT(YEAR(D117),2)</f>
        <v>3Q16</v>
      </c>
      <c r="D117" s="81">
        <f t="shared" si="69"/>
        <v>42582</v>
      </c>
      <c r="E117" s="82">
        <f t="shared" si="65"/>
        <v>42555</v>
      </c>
      <c r="F117" s="83">
        <f t="shared" si="66"/>
        <v>0.454125</v>
      </c>
      <c r="G117" s="83">
        <f t="shared" si="66"/>
        <v>0.375</v>
      </c>
      <c r="H117" s="81"/>
      <c r="I117" s="84">
        <v>42555</v>
      </c>
      <c r="J117" s="85">
        <v>3.95</v>
      </c>
      <c r="K117" s="85">
        <v>3.3</v>
      </c>
      <c r="L117" s="86">
        <v>3.633</v>
      </c>
      <c r="M117" s="94" cm="1">
        <f t="array" ref="M117">INDEX($BV$29:$BV$1449,MATCH($D117,$BR$29:$BR$1449,0),)</f>
        <v>3</v>
      </c>
      <c r="N117" s="88"/>
      <c r="O117" s="88"/>
      <c r="P117" s="88"/>
      <c r="Q117" s="89">
        <f t="shared" si="67"/>
        <v>0.211</v>
      </c>
      <c r="AH117" s="105">
        <f t="shared" si="79"/>
        <v>43166</v>
      </c>
      <c r="AI117" s="91">
        <f t="shared" si="70"/>
        <v>9.119</v>
      </c>
      <c r="AJ117" s="36">
        <f t="shared" si="71"/>
        <v>-0.00556161395856059</v>
      </c>
      <c r="AK117" s="36">
        <f t="shared" si="76"/>
        <v>-0.0156519861830742</v>
      </c>
      <c r="AL117" s="105"/>
      <c r="AM117" s="91"/>
      <c r="AN117" s="36"/>
      <c r="AO117" s="36"/>
      <c r="AP117" s="36"/>
      <c r="AQ117" s="92" t="str" cm="1">
        <f t="array" ref="AQ117">_xlfn.IFS(MONTH(AR117)&lt;4,1,MONTH(AR117)&lt;7,2,MONTH(AR117)&lt;10,3,MONTH(AR117)&gt;9,4)&amp;"Q"&amp;RIGHT(YEAR(AR117),2)</f>
        <v>4Q20</v>
      </c>
      <c r="AR117" s="92">
        <f t="shared" si="72"/>
        <v>44135</v>
      </c>
      <c r="AS117" s="109">
        <v>44116</v>
      </c>
      <c r="AT117" s="110"/>
      <c r="AU117" s="94" cm="1">
        <f t="array" ref="AU117">INDEX($CE$29:$CE$1449,MATCH($AR117,$CA$29:$CA$1449,0),)</f>
        <v>112</v>
      </c>
      <c r="AV117" s="110"/>
      <c r="AW117" s="94" cm="1">
        <f t="array" ref="AW117">INDEX($CF$29:$CF$1449,MATCH($AR117,$CA$29:$CA$1449,0),)</f>
        <v>228</v>
      </c>
      <c r="AX117" s="94"/>
      <c r="AY117" s="94"/>
      <c r="AZ117" s="94"/>
      <c r="BA117" s="94"/>
      <c r="BB117" s="5"/>
      <c r="BC117" s="5"/>
      <c r="BD117" s="5"/>
      <c r="BE117" s="5"/>
      <c r="BF117" s="5"/>
      <c r="BG117" s="5"/>
      <c r="BH117" s="5"/>
      <c r="BI117" s="5"/>
      <c r="BJ117" s="5"/>
      <c r="BK117" s="5"/>
      <c r="BL117" s="5"/>
      <c r="BM117" s="36"/>
      <c r="BN117" s="5"/>
      <c r="BO117" s="5">
        <f t="shared" si="73"/>
        <v>2023</v>
      </c>
      <c r="BQ117" s="95" t="str" cm="1">
        <f t="array" ref="BQ117">_xlfn.IFS(MONTH(BR117)&lt;4,1,MONTH(BR117)&lt;7,2,MONTH(BR117)&lt;10,3,MONTH(BR117)&gt;9,4)&amp;"Q"&amp;RIGHT(YEAR(BR117),2)</f>
        <v>4Q23</v>
      </c>
      <c r="BR117" s="81">
        <f t="shared" si="74"/>
        <v>45230</v>
      </c>
      <c r="BS117" s="106">
        <f t="shared" si="75"/>
        <v>45230</v>
      </c>
      <c r="BV117" s="122">
        <v>1.5</v>
      </c>
      <c r="BW117" s="122">
        <v>3</v>
      </c>
      <c r="BX117" s="122">
        <v>3.8</v>
      </c>
      <c r="CA117" s="35">
        <f t="shared" si="86"/>
        <v>45230</v>
      </c>
      <c r="CB117" s="26">
        <v>33</v>
      </c>
      <c r="CC117" s="26">
        <v>26.4</v>
      </c>
      <c r="CD117" s="119">
        <v>13.7</v>
      </c>
      <c r="CE117" s="119">
        <v>50</v>
      </c>
      <c r="CF117" s="119">
        <v>100</v>
      </c>
      <c r="CG117" s="119">
        <v>81.9</v>
      </c>
      <c r="CH117" s="119">
        <v>153.3</v>
      </c>
      <c r="CI117" s="119">
        <v>78</v>
      </c>
      <c r="CJ117" s="119">
        <v>146</v>
      </c>
      <c r="CK117" s="119"/>
      <c r="CL117" s="119"/>
      <c r="CM117" s="119"/>
      <c r="CN117" s="119"/>
      <c r="CO117" s="126">
        <f t="shared" si="82"/>
        <v>79.95</v>
      </c>
      <c r="CP117" s="126">
        <f t="shared" si="82"/>
        <v>149.65</v>
      </c>
      <c r="CQ117" s="119">
        <v>1.1</v>
      </c>
      <c r="CR117" s="119">
        <v>1.07</v>
      </c>
      <c r="CS117" s="36"/>
      <c r="CT117" s="123">
        <f t="shared" si="77"/>
        <v>0.25</v>
      </c>
      <c r="CU117" s="123">
        <f t="shared" si="83"/>
        <v>0.599</v>
      </c>
      <c r="CV117" s="123">
        <f t="shared" si="83"/>
        <v>0.4965</v>
      </c>
      <c r="CX117" s="125">
        <f t="shared" si="87"/>
        <v>0.114864864864865</v>
      </c>
      <c r="CY117" s="125">
        <f t="shared" si="87"/>
        <v>0.109243697478991</v>
      </c>
      <c r="CZ117" s="125">
        <f t="shared" si="87"/>
        <v>0.104838709677419</v>
      </c>
      <c r="DA117" s="125">
        <f t="shared" si="87"/>
        <v>0.0526315789473684</v>
      </c>
      <c r="DB117" s="125">
        <f t="shared" si="87"/>
        <v>0.0638297872340425</v>
      </c>
      <c r="DC117" s="125">
        <f t="shared" si="87"/>
        <v>0.0129870129870131</v>
      </c>
      <c r="DD117" s="125">
        <f t="shared" si="87"/>
        <v>0.0138888888888891</v>
      </c>
      <c r="DE117" s="125">
        <f t="shared" si="87"/>
        <v>0.0129870129870129</v>
      </c>
      <c r="DF117" s="125">
        <f t="shared" si="87"/>
        <v>0.0138888888888888</v>
      </c>
      <c r="DG117" s="125"/>
      <c r="DH117" s="125"/>
      <c r="DI117" s="125"/>
      <c r="DJ117" s="125"/>
      <c r="DK117" s="125">
        <f t="shared" si="88"/>
        <v>0.0129870129870131</v>
      </c>
      <c r="DL117" s="125">
        <f t="shared" si="88"/>
        <v>0.0138888888888891</v>
      </c>
      <c r="DM117" s="125">
        <f t="shared" si="64"/>
        <v>0.0784313725490198</v>
      </c>
      <c r="DN117" s="125">
        <f t="shared" si="64"/>
        <v>0.0490196078431373</v>
      </c>
      <c r="DQ117" s="114">
        <f t="shared" si="80"/>
        <v>1.5625</v>
      </c>
      <c r="DR117" s="124">
        <f t="shared" si="81"/>
        <v>1.5625</v>
      </c>
      <c r="DS117" s="124">
        <f t="shared" si="84"/>
        <v>2.4984375</v>
      </c>
      <c r="DT117" s="124">
        <f t="shared" si="85"/>
        <v>2.33828125</v>
      </c>
      <c r="DU117" s="124"/>
      <c r="DV117" s="124"/>
      <c r="DW117" s="124"/>
      <c r="DX117" s="124"/>
      <c r="FV117" s="104">
        <f t="shared" si="89"/>
        <v>2011</v>
      </c>
      <c r="FW117" s="104">
        <f t="shared" si="90"/>
        <v>6</v>
      </c>
      <c r="FX117" s="35">
        <v>40574</v>
      </c>
      <c r="FY117" s="26">
        <v>2.27</v>
      </c>
      <c r="FZ117" s="94">
        <f t="shared" si="91"/>
        <v>9.08</v>
      </c>
      <c r="GA117" s="104"/>
      <c r="GB117" s="104"/>
      <c r="GE117" s="94"/>
      <c r="GF117" s="104">
        <f t="shared" si="92"/>
        <v>2013</v>
      </c>
      <c r="GG117" s="104">
        <f t="shared" si="93"/>
        <v>20</v>
      </c>
      <c r="GH117" s="35">
        <v>41410</v>
      </c>
      <c r="GI117" s="26">
        <v>3.165</v>
      </c>
      <c r="GJ117" s="94">
        <f t="shared" si="94"/>
        <v>6.33</v>
      </c>
      <c r="GK117" s="104">
        <f t="shared" si="95"/>
        <v>2016</v>
      </c>
      <c r="GL117" s="104">
        <f t="shared" si="96"/>
        <v>40</v>
      </c>
      <c r="GM117" s="127">
        <f>EOMONTH(GM116,1)</f>
        <v>42643</v>
      </c>
      <c r="GN117" s="120">
        <v>1.5</v>
      </c>
      <c r="GO117" s="94">
        <f t="shared" si="97"/>
        <v>3</v>
      </c>
      <c r="GP117" s="59"/>
    </row>
    <row r="118" ht="16.8" spans="3:198">
      <c r="C118" s="80" t="str" cm="1">
        <f t="array" ref="C118">_xlfn.IFS(MONTH(D118)&lt;4,1,MONTH(D118)&lt;7,2,MONTH(D118)&lt;10,3,MONTH(D118)&gt;9,4)&amp;"Q"&amp;RIGHT(YEAR(D118),2)</f>
        <v>3Q16</v>
      </c>
      <c r="D118" s="81">
        <f t="shared" si="69"/>
        <v>42582</v>
      </c>
      <c r="E118" s="82">
        <f t="shared" si="65"/>
        <v>42556</v>
      </c>
      <c r="F118" s="83">
        <f t="shared" si="66"/>
        <v>0.454125</v>
      </c>
      <c r="G118" s="83">
        <f t="shared" si="66"/>
        <v>0.375</v>
      </c>
      <c r="H118" s="81"/>
      <c r="I118" s="84">
        <v>42556</v>
      </c>
      <c r="J118" s="85">
        <v>3.95</v>
      </c>
      <c r="K118" s="85">
        <v>3.3</v>
      </c>
      <c r="L118" s="86">
        <v>3.633</v>
      </c>
      <c r="M118" s="94" cm="1">
        <f t="array" ref="M118">INDEX($BV$29:$BV$1449,MATCH($D118,$BR$29:$BR$1449,0),)</f>
        <v>3</v>
      </c>
      <c r="N118" s="88"/>
      <c r="O118" s="88"/>
      <c r="P118" s="88"/>
      <c r="Q118" s="89">
        <f t="shared" si="67"/>
        <v>0.211</v>
      </c>
      <c r="AH118" s="105">
        <f t="shared" si="79"/>
        <v>43174</v>
      </c>
      <c r="AI118" s="91">
        <f t="shared" si="70"/>
        <v>8.983</v>
      </c>
      <c r="AJ118" s="36">
        <f t="shared" si="71"/>
        <v>-0.0149139159995613</v>
      </c>
      <c r="AK118" s="36">
        <f t="shared" si="76"/>
        <v>-0.0203925845147218</v>
      </c>
      <c r="AL118" s="105"/>
      <c r="AM118" s="91"/>
      <c r="AN118" s="36"/>
      <c r="AO118" s="36"/>
      <c r="AP118" s="36"/>
      <c r="AQ118" s="92" t="str" cm="1">
        <f t="array" ref="AQ118">_xlfn.IFS(MONTH(AR118)&lt;4,1,MONTH(AR118)&lt;7,2,MONTH(AR118)&lt;10,3,MONTH(AR118)&gt;9,4)&amp;"Q"&amp;RIGHT(YEAR(AR118),2)</f>
        <v>4Q20</v>
      </c>
      <c r="AR118" s="92">
        <f t="shared" si="72"/>
        <v>44135</v>
      </c>
      <c r="AS118" s="109">
        <v>44123</v>
      </c>
      <c r="AT118" s="110"/>
      <c r="AU118" s="94" cm="1">
        <f t="array" ref="AU118">INDEX($CE$29:$CE$1449,MATCH($AR118,$CA$29:$CA$1449,0),)</f>
        <v>112</v>
      </c>
      <c r="AV118" s="110"/>
      <c r="AW118" s="94" cm="1">
        <f t="array" ref="AW118">INDEX($CF$29:$CF$1449,MATCH($AR118,$CA$29:$CA$1449,0),)</f>
        <v>228</v>
      </c>
      <c r="AX118" s="94"/>
      <c r="AY118" s="94"/>
      <c r="AZ118" s="94"/>
      <c r="BA118" s="94"/>
      <c r="BB118" s="5"/>
      <c r="BC118" s="5"/>
      <c r="BD118" s="5"/>
      <c r="BE118" s="5"/>
      <c r="BF118" s="5"/>
      <c r="BG118" s="5"/>
      <c r="BH118" s="5"/>
      <c r="BI118" s="5"/>
      <c r="BJ118" s="5"/>
      <c r="BK118" s="5"/>
      <c r="BL118" s="5"/>
      <c r="BM118" s="36"/>
      <c r="BN118" s="5"/>
      <c r="BO118" s="5">
        <f t="shared" si="73"/>
        <v>2023</v>
      </c>
      <c r="BQ118" s="95" t="str" cm="1">
        <f t="array" ref="BQ118">_xlfn.IFS(MONTH(BR118)&lt;4,1,MONTH(BR118)&lt;7,2,MONTH(BR118)&lt;10,3,MONTH(BR118)&gt;9,4)&amp;"Q"&amp;RIGHT(YEAR(BR118),2)</f>
        <v>4Q23</v>
      </c>
      <c r="BR118" s="81">
        <f t="shared" si="74"/>
        <v>45260</v>
      </c>
      <c r="BS118" s="106">
        <f t="shared" si="75"/>
        <v>45260</v>
      </c>
      <c r="BV118" s="122">
        <v>1.55</v>
      </c>
      <c r="BW118" s="122">
        <v>3.1</v>
      </c>
      <c r="BX118" s="122">
        <v>3.9</v>
      </c>
      <c r="CA118" s="35">
        <f t="shared" si="86"/>
        <v>45260</v>
      </c>
      <c r="CB118" s="26">
        <v>34</v>
      </c>
      <c r="CC118" s="26">
        <v>26.4</v>
      </c>
      <c r="CD118" s="119">
        <v>13.7</v>
      </c>
      <c r="CE118" s="119">
        <v>51</v>
      </c>
      <c r="CF118" s="119">
        <v>103</v>
      </c>
      <c r="CG118" s="119">
        <v>83.48</v>
      </c>
      <c r="CH118" s="119">
        <v>155.4</v>
      </c>
      <c r="CI118" s="119">
        <v>79.5</v>
      </c>
      <c r="CJ118" s="119">
        <v>148</v>
      </c>
      <c r="CK118" s="119"/>
      <c r="CL118" s="119"/>
      <c r="CM118" s="119"/>
      <c r="CN118" s="119"/>
      <c r="CO118" s="126">
        <f t="shared" si="82"/>
        <v>81.49</v>
      </c>
      <c r="CP118" s="126">
        <f t="shared" si="82"/>
        <v>151.7</v>
      </c>
      <c r="CQ118" s="119">
        <v>1.12</v>
      </c>
      <c r="CR118" s="119">
        <v>1.1</v>
      </c>
      <c r="CS118" s="36"/>
      <c r="CT118" s="123">
        <f t="shared" si="77"/>
        <v>0.287878787878788</v>
      </c>
      <c r="CU118" s="123">
        <f t="shared" si="83"/>
        <v>0.597843137254902</v>
      </c>
      <c r="CV118" s="123">
        <f t="shared" si="83"/>
        <v>0.472815533980582</v>
      </c>
      <c r="CX118" s="125">
        <f t="shared" si="87"/>
        <v>0.0303030303030303</v>
      </c>
      <c r="CY118" s="125">
        <f t="shared" si="87"/>
        <v>0</v>
      </c>
      <c r="CZ118" s="125">
        <f t="shared" si="87"/>
        <v>0</v>
      </c>
      <c r="DA118" s="125">
        <f t="shared" si="87"/>
        <v>0.02</v>
      </c>
      <c r="DB118" s="125">
        <f t="shared" si="87"/>
        <v>0.03</v>
      </c>
      <c r="DC118" s="125">
        <f t="shared" si="87"/>
        <v>0.0192918192918192</v>
      </c>
      <c r="DD118" s="125">
        <f t="shared" si="87"/>
        <v>0.0136986301369864</v>
      </c>
      <c r="DE118" s="125">
        <f t="shared" si="87"/>
        <v>0.0192307692307692</v>
      </c>
      <c r="DF118" s="125">
        <f t="shared" si="87"/>
        <v>0.0136986301369864</v>
      </c>
      <c r="DG118" s="125"/>
      <c r="DH118" s="125"/>
      <c r="DI118" s="125"/>
      <c r="DJ118" s="125"/>
      <c r="DK118" s="125">
        <f t="shared" si="88"/>
        <v>0.0192620387742339</v>
      </c>
      <c r="DL118" s="125">
        <f t="shared" si="88"/>
        <v>0.0136986301369861</v>
      </c>
      <c r="DM118" s="125">
        <f t="shared" si="64"/>
        <v>0.0181818181818183</v>
      </c>
      <c r="DN118" s="125">
        <f t="shared" si="64"/>
        <v>0.0280373831775702</v>
      </c>
      <c r="DQ118" s="114">
        <f t="shared" si="80"/>
        <v>1.59375</v>
      </c>
      <c r="DR118" s="124">
        <f t="shared" si="81"/>
        <v>1.609375</v>
      </c>
      <c r="DS118" s="124">
        <f t="shared" si="84"/>
        <v>2.5465625</v>
      </c>
      <c r="DT118" s="124">
        <f t="shared" si="85"/>
        <v>2.3703125</v>
      </c>
      <c r="DU118" s="124"/>
      <c r="DV118" s="124"/>
      <c r="DW118" s="124"/>
      <c r="DX118" s="124"/>
      <c r="FV118" s="104">
        <f t="shared" si="89"/>
        <v>2011</v>
      </c>
      <c r="FW118" s="104">
        <f t="shared" si="90"/>
        <v>6</v>
      </c>
      <c r="FX118" s="35">
        <v>40575</v>
      </c>
      <c r="FY118" s="26">
        <v>2.27</v>
      </c>
      <c r="FZ118" s="94">
        <f t="shared" si="91"/>
        <v>9.08</v>
      </c>
      <c r="GA118" s="104"/>
      <c r="GB118" s="104"/>
      <c r="GE118" s="94"/>
      <c r="GF118" s="104">
        <f t="shared" si="92"/>
        <v>2013</v>
      </c>
      <c r="GG118" s="104">
        <f t="shared" si="93"/>
        <v>20</v>
      </c>
      <c r="GH118" s="35">
        <v>41411</v>
      </c>
      <c r="GI118" s="26">
        <v>3.165</v>
      </c>
      <c r="GJ118" s="94">
        <f t="shared" si="94"/>
        <v>6.33</v>
      </c>
      <c r="GK118" s="104">
        <f t="shared" si="95"/>
        <v>2016</v>
      </c>
      <c r="GL118" s="104">
        <f t="shared" si="96"/>
        <v>45</v>
      </c>
      <c r="GM118" s="127">
        <f>EOMONTH(GM117,1)</f>
        <v>42674</v>
      </c>
      <c r="GN118" s="120">
        <v>1.88</v>
      </c>
      <c r="GO118" s="94">
        <f t="shared" si="97"/>
        <v>3.76</v>
      </c>
      <c r="GP118" s="59"/>
    </row>
    <row r="119" ht="16.8" spans="3:198">
      <c r="C119" s="80" t="str" cm="1">
        <f t="array" ref="C119">_xlfn.IFS(MONTH(D119)&lt;4,1,MONTH(D119)&lt;7,2,MONTH(D119)&lt;10,3,MONTH(D119)&gt;9,4)&amp;"Q"&amp;RIGHT(YEAR(D119),2)</f>
        <v>3Q16</v>
      </c>
      <c r="D119" s="81">
        <f t="shared" si="69"/>
        <v>42582</v>
      </c>
      <c r="E119" s="82">
        <f t="shared" si="65"/>
        <v>42557</v>
      </c>
      <c r="F119" s="83">
        <f t="shared" si="66"/>
        <v>0.454125</v>
      </c>
      <c r="G119" s="83">
        <f t="shared" si="66"/>
        <v>0.375</v>
      </c>
      <c r="H119" s="81"/>
      <c r="I119" s="84">
        <v>42557</v>
      </c>
      <c r="J119" s="85">
        <v>3.95</v>
      </c>
      <c r="K119" s="85">
        <v>3.3</v>
      </c>
      <c r="L119" s="86">
        <v>3.633</v>
      </c>
      <c r="M119" s="94" cm="1">
        <f t="array" ref="M119">INDEX($BV$29:$BV$1449,MATCH($D119,$BR$29:$BR$1449,0),)</f>
        <v>3</v>
      </c>
      <c r="N119" s="88"/>
      <c r="O119" s="88"/>
      <c r="P119" s="88"/>
      <c r="Q119" s="89">
        <f t="shared" si="67"/>
        <v>0.211</v>
      </c>
      <c r="AH119" s="105">
        <f t="shared" si="79"/>
        <v>43182</v>
      </c>
      <c r="AI119" s="91">
        <f t="shared" si="70"/>
        <v>9.04</v>
      </c>
      <c r="AJ119" s="36">
        <f t="shared" si="71"/>
        <v>0.0063453189357674</v>
      </c>
      <c r="AK119" s="36">
        <f t="shared" si="76"/>
        <v>-0.00866323061739238</v>
      </c>
      <c r="AL119" s="105"/>
      <c r="AM119" s="91"/>
      <c r="AN119" s="36"/>
      <c r="AO119" s="36"/>
      <c r="AP119" s="36"/>
      <c r="AQ119" s="92" t="str" cm="1">
        <f t="array" ref="AQ119">_xlfn.IFS(MONTH(AR119)&lt;4,1,MONTH(AR119)&lt;7,2,MONTH(AR119)&lt;10,3,MONTH(AR119)&gt;9,4)&amp;"Q"&amp;RIGHT(YEAR(AR119),2)</f>
        <v>4Q20</v>
      </c>
      <c r="AR119" s="92">
        <f t="shared" si="72"/>
        <v>44135</v>
      </c>
      <c r="AS119" s="109">
        <v>44130</v>
      </c>
      <c r="AT119" s="110"/>
      <c r="AU119" s="94" cm="1">
        <f t="array" ref="AU119">INDEX($CE$29:$CE$1449,MATCH($AR119,$CA$29:$CA$1449,0),)</f>
        <v>112</v>
      </c>
      <c r="AV119" s="110"/>
      <c r="AW119" s="94" cm="1">
        <f t="array" ref="AW119">INDEX($CF$29:$CF$1449,MATCH($AR119,$CA$29:$CA$1449,0),)</f>
        <v>228</v>
      </c>
      <c r="AX119" s="94"/>
      <c r="AY119" s="94"/>
      <c r="AZ119" s="94"/>
      <c r="BA119" s="94"/>
      <c r="BB119" s="5"/>
      <c r="BC119" s="5"/>
      <c r="BD119" s="5"/>
      <c r="BE119" s="5"/>
      <c r="BF119" s="5"/>
      <c r="BG119" s="5"/>
      <c r="BH119" s="5"/>
      <c r="BI119" s="5"/>
      <c r="BJ119" s="5"/>
      <c r="BK119" s="5"/>
      <c r="BL119" s="5"/>
      <c r="BM119" s="36"/>
      <c r="BN119" s="5"/>
      <c r="BO119" s="5">
        <f t="shared" si="73"/>
        <v>2023</v>
      </c>
      <c r="BQ119" s="95" t="str" cm="1">
        <f t="array" ref="BQ119">_xlfn.IFS(MONTH(BR119)&lt;4,1,MONTH(BR119)&lt;7,2,MONTH(BR119)&lt;10,3,MONTH(BR119)&gt;9,4)&amp;"Q"&amp;RIGHT(YEAR(BR119),2)</f>
        <v>4Q23</v>
      </c>
      <c r="BR119" s="81">
        <f t="shared" si="74"/>
        <v>45291</v>
      </c>
      <c r="BS119" s="106">
        <f t="shared" si="75"/>
        <v>45291</v>
      </c>
      <c r="BV119" s="122">
        <v>1.65</v>
      </c>
      <c r="BW119" s="122">
        <v>3.2</v>
      </c>
      <c r="BX119" s="122">
        <v>4</v>
      </c>
      <c r="CA119" s="35">
        <f t="shared" si="86"/>
        <v>45291</v>
      </c>
      <c r="CB119" s="26">
        <v>34</v>
      </c>
      <c r="CC119" s="26">
        <v>26.4</v>
      </c>
      <c r="CD119" s="119">
        <v>13.7</v>
      </c>
      <c r="CE119" s="119">
        <v>57</v>
      </c>
      <c r="CF119" s="119">
        <v>113</v>
      </c>
      <c r="CG119" s="119">
        <v>87.15</v>
      </c>
      <c r="CH119" s="119">
        <v>160.65</v>
      </c>
      <c r="CI119" s="119">
        <v>83</v>
      </c>
      <c r="CJ119" s="119">
        <v>153</v>
      </c>
      <c r="CK119" s="119"/>
      <c r="CL119" s="119"/>
      <c r="CM119" s="119"/>
      <c r="CN119" s="119"/>
      <c r="CO119" s="126">
        <f t="shared" si="82"/>
        <v>85.075</v>
      </c>
      <c r="CP119" s="126">
        <f t="shared" si="82"/>
        <v>156.825</v>
      </c>
      <c r="CQ119" s="119">
        <v>1.12</v>
      </c>
      <c r="CR119" s="119">
        <v>1.1</v>
      </c>
      <c r="CS119" s="36"/>
      <c r="CT119" s="123">
        <f t="shared" si="77"/>
        <v>0.287878787878788</v>
      </c>
      <c r="CU119" s="123">
        <f t="shared" si="83"/>
        <v>0.492543859649123</v>
      </c>
      <c r="CV119" s="123">
        <f t="shared" si="83"/>
        <v>0.387831858407079</v>
      </c>
      <c r="CX119" s="125">
        <f t="shared" si="87"/>
        <v>0</v>
      </c>
      <c r="CY119" s="125">
        <f t="shared" si="87"/>
        <v>0</v>
      </c>
      <c r="CZ119" s="125">
        <f t="shared" si="87"/>
        <v>0</v>
      </c>
      <c r="DA119" s="125">
        <f t="shared" si="87"/>
        <v>0.117647058823529</v>
      </c>
      <c r="DB119" s="125">
        <f t="shared" si="87"/>
        <v>0.0970873786407767</v>
      </c>
      <c r="DC119" s="125">
        <f t="shared" si="87"/>
        <v>0.0439626257786296</v>
      </c>
      <c r="DD119" s="125">
        <f t="shared" si="87"/>
        <v>0.0337837837837838</v>
      </c>
      <c r="DE119" s="125">
        <f t="shared" si="87"/>
        <v>0.0440251572327044</v>
      </c>
      <c r="DF119" s="125">
        <f t="shared" si="87"/>
        <v>0.0337837837837838</v>
      </c>
      <c r="DG119" s="125"/>
      <c r="DH119" s="125"/>
      <c r="DI119" s="125"/>
      <c r="DJ119" s="125"/>
      <c r="DK119" s="125">
        <f t="shared" si="88"/>
        <v>0.0439931279911645</v>
      </c>
      <c r="DL119" s="125">
        <f t="shared" si="88"/>
        <v>0.0337837837837838</v>
      </c>
      <c r="DM119" s="125">
        <f t="shared" si="64"/>
        <v>0</v>
      </c>
      <c r="DN119" s="125">
        <f t="shared" si="64"/>
        <v>0</v>
      </c>
      <c r="DQ119" s="114">
        <f t="shared" si="80"/>
        <v>1.78125</v>
      </c>
      <c r="DR119" s="124">
        <f t="shared" si="81"/>
        <v>1.765625</v>
      </c>
      <c r="DS119" s="124">
        <f t="shared" si="84"/>
        <v>2.65859375</v>
      </c>
      <c r="DT119" s="124">
        <f t="shared" si="85"/>
        <v>2.450390625</v>
      </c>
      <c r="DU119" s="124"/>
      <c r="DV119" s="124"/>
      <c r="DW119" s="124"/>
      <c r="DX119" s="124"/>
      <c r="FV119" s="104">
        <f t="shared" si="89"/>
        <v>2011</v>
      </c>
      <c r="FW119" s="104">
        <f t="shared" si="90"/>
        <v>7</v>
      </c>
      <c r="FX119" s="35">
        <v>40582</v>
      </c>
      <c r="FY119" s="26">
        <v>2.3</v>
      </c>
      <c r="FZ119" s="94">
        <f t="shared" si="91"/>
        <v>9.2</v>
      </c>
      <c r="GA119" s="104"/>
      <c r="GB119" s="104"/>
      <c r="GE119" s="94"/>
      <c r="GF119" s="104">
        <f t="shared" si="92"/>
        <v>2013</v>
      </c>
      <c r="GG119" s="104">
        <f t="shared" si="93"/>
        <v>21</v>
      </c>
      <c r="GH119" s="35">
        <v>41414</v>
      </c>
      <c r="GI119" s="26">
        <v>3.175</v>
      </c>
      <c r="GJ119" s="94">
        <f t="shared" si="94"/>
        <v>6.35</v>
      </c>
      <c r="GK119" s="104">
        <f t="shared" si="95"/>
        <v>2016</v>
      </c>
      <c r="GL119" s="104">
        <f t="shared" si="96"/>
        <v>49</v>
      </c>
      <c r="GM119" s="127">
        <f>EOMONTH(GM118,1)</f>
        <v>42704</v>
      </c>
      <c r="GN119" s="120">
        <v>1.94</v>
      </c>
      <c r="GO119" s="94">
        <f t="shared" si="97"/>
        <v>3.88</v>
      </c>
      <c r="GP119" s="59"/>
    </row>
    <row r="120" ht="16.8" spans="3:198">
      <c r="C120" s="80" t="str" cm="1">
        <f t="array" ref="C120">_xlfn.IFS(MONTH(D120)&lt;4,1,MONTH(D120)&lt;7,2,MONTH(D120)&lt;10,3,MONTH(D120)&gt;9,4)&amp;"Q"&amp;RIGHT(YEAR(D120),2)</f>
        <v>3Q16</v>
      </c>
      <c r="D120" s="81">
        <f t="shared" si="69"/>
        <v>42582</v>
      </c>
      <c r="E120" s="82">
        <f t="shared" si="65"/>
        <v>42558</v>
      </c>
      <c r="F120" s="83">
        <f t="shared" si="66"/>
        <v>0.454125</v>
      </c>
      <c r="G120" s="83">
        <f t="shared" si="66"/>
        <v>0.375</v>
      </c>
      <c r="H120" s="81"/>
      <c r="I120" s="84">
        <v>42558</v>
      </c>
      <c r="J120" s="85">
        <v>3.95</v>
      </c>
      <c r="K120" s="85">
        <v>3.3</v>
      </c>
      <c r="L120" s="86">
        <v>3.633</v>
      </c>
      <c r="M120" s="94" cm="1">
        <f t="array" ref="M120">INDEX($BV$29:$BV$1449,MATCH($D120,$BR$29:$BR$1449,0),)</f>
        <v>3</v>
      </c>
      <c r="N120" s="88"/>
      <c r="O120" s="88"/>
      <c r="P120" s="88"/>
      <c r="Q120" s="89">
        <f t="shared" si="67"/>
        <v>0.211</v>
      </c>
      <c r="AH120" s="105">
        <f t="shared" si="79"/>
        <v>43192</v>
      </c>
      <c r="AI120" s="91">
        <f t="shared" si="70"/>
        <v>9.034</v>
      </c>
      <c r="AJ120" s="36">
        <f t="shared" si="71"/>
        <v>-0.00066371681415911</v>
      </c>
      <c r="AK120" s="36">
        <f t="shared" si="76"/>
        <v>0.00567739062673933</v>
      </c>
      <c r="AL120" s="105"/>
      <c r="AM120" s="91"/>
      <c r="AN120" s="36"/>
      <c r="AO120" s="36"/>
      <c r="AP120" s="36"/>
      <c r="AQ120" s="92" t="str" cm="1">
        <f t="array" ref="AQ120">_xlfn.IFS(MONTH(AR120)&lt;4,1,MONTH(AR120)&lt;7,2,MONTH(AR120)&lt;10,3,MONTH(AR120)&gt;9,4)&amp;"Q"&amp;RIGHT(YEAR(AR120),2)</f>
        <v>4Q20</v>
      </c>
      <c r="AR120" s="92">
        <f t="shared" si="72"/>
        <v>44165</v>
      </c>
      <c r="AS120" s="109">
        <v>44137</v>
      </c>
      <c r="AT120" s="110"/>
      <c r="AU120" s="94" cm="1">
        <f t="array" ref="AU120">INDEX($CE$29:$CE$1449,MATCH($AR120,$CA$29:$CA$1449,0),)</f>
        <v>110</v>
      </c>
      <c r="AV120" s="110"/>
      <c r="AW120" s="94" cm="1">
        <f t="array" ref="AW120">INDEX($CF$29:$CF$1449,MATCH($AR120,$CA$29:$CA$1449,0),)</f>
        <v>220</v>
      </c>
      <c r="AX120" s="94"/>
      <c r="AY120" s="94"/>
      <c r="AZ120" s="94"/>
      <c r="BA120" s="94"/>
      <c r="BB120" s="5"/>
      <c r="BC120" s="5"/>
      <c r="BD120" s="5"/>
      <c r="BE120" s="5"/>
      <c r="BF120" s="5"/>
      <c r="BG120" s="5"/>
      <c r="BH120" s="5"/>
      <c r="BI120" s="5"/>
      <c r="BJ120" s="5"/>
      <c r="BK120" s="5"/>
      <c r="BL120" s="5"/>
      <c r="BM120" s="36"/>
      <c r="BN120" s="5"/>
      <c r="BO120" s="5">
        <f t="shared" si="73"/>
        <v>2024</v>
      </c>
      <c r="BQ120" s="95" t="str" cm="1">
        <f t="array" ref="BQ120">_xlfn.IFS(MONTH(BR120)&lt;4,1,MONTH(BR120)&lt;7,2,MONTH(BR120)&lt;10,3,MONTH(BR120)&gt;9,4)&amp;"Q"&amp;RIGHT(YEAR(BR120),2)</f>
        <v>1Q24</v>
      </c>
      <c r="BR120" s="81">
        <f t="shared" si="74"/>
        <v>45322</v>
      </c>
      <c r="BS120" s="106">
        <f t="shared" si="75"/>
        <v>45322</v>
      </c>
      <c r="BV120" s="122">
        <v>1.8</v>
      </c>
      <c r="BW120" s="122">
        <v>3.6</v>
      </c>
      <c r="BX120" s="122">
        <v>4.1</v>
      </c>
      <c r="CA120" s="35">
        <f t="shared" si="86"/>
        <v>45322</v>
      </c>
      <c r="CB120" s="26">
        <v>38</v>
      </c>
      <c r="CC120" s="26">
        <v>32</v>
      </c>
      <c r="CD120" s="119">
        <v>16.5</v>
      </c>
      <c r="CE120" s="119">
        <v>62</v>
      </c>
      <c r="CF120" s="119">
        <v>124</v>
      </c>
      <c r="CG120" s="119">
        <v>92.4</v>
      </c>
      <c r="CH120" s="119">
        <v>178.5</v>
      </c>
      <c r="CI120" s="119">
        <v>88</v>
      </c>
      <c r="CJ120" s="119">
        <v>170</v>
      </c>
      <c r="CK120" s="119"/>
      <c r="CL120" s="119"/>
      <c r="CM120" s="119"/>
      <c r="CN120" s="119"/>
      <c r="CO120" s="126">
        <f t="shared" si="82"/>
        <v>90.2</v>
      </c>
      <c r="CP120" s="126">
        <f t="shared" si="82"/>
        <v>174.25</v>
      </c>
      <c r="CQ120" s="119">
        <v>1.25</v>
      </c>
      <c r="CR120" s="119">
        <v>1.2</v>
      </c>
      <c r="CS120" s="36"/>
      <c r="CT120" s="123">
        <f t="shared" si="77"/>
        <v>0.1875</v>
      </c>
      <c r="CU120" s="123">
        <f t="shared" si="83"/>
        <v>0.454838709677419</v>
      </c>
      <c r="CV120" s="123">
        <f t="shared" si="83"/>
        <v>0.405241935483871</v>
      </c>
      <c r="CX120" s="125">
        <f t="shared" si="87"/>
        <v>0.117647058823529</v>
      </c>
      <c r="CY120" s="125">
        <f t="shared" si="87"/>
        <v>0.212121212121212</v>
      </c>
      <c r="CZ120" s="125">
        <f t="shared" si="87"/>
        <v>0.204379562043796</v>
      </c>
      <c r="DA120" s="125">
        <f t="shared" si="87"/>
        <v>0.0877192982456141</v>
      </c>
      <c r="DB120" s="125">
        <f t="shared" si="87"/>
        <v>0.0973451327433628</v>
      </c>
      <c r="DC120" s="125">
        <f t="shared" si="87"/>
        <v>0.0602409638554218</v>
      </c>
      <c r="DD120" s="125">
        <f t="shared" si="87"/>
        <v>0.111111111111111</v>
      </c>
      <c r="DE120" s="125">
        <f t="shared" si="87"/>
        <v>0.0602409638554218</v>
      </c>
      <c r="DF120" s="125">
        <f t="shared" si="87"/>
        <v>0.111111111111111</v>
      </c>
      <c r="DG120" s="125"/>
      <c r="DH120" s="125"/>
      <c r="DI120" s="125"/>
      <c r="DJ120" s="125"/>
      <c r="DK120" s="125">
        <f t="shared" si="88"/>
        <v>0.0602409638554218</v>
      </c>
      <c r="DL120" s="125">
        <f t="shared" si="88"/>
        <v>0.111111111111111</v>
      </c>
      <c r="DM120" s="125">
        <f t="shared" si="88"/>
        <v>0.116071428571428</v>
      </c>
      <c r="DN120" s="125">
        <f t="shared" si="88"/>
        <v>0.0909090909090908</v>
      </c>
      <c r="DQ120" s="114">
        <f t="shared" si="80"/>
        <v>1.9375</v>
      </c>
      <c r="DR120" s="124">
        <f t="shared" si="81"/>
        <v>1.9375</v>
      </c>
      <c r="DS120" s="124">
        <f t="shared" si="84"/>
        <v>2.81875</v>
      </c>
      <c r="DT120" s="124">
        <f t="shared" si="85"/>
        <v>2.72265625</v>
      </c>
      <c r="DU120" s="124"/>
      <c r="DV120" s="124"/>
      <c r="DW120" s="124"/>
      <c r="DX120" s="124"/>
      <c r="FV120" s="104">
        <f t="shared" si="89"/>
        <v>2011</v>
      </c>
      <c r="FW120" s="104">
        <f t="shared" si="90"/>
        <v>7</v>
      </c>
      <c r="FX120" s="35">
        <v>40583</v>
      </c>
      <c r="FY120" s="26">
        <v>2.32</v>
      </c>
      <c r="FZ120" s="94">
        <f t="shared" si="91"/>
        <v>9.28</v>
      </c>
      <c r="GA120" s="104"/>
      <c r="GB120" s="104"/>
      <c r="GE120" s="94"/>
      <c r="GF120" s="104">
        <f t="shared" si="92"/>
        <v>2013</v>
      </c>
      <c r="GG120" s="104">
        <f t="shared" si="93"/>
        <v>21</v>
      </c>
      <c r="GH120" s="35">
        <v>41415</v>
      </c>
      <c r="GI120" s="26">
        <v>3.19</v>
      </c>
      <c r="GJ120" s="94">
        <f t="shared" si="94"/>
        <v>6.38</v>
      </c>
      <c r="GK120" s="104">
        <f t="shared" si="95"/>
        <v>2016</v>
      </c>
      <c r="GL120" s="104">
        <f t="shared" si="96"/>
        <v>53</v>
      </c>
      <c r="GM120" s="127">
        <f>EOMONTH(GM119,1)</f>
        <v>42735</v>
      </c>
      <c r="GN120" s="120">
        <v>1.94</v>
      </c>
      <c r="GO120" s="94">
        <f t="shared" si="97"/>
        <v>3.88</v>
      </c>
      <c r="GP120" s="59"/>
    </row>
    <row r="121" ht="16.8" spans="3:198">
      <c r="C121" s="80" t="str" cm="1">
        <f t="array" ref="C121">_xlfn.IFS(MONTH(D121)&lt;4,1,MONTH(D121)&lt;7,2,MONTH(D121)&lt;10,3,MONTH(D121)&gt;9,4)&amp;"Q"&amp;RIGHT(YEAR(D121),2)</f>
        <v>3Q16</v>
      </c>
      <c r="D121" s="81">
        <f t="shared" si="69"/>
        <v>42582</v>
      </c>
      <c r="E121" s="82">
        <f t="shared" si="65"/>
        <v>42559</v>
      </c>
      <c r="F121" s="83">
        <f t="shared" si="66"/>
        <v>0.454125</v>
      </c>
      <c r="G121" s="83">
        <f t="shared" si="66"/>
        <v>0.375</v>
      </c>
      <c r="H121" s="81"/>
      <c r="I121" s="84">
        <v>42559</v>
      </c>
      <c r="J121" s="85">
        <v>3.95</v>
      </c>
      <c r="K121" s="85">
        <v>3.3</v>
      </c>
      <c r="L121" s="86">
        <v>3.633</v>
      </c>
      <c r="M121" s="94" cm="1">
        <f t="array" ref="M121">INDEX($BV$29:$BV$1449,MATCH($D121,$BR$29:$BR$1449,0),)</f>
        <v>3</v>
      </c>
      <c r="N121" s="88"/>
      <c r="O121" s="88"/>
      <c r="P121" s="88"/>
      <c r="Q121" s="89">
        <f t="shared" si="67"/>
        <v>0.211</v>
      </c>
      <c r="AH121" s="105">
        <f t="shared" si="79"/>
        <v>43200</v>
      </c>
      <c r="AI121" s="91">
        <f t="shared" si="70"/>
        <v>9.034</v>
      </c>
      <c r="AJ121" s="36">
        <f t="shared" si="71"/>
        <v>0</v>
      </c>
      <c r="AK121" s="36">
        <f t="shared" si="76"/>
        <v>-0.00066371681415911</v>
      </c>
      <c r="AL121" s="105"/>
      <c r="AM121" s="91"/>
      <c r="AN121" s="36"/>
      <c r="AO121" s="36"/>
      <c r="AP121" s="36"/>
      <c r="AQ121" s="92" t="str" cm="1">
        <f t="array" ref="AQ121">_xlfn.IFS(MONTH(AR121)&lt;4,1,MONTH(AR121)&lt;7,2,MONTH(AR121)&lt;10,3,MONTH(AR121)&gt;9,4)&amp;"Q"&amp;RIGHT(YEAR(AR121),2)</f>
        <v>4Q20</v>
      </c>
      <c r="AR121" s="92">
        <f t="shared" si="72"/>
        <v>44165</v>
      </c>
      <c r="AS121" s="109">
        <v>44144</v>
      </c>
      <c r="AT121" s="110"/>
      <c r="AU121" s="94" cm="1">
        <f t="array" ref="AU121">INDEX($CE$29:$CE$1449,MATCH($AR121,$CA$29:$CA$1449,0),)</f>
        <v>110</v>
      </c>
      <c r="AV121" s="110"/>
      <c r="AW121" s="94" cm="1">
        <f t="array" ref="AW121">INDEX($CF$29:$CF$1449,MATCH($AR121,$CA$29:$CA$1449,0),)</f>
        <v>220</v>
      </c>
      <c r="AX121" s="94"/>
      <c r="AY121" s="94"/>
      <c r="AZ121" s="94"/>
      <c r="BA121" s="94"/>
      <c r="BB121" s="5"/>
      <c r="BC121" s="5"/>
      <c r="BD121" s="5"/>
      <c r="BE121" s="5"/>
      <c r="BF121" s="5"/>
      <c r="BG121" s="5"/>
      <c r="BH121" s="5"/>
      <c r="BI121" s="5"/>
      <c r="BJ121" s="5"/>
      <c r="BK121" s="5"/>
      <c r="BL121" s="5"/>
      <c r="BM121" s="36"/>
      <c r="BN121" s="5"/>
      <c r="BO121" s="5">
        <f t="shared" si="73"/>
        <v>2024</v>
      </c>
      <c r="BQ121" s="95" t="str" cm="1">
        <f t="array" ref="BQ121">_xlfn.IFS(MONTH(BR121)&lt;4,1,MONTH(BR121)&lt;7,2,MONTH(BR121)&lt;10,3,MONTH(BR121)&gt;9,4)&amp;"Q"&amp;RIGHT(YEAR(BR121),2)</f>
        <v>1Q24</v>
      </c>
      <c r="BR121" s="81">
        <f t="shared" si="74"/>
        <v>45351</v>
      </c>
      <c r="BS121" s="106">
        <f t="shared" si="75"/>
        <v>45351</v>
      </c>
      <c r="BV121" s="122">
        <v>1.8</v>
      </c>
      <c r="BW121" s="122">
        <v>3.6</v>
      </c>
      <c r="BX121" s="122">
        <v>4.1</v>
      </c>
      <c r="CA121" s="35">
        <f t="shared" si="86"/>
        <v>45351</v>
      </c>
      <c r="CB121" s="26">
        <v>38</v>
      </c>
      <c r="CC121" s="26">
        <v>32</v>
      </c>
      <c r="CD121" s="119">
        <v>16.5</v>
      </c>
      <c r="CE121" s="119">
        <v>63.5</v>
      </c>
      <c r="CF121" s="119">
        <v>127</v>
      </c>
      <c r="CG121" s="119">
        <v>95.55</v>
      </c>
      <c r="CH121" s="119">
        <v>185.85</v>
      </c>
      <c r="CI121" s="119">
        <v>91</v>
      </c>
      <c r="CJ121" s="119">
        <v>177</v>
      </c>
      <c r="CK121" s="119">
        <v>148.68</v>
      </c>
      <c r="CL121" s="119">
        <v>325.24</v>
      </c>
      <c r="CM121" s="119">
        <v>1550</v>
      </c>
      <c r="CN121" s="119"/>
      <c r="CO121" s="126">
        <f t="shared" si="82"/>
        <v>93.275</v>
      </c>
      <c r="CP121" s="126">
        <f t="shared" si="82"/>
        <v>181.425</v>
      </c>
      <c r="CQ121" s="119">
        <v>1.27</v>
      </c>
      <c r="CR121" s="119">
        <v>1.21</v>
      </c>
      <c r="CS121" s="36"/>
      <c r="CT121" s="123">
        <f t="shared" si="77"/>
        <v>0.1875</v>
      </c>
      <c r="CU121" s="123">
        <f t="shared" si="83"/>
        <v>0.468897637795276</v>
      </c>
      <c r="CV121" s="123">
        <f t="shared" si="83"/>
        <v>0.428543307086614</v>
      </c>
      <c r="CX121" s="125">
        <f t="shared" si="87"/>
        <v>0</v>
      </c>
      <c r="CY121" s="125">
        <f t="shared" si="87"/>
        <v>0</v>
      </c>
      <c r="CZ121" s="125">
        <f t="shared" si="87"/>
        <v>0</v>
      </c>
      <c r="DA121" s="125">
        <f t="shared" si="87"/>
        <v>0.0241935483870968</v>
      </c>
      <c r="DB121" s="125">
        <f t="shared" si="87"/>
        <v>0.0241935483870968</v>
      </c>
      <c r="DC121" s="125">
        <f t="shared" si="87"/>
        <v>0.0340909090909089</v>
      </c>
      <c r="DD121" s="125">
        <f t="shared" si="87"/>
        <v>0.0411764705882354</v>
      </c>
      <c r="DE121" s="125">
        <f t="shared" si="87"/>
        <v>0.0340909090909092</v>
      </c>
      <c r="DF121" s="125">
        <f t="shared" si="87"/>
        <v>0.0411764705882354</v>
      </c>
      <c r="DG121" s="125"/>
      <c r="DH121" s="125"/>
      <c r="DI121" s="125"/>
      <c r="DJ121" s="125"/>
      <c r="DK121" s="125">
        <f t="shared" si="88"/>
        <v>0.0340909090909092</v>
      </c>
      <c r="DL121" s="125">
        <f t="shared" si="88"/>
        <v>0.0411764705882354</v>
      </c>
      <c r="DM121" s="125">
        <f t="shared" si="88"/>
        <v>0.016</v>
      </c>
      <c r="DN121" s="125">
        <f t="shared" si="88"/>
        <v>0.0083333333333333</v>
      </c>
      <c r="DQ121" s="114">
        <f t="shared" si="80"/>
        <v>1.984375</v>
      </c>
      <c r="DR121" s="124">
        <f t="shared" si="81"/>
        <v>1.984375</v>
      </c>
      <c r="DS121" s="124">
        <f t="shared" si="84"/>
        <v>2.91484375</v>
      </c>
      <c r="DT121" s="124">
        <f t="shared" si="85"/>
        <v>2.834765625</v>
      </c>
      <c r="DU121" s="124">
        <f t="shared" ref="DU121:DU148" si="98">CK121/48</f>
        <v>3.0975</v>
      </c>
      <c r="DV121" s="124">
        <f t="shared" ref="DV121:DV148" si="99">CL121/96</f>
        <v>3.38791666666667</v>
      </c>
      <c r="DW121" s="124">
        <f t="shared" ref="DW121:DX136" si="100">CM121/128</f>
        <v>12.109375</v>
      </c>
      <c r="DX121" s="124"/>
      <c r="FV121" s="104">
        <f t="shared" si="89"/>
        <v>2011</v>
      </c>
      <c r="FW121" s="104">
        <f t="shared" si="90"/>
        <v>7</v>
      </c>
      <c r="FX121" s="35">
        <v>40584</v>
      </c>
      <c r="FY121" s="26">
        <v>2.3</v>
      </c>
      <c r="FZ121" s="94">
        <f t="shared" si="91"/>
        <v>9.2</v>
      </c>
      <c r="GA121" s="104"/>
      <c r="GB121" s="104"/>
      <c r="GE121" s="94"/>
      <c r="GF121" s="104">
        <f t="shared" si="92"/>
        <v>2013</v>
      </c>
      <c r="GG121" s="104">
        <f t="shared" si="93"/>
        <v>21</v>
      </c>
      <c r="GH121" s="35">
        <v>41416</v>
      </c>
      <c r="GI121" s="26">
        <v>3.205</v>
      </c>
      <c r="GJ121" s="94">
        <f t="shared" si="94"/>
        <v>6.41</v>
      </c>
      <c r="GK121" s="104"/>
      <c r="GL121" s="104"/>
      <c r="GO121" s="94"/>
    </row>
    <row r="122" ht="16.8" spans="3:198">
      <c r="C122" s="80" t="str" cm="1">
        <f t="array" ref="C122">_xlfn.IFS(MONTH(D122)&lt;4,1,MONTH(D122)&lt;7,2,MONTH(D122)&lt;10,3,MONTH(D122)&gt;9,4)&amp;"Q"&amp;RIGHT(YEAR(D122),2)</f>
        <v>3Q16</v>
      </c>
      <c r="D122" s="81">
        <f t="shared" si="69"/>
        <v>42582</v>
      </c>
      <c r="E122" s="82">
        <f t="shared" si="65"/>
        <v>42562</v>
      </c>
      <c r="F122" s="83">
        <f t="shared" si="66"/>
        <v>0.454125</v>
      </c>
      <c r="G122" s="83">
        <f t="shared" si="66"/>
        <v>0.375</v>
      </c>
      <c r="H122" s="81"/>
      <c r="I122" s="84">
        <v>42562</v>
      </c>
      <c r="J122" s="85">
        <v>3.95</v>
      </c>
      <c r="K122" s="85">
        <v>3.3</v>
      </c>
      <c r="L122" s="86">
        <v>3.633</v>
      </c>
      <c r="M122" s="94" cm="1">
        <f t="array" ref="M122">INDEX($BV$29:$BV$1449,MATCH($D122,$BR$29:$BR$1449,0),)</f>
        <v>3</v>
      </c>
      <c r="N122" s="88"/>
      <c r="O122" s="88"/>
      <c r="P122" s="88"/>
      <c r="Q122" s="89">
        <f t="shared" si="67"/>
        <v>0.211</v>
      </c>
      <c r="AH122" s="105">
        <f t="shared" si="79"/>
        <v>43208</v>
      </c>
      <c r="AI122" s="91">
        <f t="shared" si="70"/>
        <v>8.961</v>
      </c>
      <c r="AJ122" s="36">
        <f t="shared" si="71"/>
        <v>-0.00808058445871163</v>
      </c>
      <c r="AK122" s="36">
        <f t="shared" si="76"/>
        <v>-0.00808058445871163</v>
      </c>
      <c r="AL122" s="105"/>
      <c r="AM122" s="91"/>
      <c r="AN122" s="36"/>
      <c r="AO122" s="36"/>
      <c r="AP122" s="36"/>
      <c r="AQ122" s="92" t="str" cm="1">
        <f t="array" ref="AQ122">_xlfn.IFS(MONTH(AR122)&lt;4,1,MONTH(AR122)&lt;7,2,MONTH(AR122)&lt;10,3,MONTH(AR122)&gt;9,4)&amp;"Q"&amp;RIGHT(YEAR(AR122),2)</f>
        <v>4Q20</v>
      </c>
      <c r="AR122" s="92">
        <f t="shared" si="72"/>
        <v>44165</v>
      </c>
      <c r="AS122" s="109">
        <v>44151</v>
      </c>
      <c r="AT122" s="110"/>
      <c r="AU122" s="94" cm="1">
        <f t="array" ref="AU122">INDEX($CE$29:$CE$1449,MATCH($AR122,$CA$29:$CA$1449,0),)</f>
        <v>110</v>
      </c>
      <c r="AV122" s="110"/>
      <c r="AW122" s="94" cm="1">
        <f t="array" ref="AW122">INDEX($CF$29:$CF$1449,MATCH($AR122,$CA$29:$CA$1449,0),)</f>
        <v>220</v>
      </c>
      <c r="AX122" s="94"/>
      <c r="AY122" s="94"/>
      <c r="AZ122" s="94"/>
      <c r="BA122" s="94"/>
      <c r="BB122" s="5"/>
      <c r="BC122" s="5"/>
      <c r="BD122" s="5"/>
      <c r="BE122" s="5"/>
      <c r="BF122" s="5"/>
      <c r="BG122" s="5"/>
      <c r="BH122" s="5"/>
      <c r="BI122" s="5"/>
      <c r="BJ122" s="5"/>
      <c r="BK122" s="5"/>
      <c r="BL122" s="5"/>
      <c r="BM122" s="36"/>
      <c r="BN122" s="5"/>
      <c r="BO122" s="5">
        <f t="shared" si="73"/>
        <v>2024</v>
      </c>
      <c r="BQ122" s="95" t="str" cm="1">
        <f t="array" ref="BQ122">_xlfn.IFS(MONTH(BR122)&lt;4,1,MONTH(BR122)&lt;7,2,MONTH(BR122)&lt;10,3,MONTH(BR122)&gt;9,4)&amp;"Q"&amp;RIGHT(YEAR(BR122),2)</f>
        <v>1Q24</v>
      </c>
      <c r="BR122" s="81">
        <f t="shared" si="74"/>
        <v>45382</v>
      </c>
      <c r="BS122" s="106">
        <f t="shared" si="75"/>
        <v>45382</v>
      </c>
      <c r="BV122" s="122">
        <v>1.8</v>
      </c>
      <c r="BW122" s="122">
        <v>3.6</v>
      </c>
      <c r="BX122" s="122">
        <v>4.1</v>
      </c>
      <c r="CA122" s="35">
        <f t="shared" si="86"/>
        <v>45382</v>
      </c>
      <c r="CB122" s="26">
        <v>38</v>
      </c>
      <c r="CC122" s="26">
        <v>32</v>
      </c>
      <c r="CD122" s="119">
        <v>16.5</v>
      </c>
      <c r="CE122" s="119">
        <v>68</v>
      </c>
      <c r="CF122" s="119">
        <v>136</v>
      </c>
      <c r="CG122" s="119">
        <v>99.75</v>
      </c>
      <c r="CH122" s="119">
        <v>199.5</v>
      </c>
      <c r="CI122" s="119">
        <v>95</v>
      </c>
      <c r="CJ122" s="119">
        <v>190</v>
      </c>
      <c r="CK122" s="119">
        <v>149.63</v>
      </c>
      <c r="CL122" s="119">
        <v>339.15</v>
      </c>
      <c r="CM122" s="119">
        <v>1550</v>
      </c>
      <c r="CN122" s="119"/>
      <c r="CO122" s="126">
        <f t="shared" si="82"/>
        <v>97.375</v>
      </c>
      <c r="CP122" s="126">
        <f t="shared" si="82"/>
        <v>194.75</v>
      </c>
      <c r="CQ122" s="119">
        <v>1.27</v>
      </c>
      <c r="CR122" s="119">
        <v>1.21</v>
      </c>
      <c r="CS122" s="36"/>
      <c r="CT122" s="123">
        <f t="shared" si="77"/>
        <v>0.1875</v>
      </c>
      <c r="CU122" s="123">
        <f t="shared" si="83"/>
        <v>0.431985294117647</v>
      </c>
      <c r="CV122" s="123">
        <f t="shared" si="83"/>
        <v>0.431985294117647</v>
      </c>
      <c r="CX122" s="125">
        <f t="shared" si="87"/>
        <v>0</v>
      </c>
      <c r="CY122" s="125">
        <f t="shared" si="87"/>
        <v>0</v>
      </c>
      <c r="CZ122" s="125">
        <f t="shared" si="87"/>
        <v>0</v>
      </c>
      <c r="DA122" s="125">
        <f t="shared" si="87"/>
        <v>0.0708661417322836</v>
      </c>
      <c r="DB122" s="125">
        <f t="shared" si="87"/>
        <v>0.0708661417322836</v>
      </c>
      <c r="DC122" s="125">
        <f t="shared" si="87"/>
        <v>0.043956043956044</v>
      </c>
      <c r="DD122" s="125">
        <f t="shared" si="87"/>
        <v>0.0734463276836159</v>
      </c>
      <c r="DE122" s="125">
        <f t="shared" si="87"/>
        <v>0.043956043956044</v>
      </c>
      <c r="DF122" s="125">
        <f t="shared" si="87"/>
        <v>0.0734463276836159</v>
      </c>
      <c r="DG122" s="125">
        <f t="shared" si="87"/>
        <v>0.00638956147430725</v>
      </c>
      <c r="DH122" s="125">
        <f t="shared" si="87"/>
        <v>0.0427684171688598</v>
      </c>
      <c r="DI122" s="125">
        <f t="shared" si="87"/>
        <v>0</v>
      </c>
      <c r="DJ122" s="125"/>
      <c r="DK122" s="125">
        <f t="shared" si="88"/>
        <v>0.0439560439560438</v>
      </c>
      <c r="DL122" s="125">
        <f t="shared" si="88"/>
        <v>0.0734463276836157</v>
      </c>
      <c r="DM122" s="125">
        <f t="shared" si="88"/>
        <v>0</v>
      </c>
      <c r="DN122" s="125">
        <f t="shared" si="88"/>
        <v>0</v>
      </c>
      <c r="DQ122" s="114">
        <f t="shared" si="80"/>
        <v>2.125</v>
      </c>
      <c r="DR122" s="124">
        <f t="shared" si="81"/>
        <v>2.125</v>
      </c>
      <c r="DS122" s="124">
        <f t="shared" si="84"/>
        <v>3.04296875</v>
      </c>
      <c r="DT122" s="124">
        <f t="shared" si="85"/>
        <v>3.04296875</v>
      </c>
      <c r="DU122" s="124">
        <f t="shared" si="98"/>
        <v>3.11729166666667</v>
      </c>
      <c r="DV122" s="124">
        <f t="shared" si="99"/>
        <v>3.5328125</v>
      </c>
      <c r="DW122" s="124">
        <f t="shared" si="100"/>
        <v>12.109375</v>
      </c>
      <c r="DX122" s="124"/>
      <c r="FV122" s="104">
        <f t="shared" si="89"/>
        <v>2011</v>
      </c>
      <c r="FW122" s="104">
        <f t="shared" si="90"/>
        <v>7</v>
      </c>
      <c r="FX122" s="35">
        <v>40585</v>
      </c>
      <c r="FY122" s="26">
        <v>2.26</v>
      </c>
      <c r="FZ122" s="94">
        <f t="shared" si="91"/>
        <v>9.04</v>
      </c>
      <c r="GA122" s="104"/>
      <c r="GB122" s="104"/>
      <c r="GE122" s="94"/>
      <c r="GF122" s="104">
        <f t="shared" si="92"/>
        <v>2013</v>
      </c>
      <c r="GG122" s="104">
        <f t="shared" si="93"/>
        <v>21</v>
      </c>
      <c r="GH122" s="35">
        <v>41417</v>
      </c>
      <c r="GI122" s="26">
        <v>3.225</v>
      </c>
      <c r="GJ122" s="94">
        <f t="shared" si="94"/>
        <v>6.45</v>
      </c>
      <c r="GK122" s="104"/>
      <c r="GL122" s="104"/>
      <c r="GO122" s="94"/>
    </row>
    <row r="123" ht="16.8" spans="3:198">
      <c r="C123" s="80" t="str" cm="1">
        <f t="array" ref="C123">_xlfn.IFS(MONTH(D123)&lt;4,1,MONTH(D123)&lt;7,2,MONTH(D123)&lt;10,3,MONTH(D123)&gt;9,4)&amp;"Q"&amp;RIGHT(YEAR(D123),2)</f>
        <v>3Q16</v>
      </c>
      <c r="D123" s="81">
        <f t="shared" si="69"/>
        <v>42582</v>
      </c>
      <c r="E123" s="82">
        <f t="shared" si="65"/>
        <v>42563</v>
      </c>
      <c r="F123" s="83">
        <f t="shared" si="66"/>
        <v>0.454125</v>
      </c>
      <c r="G123" s="83">
        <f t="shared" si="66"/>
        <v>0.375</v>
      </c>
      <c r="H123" s="81"/>
      <c r="I123" s="84">
        <v>42563</v>
      </c>
      <c r="J123" s="85">
        <v>3.95</v>
      </c>
      <c r="K123" s="85">
        <v>3.3</v>
      </c>
      <c r="L123" s="86">
        <v>3.633</v>
      </c>
      <c r="M123" s="94" cm="1">
        <f t="array" ref="M123">INDEX($BV$29:$BV$1449,MATCH($D123,$BR$29:$BR$1449,0),)</f>
        <v>3</v>
      </c>
      <c r="N123" s="88"/>
      <c r="O123" s="88"/>
      <c r="P123" s="88"/>
      <c r="Q123" s="89">
        <f t="shared" si="67"/>
        <v>0.211</v>
      </c>
      <c r="AH123" s="105">
        <f t="shared" si="79"/>
        <v>43216</v>
      </c>
      <c r="AI123" s="91">
        <f t="shared" si="70"/>
        <v>8.885</v>
      </c>
      <c r="AJ123" s="36">
        <f t="shared" si="71"/>
        <v>-0.00848119629505639</v>
      </c>
      <c r="AK123" s="36">
        <f t="shared" si="76"/>
        <v>-0.0164932477307949</v>
      </c>
      <c r="AL123" s="105"/>
      <c r="AM123" s="91"/>
      <c r="AN123" s="36"/>
      <c r="AO123" s="36"/>
      <c r="AP123" s="36"/>
      <c r="AQ123" s="92" t="str" cm="1">
        <f t="array" ref="AQ123">_xlfn.IFS(MONTH(AR123)&lt;4,1,MONTH(AR123)&lt;7,2,MONTH(AR123)&lt;10,3,MONTH(AR123)&gt;9,4)&amp;"Q"&amp;RIGHT(YEAR(AR123),2)</f>
        <v>4Q20</v>
      </c>
      <c r="AR123" s="92">
        <f t="shared" si="72"/>
        <v>44165</v>
      </c>
      <c r="AS123" s="109">
        <v>44158</v>
      </c>
      <c r="AT123" s="110"/>
      <c r="AU123" s="94" cm="1">
        <f t="array" ref="AU123">INDEX($CE$29:$CE$1449,MATCH($AR123,$CA$29:$CA$1449,0),)</f>
        <v>110</v>
      </c>
      <c r="AV123" s="110"/>
      <c r="AW123" s="94" cm="1">
        <f t="array" ref="AW123">INDEX($CF$29:$CF$1449,MATCH($AR123,$CA$29:$CA$1449,0),)</f>
        <v>220</v>
      </c>
      <c r="AX123" s="94"/>
      <c r="AY123" s="94"/>
      <c r="AZ123" s="94"/>
      <c r="BA123" s="94"/>
      <c r="BB123" s="5"/>
      <c r="BC123" s="5"/>
      <c r="BD123" s="5"/>
      <c r="BE123" s="5"/>
      <c r="BF123" s="5"/>
      <c r="BG123" s="5"/>
      <c r="BH123" s="5"/>
      <c r="BI123" s="5"/>
      <c r="BJ123" s="5"/>
      <c r="BK123" s="5"/>
      <c r="BL123" s="5"/>
      <c r="BM123" s="36"/>
      <c r="BN123" s="5"/>
      <c r="BO123" s="5">
        <f t="shared" si="73"/>
        <v>2024</v>
      </c>
      <c r="BQ123" s="95" t="str" cm="1">
        <f t="array" ref="BQ123">_xlfn.IFS(MONTH(BR123)&lt;4,1,MONTH(BR123)&lt;7,2,MONTH(BR123)&lt;10,3,MONTH(BR123)&gt;9,4)&amp;"Q"&amp;RIGHT(YEAR(BR123),2)</f>
        <v>2Q24</v>
      </c>
      <c r="BR123" s="81">
        <f t="shared" si="74"/>
        <v>45412</v>
      </c>
      <c r="BS123" s="106">
        <f t="shared" si="75"/>
        <v>45412</v>
      </c>
      <c r="BV123" s="122">
        <v>2.1</v>
      </c>
      <c r="BW123" s="122">
        <v>4.2</v>
      </c>
      <c r="BX123" s="122">
        <v>4.65</v>
      </c>
      <c r="CA123" s="35">
        <f t="shared" si="86"/>
        <v>45412</v>
      </c>
      <c r="CB123" s="26">
        <v>44.5</v>
      </c>
      <c r="CC123" s="26">
        <v>37</v>
      </c>
      <c r="CD123" s="119">
        <v>19</v>
      </c>
      <c r="CE123" s="119">
        <v>75</v>
      </c>
      <c r="CF123" s="119">
        <v>150</v>
      </c>
      <c r="CG123" s="119">
        <v>110.25</v>
      </c>
      <c r="CH123" s="119">
        <v>220.5</v>
      </c>
      <c r="CI123" s="119">
        <v>105</v>
      </c>
      <c r="CJ123" s="119">
        <v>210</v>
      </c>
      <c r="CK123" s="119">
        <v>165.38</v>
      </c>
      <c r="CL123" s="119">
        <v>374.85</v>
      </c>
      <c r="CM123" s="119">
        <v>1550</v>
      </c>
      <c r="CN123" s="119"/>
      <c r="CO123" s="126">
        <f t="shared" si="82"/>
        <v>107.625</v>
      </c>
      <c r="CP123" s="126">
        <f t="shared" si="82"/>
        <v>215.25</v>
      </c>
      <c r="CQ123" s="119">
        <v>1.33</v>
      </c>
      <c r="CR123" s="119">
        <v>1.25</v>
      </c>
      <c r="CS123" s="36"/>
      <c r="CT123" s="123">
        <f t="shared" si="77"/>
        <v>0.202702702702703</v>
      </c>
      <c r="CU123" s="123">
        <f t="shared" si="83"/>
        <v>0.435</v>
      </c>
      <c r="CV123" s="123">
        <f t="shared" si="83"/>
        <v>0.435</v>
      </c>
      <c r="CX123" s="125">
        <f t="shared" si="87"/>
        <v>0.171052631578947</v>
      </c>
      <c r="CY123" s="125">
        <f t="shared" si="87"/>
        <v>0.15625</v>
      </c>
      <c r="CZ123" s="125">
        <f t="shared" si="87"/>
        <v>0.151515151515152</v>
      </c>
      <c r="DA123" s="125">
        <f t="shared" si="87"/>
        <v>0.102941176470588</v>
      </c>
      <c r="DB123" s="125">
        <f t="shared" si="87"/>
        <v>0.102941176470588</v>
      </c>
      <c r="DC123" s="125">
        <f t="shared" si="87"/>
        <v>0.105263157894737</v>
      </c>
      <c r="DD123" s="125">
        <f t="shared" si="87"/>
        <v>0.105263157894737</v>
      </c>
      <c r="DE123" s="125">
        <f t="shared" si="87"/>
        <v>0.105263157894737</v>
      </c>
      <c r="DF123" s="125">
        <f t="shared" si="87"/>
        <v>0.105263157894737</v>
      </c>
      <c r="DG123" s="125">
        <f t="shared" si="87"/>
        <v>0.105259640446435</v>
      </c>
      <c r="DH123" s="125">
        <f t="shared" si="87"/>
        <v>0.105263157894737</v>
      </c>
      <c r="DI123" s="125">
        <f t="shared" si="87"/>
        <v>0</v>
      </c>
      <c r="DJ123" s="125"/>
      <c r="DK123" s="125">
        <f t="shared" si="88"/>
        <v>0.105263157894737</v>
      </c>
      <c r="DL123" s="125">
        <f t="shared" si="88"/>
        <v>0.105263157894737</v>
      </c>
      <c r="DM123" s="125">
        <f t="shared" si="88"/>
        <v>0.0472440944881891</v>
      </c>
      <c r="DN123" s="125">
        <f t="shared" si="88"/>
        <v>0.0330578512396695</v>
      </c>
      <c r="DQ123" s="114">
        <f t="shared" si="80"/>
        <v>2.34375</v>
      </c>
      <c r="DR123" s="124">
        <f t="shared" si="81"/>
        <v>2.34375</v>
      </c>
      <c r="DS123" s="124">
        <f t="shared" si="84"/>
        <v>3.36328125</v>
      </c>
      <c r="DT123" s="124">
        <f t="shared" si="85"/>
        <v>3.36328125</v>
      </c>
      <c r="DU123" s="124">
        <f t="shared" si="98"/>
        <v>3.44541666666667</v>
      </c>
      <c r="DV123" s="124">
        <f t="shared" si="99"/>
        <v>3.9046875</v>
      </c>
      <c r="DW123" s="124">
        <f t="shared" si="100"/>
        <v>12.109375</v>
      </c>
      <c r="DX123" s="124"/>
      <c r="FV123" s="104">
        <f t="shared" si="89"/>
        <v>2011</v>
      </c>
      <c r="FW123" s="104">
        <f t="shared" si="90"/>
        <v>8</v>
      </c>
      <c r="FX123" s="35">
        <v>40588</v>
      </c>
      <c r="FY123" s="26">
        <v>2.25</v>
      </c>
      <c r="FZ123" s="94">
        <f t="shared" si="91"/>
        <v>9</v>
      </c>
      <c r="GA123" s="104"/>
      <c r="GB123" s="104"/>
      <c r="GE123" s="94"/>
      <c r="GF123" s="104">
        <f t="shared" si="92"/>
        <v>2013</v>
      </c>
      <c r="GG123" s="104">
        <f t="shared" si="93"/>
        <v>21</v>
      </c>
      <c r="GH123" s="35">
        <v>41418</v>
      </c>
      <c r="GI123" s="26">
        <v>3.23</v>
      </c>
      <c r="GJ123" s="94">
        <f t="shared" si="94"/>
        <v>6.46</v>
      </c>
      <c r="GK123" s="104"/>
      <c r="GL123" s="104"/>
      <c r="GO123" s="94"/>
    </row>
    <row r="124" ht="16.8" spans="3:198">
      <c r="C124" s="80" t="str" cm="1">
        <f t="array" ref="C124">_xlfn.IFS(MONTH(D124)&lt;4,1,MONTH(D124)&lt;7,2,MONTH(D124)&lt;10,3,MONTH(D124)&gt;9,4)&amp;"Q"&amp;RIGHT(YEAR(D124),2)</f>
        <v>3Q16</v>
      </c>
      <c r="D124" s="81">
        <f t="shared" si="69"/>
        <v>42582</v>
      </c>
      <c r="E124" s="82">
        <f t="shared" si="65"/>
        <v>42564</v>
      </c>
      <c r="F124" s="83">
        <f t="shared" si="66"/>
        <v>0.454125</v>
      </c>
      <c r="G124" s="83">
        <f t="shared" si="66"/>
        <v>0.375</v>
      </c>
      <c r="H124" s="81"/>
      <c r="I124" s="84">
        <v>42564</v>
      </c>
      <c r="J124" s="85">
        <v>3.95</v>
      </c>
      <c r="K124" s="85">
        <v>3.3</v>
      </c>
      <c r="L124" s="86">
        <v>3.633</v>
      </c>
      <c r="M124" s="94" cm="1">
        <f t="array" ref="M124">INDEX($BV$29:$BV$1449,MATCH($D124,$BR$29:$BR$1449,0),)</f>
        <v>3</v>
      </c>
      <c r="N124" s="88"/>
      <c r="O124" s="88"/>
      <c r="P124" s="88"/>
      <c r="Q124" s="89">
        <f t="shared" si="67"/>
        <v>0.211</v>
      </c>
      <c r="AH124" s="105">
        <f t="shared" si="79"/>
        <v>43224</v>
      </c>
      <c r="AI124" s="91">
        <f t="shared" si="70"/>
        <v>8.878</v>
      </c>
      <c r="AJ124" s="36">
        <f t="shared" si="71"/>
        <v>-0.0007878446820484</v>
      </c>
      <c r="AK124" s="36">
        <f t="shared" si="76"/>
        <v>-0.00926235911170625</v>
      </c>
      <c r="AL124" s="105"/>
      <c r="AM124" s="91"/>
      <c r="AN124" s="36"/>
      <c r="AO124" s="36"/>
      <c r="AP124" s="36"/>
      <c r="AQ124" s="92" t="str" cm="1">
        <f t="array" ref="AQ124">_xlfn.IFS(MONTH(AR124)&lt;4,1,MONTH(AR124)&lt;7,2,MONTH(AR124)&lt;10,3,MONTH(AR124)&gt;9,4)&amp;"Q"&amp;RIGHT(YEAR(AR124),2)</f>
        <v>4Q20</v>
      </c>
      <c r="AR124" s="92">
        <f t="shared" si="72"/>
        <v>44165</v>
      </c>
      <c r="AS124" s="109">
        <v>44165</v>
      </c>
      <c r="AT124" s="110"/>
      <c r="AU124" s="94" cm="1">
        <f t="array" ref="AU124">INDEX($CE$29:$CE$1449,MATCH($AR124,$CA$29:$CA$1449,0),)</f>
        <v>110</v>
      </c>
      <c r="AV124" s="110"/>
      <c r="AW124" s="94" cm="1">
        <f t="array" ref="AW124">INDEX($CF$29:$CF$1449,MATCH($AR124,$CA$29:$CA$1449,0),)</f>
        <v>220</v>
      </c>
      <c r="AX124" s="94"/>
      <c r="AY124" s="94"/>
      <c r="AZ124" s="94"/>
      <c r="BA124" s="94"/>
      <c r="BB124" s="5"/>
      <c r="BC124" s="5"/>
      <c r="BD124" s="5"/>
      <c r="BE124" s="5"/>
      <c r="BF124" s="5"/>
      <c r="BG124" s="5"/>
      <c r="BH124" s="5"/>
      <c r="BI124" s="5"/>
      <c r="BJ124" s="5"/>
      <c r="BK124" s="5"/>
      <c r="BL124" s="5"/>
      <c r="BM124" s="36"/>
      <c r="BN124" s="5"/>
      <c r="BO124" s="5">
        <f t="shared" si="73"/>
        <v>2024</v>
      </c>
      <c r="BQ124" s="95" t="str" cm="1">
        <f t="array" ref="BQ124">_xlfn.IFS(MONTH(BR124)&lt;4,1,MONTH(BR124)&lt;7,2,MONTH(BR124)&lt;10,3,MONTH(BR124)&gt;9,4)&amp;"Q"&amp;RIGHT(YEAR(BR124),2)</f>
        <v>2Q24</v>
      </c>
      <c r="BR124" s="81">
        <f t="shared" si="74"/>
        <v>45443</v>
      </c>
      <c r="BS124" s="106">
        <f t="shared" si="75"/>
        <v>45443</v>
      </c>
      <c r="BV124" s="122">
        <v>2.1</v>
      </c>
      <c r="BW124" s="122">
        <v>4.2</v>
      </c>
      <c r="BX124" s="122">
        <v>4.65</v>
      </c>
      <c r="CA124" s="35">
        <f t="shared" si="86"/>
        <v>45443</v>
      </c>
      <c r="CB124" s="26">
        <v>44.5</v>
      </c>
      <c r="CC124" s="26">
        <v>37</v>
      </c>
      <c r="CD124" s="119">
        <v>19</v>
      </c>
      <c r="CE124" s="119">
        <v>80</v>
      </c>
      <c r="CF124" s="119">
        <v>160</v>
      </c>
      <c r="CG124" s="119">
        <v>118.45</v>
      </c>
      <c r="CH124" s="119">
        <v>234.84</v>
      </c>
      <c r="CI124" s="119">
        <v>115</v>
      </c>
      <c r="CJ124" s="119">
        <v>228</v>
      </c>
      <c r="CK124" s="119">
        <v>176.13</v>
      </c>
      <c r="CL124" s="119">
        <v>383</v>
      </c>
      <c r="CM124" s="119">
        <v>1200</v>
      </c>
      <c r="CN124" s="119"/>
      <c r="CO124" s="126">
        <f t="shared" si="82"/>
        <v>116.725</v>
      </c>
      <c r="CP124" s="126">
        <f t="shared" si="82"/>
        <v>231.42</v>
      </c>
      <c r="CQ124" s="119">
        <v>1.33</v>
      </c>
      <c r="CR124" s="119">
        <v>1.25</v>
      </c>
      <c r="CS124" s="36"/>
      <c r="CT124" s="123">
        <f t="shared" si="77"/>
        <v>0.202702702702703</v>
      </c>
      <c r="CU124" s="123">
        <f t="shared" si="83"/>
        <v>0.4590625</v>
      </c>
      <c r="CV124" s="123">
        <f t="shared" si="83"/>
        <v>0.446375</v>
      </c>
      <c r="CX124" s="125">
        <f t="shared" si="87"/>
        <v>0</v>
      </c>
      <c r="CY124" s="125">
        <f t="shared" si="87"/>
        <v>0</v>
      </c>
      <c r="CZ124" s="125">
        <f t="shared" si="87"/>
        <v>0</v>
      </c>
      <c r="DA124" s="125">
        <f t="shared" si="87"/>
        <v>0.0666666666666667</v>
      </c>
      <c r="DB124" s="125">
        <f t="shared" si="87"/>
        <v>0.0666666666666667</v>
      </c>
      <c r="DC124" s="125">
        <f t="shared" si="87"/>
        <v>0.0743764172335601</v>
      </c>
      <c r="DD124" s="125">
        <f t="shared" si="87"/>
        <v>0.0650340136054421</v>
      </c>
      <c r="DE124" s="125">
        <f t="shared" si="87"/>
        <v>0.0952380952380953</v>
      </c>
      <c r="DF124" s="125">
        <f t="shared" si="87"/>
        <v>0.0857142857142856</v>
      </c>
      <c r="DG124" s="125">
        <f t="shared" si="87"/>
        <v>0.0650018140041118</v>
      </c>
      <c r="DH124" s="125">
        <f t="shared" si="87"/>
        <v>0.0217420301453914</v>
      </c>
      <c r="DI124" s="125">
        <f t="shared" si="87"/>
        <v>-0.225806451612903</v>
      </c>
      <c r="DJ124" s="125"/>
      <c r="DK124" s="125">
        <f t="shared" si="88"/>
        <v>0.0845528455284552</v>
      </c>
      <c r="DL124" s="125">
        <f t="shared" si="88"/>
        <v>0.0751219512195123</v>
      </c>
      <c r="DM124" s="125">
        <f t="shared" si="88"/>
        <v>0</v>
      </c>
      <c r="DN124" s="125">
        <f t="shared" si="88"/>
        <v>0</v>
      </c>
      <c r="DQ124" s="114">
        <f t="shared" si="80"/>
        <v>2.5</v>
      </c>
      <c r="DR124" s="124">
        <f t="shared" si="81"/>
        <v>2.5</v>
      </c>
      <c r="DS124" s="124">
        <f t="shared" si="84"/>
        <v>3.64765625</v>
      </c>
      <c r="DT124" s="124">
        <f t="shared" si="85"/>
        <v>3.6159375</v>
      </c>
      <c r="DU124" s="124">
        <f t="shared" si="98"/>
        <v>3.669375</v>
      </c>
      <c r="DV124" s="124">
        <f t="shared" si="99"/>
        <v>3.98958333333333</v>
      </c>
      <c r="DW124" s="124">
        <f t="shared" si="100"/>
        <v>9.375</v>
      </c>
      <c r="DX124" s="124"/>
      <c r="FV124" s="104">
        <f t="shared" si="89"/>
        <v>2011</v>
      </c>
      <c r="FW124" s="104">
        <f t="shared" si="90"/>
        <v>8</v>
      </c>
      <c r="FX124" s="35">
        <v>40589</v>
      </c>
      <c r="FY124" s="26">
        <v>2.24</v>
      </c>
      <c r="FZ124" s="94">
        <f t="shared" si="91"/>
        <v>8.96</v>
      </c>
      <c r="GA124" s="104"/>
      <c r="GB124" s="104"/>
      <c r="GE124" s="94"/>
      <c r="GF124" s="104">
        <f t="shared" si="92"/>
        <v>2013</v>
      </c>
      <c r="GG124" s="104">
        <f t="shared" si="93"/>
        <v>22</v>
      </c>
      <c r="GH124" s="35">
        <v>41421</v>
      </c>
      <c r="GI124" s="26">
        <v>3.23</v>
      </c>
      <c r="GJ124" s="94">
        <f t="shared" si="94"/>
        <v>6.46</v>
      </c>
      <c r="GK124" s="104"/>
      <c r="GL124" s="104"/>
      <c r="GO124" s="94"/>
    </row>
    <row r="125" ht="16.8" spans="3:198">
      <c r="C125" s="80" t="str" cm="1">
        <f t="array" ref="C125">_xlfn.IFS(MONTH(D125)&lt;4,1,MONTH(D125)&lt;7,2,MONTH(D125)&lt;10,3,MONTH(D125)&gt;9,4)&amp;"Q"&amp;RIGHT(YEAR(D125),2)</f>
        <v>3Q16</v>
      </c>
      <c r="D125" s="81">
        <f t="shared" si="69"/>
        <v>42582</v>
      </c>
      <c r="E125" s="82">
        <f t="shared" si="65"/>
        <v>42565</v>
      </c>
      <c r="F125" s="83">
        <f t="shared" si="66"/>
        <v>0.454125</v>
      </c>
      <c r="G125" s="83">
        <f t="shared" si="66"/>
        <v>0.375</v>
      </c>
      <c r="H125" s="81"/>
      <c r="I125" s="84">
        <v>42565</v>
      </c>
      <c r="J125" s="85">
        <v>3.95</v>
      </c>
      <c r="K125" s="85">
        <v>3.3</v>
      </c>
      <c r="L125" s="86">
        <v>3.633</v>
      </c>
      <c r="M125" s="94" cm="1">
        <f t="array" ref="M125">INDEX($BV$29:$BV$1449,MATCH($D125,$BR$29:$BR$1449,0),)</f>
        <v>3</v>
      </c>
      <c r="N125" s="88"/>
      <c r="O125" s="88"/>
      <c r="P125" s="88"/>
      <c r="Q125" s="89">
        <f t="shared" si="67"/>
        <v>0.211</v>
      </c>
      <c r="AH125" s="105">
        <f t="shared" si="79"/>
        <v>43234</v>
      </c>
      <c r="AI125" s="91">
        <f t="shared" si="70"/>
        <v>8.88</v>
      </c>
      <c r="AJ125" s="36">
        <f t="shared" si="71"/>
        <v>0.000225275963054772</v>
      </c>
      <c r="AK125" s="36">
        <f t="shared" si="76"/>
        <v>-0.000562746201463016</v>
      </c>
      <c r="AL125" s="105"/>
      <c r="AM125" s="91"/>
      <c r="AN125" s="36"/>
      <c r="AO125" s="36"/>
      <c r="AP125" s="36"/>
      <c r="AQ125" s="92" t="str" cm="1">
        <f t="array" ref="AQ125">_xlfn.IFS(MONTH(AR125)&lt;4,1,MONTH(AR125)&lt;7,2,MONTH(AR125)&lt;10,3,MONTH(AR125)&gt;9,4)&amp;"Q"&amp;RIGHT(YEAR(AR125),2)</f>
        <v>4Q20</v>
      </c>
      <c r="AR125" s="92">
        <f t="shared" si="72"/>
        <v>44196</v>
      </c>
      <c r="AS125" s="109">
        <v>44172</v>
      </c>
      <c r="AT125" s="110"/>
      <c r="AU125" s="94" cm="1">
        <f t="array" ref="AU125">INDEX($CE$29:$CE$1449,MATCH($AR125,$CA$29:$CA$1449,0),)</f>
        <v>110</v>
      </c>
      <c r="AV125" s="110"/>
      <c r="AW125" s="94" cm="1">
        <f t="array" ref="AW125">INDEX($CF$29:$CF$1449,MATCH($AR125,$CA$29:$CA$1449,0),)</f>
        <v>220</v>
      </c>
      <c r="AX125" s="94"/>
      <c r="AY125" s="94"/>
      <c r="AZ125" s="94"/>
      <c r="BA125" s="94"/>
      <c r="BB125" s="5"/>
      <c r="BC125" s="5"/>
      <c r="BD125" s="5"/>
      <c r="BE125" s="5"/>
      <c r="BF125" s="5"/>
      <c r="BG125" s="5"/>
      <c r="BH125" s="5"/>
      <c r="BI125" s="5"/>
      <c r="BJ125" s="5"/>
      <c r="BK125" s="5"/>
      <c r="BL125" s="5"/>
      <c r="BM125" s="36"/>
      <c r="BN125" s="5"/>
      <c r="BO125" s="5">
        <f t="shared" si="73"/>
        <v>2024</v>
      </c>
      <c r="BQ125" s="95" t="str" cm="1">
        <f t="array" ref="BQ125">_xlfn.IFS(MONTH(BR125)&lt;4,1,MONTH(BR125)&lt;7,2,MONTH(BR125)&lt;10,3,MONTH(BR125)&gt;9,4)&amp;"Q"&amp;RIGHT(YEAR(BR125),2)</f>
        <v>2Q24</v>
      </c>
      <c r="BR125" s="81">
        <f t="shared" si="74"/>
        <v>45473</v>
      </c>
      <c r="BS125" s="106">
        <f t="shared" si="75"/>
        <v>45473</v>
      </c>
      <c r="BV125" s="122">
        <v>2.1</v>
      </c>
      <c r="BW125" s="122">
        <v>4.2</v>
      </c>
      <c r="BX125" s="122">
        <v>4.65</v>
      </c>
      <c r="CA125" s="35">
        <f t="shared" si="86"/>
        <v>45473</v>
      </c>
      <c r="CB125" s="26">
        <v>44.5</v>
      </c>
      <c r="CC125" s="26">
        <v>37</v>
      </c>
      <c r="CD125" s="119">
        <v>19</v>
      </c>
      <c r="CE125" s="119">
        <v>83</v>
      </c>
      <c r="CF125" s="119">
        <v>161.85</v>
      </c>
      <c r="CG125" s="119">
        <v>121.54</v>
      </c>
      <c r="CH125" s="119">
        <v>239.99</v>
      </c>
      <c r="CI125" s="119">
        <v>118</v>
      </c>
      <c r="CJ125" s="119">
        <v>233</v>
      </c>
      <c r="CK125" s="119">
        <v>187.19</v>
      </c>
      <c r="CL125" s="119">
        <v>383</v>
      </c>
      <c r="CM125" s="119">
        <v>1150</v>
      </c>
      <c r="CN125" s="119"/>
      <c r="CO125" s="126">
        <f t="shared" si="82"/>
        <v>119.77</v>
      </c>
      <c r="CP125" s="126">
        <f t="shared" si="82"/>
        <v>236.495</v>
      </c>
      <c r="CQ125" s="119">
        <v>1.33</v>
      </c>
      <c r="CR125" s="119">
        <v>1.25</v>
      </c>
      <c r="CS125" s="36"/>
      <c r="CT125" s="123">
        <f t="shared" si="77"/>
        <v>0.202702702702703</v>
      </c>
      <c r="CU125" s="123">
        <f t="shared" si="83"/>
        <v>0.443012048192771</v>
      </c>
      <c r="CV125" s="123">
        <f t="shared" si="83"/>
        <v>0.461198640716713</v>
      </c>
      <c r="CX125" s="125">
        <f t="shared" si="87"/>
        <v>0</v>
      </c>
      <c r="CY125" s="125">
        <f t="shared" si="87"/>
        <v>0</v>
      </c>
      <c r="CZ125" s="125">
        <f t="shared" si="87"/>
        <v>0</v>
      </c>
      <c r="DA125" s="125">
        <f t="shared" si="87"/>
        <v>0.0375000000000001</v>
      </c>
      <c r="DB125" s="125">
        <f t="shared" si="87"/>
        <v>0.0115624999999999</v>
      </c>
      <c r="DC125" s="125">
        <f t="shared" si="87"/>
        <v>0.0260869565217392</v>
      </c>
      <c r="DD125" s="125">
        <f t="shared" si="87"/>
        <v>0.0219298245614035</v>
      </c>
      <c r="DE125" s="125">
        <f t="shared" si="87"/>
        <v>0.0260869565217392</v>
      </c>
      <c r="DF125" s="125">
        <f t="shared" si="87"/>
        <v>0.0219298245614035</v>
      </c>
      <c r="DG125" s="125">
        <f t="shared" si="87"/>
        <v>0.0627945267699994</v>
      </c>
      <c r="DH125" s="125">
        <f t="shared" si="87"/>
        <v>0</v>
      </c>
      <c r="DI125" s="125">
        <f t="shared" si="87"/>
        <v>-0.0416666666666666</v>
      </c>
      <c r="DJ125" s="125"/>
      <c r="DK125" s="125">
        <f t="shared" si="88"/>
        <v>0.0260869565217392</v>
      </c>
      <c r="DL125" s="125">
        <f t="shared" si="88"/>
        <v>0.0219298245614035</v>
      </c>
      <c r="DM125" s="125">
        <f t="shared" si="88"/>
        <v>0</v>
      </c>
      <c r="DN125" s="125">
        <f t="shared" si="88"/>
        <v>0</v>
      </c>
      <c r="DQ125" s="114">
        <f t="shared" si="80"/>
        <v>2.59375</v>
      </c>
      <c r="DR125" s="124">
        <f t="shared" si="81"/>
        <v>2.52890625</v>
      </c>
      <c r="DS125" s="124">
        <f t="shared" si="84"/>
        <v>3.7428125</v>
      </c>
      <c r="DT125" s="124">
        <f t="shared" si="85"/>
        <v>3.695234375</v>
      </c>
      <c r="DU125" s="124">
        <f t="shared" si="98"/>
        <v>3.89979166666667</v>
      </c>
      <c r="DV125" s="124">
        <f t="shared" si="99"/>
        <v>3.98958333333333</v>
      </c>
      <c r="DW125" s="124">
        <f t="shared" si="100"/>
        <v>8.984375</v>
      </c>
      <c r="DX125" s="124"/>
      <c r="FV125" s="104">
        <f t="shared" si="89"/>
        <v>2011</v>
      </c>
      <c r="FW125" s="104">
        <f t="shared" si="90"/>
        <v>8</v>
      </c>
      <c r="FX125" s="35">
        <v>40590</v>
      </c>
      <c r="FY125" s="26">
        <v>2.19</v>
      </c>
      <c r="FZ125" s="94">
        <f t="shared" si="91"/>
        <v>8.76</v>
      </c>
      <c r="GA125" s="104"/>
      <c r="GB125" s="104"/>
      <c r="GE125" s="94"/>
      <c r="GF125" s="104">
        <f t="shared" si="92"/>
        <v>2013</v>
      </c>
      <c r="GG125" s="104">
        <f t="shared" si="93"/>
        <v>22</v>
      </c>
      <c r="GH125" s="35">
        <v>41422</v>
      </c>
      <c r="GI125" s="26">
        <v>3.23</v>
      </c>
      <c r="GJ125" s="94">
        <f t="shared" si="94"/>
        <v>6.46</v>
      </c>
      <c r="GK125" s="104"/>
      <c r="GL125" s="104"/>
      <c r="GO125" s="94"/>
    </row>
    <row r="126" ht="16.8" spans="3:198">
      <c r="C126" s="80" t="str" cm="1">
        <f t="array" ref="C126">_xlfn.IFS(MONTH(D126)&lt;4,1,MONTH(D126)&lt;7,2,MONTH(D126)&lt;10,3,MONTH(D126)&gt;9,4)&amp;"Q"&amp;RIGHT(YEAR(D126),2)</f>
        <v>3Q16</v>
      </c>
      <c r="D126" s="81">
        <f t="shared" si="69"/>
        <v>42582</v>
      </c>
      <c r="E126" s="82">
        <f t="shared" si="65"/>
        <v>42566</v>
      </c>
      <c r="F126" s="83">
        <f t="shared" si="66"/>
        <v>0.454125</v>
      </c>
      <c r="G126" s="83">
        <f t="shared" si="66"/>
        <v>0.375</v>
      </c>
      <c r="H126" s="81"/>
      <c r="I126" s="84">
        <v>42566</v>
      </c>
      <c r="J126" s="85">
        <v>3.95</v>
      </c>
      <c r="K126" s="85">
        <v>3.3</v>
      </c>
      <c r="L126" s="86">
        <v>3.633</v>
      </c>
      <c r="M126" s="94" cm="1">
        <f t="array" ref="M126">INDEX($BV$29:$BV$1449,MATCH($D126,$BR$29:$BR$1449,0),)</f>
        <v>3</v>
      </c>
      <c r="N126" s="88"/>
      <c r="O126" s="88"/>
      <c r="P126" s="88"/>
      <c r="Q126" s="89">
        <f t="shared" si="67"/>
        <v>0.211</v>
      </c>
      <c r="AH126" s="105">
        <f t="shared" si="79"/>
        <v>43242</v>
      </c>
      <c r="AI126" s="91">
        <f t="shared" si="70"/>
        <v>8.732</v>
      </c>
      <c r="AJ126" s="36">
        <f t="shared" si="71"/>
        <v>-0.0166666666666668</v>
      </c>
      <c r="AK126" s="36">
        <f t="shared" si="76"/>
        <v>-0.0164451453029962</v>
      </c>
      <c r="AL126" s="105"/>
      <c r="AM126" s="91"/>
      <c r="AN126" s="36"/>
      <c r="AO126" s="36"/>
      <c r="AP126" s="36"/>
      <c r="AQ126" s="92" t="str" cm="1">
        <f t="array" ref="AQ126">_xlfn.IFS(MONTH(AR126)&lt;4,1,MONTH(AR126)&lt;7,2,MONTH(AR126)&lt;10,3,MONTH(AR126)&gt;9,4)&amp;"Q"&amp;RIGHT(YEAR(AR126),2)</f>
        <v>4Q20</v>
      </c>
      <c r="AR126" s="92">
        <f t="shared" si="72"/>
        <v>44196</v>
      </c>
      <c r="AS126" s="109">
        <v>44179</v>
      </c>
      <c r="AT126" s="110"/>
      <c r="AU126" s="94" cm="1">
        <f t="array" ref="AU126">INDEX($CE$29:$CE$1449,MATCH($AR126,$CA$29:$CA$1449,0),)</f>
        <v>110</v>
      </c>
      <c r="AV126" s="110"/>
      <c r="AW126" s="94" cm="1">
        <f t="array" ref="AW126">INDEX($CF$29:$CF$1449,MATCH($AR126,$CA$29:$CA$1449,0),)</f>
        <v>220</v>
      </c>
      <c r="AX126" s="94"/>
      <c r="AY126" s="94"/>
      <c r="AZ126" s="94"/>
      <c r="BA126" s="94"/>
      <c r="BB126" s="5"/>
      <c r="BC126" s="5"/>
      <c r="BD126" s="5"/>
      <c r="BE126" s="5"/>
      <c r="BF126" s="5"/>
      <c r="BG126" s="5"/>
      <c r="BH126" s="5"/>
      <c r="BI126" s="5"/>
      <c r="BJ126" s="5"/>
      <c r="BK126" s="5"/>
      <c r="BL126" s="5"/>
      <c r="BM126" s="36"/>
      <c r="BN126" s="5"/>
      <c r="BO126" s="5">
        <f t="shared" si="73"/>
        <v>2024</v>
      </c>
      <c r="BQ126" s="95" t="str" cm="1">
        <f t="array" ref="BQ126">_xlfn.IFS(MONTH(BR126)&lt;4,1,MONTH(BR126)&lt;7,2,MONTH(BR126)&lt;10,3,MONTH(BR126)&gt;9,4)&amp;"Q"&amp;RIGHT(YEAR(BR126),2)</f>
        <v>3Q24</v>
      </c>
      <c r="BR126" s="81">
        <f t="shared" si="74"/>
        <v>45504</v>
      </c>
      <c r="BS126" s="106">
        <f t="shared" si="75"/>
        <v>45504</v>
      </c>
      <c r="BV126" s="122">
        <v>2.1</v>
      </c>
      <c r="BW126" s="122">
        <v>4.2</v>
      </c>
      <c r="BX126" s="122">
        <v>4.65</v>
      </c>
      <c r="CA126" s="35">
        <f t="shared" si="86"/>
        <v>45504</v>
      </c>
      <c r="CB126" s="26">
        <v>49</v>
      </c>
      <c r="CC126" s="26">
        <v>41</v>
      </c>
      <c r="CD126" s="119">
        <v>21</v>
      </c>
      <c r="CE126" s="119">
        <v>87</v>
      </c>
      <c r="CF126" s="119">
        <v>170.52</v>
      </c>
      <c r="CG126" s="119">
        <v>129.78</v>
      </c>
      <c r="CH126" s="119">
        <v>260.1</v>
      </c>
      <c r="CI126" s="119">
        <v>126</v>
      </c>
      <c r="CJ126" s="119">
        <v>255</v>
      </c>
      <c r="CK126" s="119">
        <v>202.88</v>
      </c>
      <c r="CL126" s="119">
        <v>433.5</v>
      </c>
      <c r="CM126" s="119">
        <v>1150</v>
      </c>
      <c r="CN126" s="119">
        <v>830</v>
      </c>
      <c r="CO126" s="126">
        <f t="shared" si="82"/>
        <v>127.89</v>
      </c>
      <c r="CP126" s="126">
        <f t="shared" si="82"/>
        <v>257.55</v>
      </c>
      <c r="CQ126" s="119">
        <v>1.4</v>
      </c>
      <c r="CR126" s="119">
        <v>1.25</v>
      </c>
      <c r="CS126" s="36"/>
      <c r="CT126" s="123">
        <f t="shared" si="77"/>
        <v>0.195121951219512</v>
      </c>
      <c r="CU126" s="123">
        <f t="shared" si="83"/>
        <v>0.47</v>
      </c>
      <c r="CV126" s="123">
        <f t="shared" si="83"/>
        <v>0.510380014074595</v>
      </c>
      <c r="CX126" s="125">
        <f t="shared" si="87"/>
        <v>0.101123595505618</v>
      </c>
      <c r="CY126" s="125">
        <f t="shared" si="87"/>
        <v>0.108108108108108</v>
      </c>
      <c r="CZ126" s="125">
        <f t="shared" si="87"/>
        <v>0.105263157894737</v>
      </c>
      <c r="DA126" s="125">
        <f t="shared" si="87"/>
        <v>0.0481927710843373</v>
      </c>
      <c r="DB126" s="125">
        <f t="shared" si="87"/>
        <v>0.0535681186283596</v>
      </c>
      <c r="DC126" s="125">
        <f t="shared" si="87"/>
        <v>0.0677966101694916</v>
      </c>
      <c r="DD126" s="125">
        <f t="shared" si="87"/>
        <v>0.0837951581315888</v>
      </c>
      <c r="DE126" s="125">
        <f t="shared" si="87"/>
        <v>0.0677966101694916</v>
      </c>
      <c r="DF126" s="125">
        <f t="shared" si="87"/>
        <v>0.094420600858369</v>
      </c>
      <c r="DG126" s="125">
        <f t="shared" si="87"/>
        <v>0.0838185800523532</v>
      </c>
      <c r="DH126" s="125">
        <f t="shared" si="87"/>
        <v>0.131853785900783</v>
      </c>
      <c r="DI126" s="125">
        <f t="shared" si="87"/>
        <v>0</v>
      </c>
      <c r="DJ126" s="125" t="e">
        <f t="shared" si="87"/>
        <v>#DIV/0!</v>
      </c>
      <c r="DK126" s="125">
        <f t="shared" si="88"/>
        <v>0.0677966101694913</v>
      </c>
      <c r="DL126" s="125">
        <f t="shared" si="88"/>
        <v>0.0890293663713821</v>
      </c>
      <c r="DM126" s="125">
        <f t="shared" si="88"/>
        <v>0.0526315789473684</v>
      </c>
      <c r="DN126" s="125">
        <f t="shared" si="88"/>
        <v>0</v>
      </c>
      <c r="DQ126" s="114">
        <f t="shared" si="80"/>
        <v>2.71875</v>
      </c>
      <c r="DR126" s="124">
        <f t="shared" si="81"/>
        <v>2.664375</v>
      </c>
      <c r="DS126" s="124">
        <f t="shared" si="84"/>
        <v>3.9965625</v>
      </c>
      <c r="DT126" s="124">
        <f t="shared" si="85"/>
        <v>4.02421875</v>
      </c>
      <c r="DU126" s="124">
        <f t="shared" si="98"/>
        <v>4.22666666666667</v>
      </c>
      <c r="DV126" s="124">
        <f t="shared" si="99"/>
        <v>4.515625</v>
      </c>
      <c r="DW126" s="124">
        <f t="shared" si="100"/>
        <v>8.984375</v>
      </c>
      <c r="DX126" s="124">
        <f t="shared" si="100"/>
        <v>6.484375</v>
      </c>
      <c r="FV126" s="104">
        <f t="shared" si="89"/>
        <v>2011</v>
      </c>
      <c r="FW126" s="104">
        <f t="shared" si="90"/>
        <v>8</v>
      </c>
      <c r="FX126" s="35">
        <v>40591</v>
      </c>
      <c r="FY126" s="26">
        <v>2.17</v>
      </c>
      <c r="FZ126" s="94">
        <f t="shared" si="91"/>
        <v>8.68</v>
      </c>
      <c r="GA126" s="104"/>
      <c r="GB126" s="104"/>
      <c r="GE126" s="94"/>
      <c r="GF126" s="104">
        <f t="shared" si="92"/>
        <v>2013</v>
      </c>
      <c r="GG126" s="104">
        <f t="shared" si="93"/>
        <v>22</v>
      </c>
      <c r="GH126" s="35">
        <v>41423</v>
      </c>
      <c r="GI126" s="26">
        <v>3.23</v>
      </c>
      <c r="GJ126" s="94">
        <f t="shared" si="94"/>
        <v>6.46</v>
      </c>
      <c r="GK126" s="104"/>
      <c r="GL126" s="104"/>
      <c r="GO126" s="94"/>
    </row>
    <row r="127" ht="16.8" spans="3:198">
      <c r="C127" s="80" t="str" cm="1">
        <f t="array" ref="C127">_xlfn.IFS(MONTH(D127)&lt;4,1,MONTH(D127)&lt;7,2,MONTH(D127)&lt;10,3,MONTH(D127)&gt;9,4)&amp;"Q"&amp;RIGHT(YEAR(D127),2)</f>
        <v>3Q16</v>
      </c>
      <c r="D127" s="81">
        <f t="shared" si="69"/>
        <v>42582</v>
      </c>
      <c r="E127" s="82">
        <f t="shared" si="65"/>
        <v>42569</v>
      </c>
      <c r="F127" s="83">
        <f t="shared" si="66"/>
        <v>0.454125</v>
      </c>
      <c r="G127" s="83">
        <f t="shared" si="66"/>
        <v>0.375</v>
      </c>
      <c r="H127" s="81"/>
      <c r="I127" s="84">
        <v>42569</v>
      </c>
      <c r="J127" s="85">
        <v>3.95</v>
      </c>
      <c r="K127" s="85">
        <v>3.3</v>
      </c>
      <c r="L127" s="86">
        <v>3.633</v>
      </c>
      <c r="M127" s="94" cm="1">
        <f t="array" ref="M127">INDEX($BV$29:$BV$1449,MATCH($D127,$BR$29:$BR$1449,0),)</f>
        <v>3</v>
      </c>
      <c r="N127" s="88"/>
      <c r="O127" s="88"/>
      <c r="P127" s="88"/>
      <c r="Q127" s="89">
        <f t="shared" si="67"/>
        <v>0.211</v>
      </c>
      <c r="AH127" s="105">
        <f t="shared" si="79"/>
        <v>43250</v>
      </c>
      <c r="AI127" s="91">
        <f t="shared" si="70"/>
        <v>8.631</v>
      </c>
      <c r="AJ127" s="36">
        <f t="shared" si="71"/>
        <v>-0.0115666513971597</v>
      </c>
      <c r="AK127" s="36">
        <f t="shared" si="76"/>
        <v>-0.0280405405405406</v>
      </c>
      <c r="AL127" s="105"/>
      <c r="AM127" s="91"/>
      <c r="AN127" s="36"/>
      <c r="AO127" s="36"/>
      <c r="AP127" s="36"/>
      <c r="AQ127" s="92" t="str" cm="1">
        <f t="array" ref="AQ127">_xlfn.IFS(MONTH(AR127)&lt;4,1,MONTH(AR127)&lt;7,2,MONTH(AR127)&lt;10,3,MONTH(AR127)&gt;9,4)&amp;"Q"&amp;RIGHT(YEAR(AR127),2)</f>
        <v>4Q20</v>
      </c>
      <c r="AR127" s="92">
        <f t="shared" si="72"/>
        <v>44196</v>
      </c>
      <c r="AS127" s="109">
        <v>44186</v>
      </c>
      <c r="AT127" s="110"/>
      <c r="AU127" s="94" cm="1">
        <f t="array" ref="AU127">INDEX($CE$29:$CE$1449,MATCH($AR127,$CA$29:$CA$1449,0),)</f>
        <v>110</v>
      </c>
      <c r="AV127" s="110"/>
      <c r="AW127" s="94" cm="1">
        <f t="array" ref="AW127">INDEX($CF$29:$CF$1449,MATCH($AR127,$CA$29:$CA$1449,0),)</f>
        <v>220</v>
      </c>
      <c r="AX127" s="94"/>
      <c r="AY127" s="94"/>
      <c r="AZ127" s="94"/>
      <c r="BA127" s="94"/>
      <c r="BB127" s="5"/>
      <c r="BC127" s="5"/>
      <c r="BD127" s="5"/>
      <c r="BE127" s="5"/>
      <c r="BF127" s="5"/>
      <c r="BG127" s="5"/>
      <c r="BH127" s="5"/>
      <c r="BI127" s="5"/>
      <c r="BJ127" s="5"/>
      <c r="BK127" s="5"/>
      <c r="BL127" s="5"/>
      <c r="BM127" s="36"/>
      <c r="BN127" s="5"/>
      <c r="BO127" s="5">
        <f t="shared" si="73"/>
        <v>2024</v>
      </c>
      <c r="BQ127" s="95" t="str" cm="1">
        <f t="array" ref="BQ127">_xlfn.IFS(MONTH(BR127)&lt;4,1,MONTH(BR127)&lt;7,2,MONTH(BR127)&lt;10,3,MONTH(BR127)&gt;9,4)&amp;"Q"&amp;RIGHT(YEAR(BR127),2)</f>
        <v>3Q24</v>
      </c>
      <c r="BR127" s="81">
        <f t="shared" si="74"/>
        <v>45535</v>
      </c>
      <c r="BS127" s="106">
        <f t="shared" si="75"/>
        <v>45535</v>
      </c>
      <c r="BV127" s="122">
        <v>2.05</v>
      </c>
      <c r="BW127" s="122">
        <v>4.1</v>
      </c>
      <c r="BX127" s="122">
        <v>4.5</v>
      </c>
      <c r="CA127" s="35">
        <f t="shared" si="86"/>
        <v>45535</v>
      </c>
      <c r="CB127" s="26">
        <v>49</v>
      </c>
      <c r="CC127" s="26">
        <v>41</v>
      </c>
      <c r="CD127" s="119">
        <v>21</v>
      </c>
      <c r="CE127" s="119">
        <v>90</v>
      </c>
      <c r="CF127" s="119">
        <v>174</v>
      </c>
      <c r="CG127" s="119">
        <v>136.99</v>
      </c>
      <c r="CH127" s="119">
        <v>275.4</v>
      </c>
      <c r="CI127" s="119">
        <v>133</v>
      </c>
      <c r="CJ127" s="119">
        <v>270</v>
      </c>
      <c r="CK127" s="119">
        <v>220.32</v>
      </c>
      <c r="CL127" s="119">
        <v>445.5</v>
      </c>
      <c r="CM127" s="119">
        <v>1150</v>
      </c>
      <c r="CN127" s="119">
        <v>830</v>
      </c>
      <c r="CO127" s="126">
        <f t="shared" ref="CO127:CP142" si="101">AVERAGE(CI127,CG127)</f>
        <v>134.995</v>
      </c>
      <c r="CP127" s="126">
        <f t="shared" si="101"/>
        <v>272.7</v>
      </c>
      <c r="CQ127" s="119">
        <v>1.4</v>
      </c>
      <c r="CR127" s="119">
        <v>1.25</v>
      </c>
      <c r="CS127" s="36"/>
      <c r="CT127" s="123">
        <f t="shared" si="77"/>
        <v>0.195121951219512</v>
      </c>
      <c r="CU127" s="123">
        <f t="shared" ref="CU127:CV142" si="102">CO127/CE127-1</f>
        <v>0.499944444444445</v>
      </c>
      <c r="CV127" s="123">
        <f t="shared" si="102"/>
        <v>0.567241379310345</v>
      </c>
      <c r="CX127" s="125">
        <f t="shared" si="87"/>
        <v>0</v>
      </c>
      <c r="CY127" s="125">
        <f t="shared" si="87"/>
        <v>0</v>
      </c>
      <c r="CZ127" s="125">
        <f t="shared" si="87"/>
        <v>0</v>
      </c>
      <c r="DA127" s="125">
        <f t="shared" si="87"/>
        <v>0.0344827586206897</v>
      </c>
      <c r="DB127" s="125">
        <f t="shared" si="87"/>
        <v>0.0204081632653061</v>
      </c>
      <c r="DC127" s="125">
        <f t="shared" si="87"/>
        <v>0.0555555555555556</v>
      </c>
      <c r="DD127" s="125">
        <f t="shared" si="87"/>
        <v>0.0588235294117645</v>
      </c>
      <c r="DE127" s="125">
        <f t="shared" si="87"/>
        <v>0.0555555555555556</v>
      </c>
      <c r="DF127" s="125">
        <f t="shared" si="87"/>
        <v>0.0588235294117647</v>
      </c>
      <c r="DG127" s="125">
        <f t="shared" si="87"/>
        <v>0.08596214511041</v>
      </c>
      <c r="DH127" s="125">
        <f t="shared" si="87"/>
        <v>0.027681660899654</v>
      </c>
      <c r="DI127" s="125">
        <f t="shared" si="87"/>
        <v>0</v>
      </c>
      <c r="DJ127" s="125">
        <f t="shared" si="87"/>
        <v>0</v>
      </c>
      <c r="DK127" s="125">
        <f t="shared" si="88"/>
        <v>0.0555555555555556</v>
      </c>
      <c r="DL127" s="125">
        <f t="shared" si="88"/>
        <v>0.0588235294117647</v>
      </c>
      <c r="DM127" s="125">
        <f t="shared" si="88"/>
        <v>0</v>
      </c>
      <c r="DN127" s="125">
        <f t="shared" si="88"/>
        <v>0</v>
      </c>
      <c r="DQ127" s="114">
        <f t="shared" si="80"/>
        <v>2.8125</v>
      </c>
      <c r="DR127" s="124">
        <f t="shared" si="81"/>
        <v>2.71875</v>
      </c>
      <c r="DS127" s="124">
        <f t="shared" si="84"/>
        <v>4.21859375</v>
      </c>
      <c r="DT127" s="124">
        <f t="shared" si="85"/>
        <v>4.2609375</v>
      </c>
      <c r="DU127" s="124">
        <f t="shared" si="98"/>
        <v>4.59</v>
      </c>
      <c r="DV127" s="124">
        <f t="shared" si="99"/>
        <v>4.640625</v>
      </c>
      <c r="DW127" s="124">
        <f t="shared" si="100"/>
        <v>8.984375</v>
      </c>
      <c r="DX127" s="124">
        <f t="shared" si="100"/>
        <v>6.484375</v>
      </c>
      <c r="FV127" s="104">
        <f t="shared" si="89"/>
        <v>2011</v>
      </c>
      <c r="FW127" s="104">
        <f t="shared" si="90"/>
        <v>8</v>
      </c>
      <c r="FX127" s="35">
        <v>40592</v>
      </c>
      <c r="FY127" s="26">
        <v>2.14</v>
      </c>
      <c r="FZ127" s="94">
        <f t="shared" si="91"/>
        <v>8.56</v>
      </c>
      <c r="GA127" s="104"/>
      <c r="GB127" s="104"/>
      <c r="GE127" s="94"/>
      <c r="GF127" s="104">
        <f t="shared" si="92"/>
        <v>2013</v>
      </c>
      <c r="GG127" s="104">
        <f t="shared" si="93"/>
        <v>22</v>
      </c>
      <c r="GH127" s="35">
        <v>41424</v>
      </c>
      <c r="GI127" s="26">
        <v>3.265</v>
      </c>
      <c r="GJ127" s="94">
        <f t="shared" si="94"/>
        <v>6.53</v>
      </c>
      <c r="GK127" s="104"/>
      <c r="GL127" s="104"/>
      <c r="GO127" s="94"/>
    </row>
    <row r="128" ht="16.8" spans="3:198">
      <c r="C128" s="80" t="str" cm="1">
        <f t="array" ref="C128">_xlfn.IFS(MONTH(D128)&lt;4,1,MONTH(D128)&lt;7,2,MONTH(D128)&lt;10,3,MONTH(D128)&gt;9,4)&amp;"Q"&amp;RIGHT(YEAR(D128),2)</f>
        <v>3Q16</v>
      </c>
      <c r="D128" s="81">
        <f t="shared" si="69"/>
        <v>42582</v>
      </c>
      <c r="E128" s="82">
        <f t="shared" si="65"/>
        <v>42570</v>
      </c>
      <c r="F128" s="83">
        <f t="shared" si="66"/>
        <v>0.454125</v>
      </c>
      <c r="G128" s="83">
        <f t="shared" si="66"/>
        <v>0.375</v>
      </c>
      <c r="H128" s="81"/>
      <c r="I128" s="84">
        <v>42570</v>
      </c>
      <c r="J128" s="85">
        <v>3.95</v>
      </c>
      <c r="K128" s="85">
        <v>3.3</v>
      </c>
      <c r="L128" s="86">
        <v>3.633</v>
      </c>
      <c r="M128" s="94" cm="1">
        <f t="array" ref="M128">INDEX($BV$29:$BV$1449,MATCH($D128,$BR$29:$BR$1449,0),)</f>
        <v>3</v>
      </c>
      <c r="N128" s="88"/>
      <c r="O128" s="88"/>
      <c r="P128" s="88"/>
      <c r="Q128" s="89">
        <f t="shared" si="67"/>
        <v>0.211</v>
      </c>
      <c r="AH128" s="105">
        <f t="shared" si="79"/>
        <v>43258</v>
      </c>
      <c r="AI128" s="91">
        <f t="shared" si="70"/>
        <v>8.621</v>
      </c>
      <c r="AJ128" s="36">
        <f t="shared" si="71"/>
        <v>-0.00115861429730035</v>
      </c>
      <c r="AK128" s="36">
        <f t="shared" si="76"/>
        <v>-0.0127118644067795</v>
      </c>
      <c r="AL128" s="105"/>
      <c r="AM128" s="91"/>
      <c r="AN128" s="36"/>
      <c r="AO128" s="36"/>
      <c r="AP128" s="36"/>
      <c r="AQ128" s="92" t="str" cm="1">
        <f t="array" ref="AQ128">_xlfn.IFS(MONTH(AR128)&lt;4,1,MONTH(AR128)&lt;7,2,MONTH(AR128)&lt;10,3,MONTH(AR128)&gt;9,4)&amp;"Q"&amp;RIGHT(YEAR(AR128),2)</f>
        <v>4Q20</v>
      </c>
      <c r="AR128" s="92">
        <f t="shared" si="72"/>
        <v>44196</v>
      </c>
      <c r="AS128" s="109">
        <v>44193</v>
      </c>
      <c r="AT128" s="110"/>
      <c r="AU128" s="94" cm="1">
        <f t="array" ref="AU128">INDEX($CE$29:$CE$1449,MATCH($AR128,$CA$29:$CA$1449,0),)</f>
        <v>110</v>
      </c>
      <c r="AV128" s="110"/>
      <c r="AW128" s="94" cm="1">
        <f t="array" ref="AW128">INDEX($CF$29:$CF$1449,MATCH($AR128,$CA$29:$CA$1449,0),)</f>
        <v>220</v>
      </c>
      <c r="AX128" s="94"/>
      <c r="AY128" s="94"/>
      <c r="AZ128" s="94"/>
      <c r="BA128" s="94"/>
      <c r="BB128" s="5"/>
      <c r="BC128" s="5"/>
      <c r="BD128" s="5"/>
      <c r="BE128" s="5"/>
      <c r="BF128" s="5"/>
      <c r="BG128" s="5"/>
      <c r="BH128" s="5"/>
      <c r="BI128" s="5"/>
      <c r="BJ128" s="5"/>
      <c r="BK128" s="5"/>
      <c r="BL128" s="5"/>
      <c r="BM128" s="36"/>
      <c r="BN128" s="5"/>
      <c r="BO128" s="5">
        <f t="shared" si="73"/>
        <v>2024</v>
      </c>
      <c r="BQ128" s="95" t="str" cm="1">
        <f t="array" ref="BQ128">_xlfn.IFS(MONTH(BR128)&lt;4,1,MONTH(BR128)&lt;7,2,MONTH(BR128)&lt;10,3,MONTH(BR128)&gt;9,4)&amp;"Q"&amp;RIGHT(YEAR(BR128),2)</f>
        <v>3Q24</v>
      </c>
      <c r="BR128" s="81">
        <f t="shared" si="74"/>
        <v>45565</v>
      </c>
      <c r="BS128" s="106">
        <f t="shared" si="75"/>
        <v>45565</v>
      </c>
      <c r="BV128" s="122">
        <v>1.7</v>
      </c>
      <c r="BW128" s="122">
        <v>3.2</v>
      </c>
      <c r="BX128" s="122">
        <v>4.05</v>
      </c>
      <c r="CA128" s="35">
        <f t="shared" si="86"/>
        <v>45565</v>
      </c>
      <c r="CB128" s="26">
        <v>49</v>
      </c>
      <c r="CC128" s="26">
        <v>41</v>
      </c>
      <c r="CD128" s="119">
        <v>21</v>
      </c>
      <c r="CE128" s="119">
        <v>90</v>
      </c>
      <c r="CF128" s="119">
        <v>174</v>
      </c>
      <c r="CG128" s="119">
        <v>139.05</v>
      </c>
      <c r="CH128" s="119">
        <v>275.73</v>
      </c>
      <c r="CI128" s="119">
        <v>135</v>
      </c>
      <c r="CJ128" s="119">
        <v>273</v>
      </c>
      <c r="CK128" s="119">
        <v>220.58</v>
      </c>
      <c r="CL128" s="119">
        <v>455.91</v>
      </c>
      <c r="CM128" s="119">
        <v>1150</v>
      </c>
      <c r="CN128" s="119">
        <v>830</v>
      </c>
      <c r="CO128" s="126">
        <f t="shared" si="101"/>
        <v>137.025</v>
      </c>
      <c r="CP128" s="126">
        <f t="shared" si="101"/>
        <v>274.365</v>
      </c>
      <c r="CQ128" s="119">
        <v>1.4</v>
      </c>
      <c r="CR128" s="119">
        <v>1.25</v>
      </c>
      <c r="CS128" s="36"/>
      <c r="CT128" s="123">
        <f t="shared" si="77"/>
        <v>0.195121951219512</v>
      </c>
      <c r="CU128" s="123">
        <f t="shared" si="102"/>
        <v>0.5225</v>
      </c>
      <c r="CV128" s="123">
        <f t="shared" si="102"/>
        <v>0.576810344827586</v>
      </c>
      <c r="CX128" s="125">
        <f t="shared" ref="CX128:DM143" si="103">CB128/CB127-1</f>
        <v>0</v>
      </c>
      <c r="CY128" s="125">
        <f t="shared" si="103"/>
        <v>0</v>
      </c>
      <c r="CZ128" s="125">
        <f t="shared" si="103"/>
        <v>0</v>
      </c>
      <c r="DA128" s="125">
        <f t="shared" si="103"/>
        <v>0</v>
      </c>
      <c r="DB128" s="125">
        <f t="shared" si="103"/>
        <v>0</v>
      </c>
      <c r="DC128" s="125">
        <f t="shared" si="103"/>
        <v>0.0150375939849625</v>
      </c>
      <c r="DD128" s="125">
        <f t="shared" si="103"/>
        <v>0.00119825708061017</v>
      </c>
      <c r="DE128" s="125">
        <f t="shared" si="103"/>
        <v>0.0150375939849625</v>
      </c>
      <c r="DF128" s="125">
        <f t="shared" si="103"/>
        <v>0.0111111111111111</v>
      </c>
      <c r="DG128" s="125">
        <f t="shared" si="103"/>
        <v>0.00118010167029792</v>
      </c>
      <c r="DH128" s="125">
        <f t="shared" si="103"/>
        <v>0.0233670033670035</v>
      </c>
      <c r="DI128" s="125">
        <f t="shared" si="103"/>
        <v>0</v>
      </c>
      <c r="DJ128" s="125">
        <f t="shared" si="103"/>
        <v>0</v>
      </c>
      <c r="DK128" s="125">
        <f t="shared" si="88"/>
        <v>0.0150375939849625</v>
      </c>
      <c r="DL128" s="125">
        <f t="shared" si="88"/>
        <v>0.00610561056105619</v>
      </c>
      <c r="DM128" s="125">
        <f t="shared" si="88"/>
        <v>0</v>
      </c>
      <c r="DN128" s="125">
        <f t="shared" si="88"/>
        <v>0</v>
      </c>
      <c r="DQ128" s="114">
        <f t="shared" si="80"/>
        <v>2.8125</v>
      </c>
      <c r="DR128" s="124">
        <f t="shared" si="81"/>
        <v>2.71875</v>
      </c>
      <c r="DS128" s="124">
        <f t="shared" si="84"/>
        <v>4.28203125</v>
      </c>
      <c r="DT128" s="124">
        <f t="shared" si="85"/>
        <v>4.286953125</v>
      </c>
      <c r="DU128" s="124">
        <f t="shared" si="98"/>
        <v>4.59541666666667</v>
      </c>
      <c r="DV128" s="124">
        <f t="shared" si="99"/>
        <v>4.7490625</v>
      </c>
      <c r="DW128" s="124">
        <f t="shared" si="100"/>
        <v>8.984375</v>
      </c>
      <c r="DX128" s="124">
        <f t="shared" si="100"/>
        <v>6.484375</v>
      </c>
      <c r="FV128" s="104">
        <f t="shared" si="89"/>
        <v>2011</v>
      </c>
      <c r="FW128" s="104">
        <f t="shared" si="90"/>
        <v>9</v>
      </c>
      <c r="FX128" s="35">
        <v>40595</v>
      </c>
      <c r="FY128" s="26">
        <v>2.14</v>
      </c>
      <c r="FZ128" s="94">
        <f t="shared" si="91"/>
        <v>8.56</v>
      </c>
      <c r="GA128" s="104"/>
      <c r="GB128" s="104"/>
      <c r="GE128" s="94"/>
      <c r="GF128" s="104">
        <f t="shared" si="92"/>
        <v>2013</v>
      </c>
      <c r="GG128" s="104">
        <f t="shared" si="93"/>
        <v>22</v>
      </c>
      <c r="GH128" s="35">
        <v>41425</v>
      </c>
      <c r="GI128" s="26">
        <v>3.315</v>
      </c>
      <c r="GJ128" s="94">
        <f t="shared" si="94"/>
        <v>6.63</v>
      </c>
      <c r="GK128" s="104"/>
      <c r="GL128" s="104"/>
      <c r="GO128" s="94"/>
    </row>
    <row r="129" ht="16.8" spans="3:197">
      <c r="C129" s="80" t="str" cm="1">
        <f t="array" ref="C129">_xlfn.IFS(MONTH(D129)&lt;4,1,MONTH(D129)&lt;7,2,MONTH(D129)&lt;10,3,MONTH(D129)&gt;9,4)&amp;"Q"&amp;RIGHT(YEAR(D129),2)</f>
        <v>3Q16</v>
      </c>
      <c r="D129" s="81">
        <f t="shared" si="69"/>
        <v>42582</v>
      </c>
      <c r="E129" s="82">
        <f t="shared" si="65"/>
        <v>42571</v>
      </c>
      <c r="F129" s="83">
        <f t="shared" si="66"/>
        <v>0.454125</v>
      </c>
      <c r="G129" s="83">
        <f t="shared" si="66"/>
        <v>0.375</v>
      </c>
      <c r="H129" s="81"/>
      <c r="I129" s="84">
        <v>42571</v>
      </c>
      <c r="J129" s="85">
        <v>3.95</v>
      </c>
      <c r="K129" s="85">
        <v>3.3</v>
      </c>
      <c r="L129" s="86">
        <v>3.633</v>
      </c>
      <c r="M129" s="94" cm="1">
        <f t="array" ref="M129">INDEX($BV$29:$BV$1449,MATCH($D129,$BR$29:$BR$1449,0),)</f>
        <v>3</v>
      </c>
      <c r="N129" s="88"/>
      <c r="O129" s="88"/>
      <c r="P129" s="88"/>
      <c r="Q129" s="89">
        <f t="shared" si="67"/>
        <v>0.211</v>
      </c>
      <c r="AH129" s="105">
        <f t="shared" si="79"/>
        <v>43266</v>
      </c>
      <c r="AI129" s="91">
        <f t="shared" si="70"/>
        <v>8.609</v>
      </c>
      <c r="AJ129" s="36">
        <f t="shared" si="71"/>
        <v>-0.00139194988980407</v>
      </c>
      <c r="AK129" s="36">
        <f t="shared" si="76"/>
        <v>-0.00254895145406098</v>
      </c>
      <c r="AL129" s="105"/>
      <c r="AM129" s="91"/>
      <c r="AN129" s="36"/>
      <c r="AO129" s="36"/>
      <c r="AP129" s="36"/>
      <c r="AQ129" s="92" t="str" cm="1">
        <f t="array" ref="AQ129">_xlfn.IFS(MONTH(AR129)&lt;4,1,MONTH(AR129)&lt;7,2,MONTH(AR129)&lt;10,3,MONTH(AR129)&gt;9,4)&amp;"Q"&amp;RIGHT(YEAR(AR129),2)</f>
        <v>1Q21</v>
      </c>
      <c r="AR129" s="92">
        <f t="shared" si="72"/>
        <v>44227</v>
      </c>
      <c r="AS129" s="109">
        <v>44200</v>
      </c>
      <c r="AT129" s="110"/>
      <c r="AU129" s="94" cm="1">
        <f t="array" ref="AU129">INDEX($CE$29:$CE$1449,MATCH($AR129,$CA$29:$CA$1449,0),)</f>
        <v>115</v>
      </c>
      <c r="AV129" s="110"/>
      <c r="AW129" s="94" cm="1">
        <f t="array" ref="AW129">INDEX($CF$29:$CF$1449,MATCH($AR129,$CA$29:$CA$1449,0),)</f>
        <v>230</v>
      </c>
      <c r="AX129" s="94"/>
      <c r="AY129" s="94"/>
      <c r="AZ129" s="94"/>
      <c r="BA129" s="94"/>
      <c r="BB129" s="5"/>
      <c r="BC129" s="5"/>
      <c r="BD129" s="5"/>
      <c r="BE129" s="5"/>
      <c r="BF129" s="5"/>
      <c r="BG129" s="5"/>
      <c r="BH129" s="5"/>
      <c r="BI129" s="5"/>
      <c r="BJ129" s="5"/>
      <c r="BK129" s="5"/>
      <c r="BL129" s="5"/>
      <c r="BM129" s="36"/>
      <c r="BN129" s="5"/>
      <c r="BO129" s="5">
        <f t="shared" si="73"/>
        <v>2024</v>
      </c>
      <c r="BQ129" s="95" t="str" cm="1">
        <f t="array" ref="BQ129">_xlfn.IFS(MONTH(BR129)&lt;4,1,MONTH(BR129)&lt;7,2,MONTH(BR129)&lt;10,3,MONTH(BR129)&gt;9,4)&amp;"Q"&amp;RIGHT(YEAR(BR129),2)</f>
        <v>4Q24</v>
      </c>
      <c r="BR129" s="81">
        <f t="shared" si="74"/>
        <v>45596</v>
      </c>
      <c r="BS129" s="106">
        <f t="shared" si="75"/>
        <v>45596</v>
      </c>
      <c r="BV129" s="122">
        <v>1.7</v>
      </c>
      <c r="BW129" s="122">
        <v>3.2</v>
      </c>
      <c r="BX129" s="122">
        <v>4.05</v>
      </c>
      <c r="CA129" s="35">
        <f t="shared" si="86"/>
        <v>45596</v>
      </c>
      <c r="CB129" s="26">
        <v>49</v>
      </c>
      <c r="CC129" s="26">
        <v>41</v>
      </c>
      <c r="CD129" s="119">
        <v>21</v>
      </c>
      <c r="CE129" s="119">
        <v>90</v>
      </c>
      <c r="CF129" s="119">
        <v>174</v>
      </c>
      <c r="CG129" s="119">
        <v>141.4</v>
      </c>
      <c r="CH129" s="119">
        <v>285</v>
      </c>
      <c r="CI129" s="119">
        <v>140</v>
      </c>
      <c r="CJ129" s="119">
        <v>285</v>
      </c>
      <c r="CK129" s="119">
        <v>228</v>
      </c>
      <c r="CL129" s="119">
        <v>464.55</v>
      </c>
      <c r="CM129" s="119">
        <v>1150</v>
      </c>
      <c r="CN129" s="119">
        <v>830</v>
      </c>
      <c r="CO129" s="126">
        <f t="shared" si="101"/>
        <v>140.7</v>
      </c>
      <c r="CP129" s="126">
        <f t="shared" si="101"/>
        <v>285</v>
      </c>
      <c r="CQ129" s="119">
        <v>1.35</v>
      </c>
      <c r="CR129" s="119">
        <v>1.2</v>
      </c>
      <c r="CS129" s="36"/>
      <c r="CT129" s="123">
        <f t="shared" si="77"/>
        <v>0.195121951219512</v>
      </c>
      <c r="CU129" s="123">
        <f t="shared" si="102"/>
        <v>0.563333333333333</v>
      </c>
      <c r="CV129" s="123">
        <f t="shared" si="102"/>
        <v>0.637931034482759</v>
      </c>
      <c r="CX129" s="125">
        <f t="shared" si="103"/>
        <v>0</v>
      </c>
      <c r="CY129" s="125">
        <f t="shared" si="103"/>
        <v>0</v>
      </c>
      <c r="CZ129" s="125">
        <f t="shared" si="103"/>
        <v>0</v>
      </c>
      <c r="DA129" s="125">
        <f t="shared" si="103"/>
        <v>0</v>
      </c>
      <c r="DB129" s="125">
        <f t="shared" si="103"/>
        <v>0</v>
      </c>
      <c r="DC129" s="125">
        <f t="shared" si="103"/>
        <v>0.0169003955411722</v>
      </c>
      <c r="DD129" s="125">
        <f t="shared" si="103"/>
        <v>0.0336198455010335</v>
      </c>
      <c r="DE129" s="125">
        <f t="shared" si="103"/>
        <v>0.037037037037037</v>
      </c>
      <c r="DF129" s="125">
        <f t="shared" si="103"/>
        <v>0.043956043956044</v>
      </c>
      <c r="DG129" s="125">
        <f t="shared" si="103"/>
        <v>0.0336385891739959</v>
      </c>
      <c r="DH129" s="125">
        <f t="shared" si="103"/>
        <v>0.018951108771468</v>
      </c>
      <c r="DI129" s="125">
        <f t="shared" si="103"/>
        <v>0</v>
      </c>
      <c r="DJ129" s="125">
        <f t="shared" si="103"/>
        <v>0</v>
      </c>
      <c r="DK129" s="125">
        <f t="shared" si="88"/>
        <v>0.0268199233716473</v>
      </c>
      <c r="DL129" s="125">
        <f t="shared" si="88"/>
        <v>0.0387622327920836</v>
      </c>
      <c r="DM129" s="125">
        <f t="shared" si="88"/>
        <v>-0.0357142857142856</v>
      </c>
      <c r="DN129" s="125">
        <f t="shared" si="88"/>
        <v>-0.04</v>
      </c>
      <c r="DQ129" s="114">
        <f t="shared" si="80"/>
        <v>2.8125</v>
      </c>
      <c r="DR129" s="124">
        <f t="shared" si="81"/>
        <v>2.71875</v>
      </c>
      <c r="DS129" s="124">
        <f t="shared" si="84"/>
        <v>4.396875</v>
      </c>
      <c r="DT129" s="124">
        <f t="shared" si="85"/>
        <v>4.453125</v>
      </c>
      <c r="DU129" s="124">
        <f t="shared" si="98"/>
        <v>4.75</v>
      </c>
      <c r="DV129" s="124">
        <f t="shared" si="99"/>
        <v>4.8390625</v>
      </c>
      <c r="DW129" s="124">
        <f t="shared" si="100"/>
        <v>8.984375</v>
      </c>
      <c r="DX129" s="124">
        <f t="shared" si="100"/>
        <v>6.484375</v>
      </c>
      <c r="FV129" s="104">
        <f t="shared" si="89"/>
        <v>2011</v>
      </c>
      <c r="FW129" s="104">
        <f t="shared" si="90"/>
        <v>9</v>
      </c>
      <c r="FX129" s="35">
        <v>40596</v>
      </c>
      <c r="FY129" s="26">
        <v>2.14</v>
      </c>
      <c r="FZ129" s="94">
        <f t="shared" si="91"/>
        <v>8.56</v>
      </c>
      <c r="GA129" s="104"/>
      <c r="GB129" s="104"/>
      <c r="GE129" s="94"/>
      <c r="GF129" s="104">
        <f t="shared" si="92"/>
        <v>2013</v>
      </c>
      <c r="GG129" s="104">
        <f t="shared" si="93"/>
        <v>23</v>
      </c>
      <c r="GH129" s="35">
        <v>41428</v>
      </c>
      <c r="GI129" s="26">
        <v>3.338</v>
      </c>
      <c r="GJ129" s="94">
        <f t="shared" si="94"/>
        <v>6.676</v>
      </c>
      <c r="GK129" s="104"/>
      <c r="GL129" s="104"/>
      <c r="GO129" s="94"/>
    </row>
    <row r="130" ht="16.8" spans="3:197">
      <c r="C130" s="80" t="str" cm="1">
        <f t="array" ref="C130">_xlfn.IFS(MONTH(D130)&lt;4,1,MONTH(D130)&lt;7,2,MONTH(D130)&lt;10,3,MONTH(D130)&gt;9,4)&amp;"Q"&amp;RIGHT(YEAR(D130),2)</f>
        <v>3Q16</v>
      </c>
      <c r="D130" s="81">
        <f t="shared" si="69"/>
        <v>42582</v>
      </c>
      <c r="E130" s="82">
        <f t="shared" si="65"/>
        <v>42572</v>
      </c>
      <c r="F130" s="83">
        <f t="shared" si="66"/>
        <v>0.454125</v>
      </c>
      <c r="G130" s="83">
        <f t="shared" si="66"/>
        <v>0.375</v>
      </c>
      <c r="H130" s="81"/>
      <c r="I130" s="84">
        <v>42572</v>
      </c>
      <c r="J130" s="85">
        <v>3.95</v>
      </c>
      <c r="K130" s="85">
        <v>3.3</v>
      </c>
      <c r="L130" s="86">
        <v>3.633</v>
      </c>
      <c r="M130" s="94" cm="1">
        <f t="array" ref="M130">INDEX($BV$29:$BV$1449,MATCH($D130,$BR$29:$BR$1449,0),)</f>
        <v>3</v>
      </c>
      <c r="N130" s="88"/>
      <c r="O130" s="88"/>
      <c r="P130" s="88"/>
      <c r="Q130" s="89">
        <f t="shared" si="67"/>
        <v>0.211</v>
      </c>
      <c r="AH130" s="105">
        <f t="shared" si="79"/>
        <v>43276</v>
      </c>
      <c r="AI130" s="91">
        <f t="shared" si="70"/>
        <v>8.551</v>
      </c>
      <c r="AJ130" s="36">
        <f t="shared" si="71"/>
        <v>-0.00673713555581368</v>
      </c>
      <c r="AK130" s="36">
        <f t="shared" si="76"/>
        <v>-0.00811970769052317</v>
      </c>
      <c r="AL130" s="105"/>
      <c r="AM130" s="91"/>
      <c r="AN130" s="36"/>
      <c r="AO130" s="36"/>
      <c r="AP130" s="36"/>
      <c r="AQ130" s="92" t="str" cm="1">
        <f t="array" ref="AQ130">_xlfn.IFS(MONTH(AR130)&lt;4,1,MONTH(AR130)&lt;7,2,MONTH(AR130)&lt;10,3,MONTH(AR130)&gt;9,4)&amp;"Q"&amp;RIGHT(YEAR(AR130),2)</f>
        <v>1Q21</v>
      </c>
      <c r="AR130" s="92">
        <f t="shared" si="72"/>
        <v>44227</v>
      </c>
      <c r="AS130" s="109">
        <v>44207</v>
      </c>
      <c r="AT130" s="110"/>
      <c r="AU130" s="94" cm="1">
        <f t="array" ref="AU130">INDEX($CE$29:$CE$1449,MATCH($AR130,$CA$29:$CA$1449,0),)</f>
        <v>115</v>
      </c>
      <c r="AV130" s="110"/>
      <c r="AW130" s="94" cm="1">
        <f t="array" ref="AW130">INDEX($CF$29:$CF$1449,MATCH($AR130,$CA$29:$CA$1449,0),)</f>
        <v>230</v>
      </c>
      <c r="AX130" s="94"/>
      <c r="AY130" s="94"/>
      <c r="AZ130" s="94"/>
      <c r="BA130" s="94"/>
      <c r="BB130" s="5"/>
      <c r="BC130" s="5"/>
      <c r="BD130" s="5"/>
      <c r="BE130" s="5"/>
      <c r="BF130" s="5"/>
      <c r="BG130" s="5"/>
      <c r="BH130" s="5"/>
      <c r="BI130" s="5"/>
      <c r="BJ130" s="5"/>
      <c r="BK130" s="5"/>
      <c r="BL130" s="5"/>
      <c r="BM130" s="36"/>
      <c r="BN130" s="5"/>
      <c r="BO130" s="5">
        <f t="shared" si="73"/>
        <v>2024</v>
      </c>
      <c r="BQ130" s="95" t="str" cm="1">
        <f t="array" ref="BQ130">_xlfn.IFS(MONTH(BR130)&lt;4,1,MONTH(BR130)&lt;7,2,MONTH(BR130)&lt;10,3,MONTH(BR130)&gt;9,4)&amp;"Q"&amp;RIGHT(YEAR(BR130),2)</f>
        <v>4Q24</v>
      </c>
      <c r="BR130" s="81">
        <f t="shared" si="74"/>
        <v>45626</v>
      </c>
      <c r="BS130" s="106">
        <f t="shared" si="75"/>
        <v>45626</v>
      </c>
      <c r="BV130" s="122">
        <v>1.35</v>
      </c>
      <c r="BW130" s="122">
        <v>2.55</v>
      </c>
      <c r="BX130" s="122">
        <v>3.9</v>
      </c>
      <c r="CA130" s="35">
        <f t="shared" si="86"/>
        <v>45626</v>
      </c>
      <c r="CB130" s="26">
        <v>46.5</v>
      </c>
      <c r="CC130" s="26">
        <v>36</v>
      </c>
      <c r="CD130" s="119">
        <v>18.5</v>
      </c>
      <c r="CE130" s="119">
        <v>80</v>
      </c>
      <c r="CF130" s="119">
        <v>155</v>
      </c>
      <c r="CG130" s="119">
        <v>141.4</v>
      </c>
      <c r="CH130" s="119">
        <v>285</v>
      </c>
      <c r="CI130" s="119">
        <v>140</v>
      </c>
      <c r="CJ130" s="119">
        <v>285</v>
      </c>
      <c r="CK130" s="119">
        <v>228</v>
      </c>
      <c r="CL130" s="119">
        <v>464.55</v>
      </c>
      <c r="CM130" s="119">
        <v>1150</v>
      </c>
      <c r="CN130" s="119">
        <v>830</v>
      </c>
      <c r="CO130" s="126">
        <f t="shared" si="101"/>
        <v>140.7</v>
      </c>
      <c r="CP130" s="126">
        <f t="shared" si="101"/>
        <v>285</v>
      </c>
      <c r="CQ130" s="119">
        <v>1.25</v>
      </c>
      <c r="CR130" s="119">
        <v>1.15</v>
      </c>
      <c r="CS130" s="36"/>
      <c r="CT130" s="123">
        <f t="shared" si="77"/>
        <v>0.291666666666667</v>
      </c>
      <c r="CU130" s="123">
        <f t="shared" si="102"/>
        <v>0.75875</v>
      </c>
      <c r="CV130" s="123">
        <f t="shared" si="102"/>
        <v>0.838709677419355</v>
      </c>
      <c r="CX130" s="125">
        <f t="shared" si="103"/>
        <v>-0.0510204081632653</v>
      </c>
      <c r="CY130" s="125">
        <f t="shared" si="103"/>
        <v>-0.121951219512195</v>
      </c>
      <c r="CZ130" s="125">
        <f t="shared" si="103"/>
        <v>-0.119047619047619</v>
      </c>
      <c r="DA130" s="125">
        <f t="shared" si="103"/>
        <v>-0.111111111111111</v>
      </c>
      <c r="DB130" s="125">
        <f t="shared" si="103"/>
        <v>-0.109195402298851</v>
      </c>
      <c r="DC130" s="125">
        <f t="shared" si="103"/>
        <v>0</v>
      </c>
      <c r="DD130" s="125">
        <f t="shared" si="103"/>
        <v>0</v>
      </c>
      <c r="DE130" s="125">
        <f t="shared" si="103"/>
        <v>0</v>
      </c>
      <c r="DF130" s="125">
        <f t="shared" si="103"/>
        <v>0</v>
      </c>
      <c r="DG130" s="125">
        <f t="shared" si="103"/>
        <v>0</v>
      </c>
      <c r="DH130" s="125">
        <f t="shared" si="103"/>
        <v>0</v>
      </c>
      <c r="DI130" s="125">
        <f t="shared" si="103"/>
        <v>0</v>
      </c>
      <c r="DJ130" s="125">
        <f t="shared" si="103"/>
        <v>0</v>
      </c>
      <c r="DK130" s="125">
        <f t="shared" si="88"/>
        <v>0</v>
      </c>
      <c r="DL130" s="125">
        <f t="shared" si="88"/>
        <v>0</v>
      </c>
      <c r="DM130" s="125">
        <f t="shared" si="88"/>
        <v>-0.0740740740740742</v>
      </c>
      <c r="DN130" s="125">
        <f t="shared" si="88"/>
        <v>-0.0416666666666667</v>
      </c>
      <c r="DQ130" s="114">
        <f t="shared" si="80"/>
        <v>2.5</v>
      </c>
      <c r="DR130" s="124">
        <f t="shared" si="81"/>
        <v>2.421875</v>
      </c>
      <c r="DS130" s="124">
        <f t="shared" si="84"/>
        <v>4.396875</v>
      </c>
      <c r="DT130" s="124">
        <f t="shared" si="85"/>
        <v>4.453125</v>
      </c>
      <c r="DU130" s="124">
        <f t="shared" si="98"/>
        <v>4.75</v>
      </c>
      <c r="DV130" s="124">
        <f t="shared" si="99"/>
        <v>4.8390625</v>
      </c>
      <c r="DW130" s="124">
        <f t="shared" si="100"/>
        <v>8.984375</v>
      </c>
      <c r="DX130" s="124">
        <f t="shared" si="100"/>
        <v>6.484375</v>
      </c>
      <c r="FV130" s="104">
        <f t="shared" si="89"/>
        <v>2011</v>
      </c>
      <c r="FW130" s="104">
        <f t="shared" si="90"/>
        <v>9</v>
      </c>
      <c r="FX130" s="35">
        <v>40597</v>
      </c>
      <c r="FY130" s="26">
        <v>2.13</v>
      </c>
      <c r="FZ130" s="94">
        <f t="shared" si="91"/>
        <v>8.52</v>
      </c>
      <c r="GA130" s="104"/>
      <c r="GB130" s="104"/>
      <c r="GE130" s="94"/>
      <c r="GF130" s="104">
        <f t="shared" si="92"/>
        <v>2013</v>
      </c>
      <c r="GG130" s="104">
        <f t="shared" si="93"/>
        <v>23</v>
      </c>
      <c r="GH130" s="35">
        <v>41429</v>
      </c>
      <c r="GI130" s="26">
        <v>3.375</v>
      </c>
      <c r="GJ130" s="94">
        <f t="shared" si="94"/>
        <v>6.75</v>
      </c>
      <c r="GK130" s="104"/>
      <c r="GL130" s="104"/>
      <c r="GO130" s="94"/>
    </row>
    <row r="131" ht="16.8" spans="3:197">
      <c r="C131" s="80" t="str" cm="1">
        <f t="array" ref="C131">_xlfn.IFS(MONTH(D131)&lt;4,1,MONTH(D131)&lt;7,2,MONTH(D131)&lt;10,3,MONTH(D131)&gt;9,4)&amp;"Q"&amp;RIGHT(YEAR(D131),2)</f>
        <v>3Q16</v>
      </c>
      <c r="D131" s="81">
        <f t="shared" si="69"/>
        <v>42582</v>
      </c>
      <c r="E131" s="82">
        <f t="shared" si="65"/>
        <v>42573</v>
      </c>
      <c r="F131" s="83">
        <f t="shared" si="66"/>
        <v>0.454125</v>
      </c>
      <c r="G131" s="83">
        <f t="shared" si="66"/>
        <v>0.375</v>
      </c>
      <c r="H131" s="81"/>
      <c r="I131" s="84">
        <v>42573</v>
      </c>
      <c r="J131" s="85">
        <v>3.96</v>
      </c>
      <c r="K131" s="85">
        <v>3.3</v>
      </c>
      <c r="L131" s="86">
        <v>3.633</v>
      </c>
      <c r="M131" s="94" cm="1">
        <f t="array" ref="M131">INDEX($BV$29:$BV$1449,MATCH($D131,$BR$29:$BR$1449,0),)</f>
        <v>3</v>
      </c>
      <c r="N131" s="88"/>
      <c r="O131" s="88"/>
      <c r="P131" s="88"/>
      <c r="Q131" s="89">
        <f t="shared" si="67"/>
        <v>0.211</v>
      </c>
      <c r="AH131" s="105">
        <f t="shared" si="79"/>
        <v>43284</v>
      </c>
      <c r="AI131" s="91">
        <f t="shared" si="70"/>
        <v>8.041</v>
      </c>
      <c r="AJ131" s="36">
        <f t="shared" si="71"/>
        <v>-0.0596421471172962</v>
      </c>
      <c r="AK131" s="36">
        <f t="shared" si="76"/>
        <v>-0.0659774654431409</v>
      </c>
      <c r="AL131" s="105"/>
      <c r="AM131" s="91"/>
      <c r="AN131" s="36"/>
      <c r="AO131" s="36"/>
      <c r="AP131" s="36"/>
      <c r="AQ131" s="92" t="str" cm="1">
        <f t="array" ref="AQ131">_xlfn.IFS(MONTH(AR131)&lt;4,1,MONTH(AR131)&lt;7,2,MONTH(AR131)&lt;10,3,MONTH(AR131)&gt;9,4)&amp;"Q"&amp;RIGHT(YEAR(AR131),2)</f>
        <v>1Q21</v>
      </c>
      <c r="AR131" s="92">
        <f t="shared" si="72"/>
        <v>44227</v>
      </c>
      <c r="AS131" s="109">
        <v>44214</v>
      </c>
      <c r="AT131" s="110"/>
      <c r="AU131" s="94" cm="1">
        <f t="array" ref="AU131">INDEX($CE$29:$CE$1449,MATCH($AR131,$CA$29:$CA$1449,0),)</f>
        <v>115</v>
      </c>
      <c r="AV131" s="110"/>
      <c r="AW131" s="94" cm="1">
        <f t="array" ref="AW131">INDEX($CF$29:$CF$1449,MATCH($AR131,$CA$29:$CA$1449,0),)</f>
        <v>230</v>
      </c>
      <c r="AX131" s="94"/>
      <c r="AY131" s="94"/>
      <c r="AZ131" s="94"/>
      <c r="BA131" s="94"/>
      <c r="BB131" s="5"/>
      <c r="BC131" s="5"/>
      <c r="BD131" s="5"/>
      <c r="BE131" s="5"/>
      <c r="BF131" s="5"/>
      <c r="BG131" s="5"/>
      <c r="BH131" s="5"/>
      <c r="BI131" s="5"/>
      <c r="BJ131" s="5"/>
      <c r="BK131" s="5"/>
      <c r="BL131" s="5"/>
      <c r="BM131" s="36"/>
      <c r="BN131" s="5"/>
      <c r="BO131" s="5">
        <f t="shared" si="73"/>
        <v>2024</v>
      </c>
      <c r="BQ131" s="95" t="str" cm="1">
        <f t="array" ref="BQ131">_xlfn.IFS(MONTH(BR131)&lt;4,1,MONTH(BR131)&lt;7,2,MONTH(BR131)&lt;10,3,MONTH(BR131)&gt;9,4)&amp;"Q"&amp;RIGHT(YEAR(BR131),2)</f>
        <v>4Q24</v>
      </c>
      <c r="BR131" s="81">
        <f t="shared" si="74"/>
        <v>45657</v>
      </c>
      <c r="BS131" s="106">
        <f t="shared" si="75"/>
        <v>45657</v>
      </c>
      <c r="BV131" s="122">
        <v>1.35</v>
      </c>
      <c r="BW131" s="122">
        <v>2.55</v>
      </c>
      <c r="BX131" s="122">
        <v>3.9</v>
      </c>
      <c r="CA131" s="35">
        <f t="shared" si="86"/>
        <v>45657</v>
      </c>
      <c r="CB131" s="26">
        <v>46.5</v>
      </c>
      <c r="CC131" s="26">
        <v>36</v>
      </c>
      <c r="CD131" s="119">
        <v>18.5</v>
      </c>
      <c r="CE131" s="119">
        <v>78</v>
      </c>
      <c r="CF131" s="119">
        <v>150</v>
      </c>
      <c r="CG131" s="119">
        <v>141.4</v>
      </c>
      <c r="CH131" s="119">
        <v>283</v>
      </c>
      <c r="CI131" s="119">
        <v>140</v>
      </c>
      <c r="CJ131" s="119">
        <v>283</v>
      </c>
      <c r="CK131" s="119">
        <v>226.4</v>
      </c>
      <c r="CL131" s="119">
        <v>461.29</v>
      </c>
      <c r="CM131" s="119">
        <v>1100</v>
      </c>
      <c r="CN131" s="119">
        <v>800</v>
      </c>
      <c r="CO131" s="126">
        <f t="shared" si="101"/>
        <v>140.7</v>
      </c>
      <c r="CP131" s="126">
        <f t="shared" si="101"/>
        <v>283</v>
      </c>
      <c r="CQ131" s="119">
        <v>1.15</v>
      </c>
      <c r="CR131" s="119">
        <v>1.05</v>
      </c>
      <c r="CS131" s="36"/>
      <c r="CT131" s="123">
        <f t="shared" si="77"/>
        <v>0.291666666666667</v>
      </c>
      <c r="CU131" s="123">
        <f t="shared" si="102"/>
        <v>0.803846153846154</v>
      </c>
      <c r="CV131" s="123">
        <f t="shared" si="102"/>
        <v>0.886666666666667</v>
      </c>
      <c r="CX131" s="125">
        <f t="shared" si="103"/>
        <v>0</v>
      </c>
      <c r="CY131" s="125">
        <f t="shared" si="103"/>
        <v>0</v>
      </c>
      <c r="CZ131" s="125">
        <f t="shared" si="103"/>
        <v>0</v>
      </c>
      <c r="DA131" s="125">
        <f t="shared" si="103"/>
        <v>-0.025</v>
      </c>
      <c r="DB131" s="125">
        <f t="shared" si="103"/>
        <v>-0.032258064516129</v>
      </c>
      <c r="DC131" s="125">
        <f t="shared" si="103"/>
        <v>0</v>
      </c>
      <c r="DD131" s="125">
        <f t="shared" si="103"/>
        <v>-0.00701754385964914</v>
      </c>
      <c r="DE131" s="125">
        <f t="shared" si="103"/>
        <v>0</v>
      </c>
      <c r="DF131" s="125">
        <f t="shared" si="103"/>
        <v>-0.00701754385964914</v>
      </c>
      <c r="DG131" s="125">
        <f t="shared" si="103"/>
        <v>-0.00701754385964914</v>
      </c>
      <c r="DH131" s="125">
        <f t="shared" si="103"/>
        <v>-0.00701754385964914</v>
      </c>
      <c r="DI131" s="125">
        <f t="shared" si="103"/>
        <v>-0.0434782608695652</v>
      </c>
      <c r="DJ131" s="125">
        <f t="shared" si="103"/>
        <v>-0.036144578313253</v>
      </c>
      <c r="DK131" s="125">
        <f t="shared" si="103"/>
        <v>0</v>
      </c>
      <c r="DL131" s="125">
        <f t="shared" si="103"/>
        <v>-0.00701754385964914</v>
      </c>
      <c r="DM131" s="125">
        <f t="shared" si="103"/>
        <v>-0.0800000000000001</v>
      </c>
      <c r="DN131" s="125">
        <f t="shared" ref="DN131:DN148" si="104">CR131/CR130-1</f>
        <v>-0.0869565217391304</v>
      </c>
      <c r="DQ131" s="114">
        <f t="shared" si="80"/>
        <v>2.4375</v>
      </c>
      <c r="DR131" s="124">
        <f t="shared" si="81"/>
        <v>2.34375</v>
      </c>
      <c r="DS131" s="124">
        <f t="shared" si="84"/>
        <v>4.396875</v>
      </c>
      <c r="DT131" s="124">
        <f t="shared" si="85"/>
        <v>4.421875</v>
      </c>
      <c r="DU131" s="124">
        <f t="shared" si="98"/>
        <v>4.71666666666667</v>
      </c>
      <c r="DV131" s="124">
        <f t="shared" si="99"/>
        <v>4.80510416666667</v>
      </c>
      <c r="DW131" s="124">
        <f t="shared" si="100"/>
        <v>8.59375</v>
      </c>
      <c r="DX131" s="124">
        <f t="shared" si="100"/>
        <v>6.25</v>
      </c>
      <c r="FV131" s="104">
        <f t="shared" si="89"/>
        <v>2011</v>
      </c>
      <c r="FW131" s="104">
        <f t="shared" si="90"/>
        <v>9</v>
      </c>
      <c r="FX131" s="35">
        <v>40598</v>
      </c>
      <c r="FY131" s="26">
        <v>2.11</v>
      </c>
      <c r="FZ131" s="94">
        <f t="shared" si="91"/>
        <v>8.44</v>
      </c>
      <c r="GA131" s="104"/>
      <c r="GB131" s="104"/>
      <c r="GE131" s="94"/>
      <c r="GF131" s="104">
        <f t="shared" si="92"/>
        <v>2013</v>
      </c>
      <c r="GG131" s="104">
        <f t="shared" si="93"/>
        <v>23</v>
      </c>
      <c r="GH131" s="35">
        <v>41430</v>
      </c>
      <c r="GI131" s="26">
        <v>3.4</v>
      </c>
      <c r="GJ131" s="94">
        <f t="shared" si="94"/>
        <v>6.8</v>
      </c>
      <c r="GK131" s="104"/>
      <c r="GL131" s="104"/>
      <c r="GO131" s="94"/>
    </row>
    <row r="132" ht="16.8" spans="3:197">
      <c r="C132" s="80" t="str" cm="1">
        <f t="array" ref="C132">_xlfn.IFS(MONTH(D132)&lt;4,1,MONTH(D132)&lt;7,2,MONTH(D132)&lt;10,3,MONTH(D132)&gt;9,4)&amp;"Q"&amp;RIGHT(YEAR(D132),2)</f>
        <v>3Q16</v>
      </c>
      <c r="D132" s="81">
        <f t="shared" si="69"/>
        <v>42582</v>
      </c>
      <c r="E132" s="82">
        <f t="shared" si="65"/>
        <v>42576</v>
      </c>
      <c r="F132" s="83">
        <f t="shared" si="66"/>
        <v>0.454125</v>
      </c>
      <c r="G132" s="83">
        <f t="shared" si="66"/>
        <v>0.375</v>
      </c>
      <c r="H132" s="81"/>
      <c r="I132" s="84">
        <v>42576</v>
      </c>
      <c r="J132" s="85">
        <v>3.96</v>
      </c>
      <c r="K132" s="85">
        <v>3.29</v>
      </c>
      <c r="L132" s="86">
        <v>3.633</v>
      </c>
      <c r="M132" s="94" cm="1">
        <f t="array" ref="M132">INDEX($BV$29:$BV$1449,MATCH($D132,$BR$29:$BR$1449,0),)</f>
        <v>3</v>
      </c>
      <c r="N132" s="88"/>
      <c r="O132" s="88"/>
      <c r="P132" s="88"/>
      <c r="Q132" s="89">
        <f t="shared" si="67"/>
        <v>0.211</v>
      </c>
      <c r="AH132" s="105">
        <f t="shared" si="79"/>
        <v>43292</v>
      </c>
      <c r="AI132" s="91">
        <f t="shared" si="70"/>
        <v>8.036</v>
      </c>
      <c r="AJ132" s="36">
        <f t="shared" si="71"/>
        <v>-0.000621813207312583</v>
      </c>
      <c r="AK132" s="36">
        <f t="shared" si="76"/>
        <v>-0.0602268740498187</v>
      </c>
      <c r="AL132" s="105"/>
      <c r="AM132" s="91"/>
      <c r="AN132" s="36"/>
      <c r="AO132" s="36"/>
      <c r="AP132" s="36"/>
      <c r="AQ132" s="92" t="str" cm="1">
        <f t="array" ref="AQ132">_xlfn.IFS(MONTH(AR132)&lt;4,1,MONTH(AR132)&lt;7,2,MONTH(AR132)&lt;10,3,MONTH(AR132)&gt;9,4)&amp;"Q"&amp;RIGHT(YEAR(AR132),2)</f>
        <v>1Q21</v>
      </c>
      <c r="AR132" s="92">
        <f t="shared" si="72"/>
        <v>44227</v>
      </c>
      <c r="AS132" s="109">
        <v>44221</v>
      </c>
      <c r="AT132" s="110"/>
      <c r="AU132" s="94" cm="1">
        <f t="array" ref="AU132">INDEX($CE$29:$CE$1449,MATCH($AR132,$CA$29:$CA$1449,0),)</f>
        <v>115</v>
      </c>
      <c r="AV132" s="110"/>
      <c r="AW132" s="94" cm="1">
        <f t="array" ref="AW132">INDEX($CF$29:$CF$1449,MATCH($AR132,$CA$29:$CA$1449,0),)</f>
        <v>230</v>
      </c>
      <c r="AX132" s="94"/>
      <c r="AY132" s="94"/>
      <c r="AZ132" s="94"/>
      <c r="BA132" s="94"/>
      <c r="BB132" s="5"/>
      <c r="BC132" s="5"/>
      <c r="BD132" s="5"/>
      <c r="BE132" s="5"/>
      <c r="BF132" s="5"/>
      <c r="BG132" s="5"/>
      <c r="BH132" s="5"/>
      <c r="BI132" s="5"/>
      <c r="BJ132" s="5"/>
      <c r="BK132" s="5"/>
      <c r="BL132" s="5"/>
      <c r="BM132" s="36"/>
      <c r="BN132" s="5"/>
      <c r="BO132" s="5">
        <f t="shared" si="73"/>
        <v>2025</v>
      </c>
      <c r="BQ132" s="95" t="str" cm="1">
        <f t="array" ref="BQ132">_xlfn.IFS(MONTH(BR132)&lt;4,1,MONTH(BR132)&lt;7,2,MONTH(BR132)&lt;10,3,MONTH(BR132)&gt;9,4)&amp;"Q"&amp;RIGHT(YEAR(BR132),2)</f>
        <v>1Q25</v>
      </c>
      <c r="BR132" s="81">
        <f t="shared" si="74"/>
        <v>45688</v>
      </c>
      <c r="BS132" s="106">
        <f t="shared" si="75"/>
        <v>45688</v>
      </c>
      <c r="BV132" s="122">
        <v>1.35</v>
      </c>
      <c r="BW132" s="122">
        <v>2.55</v>
      </c>
      <c r="BX132" s="122">
        <v>3.75</v>
      </c>
      <c r="CA132" s="35">
        <f t="shared" si="86"/>
        <v>45688</v>
      </c>
      <c r="CB132" s="26">
        <v>42.5</v>
      </c>
      <c r="CC132" s="26">
        <v>32</v>
      </c>
      <c r="CD132" s="119">
        <v>16.5</v>
      </c>
      <c r="CE132" s="119">
        <v>73</v>
      </c>
      <c r="CF132" s="119">
        <v>145</v>
      </c>
      <c r="CG132" s="119">
        <v>137.36</v>
      </c>
      <c r="CH132" s="119">
        <v>273</v>
      </c>
      <c r="CI132" s="119">
        <v>136</v>
      </c>
      <c r="CJ132" s="119">
        <v>273</v>
      </c>
      <c r="CK132" s="119">
        <v>218.4</v>
      </c>
      <c r="CL132" s="119">
        <v>444.99</v>
      </c>
      <c r="CM132" s="119">
        <v>1000</v>
      </c>
      <c r="CN132" s="119">
        <v>750</v>
      </c>
      <c r="CO132" s="126">
        <f t="shared" si="101"/>
        <v>136.68</v>
      </c>
      <c r="CP132" s="126">
        <f t="shared" si="101"/>
        <v>273</v>
      </c>
      <c r="CQ132" s="119">
        <v>1.1</v>
      </c>
      <c r="CR132" s="119">
        <v>1</v>
      </c>
      <c r="CS132" s="36"/>
      <c r="CT132" s="123">
        <f t="shared" si="77"/>
        <v>0.328125</v>
      </c>
      <c r="CU132" s="123">
        <f t="shared" si="102"/>
        <v>0.872328767123288</v>
      </c>
      <c r="CV132" s="123">
        <f t="shared" si="102"/>
        <v>0.882758620689655</v>
      </c>
      <c r="CX132" s="125">
        <f t="shared" si="103"/>
        <v>-0.0860215053763441</v>
      </c>
      <c r="CY132" s="125">
        <f t="shared" si="103"/>
        <v>-0.111111111111111</v>
      </c>
      <c r="CZ132" s="125">
        <f t="shared" si="103"/>
        <v>-0.108108108108108</v>
      </c>
      <c r="DA132" s="125">
        <f t="shared" si="103"/>
        <v>-0.0641025641025641</v>
      </c>
      <c r="DB132" s="125">
        <f t="shared" si="103"/>
        <v>-0.0333333333333333</v>
      </c>
      <c r="DC132" s="125">
        <f t="shared" si="103"/>
        <v>-0.0285714285714285</v>
      </c>
      <c r="DD132" s="125">
        <f t="shared" si="103"/>
        <v>-0.0353356890459364</v>
      </c>
      <c r="DE132" s="125">
        <f t="shared" si="103"/>
        <v>-0.0285714285714286</v>
      </c>
      <c r="DF132" s="125">
        <f t="shared" si="103"/>
        <v>-0.0353356890459364</v>
      </c>
      <c r="DG132" s="125">
        <f t="shared" si="103"/>
        <v>-0.0353356890459364</v>
      </c>
      <c r="DH132" s="125">
        <f t="shared" si="103"/>
        <v>-0.0353356890459364</v>
      </c>
      <c r="DI132" s="125">
        <f t="shared" si="103"/>
        <v>-0.0909090909090909</v>
      </c>
      <c r="DJ132" s="125">
        <f t="shared" si="103"/>
        <v>-0.0625</v>
      </c>
      <c r="DK132" s="125">
        <f t="shared" si="103"/>
        <v>-0.0285714285714285</v>
      </c>
      <c r="DL132" s="125">
        <f t="shared" si="103"/>
        <v>-0.0353356890459364</v>
      </c>
      <c r="DM132" s="125">
        <f t="shared" si="103"/>
        <v>-0.0434782608695651</v>
      </c>
      <c r="DN132" s="125">
        <f t="shared" si="104"/>
        <v>-0.0476190476190477</v>
      </c>
      <c r="DQ132" s="114">
        <f t="shared" si="80"/>
        <v>2.28125</v>
      </c>
      <c r="DR132" s="124">
        <f t="shared" si="81"/>
        <v>2.265625</v>
      </c>
      <c r="DS132" s="124">
        <f t="shared" si="84"/>
        <v>4.27125</v>
      </c>
      <c r="DT132" s="124">
        <f t="shared" si="85"/>
        <v>4.265625</v>
      </c>
      <c r="DU132" s="124">
        <f t="shared" si="98"/>
        <v>4.55</v>
      </c>
      <c r="DV132" s="124">
        <f t="shared" si="99"/>
        <v>4.6353125</v>
      </c>
      <c r="DW132" s="124">
        <f t="shared" si="100"/>
        <v>7.8125</v>
      </c>
      <c r="DX132" s="124">
        <f t="shared" si="100"/>
        <v>5.859375</v>
      </c>
      <c r="FV132" s="104">
        <f t="shared" si="89"/>
        <v>2011</v>
      </c>
      <c r="FW132" s="104">
        <f t="shared" si="90"/>
        <v>9</v>
      </c>
      <c r="FX132" s="35">
        <v>40599</v>
      </c>
      <c r="FY132" s="26">
        <v>2.08</v>
      </c>
      <c r="FZ132" s="94">
        <f t="shared" si="91"/>
        <v>8.32</v>
      </c>
      <c r="GA132" s="104"/>
      <c r="GB132" s="104"/>
      <c r="GE132" s="94"/>
      <c r="GF132" s="104">
        <f t="shared" si="92"/>
        <v>2013</v>
      </c>
      <c r="GG132" s="104">
        <f t="shared" si="93"/>
        <v>23</v>
      </c>
      <c r="GH132" s="35">
        <v>41431</v>
      </c>
      <c r="GI132" s="26">
        <v>3.425</v>
      </c>
      <c r="GJ132" s="94">
        <f t="shared" si="94"/>
        <v>6.85</v>
      </c>
      <c r="GK132" s="104"/>
      <c r="GL132" s="104"/>
      <c r="GO132" s="94"/>
    </row>
    <row r="133" ht="16.8" spans="3:197">
      <c r="C133" s="80" t="str" cm="1">
        <f t="array" ref="C133">_xlfn.IFS(MONTH(D133)&lt;4,1,MONTH(D133)&lt;7,2,MONTH(D133)&lt;10,3,MONTH(D133)&gt;9,4)&amp;"Q"&amp;RIGHT(YEAR(D133),2)</f>
        <v>3Q16</v>
      </c>
      <c r="D133" s="81">
        <f t="shared" si="69"/>
        <v>42582</v>
      </c>
      <c r="E133" s="82">
        <f t="shared" si="65"/>
        <v>42577</v>
      </c>
      <c r="F133" s="83">
        <f t="shared" si="66"/>
        <v>0.454625</v>
      </c>
      <c r="G133" s="83">
        <f t="shared" si="66"/>
        <v>0.375</v>
      </c>
      <c r="H133" s="81"/>
      <c r="I133" s="84">
        <v>42577</v>
      </c>
      <c r="J133" s="85">
        <v>3.95</v>
      </c>
      <c r="K133" s="85">
        <v>3.28</v>
      </c>
      <c r="L133" s="86">
        <v>3.637</v>
      </c>
      <c r="M133" s="94" cm="1">
        <f t="array" ref="M133">INDEX($BV$29:$BV$1449,MATCH($D133,$BR$29:$BR$1449,0),)</f>
        <v>3</v>
      </c>
      <c r="N133" s="88"/>
      <c r="O133" s="88"/>
      <c r="P133" s="88"/>
      <c r="Q133" s="89">
        <f t="shared" si="67"/>
        <v>0.212333333333333</v>
      </c>
      <c r="AH133" s="105">
        <f t="shared" si="79"/>
        <v>43300</v>
      </c>
      <c r="AI133" s="91">
        <f t="shared" si="70"/>
        <v>7.962</v>
      </c>
      <c r="AJ133" s="36">
        <f t="shared" si="71"/>
        <v>-0.00920856147336979</v>
      </c>
      <c r="AK133" s="36">
        <f t="shared" si="76"/>
        <v>-0.00982464867553789</v>
      </c>
      <c r="AL133" s="105"/>
      <c r="AM133" s="91"/>
      <c r="AN133" s="36"/>
      <c r="AO133" s="36"/>
      <c r="AP133" s="36"/>
      <c r="AQ133" s="92" t="str" cm="1">
        <f t="array" ref="AQ133">_xlfn.IFS(MONTH(AR133)&lt;4,1,MONTH(AR133)&lt;7,2,MONTH(AR133)&lt;10,3,MONTH(AR133)&gt;9,4)&amp;"Q"&amp;RIGHT(YEAR(AR133),2)</f>
        <v>1Q21</v>
      </c>
      <c r="AR133" s="92">
        <f t="shared" si="72"/>
        <v>44255</v>
      </c>
      <c r="AS133" s="109">
        <v>44228</v>
      </c>
      <c r="AT133" s="110"/>
      <c r="AU133" s="94" cm="1">
        <f t="array" ref="AU133">INDEX($CE$29:$CE$1449,MATCH($AR133,$CA$29:$CA$1449,0),)</f>
        <v>119</v>
      </c>
      <c r="AV133" s="110"/>
      <c r="AW133" s="94" cm="1">
        <f t="array" ref="AW133">INDEX($CF$29:$CF$1449,MATCH($AR133,$CA$29:$CA$1449,0),)</f>
        <v>238</v>
      </c>
      <c r="AX133" s="94"/>
      <c r="AY133" s="94"/>
      <c r="AZ133" s="94"/>
      <c r="BA133" s="94"/>
      <c r="BB133" s="5"/>
      <c r="BC133" s="5"/>
      <c r="BD133" s="5"/>
      <c r="BE133" s="5"/>
      <c r="BF133" s="5"/>
      <c r="BG133" s="5"/>
      <c r="BH133" s="5"/>
      <c r="BI133" s="5"/>
      <c r="BJ133" s="5"/>
      <c r="BK133" s="5"/>
      <c r="BL133" s="5"/>
      <c r="BM133" s="36"/>
      <c r="BN133" s="5"/>
      <c r="BO133" s="5">
        <f t="shared" si="73"/>
        <v>2025</v>
      </c>
      <c r="BQ133" s="95" t="str" cm="1">
        <f t="array" ref="BQ133">_xlfn.IFS(MONTH(BR133)&lt;4,1,MONTH(BR133)&lt;7,2,MONTH(BR133)&lt;10,3,MONTH(BR133)&gt;9,4)&amp;"Q"&amp;RIGHT(YEAR(BR133),2)</f>
        <v>1Q25</v>
      </c>
      <c r="BR133" s="81">
        <f t="shared" si="74"/>
        <v>45716</v>
      </c>
      <c r="BS133" s="106">
        <f t="shared" si="75"/>
        <v>45716</v>
      </c>
      <c r="BV133" s="122">
        <v>1.35</v>
      </c>
      <c r="BW133" s="122">
        <v>2.55</v>
      </c>
      <c r="BX133" s="122">
        <v>3.8</v>
      </c>
      <c r="CA133" s="35">
        <f t="shared" si="86"/>
        <v>45716</v>
      </c>
      <c r="CB133" s="26">
        <v>41.5</v>
      </c>
      <c r="CC133" s="26">
        <v>32</v>
      </c>
      <c r="CD133" s="119">
        <v>16.5</v>
      </c>
      <c r="CE133" s="119">
        <v>69</v>
      </c>
      <c r="CF133" s="119">
        <v>140</v>
      </c>
      <c r="CG133" s="119">
        <v>130</v>
      </c>
      <c r="CH133" s="119">
        <v>265</v>
      </c>
      <c r="CI133" s="119">
        <v>130</v>
      </c>
      <c r="CJ133" s="119">
        <v>265</v>
      </c>
      <c r="CK133" s="119">
        <v>204.05</v>
      </c>
      <c r="CL133" s="119">
        <v>418.7</v>
      </c>
      <c r="CM133" s="119">
        <v>950</v>
      </c>
      <c r="CN133" s="119">
        <v>740</v>
      </c>
      <c r="CO133" s="126">
        <f t="shared" si="101"/>
        <v>130</v>
      </c>
      <c r="CP133" s="126">
        <f t="shared" si="101"/>
        <v>265</v>
      </c>
      <c r="CQ133" s="119">
        <v>1.1</v>
      </c>
      <c r="CR133" s="119">
        <v>1</v>
      </c>
      <c r="CS133" s="36"/>
      <c r="CT133" s="123">
        <f t="shared" si="77"/>
        <v>0.296875</v>
      </c>
      <c r="CU133" s="123">
        <f t="shared" si="102"/>
        <v>0.884057971014493</v>
      </c>
      <c r="CV133" s="123">
        <f t="shared" si="102"/>
        <v>0.892857142857143</v>
      </c>
      <c r="CX133" s="125">
        <f t="shared" si="103"/>
        <v>-0.0235294117647059</v>
      </c>
      <c r="CY133" s="125">
        <f t="shared" si="103"/>
        <v>0</v>
      </c>
      <c r="CZ133" s="125">
        <f t="shared" si="103"/>
        <v>0</v>
      </c>
      <c r="DA133" s="125">
        <f t="shared" si="103"/>
        <v>-0.0547945205479452</v>
      </c>
      <c r="DB133" s="125">
        <f t="shared" si="103"/>
        <v>-0.0344827586206896</v>
      </c>
      <c r="DC133" s="125">
        <f t="shared" si="103"/>
        <v>-0.0535818287711125</v>
      </c>
      <c r="DD133" s="125">
        <f t="shared" si="103"/>
        <v>-0.0293040293040293</v>
      </c>
      <c r="DE133" s="125">
        <f t="shared" si="103"/>
        <v>-0.0441176470588235</v>
      </c>
      <c r="DF133" s="125">
        <f t="shared" si="103"/>
        <v>-0.0293040293040293</v>
      </c>
      <c r="DG133" s="125">
        <f t="shared" si="103"/>
        <v>-0.0657051282051282</v>
      </c>
      <c r="DH133" s="125">
        <f t="shared" si="103"/>
        <v>-0.0590799793253781</v>
      </c>
      <c r="DI133" s="125">
        <f t="shared" si="103"/>
        <v>-0.05</v>
      </c>
      <c r="DJ133" s="125">
        <f t="shared" si="103"/>
        <v>-0.0133333333333333</v>
      </c>
      <c r="DK133" s="125">
        <f t="shared" si="103"/>
        <v>-0.0488732806555459</v>
      </c>
      <c r="DL133" s="125">
        <f t="shared" si="103"/>
        <v>-0.0293040293040293</v>
      </c>
      <c r="DM133" s="125">
        <f t="shared" si="103"/>
        <v>0</v>
      </c>
      <c r="DN133" s="125">
        <f t="shared" si="104"/>
        <v>0</v>
      </c>
      <c r="DQ133" s="114">
        <f t="shared" si="80"/>
        <v>2.15625</v>
      </c>
      <c r="DR133" s="124">
        <f t="shared" si="81"/>
        <v>2.1875</v>
      </c>
      <c r="DS133" s="124">
        <f t="shared" si="84"/>
        <v>4.0625</v>
      </c>
      <c r="DT133" s="124">
        <f t="shared" si="85"/>
        <v>4.140625</v>
      </c>
      <c r="DU133" s="124">
        <f t="shared" si="98"/>
        <v>4.25104166666667</v>
      </c>
      <c r="DV133" s="124">
        <f t="shared" si="99"/>
        <v>4.36145833333333</v>
      </c>
      <c r="DW133" s="124">
        <f t="shared" si="100"/>
        <v>7.421875</v>
      </c>
      <c r="DX133" s="124">
        <f t="shared" si="100"/>
        <v>5.78125</v>
      </c>
      <c r="FV133" s="104">
        <f t="shared" si="89"/>
        <v>2011</v>
      </c>
      <c r="FW133" s="104">
        <f t="shared" si="90"/>
        <v>10</v>
      </c>
      <c r="FX133" s="35">
        <v>40602</v>
      </c>
      <c r="FY133" s="26">
        <v>2.08</v>
      </c>
      <c r="FZ133" s="94">
        <f t="shared" si="91"/>
        <v>8.32</v>
      </c>
      <c r="GA133" s="104"/>
      <c r="GB133" s="104"/>
      <c r="GE133" s="94"/>
      <c r="GF133" s="104">
        <f t="shared" si="92"/>
        <v>2013</v>
      </c>
      <c r="GG133" s="104">
        <f t="shared" si="93"/>
        <v>23</v>
      </c>
      <c r="GH133" s="35">
        <v>41432</v>
      </c>
      <c r="GI133" s="26">
        <v>3.458</v>
      </c>
      <c r="GJ133" s="94">
        <f t="shared" si="94"/>
        <v>6.916</v>
      </c>
      <c r="GK133" s="104"/>
      <c r="GL133" s="104"/>
      <c r="GO133" s="94"/>
    </row>
    <row r="134" ht="16.8" spans="3:197">
      <c r="C134" s="80" t="str" cm="1">
        <f t="array" ref="C134">_xlfn.IFS(MONTH(D134)&lt;4,1,MONTH(D134)&lt;7,2,MONTH(D134)&lt;10,3,MONTH(D134)&gt;9,4)&amp;"Q"&amp;RIGHT(YEAR(D134),2)</f>
        <v>3Q16</v>
      </c>
      <c r="D134" s="81">
        <f t="shared" si="69"/>
        <v>42582</v>
      </c>
      <c r="E134" s="82">
        <f t="shared" si="65"/>
        <v>42578</v>
      </c>
      <c r="F134" s="83">
        <f t="shared" si="66"/>
        <v>0.456375</v>
      </c>
      <c r="G134" s="83">
        <f t="shared" si="66"/>
        <v>0.375</v>
      </c>
      <c r="H134" s="81"/>
      <c r="I134" s="84">
        <v>42578</v>
      </c>
      <c r="J134" s="85">
        <v>3.95</v>
      </c>
      <c r="K134" s="85">
        <v>3.3</v>
      </c>
      <c r="L134" s="86">
        <v>3.651</v>
      </c>
      <c r="M134" s="94" cm="1">
        <f t="array" ref="M134">INDEX($BV$29:$BV$1449,MATCH($D134,$BR$29:$BR$1449,0),)</f>
        <v>3</v>
      </c>
      <c r="N134" s="88"/>
      <c r="O134" s="88"/>
      <c r="P134" s="88"/>
      <c r="Q134" s="89">
        <f t="shared" si="67"/>
        <v>0.217</v>
      </c>
      <c r="AH134" s="105">
        <f t="shared" si="79"/>
        <v>43308</v>
      </c>
      <c r="AI134" s="91">
        <f t="shared" si="70"/>
        <v>7.9</v>
      </c>
      <c r="AJ134" s="36">
        <f t="shared" si="71"/>
        <v>-0.0077869881939211</v>
      </c>
      <c r="AK134" s="36">
        <f t="shared" si="76"/>
        <v>-0.0169238427078148</v>
      </c>
      <c r="AL134" s="105"/>
      <c r="AM134" s="91"/>
      <c r="AN134" s="36"/>
      <c r="AO134" s="36"/>
      <c r="AP134" s="36"/>
      <c r="AQ134" s="92" t="str" cm="1">
        <f t="array" ref="AQ134">_xlfn.IFS(MONTH(AR134)&lt;4,1,MONTH(AR134)&lt;7,2,MONTH(AR134)&lt;10,3,MONTH(AR134)&gt;9,4)&amp;"Q"&amp;RIGHT(YEAR(AR134),2)</f>
        <v>1Q21</v>
      </c>
      <c r="AR134" s="92">
        <f t="shared" si="72"/>
        <v>44255</v>
      </c>
      <c r="AS134" s="109">
        <v>44235</v>
      </c>
      <c r="AT134" s="110"/>
      <c r="AU134" s="94" cm="1">
        <f t="array" ref="AU134">INDEX($CE$29:$CE$1449,MATCH($AR134,$CA$29:$CA$1449,0),)</f>
        <v>119</v>
      </c>
      <c r="AV134" s="110"/>
      <c r="AW134" s="94" cm="1">
        <f t="array" ref="AW134">INDEX($CF$29:$CF$1449,MATCH($AR134,$CA$29:$CA$1449,0),)</f>
        <v>238</v>
      </c>
      <c r="AX134" s="94"/>
      <c r="AY134" s="94"/>
      <c r="AZ134" s="94"/>
      <c r="BA134" s="94"/>
      <c r="BB134" s="5"/>
      <c r="BC134" s="5"/>
      <c r="BD134" s="5"/>
      <c r="BE134" s="5"/>
      <c r="BF134" s="5"/>
      <c r="BG134" s="5"/>
      <c r="BH134" s="5"/>
      <c r="BI134" s="5"/>
      <c r="BJ134" s="5"/>
      <c r="BK134" s="5"/>
      <c r="BL134" s="5"/>
      <c r="BM134" s="36"/>
      <c r="BN134" s="5"/>
      <c r="BO134" s="5">
        <f t="shared" si="73"/>
        <v>2025</v>
      </c>
      <c r="BQ134" s="95" t="str" cm="1">
        <f t="array" ref="BQ134">_xlfn.IFS(MONTH(BR134)&lt;4,1,MONTH(BR134)&lt;7,2,MONTH(BR134)&lt;10,3,MONTH(BR134)&gt;9,4)&amp;"Q"&amp;RIGHT(YEAR(BR134),2)</f>
        <v>1Q25</v>
      </c>
      <c r="BR134" s="81">
        <f t="shared" si="74"/>
        <v>45747</v>
      </c>
      <c r="BS134" s="106">
        <f t="shared" si="75"/>
        <v>45747</v>
      </c>
      <c r="BV134" s="122">
        <v>1.35</v>
      </c>
      <c r="BW134" s="122">
        <v>2.55</v>
      </c>
      <c r="BX134" s="122">
        <v>4.25</v>
      </c>
      <c r="CA134" s="35">
        <f t="shared" si="86"/>
        <v>45747</v>
      </c>
      <c r="CB134" s="26">
        <v>41.5</v>
      </c>
      <c r="CC134" s="26">
        <v>32</v>
      </c>
      <c r="CD134" s="119">
        <v>16.5</v>
      </c>
      <c r="CE134" s="119">
        <v>69</v>
      </c>
      <c r="CF134" s="119">
        <v>140</v>
      </c>
      <c r="CG134" s="119">
        <v>127</v>
      </c>
      <c r="CH134" s="119">
        <v>260</v>
      </c>
      <c r="CI134" s="119">
        <v>127</v>
      </c>
      <c r="CJ134" s="119">
        <v>260</v>
      </c>
      <c r="CK134" s="119">
        <v>200.2</v>
      </c>
      <c r="CL134" s="119">
        <v>410.8</v>
      </c>
      <c r="CM134" s="119">
        <v>930</v>
      </c>
      <c r="CN134" s="119">
        <v>720</v>
      </c>
      <c r="CO134" s="126">
        <f t="shared" si="101"/>
        <v>127</v>
      </c>
      <c r="CP134" s="126">
        <f t="shared" si="101"/>
        <v>260</v>
      </c>
      <c r="CQ134" s="119">
        <v>1.1</v>
      </c>
      <c r="CR134" s="119">
        <v>1</v>
      </c>
      <c r="CS134" s="36"/>
      <c r="CT134" s="123">
        <f t="shared" si="77"/>
        <v>0.296875</v>
      </c>
      <c r="CU134" s="123">
        <f t="shared" si="102"/>
        <v>0.840579710144927</v>
      </c>
      <c r="CV134" s="123">
        <f t="shared" si="102"/>
        <v>0.857142857142857</v>
      </c>
      <c r="CX134" s="125">
        <f t="shared" si="103"/>
        <v>0</v>
      </c>
      <c r="CY134" s="125">
        <f t="shared" si="103"/>
        <v>0</v>
      </c>
      <c r="CZ134" s="125">
        <f t="shared" si="103"/>
        <v>0</v>
      </c>
      <c r="DA134" s="125">
        <f t="shared" si="103"/>
        <v>0</v>
      </c>
      <c r="DB134" s="125">
        <f t="shared" si="103"/>
        <v>0</v>
      </c>
      <c r="DC134" s="125">
        <f t="shared" si="103"/>
        <v>-0.0230769230769231</v>
      </c>
      <c r="DD134" s="125">
        <f t="shared" si="103"/>
        <v>-0.0188679245283019</v>
      </c>
      <c r="DE134" s="125">
        <f t="shared" si="103"/>
        <v>-0.0230769230769231</v>
      </c>
      <c r="DF134" s="125">
        <f t="shared" si="103"/>
        <v>-0.0188679245283019</v>
      </c>
      <c r="DG134" s="125">
        <f t="shared" si="103"/>
        <v>-0.018867924528302</v>
      </c>
      <c r="DH134" s="125">
        <f t="shared" si="103"/>
        <v>-0.0188679245283019</v>
      </c>
      <c r="DI134" s="125">
        <f t="shared" si="103"/>
        <v>-0.0210526315789473</v>
      </c>
      <c r="DJ134" s="125">
        <f t="shared" si="103"/>
        <v>-0.027027027027027</v>
      </c>
      <c r="DK134" s="125">
        <f t="shared" si="103"/>
        <v>-0.0230769230769231</v>
      </c>
      <c r="DL134" s="125">
        <f t="shared" si="103"/>
        <v>-0.0188679245283019</v>
      </c>
      <c r="DM134" s="125">
        <f t="shared" si="103"/>
        <v>0</v>
      </c>
      <c r="DN134" s="125">
        <f t="shared" si="104"/>
        <v>0</v>
      </c>
      <c r="DQ134" s="114">
        <f t="shared" si="80"/>
        <v>2.15625</v>
      </c>
      <c r="DR134" s="124">
        <f t="shared" si="81"/>
        <v>2.1875</v>
      </c>
      <c r="DS134" s="124">
        <f t="shared" si="84"/>
        <v>3.96875</v>
      </c>
      <c r="DT134" s="124">
        <f t="shared" si="85"/>
        <v>4.0625</v>
      </c>
      <c r="DU134" s="124">
        <f t="shared" si="98"/>
        <v>4.17083333333333</v>
      </c>
      <c r="DV134" s="124">
        <f t="shared" si="99"/>
        <v>4.27916666666667</v>
      </c>
      <c r="DW134" s="124">
        <f t="shared" si="100"/>
        <v>7.265625</v>
      </c>
      <c r="DX134" s="124">
        <f t="shared" si="100"/>
        <v>5.625</v>
      </c>
      <c r="FV134" s="104">
        <f t="shared" si="89"/>
        <v>2011</v>
      </c>
      <c r="FW134" s="104">
        <f t="shared" si="90"/>
        <v>10</v>
      </c>
      <c r="FX134" s="35">
        <v>40603</v>
      </c>
      <c r="FY134" s="26">
        <v>2.05</v>
      </c>
      <c r="FZ134" s="94">
        <f t="shared" si="91"/>
        <v>8.2</v>
      </c>
      <c r="GA134" s="104"/>
      <c r="GB134" s="104"/>
      <c r="GE134" s="94"/>
      <c r="GF134" s="104">
        <f t="shared" si="92"/>
        <v>2013</v>
      </c>
      <c r="GG134" s="104">
        <f t="shared" si="93"/>
        <v>24</v>
      </c>
      <c r="GH134" s="35">
        <v>41435</v>
      </c>
      <c r="GI134" s="26">
        <v>3.531</v>
      </c>
      <c r="GJ134" s="94">
        <f t="shared" si="94"/>
        <v>7.062</v>
      </c>
      <c r="GK134" s="104"/>
      <c r="GL134" s="104"/>
      <c r="GO134" s="94"/>
    </row>
    <row r="135" ht="16.8" spans="3:197">
      <c r="C135" s="80" t="str" cm="1">
        <f t="array" ref="C135">_xlfn.IFS(MONTH(D135)&lt;4,1,MONTH(D135)&lt;7,2,MONTH(D135)&lt;10,3,MONTH(D135)&gt;9,4)&amp;"Q"&amp;RIGHT(YEAR(D135),2)</f>
        <v>3Q16</v>
      </c>
      <c r="D135" s="81">
        <f t="shared" si="69"/>
        <v>42582</v>
      </c>
      <c r="E135" s="82">
        <f t="shared" si="65"/>
        <v>42579</v>
      </c>
      <c r="F135" s="83">
        <f t="shared" si="66"/>
        <v>0.457375</v>
      </c>
      <c r="G135" s="83">
        <f t="shared" si="66"/>
        <v>0.375</v>
      </c>
      <c r="H135" s="81"/>
      <c r="I135" s="84">
        <v>42579</v>
      </c>
      <c r="J135" s="85">
        <v>3.95</v>
      </c>
      <c r="K135" s="85">
        <v>3.3</v>
      </c>
      <c r="L135" s="86">
        <v>3.659</v>
      </c>
      <c r="M135" s="94" cm="1">
        <f t="array" ref="M135">INDEX($BV$29:$BV$1449,MATCH($D135,$BR$29:$BR$1449,0),)</f>
        <v>3</v>
      </c>
      <c r="N135" s="88"/>
      <c r="O135" s="88"/>
      <c r="P135" s="88"/>
      <c r="Q135" s="89">
        <f t="shared" si="67"/>
        <v>0.219666666666667</v>
      </c>
      <c r="AH135" s="105">
        <f t="shared" si="79"/>
        <v>43318</v>
      </c>
      <c r="AI135" s="91">
        <f t="shared" si="70"/>
        <v>7.87</v>
      </c>
      <c r="AJ135" s="36">
        <f t="shared" si="71"/>
        <v>-0.0037974683544304</v>
      </c>
      <c r="AK135" s="36">
        <f t="shared" si="76"/>
        <v>-0.0115548857071087</v>
      </c>
      <c r="AL135" s="105"/>
      <c r="AM135" s="91"/>
      <c r="AN135" s="36"/>
      <c r="AO135" s="36"/>
      <c r="AP135" s="36"/>
      <c r="AQ135" s="92" t="str" cm="1">
        <f t="array" ref="AQ135">_xlfn.IFS(MONTH(AR135)&lt;4,1,MONTH(AR135)&lt;7,2,MONTH(AR135)&lt;10,3,MONTH(AR135)&gt;9,4)&amp;"Q"&amp;RIGHT(YEAR(AR135),2)</f>
        <v>1Q21</v>
      </c>
      <c r="AR135" s="92">
        <f t="shared" si="72"/>
        <v>44255</v>
      </c>
      <c r="AS135" s="109">
        <v>44244</v>
      </c>
      <c r="AT135" s="110"/>
      <c r="AU135" s="94" cm="1">
        <f t="array" ref="AU135">INDEX($CE$29:$CE$1449,MATCH($AR135,$CA$29:$CA$1449,0),)</f>
        <v>119</v>
      </c>
      <c r="AV135" s="110"/>
      <c r="AW135" s="94" cm="1">
        <f t="array" ref="AW135">INDEX($CF$29:$CF$1449,MATCH($AR135,$CA$29:$CA$1449,0),)</f>
        <v>238</v>
      </c>
      <c r="AX135" s="94"/>
      <c r="AY135" s="94"/>
      <c r="AZ135" s="94"/>
      <c r="BA135" s="94"/>
      <c r="BB135" s="5"/>
      <c r="BC135" s="5"/>
      <c r="BD135" s="5"/>
      <c r="BE135" s="5"/>
      <c r="BF135" s="5"/>
      <c r="BG135" s="5"/>
      <c r="BH135" s="5"/>
      <c r="BI135" s="5"/>
      <c r="BJ135" s="5"/>
      <c r="BK135" s="5"/>
      <c r="BL135" s="5"/>
      <c r="BM135" s="36"/>
      <c r="BN135" s="5"/>
      <c r="BO135" s="5">
        <f t="shared" si="73"/>
        <v>2025</v>
      </c>
      <c r="BQ135" s="95" t="str" cm="1">
        <f t="array" ref="BQ135">_xlfn.IFS(MONTH(BR135)&lt;4,1,MONTH(BR135)&lt;7,2,MONTH(BR135)&lt;10,3,MONTH(BR135)&gt;9,4)&amp;"Q"&amp;RIGHT(YEAR(BR135),2)</f>
        <v>2Q25</v>
      </c>
      <c r="BR135" s="81">
        <f t="shared" si="74"/>
        <v>45777</v>
      </c>
      <c r="BS135" s="106">
        <f t="shared" si="75"/>
        <v>45777</v>
      </c>
      <c r="BV135" s="122">
        <v>1.65</v>
      </c>
      <c r="BW135" s="122">
        <v>3.2</v>
      </c>
      <c r="BX135" s="122">
        <v>4.6</v>
      </c>
      <c r="CA135" s="35">
        <f t="shared" si="86"/>
        <v>45777</v>
      </c>
      <c r="CB135" s="26">
        <v>44</v>
      </c>
      <c r="CC135" s="26">
        <v>33.5</v>
      </c>
      <c r="CD135" s="119">
        <v>17.25</v>
      </c>
      <c r="CE135" s="119">
        <v>74</v>
      </c>
      <c r="CF135" s="119">
        <v>145</v>
      </c>
      <c r="CG135" s="119">
        <v>127</v>
      </c>
      <c r="CH135" s="119">
        <v>260</v>
      </c>
      <c r="CI135" s="119">
        <v>127</v>
      </c>
      <c r="CJ135" s="119">
        <v>260</v>
      </c>
      <c r="CK135" s="119">
        <v>200.2</v>
      </c>
      <c r="CL135" s="119">
        <v>410.8</v>
      </c>
      <c r="CM135" s="119">
        <v>930</v>
      </c>
      <c r="CN135" s="119">
        <v>720</v>
      </c>
      <c r="CO135" s="126">
        <f t="shared" si="101"/>
        <v>127</v>
      </c>
      <c r="CP135" s="126">
        <f t="shared" si="101"/>
        <v>260</v>
      </c>
      <c r="CQ135" s="119">
        <v>1.18</v>
      </c>
      <c r="CR135" s="119">
        <v>1</v>
      </c>
      <c r="CS135" s="36"/>
      <c r="CT135" s="123">
        <f t="shared" si="77"/>
        <v>0.313432835820896</v>
      </c>
      <c r="CU135" s="123">
        <f t="shared" si="102"/>
        <v>0.716216216216216</v>
      </c>
      <c r="CV135" s="123">
        <f t="shared" si="102"/>
        <v>0.793103448275862</v>
      </c>
      <c r="CX135" s="125">
        <f t="shared" si="103"/>
        <v>0.0602409638554218</v>
      </c>
      <c r="CY135" s="125">
        <f t="shared" si="103"/>
        <v>0.046875</v>
      </c>
      <c r="CZ135" s="125">
        <f t="shared" si="103"/>
        <v>0.0454545454545454</v>
      </c>
      <c r="DA135" s="125">
        <f t="shared" si="103"/>
        <v>0.0724637681159421</v>
      </c>
      <c r="DB135" s="125">
        <f t="shared" si="103"/>
        <v>0.0357142857142858</v>
      </c>
      <c r="DC135" s="125">
        <f t="shared" si="103"/>
        <v>0</v>
      </c>
      <c r="DD135" s="125">
        <f t="shared" si="103"/>
        <v>0</v>
      </c>
      <c r="DE135" s="125">
        <f t="shared" si="103"/>
        <v>0</v>
      </c>
      <c r="DF135" s="125">
        <f t="shared" si="103"/>
        <v>0</v>
      </c>
      <c r="DG135" s="125">
        <f t="shared" si="103"/>
        <v>0</v>
      </c>
      <c r="DH135" s="125">
        <f t="shared" si="103"/>
        <v>0</v>
      </c>
      <c r="DI135" s="125">
        <f t="shared" si="103"/>
        <v>0</v>
      </c>
      <c r="DJ135" s="125">
        <f t="shared" si="103"/>
        <v>0</v>
      </c>
      <c r="DK135" s="125">
        <f t="shared" si="103"/>
        <v>0</v>
      </c>
      <c r="DL135" s="125">
        <f t="shared" si="103"/>
        <v>0</v>
      </c>
      <c r="DM135" s="125">
        <f t="shared" si="103"/>
        <v>0.0727272727272725</v>
      </c>
      <c r="DN135" s="125">
        <f t="shared" si="104"/>
        <v>0</v>
      </c>
      <c r="DQ135" s="114">
        <f t="shared" si="80"/>
        <v>2.3125</v>
      </c>
      <c r="DR135" s="124">
        <f t="shared" si="81"/>
        <v>2.265625</v>
      </c>
      <c r="DS135" s="124">
        <f t="shared" si="84"/>
        <v>3.96875</v>
      </c>
      <c r="DT135" s="124">
        <f t="shared" si="85"/>
        <v>4.0625</v>
      </c>
      <c r="DU135" s="124">
        <f t="shared" si="98"/>
        <v>4.17083333333333</v>
      </c>
      <c r="DV135" s="124">
        <f t="shared" si="99"/>
        <v>4.27916666666667</v>
      </c>
      <c r="DW135" s="124">
        <f t="shared" si="100"/>
        <v>7.265625</v>
      </c>
      <c r="DX135" s="124">
        <f t="shared" si="100"/>
        <v>5.625</v>
      </c>
      <c r="FV135" s="104">
        <f t="shared" si="89"/>
        <v>2011</v>
      </c>
      <c r="FW135" s="104">
        <f t="shared" si="90"/>
        <v>10</v>
      </c>
      <c r="FX135" s="35">
        <v>40604</v>
      </c>
      <c r="FY135" s="26">
        <v>2.05</v>
      </c>
      <c r="FZ135" s="94">
        <f t="shared" si="91"/>
        <v>8.2</v>
      </c>
      <c r="GA135" s="104"/>
      <c r="GB135" s="104"/>
      <c r="GE135" s="94"/>
      <c r="GF135" s="104">
        <f t="shared" si="92"/>
        <v>2013</v>
      </c>
      <c r="GG135" s="104">
        <f t="shared" si="93"/>
        <v>24</v>
      </c>
      <c r="GH135" s="35">
        <v>41436</v>
      </c>
      <c r="GI135" s="26">
        <v>3.551</v>
      </c>
      <c r="GJ135" s="94">
        <f t="shared" si="94"/>
        <v>7.102</v>
      </c>
      <c r="GK135" s="104"/>
      <c r="GL135" s="104"/>
      <c r="GO135" s="94"/>
    </row>
    <row r="136" ht="16.8" spans="3:197">
      <c r="C136" s="80" t="str" cm="1">
        <f t="array" ref="C136">_xlfn.IFS(MONTH(D136)&lt;4,1,MONTH(D136)&lt;7,2,MONTH(D136)&lt;10,3,MONTH(D136)&gt;9,4)&amp;"Q"&amp;RIGHT(YEAR(D136),2)</f>
        <v>3Q16</v>
      </c>
      <c r="D136" s="81">
        <f t="shared" si="69"/>
        <v>42582</v>
      </c>
      <c r="E136" s="82">
        <f t="shared" si="65"/>
        <v>42580</v>
      </c>
      <c r="F136" s="83">
        <f t="shared" si="66"/>
        <v>0.458</v>
      </c>
      <c r="G136" s="83">
        <f t="shared" si="66"/>
        <v>0.375</v>
      </c>
      <c r="H136" s="81"/>
      <c r="I136" s="84">
        <v>42580</v>
      </c>
      <c r="J136" s="85">
        <v>3.95</v>
      </c>
      <c r="K136" s="85">
        <v>3.3</v>
      </c>
      <c r="L136" s="86">
        <v>3.664</v>
      </c>
      <c r="M136" s="94" cm="1">
        <f t="array" ref="M136">INDEX($BV$29:$BV$1449,MATCH($D136,$BR$29:$BR$1449,0),)</f>
        <v>3</v>
      </c>
      <c r="N136" s="88"/>
      <c r="O136" s="88"/>
      <c r="P136" s="88"/>
      <c r="Q136" s="89">
        <f t="shared" si="67"/>
        <v>0.221333333333333</v>
      </c>
      <c r="AH136" s="105">
        <f t="shared" si="79"/>
        <v>43326</v>
      </c>
      <c r="AI136" s="91">
        <f t="shared" si="70"/>
        <v>7.76</v>
      </c>
      <c r="AJ136" s="36">
        <f t="shared" si="71"/>
        <v>-0.0139771283354512</v>
      </c>
      <c r="AK136" s="36">
        <f t="shared" si="76"/>
        <v>-0.0177215189873419</v>
      </c>
      <c r="AL136" s="105"/>
      <c r="AM136" s="91"/>
      <c r="AN136" s="36"/>
      <c r="AO136" s="36"/>
      <c r="AP136" s="36"/>
      <c r="AQ136" s="92" t="str" cm="1">
        <f t="array" ref="AQ136">_xlfn.IFS(MONTH(AR136)&lt;4,1,MONTH(AR136)&lt;7,2,MONTH(AR136)&lt;10,3,MONTH(AR136)&gt;9,4)&amp;"Q"&amp;RIGHT(YEAR(AR136),2)</f>
        <v>1Q21</v>
      </c>
      <c r="AR136" s="92">
        <f t="shared" si="72"/>
        <v>44255</v>
      </c>
      <c r="AS136" s="109">
        <v>44249</v>
      </c>
      <c r="AT136" s="110"/>
      <c r="AU136" s="94" cm="1">
        <f t="array" ref="AU136">INDEX($CE$29:$CE$1449,MATCH($AR136,$CA$29:$CA$1449,0),)</f>
        <v>119</v>
      </c>
      <c r="AV136" s="110"/>
      <c r="AW136" s="94" cm="1">
        <f t="array" ref="AW136">INDEX($CF$29:$CF$1449,MATCH($AR136,$CA$29:$CA$1449,0),)</f>
        <v>238</v>
      </c>
      <c r="AX136" s="94"/>
      <c r="AY136" s="94"/>
      <c r="AZ136" s="94"/>
      <c r="BA136" s="94"/>
      <c r="BB136" s="5"/>
      <c r="BC136" s="5"/>
      <c r="BD136" s="5"/>
      <c r="BE136" s="5"/>
      <c r="BF136" s="5"/>
      <c r="BG136" s="5"/>
      <c r="BH136" s="5"/>
      <c r="BI136" s="5"/>
      <c r="BJ136" s="5"/>
      <c r="BK136" s="5"/>
      <c r="BL136" s="5"/>
      <c r="BM136" s="36"/>
      <c r="BN136" s="5"/>
      <c r="BO136" s="5">
        <f t="shared" si="73"/>
        <v>2025</v>
      </c>
      <c r="BQ136" s="95" t="str" cm="1">
        <f t="array" ref="BQ136">_xlfn.IFS(MONTH(BR136)&lt;4,1,MONTH(BR136)&lt;7,2,MONTH(BR136)&lt;10,3,MONTH(BR136)&gt;9,4)&amp;"Q"&amp;RIGHT(YEAR(BR136),2)</f>
        <v>2Q25</v>
      </c>
      <c r="BR136" s="81">
        <f t="shared" si="74"/>
        <v>45808</v>
      </c>
      <c r="BS136" s="106">
        <f t="shared" si="75"/>
        <v>45808</v>
      </c>
      <c r="BV136" s="122">
        <v>2.1</v>
      </c>
      <c r="BW136" s="122">
        <v>3.6</v>
      </c>
      <c r="BX136" s="122">
        <v>4.8</v>
      </c>
      <c r="CA136" s="35">
        <f t="shared" si="86"/>
        <v>45808</v>
      </c>
      <c r="CB136" s="26">
        <v>44</v>
      </c>
      <c r="CC136" s="26">
        <v>38</v>
      </c>
      <c r="CD136" s="119">
        <v>19.5</v>
      </c>
      <c r="CE136" s="119">
        <v>85</v>
      </c>
      <c r="CF136" s="119">
        <v>170</v>
      </c>
      <c r="CG136" s="119">
        <v>134</v>
      </c>
      <c r="CH136" s="119">
        <v>265</v>
      </c>
      <c r="CI136" s="119">
        <v>134</v>
      </c>
      <c r="CJ136" s="119">
        <v>265</v>
      </c>
      <c r="CK136" s="119">
        <v>204.5</v>
      </c>
      <c r="CL136" s="119">
        <v>416.05</v>
      </c>
      <c r="CM136" s="119">
        <v>930</v>
      </c>
      <c r="CN136" s="119">
        <v>720</v>
      </c>
      <c r="CO136" s="126">
        <f t="shared" si="101"/>
        <v>134</v>
      </c>
      <c r="CP136" s="126">
        <f t="shared" si="101"/>
        <v>265</v>
      </c>
      <c r="CQ136" s="119">
        <v>1.25</v>
      </c>
      <c r="CR136" s="119">
        <v>1</v>
      </c>
      <c r="CS136" s="36"/>
      <c r="CT136" s="123">
        <f t="shared" si="77"/>
        <v>0.157894736842105</v>
      </c>
      <c r="CU136" s="123">
        <f t="shared" si="102"/>
        <v>0.576470588235294</v>
      </c>
      <c r="CV136" s="123">
        <f t="shared" si="102"/>
        <v>0.558823529411765</v>
      </c>
      <c r="CX136" s="125">
        <f t="shared" si="103"/>
        <v>0</v>
      </c>
      <c r="CY136" s="125">
        <f t="shared" si="103"/>
        <v>0.134328358208955</v>
      </c>
      <c r="CZ136" s="125">
        <f t="shared" si="103"/>
        <v>0.130434782608696</v>
      </c>
      <c r="DA136" s="125">
        <f t="shared" si="103"/>
        <v>0.148648648648649</v>
      </c>
      <c r="DB136" s="125">
        <f t="shared" si="103"/>
        <v>0.172413793103448</v>
      </c>
      <c r="DC136" s="125">
        <f t="shared" si="103"/>
        <v>0.0551181102362204</v>
      </c>
      <c r="DD136" s="125">
        <f t="shared" si="103"/>
        <v>0.0192307692307692</v>
      </c>
      <c r="DE136" s="125">
        <f t="shared" si="103"/>
        <v>0.0551181102362204</v>
      </c>
      <c r="DF136" s="125">
        <f t="shared" si="103"/>
        <v>0.0192307692307692</v>
      </c>
      <c r="DG136" s="125">
        <f t="shared" si="103"/>
        <v>0.0214785214785216</v>
      </c>
      <c r="DH136" s="125">
        <f t="shared" si="103"/>
        <v>0.0127799415774099</v>
      </c>
      <c r="DI136" s="125">
        <f t="shared" si="103"/>
        <v>0</v>
      </c>
      <c r="DJ136" s="125">
        <f t="shared" si="103"/>
        <v>0</v>
      </c>
      <c r="DK136" s="125">
        <f t="shared" si="103"/>
        <v>0.0551181102362204</v>
      </c>
      <c r="DL136" s="125">
        <f t="shared" si="103"/>
        <v>0.0192307692307692</v>
      </c>
      <c r="DM136" s="125">
        <f t="shared" si="103"/>
        <v>0.0593220338983051</v>
      </c>
      <c r="DN136" s="125">
        <f t="shared" si="104"/>
        <v>0</v>
      </c>
      <c r="DQ136" s="114">
        <f t="shared" si="80"/>
        <v>2.65625</v>
      </c>
      <c r="DR136" s="124">
        <f t="shared" si="81"/>
        <v>2.65625</v>
      </c>
      <c r="DS136" s="124">
        <f t="shared" si="84"/>
        <v>4.1875</v>
      </c>
      <c r="DT136" s="124">
        <f t="shared" si="85"/>
        <v>4.140625</v>
      </c>
      <c r="DU136" s="124">
        <f t="shared" si="98"/>
        <v>4.26041666666667</v>
      </c>
      <c r="DV136" s="124">
        <f t="shared" si="99"/>
        <v>4.33385416666667</v>
      </c>
      <c r="DW136" s="124">
        <f t="shared" si="100"/>
        <v>7.265625</v>
      </c>
      <c r="DX136" s="124">
        <f t="shared" si="100"/>
        <v>5.625</v>
      </c>
      <c r="FV136" s="104">
        <f t="shared" si="89"/>
        <v>2011</v>
      </c>
      <c r="FW136" s="104">
        <f t="shared" si="90"/>
        <v>10</v>
      </c>
      <c r="FX136" s="35">
        <v>40605</v>
      </c>
      <c r="FY136" s="26">
        <v>2.04</v>
      </c>
      <c r="FZ136" s="94">
        <f t="shared" si="91"/>
        <v>8.16</v>
      </c>
      <c r="GA136" s="104"/>
      <c r="GB136" s="104"/>
      <c r="GE136" s="94"/>
      <c r="GF136" s="104">
        <f t="shared" si="92"/>
        <v>2013</v>
      </c>
      <c r="GG136" s="104">
        <f t="shared" si="93"/>
        <v>24</v>
      </c>
      <c r="GH136" s="35">
        <v>41438</v>
      </c>
      <c r="GI136" s="26">
        <v>3.624</v>
      </c>
      <c r="GJ136" s="94">
        <f t="shared" si="94"/>
        <v>7.248</v>
      </c>
      <c r="GK136" s="104"/>
      <c r="GL136" s="104"/>
      <c r="GO136" s="94"/>
    </row>
    <row r="137" ht="16.8" spans="3:197">
      <c r="C137" s="80" t="str" cm="1">
        <f t="array" ref="C137">_xlfn.IFS(MONTH(D137)&lt;4,1,MONTH(D137)&lt;7,2,MONTH(D137)&lt;10,3,MONTH(D137)&gt;9,4)&amp;"Q"&amp;RIGHT(YEAR(D137),2)</f>
        <v>3Q16</v>
      </c>
      <c r="D137" s="81">
        <f t="shared" si="69"/>
        <v>42613</v>
      </c>
      <c r="E137" s="82">
        <f t="shared" si="65"/>
        <v>42583</v>
      </c>
      <c r="F137" s="83">
        <f t="shared" si="66"/>
        <v>0.458</v>
      </c>
      <c r="G137" s="83">
        <f t="shared" si="66"/>
        <v>0.3825</v>
      </c>
      <c r="H137" s="81"/>
      <c r="I137" s="84">
        <v>42583</v>
      </c>
      <c r="J137" s="85">
        <v>3.95</v>
      </c>
      <c r="K137" s="85">
        <v>3.3</v>
      </c>
      <c r="L137" s="86">
        <v>3.664</v>
      </c>
      <c r="M137" s="94" cm="1">
        <f t="array" ref="M137">INDEX($BV$29:$BV$1449,MATCH($D137,$BR$29:$BR$1449,0),)</f>
        <v>3.06</v>
      </c>
      <c r="N137" s="88"/>
      <c r="O137" s="88"/>
      <c r="P137" s="88"/>
      <c r="Q137" s="89">
        <f t="shared" si="67"/>
        <v>0.197385620915033</v>
      </c>
      <c r="AH137" s="105">
        <f t="shared" si="79"/>
        <v>43334</v>
      </c>
      <c r="AI137" s="91">
        <f t="shared" si="70"/>
        <v>7.599</v>
      </c>
      <c r="AJ137" s="36">
        <f t="shared" si="71"/>
        <v>-0.0207474226804123</v>
      </c>
      <c r="AK137" s="36">
        <f t="shared" si="76"/>
        <v>-0.0344345616264294</v>
      </c>
      <c r="AL137" s="105"/>
      <c r="AM137" s="91"/>
      <c r="AN137" s="36"/>
      <c r="AO137" s="36"/>
      <c r="AP137" s="36"/>
      <c r="AQ137" s="92" t="str" cm="1">
        <f t="array" ref="AQ137">_xlfn.IFS(MONTH(AR137)&lt;4,1,MONTH(AR137)&lt;7,2,MONTH(AR137)&lt;10,3,MONTH(AR137)&gt;9,4)&amp;"Q"&amp;RIGHT(YEAR(AR137),2)</f>
        <v>1Q21</v>
      </c>
      <c r="AR137" s="92">
        <f t="shared" si="72"/>
        <v>44286</v>
      </c>
      <c r="AS137" s="109">
        <v>44256</v>
      </c>
      <c r="AT137" s="110"/>
      <c r="AU137" s="94" cm="1">
        <f t="array" ref="AU137">INDEX($CE$29:$CE$1449,MATCH($AR137,$CA$29:$CA$1449,0),)</f>
        <v>125</v>
      </c>
      <c r="AV137" s="110"/>
      <c r="AW137" s="94" cm="1">
        <f t="array" ref="AW137">INDEX($CF$29:$CF$1449,MATCH($AR137,$CA$29:$CA$1449,0),)</f>
        <v>243.75</v>
      </c>
      <c r="AX137" s="94"/>
      <c r="AY137" s="94"/>
      <c r="AZ137" s="94"/>
      <c r="BA137" s="94"/>
      <c r="BB137" s="5"/>
      <c r="BC137" s="5"/>
      <c r="BD137" s="5"/>
      <c r="BE137" s="5"/>
      <c r="BF137" s="5"/>
      <c r="BG137" s="5"/>
      <c r="BH137" s="5"/>
      <c r="BI137" s="5"/>
      <c r="BJ137" s="5"/>
      <c r="BK137" s="5"/>
      <c r="BL137" s="5"/>
      <c r="BM137" s="36"/>
      <c r="BN137" s="5"/>
      <c r="BO137" s="5">
        <f t="shared" si="73"/>
        <v>2025</v>
      </c>
      <c r="BQ137" s="95" t="str" cm="1">
        <f t="array" ref="BQ137">_xlfn.IFS(MONTH(BR137)&lt;4,1,MONTH(BR137)&lt;7,2,MONTH(BR137)&lt;10,3,MONTH(BR137)&gt;9,4)&amp;"Q"&amp;RIGHT(YEAR(BR137),2)</f>
        <v>2Q25</v>
      </c>
      <c r="BR137" s="81">
        <f t="shared" si="74"/>
        <v>45838</v>
      </c>
      <c r="BS137" s="106">
        <f t="shared" si="75"/>
        <v>45838</v>
      </c>
      <c r="BV137" s="122">
        <v>2.6</v>
      </c>
      <c r="BW137" s="122">
        <v>5.5</v>
      </c>
      <c r="BX137" s="122">
        <v>5.1</v>
      </c>
      <c r="CA137" s="35">
        <f t="shared" si="86"/>
        <v>45838</v>
      </c>
      <c r="CB137" s="26">
        <v>44</v>
      </c>
      <c r="CC137" s="26">
        <v>38</v>
      </c>
      <c r="CD137" s="119">
        <v>19.5</v>
      </c>
      <c r="CE137" s="119">
        <v>130</v>
      </c>
      <c r="CF137" s="119">
        <v>210</v>
      </c>
      <c r="CG137" s="119">
        <v>134</v>
      </c>
      <c r="CH137" s="119">
        <v>265</v>
      </c>
      <c r="CI137" s="119">
        <v>134</v>
      </c>
      <c r="CJ137" s="119">
        <v>265</v>
      </c>
      <c r="CK137" s="119">
        <v>204.5</v>
      </c>
      <c r="CL137" s="119">
        <v>416.05</v>
      </c>
      <c r="CM137" s="119">
        <v>930</v>
      </c>
      <c r="CN137" s="119">
        <v>720</v>
      </c>
      <c r="CO137" s="126">
        <f t="shared" si="101"/>
        <v>134</v>
      </c>
      <c r="CP137" s="126">
        <f t="shared" si="101"/>
        <v>265</v>
      </c>
      <c r="CQ137" s="119">
        <v>1.25</v>
      </c>
      <c r="CR137" s="119">
        <v>1</v>
      </c>
      <c r="CS137" s="36"/>
      <c r="CT137" s="123">
        <f t="shared" si="77"/>
        <v>0.157894736842105</v>
      </c>
      <c r="CU137" s="123">
        <f t="shared" si="102"/>
        <v>0.0307692307692307</v>
      </c>
      <c r="CV137" s="123">
        <f t="shared" si="102"/>
        <v>0.261904761904762</v>
      </c>
      <c r="CX137" s="125">
        <f t="shared" si="103"/>
        <v>0</v>
      </c>
      <c r="CY137" s="125">
        <f t="shared" si="103"/>
        <v>0</v>
      </c>
      <c r="CZ137" s="125">
        <f t="shared" si="103"/>
        <v>0</v>
      </c>
      <c r="DA137" s="125">
        <f t="shared" si="103"/>
        <v>0.529411764705882</v>
      </c>
      <c r="DB137" s="125">
        <f t="shared" si="103"/>
        <v>0.235294117647059</v>
      </c>
      <c r="DC137" s="125">
        <f t="shared" si="103"/>
        <v>0</v>
      </c>
      <c r="DD137" s="125">
        <f t="shared" si="103"/>
        <v>0</v>
      </c>
      <c r="DE137" s="125">
        <f t="shared" si="103"/>
        <v>0</v>
      </c>
      <c r="DF137" s="125">
        <f t="shared" si="103"/>
        <v>0</v>
      </c>
      <c r="DG137" s="125">
        <f t="shared" si="103"/>
        <v>0</v>
      </c>
      <c r="DH137" s="125">
        <f t="shared" si="103"/>
        <v>0</v>
      </c>
      <c r="DI137" s="125">
        <f t="shared" si="103"/>
        <v>0</v>
      </c>
      <c r="DJ137" s="125">
        <f t="shared" si="103"/>
        <v>0</v>
      </c>
      <c r="DK137" s="125">
        <f t="shared" si="103"/>
        <v>0</v>
      </c>
      <c r="DL137" s="125">
        <f t="shared" si="103"/>
        <v>0</v>
      </c>
      <c r="DM137" s="125">
        <f t="shared" si="103"/>
        <v>0</v>
      </c>
      <c r="DN137" s="125">
        <f t="shared" si="104"/>
        <v>0</v>
      </c>
      <c r="DQ137" s="114">
        <f t="shared" si="80"/>
        <v>4.0625</v>
      </c>
      <c r="DR137" s="124">
        <f t="shared" si="81"/>
        <v>3.28125</v>
      </c>
      <c r="DS137" s="124">
        <f t="shared" si="84"/>
        <v>4.1875</v>
      </c>
      <c r="DT137" s="124">
        <f t="shared" si="85"/>
        <v>4.140625</v>
      </c>
      <c r="DU137" s="124">
        <f t="shared" si="98"/>
        <v>4.26041666666667</v>
      </c>
      <c r="DV137" s="124">
        <f t="shared" si="99"/>
        <v>4.33385416666667</v>
      </c>
      <c r="DW137" s="124">
        <f t="shared" ref="DW137:DX148" si="105">CM137/128</f>
        <v>7.265625</v>
      </c>
      <c r="DX137" s="124">
        <f t="shared" si="105"/>
        <v>5.625</v>
      </c>
      <c r="FV137" s="104">
        <f t="shared" si="89"/>
        <v>2011</v>
      </c>
      <c r="FW137" s="104">
        <f t="shared" si="90"/>
        <v>10</v>
      </c>
      <c r="FX137" s="35">
        <v>40606</v>
      </c>
      <c r="FY137" s="26">
        <v>2.03</v>
      </c>
      <c r="FZ137" s="94">
        <f t="shared" si="91"/>
        <v>8.12</v>
      </c>
      <c r="GA137" s="104"/>
      <c r="GB137" s="104"/>
      <c r="GE137" s="94"/>
      <c r="GF137" s="104">
        <f t="shared" si="92"/>
        <v>2013</v>
      </c>
      <c r="GG137" s="104">
        <f t="shared" si="93"/>
        <v>24</v>
      </c>
      <c r="GH137" s="35">
        <v>41439</v>
      </c>
      <c r="GI137" s="26">
        <v>3.735</v>
      </c>
      <c r="GJ137" s="94">
        <f t="shared" si="94"/>
        <v>7.47</v>
      </c>
      <c r="GK137" s="104"/>
      <c r="GL137" s="104"/>
      <c r="GO137" s="94"/>
    </row>
    <row r="138" ht="16.8" spans="3:197">
      <c r="C138" s="80" t="str" cm="1">
        <f t="array" ref="C138">_xlfn.IFS(MONTH(D138)&lt;4,1,MONTH(D138)&lt;7,2,MONTH(D138)&lt;10,3,MONTH(D138)&gt;9,4)&amp;"Q"&amp;RIGHT(YEAR(D138),2)</f>
        <v>3Q16</v>
      </c>
      <c r="D138" s="81">
        <f t="shared" si="69"/>
        <v>42613</v>
      </c>
      <c r="E138" s="82">
        <f t="shared" si="65"/>
        <v>42584</v>
      </c>
      <c r="F138" s="83">
        <f t="shared" si="66"/>
        <v>0.458</v>
      </c>
      <c r="G138" s="83">
        <f t="shared" si="66"/>
        <v>0.3825</v>
      </c>
      <c r="H138" s="81"/>
      <c r="I138" s="84">
        <v>42584</v>
      </c>
      <c r="J138" s="85">
        <v>3.95</v>
      </c>
      <c r="K138" s="85">
        <v>3.32</v>
      </c>
      <c r="L138" s="86">
        <v>3.664</v>
      </c>
      <c r="M138" s="94" cm="1">
        <f t="array" ref="M138">INDEX($BV$29:$BV$1449,MATCH($D138,$BR$29:$BR$1449,0),)</f>
        <v>3.06</v>
      </c>
      <c r="N138" s="88"/>
      <c r="O138" s="88"/>
      <c r="P138" s="88"/>
      <c r="Q138" s="89">
        <f t="shared" si="67"/>
        <v>0.197385620915033</v>
      </c>
      <c r="AH138" s="105">
        <f t="shared" si="79"/>
        <v>43342</v>
      </c>
      <c r="AI138" s="91">
        <f t="shared" si="70"/>
        <v>7.52</v>
      </c>
      <c r="AJ138" s="36">
        <f t="shared" si="71"/>
        <v>-0.0103961047506251</v>
      </c>
      <c r="AK138" s="36">
        <f t="shared" si="76"/>
        <v>-0.0309278350515464</v>
      </c>
      <c r="AL138" s="105"/>
      <c r="AM138" s="91"/>
      <c r="AN138" s="36"/>
      <c r="AO138" s="36"/>
      <c r="AP138" s="36"/>
      <c r="AQ138" s="92" t="str" cm="1">
        <f t="array" ref="AQ138">_xlfn.IFS(MONTH(AR138)&lt;4,1,MONTH(AR138)&lt;7,2,MONTH(AR138)&lt;10,3,MONTH(AR138)&gt;9,4)&amp;"Q"&amp;RIGHT(YEAR(AR138),2)</f>
        <v>1Q21</v>
      </c>
      <c r="AR138" s="92">
        <f t="shared" si="72"/>
        <v>44286</v>
      </c>
      <c r="AS138" s="109">
        <v>44263</v>
      </c>
      <c r="AT138" s="110"/>
      <c r="AU138" s="94" cm="1">
        <f t="array" ref="AU138">INDEX($CE$29:$CE$1449,MATCH($AR138,$CA$29:$CA$1449,0),)</f>
        <v>125</v>
      </c>
      <c r="AV138" s="110"/>
      <c r="AW138" s="94" cm="1">
        <f t="array" ref="AW138">INDEX($CF$29:$CF$1449,MATCH($AR138,$CA$29:$CA$1449,0),)</f>
        <v>243.75</v>
      </c>
      <c r="AX138" s="94"/>
      <c r="AY138" s="94"/>
      <c r="AZ138" s="94"/>
      <c r="BA138" s="94"/>
      <c r="BB138" s="5"/>
      <c r="BC138" s="5"/>
      <c r="BD138" s="5"/>
      <c r="BE138" s="5"/>
      <c r="BF138" s="5"/>
      <c r="BG138" s="5"/>
      <c r="BH138" s="5"/>
      <c r="BI138" s="5"/>
      <c r="BJ138" s="5"/>
      <c r="BK138" s="5"/>
      <c r="BL138" s="5"/>
      <c r="BM138" s="36"/>
      <c r="BN138" s="5"/>
      <c r="BO138" s="5">
        <f t="shared" si="73"/>
        <v>2025</v>
      </c>
      <c r="BQ138" s="95" t="str" cm="1">
        <f t="array" ref="BQ138">_xlfn.IFS(MONTH(BR138)&lt;4,1,MONTH(BR138)&lt;7,2,MONTH(BR138)&lt;10,3,MONTH(BR138)&gt;9,4)&amp;"Q"&amp;RIGHT(YEAR(BR138),2)</f>
        <v>3Q25</v>
      </c>
      <c r="BR138" s="81">
        <f t="shared" si="74"/>
        <v>45869</v>
      </c>
      <c r="BS138" s="106">
        <f t="shared" si="75"/>
        <v>45869</v>
      </c>
      <c r="BV138" s="122">
        <v>3.9</v>
      </c>
      <c r="BW138" s="122">
        <v>8</v>
      </c>
      <c r="BX138" s="122">
        <v>5.25</v>
      </c>
      <c r="CA138" s="35">
        <f t="shared" si="86"/>
        <v>45869</v>
      </c>
      <c r="CB138" s="26">
        <v>47</v>
      </c>
      <c r="CC138" s="26">
        <v>50</v>
      </c>
      <c r="CD138" s="119">
        <v>26.5</v>
      </c>
      <c r="CE138" s="119">
        <v>132</v>
      </c>
      <c r="CF138" s="119">
        <v>225</v>
      </c>
      <c r="CG138" s="119">
        <v>140</v>
      </c>
      <c r="CH138" s="119">
        <v>268</v>
      </c>
      <c r="CI138" s="119">
        <v>140</v>
      </c>
      <c r="CJ138" s="119">
        <v>268</v>
      </c>
      <c r="CK138" s="119">
        <v>214.4</v>
      </c>
      <c r="CL138" s="119">
        <v>425</v>
      </c>
      <c r="CM138" s="119">
        <v>930</v>
      </c>
      <c r="CN138" s="119">
        <v>730</v>
      </c>
      <c r="CO138" s="126">
        <f t="shared" si="101"/>
        <v>140</v>
      </c>
      <c r="CP138" s="126">
        <f t="shared" si="101"/>
        <v>268</v>
      </c>
      <c r="CQ138" s="119">
        <v>2.2</v>
      </c>
      <c r="CR138" s="119">
        <v>1.2</v>
      </c>
      <c r="CS138" s="36"/>
      <c r="CT138" s="123">
        <f t="shared" si="77"/>
        <v>-0.0600000000000001</v>
      </c>
      <c r="CU138" s="123">
        <f t="shared" si="102"/>
        <v>0.0606060606060606</v>
      </c>
      <c r="CV138" s="123">
        <f t="shared" si="102"/>
        <v>0.191111111111111</v>
      </c>
      <c r="CX138" s="125">
        <f t="shared" si="103"/>
        <v>0.0681818181818181</v>
      </c>
      <c r="CY138" s="125">
        <f t="shared" si="103"/>
        <v>0.315789473684211</v>
      </c>
      <c r="CZ138" s="125">
        <f t="shared" si="103"/>
        <v>0.358974358974359</v>
      </c>
      <c r="DA138" s="125">
        <f t="shared" si="103"/>
        <v>0.0153846153846153</v>
      </c>
      <c r="DB138" s="125">
        <f t="shared" si="103"/>
        <v>0.0714285714285714</v>
      </c>
      <c r="DC138" s="125">
        <f t="shared" si="103"/>
        <v>0.044776119402985</v>
      </c>
      <c r="DD138" s="125">
        <f t="shared" si="103"/>
        <v>0.0113207547169811</v>
      </c>
      <c r="DE138" s="125">
        <f t="shared" si="103"/>
        <v>0.044776119402985</v>
      </c>
      <c r="DF138" s="125">
        <f t="shared" si="103"/>
        <v>0.0113207547169811</v>
      </c>
      <c r="DG138" s="125">
        <f t="shared" si="103"/>
        <v>0.0484107579462103</v>
      </c>
      <c r="DH138" s="125">
        <f t="shared" si="103"/>
        <v>0.0215118375195289</v>
      </c>
      <c r="DI138" s="125">
        <f t="shared" si="103"/>
        <v>0</v>
      </c>
      <c r="DJ138" s="125">
        <f t="shared" si="103"/>
        <v>0.0138888888888888</v>
      </c>
      <c r="DK138" s="125">
        <f t="shared" si="103"/>
        <v>0.044776119402985</v>
      </c>
      <c r="DL138" s="125">
        <f t="shared" si="103"/>
        <v>0.0113207547169811</v>
      </c>
      <c r="DM138" s="125">
        <f t="shared" si="103"/>
        <v>0.76</v>
      </c>
      <c r="DN138" s="125">
        <f t="shared" si="104"/>
        <v>0.2</v>
      </c>
      <c r="DQ138" s="114">
        <f t="shared" si="80"/>
        <v>4.125</v>
      </c>
      <c r="DR138" s="124">
        <f t="shared" si="81"/>
        <v>3.515625</v>
      </c>
      <c r="DS138" s="124">
        <f t="shared" si="84"/>
        <v>4.375</v>
      </c>
      <c r="DT138" s="124">
        <f t="shared" si="85"/>
        <v>4.1875</v>
      </c>
      <c r="DU138" s="124">
        <f t="shared" si="98"/>
        <v>4.46666666666667</v>
      </c>
      <c r="DV138" s="124">
        <f t="shared" si="99"/>
        <v>4.42708333333333</v>
      </c>
      <c r="DW138" s="124">
        <f t="shared" si="105"/>
        <v>7.265625</v>
      </c>
      <c r="DX138" s="124">
        <f t="shared" si="105"/>
        <v>5.703125</v>
      </c>
      <c r="FV138" s="104">
        <f t="shared" si="89"/>
        <v>2011</v>
      </c>
      <c r="FW138" s="104">
        <f t="shared" si="90"/>
        <v>11</v>
      </c>
      <c r="FX138" s="35">
        <v>40609</v>
      </c>
      <c r="FY138" s="26">
        <v>2.03</v>
      </c>
      <c r="FZ138" s="94">
        <f t="shared" si="91"/>
        <v>8.12</v>
      </c>
      <c r="GA138" s="104"/>
      <c r="GB138" s="104"/>
      <c r="GE138" s="94"/>
      <c r="GF138" s="104">
        <f t="shared" si="92"/>
        <v>2013</v>
      </c>
      <c r="GG138" s="104">
        <f t="shared" si="93"/>
        <v>25</v>
      </c>
      <c r="GH138" s="35">
        <v>41442</v>
      </c>
      <c r="GI138" s="26">
        <v>3.78</v>
      </c>
      <c r="GJ138" s="94">
        <f t="shared" si="94"/>
        <v>7.56</v>
      </c>
      <c r="GK138" s="104"/>
      <c r="GL138" s="104"/>
      <c r="GO138" s="94"/>
    </row>
    <row r="139" ht="16.8" spans="3:197">
      <c r="C139" s="80" t="str" cm="1">
        <f t="array" ref="C139">_xlfn.IFS(MONTH(D139)&lt;4,1,MONTH(D139)&lt;7,2,MONTH(D139)&lt;10,3,MONTH(D139)&gt;9,4)&amp;"Q"&amp;RIGHT(YEAR(D139),2)</f>
        <v>3Q16</v>
      </c>
      <c r="D139" s="81">
        <f t="shared" si="69"/>
        <v>42613</v>
      </c>
      <c r="E139" s="82">
        <f t="shared" si="65"/>
        <v>42585</v>
      </c>
      <c r="F139" s="83">
        <f t="shared" si="66"/>
        <v>0.460375</v>
      </c>
      <c r="G139" s="83">
        <f t="shared" si="66"/>
        <v>0.3825</v>
      </c>
      <c r="H139" s="81"/>
      <c r="I139" s="84">
        <v>42585</v>
      </c>
      <c r="J139" s="85">
        <v>3.95</v>
      </c>
      <c r="K139" s="85">
        <v>3.32</v>
      </c>
      <c r="L139" s="86">
        <v>3.683</v>
      </c>
      <c r="M139" s="94" cm="1">
        <f t="array" ref="M139">INDEX($BV$29:$BV$1449,MATCH($D139,$BR$29:$BR$1449,0),)</f>
        <v>3.06</v>
      </c>
      <c r="N139" s="88"/>
      <c r="O139" s="88"/>
      <c r="P139" s="88"/>
      <c r="Q139" s="89">
        <f t="shared" si="67"/>
        <v>0.20359477124183</v>
      </c>
      <c r="AH139" s="105">
        <f t="shared" si="79"/>
        <v>43350</v>
      </c>
      <c r="AI139" s="91">
        <f t="shared" si="70"/>
        <v>7.388</v>
      </c>
      <c r="AJ139" s="36">
        <f t="shared" si="71"/>
        <v>-0.0175531914893616</v>
      </c>
      <c r="AK139" s="36">
        <f t="shared" si="76"/>
        <v>-0.0277668114225557</v>
      </c>
      <c r="AL139" s="105"/>
      <c r="AM139" s="91"/>
      <c r="AN139" s="36"/>
      <c r="AO139" s="36"/>
      <c r="AP139" s="36"/>
      <c r="AQ139" s="92" t="str" cm="1">
        <f t="array" ref="AQ139">_xlfn.IFS(MONTH(AR139)&lt;4,1,MONTH(AR139)&lt;7,2,MONTH(AR139)&lt;10,3,MONTH(AR139)&gt;9,4)&amp;"Q"&amp;RIGHT(YEAR(AR139),2)</f>
        <v>1Q21</v>
      </c>
      <c r="AR139" s="92">
        <f t="shared" si="72"/>
        <v>44286</v>
      </c>
      <c r="AS139" s="109">
        <v>44270</v>
      </c>
      <c r="AT139" s="110"/>
      <c r="AU139" s="94" cm="1">
        <f t="array" ref="AU139">INDEX($CE$29:$CE$1449,MATCH($AR139,$CA$29:$CA$1449,0),)</f>
        <v>125</v>
      </c>
      <c r="AV139" s="110"/>
      <c r="AW139" s="94" cm="1">
        <f t="array" ref="AW139">INDEX($CF$29:$CF$1449,MATCH($AR139,$CA$29:$CA$1449,0),)</f>
        <v>243.75</v>
      </c>
      <c r="AX139" s="94"/>
      <c r="AY139" s="94"/>
      <c r="AZ139" s="94"/>
      <c r="BA139" s="94"/>
      <c r="BB139" s="5"/>
      <c r="BC139" s="5"/>
      <c r="BD139" s="5"/>
      <c r="BE139" s="5"/>
      <c r="BF139" s="5"/>
      <c r="BG139" s="5"/>
      <c r="BH139" s="5"/>
      <c r="BI139" s="5"/>
      <c r="BJ139" s="5"/>
      <c r="BK139" s="5"/>
      <c r="BL139" s="5"/>
      <c r="BM139" s="36"/>
      <c r="BN139" s="5"/>
      <c r="BO139" s="5">
        <f t="shared" si="73"/>
        <v>2025</v>
      </c>
      <c r="BQ139" s="95" t="str" cm="1">
        <f t="array" ref="BQ139">_xlfn.IFS(MONTH(BR139)&lt;4,1,MONTH(BR139)&lt;7,2,MONTH(BR139)&lt;10,3,MONTH(BR139)&gt;9,4)&amp;"Q"&amp;RIGHT(YEAR(BR139),2)</f>
        <v>3Q25</v>
      </c>
      <c r="BR139" s="81">
        <f t="shared" si="74"/>
        <v>45900</v>
      </c>
      <c r="BS139" s="106">
        <f t="shared" si="75"/>
        <v>45900</v>
      </c>
      <c r="BV139" s="122">
        <v>5.7</v>
      </c>
      <c r="BW139" s="122">
        <v>12</v>
      </c>
      <c r="BX139" s="122">
        <v>5.25</v>
      </c>
      <c r="CA139" s="35">
        <f t="shared" si="86"/>
        <v>45900</v>
      </c>
      <c r="CB139" s="26">
        <v>47</v>
      </c>
      <c r="CC139" s="26">
        <v>51</v>
      </c>
      <c r="CD139" s="119">
        <v>27</v>
      </c>
      <c r="CE139" s="119">
        <v>135</v>
      </c>
      <c r="CF139" s="119">
        <v>230</v>
      </c>
      <c r="CG139" s="119">
        <v>143</v>
      </c>
      <c r="CH139" s="119">
        <v>270</v>
      </c>
      <c r="CI139" s="119">
        <v>143</v>
      </c>
      <c r="CJ139" s="119">
        <v>270</v>
      </c>
      <c r="CK139" s="119">
        <v>216</v>
      </c>
      <c r="CL139" s="119">
        <v>428</v>
      </c>
      <c r="CM139" s="119">
        <v>930</v>
      </c>
      <c r="CN139" s="119">
        <v>730</v>
      </c>
      <c r="CO139" s="126">
        <f t="shared" si="101"/>
        <v>143</v>
      </c>
      <c r="CP139" s="126">
        <f t="shared" si="101"/>
        <v>270</v>
      </c>
      <c r="CQ139" s="119">
        <v>2.4</v>
      </c>
      <c r="CR139" s="119">
        <v>1.8</v>
      </c>
      <c r="CS139" s="36"/>
      <c r="CT139" s="123">
        <f t="shared" si="77"/>
        <v>-0.0784313725490197</v>
      </c>
      <c r="CU139" s="123">
        <f t="shared" si="102"/>
        <v>0.0592592592592593</v>
      </c>
      <c r="CV139" s="123">
        <f t="shared" si="102"/>
        <v>0.173913043478261</v>
      </c>
      <c r="CX139" s="125">
        <f t="shared" si="103"/>
        <v>0</v>
      </c>
      <c r="CY139" s="125">
        <f t="shared" si="103"/>
        <v>0.02</v>
      </c>
      <c r="CZ139" s="125">
        <f t="shared" si="103"/>
        <v>0.0188679245283019</v>
      </c>
      <c r="DA139" s="125">
        <f t="shared" si="103"/>
        <v>0.0227272727272727</v>
      </c>
      <c r="DB139" s="125">
        <f t="shared" si="103"/>
        <v>0.0222222222222221</v>
      </c>
      <c r="DC139" s="125">
        <f t="shared" si="103"/>
        <v>0.0214285714285714</v>
      </c>
      <c r="DD139" s="125">
        <f t="shared" si="103"/>
        <v>0.00746268656716409</v>
      </c>
      <c r="DE139" s="125">
        <f t="shared" si="103"/>
        <v>0.0214285714285714</v>
      </c>
      <c r="DF139" s="125">
        <f t="shared" si="103"/>
        <v>0.00746268656716409</v>
      </c>
      <c r="DG139" s="125">
        <f t="shared" si="103"/>
        <v>0.00746268656716409</v>
      </c>
      <c r="DH139" s="125">
        <f t="shared" si="103"/>
        <v>0.00705882352941178</v>
      </c>
      <c r="DI139" s="125">
        <f t="shared" si="103"/>
        <v>0</v>
      </c>
      <c r="DJ139" s="125">
        <f t="shared" si="103"/>
        <v>0</v>
      </c>
      <c r="DK139" s="125">
        <f t="shared" si="103"/>
        <v>0.0214285714285714</v>
      </c>
      <c r="DL139" s="125">
        <f t="shared" si="103"/>
        <v>0.00746268656716409</v>
      </c>
      <c r="DM139" s="125">
        <f t="shared" si="103"/>
        <v>0.0909090909090908</v>
      </c>
      <c r="DN139" s="125">
        <f t="shared" si="104"/>
        <v>0.5</v>
      </c>
      <c r="DQ139" s="114">
        <f t="shared" si="80"/>
        <v>4.21875</v>
      </c>
      <c r="DR139" s="124">
        <f t="shared" si="81"/>
        <v>3.59375</v>
      </c>
      <c r="DS139" s="124">
        <f t="shared" si="84"/>
        <v>4.46875</v>
      </c>
      <c r="DT139" s="124">
        <f t="shared" si="85"/>
        <v>4.21875</v>
      </c>
      <c r="DU139" s="124">
        <f t="shared" si="98"/>
        <v>4.5</v>
      </c>
      <c r="DV139" s="124">
        <f t="shared" si="99"/>
        <v>4.45833333333333</v>
      </c>
      <c r="DW139" s="124">
        <f t="shared" si="105"/>
        <v>7.265625</v>
      </c>
      <c r="DX139" s="124">
        <f t="shared" si="105"/>
        <v>5.703125</v>
      </c>
      <c r="FV139" s="104">
        <f t="shared" si="89"/>
        <v>2011</v>
      </c>
      <c r="FW139" s="104">
        <f t="shared" si="90"/>
        <v>11</v>
      </c>
      <c r="FX139" s="35">
        <v>40610</v>
      </c>
      <c r="FY139" s="26">
        <v>2.02</v>
      </c>
      <c r="FZ139" s="94">
        <f t="shared" si="91"/>
        <v>8.08</v>
      </c>
      <c r="GA139" s="104"/>
      <c r="GB139" s="104"/>
      <c r="GE139" s="94"/>
      <c r="GF139" s="104">
        <f t="shared" si="92"/>
        <v>2013</v>
      </c>
      <c r="GG139" s="104">
        <f t="shared" si="93"/>
        <v>25</v>
      </c>
      <c r="GH139" s="35">
        <v>41443</v>
      </c>
      <c r="GI139" s="26">
        <v>3.78</v>
      </c>
      <c r="GJ139" s="94">
        <f t="shared" si="94"/>
        <v>7.56</v>
      </c>
      <c r="GK139" s="104"/>
      <c r="GL139" s="104"/>
      <c r="GO139" s="94"/>
    </row>
    <row r="140" ht="16.8" spans="3:197">
      <c r="C140" s="80" t="str" cm="1">
        <f t="array" ref="C140">_xlfn.IFS(MONTH(D140)&lt;4,1,MONTH(D140)&lt;7,2,MONTH(D140)&lt;10,3,MONTH(D140)&gt;9,4)&amp;"Q"&amp;RIGHT(YEAR(D140),2)</f>
        <v>3Q16</v>
      </c>
      <c r="D140" s="81">
        <f t="shared" si="69"/>
        <v>42613</v>
      </c>
      <c r="E140" s="82">
        <f t="shared" si="65"/>
        <v>42586</v>
      </c>
      <c r="F140" s="83">
        <f t="shared" si="66"/>
        <v>0.461125</v>
      </c>
      <c r="G140" s="83">
        <f t="shared" si="66"/>
        <v>0.3825</v>
      </c>
      <c r="H140" s="81"/>
      <c r="I140" s="84">
        <v>42586</v>
      </c>
      <c r="J140" s="85">
        <v>3.95</v>
      </c>
      <c r="K140" s="85">
        <v>3.32</v>
      </c>
      <c r="L140" s="86">
        <v>3.689</v>
      </c>
      <c r="M140" s="94" cm="1">
        <f t="array" ref="M140">INDEX($BV$29:$BV$1449,MATCH($D140,$BR$29:$BR$1449,0),)</f>
        <v>3.06</v>
      </c>
      <c r="N140" s="88"/>
      <c r="O140" s="88"/>
      <c r="P140" s="88"/>
      <c r="Q140" s="89">
        <f t="shared" si="67"/>
        <v>0.205555555555555</v>
      </c>
      <c r="AH140" s="105">
        <f t="shared" si="79"/>
        <v>43360</v>
      </c>
      <c r="AI140" s="91">
        <f t="shared" si="70"/>
        <v>7.376</v>
      </c>
      <c r="AJ140" s="36">
        <f t="shared" si="71"/>
        <v>-0.00162425554953971</v>
      </c>
      <c r="AK140" s="36">
        <f t="shared" si="76"/>
        <v>-0.0191489361702126</v>
      </c>
      <c r="AL140" s="105"/>
      <c r="AM140" s="91"/>
      <c r="AN140" s="36"/>
      <c r="AO140" s="36"/>
      <c r="AP140" s="36"/>
      <c r="AQ140" s="92" t="str" cm="1">
        <f t="array" ref="AQ140">_xlfn.IFS(MONTH(AR140)&lt;4,1,MONTH(AR140)&lt;7,2,MONTH(AR140)&lt;10,3,MONTH(AR140)&gt;9,4)&amp;"Q"&amp;RIGHT(YEAR(AR140),2)</f>
        <v>1Q21</v>
      </c>
      <c r="AR140" s="92">
        <f t="shared" si="72"/>
        <v>44286</v>
      </c>
      <c r="AS140" s="109">
        <v>44277</v>
      </c>
      <c r="AT140" s="110"/>
      <c r="AU140" s="94" cm="1">
        <f t="array" ref="AU140">INDEX($CE$29:$CE$1449,MATCH($AR140,$CA$29:$CA$1449,0),)</f>
        <v>125</v>
      </c>
      <c r="AV140" s="110"/>
      <c r="AW140" s="94" cm="1">
        <f t="array" ref="AW140">INDEX($CF$29:$CF$1449,MATCH($AR140,$CA$29:$CA$1449,0),)</f>
        <v>243.75</v>
      </c>
      <c r="AX140" s="94"/>
      <c r="AY140" s="94"/>
      <c r="AZ140" s="94"/>
      <c r="BA140" s="94"/>
      <c r="BB140" s="5"/>
      <c r="BC140" s="5"/>
      <c r="BD140" s="5"/>
      <c r="BE140" s="5"/>
      <c r="BF140" s="5"/>
      <c r="BG140" s="5"/>
      <c r="BH140" s="5"/>
      <c r="BI140" s="5"/>
      <c r="BJ140" s="5"/>
      <c r="BK140" s="5"/>
      <c r="BL140" s="5"/>
      <c r="BM140" s="36"/>
      <c r="BN140" s="5"/>
      <c r="BO140" s="5">
        <f t="shared" si="73"/>
        <v>2025</v>
      </c>
      <c r="BQ140" s="95" t="str" cm="1">
        <f t="array" ref="BQ140">_xlfn.IFS(MONTH(BR140)&lt;4,1,MONTH(BR140)&lt;7,2,MONTH(BR140)&lt;10,3,MONTH(BR140)&gt;9,4)&amp;"Q"&amp;RIGHT(YEAR(BR140),2)</f>
        <v>3Q25</v>
      </c>
      <c r="BR140" s="81">
        <f t="shared" si="74"/>
        <v>45930</v>
      </c>
      <c r="BS140" s="106">
        <f t="shared" si="75"/>
        <v>45930</v>
      </c>
      <c r="BV140" s="122">
        <v>6.3</v>
      </c>
      <c r="BW140" s="122">
        <v>13.2</v>
      </c>
      <c r="BX140" s="122">
        <v>6.1</v>
      </c>
      <c r="CA140" s="35">
        <f t="shared" si="86"/>
        <v>45930</v>
      </c>
      <c r="CB140" s="26">
        <v>47</v>
      </c>
      <c r="CC140" s="26">
        <v>51</v>
      </c>
      <c r="CD140" s="119">
        <v>27</v>
      </c>
      <c r="CE140" s="119">
        <v>138</v>
      </c>
      <c r="CF140" s="119">
        <v>235</v>
      </c>
      <c r="CG140" s="119">
        <v>146</v>
      </c>
      <c r="CH140" s="119">
        <v>272</v>
      </c>
      <c r="CI140" s="119">
        <v>146</v>
      </c>
      <c r="CJ140" s="119">
        <v>272</v>
      </c>
      <c r="CK140" s="119">
        <v>217.6</v>
      </c>
      <c r="CL140" s="119">
        <v>431</v>
      </c>
      <c r="CM140" s="119">
        <v>930</v>
      </c>
      <c r="CN140" s="119">
        <v>730</v>
      </c>
      <c r="CO140" s="126">
        <f t="shared" si="101"/>
        <v>146</v>
      </c>
      <c r="CP140" s="126">
        <f t="shared" si="101"/>
        <v>272</v>
      </c>
      <c r="CQ140" s="119">
        <v>2.4</v>
      </c>
      <c r="CR140" s="119">
        <v>1.8</v>
      </c>
      <c r="CS140" s="36"/>
      <c r="CT140" s="123">
        <f t="shared" si="77"/>
        <v>-0.0784313725490197</v>
      </c>
      <c r="CU140" s="123">
        <f t="shared" si="102"/>
        <v>0.0579710144927537</v>
      </c>
      <c r="CV140" s="123">
        <f t="shared" si="102"/>
        <v>0.157446808510638</v>
      </c>
      <c r="CX140" s="125">
        <f t="shared" si="103"/>
        <v>0</v>
      </c>
      <c r="CY140" s="125">
        <f t="shared" si="103"/>
        <v>0</v>
      </c>
      <c r="CZ140" s="125">
        <f t="shared" si="103"/>
        <v>0</v>
      </c>
      <c r="DA140" s="125">
        <f t="shared" si="103"/>
        <v>0.0222222222222221</v>
      </c>
      <c r="DB140" s="125">
        <f t="shared" si="103"/>
        <v>0.0217391304347827</v>
      </c>
      <c r="DC140" s="125">
        <f t="shared" si="103"/>
        <v>0.020979020979021</v>
      </c>
      <c r="DD140" s="125">
        <f t="shared" si="103"/>
        <v>0.00740740740740731</v>
      </c>
      <c r="DE140" s="125">
        <f t="shared" si="103"/>
        <v>0.020979020979021</v>
      </c>
      <c r="DF140" s="125">
        <f t="shared" si="103"/>
        <v>0.00740740740740731</v>
      </c>
      <c r="DG140" s="125">
        <f t="shared" si="103"/>
        <v>0.00740740740740731</v>
      </c>
      <c r="DH140" s="125">
        <f t="shared" si="103"/>
        <v>0.0070093457943925</v>
      </c>
      <c r="DI140" s="125">
        <f t="shared" si="103"/>
        <v>0</v>
      </c>
      <c r="DJ140" s="125">
        <f t="shared" si="103"/>
        <v>0</v>
      </c>
      <c r="DK140" s="125">
        <f t="shared" si="103"/>
        <v>0.020979020979021</v>
      </c>
      <c r="DL140" s="125">
        <f t="shared" si="103"/>
        <v>0.00740740740740731</v>
      </c>
      <c r="DM140" s="125">
        <f t="shared" si="103"/>
        <v>0</v>
      </c>
      <c r="DN140" s="125">
        <f t="shared" si="104"/>
        <v>0</v>
      </c>
      <c r="DQ140" s="114">
        <f t="shared" si="80"/>
        <v>4.3125</v>
      </c>
      <c r="DR140" s="124">
        <f t="shared" si="81"/>
        <v>3.671875</v>
      </c>
      <c r="DS140" s="124">
        <f t="shared" si="84"/>
        <v>4.5625</v>
      </c>
      <c r="DT140" s="124">
        <f t="shared" si="85"/>
        <v>4.25</v>
      </c>
      <c r="DU140" s="124">
        <f t="shared" si="98"/>
        <v>4.53333333333333</v>
      </c>
      <c r="DV140" s="124">
        <f t="shared" si="99"/>
        <v>4.48958333333333</v>
      </c>
      <c r="DW140" s="124">
        <f t="shared" si="105"/>
        <v>7.265625</v>
      </c>
      <c r="DX140" s="124">
        <f t="shared" si="105"/>
        <v>5.703125</v>
      </c>
      <c r="FV140" s="104">
        <f t="shared" si="89"/>
        <v>2011</v>
      </c>
      <c r="FW140" s="104">
        <f t="shared" si="90"/>
        <v>11</v>
      </c>
      <c r="FX140" s="35">
        <v>40611</v>
      </c>
      <c r="FY140" s="26">
        <v>2.02</v>
      </c>
      <c r="FZ140" s="94">
        <f t="shared" si="91"/>
        <v>8.08</v>
      </c>
      <c r="GA140" s="104"/>
      <c r="GB140" s="104"/>
      <c r="GE140" s="94"/>
      <c r="GF140" s="104">
        <f t="shared" si="92"/>
        <v>2013</v>
      </c>
      <c r="GG140" s="104">
        <f t="shared" si="93"/>
        <v>25</v>
      </c>
      <c r="GH140" s="35">
        <v>41444</v>
      </c>
      <c r="GI140" s="26">
        <v>3.78</v>
      </c>
      <c r="GJ140" s="94">
        <f t="shared" si="94"/>
        <v>7.56</v>
      </c>
      <c r="GK140" s="104"/>
      <c r="GL140" s="104"/>
      <c r="GO140" s="94"/>
    </row>
    <row r="141" ht="16.8" spans="3:197">
      <c r="C141" s="80" t="str" cm="1">
        <f t="array" ref="C141">_xlfn.IFS(MONTH(D141)&lt;4,1,MONTH(D141)&lt;7,2,MONTH(D141)&lt;10,3,MONTH(D141)&gt;9,4)&amp;"Q"&amp;RIGHT(YEAR(D141),2)</f>
        <v>3Q16</v>
      </c>
      <c r="D141" s="81">
        <f t="shared" si="69"/>
        <v>42613</v>
      </c>
      <c r="E141" s="82">
        <f t="shared" si="65"/>
        <v>42587</v>
      </c>
      <c r="F141" s="83">
        <f t="shared" si="66"/>
        <v>0.461875</v>
      </c>
      <c r="G141" s="83">
        <f t="shared" si="66"/>
        <v>0.3825</v>
      </c>
      <c r="H141" s="81"/>
      <c r="I141" s="84">
        <v>42587</v>
      </c>
      <c r="J141" s="85">
        <v>3.95</v>
      </c>
      <c r="K141" s="85">
        <v>3.3</v>
      </c>
      <c r="L141" s="86">
        <v>3.695</v>
      </c>
      <c r="M141" s="94" cm="1">
        <f t="array" ref="M141">INDEX($BV$29:$BV$1449,MATCH($D141,$BR$29:$BR$1449,0),)</f>
        <v>3.06</v>
      </c>
      <c r="N141" s="88"/>
      <c r="O141" s="88"/>
      <c r="P141" s="88"/>
      <c r="Q141" s="89">
        <f t="shared" si="67"/>
        <v>0.207516339869281</v>
      </c>
      <c r="AH141" s="105">
        <f t="shared" si="79"/>
        <v>43368</v>
      </c>
      <c r="AI141" s="91">
        <f t="shared" si="70"/>
        <v>7.349</v>
      </c>
      <c r="AJ141" s="36">
        <f t="shared" si="71"/>
        <v>-0.00366052060737532</v>
      </c>
      <c r="AK141" s="36">
        <f t="shared" si="76"/>
        <v>-0.00527883053600431</v>
      </c>
      <c r="AL141" s="105"/>
      <c r="AM141" s="91"/>
      <c r="AN141" s="36"/>
      <c r="AO141" s="36"/>
      <c r="AP141" s="36"/>
      <c r="AQ141" s="92" t="str" cm="1">
        <f t="array" ref="AQ141">_xlfn.IFS(MONTH(AR141)&lt;4,1,MONTH(AR141)&lt;7,2,MONTH(AR141)&lt;10,3,MONTH(AR141)&gt;9,4)&amp;"Q"&amp;RIGHT(YEAR(AR141),2)</f>
        <v>1Q21</v>
      </c>
      <c r="AR141" s="92">
        <f t="shared" si="72"/>
        <v>44286</v>
      </c>
      <c r="AS141" s="109">
        <v>44284</v>
      </c>
      <c r="AT141" s="110"/>
      <c r="AU141" s="94" cm="1">
        <f t="array" ref="AU141">INDEX($CE$29:$CE$1449,MATCH($AR141,$CA$29:$CA$1449,0),)</f>
        <v>125</v>
      </c>
      <c r="AV141" s="110"/>
      <c r="AW141" s="94" cm="1">
        <f t="array" ref="AW141">INDEX($CF$29:$CF$1449,MATCH($AR141,$CA$29:$CA$1449,0),)</f>
        <v>243.75</v>
      </c>
      <c r="AX141" s="94"/>
      <c r="AY141" s="94"/>
      <c r="AZ141" s="94"/>
      <c r="BA141" s="94"/>
      <c r="BB141" s="5"/>
      <c r="BC141" s="5"/>
      <c r="BD141" s="5"/>
      <c r="BE141" s="5"/>
      <c r="BF141" s="5"/>
      <c r="BG141" s="5"/>
      <c r="BH141" s="5"/>
      <c r="BI141" s="5"/>
      <c r="BJ141" s="5"/>
      <c r="BK141" s="5"/>
      <c r="BL141" s="5"/>
      <c r="BM141" s="36"/>
      <c r="BN141" s="5"/>
      <c r="BO141" s="5">
        <f t="shared" si="73"/>
        <v>2025</v>
      </c>
      <c r="BQ141" s="95" t="str" cm="1">
        <f t="array" ref="BQ141">_xlfn.IFS(MONTH(BR141)&lt;4,1,MONTH(BR141)&lt;7,2,MONTH(BR141)&lt;10,3,MONTH(BR141)&gt;9,4)&amp;"Q"&amp;RIGHT(YEAR(BR141),2)</f>
        <v>4Q25</v>
      </c>
      <c r="BR141" s="81">
        <f t="shared" si="74"/>
        <v>45961</v>
      </c>
      <c r="BS141" s="106">
        <f t="shared" si="75"/>
        <v>45961</v>
      </c>
      <c r="BV141" s="122">
        <v>7</v>
      </c>
      <c r="BW141" s="122">
        <v>14.8</v>
      </c>
      <c r="BX141" s="122">
        <v>8.7</v>
      </c>
      <c r="CA141" s="35">
        <f t="shared" si="86"/>
        <v>45961</v>
      </c>
      <c r="CB141" s="26">
        <v>59</v>
      </c>
      <c r="CC141" s="26">
        <v>60</v>
      </c>
      <c r="CD141" s="119">
        <v>31.5</v>
      </c>
      <c r="CE141" s="119">
        <v>175</v>
      </c>
      <c r="CF141" s="119">
        <v>300</v>
      </c>
      <c r="CG141" s="119">
        <v>180</v>
      </c>
      <c r="CH141" s="119">
        <v>338</v>
      </c>
      <c r="CI141" s="119">
        <v>180</v>
      </c>
      <c r="CJ141" s="119">
        <v>338</v>
      </c>
      <c r="CK141" s="119">
        <v>270.4</v>
      </c>
      <c r="CL141" s="119">
        <v>535</v>
      </c>
      <c r="CM141" s="119">
        <v>1140</v>
      </c>
      <c r="CN141" s="119">
        <v>895</v>
      </c>
      <c r="CO141" s="126">
        <f t="shared" si="101"/>
        <v>180</v>
      </c>
      <c r="CP141" s="126">
        <f t="shared" si="101"/>
        <v>338</v>
      </c>
      <c r="CQ141" s="119">
        <v>2.7</v>
      </c>
      <c r="CR141" s="119">
        <v>2.2</v>
      </c>
      <c r="CS141" s="36"/>
      <c r="CT141" s="123">
        <f t="shared" si="77"/>
        <v>-0.0166666666666667</v>
      </c>
      <c r="CU141" s="123">
        <f t="shared" si="102"/>
        <v>0.0285714285714285</v>
      </c>
      <c r="CV141" s="123">
        <f t="shared" si="102"/>
        <v>0.126666666666667</v>
      </c>
      <c r="CX141" s="125">
        <f t="shared" si="103"/>
        <v>0.25531914893617</v>
      </c>
      <c r="CY141" s="125">
        <f t="shared" si="103"/>
        <v>0.176470588235294</v>
      </c>
      <c r="CZ141" s="125">
        <f t="shared" si="103"/>
        <v>0.166666666666667</v>
      </c>
      <c r="DA141" s="125">
        <f t="shared" si="103"/>
        <v>0.268115942028986</v>
      </c>
      <c r="DB141" s="125">
        <f t="shared" si="103"/>
        <v>0.276595744680851</v>
      </c>
      <c r="DC141" s="125">
        <f t="shared" si="103"/>
        <v>0.232876712328767</v>
      </c>
      <c r="DD141" s="125">
        <f t="shared" si="103"/>
        <v>0.242647058823529</v>
      </c>
      <c r="DE141" s="125">
        <f t="shared" si="103"/>
        <v>0.232876712328767</v>
      </c>
      <c r="DF141" s="125">
        <f t="shared" si="103"/>
        <v>0.242647058823529</v>
      </c>
      <c r="DG141" s="125">
        <f t="shared" si="103"/>
        <v>0.242647058823529</v>
      </c>
      <c r="DH141" s="125">
        <f t="shared" si="103"/>
        <v>0.241299303944316</v>
      </c>
      <c r="DI141" s="125">
        <f t="shared" si="103"/>
        <v>0.225806451612903</v>
      </c>
      <c r="DJ141" s="125">
        <f t="shared" si="103"/>
        <v>0.226027397260274</v>
      </c>
      <c r="DK141" s="125">
        <f t="shared" si="103"/>
        <v>0.232876712328767</v>
      </c>
      <c r="DL141" s="125">
        <f t="shared" si="103"/>
        <v>0.242647058823529</v>
      </c>
      <c r="DM141" s="125">
        <f t="shared" si="103"/>
        <v>0.125</v>
      </c>
      <c r="DN141" s="125">
        <f t="shared" si="104"/>
        <v>0.222222222222222</v>
      </c>
      <c r="DQ141" s="114">
        <f t="shared" si="80"/>
        <v>5.46875</v>
      </c>
      <c r="DR141" s="124">
        <f t="shared" si="81"/>
        <v>4.6875</v>
      </c>
      <c r="DS141" s="124">
        <f t="shared" si="84"/>
        <v>5.625</v>
      </c>
      <c r="DT141" s="124">
        <f t="shared" si="85"/>
        <v>5.28125</v>
      </c>
      <c r="DU141" s="124">
        <f t="shared" si="98"/>
        <v>5.63333333333333</v>
      </c>
      <c r="DV141" s="124">
        <f t="shared" si="99"/>
        <v>5.57291666666667</v>
      </c>
      <c r="DW141" s="124">
        <f t="shared" si="105"/>
        <v>8.90625</v>
      </c>
      <c r="DX141" s="124">
        <f t="shared" si="105"/>
        <v>6.9921875</v>
      </c>
      <c r="FV141" s="104">
        <f t="shared" si="89"/>
        <v>2011</v>
      </c>
      <c r="FW141" s="104">
        <f t="shared" si="90"/>
        <v>11</v>
      </c>
      <c r="FX141" s="35">
        <v>40612</v>
      </c>
      <c r="FY141" s="26">
        <v>2</v>
      </c>
      <c r="FZ141" s="94">
        <f t="shared" si="91"/>
        <v>8</v>
      </c>
      <c r="GA141" s="104"/>
      <c r="GB141" s="104"/>
      <c r="GE141" s="94"/>
      <c r="GF141" s="104">
        <f t="shared" si="92"/>
        <v>2013</v>
      </c>
      <c r="GG141" s="104">
        <f t="shared" si="93"/>
        <v>25</v>
      </c>
      <c r="GH141" s="35">
        <v>41445</v>
      </c>
      <c r="GI141" s="26">
        <v>3.78</v>
      </c>
      <c r="GJ141" s="94">
        <f t="shared" si="94"/>
        <v>7.56</v>
      </c>
      <c r="GK141" s="104"/>
      <c r="GL141" s="104"/>
      <c r="GO141" s="94"/>
    </row>
    <row r="142" ht="16.8" spans="3:197">
      <c r="C142" s="80" t="str" cm="1">
        <f t="array" ref="C142">_xlfn.IFS(MONTH(D142)&lt;4,1,MONTH(D142)&lt;7,2,MONTH(D142)&lt;10,3,MONTH(D142)&gt;9,4)&amp;"Q"&amp;RIGHT(YEAR(D142),2)</f>
        <v>3Q16</v>
      </c>
      <c r="D142" s="81">
        <f t="shared" si="69"/>
        <v>42613</v>
      </c>
      <c r="E142" s="82">
        <f t="shared" si="65"/>
        <v>42590</v>
      </c>
      <c r="F142" s="83">
        <f t="shared" si="66"/>
        <v>0.46275</v>
      </c>
      <c r="G142" s="83">
        <f t="shared" si="66"/>
        <v>0.3825</v>
      </c>
      <c r="H142" s="81"/>
      <c r="I142" s="84">
        <v>42590</v>
      </c>
      <c r="J142" s="85">
        <v>3.95</v>
      </c>
      <c r="K142" s="85">
        <v>3.3</v>
      </c>
      <c r="L142" s="86">
        <v>3.702</v>
      </c>
      <c r="M142" s="94" cm="1">
        <f t="array" ref="M142">INDEX($BV$29:$BV$1449,MATCH($D142,$BR$29:$BR$1449,0),)</f>
        <v>3.06</v>
      </c>
      <c r="N142" s="88"/>
      <c r="O142" s="88"/>
      <c r="P142" s="88"/>
      <c r="Q142" s="89">
        <f t="shared" si="67"/>
        <v>0.209803921568627</v>
      </c>
      <c r="AH142" s="105">
        <f t="shared" si="79"/>
        <v>43376</v>
      </c>
      <c r="AI142" s="91">
        <f t="shared" si="70"/>
        <v>7.2</v>
      </c>
      <c r="AJ142" s="36">
        <f t="shared" si="71"/>
        <v>-0.0202748673288883</v>
      </c>
      <c r="AK142" s="36">
        <f t="shared" si="76"/>
        <v>-0.0238611713665944</v>
      </c>
      <c r="AL142" s="105"/>
      <c r="AM142" s="91"/>
      <c r="AN142" s="36"/>
      <c r="AO142" s="36"/>
      <c r="AP142" s="36"/>
      <c r="AQ142" s="92" t="str" cm="1">
        <f t="array" ref="AQ142">_xlfn.IFS(MONTH(AR142)&lt;4,1,MONTH(AR142)&lt;7,2,MONTH(AR142)&lt;10,3,MONTH(AR142)&gt;9,4)&amp;"Q"&amp;RIGHT(YEAR(AR142),2)</f>
        <v>2Q21</v>
      </c>
      <c r="AR142" s="92">
        <f t="shared" si="72"/>
        <v>44316</v>
      </c>
      <c r="AS142" s="109">
        <v>44292</v>
      </c>
      <c r="AT142" s="110"/>
      <c r="AU142" s="94" cm="1">
        <f t="array" ref="AU142">INDEX($CE$29:$CE$1449,MATCH($AR142,$CA$29:$CA$1449,0),)</f>
        <v>145</v>
      </c>
      <c r="AV142" s="110"/>
      <c r="AW142" s="94" cm="1">
        <f t="array" ref="AW142">INDEX($CF$29:$CF$1449,MATCH($AR142,$CA$29:$CA$1449,0),)</f>
        <v>282.75</v>
      </c>
      <c r="AX142" s="94"/>
      <c r="AY142" s="94"/>
      <c r="AZ142" s="94"/>
      <c r="BA142" s="94"/>
      <c r="BB142" s="5"/>
      <c r="BC142" s="5"/>
      <c r="BD142" s="5"/>
      <c r="BE142" s="5"/>
      <c r="BF142" s="5"/>
      <c r="BG142" s="5"/>
      <c r="BH142" s="5"/>
      <c r="BI142" s="5"/>
      <c r="BJ142" s="5"/>
      <c r="BK142" s="5"/>
      <c r="BL142" s="5"/>
      <c r="BM142" s="36"/>
      <c r="BN142" s="5"/>
      <c r="BO142" s="5">
        <f t="shared" si="73"/>
        <v>2025</v>
      </c>
      <c r="BQ142" s="95" t="str" cm="1">
        <f t="array" ref="BQ142">_xlfn.IFS(MONTH(BR142)&lt;4,1,MONTH(BR142)&lt;7,2,MONTH(BR142)&lt;10,3,MONTH(BR142)&gt;9,4)&amp;"Q"&amp;RIGHT(YEAR(BR142),2)</f>
        <v>4Q25</v>
      </c>
      <c r="BR142" s="81">
        <f t="shared" si="74"/>
        <v>45991</v>
      </c>
      <c r="BS142" s="106">
        <f t="shared" si="75"/>
        <v>45991</v>
      </c>
      <c r="BV142" s="122">
        <v>8.1</v>
      </c>
      <c r="BW142" s="122">
        <v>18</v>
      </c>
      <c r="BX142" s="122">
        <v>19.5</v>
      </c>
      <c r="CA142" s="35">
        <f t="shared" si="86"/>
        <v>45991</v>
      </c>
      <c r="CB142" s="26">
        <v>65.5</v>
      </c>
      <c r="CC142" s="26">
        <v>73.5</v>
      </c>
      <c r="CD142" s="119">
        <v>39</v>
      </c>
      <c r="CE142" s="119">
        <v>219</v>
      </c>
      <c r="CF142" s="119">
        <v>374</v>
      </c>
      <c r="CG142" s="119">
        <v>225</v>
      </c>
      <c r="CH142" s="119">
        <v>425</v>
      </c>
      <c r="CI142" s="119">
        <v>225</v>
      </c>
      <c r="CJ142" s="119">
        <v>425</v>
      </c>
      <c r="CK142" s="119">
        <v>340</v>
      </c>
      <c r="CL142" s="119">
        <v>665</v>
      </c>
      <c r="CM142" s="119">
        <v>1395</v>
      </c>
      <c r="CN142" s="119">
        <v>1095</v>
      </c>
      <c r="CO142" s="126">
        <f t="shared" si="101"/>
        <v>225</v>
      </c>
      <c r="CP142" s="126">
        <f t="shared" si="101"/>
        <v>425</v>
      </c>
      <c r="CQ142" s="119">
        <v>3.3</v>
      </c>
      <c r="CR142" s="119">
        <v>2.7</v>
      </c>
      <c r="CT142" s="123">
        <f t="shared" si="77"/>
        <v>-0.108843537414966</v>
      </c>
      <c r="CU142" s="123">
        <f t="shared" si="102"/>
        <v>0.0273972602739727</v>
      </c>
      <c r="CV142" s="123">
        <f t="shared" si="102"/>
        <v>0.136363636363636</v>
      </c>
      <c r="CX142" s="125">
        <f t="shared" si="103"/>
        <v>0.110169491525424</v>
      </c>
      <c r="CY142" s="125">
        <f t="shared" si="103"/>
        <v>0.225</v>
      </c>
      <c r="CZ142" s="125">
        <f t="shared" si="103"/>
        <v>0.238095238095238</v>
      </c>
      <c r="DA142" s="125">
        <f t="shared" si="103"/>
        <v>0.251428571428571</v>
      </c>
      <c r="DB142" s="125">
        <f t="shared" si="103"/>
        <v>0.246666666666667</v>
      </c>
      <c r="DC142" s="125">
        <f t="shared" si="103"/>
        <v>0.25</v>
      </c>
      <c r="DD142" s="125">
        <f t="shared" si="103"/>
        <v>0.257396449704142</v>
      </c>
      <c r="DE142" s="125">
        <f t="shared" si="103"/>
        <v>0.25</v>
      </c>
      <c r="DF142" s="125">
        <f t="shared" si="103"/>
        <v>0.257396449704142</v>
      </c>
      <c r="DG142" s="125">
        <f t="shared" si="103"/>
        <v>0.257396449704142</v>
      </c>
      <c r="DH142" s="125">
        <f t="shared" si="103"/>
        <v>0.242990654205608</v>
      </c>
      <c r="DI142" s="125">
        <f t="shared" si="103"/>
        <v>0.223684210526316</v>
      </c>
      <c r="DJ142" s="125">
        <f t="shared" si="103"/>
        <v>0.223463687150838</v>
      </c>
      <c r="DK142" s="125">
        <f t="shared" si="103"/>
        <v>0.25</v>
      </c>
      <c r="DL142" s="125">
        <f t="shared" si="103"/>
        <v>0.257396449704142</v>
      </c>
      <c r="DM142" s="125">
        <f t="shared" si="103"/>
        <v>0.222222222222222</v>
      </c>
      <c r="DN142" s="125">
        <f t="shared" si="104"/>
        <v>0.227272727272727</v>
      </c>
      <c r="DQ142" s="114">
        <f t="shared" si="80"/>
        <v>6.84375</v>
      </c>
      <c r="DR142" s="124">
        <f t="shared" si="81"/>
        <v>5.84375</v>
      </c>
      <c r="DS142" s="124">
        <f t="shared" si="84"/>
        <v>7.03125</v>
      </c>
      <c r="DT142" s="124">
        <f t="shared" si="85"/>
        <v>6.640625</v>
      </c>
      <c r="DU142" s="124">
        <f t="shared" si="98"/>
        <v>7.08333333333333</v>
      </c>
      <c r="DV142" s="124">
        <f t="shared" si="99"/>
        <v>6.92708333333333</v>
      </c>
      <c r="DW142" s="124">
        <f t="shared" si="105"/>
        <v>10.8984375</v>
      </c>
      <c r="DX142" s="124">
        <f t="shared" si="105"/>
        <v>8.5546875</v>
      </c>
      <c r="FV142" s="104">
        <f t="shared" si="89"/>
        <v>2011</v>
      </c>
      <c r="FW142" s="104">
        <f t="shared" si="90"/>
        <v>11</v>
      </c>
      <c r="FX142" s="35">
        <v>40613</v>
      </c>
      <c r="FY142" s="26">
        <v>1.99</v>
      </c>
      <c r="FZ142" s="94">
        <f t="shared" si="91"/>
        <v>7.96</v>
      </c>
      <c r="GA142" s="104"/>
      <c r="GB142" s="104"/>
      <c r="GE142" s="94"/>
      <c r="GF142" s="104">
        <f t="shared" si="92"/>
        <v>2013</v>
      </c>
      <c r="GG142" s="104">
        <f t="shared" si="93"/>
        <v>25</v>
      </c>
      <c r="GH142" s="35">
        <v>41446</v>
      </c>
      <c r="GI142" s="26">
        <v>3.756</v>
      </c>
      <c r="GJ142" s="94">
        <f t="shared" si="94"/>
        <v>7.512</v>
      </c>
      <c r="GK142" s="104"/>
      <c r="GL142" s="104"/>
      <c r="GO142" s="94"/>
    </row>
    <row r="143" ht="16.8" spans="3:197">
      <c r="C143" s="80" t="str" cm="1">
        <f t="array" ref="C143">_xlfn.IFS(MONTH(D143)&lt;4,1,MONTH(D143)&lt;7,2,MONTH(D143)&lt;10,3,MONTH(D143)&gt;9,4)&amp;"Q"&amp;RIGHT(YEAR(D143),2)</f>
        <v>3Q16</v>
      </c>
      <c r="D143" s="81">
        <f t="shared" si="69"/>
        <v>42613</v>
      </c>
      <c r="E143" s="82">
        <f t="shared" si="65"/>
        <v>42591</v>
      </c>
      <c r="F143" s="83">
        <f t="shared" si="66"/>
        <v>0.46425</v>
      </c>
      <c r="G143" s="83">
        <f t="shared" si="66"/>
        <v>0.3825</v>
      </c>
      <c r="H143" s="81"/>
      <c r="I143" s="84">
        <v>42591</v>
      </c>
      <c r="J143" s="85">
        <v>3.95</v>
      </c>
      <c r="K143" s="85">
        <v>3.3</v>
      </c>
      <c r="L143" s="86">
        <v>3.714</v>
      </c>
      <c r="M143" s="94" cm="1">
        <f t="array" ref="M143">INDEX($BV$29:$BV$1449,MATCH($D143,$BR$29:$BR$1449,0),)</f>
        <v>3.06</v>
      </c>
      <c r="N143" s="88"/>
      <c r="O143" s="88"/>
      <c r="P143" s="88"/>
      <c r="Q143" s="89">
        <f t="shared" si="67"/>
        <v>0.213725490196078</v>
      </c>
      <c r="AH143" s="105">
        <f t="shared" si="79"/>
        <v>43384</v>
      </c>
      <c r="AI143" s="91">
        <f t="shared" si="70"/>
        <v>7.15</v>
      </c>
      <c r="AJ143" s="36">
        <f t="shared" si="71"/>
        <v>-0.00694444444444442</v>
      </c>
      <c r="AK143" s="36">
        <f t="shared" si="76"/>
        <v>-0.0270785140835488</v>
      </c>
      <c r="AL143" s="105"/>
      <c r="AM143" s="91"/>
      <c r="AN143" s="36"/>
      <c r="AO143" s="36"/>
      <c r="AP143" s="36"/>
      <c r="AQ143" s="92" t="str" cm="1">
        <f t="array" ref="AQ143">_xlfn.IFS(MONTH(AR143)&lt;4,1,MONTH(AR143)&lt;7,2,MONTH(AR143)&lt;10,3,MONTH(AR143)&gt;9,4)&amp;"Q"&amp;RIGHT(YEAR(AR143),2)</f>
        <v>2Q21</v>
      </c>
      <c r="AR143" s="92">
        <f t="shared" si="72"/>
        <v>44316</v>
      </c>
      <c r="AS143" s="109">
        <v>44298</v>
      </c>
      <c r="AT143" s="110"/>
      <c r="AU143" s="94" cm="1">
        <f t="array" ref="AU143">INDEX($CE$29:$CE$1449,MATCH($AR143,$CA$29:$CA$1449,0),)</f>
        <v>145</v>
      </c>
      <c r="AV143" s="110"/>
      <c r="AW143" s="94" cm="1">
        <f t="array" ref="AW143">INDEX($CF$29:$CF$1449,MATCH($AR143,$CA$29:$CA$1449,0),)</f>
        <v>282.75</v>
      </c>
      <c r="AX143" s="94"/>
      <c r="AY143" s="94"/>
      <c r="AZ143" s="94"/>
      <c r="BA143" s="94"/>
      <c r="BB143" s="5"/>
      <c r="BC143" s="5"/>
      <c r="BD143" s="5"/>
      <c r="BE143" s="5"/>
      <c r="BF143" s="5"/>
      <c r="BG143" s="5"/>
      <c r="BH143" s="5"/>
      <c r="BI143" s="5"/>
      <c r="BJ143" s="5"/>
      <c r="BK143" s="5"/>
      <c r="BL143" s="5"/>
      <c r="BM143" s="36"/>
      <c r="BN143" s="5"/>
      <c r="BO143" s="5">
        <f t="shared" si="73"/>
        <v>2025</v>
      </c>
      <c r="BQ143" s="95" t="str" cm="1">
        <f t="array" ref="BQ143">_xlfn.IFS(MONTH(BR143)&lt;4,1,MONTH(BR143)&lt;7,2,MONTH(BR143)&lt;10,3,MONTH(BR143)&gt;9,4)&amp;"Q"&amp;RIGHT(YEAR(BR143),2)</f>
        <v>4Q25</v>
      </c>
      <c r="BR143" s="81">
        <f t="shared" si="74"/>
        <v>46022</v>
      </c>
      <c r="BS143" s="106">
        <f t="shared" si="75"/>
        <v>46022</v>
      </c>
      <c r="BV143" s="122">
        <v>9.3</v>
      </c>
      <c r="BW143" s="122">
        <v>21</v>
      </c>
      <c r="BX143" s="122">
        <v>20.8</v>
      </c>
      <c r="CA143" s="35">
        <f t="shared" si="86"/>
        <v>46022</v>
      </c>
      <c r="CB143" s="26">
        <v>72</v>
      </c>
      <c r="CC143" s="26">
        <v>87</v>
      </c>
      <c r="CD143" s="119">
        <v>46.5</v>
      </c>
      <c r="CE143" s="119">
        <v>263</v>
      </c>
      <c r="CF143" s="119">
        <v>448</v>
      </c>
      <c r="CG143" s="119">
        <v>270</v>
      </c>
      <c r="CH143" s="119">
        <v>512</v>
      </c>
      <c r="CI143" s="119">
        <v>270</v>
      </c>
      <c r="CJ143" s="119">
        <v>512</v>
      </c>
      <c r="CK143" s="119">
        <v>409.6</v>
      </c>
      <c r="CL143" s="119">
        <v>795</v>
      </c>
      <c r="CM143" s="119">
        <v>1650</v>
      </c>
      <c r="CN143" s="119">
        <v>1295</v>
      </c>
      <c r="CO143" s="126">
        <f t="shared" ref="CO143:CP148" si="106">AVERAGE(CI143,CG143)</f>
        <v>270</v>
      </c>
      <c r="CP143" s="126">
        <f t="shared" si="106"/>
        <v>512</v>
      </c>
      <c r="CQ143" s="119">
        <v>4.5</v>
      </c>
      <c r="CR143" s="119">
        <v>4</v>
      </c>
      <c r="CT143" s="123">
        <f t="shared" si="77"/>
        <v>-0.172413793103448</v>
      </c>
      <c r="CU143" s="123">
        <f t="shared" ref="CU143:CV148" si="107">CO143/CE143-1</f>
        <v>0.0266159695817489</v>
      </c>
      <c r="CV143" s="123">
        <f t="shared" si="107"/>
        <v>0.142857142857143</v>
      </c>
      <c r="CX143" s="125">
        <f t="shared" si="103"/>
        <v>0.0992366412213741</v>
      </c>
      <c r="CY143" s="125">
        <f t="shared" si="103"/>
        <v>0.183673469387755</v>
      </c>
      <c r="CZ143" s="125">
        <f t="shared" si="103"/>
        <v>0.192307692307692</v>
      </c>
      <c r="DA143" s="125">
        <f t="shared" si="103"/>
        <v>0.200913242009132</v>
      </c>
      <c r="DB143" s="125">
        <f t="shared" si="103"/>
        <v>0.197860962566845</v>
      </c>
      <c r="DC143" s="125">
        <f t="shared" si="103"/>
        <v>0.2</v>
      </c>
      <c r="DD143" s="125">
        <f t="shared" si="103"/>
        <v>0.204705882352941</v>
      </c>
      <c r="DE143" s="125">
        <f t="shared" si="103"/>
        <v>0.2</v>
      </c>
      <c r="DF143" s="125">
        <f t="shared" si="103"/>
        <v>0.204705882352941</v>
      </c>
      <c r="DG143" s="125">
        <f t="shared" si="103"/>
        <v>0.204705882352941</v>
      </c>
      <c r="DH143" s="125">
        <f t="shared" si="103"/>
        <v>0.195488721804511</v>
      </c>
      <c r="DI143" s="125">
        <f t="shared" si="103"/>
        <v>0.182795698924731</v>
      </c>
      <c r="DJ143" s="125">
        <f t="shared" si="103"/>
        <v>0.182648401826484</v>
      </c>
      <c r="DK143" s="125">
        <f t="shared" si="103"/>
        <v>0.2</v>
      </c>
      <c r="DL143" s="125">
        <f t="shared" si="103"/>
        <v>0.204705882352941</v>
      </c>
      <c r="DM143" s="125">
        <f t="shared" si="103"/>
        <v>0.363636363636364</v>
      </c>
      <c r="DN143" s="125">
        <f t="shared" si="104"/>
        <v>0.481481481481481</v>
      </c>
      <c r="DQ143" s="114">
        <f t="shared" si="80"/>
        <v>8.21875</v>
      </c>
      <c r="DR143" s="124">
        <f t="shared" si="81"/>
        <v>7</v>
      </c>
      <c r="DS143" s="124">
        <f t="shared" si="84"/>
        <v>8.4375</v>
      </c>
      <c r="DT143" s="124">
        <f t="shared" si="85"/>
        <v>8</v>
      </c>
      <c r="DU143" s="124">
        <f t="shared" si="98"/>
        <v>8.53333333333333</v>
      </c>
      <c r="DV143" s="124">
        <f t="shared" si="99"/>
        <v>8.28125</v>
      </c>
      <c r="DW143" s="124">
        <f t="shared" si="105"/>
        <v>12.890625</v>
      </c>
      <c r="DX143" s="124">
        <f t="shared" si="105"/>
        <v>10.1171875</v>
      </c>
      <c r="FV143" s="104">
        <f t="shared" si="89"/>
        <v>2011</v>
      </c>
      <c r="FW143" s="104">
        <f t="shared" si="90"/>
        <v>12</v>
      </c>
      <c r="FX143" s="35">
        <v>40616</v>
      </c>
      <c r="FY143" s="26">
        <v>2.14</v>
      </c>
      <c r="FZ143" s="94">
        <f t="shared" si="91"/>
        <v>8.56</v>
      </c>
      <c r="GA143" s="104"/>
      <c r="GB143" s="104"/>
      <c r="GE143" s="94"/>
      <c r="GF143" s="104">
        <f t="shared" si="92"/>
        <v>2013</v>
      </c>
      <c r="GG143" s="104">
        <f t="shared" si="93"/>
        <v>26</v>
      </c>
      <c r="GH143" s="35">
        <v>41449</v>
      </c>
      <c r="GI143" s="26">
        <v>3.75</v>
      </c>
      <c r="GJ143" s="94">
        <f t="shared" si="94"/>
        <v>7.5</v>
      </c>
      <c r="GK143" s="104"/>
      <c r="GL143" s="104"/>
      <c r="GO143" s="94"/>
    </row>
    <row r="144" ht="16.8" spans="3:197">
      <c r="C144" s="80" t="str" cm="1">
        <f t="array" ref="C144">_xlfn.IFS(MONTH(D144)&lt;4,1,MONTH(D144)&lt;7,2,MONTH(D144)&lt;10,3,MONTH(D144)&gt;9,4)&amp;"Q"&amp;RIGHT(YEAR(D144),2)</f>
        <v>3Q16</v>
      </c>
      <c r="D144" s="81">
        <f t="shared" si="69"/>
        <v>42613</v>
      </c>
      <c r="E144" s="82">
        <f t="shared" si="65"/>
        <v>42592</v>
      </c>
      <c r="F144" s="83">
        <f t="shared" si="66"/>
        <v>0.464625</v>
      </c>
      <c r="G144" s="83">
        <f t="shared" si="66"/>
        <v>0.3825</v>
      </c>
      <c r="H144" s="81"/>
      <c r="I144" s="84">
        <v>42592</v>
      </c>
      <c r="J144" s="85">
        <v>3.95</v>
      </c>
      <c r="K144" s="85">
        <v>3.3</v>
      </c>
      <c r="L144" s="86">
        <v>3.717</v>
      </c>
      <c r="M144" s="94" cm="1">
        <f t="array" ref="M144">INDEX($BV$29:$BV$1449,MATCH($D144,$BR$29:$BR$1449,0),)</f>
        <v>3.06</v>
      </c>
      <c r="N144" s="88"/>
      <c r="O144" s="88"/>
      <c r="P144" s="88"/>
      <c r="Q144" s="89">
        <f t="shared" si="67"/>
        <v>0.214705882352941</v>
      </c>
      <c r="AH144" s="105">
        <f t="shared" si="79"/>
        <v>43392</v>
      </c>
      <c r="AI144" s="91">
        <f t="shared" si="70"/>
        <v>7.059</v>
      </c>
      <c r="AJ144" s="36">
        <f t="shared" si="71"/>
        <v>-0.0127272727272727</v>
      </c>
      <c r="AK144" s="36">
        <f t="shared" si="76"/>
        <v>-0.0195833333333333</v>
      </c>
      <c r="AL144" s="105"/>
      <c r="AM144" s="91"/>
      <c r="AN144" s="36"/>
      <c r="AO144" s="36"/>
      <c r="AP144" s="36"/>
      <c r="AQ144" s="92" t="str" cm="1">
        <f t="array" ref="AQ144">_xlfn.IFS(MONTH(AR144)&lt;4,1,MONTH(AR144)&lt;7,2,MONTH(AR144)&lt;10,3,MONTH(AR144)&gt;9,4)&amp;"Q"&amp;RIGHT(YEAR(AR144),2)</f>
        <v>2Q21</v>
      </c>
      <c r="AR144" s="92">
        <f t="shared" si="72"/>
        <v>44316</v>
      </c>
      <c r="AS144" s="109">
        <v>44305</v>
      </c>
      <c r="AT144" s="110"/>
      <c r="AU144" s="94" cm="1">
        <f t="array" ref="AU144">INDEX($CE$29:$CE$1449,MATCH($AR144,$CA$29:$CA$1449,0),)</f>
        <v>145</v>
      </c>
      <c r="AV144" s="110"/>
      <c r="AW144" s="94" cm="1">
        <f t="array" ref="AW144">INDEX($CF$29:$CF$1449,MATCH($AR144,$CA$29:$CA$1449,0),)</f>
        <v>282.75</v>
      </c>
      <c r="AX144" s="94"/>
      <c r="AY144" s="94"/>
      <c r="AZ144" s="94"/>
      <c r="BA144" s="94"/>
      <c r="BB144" s="5"/>
      <c r="BC144" s="5"/>
      <c r="BD144" s="5"/>
      <c r="BE144" s="5"/>
      <c r="BF144" s="5"/>
      <c r="BG144" s="5"/>
      <c r="BH144" s="5"/>
      <c r="BI144" s="5"/>
      <c r="BJ144" s="5"/>
      <c r="BK144" s="5"/>
      <c r="BL144" s="5"/>
      <c r="BM144" s="36"/>
      <c r="BN144" s="5"/>
      <c r="BO144" s="5">
        <f t="shared" si="73"/>
        <v>2026</v>
      </c>
      <c r="BQ144" s="95" t="str" cm="1">
        <f t="array" ref="BQ144">_xlfn.IFS(MONTH(BR144)&lt;4,1,MONTH(BR144)&lt;7,2,MONTH(BR144)&lt;10,3,MONTH(BR144)&gt;9,4)&amp;"Q"&amp;RIGHT(YEAR(BR144),2)</f>
        <v>1Q26</v>
      </c>
      <c r="BR144" s="81">
        <f t="shared" si="74"/>
        <v>46053</v>
      </c>
      <c r="BS144" s="106">
        <f t="shared" si="75"/>
        <v>46053</v>
      </c>
      <c r="BV144" s="122">
        <v>11.5</v>
      </c>
      <c r="BW144" s="122">
        <v>26</v>
      </c>
      <c r="BX144" s="122">
        <v>28.5</v>
      </c>
      <c r="CA144" s="35">
        <f t="shared" si="86"/>
        <v>46053</v>
      </c>
      <c r="CB144" s="26">
        <v>134</v>
      </c>
      <c r="CC144" s="26">
        <v>160</v>
      </c>
      <c r="CD144" s="119">
        <v>85</v>
      </c>
      <c r="CE144" s="119">
        <v>432</v>
      </c>
      <c r="CF144" s="119">
        <v>738</v>
      </c>
      <c r="CG144" s="119">
        <v>427</v>
      </c>
      <c r="CH144" s="119">
        <v>807</v>
      </c>
      <c r="CI144" s="119">
        <v>427</v>
      </c>
      <c r="CJ144" s="119">
        <v>807</v>
      </c>
      <c r="CK144" s="119">
        <v>645.6</v>
      </c>
      <c r="CL144" s="119">
        <v>1263</v>
      </c>
      <c r="CM144" s="119">
        <v>2288</v>
      </c>
      <c r="CN144" s="119">
        <v>2080</v>
      </c>
      <c r="CO144" s="126">
        <f t="shared" si="106"/>
        <v>427</v>
      </c>
      <c r="CP144" s="126">
        <f t="shared" si="106"/>
        <v>807</v>
      </c>
      <c r="CQ144" s="119">
        <v>5.5</v>
      </c>
      <c r="CR144" s="119">
        <v>5</v>
      </c>
      <c r="CT144" s="123">
        <f t="shared" si="77"/>
        <v>-0.1625</v>
      </c>
      <c r="CU144" s="123">
        <f t="shared" si="107"/>
        <v>-0.0115740740740741</v>
      </c>
      <c r="CV144" s="123">
        <f t="shared" si="107"/>
        <v>0.0934959349593496</v>
      </c>
      <c r="CX144" s="125">
        <f t="shared" ref="CX144:DM148" si="108">CB144/CB143-1</f>
        <v>0.861111111111111</v>
      </c>
      <c r="CY144" s="125">
        <f t="shared" si="108"/>
        <v>0.839080459770115</v>
      </c>
      <c r="CZ144" s="125">
        <f t="shared" si="108"/>
        <v>0.827956989247312</v>
      </c>
      <c r="DA144" s="125">
        <f t="shared" si="108"/>
        <v>0.642585551330799</v>
      </c>
      <c r="DB144" s="125">
        <f t="shared" si="108"/>
        <v>0.647321428571429</v>
      </c>
      <c r="DC144" s="125">
        <f t="shared" si="108"/>
        <v>0.581481481481481</v>
      </c>
      <c r="DD144" s="125">
        <f t="shared" si="108"/>
        <v>0.576171875</v>
      </c>
      <c r="DE144" s="125">
        <f t="shared" si="108"/>
        <v>0.581481481481481</v>
      </c>
      <c r="DF144" s="125">
        <f t="shared" si="108"/>
        <v>0.576171875</v>
      </c>
      <c r="DG144" s="125">
        <f t="shared" si="108"/>
        <v>0.576171875</v>
      </c>
      <c r="DH144" s="125">
        <f t="shared" si="108"/>
        <v>0.588679245283019</v>
      </c>
      <c r="DI144" s="125">
        <f t="shared" si="108"/>
        <v>0.386666666666667</v>
      </c>
      <c r="DJ144" s="125">
        <f t="shared" si="108"/>
        <v>0.606177606177606</v>
      </c>
      <c r="DK144" s="125">
        <f t="shared" si="108"/>
        <v>0.581481481481481</v>
      </c>
      <c r="DL144" s="125">
        <f t="shared" si="108"/>
        <v>0.576171875</v>
      </c>
      <c r="DM144" s="125">
        <f t="shared" si="108"/>
        <v>0.222222222222222</v>
      </c>
      <c r="DN144" s="125">
        <f t="shared" si="104"/>
        <v>0.25</v>
      </c>
      <c r="DQ144" s="114">
        <f t="shared" si="80"/>
        <v>13.5</v>
      </c>
      <c r="DR144" s="124">
        <f t="shared" si="81"/>
        <v>11.53125</v>
      </c>
      <c r="DS144" s="124">
        <f t="shared" si="84"/>
        <v>13.34375</v>
      </c>
      <c r="DT144" s="124">
        <f t="shared" si="85"/>
        <v>12.609375</v>
      </c>
      <c r="DU144" s="124">
        <f t="shared" si="98"/>
        <v>13.45</v>
      </c>
      <c r="DV144" s="124">
        <f t="shared" si="99"/>
        <v>13.15625</v>
      </c>
      <c r="DW144" s="124">
        <f t="shared" si="105"/>
        <v>17.875</v>
      </c>
      <c r="DX144" s="124">
        <f t="shared" si="105"/>
        <v>16.25</v>
      </c>
      <c r="FV144" s="104">
        <f t="shared" si="89"/>
        <v>2011</v>
      </c>
      <c r="FW144" s="104">
        <f t="shared" si="90"/>
        <v>12</v>
      </c>
      <c r="FX144" s="35">
        <v>40617</v>
      </c>
      <c r="FY144" s="26">
        <v>2.15</v>
      </c>
      <c r="FZ144" s="94">
        <f t="shared" si="91"/>
        <v>8.6</v>
      </c>
      <c r="GA144" s="104"/>
      <c r="GB144" s="104"/>
      <c r="GE144" s="94"/>
      <c r="GF144" s="104">
        <f t="shared" si="92"/>
        <v>2013</v>
      </c>
      <c r="GG144" s="104">
        <f t="shared" si="93"/>
        <v>26</v>
      </c>
      <c r="GH144" s="35">
        <v>41450</v>
      </c>
      <c r="GI144" s="26">
        <v>3.749</v>
      </c>
      <c r="GJ144" s="94">
        <f t="shared" si="94"/>
        <v>7.498</v>
      </c>
      <c r="GK144" s="104"/>
      <c r="GL144" s="104"/>
      <c r="GO144" s="94"/>
    </row>
    <row r="145" ht="16.8" spans="3:197">
      <c r="C145" s="80" t="str" cm="1">
        <f t="array" ref="C145">_xlfn.IFS(MONTH(D145)&lt;4,1,MONTH(D145)&lt;7,2,MONTH(D145)&lt;10,3,MONTH(D145)&gt;9,4)&amp;"Q"&amp;RIGHT(YEAR(D145),2)</f>
        <v>3Q16</v>
      </c>
      <c r="D145" s="81">
        <f t="shared" si="69"/>
        <v>42613</v>
      </c>
      <c r="E145" s="82">
        <f t="shared" si="65"/>
        <v>42593</v>
      </c>
      <c r="F145" s="83">
        <f t="shared" si="66"/>
        <v>0.464625</v>
      </c>
      <c r="G145" s="83">
        <f t="shared" si="66"/>
        <v>0.3825</v>
      </c>
      <c r="H145" s="81"/>
      <c r="I145" s="84">
        <v>42593</v>
      </c>
      <c r="J145" s="85">
        <v>3.95</v>
      </c>
      <c r="K145" s="85">
        <v>3.3</v>
      </c>
      <c r="L145" s="86">
        <v>3.717</v>
      </c>
      <c r="M145" s="94" cm="1">
        <f t="array" ref="M145">INDEX($BV$29:$BV$1449,MATCH($D145,$BR$29:$BR$1449,0),)</f>
        <v>3.06</v>
      </c>
      <c r="N145" s="88"/>
      <c r="O145" s="88"/>
      <c r="P145" s="88"/>
      <c r="Q145" s="89">
        <f t="shared" si="67"/>
        <v>0.214705882352941</v>
      </c>
      <c r="AH145" s="105">
        <f t="shared" si="79"/>
        <v>43402</v>
      </c>
      <c r="AI145" s="91">
        <f t="shared" si="70"/>
        <v>6.965</v>
      </c>
      <c r="AJ145" s="36">
        <f t="shared" si="71"/>
        <v>-0.0133163337583228</v>
      </c>
      <c r="AK145" s="36">
        <f t="shared" si="76"/>
        <v>-0.025874125874126</v>
      </c>
      <c r="AL145" s="105"/>
      <c r="AM145" s="91"/>
      <c r="AN145" s="36"/>
      <c r="AO145" s="36"/>
      <c r="AP145" s="36"/>
      <c r="AQ145" s="92" t="str" cm="1">
        <f t="array" ref="AQ145">_xlfn.IFS(MONTH(AR145)&lt;4,1,MONTH(AR145)&lt;7,2,MONTH(AR145)&lt;10,3,MONTH(AR145)&gt;9,4)&amp;"Q"&amp;RIGHT(YEAR(AR145),2)</f>
        <v>2Q21</v>
      </c>
      <c r="AR145" s="92">
        <f t="shared" si="72"/>
        <v>44316</v>
      </c>
      <c r="AS145" s="109">
        <v>44312</v>
      </c>
      <c r="AT145" s="110"/>
      <c r="AU145" s="94" cm="1">
        <f t="array" ref="AU145">INDEX($CE$29:$CE$1449,MATCH($AR145,$CA$29:$CA$1449,0),)</f>
        <v>145</v>
      </c>
      <c r="AV145" s="110"/>
      <c r="AW145" s="94" cm="1">
        <f t="array" ref="AW145">INDEX($CF$29:$CF$1449,MATCH($AR145,$CA$29:$CA$1449,0),)</f>
        <v>282.75</v>
      </c>
      <c r="AX145" s="94"/>
      <c r="AY145" s="94"/>
      <c r="AZ145" s="94"/>
      <c r="BA145" s="94"/>
      <c r="BB145" s="5"/>
      <c r="BC145" s="5"/>
      <c r="BD145" s="5"/>
      <c r="BE145" s="5"/>
      <c r="BF145" s="5"/>
      <c r="BG145" s="5"/>
      <c r="BH145" s="5"/>
      <c r="BI145" s="5"/>
      <c r="BJ145" s="5"/>
      <c r="BK145" s="5"/>
      <c r="BL145" s="5"/>
      <c r="BM145" s="36"/>
      <c r="BN145" s="5"/>
      <c r="BO145" s="5">
        <f t="shared" si="73"/>
        <v>2026</v>
      </c>
      <c r="BQ145" s="95" t="str" cm="1">
        <f t="array" ref="BQ145">_xlfn.IFS(MONTH(BR145)&lt;4,1,MONTH(BR145)&lt;7,2,MONTH(BR145)&lt;10,3,MONTH(BR145)&gt;9,4)&amp;"Q"&amp;RIGHT(YEAR(BR145),2)</f>
        <v>1Q26</v>
      </c>
      <c r="BR145" s="81">
        <f t="shared" si="74"/>
        <v>46081</v>
      </c>
      <c r="BS145" s="106">
        <f t="shared" si="75"/>
        <v>46081</v>
      </c>
      <c r="BV145" s="122">
        <v>13</v>
      </c>
      <c r="BW145" s="122">
        <v>29.5</v>
      </c>
      <c r="BX145" s="122">
        <v>30</v>
      </c>
      <c r="CA145" s="35">
        <f t="shared" si="86"/>
        <v>46081</v>
      </c>
      <c r="CB145" s="26">
        <v>140</v>
      </c>
      <c r="CC145" s="26">
        <v>165</v>
      </c>
      <c r="CD145" s="119">
        <v>85</v>
      </c>
      <c r="CE145" s="119">
        <v>432</v>
      </c>
      <c r="CF145" s="119">
        <v>738</v>
      </c>
      <c r="CG145" s="119">
        <v>439</v>
      </c>
      <c r="CH145" s="119">
        <v>829</v>
      </c>
      <c r="CI145" s="119">
        <v>439</v>
      </c>
      <c r="CJ145" s="119">
        <v>829</v>
      </c>
      <c r="CK145" s="119">
        <v>663.2</v>
      </c>
      <c r="CL145" s="119">
        <v>1330</v>
      </c>
      <c r="CM145" s="119">
        <v>2372</v>
      </c>
      <c r="CN145" s="119">
        <v>2135</v>
      </c>
      <c r="CO145" s="126">
        <f t="shared" si="106"/>
        <v>439</v>
      </c>
      <c r="CP145" s="126">
        <f t="shared" si="106"/>
        <v>829</v>
      </c>
      <c r="CQ145" s="119">
        <v>6</v>
      </c>
      <c r="CR145" s="119">
        <v>5.5</v>
      </c>
      <c r="CT145" s="123">
        <f t="shared" si="77"/>
        <v>-0.151515151515151</v>
      </c>
      <c r="CU145" s="123">
        <f t="shared" si="107"/>
        <v>0.0162037037037037</v>
      </c>
      <c r="CV145" s="123">
        <f t="shared" si="107"/>
        <v>0.123306233062331</v>
      </c>
      <c r="CX145" s="125">
        <f t="shared" si="108"/>
        <v>0.044776119402985</v>
      </c>
      <c r="CY145" s="125">
        <f t="shared" si="108"/>
        <v>0.03125</v>
      </c>
      <c r="CZ145" s="125">
        <f t="shared" si="108"/>
        <v>0</v>
      </c>
      <c r="DA145" s="125">
        <f t="shared" si="108"/>
        <v>0</v>
      </c>
      <c r="DB145" s="125">
        <f t="shared" si="108"/>
        <v>0</v>
      </c>
      <c r="DC145" s="125">
        <f t="shared" si="108"/>
        <v>0.0281030444964872</v>
      </c>
      <c r="DD145" s="125">
        <f t="shared" si="108"/>
        <v>0.0272614622057001</v>
      </c>
      <c r="DE145" s="125">
        <f t="shared" si="108"/>
        <v>0.0281030444964872</v>
      </c>
      <c r="DF145" s="125">
        <f t="shared" si="108"/>
        <v>0.0272614622057001</v>
      </c>
      <c r="DG145" s="125">
        <f t="shared" si="108"/>
        <v>0.0272614622057001</v>
      </c>
      <c r="DH145" s="125">
        <f t="shared" si="108"/>
        <v>0.0530482977038798</v>
      </c>
      <c r="DI145" s="125">
        <f t="shared" si="108"/>
        <v>0.0367132867132867</v>
      </c>
      <c r="DJ145" s="125">
        <f t="shared" si="108"/>
        <v>0.0264423076923077</v>
      </c>
      <c r="DK145" s="125">
        <f t="shared" si="108"/>
        <v>0.0281030444964872</v>
      </c>
      <c r="DL145" s="125">
        <f t="shared" si="108"/>
        <v>0.0272614622057001</v>
      </c>
      <c r="DM145" s="125">
        <f t="shared" si="108"/>
        <v>0.0909090909090908</v>
      </c>
      <c r="DN145" s="125">
        <f t="shared" si="104"/>
        <v>0.1</v>
      </c>
      <c r="DQ145" s="114">
        <f t="shared" si="80"/>
        <v>13.5</v>
      </c>
      <c r="DR145" s="124">
        <f t="shared" si="81"/>
        <v>11.53125</v>
      </c>
      <c r="DS145" s="124">
        <f t="shared" si="84"/>
        <v>13.71875</v>
      </c>
      <c r="DT145" s="124">
        <f t="shared" si="85"/>
        <v>12.953125</v>
      </c>
      <c r="DU145" s="124">
        <f t="shared" si="98"/>
        <v>13.8166666666667</v>
      </c>
      <c r="DV145" s="124">
        <f t="shared" si="99"/>
        <v>13.8541666666667</v>
      </c>
      <c r="DW145" s="124">
        <f t="shared" si="105"/>
        <v>18.53125</v>
      </c>
      <c r="DX145" s="124">
        <f t="shared" si="105"/>
        <v>16.6796875</v>
      </c>
      <c r="FV145" s="104">
        <f t="shared" si="89"/>
        <v>2011</v>
      </c>
      <c r="FW145" s="104">
        <f t="shared" si="90"/>
        <v>12</v>
      </c>
      <c r="FX145" s="35">
        <v>40618</v>
      </c>
      <c r="FY145" s="26">
        <v>2.14</v>
      </c>
      <c r="FZ145" s="94">
        <f t="shared" si="91"/>
        <v>8.56</v>
      </c>
      <c r="GA145" s="104"/>
      <c r="GB145" s="104"/>
      <c r="GE145" s="94"/>
      <c r="GF145" s="104">
        <f t="shared" si="92"/>
        <v>2013</v>
      </c>
      <c r="GG145" s="104">
        <f t="shared" si="93"/>
        <v>26</v>
      </c>
      <c r="GH145" s="35">
        <v>41451</v>
      </c>
      <c r="GI145" s="26">
        <v>3.747</v>
      </c>
      <c r="GJ145" s="94">
        <f t="shared" si="94"/>
        <v>7.494</v>
      </c>
      <c r="GK145" s="104"/>
      <c r="GL145" s="104"/>
      <c r="GO145" s="94"/>
    </row>
    <row r="146" ht="16.8" spans="3:197">
      <c r="C146" s="80" t="str" cm="1">
        <f t="array" ref="C146">_xlfn.IFS(MONTH(D146)&lt;4,1,MONTH(D146)&lt;7,2,MONTH(D146)&lt;10,3,MONTH(D146)&gt;9,4)&amp;"Q"&amp;RIGHT(YEAR(D146),2)</f>
        <v>3Q16</v>
      </c>
      <c r="D146" s="81">
        <f t="shared" si="69"/>
        <v>42613</v>
      </c>
      <c r="E146" s="82">
        <f t="shared" si="65"/>
        <v>42594</v>
      </c>
      <c r="F146" s="83">
        <f t="shared" si="66"/>
        <v>0.464625</v>
      </c>
      <c r="G146" s="83">
        <f t="shared" si="66"/>
        <v>0.3825</v>
      </c>
      <c r="H146" s="81"/>
      <c r="I146" s="84">
        <v>42594</v>
      </c>
      <c r="J146" s="85">
        <v>3.95</v>
      </c>
      <c r="K146" s="85">
        <v>3.3</v>
      </c>
      <c r="L146" s="86">
        <v>3.717</v>
      </c>
      <c r="M146" s="94" cm="1">
        <f t="array" ref="M146">INDEX($BV$29:$BV$1449,MATCH($D146,$BR$29:$BR$1449,0),)</f>
        <v>3.06</v>
      </c>
      <c r="N146" s="88"/>
      <c r="O146" s="88"/>
      <c r="P146" s="88"/>
      <c r="Q146" s="89">
        <f t="shared" si="67"/>
        <v>0.214705882352941</v>
      </c>
      <c r="AH146" s="105">
        <f t="shared" si="79"/>
        <v>43410</v>
      </c>
      <c r="AI146" s="91">
        <f t="shared" si="70"/>
        <v>6.909</v>
      </c>
      <c r="AJ146" s="36">
        <f t="shared" si="71"/>
        <v>-0.00804020100502512</v>
      </c>
      <c r="AK146" s="36">
        <f t="shared" si="76"/>
        <v>-0.0212494687632809</v>
      </c>
      <c r="AL146" s="105"/>
      <c r="AM146" s="91"/>
      <c r="AN146" s="36"/>
      <c r="AO146" s="36"/>
      <c r="AP146" s="36"/>
      <c r="AQ146" s="92" t="str" cm="1">
        <f t="array" ref="AQ146">_xlfn.IFS(MONTH(AR146)&lt;4,1,MONTH(AR146)&lt;7,2,MONTH(AR146)&lt;10,3,MONTH(AR146)&gt;9,4)&amp;"Q"&amp;RIGHT(YEAR(AR146),2)</f>
        <v>2Q21</v>
      </c>
      <c r="AR146" s="92">
        <f t="shared" si="72"/>
        <v>44347</v>
      </c>
      <c r="AS146" s="109">
        <v>44319</v>
      </c>
      <c r="AT146" s="110"/>
      <c r="AU146" s="94" cm="1">
        <f t="array" ref="AU146">INDEX($CE$29:$CE$1449,MATCH($AR146,$CA$29:$CA$1449,0),)</f>
        <v>147</v>
      </c>
      <c r="AV146" s="110"/>
      <c r="AW146" s="94" cm="1">
        <f t="array" ref="AW146">INDEX($CF$29:$CF$1449,MATCH($AR146,$CA$29:$CA$1449,0),)</f>
        <v>286.65</v>
      </c>
      <c r="AX146" s="94"/>
      <c r="AY146" s="94"/>
      <c r="AZ146" s="94"/>
      <c r="BA146" s="94"/>
      <c r="BB146" s="5"/>
      <c r="BC146" s="5"/>
      <c r="BD146" s="5"/>
      <c r="BE146" s="5"/>
      <c r="BF146" s="5"/>
      <c r="BG146" s="5"/>
      <c r="BH146" s="5"/>
      <c r="BI146" s="5"/>
      <c r="BJ146" s="5"/>
      <c r="BK146" s="5"/>
      <c r="BL146" s="5"/>
      <c r="BM146" s="5"/>
      <c r="BN146" s="5"/>
      <c r="BO146" s="5">
        <f t="shared" si="73"/>
        <v>2026</v>
      </c>
      <c r="BQ146" s="95" t="str" cm="1">
        <f t="array" ref="BQ146">_xlfn.IFS(MONTH(BR146)&lt;4,1,MONTH(BR146)&lt;7,2,MONTH(BR146)&lt;10,3,MONTH(BR146)&gt;9,4)&amp;"Q"&amp;RIGHT(YEAR(BR146),2)</f>
        <v>1Q26</v>
      </c>
      <c r="BR146" s="81">
        <f t="shared" si="74"/>
        <v>46112</v>
      </c>
      <c r="BS146" s="106">
        <f t="shared" si="75"/>
        <v>46112</v>
      </c>
      <c r="BV146" s="122">
        <v>13</v>
      </c>
      <c r="BW146" s="122">
        <v>29.5</v>
      </c>
      <c r="BX146" s="122">
        <v>31</v>
      </c>
      <c r="CA146" s="35">
        <f t="shared" si="86"/>
        <v>46112</v>
      </c>
      <c r="CB146" s="26">
        <v>142</v>
      </c>
      <c r="CC146" s="26">
        <v>170</v>
      </c>
      <c r="CD146" s="119">
        <v>85</v>
      </c>
      <c r="CE146" s="119">
        <v>432</v>
      </c>
      <c r="CF146" s="119">
        <v>738</v>
      </c>
      <c r="CG146" s="119">
        <v>451</v>
      </c>
      <c r="CH146" s="119">
        <v>851</v>
      </c>
      <c r="CI146" s="119">
        <v>451</v>
      </c>
      <c r="CJ146" s="119">
        <v>851</v>
      </c>
      <c r="CK146" s="119">
        <v>680.8</v>
      </c>
      <c r="CL146" s="119">
        <v>1397</v>
      </c>
      <c r="CM146" s="119">
        <v>2456</v>
      </c>
      <c r="CN146" s="119">
        <v>2190</v>
      </c>
      <c r="CO146" s="126">
        <f t="shared" si="106"/>
        <v>451</v>
      </c>
      <c r="CP146" s="126">
        <f t="shared" si="106"/>
        <v>851</v>
      </c>
      <c r="CQ146" s="119">
        <v>7.5</v>
      </c>
      <c r="CR146" s="119">
        <v>7.5</v>
      </c>
      <c r="CT146" s="123">
        <f t="shared" si="77"/>
        <v>-0.164705882352941</v>
      </c>
      <c r="CU146" s="123">
        <f t="shared" si="107"/>
        <v>0.0439814814814814</v>
      </c>
      <c r="CV146" s="123">
        <f t="shared" si="107"/>
        <v>0.153116531165312</v>
      </c>
      <c r="CX146" s="125">
        <f t="shared" si="108"/>
        <v>0.0142857142857142</v>
      </c>
      <c r="CY146" s="125">
        <f t="shared" si="108"/>
        <v>0.0303030303030303</v>
      </c>
      <c r="CZ146" s="125">
        <f t="shared" si="108"/>
        <v>0</v>
      </c>
      <c r="DA146" s="125">
        <f t="shared" si="108"/>
        <v>0</v>
      </c>
      <c r="DB146" s="125">
        <f t="shared" si="108"/>
        <v>0</v>
      </c>
      <c r="DC146" s="125">
        <f t="shared" si="108"/>
        <v>0.0273348519362187</v>
      </c>
      <c r="DD146" s="125">
        <f t="shared" si="108"/>
        <v>0.0265379975874547</v>
      </c>
      <c r="DE146" s="125">
        <f t="shared" si="108"/>
        <v>0.0273348519362187</v>
      </c>
      <c r="DF146" s="125">
        <f t="shared" si="108"/>
        <v>0.0265379975874547</v>
      </c>
      <c r="DG146" s="125">
        <f t="shared" si="108"/>
        <v>0.0265379975874547</v>
      </c>
      <c r="DH146" s="125">
        <f t="shared" si="108"/>
        <v>0.050375939849624</v>
      </c>
      <c r="DI146" s="125">
        <f t="shared" si="108"/>
        <v>0.0354131534569984</v>
      </c>
      <c r="DJ146" s="125">
        <f t="shared" si="108"/>
        <v>0.0257611241217799</v>
      </c>
      <c r="DK146" s="125">
        <f t="shared" si="108"/>
        <v>0.0273348519362187</v>
      </c>
      <c r="DL146" s="125">
        <f t="shared" si="108"/>
        <v>0.0265379975874547</v>
      </c>
      <c r="DM146" s="125">
        <f t="shared" si="108"/>
        <v>0.25</v>
      </c>
      <c r="DN146" s="125">
        <f t="shared" si="104"/>
        <v>0.363636363636364</v>
      </c>
      <c r="DQ146" s="114">
        <f t="shared" si="80"/>
        <v>13.5</v>
      </c>
      <c r="DR146" s="124">
        <f t="shared" si="81"/>
        <v>11.53125</v>
      </c>
      <c r="DS146" s="124">
        <f t="shared" si="84"/>
        <v>14.09375</v>
      </c>
      <c r="DT146" s="124">
        <f t="shared" si="85"/>
        <v>13.296875</v>
      </c>
      <c r="DU146" s="124">
        <f t="shared" si="98"/>
        <v>14.1833333333333</v>
      </c>
      <c r="DV146" s="124">
        <f t="shared" si="99"/>
        <v>14.5520833333333</v>
      </c>
      <c r="DW146" s="124">
        <f t="shared" si="105"/>
        <v>19.1875</v>
      </c>
      <c r="DX146" s="124">
        <f t="shared" si="105"/>
        <v>17.109375</v>
      </c>
      <c r="FV146" s="104">
        <f t="shared" si="89"/>
        <v>2011</v>
      </c>
      <c r="FW146" s="104">
        <f t="shared" si="90"/>
        <v>12</v>
      </c>
      <c r="FX146" s="35">
        <v>40619</v>
      </c>
      <c r="FY146" s="26">
        <v>2.1</v>
      </c>
      <c r="FZ146" s="94">
        <f t="shared" si="91"/>
        <v>8.4</v>
      </c>
      <c r="GA146" s="104"/>
      <c r="GB146" s="104"/>
      <c r="GE146" s="94"/>
      <c r="GF146" s="104">
        <f t="shared" si="92"/>
        <v>2013</v>
      </c>
      <c r="GG146" s="104">
        <f t="shared" si="93"/>
        <v>26</v>
      </c>
      <c r="GH146" s="35">
        <v>41452</v>
      </c>
      <c r="GI146" s="26">
        <v>3.737</v>
      </c>
      <c r="GJ146" s="94">
        <f t="shared" si="94"/>
        <v>7.474</v>
      </c>
      <c r="GK146" s="104"/>
      <c r="GL146" s="104"/>
      <c r="GO146" s="94"/>
    </row>
    <row r="147" ht="16.8" spans="3:197">
      <c r="C147" s="80" t="str" cm="1">
        <f t="array" ref="C147">_xlfn.IFS(MONTH(D147)&lt;4,1,MONTH(D147)&lt;7,2,MONTH(D147)&lt;10,3,MONTH(D147)&gt;9,4)&amp;"Q"&amp;RIGHT(YEAR(D147),2)</f>
        <v>3Q16</v>
      </c>
      <c r="D147" s="81">
        <f t="shared" si="69"/>
        <v>42613</v>
      </c>
      <c r="E147" s="82">
        <f t="shared" si="65"/>
        <v>42597</v>
      </c>
      <c r="F147" s="83">
        <f t="shared" si="66"/>
        <v>0.464625</v>
      </c>
      <c r="G147" s="83">
        <f t="shared" si="66"/>
        <v>0.3825</v>
      </c>
      <c r="H147" s="81"/>
      <c r="I147" s="84">
        <v>42597</v>
      </c>
      <c r="J147" s="85">
        <v>3.95</v>
      </c>
      <c r="K147" s="85">
        <v>3.3</v>
      </c>
      <c r="L147" s="86">
        <v>3.717</v>
      </c>
      <c r="M147" s="94" cm="1">
        <f t="array" ref="M147">INDEX($BV$29:$BV$1449,MATCH($D147,$BR$29:$BR$1449,0),)</f>
        <v>3.06</v>
      </c>
      <c r="N147" s="88"/>
      <c r="O147" s="88"/>
      <c r="P147" s="88"/>
      <c r="Q147" s="89">
        <f t="shared" si="67"/>
        <v>0.214705882352941</v>
      </c>
      <c r="AH147" s="105">
        <f t="shared" si="79"/>
        <v>43418</v>
      </c>
      <c r="AI147" s="91">
        <f t="shared" si="70"/>
        <v>6.788</v>
      </c>
      <c r="AJ147" s="36">
        <f t="shared" si="71"/>
        <v>-0.0175133883340569</v>
      </c>
      <c r="AK147" s="36">
        <f t="shared" si="76"/>
        <v>-0.0254127781765973</v>
      </c>
      <c r="AL147" s="105"/>
      <c r="AM147" s="91"/>
      <c r="AN147" s="36"/>
      <c r="AO147" s="36"/>
      <c r="AP147" s="36"/>
      <c r="AQ147" s="92" t="str" cm="1">
        <f t="array" ref="AQ147">_xlfn.IFS(MONTH(AR147)&lt;4,1,MONTH(AR147)&lt;7,2,MONTH(AR147)&lt;10,3,MONTH(AR147)&gt;9,4)&amp;"Q"&amp;RIGHT(YEAR(AR147),2)</f>
        <v>2Q21</v>
      </c>
      <c r="AR147" s="92">
        <f t="shared" si="72"/>
        <v>44347</v>
      </c>
      <c r="AS147" s="109">
        <v>44326</v>
      </c>
      <c r="AT147" s="110"/>
      <c r="AU147" s="94" cm="1">
        <f t="array" ref="AU147">INDEX($CE$29:$CE$1449,MATCH($AR147,$CA$29:$CA$1449,0),)</f>
        <v>147</v>
      </c>
      <c r="AV147" s="110"/>
      <c r="AW147" s="94" cm="1">
        <f t="array" ref="AW147">INDEX($CF$29:$CF$1449,MATCH($AR147,$CA$29:$CA$1449,0),)</f>
        <v>286.65</v>
      </c>
      <c r="AX147" s="94"/>
      <c r="AY147" s="94"/>
      <c r="AZ147" s="94"/>
      <c r="BA147" s="94"/>
      <c r="BB147" s="5"/>
      <c r="BC147" s="5"/>
      <c r="BD147" s="5"/>
      <c r="BE147" s="5"/>
      <c r="BF147" s="5"/>
      <c r="BG147" s="5"/>
      <c r="BH147" s="5"/>
      <c r="BI147" s="5"/>
      <c r="BJ147" s="5"/>
      <c r="BK147" s="5"/>
      <c r="BL147" s="5"/>
      <c r="BM147" s="5"/>
      <c r="BN147" s="5"/>
      <c r="BO147" s="5">
        <f t="shared" si="73"/>
        <v>2026</v>
      </c>
      <c r="BQ147" s="95" t="str" cm="1">
        <f t="array" ref="BQ147">_xlfn.IFS(MONTH(BR147)&lt;4,1,MONTH(BR147)&lt;7,2,MONTH(BR147)&lt;10,3,MONTH(BR147)&gt;9,4)&amp;"Q"&amp;RIGHT(YEAR(BR147),2)</f>
        <v>2Q26</v>
      </c>
      <c r="BR147" s="81">
        <f t="shared" si="74"/>
        <v>46142</v>
      </c>
      <c r="BS147" s="106">
        <f t="shared" si="75"/>
        <v>46142</v>
      </c>
      <c r="BV147" s="122">
        <v>16</v>
      </c>
      <c r="BW147" s="122">
        <v>33.5</v>
      </c>
      <c r="BX147" s="122">
        <v>35</v>
      </c>
      <c r="CA147" s="35">
        <f t="shared" si="86"/>
        <v>46142</v>
      </c>
      <c r="CB147" s="26">
        <v>201</v>
      </c>
      <c r="CC147" s="26">
        <v>227</v>
      </c>
      <c r="CD147" s="119">
        <v>119</v>
      </c>
      <c r="CE147" s="119">
        <v>660</v>
      </c>
      <c r="CF147" s="119">
        <v>1127</v>
      </c>
      <c r="CG147" s="119">
        <v>648</v>
      </c>
      <c r="CH147" s="119">
        <v>1223</v>
      </c>
      <c r="CI147" s="119">
        <v>648</v>
      </c>
      <c r="CJ147" s="119">
        <v>1223</v>
      </c>
      <c r="CK147" s="119">
        <v>978.4</v>
      </c>
      <c r="CL147" s="119">
        <v>1962</v>
      </c>
      <c r="CM147" s="119">
        <v>3143</v>
      </c>
      <c r="CN147" s="119">
        <v>2936</v>
      </c>
      <c r="CO147" s="126">
        <f t="shared" si="106"/>
        <v>648</v>
      </c>
      <c r="CP147" s="126">
        <f t="shared" si="106"/>
        <v>1223</v>
      </c>
      <c r="CQ147" s="119">
        <v>10</v>
      </c>
      <c r="CR147" s="119">
        <v>10</v>
      </c>
      <c r="CT147" s="123">
        <f t="shared" si="77"/>
        <v>-0.114537444933921</v>
      </c>
      <c r="CU147" s="123">
        <f t="shared" si="107"/>
        <v>-0.0181818181818182</v>
      </c>
      <c r="CV147" s="123">
        <f t="shared" si="107"/>
        <v>0.0851818988464952</v>
      </c>
      <c r="CX147" s="125">
        <f t="shared" si="108"/>
        <v>0.415492957746479</v>
      </c>
      <c r="CY147" s="125">
        <f t="shared" si="108"/>
        <v>0.335294117647059</v>
      </c>
      <c r="CZ147" s="125">
        <f t="shared" si="108"/>
        <v>0.4</v>
      </c>
      <c r="DA147" s="125">
        <f t="shared" si="108"/>
        <v>0.527777777777778</v>
      </c>
      <c r="DB147" s="125">
        <f t="shared" si="108"/>
        <v>0.52710027100271</v>
      </c>
      <c r="DC147" s="125">
        <f t="shared" si="108"/>
        <v>0.436807095343681</v>
      </c>
      <c r="DD147" s="125">
        <f t="shared" si="108"/>
        <v>0.437132784958872</v>
      </c>
      <c r="DE147" s="125">
        <f t="shared" si="108"/>
        <v>0.436807095343681</v>
      </c>
      <c r="DF147" s="125">
        <f t="shared" si="108"/>
        <v>0.437132784958872</v>
      </c>
      <c r="DG147" s="125">
        <f t="shared" si="108"/>
        <v>0.437132784958872</v>
      </c>
      <c r="DH147" s="125">
        <f t="shared" si="108"/>
        <v>0.404438081603436</v>
      </c>
      <c r="DI147" s="125">
        <f t="shared" si="108"/>
        <v>0.279723127035831</v>
      </c>
      <c r="DJ147" s="125">
        <f t="shared" si="108"/>
        <v>0.340639269406393</v>
      </c>
      <c r="DK147" s="125">
        <f t="shared" si="108"/>
        <v>0.436807095343681</v>
      </c>
      <c r="DL147" s="125">
        <f t="shared" si="108"/>
        <v>0.437132784958872</v>
      </c>
      <c r="DM147" s="125">
        <f t="shared" si="108"/>
        <v>0.333333333333333</v>
      </c>
      <c r="DN147" s="125">
        <f t="shared" si="104"/>
        <v>0.333333333333333</v>
      </c>
      <c r="DQ147" s="114">
        <f t="shared" si="80"/>
        <v>20.625</v>
      </c>
      <c r="DR147" s="124">
        <f t="shared" si="81"/>
        <v>17.609375</v>
      </c>
      <c r="DS147" s="124">
        <f t="shared" si="84"/>
        <v>20.25</v>
      </c>
      <c r="DT147" s="124">
        <f t="shared" si="85"/>
        <v>19.109375</v>
      </c>
      <c r="DU147" s="124">
        <f t="shared" si="98"/>
        <v>20.3833333333333</v>
      </c>
      <c r="DV147" s="124">
        <f t="shared" si="99"/>
        <v>20.4375</v>
      </c>
      <c r="DW147" s="124">
        <f t="shared" si="105"/>
        <v>24.5546875</v>
      </c>
      <c r="DX147" s="124">
        <f t="shared" si="105"/>
        <v>22.9375</v>
      </c>
      <c r="FV147" s="104">
        <f t="shared" si="89"/>
        <v>2011</v>
      </c>
      <c r="FW147" s="104">
        <f t="shared" si="90"/>
        <v>12</v>
      </c>
      <c r="FX147" s="35">
        <v>40620</v>
      </c>
      <c r="FY147" s="26">
        <v>2.08</v>
      </c>
      <c r="FZ147" s="94">
        <f t="shared" si="91"/>
        <v>8.32</v>
      </c>
      <c r="GA147" s="104"/>
      <c r="GB147" s="104"/>
      <c r="GE147" s="94"/>
      <c r="GF147" s="104">
        <f t="shared" si="92"/>
        <v>2013</v>
      </c>
      <c r="GG147" s="104">
        <f t="shared" si="93"/>
        <v>26</v>
      </c>
      <c r="GH147" s="35">
        <v>41453</v>
      </c>
      <c r="GI147" s="26">
        <v>3.737</v>
      </c>
      <c r="GJ147" s="94">
        <f t="shared" si="94"/>
        <v>7.474</v>
      </c>
      <c r="GK147" s="104"/>
      <c r="GL147" s="104"/>
      <c r="GO147" s="94"/>
    </row>
    <row r="148" ht="16.8" spans="3:197">
      <c r="C148" s="80" t="str" cm="1">
        <f t="array" ref="C148">_xlfn.IFS(MONTH(D148)&lt;4,1,MONTH(D148)&lt;7,2,MONTH(D148)&lt;10,3,MONTH(D148)&gt;9,4)&amp;"Q"&amp;RIGHT(YEAR(D148),2)</f>
        <v>3Q16</v>
      </c>
      <c r="D148" s="81">
        <f t="shared" si="69"/>
        <v>42613</v>
      </c>
      <c r="E148" s="82">
        <f t="shared" si="65"/>
        <v>42598</v>
      </c>
      <c r="F148" s="83">
        <f t="shared" si="66"/>
        <v>0.464625</v>
      </c>
      <c r="G148" s="83">
        <f t="shared" si="66"/>
        <v>0.3825</v>
      </c>
      <c r="H148" s="81"/>
      <c r="I148" s="84">
        <v>42598</v>
      </c>
      <c r="J148" s="85">
        <v>3.95</v>
      </c>
      <c r="K148" s="85">
        <v>3.3</v>
      </c>
      <c r="L148" s="86">
        <v>3.717</v>
      </c>
      <c r="M148" s="94" cm="1">
        <f t="array" ref="M148">INDEX($BV$29:$BV$1449,MATCH($D148,$BR$29:$BR$1449,0),)</f>
        <v>3.06</v>
      </c>
      <c r="N148" s="88"/>
      <c r="O148" s="88"/>
      <c r="P148" s="88"/>
      <c r="Q148" s="89">
        <f t="shared" si="67"/>
        <v>0.214705882352941</v>
      </c>
      <c r="AH148" s="105">
        <f t="shared" si="79"/>
        <v>43426</v>
      </c>
      <c r="AI148" s="91">
        <f t="shared" si="70"/>
        <v>6.75</v>
      </c>
      <c r="AJ148" s="36">
        <f t="shared" si="71"/>
        <v>-0.00559811431938717</v>
      </c>
      <c r="AK148" s="36">
        <f t="shared" si="76"/>
        <v>-0.0230134607034302</v>
      </c>
      <c r="AL148" s="105"/>
      <c r="AM148" s="91"/>
      <c r="AN148" s="36"/>
      <c r="AO148" s="36"/>
      <c r="AP148" s="36"/>
      <c r="AQ148" s="92" t="str" cm="1">
        <f t="array" ref="AQ148">_xlfn.IFS(MONTH(AR148)&lt;4,1,MONTH(AR148)&lt;7,2,MONTH(AR148)&lt;10,3,MONTH(AR148)&gt;9,4)&amp;"Q"&amp;RIGHT(YEAR(AR148),2)</f>
        <v>2Q21</v>
      </c>
      <c r="AR148" s="92">
        <f t="shared" si="72"/>
        <v>44347</v>
      </c>
      <c r="AS148" s="109">
        <v>44333</v>
      </c>
      <c r="AT148" s="110"/>
      <c r="AU148" s="94" cm="1">
        <f t="array" ref="AU148">INDEX($CE$29:$CE$1449,MATCH($AR148,$CA$29:$CA$1449,0),)</f>
        <v>147</v>
      </c>
      <c r="AV148" s="110"/>
      <c r="AW148" s="94" cm="1">
        <f t="array" ref="AW148">INDEX($CF$29:$CF$1449,MATCH($AR148,$CA$29:$CA$1449,0),)</f>
        <v>286.65</v>
      </c>
      <c r="AX148" s="94"/>
      <c r="AY148" s="94"/>
      <c r="AZ148" s="94"/>
      <c r="BA148" s="94"/>
      <c r="BB148" s="5"/>
      <c r="BC148" s="5"/>
      <c r="BD148" s="5"/>
      <c r="BE148" s="5"/>
      <c r="BF148" s="5"/>
      <c r="BG148" s="5"/>
      <c r="BH148" s="5"/>
      <c r="BI148" s="5"/>
      <c r="BJ148" s="5"/>
      <c r="BK148" s="5"/>
      <c r="BL148" s="5"/>
      <c r="BM148" s="5"/>
      <c r="BN148" s="5"/>
      <c r="BO148" s="5">
        <f t="shared" si="73"/>
        <v>2026</v>
      </c>
      <c r="BQ148" s="95" t="str" cm="1">
        <f t="array" ref="BQ148">_xlfn.IFS(MONTH(BR148)&lt;4,1,MONTH(BR148)&lt;7,2,MONTH(BR148)&lt;10,3,MONTH(BR148)&gt;9,4)&amp;"Q"&amp;RIGHT(YEAR(BR148),2)</f>
        <v>2Q26</v>
      </c>
      <c r="BR148" s="81">
        <f t="shared" si="74"/>
        <v>46173</v>
      </c>
      <c r="BS148" s="106">
        <f t="shared" si="75"/>
        <v>46173</v>
      </c>
      <c r="BV148" s="122">
        <v>20</v>
      </c>
      <c r="BW148" s="122">
        <v>40</v>
      </c>
      <c r="BX148" s="122">
        <v>37.5</v>
      </c>
      <c r="CA148" s="35">
        <f t="shared" si="86"/>
        <v>46173</v>
      </c>
      <c r="CB148" s="26">
        <v>205</v>
      </c>
      <c r="CC148" s="26">
        <v>227</v>
      </c>
      <c r="CD148" s="119">
        <v>119</v>
      </c>
      <c r="CE148" s="119">
        <v>660</v>
      </c>
      <c r="CF148" s="119">
        <v>1127</v>
      </c>
      <c r="CG148" s="119">
        <v>669</v>
      </c>
      <c r="CH148" s="119">
        <v>1265</v>
      </c>
      <c r="CI148" s="119">
        <v>669</v>
      </c>
      <c r="CJ148" s="119">
        <v>1265</v>
      </c>
      <c r="CK148" s="119">
        <v>1012</v>
      </c>
      <c r="CL148" s="119">
        <v>2020</v>
      </c>
      <c r="CM148" s="119">
        <v>3243</v>
      </c>
      <c r="CN148" s="119">
        <v>3115</v>
      </c>
      <c r="CO148" s="126">
        <f t="shared" si="106"/>
        <v>669</v>
      </c>
      <c r="CP148" s="126">
        <f t="shared" si="106"/>
        <v>1265</v>
      </c>
      <c r="CQ148" s="119">
        <v>12</v>
      </c>
      <c r="CR148" s="119">
        <v>11</v>
      </c>
      <c r="CT148" s="123">
        <f t="shared" si="77"/>
        <v>-0.0969162995594713</v>
      </c>
      <c r="CU148" s="123">
        <f t="shared" si="107"/>
        <v>0.0136363636363637</v>
      </c>
      <c r="CV148" s="123">
        <f t="shared" si="107"/>
        <v>0.122448979591837</v>
      </c>
      <c r="CX148" s="125">
        <f t="shared" si="108"/>
        <v>0.0199004975124377</v>
      </c>
      <c r="CY148" s="125">
        <f t="shared" si="108"/>
        <v>0</v>
      </c>
      <c r="CZ148" s="125">
        <f t="shared" si="108"/>
        <v>0</v>
      </c>
      <c r="DA148" s="125">
        <f t="shared" si="108"/>
        <v>0</v>
      </c>
      <c r="DB148" s="125">
        <f t="shared" si="108"/>
        <v>0</v>
      </c>
      <c r="DC148" s="125">
        <f t="shared" si="108"/>
        <v>0.0324074074074074</v>
      </c>
      <c r="DD148" s="125">
        <f t="shared" si="108"/>
        <v>0.0343417825020442</v>
      </c>
      <c r="DE148" s="125">
        <f t="shared" si="108"/>
        <v>0.0324074074074074</v>
      </c>
      <c r="DF148" s="125">
        <f t="shared" si="108"/>
        <v>0.0343417825020442</v>
      </c>
      <c r="DG148" s="125">
        <f t="shared" si="108"/>
        <v>0.0343417825020442</v>
      </c>
      <c r="DH148" s="125">
        <f t="shared" si="108"/>
        <v>0.0295616717635065</v>
      </c>
      <c r="DI148" s="125">
        <f t="shared" si="108"/>
        <v>0.0318167356029271</v>
      </c>
      <c r="DJ148" s="125">
        <f t="shared" si="108"/>
        <v>0.0609673024523161</v>
      </c>
      <c r="DK148" s="125">
        <f t="shared" si="108"/>
        <v>0.0324074074074074</v>
      </c>
      <c r="DL148" s="125">
        <f t="shared" si="108"/>
        <v>0.0343417825020442</v>
      </c>
      <c r="DM148" s="125">
        <f t="shared" si="108"/>
        <v>0.2</v>
      </c>
      <c r="DN148" s="125">
        <f t="shared" si="104"/>
        <v>0.1</v>
      </c>
      <c r="DQ148" s="114">
        <f t="shared" si="80"/>
        <v>20.625</v>
      </c>
      <c r="DR148" s="124">
        <f t="shared" si="81"/>
        <v>17.609375</v>
      </c>
      <c r="DS148" s="124">
        <f t="shared" si="84"/>
        <v>20.90625</v>
      </c>
      <c r="DT148" s="124">
        <f t="shared" si="85"/>
        <v>19.765625</v>
      </c>
      <c r="DU148" s="124">
        <f t="shared" si="98"/>
        <v>21.0833333333333</v>
      </c>
      <c r="DV148" s="124">
        <f t="shared" si="99"/>
        <v>21.0416666666667</v>
      </c>
      <c r="DW148" s="124">
        <f t="shared" si="105"/>
        <v>25.3359375</v>
      </c>
      <c r="DX148" s="124">
        <f t="shared" si="105"/>
        <v>24.3359375</v>
      </c>
      <c r="FV148" s="104">
        <f t="shared" si="89"/>
        <v>2011</v>
      </c>
      <c r="FW148" s="104">
        <f t="shared" si="90"/>
        <v>13</v>
      </c>
      <c r="FX148" s="35">
        <v>40623</v>
      </c>
      <c r="FY148" s="26">
        <v>2.07</v>
      </c>
      <c r="FZ148" s="94">
        <f t="shared" si="91"/>
        <v>8.28</v>
      </c>
      <c r="GA148" s="104"/>
      <c r="GB148" s="104"/>
      <c r="GE148" s="94"/>
      <c r="GF148" s="104">
        <f t="shared" si="92"/>
        <v>2013</v>
      </c>
      <c r="GG148" s="104">
        <f t="shared" si="93"/>
        <v>27</v>
      </c>
      <c r="GH148" s="35">
        <v>41456</v>
      </c>
      <c r="GI148" s="26">
        <v>3.737</v>
      </c>
      <c r="GJ148" s="94">
        <f t="shared" si="94"/>
        <v>7.474</v>
      </c>
      <c r="GK148" s="104"/>
      <c r="GL148" s="104"/>
      <c r="GO148" s="94"/>
    </row>
    <row r="149" ht="16" spans="3:197">
      <c r="C149" s="80" t="str" cm="1">
        <f t="array" ref="C149">_xlfn.IFS(MONTH(D149)&lt;4,1,MONTH(D149)&lt;7,2,MONTH(D149)&lt;10,3,MONTH(D149)&gt;9,4)&amp;"Q"&amp;RIGHT(YEAR(D149),2)</f>
        <v>3Q16</v>
      </c>
      <c r="D149" s="81">
        <f t="shared" si="69"/>
        <v>42613</v>
      </c>
      <c r="E149" s="82">
        <f t="shared" si="65"/>
        <v>42599</v>
      </c>
      <c r="F149" s="83">
        <f t="shared" si="66"/>
        <v>0.464625</v>
      </c>
      <c r="G149" s="83">
        <f t="shared" si="66"/>
        <v>0.3825</v>
      </c>
      <c r="H149" s="81"/>
      <c r="I149" s="84">
        <v>42599</v>
      </c>
      <c r="J149" s="85">
        <v>3.95</v>
      </c>
      <c r="K149" s="85">
        <v>3.3</v>
      </c>
      <c r="L149" s="86">
        <v>3.717</v>
      </c>
      <c r="M149" s="94" cm="1">
        <f t="array" ref="M149">INDEX($BV$29:$BV$1449,MATCH($D149,$BR$29:$BR$1449,0),)</f>
        <v>3.06</v>
      </c>
      <c r="N149" s="88"/>
      <c r="O149" s="88"/>
      <c r="P149" s="88"/>
      <c r="Q149" s="89">
        <f t="shared" si="67"/>
        <v>0.214705882352941</v>
      </c>
      <c r="AH149" s="105">
        <f t="shared" si="79"/>
        <v>43434</v>
      </c>
      <c r="AI149" s="91">
        <f t="shared" si="70"/>
        <v>6.672</v>
      </c>
      <c r="AJ149" s="36">
        <f t="shared" si="71"/>
        <v>-0.0115555555555557</v>
      </c>
      <c r="AK149" s="36">
        <f t="shared" si="76"/>
        <v>-0.0170889805539187</v>
      </c>
      <c r="AL149" s="105"/>
      <c r="AM149" s="91"/>
      <c r="AN149" s="36"/>
      <c r="AO149" s="36"/>
      <c r="AP149" s="36"/>
      <c r="AQ149" s="92" t="str" cm="1">
        <f t="array" ref="AQ149">_xlfn.IFS(MONTH(AR149)&lt;4,1,MONTH(AR149)&lt;7,2,MONTH(AR149)&lt;10,3,MONTH(AR149)&gt;9,4)&amp;"Q"&amp;RIGHT(YEAR(AR149),2)</f>
        <v>2Q21</v>
      </c>
      <c r="AR149" s="92">
        <f t="shared" si="72"/>
        <v>44347</v>
      </c>
      <c r="AS149" s="109">
        <v>44340</v>
      </c>
      <c r="AT149" s="110"/>
      <c r="AU149" s="94" cm="1">
        <f t="array" ref="AU149">INDEX($CE$29:$CE$1449,MATCH($AR149,$CA$29:$CA$1449,0),)</f>
        <v>147</v>
      </c>
      <c r="AV149" s="110"/>
      <c r="AW149" s="94" cm="1">
        <f t="array" ref="AW149">INDEX($CF$29:$CF$1449,MATCH($AR149,$CA$29:$CA$1449,0),)</f>
        <v>286.65</v>
      </c>
      <c r="AX149" s="94"/>
      <c r="AY149" s="94"/>
      <c r="AZ149" s="94"/>
      <c r="BA149" s="94"/>
      <c r="BB149" s="5"/>
      <c r="BC149" s="5"/>
      <c r="BD149" s="5"/>
      <c r="BE149" s="5"/>
      <c r="BF149" s="5"/>
      <c r="BG149" s="5"/>
      <c r="BH149" s="5"/>
      <c r="BI149" s="5"/>
      <c r="BJ149" s="5"/>
      <c r="BK149" s="5"/>
      <c r="BL149" s="5"/>
      <c r="BM149" s="5"/>
      <c r="BN149" s="5"/>
      <c r="BO149" s="5"/>
      <c r="BV149" s="36"/>
      <c r="CA149" s="59"/>
      <c r="CB149" s="59"/>
      <c r="CC149" s="59"/>
      <c r="FV149" s="104">
        <f t="shared" si="89"/>
        <v>2011</v>
      </c>
      <c r="FW149" s="104">
        <f t="shared" si="90"/>
        <v>13</v>
      </c>
      <c r="FX149" s="35">
        <v>40624</v>
      </c>
      <c r="FY149" s="26">
        <v>2.04</v>
      </c>
      <c r="FZ149" s="94">
        <f t="shared" si="91"/>
        <v>8.16</v>
      </c>
      <c r="GA149" s="104"/>
      <c r="GB149" s="104"/>
      <c r="GE149" s="94"/>
      <c r="GF149" s="104">
        <f t="shared" si="92"/>
        <v>2013</v>
      </c>
      <c r="GG149" s="104">
        <f t="shared" si="93"/>
        <v>27</v>
      </c>
      <c r="GH149" s="35">
        <v>41457</v>
      </c>
      <c r="GI149" s="26">
        <v>3.737</v>
      </c>
      <c r="GJ149" s="94">
        <f t="shared" si="94"/>
        <v>7.474</v>
      </c>
      <c r="GK149" s="104"/>
      <c r="GL149" s="104"/>
      <c r="GO149" s="94"/>
    </row>
    <row r="150" ht="16" spans="3:197">
      <c r="C150" s="80" t="str" cm="1">
        <f t="array" ref="C150">_xlfn.IFS(MONTH(D150)&lt;4,1,MONTH(D150)&lt;7,2,MONTH(D150)&lt;10,3,MONTH(D150)&gt;9,4)&amp;"Q"&amp;RIGHT(YEAR(D150),2)</f>
        <v>3Q16</v>
      </c>
      <c r="D150" s="81">
        <f t="shared" si="69"/>
        <v>42613</v>
      </c>
      <c r="E150" s="82">
        <f t="shared" si="65"/>
        <v>42600</v>
      </c>
      <c r="F150" s="83">
        <f t="shared" si="66"/>
        <v>0.464625</v>
      </c>
      <c r="G150" s="83">
        <f t="shared" si="66"/>
        <v>0.3825</v>
      </c>
      <c r="H150" s="81"/>
      <c r="I150" s="84">
        <v>42600</v>
      </c>
      <c r="J150" s="85">
        <v>3.95</v>
      </c>
      <c r="K150" s="85">
        <v>3.3</v>
      </c>
      <c r="L150" s="86">
        <v>3.717</v>
      </c>
      <c r="M150" s="94" cm="1">
        <f t="array" ref="M150">INDEX($BV$29:$BV$1449,MATCH($D150,$BR$29:$BR$1449,0),)</f>
        <v>3.06</v>
      </c>
      <c r="N150" s="88"/>
      <c r="O150" s="88"/>
      <c r="P150" s="88"/>
      <c r="Q150" s="89">
        <f t="shared" si="67"/>
        <v>0.214705882352941</v>
      </c>
      <c r="AH150" s="105">
        <f t="shared" si="79"/>
        <v>43444</v>
      </c>
      <c r="AI150" s="91">
        <f t="shared" si="70"/>
        <v>6.525</v>
      </c>
      <c r="AJ150" s="36">
        <f t="shared" si="71"/>
        <v>-0.0220323741007193</v>
      </c>
      <c r="AK150" s="36">
        <f t="shared" si="76"/>
        <v>-0.0333333333333333</v>
      </c>
      <c r="AL150" s="105"/>
      <c r="AM150" s="91"/>
      <c r="AN150" s="36"/>
      <c r="AO150" s="36"/>
      <c r="AP150" s="36"/>
      <c r="AQ150" s="92" t="str" cm="1">
        <f t="array" ref="AQ150">_xlfn.IFS(MONTH(AR150)&lt;4,1,MONTH(AR150)&lt;7,2,MONTH(AR150)&lt;10,3,MONTH(AR150)&gt;9,4)&amp;"Q"&amp;RIGHT(YEAR(AR150),2)</f>
        <v>2Q21</v>
      </c>
      <c r="AR150" s="92">
        <f t="shared" si="72"/>
        <v>44347</v>
      </c>
      <c r="AS150" s="109">
        <v>44347</v>
      </c>
      <c r="AT150" s="110"/>
      <c r="AU150" s="94" cm="1">
        <f t="array" ref="AU150">INDEX($CE$29:$CE$1449,MATCH($AR150,$CA$29:$CA$1449,0),)</f>
        <v>147</v>
      </c>
      <c r="AV150" s="110"/>
      <c r="AW150" s="94" cm="1">
        <f t="array" ref="AW150">INDEX($CF$29:$CF$1449,MATCH($AR150,$CA$29:$CA$1449,0),)</f>
        <v>286.65</v>
      </c>
      <c r="AX150" s="94"/>
      <c r="AY150" s="94"/>
      <c r="AZ150" s="94"/>
      <c r="BA150" s="94"/>
      <c r="BB150" s="5"/>
      <c r="BC150" s="5"/>
      <c r="BD150" s="5"/>
      <c r="BE150" s="5"/>
      <c r="BF150" s="5"/>
      <c r="BG150" s="5"/>
      <c r="BH150" s="5"/>
      <c r="BI150" s="5"/>
      <c r="BJ150" s="5"/>
      <c r="BK150" s="5"/>
      <c r="BL150" s="5"/>
      <c r="BM150" s="5"/>
      <c r="BN150" s="5"/>
      <c r="BO150" s="5"/>
      <c r="CA150" s="59"/>
      <c r="CB150" s="59"/>
      <c r="CC150" s="59"/>
      <c r="CD150" s="59"/>
      <c r="CP150" s="59"/>
      <c r="FV150" s="104">
        <f t="shared" si="89"/>
        <v>2011</v>
      </c>
      <c r="FW150" s="104">
        <f t="shared" si="90"/>
        <v>13</v>
      </c>
      <c r="FX150" s="35">
        <v>40625</v>
      </c>
      <c r="FY150" s="26">
        <v>2.03</v>
      </c>
      <c r="FZ150" s="94">
        <f t="shared" si="91"/>
        <v>8.12</v>
      </c>
      <c r="GA150" s="104"/>
      <c r="GB150" s="104"/>
      <c r="GE150" s="94"/>
      <c r="GF150" s="104">
        <f t="shared" si="92"/>
        <v>2013</v>
      </c>
      <c r="GG150" s="104">
        <f t="shared" si="93"/>
        <v>27</v>
      </c>
      <c r="GH150" s="35">
        <v>41458</v>
      </c>
      <c r="GI150" s="26">
        <v>3.733</v>
      </c>
      <c r="GJ150" s="94">
        <f t="shared" si="94"/>
        <v>7.466</v>
      </c>
      <c r="GK150" s="104"/>
      <c r="GL150" s="104"/>
      <c r="GO150" s="94"/>
    </row>
    <row r="151" ht="16" spans="3:197">
      <c r="C151" s="80" t="str" cm="1">
        <f t="array" ref="C151">_xlfn.IFS(MONTH(D151)&lt;4,1,MONTH(D151)&lt;7,2,MONTH(D151)&lt;10,3,MONTH(D151)&gt;9,4)&amp;"Q"&amp;RIGHT(YEAR(D151),2)</f>
        <v>3Q16</v>
      </c>
      <c r="D151" s="81">
        <f t="shared" si="69"/>
        <v>42613</v>
      </c>
      <c r="E151" s="82">
        <f t="shared" si="65"/>
        <v>42601</v>
      </c>
      <c r="F151" s="83">
        <f t="shared" si="66"/>
        <v>0.464625</v>
      </c>
      <c r="G151" s="83">
        <f t="shared" si="66"/>
        <v>0.3825</v>
      </c>
      <c r="H151" s="81"/>
      <c r="I151" s="84">
        <v>42601</v>
      </c>
      <c r="J151" s="85">
        <v>3.95</v>
      </c>
      <c r="K151" s="85">
        <v>3.3</v>
      </c>
      <c r="L151" s="86">
        <v>3.717</v>
      </c>
      <c r="M151" s="94" cm="1">
        <f t="array" ref="M151">INDEX($BV$29:$BV$1449,MATCH($D151,$BR$29:$BR$1449,0),)</f>
        <v>3.06</v>
      </c>
      <c r="N151" s="88"/>
      <c r="O151" s="88"/>
      <c r="P151" s="88"/>
      <c r="Q151" s="89">
        <f t="shared" si="67"/>
        <v>0.214705882352941</v>
      </c>
      <c r="AH151" s="105">
        <f t="shared" si="79"/>
        <v>43452</v>
      </c>
      <c r="AI151" s="91">
        <f t="shared" si="70"/>
        <v>6.472</v>
      </c>
      <c r="AJ151" s="36">
        <f t="shared" si="71"/>
        <v>-0.00812260536398468</v>
      </c>
      <c r="AK151" s="36">
        <f t="shared" si="76"/>
        <v>-0.0299760191846522</v>
      </c>
      <c r="AL151" s="105"/>
      <c r="AM151" s="91"/>
      <c r="AN151" s="36"/>
      <c r="AO151" s="36"/>
      <c r="AP151" s="36"/>
      <c r="AQ151" s="92" t="str" cm="1">
        <f t="array" ref="AQ151">_xlfn.IFS(MONTH(AR151)&lt;4,1,MONTH(AR151)&lt;7,2,MONTH(AR151)&lt;10,3,MONTH(AR151)&gt;9,4)&amp;"Q"&amp;RIGHT(YEAR(AR151),2)</f>
        <v>2Q21</v>
      </c>
      <c r="AR151" s="92">
        <f t="shared" si="72"/>
        <v>44377</v>
      </c>
      <c r="AS151" s="109">
        <v>44354</v>
      </c>
      <c r="AT151" s="110"/>
      <c r="AU151" s="94" cm="1">
        <f t="array" ref="AU151">INDEX($CE$29:$CE$1449,MATCH($AR151,$CA$29:$CA$1449,0),)</f>
        <v>151</v>
      </c>
      <c r="AV151" s="110"/>
      <c r="AW151" s="94" cm="1">
        <f t="array" ref="AW151">INDEX($CF$29:$CF$1449,MATCH($AR151,$CA$29:$CA$1449,0),)</f>
        <v>298.98</v>
      </c>
      <c r="AX151" s="94"/>
      <c r="AY151" s="94"/>
      <c r="AZ151" s="94"/>
      <c r="BA151" s="94"/>
      <c r="BB151" s="5"/>
      <c r="BC151" s="5"/>
      <c r="BD151" s="5"/>
      <c r="BE151" s="5"/>
      <c r="BF151" s="5"/>
      <c r="BG151" s="5"/>
      <c r="BH151" s="5"/>
      <c r="BI151" s="5"/>
      <c r="BJ151" s="5"/>
      <c r="BK151" s="5"/>
      <c r="BL151" s="5"/>
      <c r="BM151" s="5"/>
      <c r="BN151" s="5"/>
      <c r="BO151" s="5"/>
      <c r="CA151" s="59"/>
      <c r="CB151" s="59"/>
      <c r="CC151" s="59"/>
      <c r="FV151" s="104">
        <f t="shared" si="89"/>
        <v>2011</v>
      </c>
      <c r="FW151" s="104">
        <f t="shared" si="90"/>
        <v>13</v>
      </c>
      <c r="FX151" s="35">
        <v>40626</v>
      </c>
      <c r="FY151" s="26">
        <v>2.04</v>
      </c>
      <c r="FZ151" s="94">
        <f t="shared" si="91"/>
        <v>8.16</v>
      </c>
      <c r="GA151" s="104"/>
      <c r="GB151" s="104"/>
      <c r="GE151" s="94"/>
      <c r="GF151" s="104">
        <f t="shared" si="92"/>
        <v>2013</v>
      </c>
      <c r="GG151" s="104">
        <f t="shared" si="93"/>
        <v>27</v>
      </c>
      <c r="GH151" s="35">
        <v>41459</v>
      </c>
      <c r="GI151" s="26">
        <v>3.728</v>
      </c>
      <c r="GJ151" s="94">
        <f t="shared" si="94"/>
        <v>7.456</v>
      </c>
      <c r="GK151" s="104"/>
      <c r="GL151" s="104"/>
      <c r="GO151" s="94"/>
    </row>
    <row r="152" ht="16" spans="3:197">
      <c r="C152" s="80" t="str" cm="1">
        <f t="array" ref="C152">_xlfn.IFS(MONTH(D152)&lt;4,1,MONTH(D152)&lt;7,2,MONTH(D152)&lt;10,3,MONTH(D152)&gt;9,4)&amp;"Q"&amp;RIGHT(YEAR(D152),2)</f>
        <v>3Q16</v>
      </c>
      <c r="D152" s="81">
        <f t="shared" si="69"/>
        <v>42613</v>
      </c>
      <c r="E152" s="82">
        <f t="shared" si="65"/>
        <v>42604</v>
      </c>
      <c r="F152" s="83">
        <f t="shared" si="66"/>
        <v>0.464625</v>
      </c>
      <c r="G152" s="83">
        <f t="shared" si="66"/>
        <v>0.3825</v>
      </c>
      <c r="H152" s="81"/>
      <c r="I152" s="84">
        <v>42604</v>
      </c>
      <c r="J152" s="85">
        <v>3.95</v>
      </c>
      <c r="K152" s="85">
        <v>3.3</v>
      </c>
      <c r="L152" s="86">
        <v>3.717</v>
      </c>
      <c r="M152" s="94" cm="1">
        <f t="array" ref="M152">INDEX($BV$29:$BV$1449,MATCH($D152,$BR$29:$BR$1449,0),)</f>
        <v>3.06</v>
      </c>
      <c r="N152" s="88"/>
      <c r="O152" s="88"/>
      <c r="P152" s="88"/>
      <c r="Q152" s="89">
        <f t="shared" si="67"/>
        <v>0.214705882352941</v>
      </c>
      <c r="AH152" s="105">
        <f t="shared" si="79"/>
        <v>43460</v>
      </c>
      <c r="AI152" s="91">
        <f t="shared" si="70"/>
        <v>6.355</v>
      </c>
      <c r="AJ152" s="36">
        <f t="shared" si="71"/>
        <v>-0.0180778739184178</v>
      </c>
      <c r="AK152" s="36">
        <f t="shared" si="76"/>
        <v>-0.0260536398467432</v>
      </c>
      <c r="AL152" s="105"/>
      <c r="AM152" s="91"/>
      <c r="AN152" s="36"/>
      <c r="AO152" s="36"/>
      <c r="AP152" s="36"/>
      <c r="AQ152" s="92" t="str" cm="1">
        <f t="array" ref="AQ152">_xlfn.IFS(MONTH(AR152)&lt;4,1,MONTH(AR152)&lt;7,2,MONTH(AR152)&lt;10,3,MONTH(AR152)&gt;9,4)&amp;"Q"&amp;RIGHT(YEAR(AR152),2)</f>
        <v>2Q21</v>
      </c>
      <c r="AR152" s="92">
        <f t="shared" si="72"/>
        <v>44377</v>
      </c>
      <c r="AS152" s="109">
        <v>44362</v>
      </c>
      <c r="AT152" s="110"/>
      <c r="AU152" s="94" cm="1">
        <f t="array" ref="AU152">INDEX($CE$29:$CE$1449,MATCH($AR152,$CA$29:$CA$1449,0),)</f>
        <v>151</v>
      </c>
      <c r="AV152" s="110"/>
      <c r="AW152" s="94" cm="1">
        <f t="array" ref="AW152">INDEX($CF$29:$CF$1449,MATCH($AR152,$CA$29:$CA$1449,0),)</f>
        <v>298.98</v>
      </c>
      <c r="AX152" s="94"/>
      <c r="AY152" s="94"/>
      <c r="AZ152" s="94"/>
      <c r="BA152" s="94"/>
      <c r="BB152" s="5"/>
      <c r="BC152" s="5"/>
      <c r="BD152" s="5"/>
      <c r="BE152" s="5"/>
      <c r="BF152" s="5"/>
      <c r="BG152" s="5"/>
      <c r="BH152" s="5"/>
      <c r="BI152" s="5"/>
      <c r="BJ152" s="5"/>
      <c r="BK152" s="5"/>
      <c r="BL152" s="5"/>
      <c r="BM152" s="5"/>
      <c r="BN152" s="5"/>
      <c r="BO152" s="5"/>
      <c r="CA152" s="59"/>
      <c r="CB152" s="59"/>
      <c r="CC152" s="59"/>
      <c r="FV152" s="104">
        <f t="shared" si="89"/>
        <v>2011</v>
      </c>
      <c r="FW152" s="104">
        <f t="shared" si="90"/>
        <v>13</v>
      </c>
      <c r="FX152" s="35">
        <v>40627</v>
      </c>
      <c r="FY152" s="26">
        <v>2.09</v>
      </c>
      <c r="FZ152" s="94">
        <f t="shared" si="91"/>
        <v>8.36</v>
      </c>
      <c r="GA152" s="104"/>
      <c r="GB152" s="104"/>
      <c r="GE152" s="94"/>
      <c r="GF152" s="104">
        <f t="shared" si="92"/>
        <v>2013</v>
      </c>
      <c r="GG152" s="104">
        <f t="shared" si="93"/>
        <v>27</v>
      </c>
      <c r="GH152" s="35">
        <v>41460</v>
      </c>
      <c r="GI152" s="26">
        <v>3.723</v>
      </c>
      <c r="GJ152" s="94">
        <f t="shared" si="94"/>
        <v>7.446</v>
      </c>
      <c r="GK152" s="104"/>
      <c r="GL152" s="104"/>
      <c r="GO152" s="94"/>
    </row>
    <row r="153" ht="16" spans="3:197">
      <c r="C153" s="80" t="str" cm="1">
        <f t="array" ref="C153">_xlfn.IFS(MONTH(D153)&lt;4,1,MONTH(D153)&lt;7,2,MONTH(D153)&lt;10,3,MONTH(D153)&gt;9,4)&amp;"Q"&amp;RIGHT(YEAR(D153),2)</f>
        <v>3Q16</v>
      </c>
      <c r="D153" s="81">
        <f t="shared" si="69"/>
        <v>42613</v>
      </c>
      <c r="E153" s="82">
        <f t="shared" si="65"/>
        <v>42605</v>
      </c>
      <c r="F153" s="83">
        <f t="shared" si="66"/>
        <v>0.464625</v>
      </c>
      <c r="G153" s="83">
        <f t="shared" si="66"/>
        <v>0.3825</v>
      </c>
      <c r="H153" s="81"/>
      <c r="I153" s="84">
        <v>42605</v>
      </c>
      <c r="J153" s="85">
        <v>3.95</v>
      </c>
      <c r="K153" s="85">
        <v>3.3</v>
      </c>
      <c r="L153" s="86">
        <v>3.717</v>
      </c>
      <c r="M153" s="94" cm="1">
        <f t="array" ref="M153">INDEX($BV$29:$BV$1449,MATCH($D153,$BR$29:$BR$1449,0),)</f>
        <v>3.06</v>
      </c>
      <c r="N153" s="88"/>
      <c r="O153" s="88"/>
      <c r="P153" s="88"/>
      <c r="Q153" s="89">
        <f t="shared" si="67"/>
        <v>0.214705882352941</v>
      </c>
      <c r="AH153" s="105">
        <f t="shared" si="79"/>
        <v>43468</v>
      </c>
      <c r="AI153" s="91">
        <f t="shared" si="70"/>
        <v>6.294</v>
      </c>
      <c r="AJ153" s="36">
        <f t="shared" si="71"/>
        <v>-0.00959874114870196</v>
      </c>
      <c r="AK153" s="36">
        <f t="shared" si="76"/>
        <v>-0.027503090234858</v>
      </c>
      <c r="AL153" s="105"/>
      <c r="AM153" s="91"/>
      <c r="AN153" s="36"/>
      <c r="AO153" s="36"/>
      <c r="AP153" s="36"/>
      <c r="AQ153" s="92" t="str" cm="1">
        <f t="array" ref="AQ153">_xlfn.IFS(MONTH(AR153)&lt;4,1,MONTH(AR153)&lt;7,2,MONTH(AR153)&lt;10,3,MONTH(AR153)&gt;9,4)&amp;"Q"&amp;RIGHT(YEAR(AR153),2)</f>
        <v>2Q21</v>
      </c>
      <c r="AR153" s="92">
        <f t="shared" si="72"/>
        <v>44377</v>
      </c>
      <c r="AS153" s="109">
        <v>44368</v>
      </c>
      <c r="AT153" s="110"/>
      <c r="AU153" s="94" cm="1">
        <f t="array" ref="AU153">INDEX($CE$29:$CE$1449,MATCH($AR153,$CA$29:$CA$1449,0),)</f>
        <v>151</v>
      </c>
      <c r="AV153" s="110"/>
      <c r="AW153" s="94" cm="1">
        <f t="array" ref="AW153">INDEX($CF$29:$CF$1449,MATCH($AR153,$CA$29:$CA$1449,0),)</f>
        <v>298.98</v>
      </c>
      <c r="AX153" s="94"/>
      <c r="AY153" s="94"/>
      <c r="AZ153" s="94"/>
      <c r="BA153" s="94"/>
      <c r="BB153" s="5"/>
      <c r="BC153" s="5"/>
      <c r="BD153" s="5"/>
      <c r="BE153" s="5"/>
      <c r="BF153" s="5"/>
      <c r="BG153" s="5"/>
      <c r="BH153" s="5"/>
      <c r="BI153" s="5"/>
      <c r="BJ153" s="5"/>
      <c r="BK153" s="5"/>
      <c r="BL153" s="5"/>
      <c r="BM153" s="5"/>
      <c r="BN153" s="5"/>
      <c r="BO153" s="5"/>
      <c r="CA153" s="59"/>
      <c r="CB153" s="59"/>
      <c r="CC153" s="59"/>
      <c r="FV153" s="104">
        <f t="shared" si="89"/>
        <v>2011</v>
      </c>
      <c r="FW153" s="104">
        <f t="shared" si="90"/>
        <v>14</v>
      </c>
      <c r="FX153" s="35">
        <v>40630</v>
      </c>
      <c r="FY153" s="26">
        <v>2.1</v>
      </c>
      <c r="FZ153" s="94">
        <f t="shared" si="91"/>
        <v>8.4</v>
      </c>
      <c r="GA153" s="104"/>
      <c r="GB153" s="104"/>
      <c r="GE153" s="94"/>
      <c r="GF153" s="104">
        <f t="shared" si="92"/>
        <v>2013</v>
      </c>
      <c r="GG153" s="104">
        <f t="shared" si="93"/>
        <v>28</v>
      </c>
      <c r="GH153" s="35">
        <v>41463</v>
      </c>
      <c r="GI153" s="26">
        <v>3.708</v>
      </c>
      <c r="GJ153" s="94">
        <f t="shared" si="94"/>
        <v>7.416</v>
      </c>
      <c r="GK153" s="104"/>
      <c r="GL153" s="104"/>
      <c r="GO153" s="94"/>
    </row>
    <row r="154" ht="16" spans="3:197">
      <c r="C154" s="80" t="str" cm="1">
        <f t="array" ref="C154">_xlfn.IFS(MONTH(D154)&lt;4,1,MONTH(D154)&lt;7,2,MONTH(D154)&lt;10,3,MONTH(D154)&gt;9,4)&amp;"Q"&amp;RIGHT(YEAR(D154),2)</f>
        <v>3Q16</v>
      </c>
      <c r="D154" s="81">
        <f t="shared" si="69"/>
        <v>42613</v>
      </c>
      <c r="E154" s="82">
        <f t="shared" si="65"/>
        <v>42606</v>
      </c>
      <c r="F154" s="83">
        <f t="shared" si="66"/>
        <v>0.464625</v>
      </c>
      <c r="G154" s="83">
        <f t="shared" si="66"/>
        <v>0.3825</v>
      </c>
      <c r="H154" s="81"/>
      <c r="I154" s="84">
        <v>42606</v>
      </c>
      <c r="J154" s="85">
        <v>3.95</v>
      </c>
      <c r="K154" s="85">
        <v>3.3</v>
      </c>
      <c r="L154" s="86">
        <v>3.717</v>
      </c>
      <c r="M154" s="94" cm="1">
        <f t="array" ref="M154">INDEX($BV$29:$BV$1449,MATCH($D154,$BR$29:$BR$1449,0),)</f>
        <v>3.06</v>
      </c>
      <c r="N154" s="88"/>
      <c r="O154" s="88"/>
      <c r="P154" s="88"/>
      <c r="Q154" s="89">
        <f t="shared" si="67"/>
        <v>0.214705882352941</v>
      </c>
      <c r="AH154" s="105">
        <f t="shared" si="79"/>
        <v>43476</v>
      </c>
      <c r="AI154" s="91">
        <f t="shared" si="70"/>
        <v>6.11</v>
      </c>
      <c r="AJ154" s="36">
        <f t="shared" si="71"/>
        <v>-0.0292341912932951</v>
      </c>
      <c r="AK154" s="36">
        <f t="shared" si="76"/>
        <v>-0.0385523210070811</v>
      </c>
      <c r="AL154" s="105"/>
      <c r="AM154" s="91"/>
      <c r="AN154" s="36"/>
      <c r="AO154" s="36"/>
      <c r="AP154" s="36"/>
      <c r="AQ154" s="92" t="str" cm="1">
        <f t="array" ref="AQ154">_xlfn.IFS(MONTH(AR154)&lt;4,1,MONTH(AR154)&lt;7,2,MONTH(AR154)&lt;10,3,MONTH(AR154)&gt;9,4)&amp;"Q"&amp;RIGHT(YEAR(AR154),2)</f>
        <v>2Q21</v>
      </c>
      <c r="AR154" s="92">
        <f t="shared" si="72"/>
        <v>44377</v>
      </c>
      <c r="AS154" s="109">
        <v>44375</v>
      </c>
      <c r="AT154" s="110"/>
      <c r="AU154" s="94" cm="1">
        <f t="array" ref="AU154">INDEX($CE$29:$CE$1449,MATCH($AR154,$CA$29:$CA$1449,0),)</f>
        <v>151</v>
      </c>
      <c r="AV154" s="110"/>
      <c r="AW154" s="94" cm="1">
        <f t="array" ref="AW154">INDEX($CF$29:$CF$1449,MATCH($AR154,$CA$29:$CA$1449,0),)</f>
        <v>298.98</v>
      </c>
      <c r="AX154" s="94"/>
      <c r="AY154" s="94"/>
      <c r="AZ154" s="94"/>
      <c r="BA154" s="94"/>
      <c r="BB154" s="5"/>
      <c r="BC154" s="5"/>
      <c r="BD154" s="5"/>
      <c r="BE154" s="5"/>
      <c r="BF154" s="5"/>
      <c r="BG154" s="5"/>
      <c r="BH154" s="5"/>
      <c r="BI154" s="5"/>
      <c r="BJ154" s="5"/>
      <c r="BK154" s="5"/>
      <c r="BL154" s="5"/>
      <c r="BM154" s="5"/>
      <c r="BN154" s="5"/>
      <c r="BO154" s="5"/>
      <c r="CA154" s="59"/>
      <c r="CB154" s="59"/>
      <c r="CC154" s="59"/>
      <c r="FV154" s="104">
        <f t="shared" si="89"/>
        <v>2011</v>
      </c>
      <c r="FW154" s="104">
        <f t="shared" si="90"/>
        <v>14</v>
      </c>
      <c r="FX154" s="35">
        <v>40631</v>
      </c>
      <c r="FY154" s="26">
        <v>2.1</v>
      </c>
      <c r="FZ154" s="94">
        <f t="shared" si="91"/>
        <v>8.4</v>
      </c>
      <c r="GA154" s="104"/>
      <c r="GB154" s="104"/>
      <c r="GE154" s="94"/>
      <c r="GF154" s="104">
        <f t="shared" si="92"/>
        <v>2013</v>
      </c>
      <c r="GG154" s="104">
        <f t="shared" si="93"/>
        <v>28</v>
      </c>
      <c r="GH154" s="35">
        <v>41464</v>
      </c>
      <c r="GI154" s="26">
        <v>3.676</v>
      </c>
      <c r="GJ154" s="94">
        <f t="shared" si="94"/>
        <v>7.352</v>
      </c>
      <c r="GK154" s="104"/>
      <c r="GL154" s="104"/>
      <c r="GO154" s="94"/>
    </row>
    <row r="155" ht="16" spans="3:197">
      <c r="C155" s="80" t="str" cm="1">
        <f t="array" ref="C155">_xlfn.IFS(MONTH(D155)&lt;4,1,MONTH(D155)&lt;7,2,MONTH(D155)&lt;10,3,MONTH(D155)&gt;9,4)&amp;"Q"&amp;RIGHT(YEAR(D155),2)</f>
        <v>3Q16</v>
      </c>
      <c r="D155" s="81">
        <f t="shared" si="69"/>
        <v>42613</v>
      </c>
      <c r="E155" s="82">
        <f t="shared" si="65"/>
        <v>42607</v>
      </c>
      <c r="F155" s="83">
        <f t="shared" si="66"/>
        <v>0.464625</v>
      </c>
      <c r="G155" s="83">
        <f t="shared" si="66"/>
        <v>0.3825</v>
      </c>
      <c r="H155" s="81"/>
      <c r="I155" s="84">
        <v>42607</v>
      </c>
      <c r="J155" s="85">
        <v>3.95</v>
      </c>
      <c r="K155" s="85">
        <v>3.3</v>
      </c>
      <c r="L155" s="86">
        <v>3.717</v>
      </c>
      <c r="M155" s="94" cm="1">
        <f t="array" ref="M155">INDEX($BV$29:$BV$1449,MATCH($D155,$BR$29:$BR$1449,0),)</f>
        <v>3.06</v>
      </c>
      <c r="N155" s="88"/>
      <c r="O155" s="88"/>
      <c r="P155" s="88"/>
      <c r="Q155" s="89">
        <f t="shared" si="67"/>
        <v>0.214705882352941</v>
      </c>
      <c r="AH155" s="105">
        <f t="shared" si="79"/>
        <v>43486</v>
      </c>
      <c r="AI155" s="91">
        <f t="shared" si="70"/>
        <v>5.957</v>
      </c>
      <c r="AJ155" s="36">
        <f t="shared" si="71"/>
        <v>-0.0250409165302783</v>
      </c>
      <c r="AK155" s="36">
        <f t="shared" si="76"/>
        <v>-0.0535430568795678</v>
      </c>
      <c r="AL155" s="105"/>
      <c r="AM155" s="91"/>
      <c r="AN155" s="36"/>
      <c r="AO155" s="36"/>
      <c r="AP155" s="36"/>
      <c r="AQ155" s="92" t="str" cm="1">
        <f t="array" ref="AQ155">_xlfn.IFS(MONTH(AR155)&lt;4,1,MONTH(AR155)&lt;7,2,MONTH(AR155)&lt;10,3,MONTH(AR155)&gt;9,4)&amp;"Q"&amp;RIGHT(YEAR(AR155),2)</f>
        <v>3Q21</v>
      </c>
      <c r="AR155" s="92">
        <f t="shared" si="72"/>
        <v>44408</v>
      </c>
      <c r="AS155" s="109">
        <v>44382</v>
      </c>
      <c r="AT155" s="110"/>
      <c r="AU155" s="94" cm="1">
        <f t="array" ref="AU155">INDEX($CE$29:$CE$1449,MATCH($AR155,$CA$29:$CA$1449,0),)</f>
        <v>160</v>
      </c>
      <c r="AV155" s="110"/>
      <c r="AW155" s="94" cm="1">
        <f t="array" ref="AW155">INDEX($CF$29:$CF$1449,MATCH($AR155,$CA$29:$CA$1449,0),)</f>
        <v>316.8</v>
      </c>
      <c r="AX155" s="94"/>
      <c r="AY155" s="94"/>
      <c r="AZ155" s="94"/>
      <c r="BA155" s="94"/>
      <c r="BB155" s="5"/>
      <c r="BC155" s="5"/>
      <c r="BD155" s="5"/>
      <c r="BE155" s="5"/>
      <c r="BF155" s="5"/>
      <c r="BG155" s="5"/>
      <c r="BH155" s="5"/>
      <c r="BI155" s="5"/>
      <c r="BJ155" s="5"/>
      <c r="BK155" s="5"/>
      <c r="BL155" s="5"/>
      <c r="BM155" s="5"/>
      <c r="BN155" s="5"/>
      <c r="BO155" s="5"/>
      <c r="CA155" s="59"/>
      <c r="CB155" s="59"/>
      <c r="CC155" s="59"/>
      <c r="FV155" s="104">
        <f t="shared" si="89"/>
        <v>2011</v>
      </c>
      <c r="FW155" s="104">
        <f t="shared" si="90"/>
        <v>14</v>
      </c>
      <c r="FX155" s="35">
        <v>40632</v>
      </c>
      <c r="FY155" s="26">
        <v>2.1</v>
      </c>
      <c r="FZ155" s="94">
        <f t="shared" si="91"/>
        <v>8.4</v>
      </c>
      <c r="GA155" s="104"/>
      <c r="GB155" s="104"/>
      <c r="GE155" s="94"/>
      <c r="GF155" s="104">
        <f t="shared" si="92"/>
        <v>2013</v>
      </c>
      <c r="GG155" s="104">
        <f t="shared" si="93"/>
        <v>28</v>
      </c>
      <c r="GH155" s="35">
        <v>41465</v>
      </c>
      <c r="GI155" s="26">
        <v>3.591</v>
      </c>
      <c r="GJ155" s="94">
        <f t="shared" si="94"/>
        <v>7.182</v>
      </c>
      <c r="GK155" s="104"/>
      <c r="GL155" s="104"/>
      <c r="GO155" s="94"/>
    </row>
    <row r="156" ht="16" spans="3:197">
      <c r="C156" s="80" t="str" cm="1">
        <f t="array" ref="C156">_xlfn.IFS(MONTH(D156)&lt;4,1,MONTH(D156)&lt;7,2,MONTH(D156)&lt;10,3,MONTH(D156)&gt;9,4)&amp;"Q"&amp;RIGHT(YEAR(D156),2)</f>
        <v>3Q16</v>
      </c>
      <c r="D156" s="81">
        <f t="shared" si="69"/>
        <v>42613</v>
      </c>
      <c r="E156" s="82">
        <f t="shared" si="65"/>
        <v>42608</v>
      </c>
      <c r="F156" s="83">
        <f>+L156/8</f>
        <v>0.464625</v>
      </c>
      <c r="G156" s="83">
        <f t="shared" si="66"/>
        <v>0.3825</v>
      </c>
      <c r="H156" s="81"/>
      <c r="I156" s="84">
        <v>42608</v>
      </c>
      <c r="J156" s="85">
        <v>3.95</v>
      </c>
      <c r="K156" s="85">
        <v>3.3</v>
      </c>
      <c r="L156" s="86">
        <v>3.717</v>
      </c>
      <c r="M156" s="94" cm="1">
        <f t="array" ref="M156">INDEX($BV$29:$BV$1449,MATCH($D156,$BR$29:$BR$1449,0),)</f>
        <v>3.06</v>
      </c>
      <c r="N156" s="88"/>
      <c r="O156" s="88"/>
      <c r="P156" s="88"/>
      <c r="Q156" s="89">
        <f t="shared" si="67"/>
        <v>0.214705882352941</v>
      </c>
      <c r="AH156" s="105">
        <f t="shared" si="79"/>
        <v>43494</v>
      </c>
      <c r="AI156" s="91">
        <f t="shared" si="70"/>
        <v>5.946</v>
      </c>
      <c r="AJ156" s="36">
        <f t="shared" si="71"/>
        <v>-0.00184656706395836</v>
      </c>
      <c r="AK156" s="36">
        <f t="shared" si="76"/>
        <v>-0.0268412438625205</v>
      </c>
      <c r="AL156" s="105"/>
      <c r="AM156" s="91"/>
      <c r="AN156" s="36"/>
      <c r="AO156" s="36"/>
      <c r="AP156" s="36"/>
      <c r="AQ156" s="92" t="str" cm="1">
        <f t="array" ref="AQ156">_xlfn.IFS(MONTH(AR156)&lt;4,1,MONTH(AR156)&lt;7,2,MONTH(AR156)&lt;10,3,MONTH(AR156)&gt;9,4)&amp;"Q"&amp;RIGHT(YEAR(AR156),2)</f>
        <v>3Q21</v>
      </c>
      <c r="AR156" s="92">
        <f t="shared" si="72"/>
        <v>44408</v>
      </c>
      <c r="AS156" s="109">
        <v>44389</v>
      </c>
      <c r="AT156" s="110"/>
      <c r="AU156" s="94" cm="1">
        <f t="array" ref="AU156">INDEX($CE$29:$CE$1449,MATCH($AR156,$CA$29:$CA$1449,0),)</f>
        <v>160</v>
      </c>
      <c r="AV156" s="110"/>
      <c r="AW156" s="94" cm="1">
        <f t="array" ref="AW156">INDEX($CF$29:$CF$1449,MATCH($AR156,$CA$29:$CA$1449,0),)</f>
        <v>316.8</v>
      </c>
      <c r="AX156" s="94"/>
      <c r="AY156" s="94"/>
      <c r="AZ156" s="94"/>
      <c r="BA156" s="94"/>
      <c r="BB156" s="5"/>
      <c r="BC156" s="5"/>
      <c r="BD156" s="5"/>
      <c r="BE156" s="5"/>
      <c r="BF156" s="5"/>
      <c r="BG156" s="5"/>
      <c r="BH156" s="5"/>
      <c r="BI156" s="5"/>
      <c r="BJ156" s="5"/>
      <c r="BK156" s="5"/>
      <c r="BL156" s="5"/>
      <c r="BM156" s="5"/>
      <c r="BN156" s="5"/>
      <c r="BO156" s="5"/>
      <c r="CA156" s="59"/>
      <c r="CB156" s="59"/>
      <c r="CC156" s="59"/>
      <c r="FV156" s="104">
        <f t="shared" si="89"/>
        <v>2011</v>
      </c>
      <c r="FW156" s="104">
        <f t="shared" si="90"/>
        <v>14</v>
      </c>
      <c r="FX156" s="35">
        <v>40633</v>
      </c>
      <c r="FY156" s="26">
        <v>2.1</v>
      </c>
      <c r="FZ156" s="94">
        <f t="shared" si="91"/>
        <v>8.4</v>
      </c>
      <c r="GA156" s="104"/>
      <c r="GB156" s="104"/>
      <c r="GE156" s="94"/>
      <c r="GF156" s="104">
        <f t="shared" si="92"/>
        <v>2013</v>
      </c>
      <c r="GG156" s="104">
        <f t="shared" si="93"/>
        <v>28</v>
      </c>
      <c r="GH156" s="35">
        <v>41466</v>
      </c>
      <c r="GI156" s="26">
        <v>3.591</v>
      </c>
      <c r="GJ156" s="94">
        <f t="shared" si="94"/>
        <v>7.182</v>
      </c>
      <c r="GK156" s="104"/>
      <c r="GL156" s="104"/>
      <c r="GO156" s="94"/>
    </row>
    <row r="157" ht="16" spans="3:197">
      <c r="C157" s="80" t="str" cm="1">
        <f t="array" ref="C157">_xlfn.IFS(MONTH(D157)&lt;4,1,MONTH(D157)&lt;7,2,MONTH(D157)&lt;10,3,MONTH(D157)&gt;9,4)&amp;"Q"&amp;RIGHT(YEAR(D157),2)</f>
        <v>3Q16</v>
      </c>
      <c r="D157" s="81">
        <f t="shared" si="69"/>
        <v>42613</v>
      </c>
      <c r="E157" s="82">
        <f t="shared" ref="E157:E220" si="109">+I157</f>
        <v>42611</v>
      </c>
      <c r="F157" s="83">
        <f t="shared" ref="F157:G220" si="110">+L157/8</f>
        <v>0.464625</v>
      </c>
      <c r="G157" s="83">
        <f t="shared" si="110"/>
        <v>0.3825</v>
      </c>
      <c r="H157" s="81"/>
      <c r="I157" s="84">
        <v>42611</v>
      </c>
      <c r="J157" s="85">
        <v>3.96</v>
      </c>
      <c r="K157" s="85">
        <v>3.3</v>
      </c>
      <c r="L157" s="86">
        <v>3.717</v>
      </c>
      <c r="M157" s="94" cm="1">
        <f t="array" ref="M157">INDEX($BV$29:$BV$1449,MATCH($D157,$BR$29:$BR$1449,0),)</f>
        <v>3.06</v>
      </c>
      <c r="N157" s="88"/>
      <c r="O157" s="88"/>
      <c r="P157" s="88"/>
      <c r="Q157" s="89">
        <f t="shared" ref="Q157:Q220" si="111">L157/M157-1</f>
        <v>0.214705882352941</v>
      </c>
      <c r="AH157" s="105">
        <f t="shared" si="79"/>
        <v>43502</v>
      </c>
      <c r="AI157" s="91">
        <f t="shared" si="70"/>
        <v>5.942</v>
      </c>
      <c r="AJ157" s="36">
        <f t="shared" si="71"/>
        <v>-0.00067272115708028</v>
      </c>
      <c r="AK157" s="36">
        <f t="shared" si="76"/>
        <v>-0.00251804599630678</v>
      </c>
      <c r="AL157" s="105"/>
      <c r="AM157" s="91"/>
      <c r="AN157" s="36"/>
      <c r="AO157" s="36"/>
      <c r="AP157" s="36"/>
      <c r="AQ157" s="92" t="str" cm="1">
        <f t="array" ref="AQ157">_xlfn.IFS(MONTH(AR157)&lt;4,1,MONTH(AR157)&lt;7,2,MONTH(AR157)&lt;10,3,MONTH(AR157)&gt;9,4)&amp;"Q"&amp;RIGHT(YEAR(AR157),2)</f>
        <v>3Q21</v>
      </c>
      <c r="AR157" s="92">
        <f t="shared" si="72"/>
        <v>44408</v>
      </c>
      <c r="AS157" s="109">
        <v>44396</v>
      </c>
      <c r="AT157" s="110"/>
      <c r="AU157" s="94" cm="1">
        <f t="array" ref="AU157">INDEX($CE$29:$CE$1449,MATCH($AR157,$CA$29:$CA$1449,0),)</f>
        <v>160</v>
      </c>
      <c r="AV157" s="110"/>
      <c r="AW157" s="94" cm="1">
        <f t="array" ref="AW157">INDEX($CF$29:$CF$1449,MATCH($AR157,$CA$29:$CA$1449,0),)</f>
        <v>316.8</v>
      </c>
      <c r="AX157" s="94"/>
      <c r="AY157" s="94"/>
      <c r="AZ157" s="94"/>
      <c r="BA157" s="94"/>
      <c r="BB157" s="5"/>
      <c r="BC157" s="5"/>
      <c r="BD157" s="5"/>
      <c r="BE157" s="5"/>
      <c r="BF157" s="5"/>
      <c r="BG157" s="5"/>
      <c r="BH157" s="5"/>
      <c r="BI157" s="5"/>
      <c r="BJ157" s="5"/>
      <c r="BK157" s="5"/>
      <c r="BL157" s="5"/>
      <c r="BM157" s="5"/>
      <c r="BN157" s="5"/>
      <c r="BO157" s="5"/>
      <c r="CA157" s="59"/>
      <c r="CB157" s="59"/>
      <c r="CC157" s="59"/>
      <c r="FV157" s="104">
        <f t="shared" si="89"/>
        <v>2011</v>
      </c>
      <c r="FW157" s="104">
        <f t="shared" si="90"/>
        <v>14</v>
      </c>
      <c r="FX157" s="35">
        <v>40634</v>
      </c>
      <c r="FY157" s="26">
        <v>2.1</v>
      </c>
      <c r="FZ157" s="94">
        <f t="shared" si="91"/>
        <v>8.4</v>
      </c>
      <c r="GA157" s="104"/>
      <c r="GB157" s="104"/>
      <c r="GE157" s="94"/>
      <c r="GF157" s="104">
        <f t="shared" si="92"/>
        <v>2013</v>
      </c>
      <c r="GG157" s="104">
        <f t="shared" si="93"/>
        <v>28</v>
      </c>
      <c r="GH157" s="35">
        <v>41467</v>
      </c>
      <c r="GI157" s="26">
        <v>3.591</v>
      </c>
      <c r="GJ157" s="94">
        <f t="shared" si="94"/>
        <v>7.182</v>
      </c>
      <c r="GK157" s="104"/>
      <c r="GL157" s="104"/>
      <c r="GO157" s="94"/>
    </row>
    <row r="158" ht="16" spans="3:197">
      <c r="C158" s="80" t="str" cm="1">
        <f t="array" ref="C158">_xlfn.IFS(MONTH(D158)&lt;4,1,MONTH(D158)&lt;7,2,MONTH(D158)&lt;10,3,MONTH(D158)&gt;9,4)&amp;"Q"&amp;RIGHT(YEAR(D158),2)</f>
        <v>3Q16</v>
      </c>
      <c r="D158" s="81">
        <f t="shared" ref="D158:D221" si="112">EOMONTH(E158,0)</f>
        <v>42613</v>
      </c>
      <c r="E158" s="82">
        <f t="shared" si="109"/>
        <v>42612</v>
      </c>
      <c r="F158" s="83">
        <f t="shared" si="110"/>
        <v>0.464625</v>
      </c>
      <c r="G158" s="83">
        <f t="shared" si="110"/>
        <v>0.3825</v>
      </c>
      <c r="H158" s="81"/>
      <c r="I158" s="84">
        <v>42612</v>
      </c>
      <c r="J158" s="85">
        <v>3.96</v>
      </c>
      <c r="K158" s="85">
        <v>3.3</v>
      </c>
      <c r="L158" s="86">
        <v>3.717</v>
      </c>
      <c r="M158" s="94" cm="1">
        <f t="array" ref="M158">INDEX($BV$29:$BV$1449,MATCH($D158,$BR$29:$BR$1449,0),)</f>
        <v>3.06</v>
      </c>
      <c r="N158" s="88"/>
      <c r="O158" s="88"/>
      <c r="P158" s="88"/>
      <c r="Q158" s="89">
        <f t="shared" si="111"/>
        <v>0.214705882352941</v>
      </c>
      <c r="AH158" s="105">
        <f t="shared" si="79"/>
        <v>43510</v>
      </c>
      <c r="AI158" s="91">
        <f t="shared" ref="AI158:AI221" si="113">IFERROR(VLOOKUP(AH158,$I:$L,4,FALSE),VLOOKUP(AH158,$I:$L,4,TRUE))</f>
        <v>5.865</v>
      </c>
      <c r="AJ158" s="36">
        <f t="shared" ref="AJ158:AJ221" si="114">AI158/AI157-1</f>
        <v>-0.0129585997980478</v>
      </c>
      <c r="AK158" s="36">
        <f t="shared" si="76"/>
        <v>-0.0136226034308778</v>
      </c>
      <c r="AL158" s="105"/>
      <c r="AM158" s="91"/>
      <c r="AN158" s="36"/>
      <c r="AO158" s="36"/>
      <c r="AP158" s="36"/>
      <c r="AQ158" s="92" t="str" cm="1">
        <f t="array" ref="AQ158">_xlfn.IFS(MONTH(AR158)&lt;4,1,MONTH(AR158)&lt;7,2,MONTH(AR158)&lt;10,3,MONTH(AR158)&gt;9,4)&amp;"Q"&amp;RIGHT(YEAR(AR158),2)</f>
        <v>3Q21</v>
      </c>
      <c r="AR158" s="92">
        <f t="shared" ref="AR158:AR221" si="115">EOMONTH(AS158,0)</f>
        <v>44408</v>
      </c>
      <c r="AS158" s="109">
        <v>44403</v>
      </c>
      <c r="AT158" s="110"/>
      <c r="AU158" s="94" cm="1">
        <f t="array" ref="AU158">INDEX($CE$29:$CE$1449,MATCH($AR158,$CA$29:$CA$1449,0),)</f>
        <v>160</v>
      </c>
      <c r="AV158" s="110"/>
      <c r="AW158" s="94" cm="1">
        <f t="array" ref="AW158">INDEX($CF$29:$CF$1449,MATCH($AR158,$CA$29:$CA$1449,0),)</f>
        <v>316.8</v>
      </c>
      <c r="AX158" s="94"/>
      <c r="AY158" s="94"/>
      <c r="AZ158" s="94"/>
      <c r="BA158" s="94"/>
      <c r="BB158" s="5"/>
      <c r="BC158" s="5"/>
      <c r="BD158" s="5"/>
      <c r="BE158" s="5"/>
      <c r="BF158" s="5"/>
      <c r="BG158" s="5"/>
      <c r="BH158" s="5"/>
      <c r="BI158" s="5"/>
      <c r="BJ158" s="5"/>
      <c r="BK158" s="5"/>
      <c r="BL158" s="5"/>
      <c r="BM158" s="5"/>
      <c r="BN158" s="5"/>
      <c r="BO158" s="5"/>
      <c r="CA158" s="59"/>
      <c r="CB158" s="59"/>
      <c r="CC158" s="59"/>
      <c r="FV158" s="104">
        <f t="shared" si="89"/>
        <v>2011</v>
      </c>
      <c r="FW158" s="104">
        <f t="shared" si="90"/>
        <v>15</v>
      </c>
      <c r="FX158" s="35">
        <v>40639</v>
      </c>
      <c r="FY158" s="26">
        <v>2.1</v>
      </c>
      <c r="FZ158" s="94">
        <f t="shared" si="91"/>
        <v>8.4</v>
      </c>
      <c r="GA158" s="104"/>
      <c r="GB158" s="104"/>
      <c r="GE158" s="94"/>
      <c r="GF158" s="104">
        <f t="shared" si="92"/>
        <v>2013</v>
      </c>
      <c r="GG158" s="104">
        <f t="shared" si="93"/>
        <v>29</v>
      </c>
      <c r="GH158" s="35">
        <v>41470</v>
      </c>
      <c r="GI158" s="26">
        <v>3.599</v>
      </c>
      <c r="GJ158" s="94">
        <f t="shared" si="94"/>
        <v>7.198</v>
      </c>
      <c r="GK158" s="104"/>
      <c r="GL158" s="104"/>
      <c r="GO158" s="94"/>
    </row>
    <row r="159" ht="16" spans="3:197">
      <c r="C159" s="80" t="str" cm="1">
        <f t="array" ref="C159">_xlfn.IFS(MONTH(D159)&lt;4,1,MONTH(D159)&lt;7,2,MONTH(D159)&lt;10,3,MONTH(D159)&gt;9,4)&amp;"Q"&amp;RIGHT(YEAR(D159),2)</f>
        <v>3Q16</v>
      </c>
      <c r="D159" s="81">
        <f t="shared" si="112"/>
        <v>42613</v>
      </c>
      <c r="E159" s="82">
        <f t="shared" si="109"/>
        <v>42613</v>
      </c>
      <c r="F159" s="83">
        <f t="shared" si="110"/>
        <v>0.464625</v>
      </c>
      <c r="G159" s="83">
        <f t="shared" si="110"/>
        <v>0.3825</v>
      </c>
      <c r="H159" s="81"/>
      <c r="I159" s="84">
        <v>42613</v>
      </c>
      <c r="J159" s="85">
        <v>4</v>
      </c>
      <c r="K159" s="85">
        <v>3.3</v>
      </c>
      <c r="L159" s="86">
        <v>3.717</v>
      </c>
      <c r="M159" s="94" cm="1">
        <f t="array" ref="M159">INDEX($BV$29:$BV$1449,MATCH($D159,$BR$29:$BR$1449,0),)</f>
        <v>3.06</v>
      </c>
      <c r="N159" s="88"/>
      <c r="O159" s="88"/>
      <c r="P159" s="88"/>
      <c r="Q159" s="89">
        <f t="shared" si="111"/>
        <v>0.214705882352941</v>
      </c>
      <c r="AH159" s="105">
        <f t="shared" si="79"/>
        <v>43518</v>
      </c>
      <c r="AI159" s="91">
        <f t="shared" si="113"/>
        <v>5.748</v>
      </c>
      <c r="AJ159" s="36">
        <f t="shared" si="114"/>
        <v>-0.0199488491048593</v>
      </c>
      <c r="AK159" s="36">
        <f t="shared" ref="AK159:AK222" si="116">AI159/AI157-1</f>
        <v>-0.0326489397509256</v>
      </c>
      <c r="AL159" s="105"/>
      <c r="AM159" s="91"/>
      <c r="AN159" s="36"/>
      <c r="AO159" s="36"/>
      <c r="AP159" s="36"/>
      <c r="AQ159" s="92" t="str" cm="1">
        <f t="array" ref="AQ159">_xlfn.IFS(MONTH(AR159)&lt;4,1,MONTH(AR159)&lt;7,2,MONTH(AR159)&lt;10,3,MONTH(AR159)&gt;9,4)&amp;"Q"&amp;RIGHT(YEAR(AR159),2)</f>
        <v>3Q21</v>
      </c>
      <c r="AR159" s="92">
        <f t="shared" si="115"/>
        <v>44439</v>
      </c>
      <c r="AS159" s="109">
        <v>44410</v>
      </c>
      <c r="AT159" s="110"/>
      <c r="AU159" s="94" cm="1">
        <f t="array" ref="AU159">INDEX($CE$29:$CE$1449,MATCH($AR159,$CA$29:$CA$1449,0),)</f>
        <v>160</v>
      </c>
      <c r="AV159" s="110"/>
      <c r="AW159" s="94" cm="1">
        <f t="array" ref="AW159">INDEX($CF$29:$CF$1449,MATCH($AR159,$CA$29:$CA$1449,0),)</f>
        <v>316.8</v>
      </c>
      <c r="AX159" s="94"/>
      <c r="AY159" s="94"/>
      <c r="AZ159" s="94"/>
      <c r="BA159" s="94"/>
      <c r="BB159" s="5"/>
      <c r="BC159" s="5"/>
      <c r="BD159" s="5"/>
      <c r="BE159" s="5"/>
      <c r="BF159" s="5"/>
      <c r="BG159" s="5"/>
      <c r="BH159" s="5"/>
      <c r="BI159" s="5"/>
      <c r="BJ159" s="5"/>
      <c r="BK159" s="5"/>
      <c r="BL159" s="5"/>
      <c r="BM159" s="5"/>
      <c r="BN159" s="5"/>
      <c r="BO159" s="5"/>
      <c r="CA159" s="59"/>
      <c r="CB159" s="59"/>
      <c r="CC159" s="59"/>
      <c r="FV159" s="104">
        <f t="shared" si="89"/>
        <v>2011</v>
      </c>
      <c r="FW159" s="104">
        <f t="shared" si="90"/>
        <v>15</v>
      </c>
      <c r="FX159" s="35">
        <v>40640</v>
      </c>
      <c r="FY159" s="26">
        <v>2.1</v>
      </c>
      <c r="FZ159" s="94">
        <f t="shared" si="91"/>
        <v>8.4</v>
      </c>
      <c r="GA159" s="104"/>
      <c r="GB159" s="104"/>
      <c r="GE159" s="94"/>
      <c r="GF159" s="104">
        <f t="shared" si="92"/>
        <v>2013</v>
      </c>
      <c r="GG159" s="104">
        <f t="shared" si="93"/>
        <v>29</v>
      </c>
      <c r="GH159" s="35">
        <v>41471</v>
      </c>
      <c r="GI159" s="26">
        <v>3.599</v>
      </c>
      <c r="GJ159" s="94">
        <f t="shared" si="94"/>
        <v>7.198</v>
      </c>
      <c r="GK159" s="104"/>
      <c r="GL159" s="104"/>
      <c r="GO159" s="94"/>
    </row>
    <row r="160" spans="3:197">
      <c r="C160" s="80" t="str" cm="1">
        <f t="array" ref="C160">_xlfn.IFS(MONTH(D160)&lt;4,1,MONTH(D160)&lt;7,2,MONTH(D160)&lt;10,3,MONTH(D160)&gt;9,4)&amp;"Q"&amp;RIGHT(YEAR(D160),2)</f>
        <v>3Q16</v>
      </c>
      <c r="D160" s="81">
        <f t="shared" si="112"/>
        <v>42643</v>
      </c>
      <c r="E160" s="82">
        <f t="shared" si="109"/>
        <v>42614</v>
      </c>
      <c r="F160" s="83">
        <f t="shared" si="110"/>
        <v>0.464625</v>
      </c>
      <c r="G160" s="83">
        <f t="shared" si="110"/>
        <v>0.41375</v>
      </c>
      <c r="H160" s="81"/>
      <c r="I160" s="84">
        <v>42614</v>
      </c>
      <c r="J160" s="85">
        <v>4</v>
      </c>
      <c r="K160" s="85">
        <v>3.3</v>
      </c>
      <c r="L160" s="86">
        <v>3.717</v>
      </c>
      <c r="M160" s="94" cm="1">
        <f t="array" ref="M160">INDEX($BV$29:$BV$1449,MATCH($D160,$BR$29:$BR$1449,0),)</f>
        <v>3.31</v>
      </c>
      <c r="N160" s="88"/>
      <c r="O160" s="88"/>
      <c r="P160" s="88"/>
      <c r="Q160" s="89">
        <f t="shared" si="111"/>
        <v>0.122960725075529</v>
      </c>
      <c r="AH160" s="105">
        <f t="shared" si="79"/>
        <v>43528</v>
      </c>
      <c r="AI160" s="91">
        <f t="shared" si="113"/>
        <v>5.453</v>
      </c>
      <c r="AJ160" s="36">
        <f t="shared" si="114"/>
        <v>-0.0513221990257481</v>
      </c>
      <c r="AK160" s="36">
        <f t="shared" si="116"/>
        <v>-0.0702472293265132</v>
      </c>
      <c r="AL160" s="105"/>
      <c r="AM160" s="91"/>
      <c r="AN160" s="36"/>
      <c r="AO160" s="36"/>
      <c r="AP160" s="36"/>
      <c r="AQ160" s="128" t="str" cm="1">
        <f t="array" ref="AQ160">_xlfn.IFS(MONTH(AR160)&lt;4,1,MONTH(AR160)&lt;7,2,MONTH(AR160)&lt;10,3,MONTH(AR160)&gt;9,4)&amp;"Q"&amp;RIGHT(YEAR(AR160),2)</f>
        <v>3Q21</v>
      </c>
      <c r="AR160" s="128">
        <f t="shared" si="115"/>
        <v>44439</v>
      </c>
      <c r="AS160" s="129">
        <v>44417</v>
      </c>
      <c r="AT160" s="130">
        <v>159</v>
      </c>
      <c r="AU160" s="94" cm="1">
        <f t="array" ref="AU160">INDEX($CE$29:$CE$1449,MATCH($AR160,$CA$29:$CA$1449,0),)</f>
        <v>160</v>
      </c>
      <c r="AV160" s="130">
        <v>330</v>
      </c>
      <c r="AW160" s="94" cm="1">
        <f t="array" ref="AW160">INDEX($CF$29:$CF$1449,MATCH($AR160,$CA$29:$CA$1449,0),)</f>
        <v>316.8</v>
      </c>
      <c r="AX160" s="94"/>
      <c r="AY160" s="94"/>
      <c r="AZ160" s="94"/>
      <c r="BA160" s="94"/>
      <c r="BB160" s="131"/>
      <c r="BC160" s="131"/>
      <c r="BD160" s="131"/>
      <c r="BE160" s="131"/>
      <c r="BF160" s="131"/>
      <c r="BG160" s="131"/>
      <c r="BH160" s="131"/>
      <c r="BI160" s="131"/>
      <c r="BJ160" s="131"/>
      <c r="BK160" s="131"/>
      <c r="BL160" s="131"/>
      <c r="BM160" s="131"/>
      <c r="BN160" s="131"/>
      <c r="BO160" s="5"/>
      <c r="CA160" s="59"/>
      <c r="CB160" s="59"/>
      <c r="CC160" s="59"/>
      <c r="FV160" s="104">
        <f t="shared" si="89"/>
        <v>2011</v>
      </c>
      <c r="FW160" s="104">
        <f t="shared" si="90"/>
        <v>15</v>
      </c>
      <c r="FX160" s="35">
        <v>40641</v>
      </c>
      <c r="FY160" s="26">
        <v>2.09</v>
      </c>
      <c r="FZ160" s="94">
        <f t="shared" si="91"/>
        <v>8.36</v>
      </c>
      <c r="GA160" s="104"/>
      <c r="GB160" s="104"/>
      <c r="GE160" s="94"/>
      <c r="GF160" s="104">
        <f t="shared" si="92"/>
        <v>2013</v>
      </c>
      <c r="GG160" s="104">
        <f t="shared" si="93"/>
        <v>29</v>
      </c>
      <c r="GH160" s="35">
        <v>41472</v>
      </c>
      <c r="GI160" s="26">
        <v>3.599</v>
      </c>
      <c r="GJ160" s="94">
        <f t="shared" si="94"/>
        <v>7.198</v>
      </c>
      <c r="GK160" s="104"/>
      <c r="GL160" s="104"/>
      <c r="GO160" s="94"/>
    </row>
    <row r="161" spans="3:197">
      <c r="C161" s="80" t="str" cm="1">
        <f t="array" ref="C161">_xlfn.IFS(MONTH(D161)&lt;4,1,MONTH(D161)&lt;7,2,MONTH(D161)&lt;10,3,MONTH(D161)&gt;9,4)&amp;"Q"&amp;RIGHT(YEAR(D161),2)</f>
        <v>3Q16</v>
      </c>
      <c r="D161" s="81">
        <f t="shared" si="112"/>
        <v>42643</v>
      </c>
      <c r="E161" s="82">
        <f t="shared" si="109"/>
        <v>42615</v>
      </c>
      <c r="F161" s="83">
        <f t="shared" si="110"/>
        <v>0.464625</v>
      </c>
      <c r="G161" s="83">
        <f t="shared" si="110"/>
        <v>0.41375</v>
      </c>
      <c r="H161" s="81"/>
      <c r="I161" s="84">
        <v>42615</v>
      </c>
      <c r="J161" s="85">
        <v>4</v>
      </c>
      <c r="K161" s="85">
        <v>3.3</v>
      </c>
      <c r="L161" s="86">
        <v>3.717</v>
      </c>
      <c r="M161" s="94" cm="1">
        <f t="array" ref="M161">INDEX($BV$29:$BV$1449,MATCH($D161,$BR$29:$BR$1449,0),)</f>
        <v>3.31</v>
      </c>
      <c r="N161" s="88"/>
      <c r="O161" s="88"/>
      <c r="P161" s="88"/>
      <c r="Q161" s="89">
        <f t="shared" si="111"/>
        <v>0.122960725075529</v>
      </c>
      <c r="AH161" s="105">
        <f t="shared" si="79"/>
        <v>43536</v>
      </c>
      <c r="AI161" s="91">
        <f t="shared" si="113"/>
        <v>5.189</v>
      </c>
      <c r="AJ161" s="36">
        <f t="shared" si="114"/>
        <v>-0.048413717219879</v>
      </c>
      <c r="AK161" s="36">
        <f t="shared" si="116"/>
        <v>-0.0972512178148922</v>
      </c>
      <c r="AL161" s="105"/>
      <c r="AM161" s="91"/>
      <c r="AN161" s="36"/>
      <c r="AO161" s="36"/>
      <c r="AP161" s="36"/>
      <c r="AQ161" s="128" t="str" cm="1">
        <f t="array" ref="AQ161">_xlfn.IFS(MONTH(AR161)&lt;4,1,MONTH(AR161)&lt;7,2,MONTH(AR161)&lt;10,3,MONTH(AR161)&gt;9,4)&amp;"Q"&amp;RIGHT(YEAR(AR161),2)</f>
        <v>3Q21</v>
      </c>
      <c r="AR161" s="128">
        <f t="shared" si="115"/>
        <v>44439</v>
      </c>
      <c r="AS161" s="129">
        <v>44424</v>
      </c>
      <c r="AT161" s="130">
        <v>158.5</v>
      </c>
      <c r="AU161" s="94" cm="1">
        <f t="array" ref="AU161">INDEX($CE$29:$CE$1449,MATCH($AR161,$CA$29:$CA$1449,0),)</f>
        <v>160</v>
      </c>
      <c r="AV161" s="130">
        <v>330</v>
      </c>
      <c r="AW161" s="94" cm="1">
        <f t="array" ref="AW161">INDEX($CF$29:$CF$1449,MATCH($AR161,$CA$29:$CA$1449,0),)</f>
        <v>316.8</v>
      </c>
      <c r="AX161" s="94"/>
      <c r="AY161" s="94"/>
      <c r="AZ161" s="94"/>
      <c r="BA161" s="94"/>
      <c r="BB161" s="132">
        <f t="shared" ref="BB161:BB224" si="117">AT161/AT160-1</f>
        <v>-0.00314465408805031</v>
      </c>
      <c r="BC161" s="1"/>
      <c r="BD161" s="131"/>
      <c r="BE161" s="132">
        <f t="shared" ref="BE161:BE224" si="118">AV161/AV160-1</f>
        <v>0</v>
      </c>
      <c r="BF161" s="131"/>
      <c r="BG161" s="131"/>
      <c r="BH161" s="131"/>
      <c r="BI161" s="131"/>
      <c r="BJ161" s="131"/>
      <c r="BK161" s="131"/>
      <c r="BL161" s="131"/>
      <c r="BM161" s="131"/>
      <c r="BN161" s="131"/>
      <c r="CA161" s="59"/>
      <c r="CB161" s="59"/>
      <c r="CC161" s="59"/>
      <c r="FV161" s="104">
        <f t="shared" si="89"/>
        <v>2011</v>
      </c>
      <c r="FW161" s="104">
        <f t="shared" si="90"/>
        <v>16</v>
      </c>
      <c r="FX161" s="35">
        <v>40644</v>
      </c>
      <c r="FY161" s="26">
        <v>2.08</v>
      </c>
      <c r="FZ161" s="94">
        <f t="shared" si="91"/>
        <v>8.32</v>
      </c>
      <c r="GA161" s="104"/>
      <c r="GB161" s="104"/>
      <c r="GE161" s="94"/>
      <c r="GF161" s="104">
        <f t="shared" si="92"/>
        <v>2013</v>
      </c>
      <c r="GG161" s="104">
        <f t="shared" si="93"/>
        <v>29</v>
      </c>
      <c r="GH161" s="35">
        <v>41473</v>
      </c>
      <c r="GI161" s="26">
        <v>3.599</v>
      </c>
      <c r="GJ161" s="94">
        <f t="shared" si="94"/>
        <v>7.198</v>
      </c>
      <c r="GK161" s="104"/>
      <c r="GL161" s="104"/>
      <c r="GO161" s="94"/>
    </row>
    <row r="162" spans="3:197">
      <c r="C162" s="80" t="str" cm="1">
        <f t="array" ref="C162">_xlfn.IFS(MONTH(D162)&lt;4,1,MONTH(D162)&lt;7,2,MONTH(D162)&lt;10,3,MONTH(D162)&gt;9,4)&amp;"Q"&amp;RIGHT(YEAR(D162),2)</f>
        <v>3Q16</v>
      </c>
      <c r="D162" s="81">
        <f t="shared" si="112"/>
        <v>42643</v>
      </c>
      <c r="E162" s="82">
        <f t="shared" si="109"/>
        <v>42618</v>
      </c>
      <c r="F162" s="83">
        <f t="shared" si="110"/>
        <v>0.464625</v>
      </c>
      <c r="G162" s="83">
        <f t="shared" si="110"/>
        <v>0.41375</v>
      </c>
      <c r="H162" s="81"/>
      <c r="I162" s="84">
        <v>42618</v>
      </c>
      <c r="J162" s="85">
        <v>4</v>
      </c>
      <c r="K162" s="85">
        <v>3.3</v>
      </c>
      <c r="L162" s="86">
        <v>3.717</v>
      </c>
      <c r="M162" s="94" cm="1">
        <f t="array" ref="M162">INDEX($BV$29:$BV$1449,MATCH($D162,$BR$29:$BR$1449,0),)</f>
        <v>3.31</v>
      </c>
      <c r="N162" s="88"/>
      <c r="O162" s="88"/>
      <c r="P162" s="88"/>
      <c r="Q162" s="89">
        <f t="shared" si="111"/>
        <v>0.122960725075529</v>
      </c>
      <c r="AH162" s="105">
        <f t="shared" si="79"/>
        <v>43544</v>
      </c>
      <c r="AI162" s="91">
        <f t="shared" si="113"/>
        <v>4.895</v>
      </c>
      <c r="AJ162" s="36">
        <f t="shared" si="114"/>
        <v>-0.0566583156677588</v>
      </c>
      <c r="AK162" s="36">
        <f t="shared" si="116"/>
        <v>-0.102328993214744</v>
      </c>
      <c r="AL162" s="105"/>
      <c r="AM162" s="91"/>
      <c r="AN162" s="36"/>
      <c r="AO162" s="36"/>
      <c r="AP162" s="36"/>
      <c r="AQ162" s="128" t="str" cm="1">
        <f t="array" ref="AQ162">_xlfn.IFS(MONTH(AR162)&lt;4,1,MONTH(AR162)&lt;7,2,MONTH(AR162)&lt;10,3,MONTH(AR162)&gt;9,4)&amp;"Q"&amp;RIGHT(YEAR(AR162),2)</f>
        <v>3Q21</v>
      </c>
      <c r="AR162" s="128">
        <f t="shared" si="115"/>
        <v>44439</v>
      </c>
      <c r="AS162" s="129">
        <v>44431</v>
      </c>
      <c r="AT162" s="130">
        <v>159.5</v>
      </c>
      <c r="AU162" s="94" cm="1">
        <f t="array" ref="AU162">INDEX($CE$29:$CE$1449,MATCH($AR162,$CA$29:$CA$1449,0),)</f>
        <v>160</v>
      </c>
      <c r="AV162" s="130">
        <v>330</v>
      </c>
      <c r="AW162" s="94" cm="1">
        <f t="array" ref="AW162">INDEX($CF$29:$CF$1449,MATCH($AR162,$CA$29:$CA$1449,0),)</f>
        <v>316.8</v>
      </c>
      <c r="AX162" s="94"/>
      <c r="AY162" s="94"/>
      <c r="AZ162" s="94"/>
      <c r="BA162" s="94"/>
      <c r="BB162" s="132">
        <f t="shared" si="117"/>
        <v>0.00630914826498419</v>
      </c>
      <c r="BC162" s="132">
        <f t="shared" ref="BC162:BC225" si="119">AT162/AT160-1</f>
        <v>0.00314465408805042</v>
      </c>
      <c r="BD162" s="1"/>
      <c r="BE162" s="132">
        <f t="shared" si="118"/>
        <v>0</v>
      </c>
      <c r="BF162" s="132">
        <f t="shared" ref="BF162:BF225" si="120">AV162/AV160-1</f>
        <v>0</v>
      </c>
      <c r="BG162" s="131"/>
      <c r="BH162" s="131"/>
      <c r="BI162" s="131"/>
      <c r="BJ162" s="131"/>
      <c r="BK162" s="131"/>
      <c r="BL162" s="131"/>
      <c r="BM162" s="131"/>
      <c r="BN162" s="131"/>
      <c r="CA162" s="59"/>
      <c r="CB162" s="59"/>
      <c r="CC162" s="59"/>
      <c r="FV162" s="104">
        <f t="shared" si="89"/>
        <v>2011</v>
      </c>
      <c r="FW162" s="104">
        <f t="shared" si="90"/>
        <v>16</v>
      </c>
      <c r="FX162" s="35">
        <v>40645</v>
      </c>
      <c r="FY162" s="26">
        <v>2.07</v>
      </c>
      <c r="FZ162" s="94">
        <f t="shared" si="91"/>
        <v>8.28</v>
      </c>
      <c r="GA162" s="104"/>
      <c r="GB162" s="104"/>
      <c r="GE162" s="94"/>
      <c r="GF162" s="104">
        <f t="shared" si="92"/>
        <v>2013</v>
      </c>
      <c r="GG162" s="104">
        <f t="shared" si="93"/>
        <v>29</v>
      </c>
      <c r="GH162" s="35">
        <v>41474</v>
      </c>
      <c r="GI162" s="26">
        <v>3.588</v>
      </c>
      <c r="GJ162" s="94">
        <f t="shared" si="94"/>
        <v>7.176</v>
      </c>
      <c r="GK162" s="104"/>
      <c r="GL162" s="104"/>
      <c r="GO162" s="94"/>
    </row>
    <row r="163" spans="3:197">
      <c r="C163" s="80" t="str" cm="1">
        <f t="array" ref="C163">_xlfn.IFS(MONTH(D163)&lt;4,1,MONTH(D163)&lt;7,2,MONTH(D163)&lt;10,3,MONTH(D163)&gt;9,4)&amp;"Q"&amp;RIGHT(YEAR(D163),2)</f>
        <v>3Q16</v>
      </c>
      <c r="D163" s="81">
        <f t="shared" si="112"/>
        <v>42643</v>
      </c>
      <c r="E163" s="82">
        <f t="shared" si="109"/>
        <v>42619</v>
      </c>
      <c r="F163" s="83">
        <f t="shared" si="110"/>
        <v>0.464625</v>
      </c>
      <c r="G163" s="83">
        <f t="shared" si="110"/>
        <v>0.41375</v>
      </c>
      <c r="H163" s="81"/>
      <c r="I163" s="84">
        <v>42619</v>
      </c>
      <c r="J163" s="85">
        <v>4</v>
      </c>
      <c r="K163" s="85">
        <v>3.3</v>
      </c>
      <c r="L163" s="86">
        <v>3.717</v>
      </c>
      <c r="M163" s="94" cm="1">
        <f t="array" ref="M163">INDEX($BV$29:$BV$1449,MATCH($D163,$BR$29:$BR$1449,0),)</f>
        <v>3.31</v>
      </c>
      <c r="N163" s="88"/>
      <c r="O163" s="88"/>
      <c r="P163" s="88"/>
      <c r="Q163" s="89">
        <f t="shared" si="111"/>
        <v>0.122960725075529</v>
      </c>
      <c r="AH163" s="105">
        <f t="shared" si="79"/>
        <v>43552</v>
      </c>
      <c r="AI163" s="91">
        <f t="shared" si="113"/>
        <v>4.584</v>
      </c>
      <c r="AJ163" s="36">
        <f t="shared" si="114"/>
        <v>-0.0635342185903983</v>
      </c>
      <c r="AK163" s="36">
        <f t="shared" si="116"/>
        <v>-0.116592792445558</v>
      </c>
      <c r="AL163" s="105"/>
      <c r="AM163" s="91"/>
      <c r="AN163" s="36"/>
      <c r="AO163" s="36"/>
      <c r="AP163" s="36"/>
      <c r="AQ163" s="128" t="str" cm="1">
        <f t="array" ref="AQ163">_xlfn.IFS(MONTH(AR163)&lt;4,1,MONTH(AR163)&lt;7,2,MONTH(AR163)&lt;10,3,MONTH(AR163)&gt;9,4)&amp;"Q"&amp;RIGHT(YEAR(AR163),2)</f>
        <v>3Q21</v>
      </c>
      <c r="AR163" s="128">
        <f t="shared" si="115"/>
        <v>44439</v>
      </c>
      <c r="AS163" s="129">
        <v>44438</v>
      </c>
      <c r="AT163" s="130">
        <v>158.5</v>
      </c>
      <c r="AU163" s="94" cm="1">
        <f t="array" ref="AU163">INDEX($CE$29:$CE$1449,MATCH($AR163,$CA$29:$CA$1449,0),)</f>
        <v>160</v>
      </c>
      <c r="AV163" s="130">
        <v>324</v>
      </c>
      <c r="AW163" s="94" cm="1">
        <f t="array" ref="AW163">INDEX($CF$29:$CF$1449,MATCH($AR163,$CA$29:$CA$1449,0),)</f>
        <v>316.8</v>
      </c>
      <c r="AX163" s="94"/>
      <c r="AY163" s="94"/>
      <c r="AZ163" s="94"/>
      <c r="BA163" s="94"/>
      <c r="BB163" s="132">
        <f t="shared" si="117"/>
        <v>-0.00626959247648906</v>
      </c>
      <c r="BC163" s="132">
        <f t="shared" si="119"/>
        <v>0</v>
      </c>
      <c r="BD163" s="132">
        <f t="shared" ref="BD163:BD226" si="121">AT163/AT160-1</f>
        <v>-0.00314465408805031</v>
      </c>
      <c r="BE163" s="132">
        <f t="shared" si="118"/>
        <v>-0.0181818181818182</v>
      </c>
      <c r="BF163" s="132">
        <f t="shared" si="120"/>
        <v>-0.0181818181818182</v>
      </c>
      <c r="BG163" s="132">
        <f t="shared" ref="BG163:BG226" si="122">AV163/AV160-1</f>
        <v>-0.0181818181818182</v>
      </c>
      <c r="BH163" s="132"/>
      <c r="BI163" s="132"/>
      <c r="BJ163" s="132"/>
      <c r="BK163" s="132"/>
      <c r="BL163" s="132"/>
      <c r="BM163" s="132"/>
      <c r="BN163" s="132"/>
      <c r="CA163" s="59"/>
      <c r="CB163" s="59"/>
      <c r="CC163" s="59"/>
      <c r="FV163" s="104">
        <f t="shared" si="89"/>
        <v>2011</v>
      </c>
      <c r="FW163" s="104">
        <f t="shared" si="90"/>
        <v>16</v>
      </c>
      <c r="FX163" s="35">
        <v>40646</v>
      </c>
      <c r="FY163" s="26">
        <v>2.06</v>
      </c>
      <c r="FZ163" s="94">
        <f t="shared" si="91"/>
        <v>8.24</v>
      </c>
      <c r="GA163" s="104"/>
      <c r="GB163" s="104"/>
      <c r="GE163" s="94"/>
      <c r="GF163" s="104">
        <f t="shared" si="92"/>
        <v>2013</v>
      </c>
      <c r="GG163" s="104">
        <f t="shared" si="93"/>
        <v>30</v>
      </c>
      <c r="GH163" s="35">
        <v>41477</v>
      </c>
      <c r="GI163" s="26">
        <v>3.553</v>
      </c>
      <c r="GJ163" s="94">
        <f t="shared" si="94"/>
        <v>7.106</v>
      </c>
      <c r="GK163" s="104"/>
      <c r="GL163" s="104"/>
      <c r="GO163" s="94"/>
    </row>
    <row r="164" spans="3:197">
      <c r="C164" s="80" t="str" cm="1">
        <f t="array" ref="C164">_xlfn.IFS(MONTH(D164)&lt;4,1,MONTH(D164)&lt;7,2,MONTH(D164)&lt;10,3,MONTH(D164)&gt;9,4)&amp;"Q"&amp;RIGHT(YEAR(D164),2)</f>
        <v>3Q16</v>
      </c>
      <c r="D164" s="81">
        <f t="shared" si="112"/>
        <v>42643</v>
      </c>
      <c r="E164" s="82">
        <f t="shared" si="109"/>
        <v>42620</v>
      </c>
      <c r="F164" s="83">
        <f t="shared" si="110"/>
        <v>0.464625</v>
      </c>
      <c r="G164" s="83">
        <f t="shared" si="110"/>
        <v>0.41375</v>
      </c>
      <c r="H164" s="81"/>
      <c r="I164" s="84">
        <v>42620</v>
      </c>
      <c r="J164" s="85">
        <v>4</v>
      </c>
      <c r="K164" s="85">
        <v>3.3</v>
      </c>
      <c r="L164" s="86">
        <v>3.717</v>
      </c>
      <c r="M164" s="94" cm="1">
        <f t="array" ref="M164">INDEX($BV$29:$BV$1449,MATCH($D164,$BR$29:$BR$1449,0),)</f>
        <v>3.31</v>
      </c>
      <c r="N164" s="88"/>
      <c r="O164" s="88"/>
      <c r="P164" s="88"/>
      <c r="Q164" s="89">
        <f t="shared" si="111"/>
        <v>0.122960725075529</v>
      </c>
      <c r="AH164" s="105">
        <f t="shared" si="79"/>
        <v>43560</v>
      </c>
      <c r="AI164" s="91">
        <f t="shared" si="113"/>
        <v>4.454</v>
      </c>
      <c r="AJ164" s="36">
        <f t="shared" si="114"/>
        <v>-0.0283595113438045</v>
      </c>
      <c r="AK164" s="36">
        <f t="shared" si="116"/>
        <v>-0.0900919305413688</v>
      </c>
      <c r="AL164" s="105"/>
      <c r="AM164" s="91"/>
      <c r="AN164" s="36"/>
      <c r="AO164" s="36"/>
      <c r="AP164" s="36"/>
      <c r="AQ164" s="128" t="str" cm="1">
        <f t="array" ref="AQ164">_xlfn.IFS(MONTH(AR164)&lt;4,1,MONTH(AR164)&lt;7,2,MONTH(AR164)&lt;10,3,MONTH(AR164)&gt;9,4)&amp;"Q"&amp;RIGHT(YEAR(AR164),2)</f>
        <v>3Q21</v>
      </c>
      <c r="AR164" s="128">
        <f t="shared" si="115"/>
        <v>44469</v>
      </c>
      <c r="AS164" s="129">
        <v>44445</v>
      </c>
      <c r="AT164" s="130">
        <v>158</v>
      </c>
      <c r="AU164" s="94" cm="1">
        <f t="array" ref="AU164">INDEX($CE$29:$CE$1449,MATCH($AR164,$CA$29:$CA$1449,0),)</f>
        <v>160</v>
      </c>
      <c r="AV164" s="130">
        <v>324</v>
      </c>
      <c r="AW164" s="94" cm="1">
        <f t="array" ref="AW164">INDEX($CF$29:$CF$1449,MATCH($AR164,$CA$29:$CA$1449,0),)</f>
        <v>316.8</v>
      </c>
      <c r="AX164" s="94"/>
      <c r="AY164" s="94"/>
      <c r="AZ164" s="94"/>
      <c r="BA164" s="94"/>
      <c r="BB164" s="132">
        <f t="shared" si="117"/>
        <v>-0.00315457413249209</v>
      </c>
      <c r="BC164" s="132">
        <f t="shared" si="119"/>
        <v>-0.00940438871473359</v>
      </c>
      <c r="BD164" s="132">
        <f t="shared" si="121"/>
        <v>-0.00315457413249209</v>
      </c>
      <c r="BE164" s="132">
        <f t="shared" si="118"/>
        <v>0</v>
      </c>
      <c r="BF164" s="132">
        <f t="shared" si="120"/>
        <v>-0.0181818181818182</v>
      </c>
      <c r="BG164" s="132">
        <f t="shared" si="122"/>
        <v>-0.0181818181818182</v>
      </c>
      <c r="BH164" s="132"/>
      <c r="BI164" s="132"/>
      <c r="BJ164" s="132"/>
      <c r="BK164" s="132"/>
      <c r="BL164" s="132"/>
      <c r="BM164" s="132"/>
      <c r="BN164" s="132"/>
      <c r="CA164" s="59"/>
      <c r="CB164" s="59"/>
      <c r="CC164" s="59"/>
      <c r="FV164" s="104">
        <f t="shared" si="89"/>
        <v>2011</v>
      </c>
      <c r="FW164" s="104">
        <f t="shared" si="90"/>
        <v>16</v>
      </c>
      <c r="FX164" s="35">
        <v>40647</v>
      </c>
      <c r="FY164" s="26">
        <v>2.05</v>
      </c>
      <c r="FZ164" s="94">
        <f t="shared" si="91"/>
        <v>8.2</v>
      </c>
      <c r="GA164" s="104"/>
      <c r="GB164" s="104"/>
      <c r="GE164" s="94"/>
      <c r="GF164" s="104">
        <f t="shared" si="92"/>
        <v>2013</v>
      </c>
      <c r="GG164" s="104">
        <f t="shared" si="93"/>
        <v>30</v>
      </c>
      <c r="GH164" s="35">
        <v>41478</v>
      </c>
      <c r="GI164" s="26">
        <v>3.473</v>
      </c>
      <c r="GJ164" s="94">
        <f t="shared" si="94"/>
        <v>6.946</v>
      </c>
      <c r="GK164" s="104"/>
      <c r="GL164" s="104"/>
      <c r="GO164" s="94"/>
    </row>
    <row r="165" spans="3:197">
      <c r="C165" s="80" t="str" cm="1">
        <f t="array" ref="C165">_xlfn.IFS(MONTH(D165)&lt;4,1,MONTH(D165)&lt;7,2,MONTH(D165)&lt;10,3,MONTH(D165)&gt;9,4)&amp;"Q"&amp;RIGHT(YEAR(D165),2)</f>
        <v>3Q16</v>
      </c>
      <c r="D165" s="81">
        <f t="shared" si="112"/>
        <v>42643</v>
      </c>
      <c r="E165" s="82">
        <f t="shared" si="109"/>
        <v>42621</v>
      </c>
      <c r="F165" s="83">
        <f t="shared" si="110"/>
        <v>0.465</v>
      </c>
      <c r="G165" s="83">
        <f t="shared" si="110"/>
        <v>0.41375</v>
      </c>
      <c r="H165" s="81"/>
      <c r="I165" s="84">
        <v>42621</v>
      </c>
      <c r="J165" s="85">
        <v>4.1</v>
      </c>
      <c r="K165" s="85">
        <v>3.45</v>
      </c>
      <c r="L165" s="86">
        <v>3.72</v>
      </c>
      <c r="M165" s="94" cm="1">
        <f t="array" ref="M165">INDEX($BV$29:$BV$1449,MATCH($D165,$BR$29:$BR$1449,0),)</f>
        <v>3.31</v>
      </c>
      <c r="N165" s="88"/>
      <c r="O165" s="88"/>
      <c r="P165" s="88"/>
      <c r="Q165" s="89">
        <f t="shared" si="111"/>
        <v>0.123867069486405</v>
      </c>
      <c r="AH165" s="105">
        <f t="shared" si="79"/>
        <v>43570</v>
      </c>
      <c r="AI165" s="91">
        <f t="shared" si="113"/>
        <v>4.292</v>
      </c>
      <c r="AJ165" s="36">
        <f t="shared" si="114"/>
        <v>-0.0363718006286484</v>
      </c>
      <c r="AK165" s="36">
        <f t="shared" si="116"/>
        <v>-0.0636998254799301</v>
      </c>
      <c r="AL165" s="105"/>
      <c r="AM165" s="91"/>
      <c r="AN165" s="36"/>
      <c r="AO165" s="36"/>
      <c r="AP165" s="36"/>
      <c r="AQ165" s="128" t="str" cm="1">
        <f t="array" ref="AQ165">_xlfn.IFS(MONTH(AR165)&lt;4,1,MONTH(AR165)&lt;7,2,MONTH(AR165)&lt;10,3,MONTH(AR165)&gt;9,4)&amp;"Q"&amp;RIGHT(YEAR(AR165),2)</f>
        <v>3Q21</v>
      </c>
      <c r="AR165" s="128">
        <f t="shared" si="115"/>
        <v>44469</v>
      </c>
      <c r="AS165" s="129">
        <v>44452</v>
      </c>
      <c r="AT165" s="130">
        <v>157</v>
      </c>
      <c r="AU165" s="94" cm="1">
        <f t="array" ref="AU165">INDEX($CE$29:$CE$1449,MATCH($AR165,$CA$29:$CA$1449,0),)</f>
        <v>160</v>
      </c>
      <c r="AV165" s="130">
        <v>323</v>
      </c>
      <c r="AW165" s="94" cm="1">
        <f t="array" ref="AW165">INDEX($CF$29:$CF$1449,MATCH($AR165,$CA$29:$CA$1449,0),)</f>
        <v>316.8</v>
      </c>
      <c r="AX165" s="94"/>
      <c r="AY165" s="94"/>
      <c r="AZ165" s="94"/>
      <c r="BA165" s="94"/>
      <c r="BB165" s="132">
        <f t="shared" si="117"/>
        <v>-0.00632911392405067</v>
      </c>
      <c r="BC165" s="132">
        <f t="shared" si="119"/>
        <v>-0.00946372239747639</v>
      </c>
      <c r="BD165" s="132">
        <f t="shared" si="121"/>
        <v>-0.0156739811912225</v>
      </c>
      <c r="BE165" s="132">
        <f t="shared" si="118"/>
        <v>-0.00308641975308643</v>
      </c>
      <c r="BF165" s="132">
        <f t="shared" si="120"/>
        <v>-0.00308641975308643</v>
      </c>
      <c r="BG165" s="132">
        <f t="shared" si="122"/>
        <v>-0.0212121212121212</v>
      </c>
      <c r="BH165" s="132"/>
      <c r="BI165" s="132"/>
      <c r="BJ165" s="132"/>
      <c r="BK165" s="132"/>
      <c r="BL165" s="132"/>
      <c r="BM165" s="132"/>
      <c r="BN165" s="132"/>
      <c r="CA165" s="59"/>
      <c r="CB165" s="59"/>
      <c r="CC165" s="59"/>
      <c r="FV165" s="104">
        <f t="shared" si="89"/>
        <v>2011</v>
      </c>
      <c r="FW165" s="104">
        <f t="shared" si="90"/>
        <v>16</v>
      </c>
      <c r="FX165" s="35">
        <v>40648</v>
      </c>
      <c r="FY165" s="26">
        <v>2.04</v>
      </c>
      <c r="FZ165" s="94">
        <f t="shared" si="91"/>
        <v>8.16</v>
      </c>
      <c r="GA165" s="104"/>
      <c r="GB165" s="104"/>
      <c r="GE165" s="94"/>
      <c r="GF165" s="104">
        <f t="shared" si="92"/>
        <v>2013</v>
      </c>
      <c r="GG165" s="104">
        <f t="shared" si="93"/>
        <v>30</v>
      </c>
      <c r="GH165" s="35">
        <v>41479</v>
      </c>
      <c r="GI165" s="26">
        <v>3.46</v>
      </c>
      <c r="GJ165" s="94">
        <f t="shared" si="94"/>
        <v>6.92</v>
      </c>
      <c r="GK165" s="104"/>
      <c r="GL165" s="104"/>
      <c r="GO165" s="94"/>
    </row>
    <row r="166" spans="3:197">
      <c r="C166" s="80" t="str" cm="1">
        <f t="array" ref="C166">_xlfn.IFS(MONTH(D166)&lt;4,1,MONTH(D166)&lt;7,2,MONTH(D166)&lt;10,3,MONTH(D166)&gt;9,4)&amp;"Q"&amp;RIGHT(YEAR(D166),2)</f>
        <v>3Q16</v>
      </c>
      <c r="D166" s="81">
        <f t="shared" si="112"/>
        <v>42643</v>
      </c>
      <c r="E166" s="82">
        <f t="shared" si="109"/>
        <v>42622</v>
      </c>
      <c r="F166" s="83">
        <f t="shared" si="110"/>
        <v>0.4675</v>
      </c>
      <c r="G166" s="83">
        <f t="shared" si="110"/>
        <v>0.41375</v>
      </c>
      <c r="H166" s="81"/>
      <c r="I166" s="84">
        <v>42622</v>
      </c>
      <c r="J166" s="85">
        <v>4.25</v>
      </c>
      <c r="K166" s="85">
        <v>3.45</v>
      </c>
      <c r="L166" s="86">
        <v>3.74</v>
      </c>
      <c r="M166" s="94" cm="1">
        <f t="array" ref="M166">INDEX($BV$29:$BV$1449,MATCH($D166,$BR$29:$BR$1449,0),)</f>
        <v>3.31</v>
      </c>
      <c r="N166" s="88"/>
      <c r="O166" s="88"/>
      <c r="P166" s="88"/>
      <c r="Q166" s="89">
        <f t="shared" si="111"/>
        <v>0.129909365558913</v>
      </c>
      <c r="AH166" s="105">
        <f t="shared" si="79"/>
        <v>43578</v>
      </c>
      <c r="AI166" s="91">
        <f t="shared" si="113"/>
        <v>4.108</v>
      </c>
      <c r="AJ166" s="36">
        <f t="shared" si="114"/>
        <v>-0.0428704566635602</v>
      </c>
      <c r="AK166" s="36">
        <f t="shared" si="116"/>
        <v>-0.0776829815895824</v>
      </c>
      <c r="AL166" s="105"/>
      <c r="AM166" s="91"/>
      <c r="AN166" s="36"/>
      <c r="AO166" s="36"/>
      <c r="AP166" s="36"/>
      <c r="AQ166" s="128" t="str" cm="1">
        <f t="array" ref="AQ166">_xlfn.IFS(MONTH(AR166)&lt;4,1,MONTH(AR166)&lt;7,2,MONTH(AR166)&lt;10,3,MONTH(AR166)&gt;9,4)&amp;"Q"&amp;RIGHT(YEAR(AR166),2)</f>
        <v>3Q21</v>
      </c>
      <c r="AR166" s="128">
        <f t="shared" si="115"/>
        <v>44469</v>
      </c>
      <c r="AS166" s="129">
        <v>44461</v>
      </c>
      <c r="AT166" s="130">
        <v>157</v>
      </c>
      <c r="AU166" s="94" cm="1">
        <f t="array" ref="AU166">INDEX($CE$29:$CE$1449,MATCH($AR166,$CA$29:$CA$1449,0),)</f>
        <v>160</v>
      </c>
      <c r="AV166" s="130">
        <v>318</v>
      </c>
      <c r="AW166" s="94" cm="1">
        <f t="array" ref="AW166">INDEX($CF$29:$CF$1449,MATCH($AR166,$CA$29:$CA$1449,0),)</f>
        <v>316.8</v>
      </c>
      <c r="AX166" s="94"/>
      <c r="AY166" s="94"/>
      <c r="AZ166" s="94"/>
      <c r="BA166" s="94"/>
      <c r="BB166" s="132">
        <f t="shared" si="117"/>
        <v>0</v>
      </c>
      <c r="BC166" s="132">
        <f t="shared" si="119"/>
        <v>-0.00632911392405067</v>
      </c>
      <c r="BD166" s="132">
        <f t="shared" si="121"/>
        <v>-0.00946372239747639</v>
      </c>
      <c r="BE166" s="132">
        <f t="shared" si="118"/>
        <v>-0.0154798761609907</v>
      </c>
      <c r="BF166" s="132">
        <f t="shared" si="120"/>
        <v>-0.0185185185185185</v>
      </c>
      <c r="BG166" s="132">
        <f t="shared" si="122"/>
        <v>-0.0185185185185185</v>
      </c>
      <c r="BH166" s="132"/>
      <c r="BI166" s="132"/>
      <c r="BJ166" s="132"/>
      <c r="BK166" s="132"/>
      <c r="BL166" s="132"/>
      <c r="BM166" s="132"/>
      <c r="BN166" s="132"/>
      <c r="CA166" s="59"/>
      <c r="CB166" s="59"/>
      <c r="CC166" s="59"/>
      <c r="FV166" s="104">
        <f t="shared" si="89"/>
        <v>2011</v>
      </c>
      <c r="FW166" s="104">
        <f t="shared" si="90"/>
        <v>17</v>
      </c>
      <c r="FX166" s="35">
        <v>40651</v>
      </c>
      <c r="FY166" s="26">
        <v>2.02</v>
      </c>
      <c r="FZ166" s="94">
        <f t="shared" si="91"/>
        <v>8.08</v>
      </c>
      <c r="GA166" s="104"/>
      <c r="GB166" s="104"/>
      <c r="GE166" s="94"/>
      <c r="GF166" s="104">
        <f t="shared" si="92"/>
        <v>2013</v>
      </c>
      <c r="GG166" s="104">
        <f t="shared" si="93"/>
        <v>30</v>
      </c>
      <c r="GH166" s="35">
        <v>41480</v>
      </c>
      <c r="GI166" s="26">
        <v>3.455</v>
      </c>
      <c r="GJ166" s="94">
        <f t="shared" si="94"/>
        <v>6.91</v>
      </c>
      <c r="GK166" s="104"/>
      <c r="GL166" s="104"/>
      <c r="GO166" s="94"/>
    </row>
    <row r="167" spans="3:197">
      <c r="C167" s="80" t="str" cm="1">
        <f t="array" ref="C167">_xlfn.IFS(MONTH(D167)&lt;4,1,MONTH(D167)&lt;7,2,MONTH(D167)&lt;10,3,MONTH(D167)&gt;9,4)&amp;"Q"&amp;RIGHT(YEAR(D167),2)</f>
        <v>3Q16</v>
      </c>
      <c r="D167" s="81">
        <f t="shared" si="112"/>
        <v>42643</v>
      </c>
      <c r="E167" s="82">
        <f t="shared" si="109"/>
        <v>42625</v>
      </c>
      <c r="F167" s="83">
        <f t="shared" si="110"/>
        <v>0.468125</v>
      </c>
      <c r="G167" s="83">
        <f t="shared" si="110"/>
        <v>0.41375</v>
      </c>
      <c r="H167" s="81"/>
      <c r="I167" s="84">
        <v>42625</v>
      </c>
      <c r="J167" s="85">
        <v>4.25</v>
      </c>
      <c r="K167" s="85">
        <v>3.45</v>
      </c>
      <c r="L167" s="86">
        <v>3.745</v>
      </c>
      <c r="M167" s="94" cm="1">
        <f t="array" ref="M167">INDEX($BV$29:$BV$1449,MATCH($D167,$BR$29:$BR$1449,0),)</f>
        <v>3.31</v>
      </c>
      <c r="N167" s="88"/>
      <c r="O167" s="88"/>
      <c r="P167" s="88"/>
      <c r="Q167" s="89">
        <f t="shared" si="111"/>
        <v>0.131419939577039</v>
      </c>
      <c r="AH167" s="105">
        <f t="shared" si="79"/>
        <v>43586</v>
      </c>
      <c r="AI167" s="91">
        <f t="shared" si="113"/>
        <v>3.948</v>
      </c>
      <c r="AJ167" s="36">
        <f t="shared" si="114"/>
        <v>-0.0389483933787731</v>
      </c>
      <c r="AK167" s="36">
        <f t="shared" si="116"/>
        <v>-0.0801491146318732</v>
      </c>
      <c r="AL167" s="105"/>
      <c r="AM167" s="91"/>
      <c r="AN167" s="36"/>
      <c r="AO167" s="36"/>
      <c r="AP167" s="36"/>
      <c r="AQ167" s="128" t="str" cm="1">
        <f t="array" ref="AQ167">_xlfn.IFS(MONTH(AR167)&lt;4,1,MONTH(AR167)&lt;7,2,MONTH(AR167)&lt;10,3,MONTH(AR167)&gt;9,4)&amp;"Q"&amp;RIGHT(YEAR(AR167),2)</f>
        <v>3Q21</v>
      </c>
      <c r="AR167" s="128">
        <f t="shared" si="115"/>
        <v>44469</v>
      </c>
      <c r="AS167" s="129">
        <v>44466</v>
      </c>
      <c r="AT167" s="130">
        <v>156.8</v>
      </c>
      <c r="AU167" s="94" cm="1">
        <f t="array" ref="AU167">INDEX($CE$29:$CE$1449,MATCH($AR167,$CA$29:$CA$1449,0),)</f>
        <v>160</v>
      </c>
      <c r="AV167" s="130">
        <v>317.5</v>
      </c>
      <c r="AW167" s="94" cm="1">
        <f t="array" ref="AW167">INDEX($CF$29:$CF$1449,MATCH($AR167,$CA$29:$CA$1449,0),)</f>
        <v>316.8</v>
      </c>
      <c r="AX167" s="94"/>
      <c r="AY167" s="94"/>
      <c r="AZ167" s="94"/>
      <c r="BA167" s="94"/>
      <c r="BB167" s="132">
        <f t="shared" si="117"/>
        <v>-0.00127388535031836</v>
      </c>
      <c r="BC167" s="132">
        <f t="shared" si="119"/>
        <v>-0.00127388535031836</v>
      </c>
      <c r="BD167" s="132">
        <f t="shared" si="121"/>
        <v>-0.00759493670886069</v>
      </c>
      <c r="BE167" s="132">
        <f t="shared" si="118"/>
        <v>-0.00157232704402521</v>
      </c>
      <c r="BF167" s="132">
        <f t="shared" si="120"/>
        <v>-0.0170278637770898</v>
      </c>
      <c r="BG167" s="132">
        <f t="shared" si="122"/>
        <v>-0.0200617283950617</v>
      </c>
      <c r="BH167" s="132"/>
      <c r="BI167" s="132"/>
      <c r="BJ167" s="132"/>
      <c r="BK167" s="132"/>
      <c r="BL167" s="132"/>
      <c r="BM167" s="132"/>
      <c r="BN167" s="132"/>
      <c r="FV167" s="104">
        <f t="shared" si="89"/>
        <v>2011</v>
      </c>
      <c r="FW167" s="104">
        <f t="shared" si="90"/>
        <v>17</v>
      </c>
      <c r="FX167" s="35">
        <v>40652</v>
      </c>
      <c r="FY167" s="26">
        <v>2.01</v>
      </c>
      <c r="FZ167" s="94">
        <f t="shared" si="91"/>
        <v>8.04</v>
      </c>
      <c r="GA167" s="104"/>
      <c r="GB167" s="104"/>
      <c r="GE167" s="94"/>
      <c r="GF167" s="104">
        <f t="shared" si="92"/>
        <v>2013</v>
      </c>
      <c r="GG167" s="104">
        <f t="shared" si="93"/>
        <v>30</v>
      </c>
      <c r="GH167" s="35">
        <v>41481</v>
      </c>
      <c r="GI167" s="26">
        <v>3.43</v>
      </c>
      <c r="GJ167" s="94">
        <f t="shared" si="94"/>
        <v>6.86</v>
      </c>
      <c r="GK167" s="104"/>
      <c r="GL167" s="104"/>
      <c r="GO167" s="94"/>
    </row>
    <row r="168" spans="3:197">
      <c r="C168" s="80" t="str" cm="1">
        <f t="array" ref="C168">_xlfn.IFS(MONTH(D168)&lt;4,1,MONTH(D168)&lt;7,2,MONTH(D168)&lt;10,3,MONTH(D168)&gt;9,4)&amp;"Q"&amp;RIGHT(YEAR(D168),2)</f>
        <v>3Q16</v>
      </c>
      <c r="D168" s="81">
        <f t="shared" si="112"/>
        <v>42643</v>
      </c>
      <c r="E168" s="82">
        <f t="shared" si="109"/>
        <v>42626</v>
      </c>
      <c r="F168" s="83">
        <f t="shared" si="110"/>
        <v>0.47125</v>
      </c>
      <c r="G168" s="83">
        <f t="shared" si="110"/>
        <v>0.41375</v>
      </c>
      <c r="H168" s="81"/>
      <c r="I168" s="84">
        <v>42626</v>
      </c>
      <c r="J168" s="85">
        <v>4.25</v>
      </c>
      <c r="K168" s="85">
        <v>3.45</v>
      </c>
      <c r="L168" s="86">
        <v>3.77</v>
      </c>
      <c r="M168" s="94" cm="1">
        <f t="array" ref="M168">INDEX($BV$29:$BV$1449,MATCH($D168,$BR$29:$BR$1449,0),)</f>
        <v>3.31</v>
      </c>
      <c r="N168" s="88"/>
      <c r="O168" s="88"/>
      <c r="P168" s="88"/>
      <c r="Q168" s="89">
        <f t="shared" si="111"/>
        <v>0.138972809667674</v>
      </c>
      <c r="AH168" s="105">
        <f t="shared" ref="AH168:AH231" si="123">WORKDAY(AH167,6)</f>
        <v>43594</v>
      </c>
      <c r="AI168" s="91">
        <f t="shared" si="113"/>
        <v>3.793</v>
      </c>
      <c r="AJ168" s="36">
        <f t="shared" si="114"/>
        <v>-0.0392603850050658</v>
      </c>
      <c r="AK168" s="36">
        <f t="shared" si="116"/>
        <v>-0.0766796494644595</v>
      </c>
      <c r="AL168" s="105"/>
      <c r="AM168" s="91"/>
      <c r="AN168" s="36"/>
      <c r="AO168" s="36"/>
      <c r="AP168" s="36"/>
      <c r="AQ168" s="128" t="str" cm="1">
        <f t="array" ref="AQ168">_xlfn.IFS(MONTH(AR168)&lt;4,1,MONTH(AR168)&lt;7,2,MONTH(AR168)&lt;10,3,MONTH(AR168)&gt;9,4)&amp;"Q"&amp;RIGHT(YEAR(AR168),2)</f>
        <v>4Q21</v>
      </c>
      <c r="AR168" s="128">
        <f t="shared" si="115"/>
        <v>44500</v>
      </c>
      <c r="AS168" s="129">
        <v>44473</v>
      </c>
      <c r="AT168" s="130">
        <v>155</v>
      </c>
      <c r="AU168" s="94" cm="1">
        <f t="array" ref="AU168">INDEX($CE$29:$CE$1449,MATCH($AR168,$CA$29:$CA$1449,0),)</f>
        <v>153</v>
      </c>
      <c r="AV168" s="130">
        <v>317</v>
      </c>
      <c r="AW168" s="94" cm="1">
        <f t="array" ref="AW168">INDEX($CF$29:$CF$1449,MATCH($AR168,$CA$29:$CA$1449,0),)</f>
        <v>302.94</v>
      </c>
      <c r="AX168" s="94"/>
      <c r="AY168" s="94"/>
      <c r="AZ168" s="94"/>
      <c r="BA168" s="94"/>
      <c r="BB168" s="132">
        <f t="shared" si="117"/>
        <v>-0.0114795918367347</v>
      </c>
      <c r="BC168" s="132">
        <f t="shared" si="119"/>
        <v>-0.0127388535031847</v>
      </c>
      <c r="BD168" s="132">
        <f t="shared" si="121"/>
        <v>-0.0127388535031847</v>
      </c>
      <c r="BE168" s="132">
        <f t="shared" si="118"/>
        <v>-0.00157480314960634</v>
      </c>
      <c r="BF168" s="132">
        <f t="shared" si="120"/>
        <v>-0.00314465408805031</v>
      </c>
      <c r="BG168" s="132">
        <f t="shared" si="122"/>
        <v>-0.0185758513931888</v>
      </c>
      <c r="BH168" s="132"/>
      <c r="BI168" s="132"/>
      <c r="BJ168" s="132"/>
      <c r="BK168" s="132"/>
      <c r="BL168" s="132"/>
      <c r="BM168" s="132"/>
      <c r="BN168" s="132"/>
      <c r="FV168" s="104">
        <f t="shared" si="89"/>
        <v>2011</v>
      </c>
      <c r="FW168" s="104">
        <f t="shared" si="90"/>
        <v>17</v>
      </c>
      <c r="FX168" s="35">
        <v>40653</v>
      </c>
      <c r="FY168" s="26">
        <v>2</v>
      </c>
      <c r="FZ168" s="94">
        <f t="shared" si="91"/>
        <v>8</v>
      </c>
      <c r="GA168" s="104"/>
      <c r="GB168" s="104"/>
      <c r="GE168" s="94"/>
      <c r="GF168" s="104">
        <f t="shared" si="92"/>
        <v>2013</v>
      </c>
      <c r="GG168" s="104">
        <f t="shared" si="93"/>
        <v>31</v>
      </c>
      <c r="GH168" s="35">
        <v>41484</v>
      </c>
      <c r="GI168" s="26">
        <v>3.43</v>
      </c>
      <c r="GJ168" s="94">
        <f t="shared" si="94"/>
        <v>6.86</v>
      </c>
      <c r="GK168" s="104"/>
      <c r="GL168" s="104"/>
      <c r="GO168" s="94"/>
    </row>
    <row r="169" spans="3:197">
      <c r="C169" s="80" t="str" cm="1">
        <f t="array" ref="C169">_xlfn.IFS(MONTH(D169)&lt;4,1,MONTH(D169)&lt;7,2,MONTH(D169)&lt;10,3,MONTH(D169)&gt;9,4)&amp;"Q"&amp;RIGHT(YEAR(D169),2)</f>
        <v>3Q16</v>
      </c>
      <c r="D169" s="81">
        <f t="shared" si="112"/>
        <v>42643</v>
      </c>
      <c r="E169" s="82">
        <f t="shared" si="109"/>
        <v>42627</v>
      </c>
      <c r="F169" s="83">
        <f t="shared" si="110"/>
        <v>0.47475</v>
      </c>
      <c r="G169" s="83">
        <f t="shared" si="110"/>
        <v>0.41375</v>
      </c>
      <c r="H169" s="81"/>
      <c r="I169" s="84">
        <v>42627</v>
      </c>
      <c r="J169" s="85">
        <v>4.3</v>
      </c>
      <c r="K169" s="85">
        <v>3.45</v>
      </c>
      <c r="L169" s="86">
        <v>3.798</v>
      </c>
      <c r="M169" s="94" cm="1">
        <f t="array" ref="M169">INDEX($BV$29:$BV$1449,MATCH($D169,$BR$29:$BR$1449,0),)</f>
        <v>3.31</v>
      </c>
      <c r="N169" s="88"/>
      <c r="O169" s="88"/>
      <c r="P169" s="88"/>
      <c r="Q169" s="89">
        <f t="shared" si="111"/>
        <v>0.147432024169184</v>
      </c>
      <c r="AH169" s="105">
        <f t="shared" si="123"/>
        <v>43602</v>
      </c>
      <c r="AI169" s="91">
        <f t="shared" si="113"/>
        <v>3.74</v>
      </c>
      <c r="AJ169" s="36">
        <f t="shared" si="114"/>
        <v>-0.0139731083575007</v>
      </c>
      <c r="AK169" s="36">
        <f t="shared" si="116"/>
        <v>-0.0526849037487335</v>
      </c>
      <c r="AL169" s="105"/>
      <c r="AM169" s="91"/>
      <c r="AN169" s="36"/>
      <c r="AO169" s="36"/>
      <c r="AP169" s="36"/>
      <c r="AQ169" s="128" t="str" cm="1">
        <f t="array" ref="AQ169">_xlfn.IFS(MONTH(AR169)&lt;4,1,MONTH(AR169)&lt;7,2,MONTH(AR169)&lt;10,3,MONTH(AR169)&gt;9,4)&amp;"Q"&amp;RIGHT(YEAR(AR169),2)</f>
        <v>4Q21</v>
      </c>
      <c r="AR169" s="128">
        <f t="shared" si="115"/>
        <v>44500</v>
      </c>
      <c r="AS169" s="129">
        <v>44480</v>
      </c>
      <c r="AT169" s="130">
        <v>154.5</v>
      </c>
      <c r="AU169" s="94" cm="1">
        <f t="array" ref="AU169">INDEX($CE$29:$CE$1449,MATCH($AR169,$CA$29:$CA$1449,0),)</f>
        <v>153</v>
      </c>
      <c r="AV169" s="130">
        <v>316.8</v>
      </c>
      <c r="AW169" s="94" cm="1">
        <f t="array" ref="AW169">INDEX($CF$29:$CF$1449,MATCH($AR169,$CA$29:$CA$1449,0),)</f>
        <v>302.94</v>
      </c>
      <c r="AX169" s="94"/>
      <c r="AY169" s="94"/>
      <c r="AZ169" s="94"/>
      <c r="BA169" s="94"/>
      <c r="BB169" s="132">
        <f t="shared" si="117"/>
        <v>-0.00322580645161286</v>
      </c>
      <c r="BC169" s="132">
        <f t="shared" si="119"/>
        <v>-0.0146683673469389</v>
      </c>
      <c r="BD169" s="132">
        <f t="shared" si="121"/>
        <v>-0.0159235668789809</v>
      </c>
      <c r="BE169" s="132">
        <f t="shared" si="118"/>
        <v>-0.000630914826498352</v>
      </c>
      <c r="BF169" s="132">
        <f t="shared" si="120"/>
        <v>-0.00220472440944874</v>
      </c>
      <c r="BG169" s="132">
        <f t="shared" si="122"/>
        <v>-0.00377358490566038</v>
      </c>
      <c r="BH169" s="132"/>
      <c r="BI169" s="132"/>
      <c r="BJ169" s="132"/>
      <c r="BK169" s="132"/>
      <c r="BL169" s="132"/>
      <c r="BM169" s="132"/>
      <c r="BN169" s="132"/>
      <c r="FV169" s="104">
        <f t="shared" si="89"/>
        <v>2011</v>
      </c>
      <c r="FW169" s="104">
        <f t="shared" si="90"/>
        <v>17</v>
      </c>
      <c r="FX169" s="35">
        <v>40654</v>
      </c>
      <c r="FY169" s="26">
        <v>1.97</v>
      </c>
      <c r="FZ169" s="94">
        <f t="shared" si="91"/>
        <v>7.88</v>
      </c>
      <c r="GA169" s="104"/>
      <c r="GB169" s="104"/>
      <c r="GE169" s="94"/>
      <c r="GF169" s="104">
        <f t="shared" si="92"/>
        <v>2013</v>
      </c>
      <c r="GG169" s="104">
        <f t="shared" si="93"/>
        <v>31</v>
      </c>
      <c r="GH169" s="35">
        <v>41485</v>
      </c>
      <c r="GI169" s="26">
        <v>3.388</v>
      </c>
      <c r="GJ169" s="94">
        <f t="shared" si="94"/>
        <v>6.776</v>
      </c>
      <c r="GK169" s="104"/>
      <c r="GL169" s="104"/>
      <c r="GO169" s="94"/>
    </row>
    <row r="170" spans="3:197">
      <c r="C170" s="80" t="str" cm="1">
        <f t="array" ref="C170">_xlfn.IFS(MONTH(D170)&lt;4,1,MONTH(D170)&lt;7,2,MONTH(D170)&lt;10,3,MONTH(D170)&gt;9,4)&amp;"Q"&amp;RIGHT(YEAR(D170),2)</f>
        <v>3Q16</v>
      </c>
      <c r="D170" s="81">
        <f t="shared" si="112"/>
        <v>42643</v>
      </c>
      <c r="E170" s="82">
        <f t="shared" si="109"/>
        <v>42632</v>
      </c>
      <c r="F170" s="83">
        <f t="shared" si="110"/>
        <v>0.478125</v>
      </c>
      <c r="G170" s="83">
        <f t="shared" si="110"/>
        <v>0.41375</v>
      </c>
      <c r="H170" s="81"/>
      <c r="I170" s="84">
        <v>42632</v>
      </c>
      <c r="J170" s="85">
        <v>4.35</v>
      </c>
      <c r="K170" s="85">
        <v>3.48</v>
      </c>
      <c r="L170" s="86">
        <v>3.825</v>
      </c>
      <c r="M170" s="94" cm="1">
        <f t="array" ref="M170">INDEX($BV$29:$BV$1449,MATCH($D170,$BR$29:$BR$1449,0),)</f>
        <v>3.31</v>
      </c>
      <c r="N170" s="88"/>
      <c r="O170" s="88"/>
      <c r="P170" s="88"/>
      <c r="Q170" s="89">
        <f t="shared" si="111"/>
        <v>0.155589123867069</v>
      </c>
      <c r="AH170" s="105">
        <f t="shared" si="123"/>
        <v>43612</v>
      </c>
      <c r="AI170" s="91">
        <f t="shared" si="113"/>
        <v>3.658</v>
      </c>
      <c r="AJ170" s="36">
        <f t="shared" si="114"/>
        <v>-0.0219251336898396</v>
      </c>
      <c r="AK170" s="36">
        <f t="shared" si="116"/>
        <v>-0.0355918797785395</v>
      </c>
      <c r="AL170" s="105"/>
      <c r="AM170" s="91"/>
      <c r="AN170" s="36"/>
      <c r="AO170" s="36"/>
      <c r="AP170" s="36"/>
      <c r="AQ170" s="128" t="str" cm="1">
        <f t="array" ref="AQ170">_xlfn.IFS(MONTH(AR170)&lt;4,1,MONTH(AR170)&lt;7,2,MONTH(AR170)&lt;10,3,MONTH(AR170)&gt;9,4)&amp;"Q"&amp;RIGHT(YEAR(AR170),2)</f>
        <v>4Q21</v>
      </c>
      <c r="AR170" s="128">
        <f t="shared" si="115"/>
        <v>44500</v>
      </c>
      <c r="AS170" s="129">
        <v>44487</v>
      </c>
      <c r="AT170" s="130">
        <v>154.5</v>
      </c>
      <c r="AU170" s="94" cm="1">
        <f t="array" ref="AU170">INDEX($CE$29:$CE$1449,MATCH($AR170,$CA$29:$CA$1449,0),)</f>
        <v>153</v>
      </c>
      <c r="AV170" s="130">
        <v>308</v>
      </c>
      <c r="AW170" s="94" cm="1">
        <f t="array" ref="AW170">INDEX($CF$29:$CF$1449,MATCH($AR170,$CA$29:$CA$1449,0),)</f>
        <v>302.94</v>
      </c>
      <c r="AX170" s="94"/>
      <c r="AY170" s="94"/>
      <c r="AZ170" s="94"/>
      <c r="BA170" s="94"/>
      <c r="BB170" s="132">
        <f t="shared" si="117"/>
        <v>0</v>
      </c>
      <c r="BC170" s="132">
        <f t="shared" si="119"/>
        <v>-0.00322580645161286</v>
      </c>
      <c r="BD170" s="132">
        <f t="shared" si="121"/>
        <v>-0.0146683673469389</v>
      </c>
      <c r="BE170" s="132">
        <f t="shared" si="118"/>
        <v>-0.0277777777777778</v>
      </c>
      <c r="BF170" s="132">
        <f t="shared" si="120"/>
        <v>-0.0283911671924291</v>
      </c>
      <c r="BG170" s="132">
        <f t="shared" si="122"/>
        <v>-0.0299212598425197</v>
      </c>
      <c r="BH170" s="132"/>
      <c r="BI170" s="132"/>
      <c r="BJ170" s="132"/>
      <c r="BK170" s="132"/>
      <c r="BL170" s="132"/>
      <c r="BM170" s="132"/>
      <c r="BN170" s="132"/>
      <c r="FV170" s="104">
        <f t="shared" si="89"/>
        <v>2011</v>
      </c>
      <c r="FW170" s="104">
        <f t="shared" si="90"/>
        <v>17</v>
      </c>
      <c r="FX170" s="35">
        <v>40655</v>
      </c>
      <c r="FY170" s="26">
        <v>1.96</v>
      </c>
      <c r="FZ170" s="94">
        <f t="shared" si="91"/>
        <v>7.84</v>
      </c>
      <c r="GA170" s="104"/>
      <c r="GB170" s="104"/>
      <c r="GE170" s="94"/>
      <c r="GF170" s="104">
        <f t="shared" si="92"/>
        <v>2013</v>
      </c>
      <c r="GG170" s="104">
        <f t="shared" si="93"/>
        <v>31</v>
      </c>
      <c r="GH170" s="35">
        <v>41486</v>
      </c>
      <c r="GI170" s="26">
        <v>3.35</v>
      </c>
      <c r="GJ170" s="94">
        <f t="shared" si="94"/>
        <v>6.7</v>
      </c>
      <c r="GK170" s="104"/>
      <c r="GL170" s="104"/>
      <c r="GO170" s="94"/>
    </row>
    <row r="171" spans="3:197">
      <c r="C171" s="80" t="str" cm="1">
        <f t="array" ref="C171">_xlfn.IFS(MONTH(D171)&lt;4,1,MONTH(D171)&lt;7,2,MONTH(D171)&lt;10,3,MONTH(D171)&gt;9,4)&amp;"Q"&amp;RIGHT(YEAR(D171),2)</f>
        <v>3Q16</v>
      </c>
      <c r="D171" s="81">
        <f t="shared" si="112"/>
        <v>42643</v>
      </c>
      <c r="E171" s="82">
        <f t="shared" si="109"/>
        <v>42633</v>
      </c>
      <c r="F171" s="83">
        <f t="shared" si="110"/>
        <v>0.490625</v>
      </c>
      <c r="G171" s="83">
        <f t="shared" si="110"/>
        <v>0.41375</v>
      </c>
      <c r="H171" s="81"/>
      <c r="I171" s="84">
        <v>42633</v>
      </c>
      <c r="J171" s="85">
        <v>4.4</v>
      </c>
      <c r="K171" s="85">
        <v>3.6</v>
      </c>
      <c r="L171" s="86">
        <v>3.925</v>
      </c>
      <c r="M171" s="94" cm="1">
        <f t="array" ref="M171">INDEX($BV$29:$BV$1449,MATCH($D171,$BR$29:$BR$1449,0),)</f>
        <v>3.31</v>
      </c>
      <c r="N171" s="88"/>
      <c r="O171" s="88"/>
      <c r="P171" s="88"/>
      <c r="Q171" s="89">
        <f t="shared" si="111"/>
        <v>0.185800604229607</v>
      </c>
      <c r="AH171" s="105">
        <f t="shared" si="123"/>
        <v>43620</v>
      </c>
      <c r="AI171" s="91">
        <f t="shared" si="113"/>
        <v>3.593</v>
      </c>
      <c r="AJ171" s="36">
        <f t="shared" si="114"/>
        <v>-0.0177692728266813</v>
      </c>
      <c r="AK171" s="36">
        <f t="shared" si="116"/>
        <v>-0.0393048128342247</v>
      </c>
      <c r="AL171" s="105"/>
      <c r="AM171" s="91"/>
      <c r="AN171" s="36"/>
      <c r="AO171" s="36"/>
      <c r="AP171" s="36"/>
      <c r="AQ171" s="128" t="str" cm="1">
        <f t="array" ref="AQ171">_xlfn.IFS(MONTH(AR171)&lt;4,1,MONTH(AR171)&lt;7,2,MONTH(AR171)&lt;10,3,MONTH(AR171)&gt;9,4)&amp;"Q"&amp;RIGHT(YEAR(AR171),2)</f>
        <v>4Q21</v>
      </c>
      <c r="AR171" s="128">
        <f t="shared" si="115"/>
        <v>44500</v>
      </c>
      <c r="AS171" s="129">
        <v>44494</v>
      </c>
      <c r="AT171" s="130">
        <v>153</v>
      </c>
      <c r="AU171" s="94" cm="1">
        <f t="array" ref="AU171">INDEX($CE$29:$CE$1449,MATCH($AR171,$CA$29:$CA$1449,0),)</f>
        <v>153</v>
      </c>
      <c r="AV171" s="130">
        <v>304</v>
      </c>
      <c r="AW171" s="94" cm="1">
        <f t="array" ref="AW171">INDEX($CF$29:$CF$1449,MATCH($AR171,$CA$29:$CA$1449,0),)</f>
        <v>302.94</v>
      </c>
      <c r="AX171" s="94"/>
      <c r="AY171" s="94"/>
      <c r="AZ171" s="94"/>
      <c r="BA171" s="94"/>
      <c r="BB171" s="132">
        <f t="shared" si="117"/>
        <v>-0.00970873786407767</v>
      </c>
      <c r="BC171" s="132">
        <f t="shared" si="119"/>
        <v>-0.00970873786407767</v>
      </c>
      <c r="BD171" s="132">
        <f t="shared" si="121"/>
        <v>-0.0129032258064516</v>
      </c>
      <c r="BE171" s="132">
        <f t="shared" si="118"/>
        <v>-0.012987012987013</v>
      </c>
      <c r="BF171" s="132">
        <f t="shared" si="120"/>
        <v>-0.0404040404040404</v>
      </c>
      <c r="BG171" s="132">
        <f t="shared" si="122"/>
        <v>-0.0410094637223974</v>
      </c>
      <c r="BH171" s="132"/>
      <c r="BI171" s="132"/>
      <c r="BJ171" s="132"/>
      <c r="BK171" s="132"/>
      <c r="BL171" s="132"/>
      <c r="BM171" s="132"/>
      <c r="BN171" s="132"/>
      <c r="FV171" s="104">
        <f t="shared" si="89"/>
        <v>2011</v>
      </c>
      <c r="FW171" s="104">
        <f t="shared" si="90"/>
        <v>18</v>
      </c>
      <c r="FX171" s="35">
        <v>40658</v>
      </c>
      <c r="FY171" s="26">
        <v>1.96</v>
      </c>
      <c r="FZ171" s="94">
        <f t="shared" si="91"/>
        <v>7.84</v>
      </c>
      <c r="GA171" s="104"/>
      <c r="GB171" s="104"/>
      <c r="GE171" s="94"/>
      <c r="GF171" s="104">
        <f t="shared" si="92"/>
        <v>2013</v>
      </c>
      <c r="GG171" s="104">
        <f t="shared" si="93"/>
        <v>31</v>
      </c>
      <c r="GH171" s="35">
        <v>41487</v>
      </c>
      <c r="GI171" s="26">
        <v>3.313</v>
      </c>
      <c r="GJ171" s="94">
        <f t="shared" si="94"/>
        <v>6.626</v>
      </c>
      <c r="GK171" s="104"/>
      <c r="GL171" s="104"/>
      <c r="GO171" s="94"/>
    </row>
    <row r="172" spans="3:197">
      <c r="C172" s="80" t="str" cm="1">
        <f t="array" ref="C172">_xlfn.IFS(MONTH(D172)&lt;4,1,MONTH(D172)&lt;7,2,MONTH(D172)&lt;10,3,MONTH(D172)&gt;9,4)&amp;"Q"&amp;RIGHT(YEAR(D172),2)</f>
        <v>3Q16</v>
      </c>
      <c r="D172" s="81">
        <f t="shared" si="112"/>
        <v>42643</v>
      </c>
      <c r="E172" s="82">
        <f t="shared" si="109"/>
        <v>42634</v>
      </c>
      <c r="F172" s="83">
        <f t="shared" si="110"/>
        <v>0.503125</v>
      </c>
      <c r="G172" s="83">
        <f t="shared" si="110"/>
        <v>0.41375</v>
      </c>
      <c r="H172" s="81"/>
      <c r="I172" s="84">
        <v>42634</v>
      </c>
      <c r="J172" s="85">
        <v>4.45</v>
      </c>
      <c r="K172" s="85">
        <v>3.7</v>
      </c>
      <c r="L172" s="86">
        <v>4.025</v>
      </c>
      <c r="M172" s="94" cm="1">
        <f t="array" ref="M172">INDEX($BV$29:$BV$1449,MATCH($D172,$BR$29:$BR$1449,0),)</f>
        <v>3.31</v>
      </c>
      <c r="N172" s="88"/>
      <c r="O172" s="88"/>
      <c r="P172" s="88"/>
      <c r="Q172" s="89">
        <f t="shared" si="111"/>
        <v>0.216012084592145</v>
      </c>
      <c r="AH172" s="105">
        <f t="shared" si="123"/>
        <v>43628</v>
      </c>
      <c r="AI172" s="91">
        <f t="shared" si="113"/>
        <v>3.426</v>
      </c>
      <c r="AJ172" s="36">
        <f t="shared" si="114"/>
        <v>-0.0464792652379626</v>
      </c>
      <c r="AK172" s="36">
        <f t="shared" si="116"/>
        <v>-0.0634226353198468</v>
      </c>
      <c r="AL172" s="105"/>
      <c r="AM172" s="91"/>
      <c r="AN172" s="36"/>
      <c r="AO172" s="36"/>
      <c r="AP172" s="36"/>
      <c r="AQ172" s="128" t="str" cm="1">
        <f t="array" ref="AQ172">_xlfn.IFS(MONTH(AR172)&lt;4,1,MONTH(AR172)&lt;7,2,MONTH(AR172)&lt;10,3,MONTH(AR172)&gt;9,4)&amp;"Q"&amp;RIGHT(YEAR(AR172),2)</f>
        <v>4Q21</v>
      </c>
      <c r="AR172" s="128">
        <f t="shared" si="115"/>
        <v>44530</v>
      </c>
      <c r="AS172" s="129">
        <v>44501</v>
      </c>
      <c r="AT172" s="130">
        <v>152</v>
      </c>
      <c r="AU172" s="94" cm="1">
        <f t="array" ref="AU172">INDEX($CE$29:$CE$1449,MATCH($AR172,$CA$29:$CA$1449,0),)</f>
        <v>151</v>
      </c>
      <c r="AV172" s="130">
        <v>298</v>
      </c>
      <c r="AW172" s="94" cm="1">
        <f t="array" ref="AW172">INDEX($CF$29:$CF$1449,MATCH($AR172,$CA$29:$CA$1449,0),)</f>
        <v>297.47</v>
      </c>
      <c r="AX172" s="94"/>
      <c r="AY172" s="94"/>
      <c r="AZ172" s="94"/>
      <c r="BA172" s="94"/>
      <c r="BB172" s="132">
        <f t="shared" si="117"/>
        <v>-0.00653594771241828</v>
      </c>
      <c r="BC172" s="132">
        <f t="shared" si="119"/>
        <v>-0.0161812297734628</v>
      </c>
      <c r="BD172" s="132">
        <f t="shared" si="121"/>
        <v>-0.0161812297734628</v>
      </c>
      <c r="BE172" s="132">
        <f t="shared" si="118"/>
        <v>-0.0197368421052632</v>
      </c>
      <c r="BF172" s="132">
        <f t="shared" si="120"/>
        <v>-0.0324675324675324</v>
      </c>
      <c r="BG172" s="132">
        <f t="shared" si="122"/>
        <v>-0.0593434343434344</v>
      </c>
      <c r="BH172" s="132"/>
      <c r="BI172" s="132"/>
      <c r="BJ172" s="132"/>
      <c r="BK172" s="132"/>
      <c r="BL172" s="132"/>
      <c r="BM172" s="132"/>
      <c r="BN172" s="132"/>
      <c r="FV172" s="104">
        <f t="shared" si="89"/>
        <v>2011</v>
      </c>
      <c r="FW172" s="104">
        <f t="shared" si="90"/>
        <v>18</v>
      </c>
      <c r="FX172" s="35">
        <v>40659</v>
      </c>
      <c r="FY172" s="26">
        <v>1.95</v>
      </c>
      <c r="FZ172" s="94">
        <f t="shared" si="91"/>
        <v>7.8</v>
      </c>
      <c r="GA172" s="104"/>
      <c r="GB172" s="104"/>
      <c r="GE172" s="94"/>
      <c r="GF172" s="104">
        <f t="shared" si="92"/>
        <v>2013</v>
      </c>
      <c r="GG172" s="104">
        <f t="shared" si="93"/>
        <v>31</v>
      </c>
      <c r="GH172" s="35">
        <v>41488</v>
      </c>
      <c r="GI172" s="26">
        <v>3.298</v>
      </c>
      <c r="GJ172" s="94">
        <f t="shared" si="94"/>
        <v>6.596</v>
      </c>
      <c r="GK172" s="104"/>
      <c r="GL172" s="104"/>
      <c r="GO172" s="94"/>
    </row>
    <row r="173" spans="3:197">
      <c r="C173" s="80" t="str" cm="1">
        <f t="array" ref="C173">_xlfn.IFS(MONTH(D173)&lt;4,1,MONTH(D173)&lt;7,2,MONTH(D173)&lt;10,3,MONTH(D173)&gt;9,4)&amp;"Q"&amp;RIGHT(YEAR(D173),2)</f>
        <v>3Q16</v>
      </c>
      <c r="D173" s="81">
        <f t="shared" si="112"/>
        <v>42643</v>
      </c>
      <c r="E173" s="82">
        <f t="shared" si="109"/>
        <v>42635</v>
      </c>
      <c r="F173" s="83">
        <f t="shared" si="110"/>
        <v>0.5125</v>
      </c>
      <c r="G173" s="83">
        <f t="shared" si="110"/>
        <v>0.41375</v>
      </c>
      <c r="H173" s="81"/>
      <c r="I173" s="84">
        <v>42635</v>
      </c>
      <c r="J173" s="85">
        <v>4.5</v>
      </c>
      <c r="K173" s="85">
        <v>3.75</v>
      </c>
      <c r="L173" s="86">
        <v>4.1</v>
      </c>
      <c r="M173" s="94" cm="1">
        <f t="array" ref="M173">INDEX($BV$29:$BV$1449,MATCH($D173,$BR$29:$BR$1449,0),)</f>
        <v>3.31</v>
      </c>
      <c r="N173" s="88"/>
      <c r="O173" s="88"/>
      <c r="P173" s="88"/>
      <c r="Q173" s="89">
        <f t="shared" si="111"/>
        <v>0.238670694864048</v>
      </c>
      <c r="AH173" s="105">
        <f t="shared" si="123"/>
        <v>43636</v>
      </c>
      <c r="AI173" s="91">
        <f t="shared" si="113"/>
        <v>3.328</v>
      </c>
      <c r="AJ173" s="36">
        <f t="shared" si="114"/>
        <v>-0.0286047869235261</v>
      </c>
      <c r="AK173" s="36">
        <f t="shared" si="116"/>
        <v>-0.0737545226829948</v>
      </c>
      <c r="AL173" s="105"/>
      <c r="AM173" s="91"/>
      <c r="AN173" s="36"/>
      <c r="AO173" s="36"/>
      <c r="AP173" s="36"/>
      <c r="AQ173" s="128" t="str" cm="1">
        <f t="array" ref="AQ173">_xlfn.IFS(MONTH(AR173)&lt;4,1,MONTH(AR173)&lt;7,2,MONTH(AR173)&lt;10,3,MONTH(AR173)&gt;9,4)&amp;"Q"&amp;RIGHT(YEAR(AR173),2)</f>
        <v>4Q21</v>
      </c>
      <c r="AR173" s="128">
        <f t="shared" si="115"/>
        <v>44530</v>
      </c>
      <c r="AS173" s="129">
        <v>44508</v>
      </c>
      <c r="AT173" s="130">
        <v>151.5</v>
      </c>
      <c r="AU173" s="94" cm="1">
        <f t="array" ref="AU173">INDEX($CE$29:$CE$1449,MATCH($AR173,$CA$29:$CA$1449,0),)</f>
        <v>151</v>
      </c>
      <c r="AV173" s="130">
        <v>297</v>
      </c>
      <c r="AW173" s="94" cm="1">
        <f t="array" ref="AW173">INDEX($CF$29:$CF$1449,MATCH($AR173,$CA$29:$CA$1449,0),)</f>
        <v>297.47</v>
      </c>
      <c r="AX173" s="94"/>
      <c r="AY173" s="94"/>
      <c r="AZ173" s="94"/>
      <c r="BA173" s="94"/>
      <c r="BB173" s="132">
        <f t="shared" si="117"/>
        <v>-0.00328947368421051</v>
      </c>
      <c r="BC173" s="132">
        <f t="shared" si="119"/>
        <v>-0.00980392156862742</v>
      </c>
      <c r="BD173" s="132">
        <f t="shared" si="121"/>
        <v>-0.0194174757281553</v>
      </c>
      <c r="BE173" s="132">
        <f t="shared" si="118"/>
        <v>-0.00335570469798663</v>
      </c>
      <c r="BF173" s="132">
        <f t="shared" si="120"/>
        <v>-0.0230263157894737</v>
      </c>
      <c r="BG173" s="132">
        <f t="shared" si="122"/>
        <v>-0.0357142857142857</v>
      </c>
      <c r="BH173" s="132"/>
      <c r="BI173" s="132"/>
      <c r="BJ173" s="132"/>
      <c r="BK173" s="132"/>
      <c r="BL173" s="132"/>
      <c r="BM173" s="132"/>
      <c r="BN173" s="132"/>
      <c r="FV173" s="104">
        <f t="shared" si="89"/>
        <v>2011</v>
      </c>
      <c r="FW173" s="104">
        <f t="shared" si="90"/>
        <v>18</v>
      </c>
      <c r="FX173" s="35">
        <v>40660</v>
      </c>
      <c r="FY173" s="26">
        <v>1.93</v>
      </c>
      <c r="FZ173" s="94">
        <f t="shared" si="91"/>
        <v>7.72</v>
      </c>
      <c r="GA173" s="104"/>
      <c r="GB173" s="104"/>
      <c r="GE173" s="94"/>
      <c r="GF173" s="104">
        <f t="shared" si="92"/>
        <v>2013</v>
      </c>
      <c r="GG173" s="104">
        <f t="shared" si="93"/>
        <v>32</v>
      </c>
      <c r="GH173" s="35">
        <v>41491</v>
      </c>
      <c r="GI173" s="26">
        <v>3.29</v>
      </c>
      <c r="GJ173" s="94">
        <f t="shared" si="94"/>
        <v>6.58</v>
      </c>
      <c r="GK173" s="104"/>
      <c r="GL173" s="104"/>
      <c r="GO173" s="94"/>
    </row>
    <row r="174" spans="3:197">
      <c r="C174" s="80" t="str" cm="1">
        <f t="array" ref="C174">_xlfn.IFS(MONTH(D174)&lt;4,1,MONTH(D174)&lt;7,2,MONTH(D174)&lt;10,3,MONTH(D174)&gt;9,4)&amp;"Q"&amp;RIGHT(YEAR(D174),2)</f>
        <v>3Q16</v>
      </c>
      <c r="D174" s="81">
        <f t="shared" si="112"/>
        <v>42643</v>
      </c>
      <c r="E174" s="82">
        <f t="shared" si="109"/>
        <v>42636</v>
      </c>
      <c r="F174" s="83">
        <f t="shared" si="110"/>
        <v>0.516875</v>
      </c>
      <c r="G174" s="83">
        <f t="shared" si="110"/>
        <v>0.41375</v>
      </c>
      <c r="H174" s="81"/>
      <c r="I174" s="84">
        <v>42636</v>
      </c>
      <c r="J174" s="85">
        <v>4.55</v>
      </c>
      <c r="K174" s="85">
        <v>3.78</v>
      </c>
      <c r="L174" s="86">
        <v>4.135</v>
      </c>
      <c r="M174" s="94" cm="1">
        <f t="array" ref="M174">INDEX($BV$29:$BV$1449,MATCH($D174,$BR$29:$BR$1449,0),)</f>
        <v>3.31</v>
      </c>
      <c r="N174" s="88"/>
      <c r="O174" s="88"/>
      <c r="P174" s="88"/>
      <c r="Q174" s="89">
        <f t="shared" si="111"/>
        <v>0.249244712990937</v>
      </c>
      <c r="AH174" s="105">
        <f t="shared" si="123"/>
        <v>43644</v>
      </c>
      <c r="AI174" s="91">
        <f t="shared" si="113"/>
        <v>3.142</v>
      </c>
      <c r="AJ174" s="36">
        <f t="shared" si="114"/>
        <v>-0.055889423076923</v>
      </c>
      <c r="AK174" s="36">
        <f t="shared" si="116"/>
        <v>-0.0828955049620549</v>
      </c>
      <c r="AL174" s="105"/>
      <c r="AM174" s="91"/>
      <c r="AN174" s="36"/>
      <c r="AO174" s="36"/>
      <c r="AP174" s="36"/>
      <c r="AQ174" s="128" t="str" cm="1">
        <f t="array" ref="AQ174">_xlfn.IFS(MONTH(AR174)&lt;4,1,MONTH(AR174)&lt;7,2,MONTH(AR174)&lt;10,3,MONTH(AR174)&gt;9,4)&amp;"Q"&amp;RIGHT(YEAR(AR174),2)</f>
        <v>4Q21</v>
      </c>
      <c r="AR174" s="128">
        <f t="shared" si="115"/>
        <v>44530</v>
      </c>
      <c r="AS174" s="129">
        <v>44515</v>
      </c>
      <c r="AT174" s="130">
        <v>148</v>
      </c>
      <c r="AU174" s="94" cm="1">
        <f t="array" ref="AU174">INDEX($CE$29:$CE$1449,MATCH($AR174,$CA$29:$CA$1449,0),)</f>
        <v>151</v>
      </c>
      <c r="AV174" s="130">
        <v>296.5</v>
      </c>
      <c r="AW174" s="94" cm="1">
        <f t="array" ref="AW174">INDEX($CF$29:$CF$1449,MATCH($AR174,$CA$29:$CA$1449,0),)</f>
        <v>297.47</v>
      </c>
      <c r="AX174" s="94"/>
      <c r="AY174" s="94"/>
      <c r="AZ174" s="94"/>
      <c r="BA174" s="94"/>
      <c r="BB174" s="132">
        <f t="shared" si="117"/>
        <v>-0.023102310231023</v>
      </c>
      <c r="BC174" s="132">
        <f t="shared" si="119"/>
        <v>-0.0263157894736842</v>
      </c>
      <c r="BD174" s="132">
        <f t="shared" si="121"/>
        <v>-0.0326797385620915</v>
      </c>
      <c r="BE174" s="132">
        <f t="shared" si="118"/>
        <v>-0.00168350168350173</v>
      </c>
      <c r="BF174" s="132">
        <f t="shared" si="120"/>
        <v>-0.00503355704697983</v>
      </c>
      <c r="BG174" s="132">
        <f t="shared" si="122"/>
        <v>-0.024671052631579</v>
      </c>
      <c r="BH174" s="132"/>
      <c r="BI174" s="132"/>
      <c r="BJ174" s="132"/>
      <c r="BK174" s="132"/>
      <c r="BL174" s="132"/>
      <c r="BM174" s="132"/>
      <c r="BN174" s="132"/>
      <c r="FV174" s="104">
        <f t="shared" si="89"/>
        <v>2011</v>
      </c>
      <c r="FW174" s="104">
        <f t="shared" si="90"/>
        <v>18</v>
      </c>
      <c r="FX174" s="35">
        <v>40661</v>
      </c>
      <c r="FY174" s="26">
        <v>1.91</v>
      </c>
      <c r="FZ174" s="94">
        <f t="shared" si="91"/>
        <v>7.64</v>
      </c>
      <c r="GA174" s="104"/>
      <c r="GB174" s="104"/>
      <c r="GE174" s="94"/>
      <c r="GF174" s="104">
        <f t="shared" si="92"/>
        <v>2013</v>
      </c>
      <c r="GG174" s="104">
        <f t="shared" si="93"/>
        <v>32</v>
      </c>
      <c r="GH174" s="35">
        <v>41492</v>
      </c>
      <c r="GI174" s="26">
        <v>3.214</v>
      </c>
      <c r="GJ174" s="94">
        <f t="shared" si="94"/>
        <v>6.428</v>
      </c>
      <c r="GK174" s="104"/>
      <c r="GL174" s="104"/>
      <c r="GO174" s="94"/>
    </row>
    <row r="175" spans="3:197">
      <c r="C175" s="80" t="str" cm="1">
        <f t="array" ref="C175">_xlfn.IFS(MONTH(D175)&lt;4,1,MONTH(D175)&lt;7,2,MONTH(D175)&lt;10,3,MONTH(D175)&gt;9,4)&amp;"Q"&amp;RIGHT(YEAR(D175),2)</f>
        <v>3Q16</v>
      </c>
      <c r="D175" s="81">
        <f t="shared" si="112"/>
        <v>42643</v>
      </c>
      <c r="E175" s="82">
        <f t="shared" si="109"/>
        <v>42639</v>
      </c>
      <c r="F175" s="83">
        <f t="shared" si="110"/>
        <v>0.521875</v>
      </c>
      <c r="G175" s="83">
        <f t="shared" si="110"/>
        <v>0.41375</v>
      </c>
      <c r="H175" s="81"/>
      <c r="I175" s="84">
        <v>42639</v>
      </c>
      <c r="J175" s="85">
        <v>4.6</v>
      </c>
      <c r="K175" s="85">
        <v>3.83</v>
      </c>
      <c r="L175" s="86">
        <v>4.175</v>
      </c>
      <c r="M175" s="94" cm="1">
        <f t="array" ref="M175">INDEX($BV$29:$BV$1449,MATCH($D175,$BR$29:$BR$1449,0),)</f>
        <v>3.31</v>
      </c>
      <c r="N175" s="88"/>
      <c r="O175" s="88"/>
      <c r="P175" s="88"/>
      <c r="Q175" s="89">
        <f t="shared" si="111"/>
        <v>0.261329305135952</v>
      </c>
      <c r="AH175" s="105">
        <f t="shared" si="123"/>
        <v>43654</v>
      </c>
      <c r="AI175" s="91">
        <f t="shared" si="113"/>
        <v>3.01</v>
      </c>
      <c r="AJ175" s="36">
        <f t="shared" si="114"/>
        <v>-0.0420114576702737</v>
      </c>
      <c r="AK175" s="36">
        <f t="shared" si="116"/>
        <v>-0.0955528846153847</v>
      </c>
      <c r="AL175" s="105"/>
      <c r="AM175" s="91"/>
      <c r="AN175" s="36"/>
      <c r="AO175" s="36"/>
      <c r="AP175" s="36"/>
      <c r="AQ175" s="128" t="str" cm="1">
        <f t="array" ref="AQ175">_xlfn.IFS(MONTH(AR175)&lt;4,1,MONTH(AR175)&lt;7,2,MONTH(AR175)&lt;10,3,MONTH(AR175)&gt;9,4)&amp;"Q"&amp;RIGHT(YEAR(AR175),2)</f>
        <v>4Q21</v>
      </c>
      <c r="AR175" s="128">
        <f t="shared" si="115"/>
        <v>44530</v>
      </c>
      <c r="AS175" s="129">
        <v>44522</v>
      </c>
      <c r="AT175" s="130">
        <v>147</v>
      </c>
      <c r="AU175" s="94" cm="1">
        <f t="array" ref="AU175">INDEX($CE$29:$CE$1449,MATCH($AR175,$CA$29:$CA$1449,0),)</f>
        <v>151</v>
      </c>
      <c r="AV175" s="130">
        <v>296</v>
      </c>
      <c r="AW175" s="94" cm="1">
        <f t="array" ref="AW175">INDEX($CF$29:$CF$1449,MATCH($AR175,$CA$29:$CA$1449,0),)</f>
        <v>297.47</v>
      </c>
      <c r="AX175" s="94"/>
      <c r="AY175" s="94"/>
      <c r="AZ175" s="94"/>
      <c r="BA175" s="94"/>
      <c r="BB175" s="132">
        <f t="shared" si="117"/>
        <v>-0.0067567567567568</v>
      </c>
      <c r="BC175" s="132">
        <f t="shared" si="119"/>
        <v>-0.0297029702970297</v>
      </c>
      <c r="BD175" s="132">
        <f t="shared" si="121"/>
        <v>-0.0328947368421053</v>
      </c>
      <c r="BE175" s="132">
        <f t="shared" si="118"/>
        <v>-0.00168634064080941</v>
      </c>
      <c r="BF175" s="132">
        <f t="shared" si="120"/>
        <v>-0.00336700336700335</v>
      </c>
      <c r="BG175" s="132">
        <f t="shared" si="122"/>
        <v>-0.00671140939597314</v>
      </c>
      <c r="BH175" s="132"/>
      <c r="BI175" s="132"/>
      <c r="BJ175" s="132"/>
      <c r="BK175" s="132"/>
      <c r="BL175" s="132"/>
      <c r="BM175" s="132"/>
      <c r="BN175" s="132"/>
      <c r="FV175" s="104">
        <f t="shared" si="89"/>
        <v>2011</v>
      </c>
      <c r="FW175" s="104">
        <f t="shared" si="90"/>
        <v>18</v>
      </c>
      <c r="FX175" s="35">
        <v>40662</v>
      </c>
      <c r="FY175" s="26">
        <v>1.91</v>
      </c>
      <c r="FZ175" s="94">
        <f t="shared" si="91"/>
        <v>7.64</v>
      </c>
      <c r="GA175" s="104"/>
      <c r="GB175" s="104"/>
      <c r="GE175" s="94"/>
      <c r="GF175" s="104">
        <f t="shared" si="92"/>
        <v>2013</v>
      </c>
      <c r="GG175" s="104">
        <f t="shared" si="93"/>
        <v>32</v>
      </c>
      <c r="GH175" s="35">
        <v>41493</v>
      </c>
      <c r="GI175" s="26">
        <v>3.2</v>
      </c>
      <c r="GJ175" s="94">
        <f t="shared" si="94"/>
        <v>6.4</v>
      </c>
      <c r="GK175" s="104"/>
      <c r="GL175" s="104"/>
      <c r="GO175" s="94"/>
    </row>
    <row r="176" spans="3:197">
      <c r="C176" s="80" t="str" cm="1">
        <f t="array" ref="C176">_xlfn.IFS(MONTH(D176)&lt;4,1,MONTH(D176)&lt;7,2,MONTH(D176)&lt;10,3,MONTH(D176)&gt;9,4)&amp;"Q"&amp;RIGHT(YEAR(D176),2)</f>
        <v>3Q16</v>
      </c>
      <c r="D176" s="81">
        <f t="shared" si="112"/>
        <v>42643</v>
      </c>
      <c r="E176" s="82">
        <f t="shared" si="109"/>
        <v>42640</v>
      </c>
      <c r="F176" s="83">
        <f t="shared" si="110"/>
        <v>0.525</v>
      </c>
      <c r="G176" s="83">
        <f t="shared" si="110"/>
        <v>0.41375</v>
      </c>
      <c r="H176" s="81"/>
      <c r="I176" s="84">
        <v>42640</v>
      </c>
      <c r="J176" s="85">
        <v>4.6</v>
      </c>
      <c r="K176" s="85">
        <v>3.85</v>
      </c>
      <c r="L176" s="86">
        <v>4.2</v>
      </c>
      <c r="M176" s="94" cm="1">
        <f t="array" ref="M176">INDEX($BV$29:$BV$1449,MATCH($D176,$BR$29:$BR$1449,0),)</f>
        <v>3.31</v>
      </c>
      <c r="N176" s="88"/>
      <c r="O176" s="88"/>
      <c r="P176" s="88"/>
      <c r="Q176" s="89">
        <f t="shared" si="111"/>
        <v>0.268882175226586</v>
      </c>
      <c r="AH176" s="105">
        <f t="shared" si="123"/>
        <v>43662</v>
      </c>
      <c r="AI176" s="91">
        <f t="shared" si="113"/>
        <v>3.532</v>
      </c>
      <c r="AJ176" s="36">
        <f t="shared" si="114"/>
        <v>0.173421926910299</v>
      </c>
      <c r="AK176" s="36">
        <f t="shared" si="116"/>
        <v>0.124124761298536</v>
      </c>
      <c r="AL176" s="105"/>
      <c r="AM176" s="91"/>
      <c r="AN176" s="36"/>
      <c r="AO176" s="36"/>
      <c r="AP176" s="36"/>
      <c r="AQ176" s="128" t="str" cm="1">
        <f t="array" ref="AQ176">_xlfn.IFS(MONTH(AR176)&lt;4,1,MONTH(AR176)&lt;7,2,MONTH(AR176)&lt;10,3,MONTH(AR176)&gt;9,4)&amp;"Q"&amp;RIGHT(YEAR(AR176),2)</f>
        <v>4Q21</v>
      </c>
      <c r="AR176" s="128">
        <f t="shared" si="115"/>
        <v>44530</v>
      </c>
      <c r="AS176" s="129">
        <v>44529</v>
      </c>
      <c r="AT176" s="130">
        <v>143</v>
      </c>
      <c r="AU176" s="94" cm="1">
        <f t="array" ref="AU176">INDEX($CE$29:$CE$1449,MATCH($AR176,$CA$29:$CA$1449,0),)</f>
        <v>151</v>
      </c>
      <c r="AV176" s="130">
        <v>295</v>
      </c>
      <c r="AW176" s="94" cm="1">
        <f t="array" ref="AW176">INDEX($CF$29:$CF$1449,MATCH($AR176,$CA$29:$CA$1449,0),)</f>
        <v>297.47</v>
      </c>
      <c r="AX176" s="94"/>
      <c r="AY176" s="94"/>
      <c r="AZ176" s="94"/>
      <c r="BA176" s="94"/>
      <c r="BB176" s="132">
        <f t="shared" si="117"/>
        <v>-0.0272108843537415</v>
      </c>
      <c r="BC176" s="132">
        <f t="shared" si="119"/>
        <v>-0.0337837837837838</v>
      </c>
      <c r="BD176" s="132">
        <f t="shared" si="121"/>
        <v>-0.0561056105610561</v>
      </c>
      <c r="BE176" s="132">
        <f t="shared" si="118"/>
        <v>-0.0033783783783784</v>
      </c>
      <c r="BF176" s="132">
        <f t="shared" si="120"/>
        <v>-0.00505902192242835</v>
      </c>
      <c r="BG176" s="132">
        <f t="shared" si="122"/>
        <v>-0.0067340067340067</v>
      </c>
      <c r="BH176" s="132"/>
      <c r="BI176" s="132"/>
      <c r="BJ176" s="132"/>
      <c r="BK176" s="132"/>
      <c r="BL176" s="132"/>
      <c r="BM176" s="132"/>
      <c r="BN176" s="132"/>
      <c r="FV176" s="104">
        <f t="shared" si="89"/>
        <v>2011</v>
      </c>
      <c r="FW176" s="104">
        <f t="shared" si="90"/>
        <v>19</v>
      </c>
      <c r="FX176" s="35">
        <v>40666</v>
      </c>
      <c r="FY176" s="26">
        <v>1.9</v>
      </c>
      <c r="FZ176" s="94">
        <f t="shared" si="91"/>
        <v>7.6</v>
      </c>
      <c r="GA176" s="104"/>
      <c r="GB176" s="104"/>
      <c r="GE176" s="94"/>
      <c r="GF176" s="104">
        <f t="shared" si="92"/>
        <v>2013</v>
      </c>
      <c r="GG176" s="104">
        <f t="shared" si="93"/>
        <v>32</v>
      </c>
      <c r="GH176" s="35">
        <v>41494</v>
      </c>
      <c r="GI176" s="26">
        <v>3.14</v>
      </c>
      <c r="GJ176" s="94">
        <f t="shared" si="94"/>
        <v>6.28</v>
      </c>
      <c r="GK176" s="104"/>
      <c r="GL176" s="104"/>
      <c r="GO176" s="94"/>
    </row>
    <row r="177" spans="3:197">
      <c r="C177" s="80" t="str" cm="1">
        <f t="array" ref="C177">_xlfn.IFS(MONTH(D177)&lt;4,1,MONTH(D177)&lt;7,2,MONTH(D177)&lt;10,3,MONTH(D177)&gt;9,4)&amp;"Q"&amp;RIGHT(YEAR(D177),2)</f>
        <v>3Q16</v>
      </c>
      <c r="D177" s="81">
        <f t="shared" si="112"/>
        <v>42643</v>
      </c>
      <c r="E177" s="82">
        <f t="shared" si="109"/>
        <v>42641</v>
      </c>
      <c r="F177" s="83">
        <f t="shared" si="110"/>
        <v>0.5275</v>
      </c>
      <c r="G177" s="83">
        <f t="shared" si="110"/>
        <v>0.41375</v>
      </c>
      <c r="H177" s="81"/>
      <c r="I177" s="84">
        <v>42641</v>
      </c>
      <c r="J177" s="85">
        <v>4.65</v>
      </c>
      <c r="K177" s="85">
        <v>3.85</v>
      </c>
      <c r="L177" s="86">
        <v>4.22</v>
      </c>
      <c r="M177" s="94" cm="1">
        <f t="array" ref="M177">INDEX($BV$29:$BV$1449,MATCH($D177,$BR$29:$BR$1449,0),)</f>
        <v>3.31</v>
      </c>
      <c r="N177" s="88"/>
      <c r="O177" s="88"/>
      <c r="P177" s="88"/>
      <c r="Q177" s="89">
        <f t="shared" si="111"/>
        <v>0.274924471299093</v>
      </c>
      <c r="AH177" s="105">
        <f t="shared" si="123"/>
        <v>43670</v>
      </c>
      <c r="AI177" s="91">
        <f t="shared" si="113"/>
        <v>3.664</v>
      </c>
      <c r="AJ177" s="36">
        <f t="shared" si="114"/>
        <v>0.0373725934314837</v>
      </c>
      <c r="AK177" s="36">
        <f t="shared" si="116"/>
        <v>0.217275747508306</v>
      </c>
      <c r="AL177" s="105"/>
      <c r="AM177" s="91"/>
      <c r="AN177" s="36"/>
      <c r="AO177" s="36"/>
      <c r="AP177" s="36"/>
      <c r="AQ177" s="128" t="str" cm="1">
        <f t="array" ref="AQ177">_xlfn.IFS(MONTH(AR177)&lt;4,1,MONTH(AR177)&lt;7,2,MONTH(AR177)&lt;10,3,MONTH(AR177)&gt;9,4)&amp;"Q"&amp;RIGHT(YEAR(AR177),2)</f>
        <v>4Q21</v>
      </c>
      <c r="AR177" s="128">
        <f t="shared" si="115"/>
        <v>44561</v>
      </c>
      <c r="AS177" s="129">
        <v>44536</v>
      </c>
      <c r="AT177" s="130">
        <v>142</v>
      </c>
      <c r="AU177" s="94" cm="1">
        <f t="array" ref="AU177">INDEX($CE$29:$CE$1449,MATCH($AR177,$CA$29:$CA$1449,0),)</f>
        <v>150</v>
      </c>
      <c r="AV177" s="130">
        <v>294</v>
      </c>
      <c r="AW177" s="94" cm="1">
        <f t="array" ref="AW177">INDEX($CF$29:$CF$1449,MATCH($AR177,$CA$29:$CA$1449,0),)</f>
        <v>292.5</v>
      </c>
      <c r="AX177" s="94"/>
      <c r="AY177" s="94"/>
      <c r="AZ177" s="94"/>
      <c r="BA177" s="94"/>
      <c r="BB177" s="132">
        <f t="shared" si="117"/>
        <v>-0.00699300699300698</v>
      </c>
      <c r="BC177" s="132">
        <f t="shared" si="119"/>
        <v>-0.0340136054421769</v>
      </c>
      <c r="BD177" s="132">
        <f t="shared" si="121"/>
        <v>-0.0405405405405406</v>
      </c>
      <c r="BE177" s="132">
        <f t="shared" si="118"/>
        <v>-0.00338983050847452</v>
      </c>
      <c r="BF177" s="132">
        <f t="shared" si="120"/>
        <v>-0.0067567567567568</v>
      </c>
      <c r="BG177" s="132">
        <f t="shared" si="122"/>
        <v>-0.00843170320404718</v>
      </c>
      <c r="BH177" s="132"/>
      <c r="BI177" s="132"/>
      <c r="BJ177" s="132"/>
      <c r="BK177" s="132"/>
      <c r="BL177" s="132"/>
      <c r="BM177" s="132"/>
      <c r="BN177" s="132"/>
      <c r="FV177" s="104">
        <f t="shared" si="89"/>
        <v>2011</v>
      </c>
      <c r="FW177" s="104">
        <f t="shared" si="90"/>
        <v>19</v>
      </c>
      <c r="FX177" s="35">
        <v>40667</v>
      </c>
      <c r="FY177" s="26">
        <v>1.9</v>
      </c>
      <c r="FZ177" s="94">
        <f t="shared" si="91"/>
        <v>7.6</v>
      </c>
      <c r="GA177" s="104"/>
      <c r="GB177" s="104"/>
      <c r="GE177" s="94"/>
      <c r="GF177" s="104">
        <f t="shared" si="92"/>
        <v>2013</v>
      </c>
      <c r="GG177" s="104">
        <f t="shared" si="93"/>
        <v>32</v>
      </c>
      <c r="GH177" s="35">
        <v>41495</v>
      </c>
      <c r="GI177" s="26">
        <v>3.148</v>
      </c>
      <c r="GJ177" s="94">
        <f t="shared" si="94"/>
        <v>6.296</v>
      </c>
      <c r="GK177" s="104"/>
      <c r="GL177" s="104"/>
      <c r="GO177" s="94"/>
    </row>
    <row r="178" spans="3:197">
      <c r="C178" s="80" t="str" cm="1">
        <f t="array" ref="C178">_xlfn.IFS(MONTH(D178)&lt;4,1,MONTH(D178)&lt;7,2,MONTH(D178)&lt;10,3,MONTH(D178)&gt;9,4)&amp;"Q"&amp;RIGHT(YEAR(D178),2)</f>
        <v>3Q16</v>
      </c>
      <c r="D178" s="81">
        <f t="shared" si="112"/>
        <v>42643</v>
      </c>
      <c r="E178" s="82">
        <f t="shared" si="109"/>
        <v>42642</v>
      </c>
      <c r="F178" s="83">
        <f t="shared" si="110"/>
        <v>0.5375</v>
      </c>
      <c r="G178" s="83">
        <f t="shared" si="110"/>
        <v>0.41375</v>
      </c>
      <c r="H178" s="81"/>
      <c r="I178" s="84">
        <v>42642</v>
      </c>
      <c r="J178" s="85">
        <v>4.7</v>
      </c>
      <c r="K178" s="85">
        <v>4.05</v>
      </c>
      <c r="L178" s="86">
        <v>4.3</v>
      </c>
      <c r="M178" s="94" cm="1">
        <f t="array" ref="M178">INDEX($BV$29:$BV$1449,MATCH($D178,$BR$29:$BR$1449,0),)</f>
        <v>3.31</v>
      </c>
      <c r="N178" s="88"/>
      <c r="O178" s="88"/>
      <c r="P178" s="88"/>
      <c r="Q178" s="89">
        <f t="shared" si="111"/>
        <v>0.299093655589124</v>
      </c>
      <c r="AH178" s="105">
        <f t="shared" si="123"/>
        <v>43678</v>
      </c>
      <c r="AI178" s="91">
        <f t="shared" si="113"/>
        <v>3.63</v>
      </c>
      <c r="AJ178" s="36">
        <f t="shared" si="114"/>
        <v>-0.00927947598253287</v>
      </c>
      <c r="AK178" s="36">
        <f t="shared" si="116"/>
        <v>0.0277463193657983</v>
      </c>
      <c r="AL178" s="105"/>
      <c r="AM178" s="91"/>
      <c r="AN178" s="36"/>
      <c r="AO178" s="36"/>
      <c r="AP178" s="36"/>
      <c r="AQ178" s="128" t="str" cm="1">
        <f t="array" ref="AQ178">_xlfn.IFS(MONTH(AR178)&lt;4,1,MONTH(AR178)&lt;7,2,MONTH(AR178)&lt;10,3,MONTH(AR178)&gt;9,4)&amp;"Q"&amp;RIGHT(YEAR(AR178),2)</f>
        <v>4Q21</v>
      </c>
      <c r="AR178" s="128">
        <f t="shared" si="115"/>
        <v>44561</v>
      </c>
      <c r="AS178" s="129">
        <v>44543</v>
      </c>
      <c r="AT178" s="130">
        <v>144.5</v>
      </c>
      <c r="AU178" s="94" cm="1">
        <f t="array" ref="AU178">INDEX($CE$29:$CE$1449,MATCH($AR178,$CA$29:$CA$1449,0),)</f>
        <v>150</v>
      </c>
      <c r="AV178" s="130">
        <v>291</v>
      </c>
      <c r="AW178" s="94" cm="1">
        <f t="array" ref="AW178">INDEX($CF$29:$CF$1449,MATCH($AR178,$CA$29:$CA$1449,0),)</f>
        <v>292.5</v>
      </c>
      <c r="AX178" s="94"/>
      <c r="AY178" s="94"/>
      <c r="AZ178" s="94"/>
      <c r="BA178" s="94"/>
      <c r="BB178" s="132">
        <f t="shared" si="117"/>
        <v>0.017605633802817</v>
      </c>
      <c r="BC178" s="132">
        <f t="shared" si="119"/>
        <v>0.0104895104895104</v>
      </c>
      <c r="BD178" s="132">
        <f t="shared" si="121"/>
        <v>-0.0170068027210885</v>
      </c>
      <c r="BE178" s="132">
        <f t="shared" si="118"/>
        <v>-0.0102040816326531</v>
      </c>
      <c r="BF178" s="132">
        <f t="shared" si="120"/>
        <v>-0.0135593220338983</v>
      </c>
      <c r="BG178" s="132">
        <f t="shared" si="122"/>
        <v>-0.0168918918918919</v>
      </c>
      <c r="BH178" s="132"/>
      <c r="BI178" s="132"/>
      <c r="BJ178" s="132"/>
      <c r="BK178" s="132"/>
      <c r="BL178" s="132"/>
      <c r="BM178" s="132"/>
      <c r="BN178" s="132"/>
      <c r="FV178" s="104">
        <f t="shared" si="89"/>
        <v>2011</v>
      </c>
      <c r="FW178" s="104">
        <f t="shared" si="90"/>
        <v>19</v>
      </c>
      <c r="FX178" s="35">
        <v>40668</v>
      </c>
      <c r="FY178" s="26">
        <v>1.89</v>
      </c>
      <c r="FZ178" s="94">
        <f t="shared" si="91"/>
        <v>7.56</v>
      </c>
      <c r="GA178" s="104"/>
      <c r="GB178" s="104"/>
      <c r="GE178" s="94"/>
      <c r="GF178" s="104">
        <f t="shared" si="92"/>
        <v>2013</v>
      </c>
      <c r="GG178" s="104">
        <f t="shared" si="93"/>
        <v>33</v>
      </c>
      <c r="GH178" s="35">
        <v>41498</v>
      </c>
      <c r="GI178" s="26">
        <v>3.088</v>
      </c>
      <c r="GJ178" s="94">
        <f t="shared" si="94"/>
        <v>6.176</v>
      </c>
      <c r="GK178" s="104"/>
      <c r="GL178" s="104"/>
      <c r="GO178" s="94"/>
    </row>
    <row r="179" spans="3:197">
      <c r="C179" s="80" t="str" cm="1">
        <f t="array" ref="C179">_xlfn.IFS(MONTH(D179)&lt;4,1,MONTH(D179)&lt;7,2,MONTH(D179)&lt;10,3,MONTH(D179)&gt;9,4)&amp;"Q"&amp;RIGHT(YEAR(D179),2)</f>
        <v>3Q16</v>
      </c>
      <c r="D179" s="81">
        <f t="shared" si="112"/>
        <v>42643</v>
      </c>
      <c r="E179" s="82">
        <f t="shared" si="109"/>
        <v>42643</v>
      </c>
      <c r="F179" s="83">
        <f t="shared" si="110"/>
        <v>0.540625</v>
      </c>
      <c r="G179" s="83">
        <f t="shared" si="110"/>
        <v>0.41375</v>
      </c>
      <c r="H179" s="81"/>
      <c r="I179" s="84">
        <v>42643</v>
      </c>
      <c r="J179" s="85">
        <v>4.75</v>
      </c>
      <c r="K179" s="85">
        <v>4.1</v>
      </c>
      <c r="L179" s="86">
        <v>4.325</v>
      </c>
      <c r="M179" s="94" cm="1">
        <f t="array" ref="M179">INDEX($BV$29:$BV$1449,MATCH($D179,$BR$29:$BR$1449,0),)</f>
        <v>3.31</v>
      </c>
      <c r="N179" s="88"/>
      <c r="O179" s="88"/>
      <c r="P179" s="88"/>
      <c r="Q179" s="89">
        <f t="shared" si="111"/>
        <v>0.306646525679758</v>
      </c>
      <c r="AH179" s="105">
        <f t="shared" si="123"/>
        <v>43686</v>
      </c>
      <c r="AI179" s="91">
        <f t="shared" si="113"/>
        <v>3.583</v>
      </c>
      <c r="AJ179" s="36">
        <f t="shared" si="114"/>
        <v>-0.0129476584022038</v>
      </c>
      <c r="AK179" s="36">
        <f t="shared" si="116"/>
        <v>-0.0221069868995633</v>
      </c>
      <c r="AL179" s="105"/>
      <c r="AM179" s="91"/>
      <c r="AN179" s="36"/>
      <c r="AO179" s="36"/>
      <c r="AP179" s="36"/>
      <c r="AQ179" s="128" t="str" cm="1">
        <f t="array" ref="AQ179">_xlfn.IFS(MONTH(AR179)&lt;4,1,MONTH(AR179)&lt;7,2,MONTH(AR179)&lt;10,3,MONTH(AR179)&gt;9,4)&amp;"Q"&amp;RIGHT(YEAR(AR179),2)</f>
        <v>4Q21</v>
      </c>
      <c r="AR179" s="128">
        <f t="shared" si="115"/>
        <v>44561</v>
      </c>
      <c r="AS179" s="129">
        <v>44550</v>
      </c>
      <c r="AT179" s="130">
        <v>142</v>
      </c>
      <c r="AU179" s="94" cm="1">
        <f t="array" ref="AU179">INDEX($CE$29:$CE$1449,MATCH($AR179,$CA$29:$CA$1449,0),)</f>
        <v>150</v>
      </c>
      <c r="AV179" s="130">
        <v>290.8</v>
      </c>
      <c r="AW179" s="94" cm="1">
        <f t="array" ref="AW179">INDEX($CF$29:$CF$1449,MATCH($AR179,$CA$29:$CA$1449,0),)</f>
        <v>292.5</v>
      </c>
      <c r="AX179" s="94"/>
      <c r="AY179" s="94"/>
      <c r="AZ179" s="94"/>
      <c r="BA179" s="94"/>
      <c r="BB179" s="132">
        <f t="shared" si="117"/>
        <v>-0.0173010380622838</v>
      </c>
      <c r="BC179" s="132">
        <f t="shared" si="119"/>
        <v>0</v>
      </c>
      <c r="BD179" s="132">
        <f t="shared" si="121"/>
        <v>-0.00699300699300698</v>
      </c>
      <c r="BE179" s="132">
        <f t="shared" si="118"/>
        <v>-0.000687285223367695</v>
      </c>
      <c r="BF179" s="132">
        <f t="shared" si="120"/>
        <v>-0.0108843537414965</v>
      </c>
      <c r="BG179" s="132">
        <f t="shared" si="122"/>
        <v>-0.0142372881355932</v>
      </c>
      <c r="BH179" s="132"/>
      <c r="BI179" s="132"/>
      <c r="BJ179" s="132"/>
      <c r="BK179" s="132"/>
      <c r="BL179" s="132"/>
      <c r="BM179" s="132"/>
      <c r="BN179" s="132"/>
      <c r="FV179" s="104">
        <f t="shared" si="89"/>
        <v>2011</v>
      </c>
      <c r="FW179" s="104">
        <f t="shared" si="90"/>
        <v>19</v>
      </c>
      <c r="FX179" s="35">
        <v>40669</v>
      </c>
      <c r="FY179" s="26">
        <v>1.88</v>
      </c>
      <c r="FZ179" s="94">
        <f t="shared" si="91"/>
        <v>7.52</v>
      </c>
      <c r="GA179" s="104"/>
      <c r="GB179" s="104"/>
      <c r="GE179" s="94"/>
      <c r="GF179" s="104">
        <f t="shared" si="92"/>
        <v>2013</v>
      </c>
      <c r="GG179" s="104">
        <f t="shared" si="93"/>
        <v>33</v>
      </c>
      <c r="GH179" s="35">
        <v>41499</v>
      </c>
      <c r="GI179" s="26">
        <v>3.103</v>
      </c>
      <c r="GJ179" s="94">
        <f t="shared" si="94"/>
        <v>6.206</v>
      </c>
      <c r="GK179" s="104"/>
      <c r="GL179" s="104"/>
      <c r="GO179" s="94"/>
    </row>
    <row r="180" spans="3:197">
      <c r="C180" s="80" t="str" cm="1">
        <f t="array" ref="C180">_xlfn.IFS(MONTH(D180)&lt;4,1,MONTH(D180)&lt;7,2,MONTH(D180)&lt;10,3,MONTH(D180)&gt;9,4)&amp;"Q"&amp;RIGHT(YEAR(D180),2)</f>
        <v>4Q16</v>
      </c>
      <c r="D180" s="81">
        <f t="shared" si="112"/>
        <v>42674</v>
      </c>
      <c r="E180" s="82">
        <f t="shared" si="109"/>
        <v>42646</v>
      </c>
      <c r="F180" s="83">
        <f t="shared" si="110"/>
        <v>0.54375</v>
      </c>
      <c r="G180" s="83">
        <f t="shared" si="110"/>
        <v>0.5075</v>
      </c>
      <c r="H180" s="81"/>
      <c r="I180" s="84">
        <v>42646</v>
      </c>
      <c r="J180" s="85">
        <v>4.8</v>
      </c>
      <c r="K180" s="85">
        <v>4.15</v>
      </c>
      <c r="L180" s="86">
        <v>4.35</v>
      </c>
      <c r="M180" s="94" cm="1">
        <f t="array" ref="M180">INDEX($BV$29:$BV$1449,MATCH($D180,$BR$29:$BR$1449,0),)</f>
        <v>4.06</v>
      </c>
      <c r="N180" s="88"/>
      <c r="O180" s="88"/>
      <c r="P180" s="88"/>
      <c r="Q180" s="89">
        <f t="shared" si="111"/>
        <v>0.0714285714285714</v>
      </c>
      <c r="AH180" s="105">
        <f t="shared" si="123"/>
        <v>43696</v>
      </c>
      <c r="AI180" s="91">
        <f t="shared" si="113"/>
        <v>3.523</v>
      </c>
      <c r="AJ180" s="36">
        <f t="shared" si="114"/>
        <v>-0.0167457437901201</v>
      </c>
      <c r="AK180" s="36">
        <f t="shared" si="116"/>
        <v>-0.0294765840220385</v>
      </c>
      <c r="AL180" s="105"/>
      <c r="AM180" s="91"/>
      <c r="AN180" s="36"/>
      <c r="AO180" s="36"/>
      <c r="AP180" s="36"/>
      <c r="AQ180" s="128" t="str" cm="1">
        <f t="array" ref="AQ180">_xlfn.IFS(MONTH(AR180)&lt;4,1,MONTH(AR180)&lt;7,2,MONTH(AR180)&lt;10,3,MONTH(AR180)&gt;9,4)&amp;"Q"&amp;RIGHT(YEAR(AR180),2)</f>
        <v>4Q21</v>
      </c>
      <c r="AR180" s="128">
        <f t="shared" si="115"/>
        <v>44561</v>
      </c>
      <c r="AS180" s="129">
        <v>44557</v>
      </c>
      <c r="AT180" s="130">
        <v>148</v>
      </c>
      <c r="AU180" s="94" cm="1">
        <f t="array" ref="AU180">INDEX($CE$29:$CE$1449,MATCH($AR180,$CA$29:$CA$1449,0),)</f>
        <v>150</v>
      </c>
      <c r="AV180" s="130">
        <v>292</v>
      </c>
      <c r="AW180" s="94" cm="1">
        <f t="array" ref="AW180">INDEX($CF$29:$CF$1449,MATCH($AR180,$CA$29:$CA$1449,0),)</f>
        <v>292.5</v>
      </c>
      <c r="AX180" s="94"/>
      <c r="AY180" s="94"/>
      <c r="AZ180" s="94"/>
      <c r="BA180" s="94"/>
      <c r="BB180" s="132">
        <f t="shared" si="117"/>
        <v>0.0422535211267605</v>
      </c>
      <c r="BC180" s="132">
        <f t="shared" si="119"/>
        <v>0.0242214532871972</v>
      </c>
      <c r="BD180" s="132">
        <f t="shared" si="121"/>
        <v>0.0422535211267605</v>
      </c>
      <c r="BE180" s="132">
        <f t="shared" si="118"/>
        <v>0.00412654745529561</v>
      </c>
      <c r="BF180" s="132">
        <f t="shared" si="120"/>
        <v>0.00343642611683848</v>
      </c>
      <c r="BG180" s="132">
        <f t="shared" si="122"/>
        <v>-0.00680272108843538</v>
      </c>
      <c r="BH180" s="132"/>
      <c r="BI180" s="132"/>
      <c r="BJ180" s="132"/>
      <c r="BK180" s="132"/>
      <c r="BL180" s="132"/>
      <c r="BM180" s="132"/>
      <c r="BN180" s="132"/>
      <c r="FV180" s="104">
        <f t="shared" ref="FV180:FV243" si="124">YEAR(FX180)</f>
        <v>2011</v>
      </c>
      <c r="FW180" s="104">
        <f t="shared" ref="FW180:FW243" si="125">WEEKNUM(FX180)</f>
        <v>20</v>
      </c>
      <c r="FX180" s="35">
        <v>40672</v>
      </c>
      <c r="FY180" s="26">
        <v>1.87</v>
      </c>
      <c r="FZ180" s="94">
        <f t="shared" ref="FZ180:FZ243" si="126">FY180*4</f>
        <v>7.48</v>
      </c>
      <c r="GA180" s="104"/>
      <c r="GB180" s="104"/>
      <c r="GE180" s="94"/>
      <c r="GF180" s="104">
        <f t="shared" ref="GF180:GF243" si="127">YEAR(GH180)</f>
        <v>2013</v>
      </c>
      <c r="GG180" s="104">
        <f t="shared" ref="GG180:GG243" si="128">WEEKNUM(GH180)</f>
        <v>33</v>
      </c>
      <c r="GH180" s="35">
        <v>41500</v>
      </c>
      <c r="GI180" s="26">
        <v>3.155</v>
      </c>
      <c r="GJ180" s="94">
        <f t="shared" ref="GJ180:GJ243" si="129">GI180*2</f>
        <v>6.31</v>
      </c>
      <c r="GK180" s="104"/>
      <c r="GL180" s="104"/>
      <c r="GO180" s="94"/>
    </row>
    <row r="181" spans="3:197">
      <c r="C181" s="80" t="str" cm="1">
        <f t="array" ref="C181">_xlfn.IFS(MONTH(D181)&lt;4,1,MONTH(D181)&lt;7,2,MONTH(D181)&lt;10,3,MONTH(D181)&gt;9,4)&amp;"Q"&amp;RIGHT(YEAR(D181),2)</f>
        <v>4Q16</v>
      </c>
      <c r="D181" s="81">
        <f t="shared" si="112"/>
        <v>42674</v>
      </c>
      <c r="E181" s="82">
        <f t="shared" si="109"/>
        <v>42647</v>
      </c>
      <c r="F181" s="83">
        <f t="shared" si="110"/>
        <v>0.546875</v>
      </c>
      <c r="G181" s="83">
        <f t="shared" si="110"/>
        <v>0.5075</v>
      </c>
      <c r="H181" s="81"/>
      <c r="I181" s="84">
        <v>42647</v>
      </c>
      <c r="J181" s="85">
        <v>4.85</v>
      </c>
      <c r="K181" s="85">
        <v>4.2</v>
      </c>
      <c r="L181" s="86">
        <v>4.375</v>
      </c>
      <c r="M181" s="94" cm="1">
        <f t="array" ref="M181">INDEX($BV$29:$BV$1449,MATCH($D181,$BR$29:$BR$1449,0),)</f>
        <v>4.06</v>
      </c>
      <c r="N181" s="88"/>
      <c r="O181" s="88"/>
      <c r="P181" s="88"/>
      <c r="Q181" s="89">
        <f t="shared" si="111"/>
        <v>0.0775862068965518</v>
      </c>
      <c r="AH181" s="105">
        <f t="shared" si="123"/>
        <v>43704</v>
      </c>
      <c r="AI181" s="91">
        <f t="shared" si="113"/>
        <v>3.463</v>
      </c>
      <c r="AJ181" s="36">
        <f t="shared" si="114"/>
        <v>-0.0170309395401647</v>
      </c>
      <c r="AK181" s="36">
        <f t="shared" si="116"/>
        <v>-0.03349148758024</v>
      </c>
      <c r="AL181" s="105"/>
      <c r="AM181" s="91"/>
      <c r="AN181" s="36"/>
      <c r="AO181" s="36"/>
      <c r="AP181" s="36"/>
      <c r="AQ181" s="128" t="str" cm="1">
        <f t="array" ref="AQ181">_xlfn.IFS(MONTH(AR181)&lt;4,1,MONTH(AR181)&lt;7,2,MONTH(AR181)&lt;10,3,MONTH(AR181)&gt;9,4)&amp;"Q"&amp;RIGHT(YEAR(AR181),2)</f>
        <v>1Q22</v>
      </c>
      <c r="AR181" s="128">
        <f t="shared" si="115"/>
        <v>44592</v>
      </c>
      <c r="AS181" s="129">
        <v>44564</v>
      </c>
      <c r="AT181" s="130">
        <v>148.5</v>
      </c>
      <c r="AU181" s="94" cm="1">
        <f t="array" ref="AU181">INDEX($CE$29:$CE$1449,MATCH($AR181,$CA$29:$CA$1449,0),)</f>
        <v>140</v>
      </c>
      <c r="AV181" s="130">
        <v>293</v>
      </c>
      <c r="AW181" s="94" cm="1">
        <f t="array" ref="AW181">INDEX($CF$29:$CF$1449,MATCH($AR181,$CA$29:$CA$1449,0),)</f>
        <v>271.6</v>
      </c>
      <c r="AX181" s="94"/>
      <c r="AY181" s="94"/>
      <c r="AZ181" s="94"/>
      <c r="BA181" s="94"/>
      <c r="BB181" s="132">
        <f t="shared" si="117"/>
        <v>0.00337837837837829</v>
      </c>
      <c r="BC181" s="132">
        <f t="shared" si="119"/>
        <v>0.045774647887324</v>
      </c>
      <c r="BD181" s="132">
        <f t="shared" si="121"/>
        <v>0.027681660899654</v>
      </c>
      <c r="BE181" s="132">
        <f t="shared" si="118"/>
        <v>0.00342465753424648</v>
      </c>
      <c r="BF181" s="132">
        <f t="shared" si="120"/>
        <v>0.00756533700137552</v>
      </c>
      <c r="BG181" s="132">
        <f t="shared" si="122"/>
        <v>0.00687285223367695</v>
      </c>
      <c r="BH181" s="132"/>
      <c r="BI181" s="132"/>
      <c r="BJ181" s="132"/>
      <c r="BK181" s="132"/>
      <c r="BL181" s="132"/>
      <c r="BM181" s="132"/>
      <c r="BN181" s="132"/>
      <c r="FV181" s="104">
        <f t="shared" si="124"/>
        <v>2011</v>
      </c>
      <c r="FW181" s="104">
        <f t="shared" si="125"/>
        <v>20</v>
      </c>
      <c r="FX181" s="35">
        <v>40673</v>
      </c>
      <c r="FY181" s="26">
        <v>1.87</v>
      </c>
      <c r="FZ181" s="94">
        <f t="shared" si="126"/>
        <v>7.48</v>
      </c>
      <c r="GA181" s="104"/>
      <c r="GB181" s="104"/>
      <c r="GE181" s="94"/>
      <c r="GF181" s="104">
        <f t="shared" si="127"/>
        <v>2013</v>
      </c>
      <c r="GG181" s="104">
        <f t="shared" si="128"/>
        <v>33</v>
      </c>
      <c r="GH181" s="35">
        <v>41501</v>
      </c>
      <c r="GI181" s="26">
        <v>3.185</v>
      </c>
      <c r="GJ181" s="94">
        <f t="shared" si="129"/>
        <v>6.37</v>
      </c>
      <c r="GK181" s="104"/>
      <c r="GL181" s="104"/>
      <c r="GO181" s="94"/>
    </row>
    <row r="182" spans="3:197">
      <c r="C182" s="80" t="str" cm="1">
        <f t="array" ref="C182">_xlfn.IFS(MONTH(D182)&lt;4,1,MONTH(D182)&lt;7,2,MONTH(D182)&lt;10,3,MONTH(D182)&gt;9,4)&amp;"Q"&amp;RIGHT(YEAR(D182),2)</f>
        <v>4Q16</v>
      </c>
      <c r="D182" s="81">
        <f t="shared" si="112"/>
        <v>42674</v>
      </c>
      <c r="E182" s="82">
        <f t="shared" si="109"/>
        <v>42648</v>
      </c>
      <c r="F182" s="83">
        <f t="shared" si="110"/>
        <v>0.546875</v>
      </c>
      <c r="G182" s="83">
        <f t="shared" si="110"/>
        <v>0.5075</v>
      </c>
      <c r="H182" s="81"/>
      <c r="I182" s="84">
        <v>42648</v>
      </c>
      <c r="J182" s="85">
        <v>4.9</v>
      </c>
      <c r="K182" s="85">
        <v>4.2</v>
      </c>
      <c r="L182" s="86">
        <v>4.375</v>
      </c>
      <c r="M182" s="94" cm="1">
        <f t="array" ref="M182">INDEX($BV$29:$BV$1449,MATCH($D182,$BR$29:$BR$1449,0),)</f>
        <v>4.06</v>
      </c>
      <c r="N182" s="88"/>
      <c r="O182" s="88"/>
      <c r="P182" s="88"/>
      <c r="Q182" s="89">
        <f t="shared" si="111"/>
        <v>0.0775862068965518</v>
      </c>
      <c r="AH182" s="105">
        <f t="shared" si="123"/>
        <v>43712</v>
      </c>
      <c r="AI182" s="91">
        <f t="shared" si="113"/>
        <v>3.36</v>
      </c>
      <c r="AJ182" s="36">
        <f t="shared" si="114"/>
        <v>-0.0297429974010974</v>
      </c>
      <c r="AK182" s="36">
        <f t="shared" si="116"/>
        <v>-0.0462673857507807</v>
      </c>
      <c r="AL182" s="105"/>
      <c r="AM182" s="91"/>
      <c r="AN182" s="36"/>
      <c r="AO182" s="36"/>
      <c r="AP182" s="36"/>
      <c r="AQ182" s="128" t="str" cm="1">
        <f t="array" ref="AQ182">_xlfn.IFS(MONTH(AR182)&lt;4,1,MONTH(AR182)&lt;7,2,MONTH(AR182)&lt;10,3,MONTH(AR182)&gt;9,4)&amp;"Q"&amp;RIGHT(YEAR(AR182),2)</f>
        <v>1Q22</v>
      </c>
      <c r="AR182" s="128">
        <f t="shared" si="115"/>
        <v>44592</v>
      </c>
      <c r="AS182" s="129">
        <v>44571</v>
      </c>
      <c r="AT182" s="130">
        <v>146</v>
      </c>
      <c r="AU182" s="94" cm="1">
        <f t="array" ref="AU182">INDEX($CE$29:$CE$1449,MATCH($AR182,$CA$29:$CA$1449,0),)</f>
        <v>140</v>
      </c>
      <c r="AV182" s="130">
        <v>292</v>
      </c>
      <c r="AW182" s="94" cm="1">
        <f t="array" ref="AW182">INDEX($CF$29:$CF$1449,MATCH($AR182,$CA$29:$CA$1449,0),)</f>
        <v>271.6</v>
      </c>
      <c r="AX182" s="94"/>
      <c r="AY182" s="94"/>
      <c r="AZ182" s="94"/>
      <c r="BA182" s="94"/>
      <c r="BB182" s="132">
        <f t="shared" si="117"/>
        <v>-0.0168350168350169</v>
      </c>
      <c r="BC182" s="132">
        <f t="shared" si="119"/>
        <v>-0.0135135135135135</v>
      </c>
      <c r="BD182" s="132">
        <f t="shared" si="121"/>
        <v>0.028169014084507</v>
      </c>
      <c r="BE182" s="132">
        <f t="shared" si="118"/>
        <v>-0.0034129692832765</v>
      </c>
      <c r="BF182" s="132">
        <f t="shared" si="120"/>
        <v>0</v>
      </c>
      <c r="BG182" s="132">
        <f t="shared" si="122"/>
        <v>0.00412654745529561</v>
      </c>
      <c r="BH182" s="132"/>
      <c r="BI182" s="132"/>
      <c r="BJ182" s="132"/>
      <c r="BK182" s="132"/>
      <c r="BL182" s="132"/>
      <c r="BM182" s="132"/>
      <c r="BN182" s="132"/>
      <c r="FV182" s="104">
        <f t="shared" si="124"/>
        <v>2011</v>
      </c>
      <c r="FW182" s="104">
        <f t="shared" si="125"/>
        <v>20</v>
      </c>
      <c r="FX182" s="35">
        <v>40674</v>
      </c>
      <c r="FY182" s="26">
        <v>1.87</v>
      </c>
      <c r="FZ182" s="94">
        <f t="shared" si="126"/>
        <v>7.48</v>
      </c>
      <c r="GA182" s="104"/>
      <c r="GB182" s="104"/>
      <c r="GE182" s="94"/>
      <c r="GF182" s="104">
        <f t="shared" si="127"/>
        <v>2013</v>
      </c>
      <c r="GG182" s="104">
        <f t="shared" si="128"/>
        <v>33</v>
      </c>
      <c r="GH182" s="35">
        <v>41502</v>
      </c>
      <c r="GI182" s="26">
        <v>3.178</v>
      </c>
      <c r="GJ182" s="94">
        <f t="shared" si="129"/>
        <v>6.356</v>
      </c>
      <c r="GK182" s="104"/>
      <c r="GL182" s="104"/>
      <c r="GO182" s="94"/>
    </row>
    <row r="183" spans="3:197">
      <c r="C183" s="80" t="str" cm="1">
        <f t="array" ref="C183">_xlfn.IFS(MONTH(D183)&lt;4,1,MONTH(D183)&lt;7,2,MONTH(D183)&lt;10,3,MONTH(D183)&gt;9,4)&amp;"Q"&amp;RIGHT(YEAR(D183),2)</f>
        <v>4Q16</v>
      </c>
      <c r="D183" s="81">
        <f t="shared" si="112"/>
        <v>42674</v>
      </c>
      <c r="E183" s="82">
        <f t="shared" si="109"/>
        <v>42649</v>
      </c>
      <c r="F183" s="83">
        <f t="shared" si="110"/>
        <v>0.55</v>
      </c>
      <c r="G183" s="83">
        <f t="shared" si="110"/>
        <v>0.5075</v>
      </c>
      <c r="H183" s="81"/>
      <c r="I183" s="84">
        <v>42649</v>
      </c>
      <c r="J183" s="85">
        <v>4.95</v>
      </c>
      <c r="K183" s="85">
        <v>4.2</v>
      </c>
      <c r="L183" s="86">
        <v>4.4</v>
      </c>
      <c r="M183" s="94" cm="1">
        <f t="array" ref="M183">INDEX($BV$29:$BV$1449,MATCH($D183,$BR$29:$BR$1449,0),)</f>
        <v>4.06</v>
      </c>
      <c r="N183" s="88"/>
      <c r="O183" s="88"/>
      <c r="P183" s="88"/>
      <c r="Q183" s="89">
        <f t="shared" si="111"/>
        <v>0.0837438423645323</v>
      </c>
      <c r="AH183" s="105">
        <f t="shared" si="123"/>
        <v>43720</v>
      </c>
      <c r="AI183" s="91">
        <f t="shared" si="113"/>
        <v>3.253</v>
      </c>
      <c r="AJ183" s="36">
        <f t="shared" si="114"/>
        <v>-0.031845238095238</v>
      </c>
      <c r="AK183" s="36">
        <f t="shared" si="116"/>
        <v>-0.0606410626624314</v>
      </c>
      <c r="AL183" s="105"/>
      <c r="AM183" s="91"/>
      <c r="AN183" s="36"/>
      <c r="AO183" s="36"/>
      <c r="AP183" s="36"/>
      <c r="AQ183" s="128" t="str" cm="1">
        <f t="array" ref="AQ183">_xlfn.IFS(MONTH(AR183)&lt;4,1,MONTH(AR183)&lt;7,2,MONTH(AR183)&lt;10,3,MONTH(AR183)&gt;9,4)&amp;"Q"&amp;RIGHT(YEAR(AR183),2)</f>
        <v>1Q22</v>
      </c>
      <c r="AR183" s="128">
        <f t="shared" si="115"/>
        <v>44592</v>
      </c>
      <c r="AS183" s="129">
        <v>44578</v>
      </c>
      <c r="AT183" s="130">
        <v>145</v>
      </c>
      <c r="AU183" s="94" cm="1">
        <f t="array" ref="AU183">INDEX($CE$29:$CE$1449,MATCH($AR183,$CA$29:$CA$1449,0),)</f>
        <v>140</v>
      </c>
      <c r="AV183" s="130">
        <v>290</v>
      </c>
      <c r="AW183" s="94" cm="1">
        <f t="array" ref="AW183">INDEX($CF$29:$CF$1449,MATCH($AR183,$CA$29:$CA$1449,0),)</f>
        <v>271.6</v>
      </c>
      <c r="AX183" s="94"/>
      <c r="AY183" s="94"/>
      <c r="AZ183" s="94"/>
      <c r="BA183" s="94"/>
      <c r="BB183" s="132">
        <f t="shared" si="117"/>
        <v>-0.00684931506849318</v>
      </c>
      <c r="BC183" s="132">
        <f t="shared" si="119"/>
        <v>-0.0235690235690236</v>
      </c>
      <c r="BD183" s="132">
        <f t="shared" si="121"/>
        <v>-0.0202702702702703</v>
      </c>
      <c r="BE183" s="132">
        <f t="shared" si="118"/>
        <v>-0.00684931506849318</v>
      </c>
      <c r="BF183" s="132">
        <f t="shared" si="120"/>
        <v>-0.0102389078498294</v>
      </c>
      <c r="BG183" s="132">
        <f t="shared" si="122"/>
        <v>-0.00684931506849318</v>
      </c>
      <c r="BH183" s="132"/>
      <c r="BI183" s="132"/>
      <c r="BJ183" s="132"/>
      <c r="BK183" s="132"/>
      <c r="BL183" s="132"/>
      <c r="BM183" s="132"/>
      <c r="BN183" s="132"/>
      <c r="FV183" s="104">
        <f t="shared" si="124"/>
        <v>2011</v>
      </c>
      <c r="FW183" s="104">
        <f t="shared" si="125"/>
        <v>20</v>
      </c>
      <c r="FX183" s="35">
        <v>40675</v>
      </c>
      <c r="FY183" s="26">
        <v>1.86</v>
      </c>
      <c r="FZ183" s="94">
        <f t="shared" si="126"/>
        <v>7.44</v>
      </c>
      <c r="GA183" s="104"/>
      <c r="GB183" s="104"/>
      <c r="GE183" s="94"/>
      <c r="GF183" s="104">
        <f t="shared" si="127"/>
        <v>2013</v>
      </c>
      <c r="GG183" s="104">
        <f t="shared" si="128"/>
        <v>34</v>
      </c>
      <c r="GH183" s="35">
        <v>41505</v>
      </c>
      <c r="GI183" s="26">
        <v>3.178</v>
      </c>
      <c r="GJ183" s="94">
        <f t="shared" si="129"/>
        <v>6.356</v>
      </c>
      <c r="GK183" s="104"/>
      <c r="GL183" s="104"/>
      <c r="GO183" s="94"/>
    </row>
    <row r="184" spans="3:197">
      <c r="C184" s="80" t="str" cm="1">
        <f t="array" ref="C184">_xlfn.IFS(MONTH(D184)&lt;4,1,MONTH(D184)&lt;7,2,MONTH(D184)&lt;10,3,MONTH(D184)&gt;9,4)&amp;"Q"&amp;RIGHT(YEAR(D184),2)</f>
        <v>4Q16</v>
      </c>
      <c r="D184" s="81">
        <f t="shared" si="112"/>
        <v>42674</v>
      </c>
      <c r="E184" s="82">
        <f t="shared" si="109"/>
        <v>42650</v>
      </c>
      <c r="F184" s="83">
        <f t="shared" si="110"/>
        <v>0.55</v>
      </c>
      <c r="G184" s="83">
        <f t="shared" si="110"/>
        <v>0.5075</v>
      </c>
      <c r="H184" s="81"/>
      <c r="I184" s="84">
        <v>42650</v>
      </c>
      <c r="J184" s="85">
        <v>5</v>
      </c>
      <c r="K184" s="85">
        <v>4.2</v>
      </c>
      <c r="L184" s="86">
        <v>4.4</v>
      </c>
      <c r="M184" s="94" cm="1">
        <f t="array" ref="M184">INDEX($BV$29:$BV$1449,MATCH($D184,$BR$29:$BR$1449,0),)</f>
        <v>4.06</v>
      </c>
      <c r="N184" s="88"/>
      <c r="O184" s="88"/>
      <c r="P184" s="88"/>
      <c r="Q184" s="89">
        <f t="shared" si="111"/>
        <v>0.0837438423645323</v>
      </c>
      <c r="AH184" s="105">
        <f t="shared" si="123"/>
        <v>43728</v>
      </c>
      <c r="AI184" s="91">
        <f t="shared" si="113"/>
        <v>3.23</v>
      </c>
      <c r="AJ184" s="36">
        <f t="shared" si="114"/>
        <v>-0.00707039655702435</v>
      </c>
      <c r="AK184" s="36">
        <f t="shared" si="116"/>
        <v>-0.0386904761904762</v>
      </c>
      <c r="AL184" s="105"/>
      <c r="AM184" s="91"/>
      <c r="AN184" s="36"/>
      <c r="AO184" s="36"/>
      <c r="AP184" s="36"/>
      <c r="AQ184" s="128" t="str" cm="1">
        <f t="array" ref="AQ184">_xlfn.IFS(MONTH(AR184)&lt;4,1,MONTH(AR184)&lt;7,2,MONTH(AR184)&lt;10,3,MONTH(AR184)&gt;9,4)&amp;"Q"&amp;RIGHT(YEAR(AR184),2)</f>
        <v>1Q22</v>
      </c>
      <c r="AR184" s="128">
        <f t="shared" si="115"/>
        <v>44592</v>
      </c>
      <c r="AS184" s="129">
        <v>44585</v>
      </c>
      <c r="AT184" s="130">
        <v>143</v>
      </c>
      <c r="AU184" s="94" cm="1">
        <f t="array" ref="AU184">INDEX($CE$29:$CE$1449,MATCH($AR184,$CA$29:$CA$1449,0),)</f>
        <v>140</v>
      </c>
      <c r="AV184" s="130">
        <v>289</v>
      </c>
      <c r="AW184" s="94" cm="1">
        <f t="array" ref="AW184">INDEX($CF$29:$CF$1449,MATCH($AR184,$CA$29:$CA$1449,0),)</f>
        <v>271.6</v>
      </c>
      <c r="AX184" s="94"/>
      <c r="AY184" s="94"/>
      <c r="AZ184" s="94"/>
      <c r="BA184" s="94"/>
      <c r="BB184" s="132">
        <f t="shared" si="117"/>
        <v>-0.0137931034482759</v>
      </c>
      <c r="BC184" s="132">
        <f t="shared" si="119"/>
        <v>-0.0205479452054794</v>
      </c>
      <c r="BD184" s="132">
        <f t="shared" si="121"/>
        <v>-0.0370370370370371</v>
      </c>
      <c r="BE184" s="132">
        <f t="shared" si="118"/>
        <v>-0.00344827586206897</v>
      </c>
      <c r="BF184" s="132">
        <f t="shared" si="120"/>
        <v>-0.0102739726027398</v>
      </c>
      <c r="BG184" s="132">
        <f t="shared" si="122"/>
        <v>-0.0136518771331058</v>
      </c>
      <c r="BH184" s="132"/>
      <c r="BI184" s="132"/>
      <c r="BJ184" s="132"/>
      <c r="BK184" s="132"/>
      <c r="BL184" s="132"/>
      <c r="BM184" s="132"/>
      <c r="BN184" s="132"/>
      <c r="FV184" s="104">
        <f t="shared" si="124"/>
        <v>2011</v>
      </c>
      <c r="FW184" s="104">
        <f t="shared" si="125"/>
        <v>20</v>
      </c>
      <c r="FX184" s="35">
        <v>40676</v>
      </c>
      <c r="FY184" s="26">
        <v>1.86</v>
      </c>
      <c r="FZ184" s="94">
        <f t="shared" si="126"/>
        <v>7.44</v>
      </c>
      <c r="GA184" s="104"/>
      <c r="GB184" s="104"/>
      <c r="GE184" s="94"/>
      <c r="GF184" s="104">
        <f t="shared" si="127"/>
        <v>2013</v>
      </c>
      <c r="GG184" s="104">
        <f t="shared" si="128"/>
        <v>34</v>
      </c>
      <c r="GH184" s="35">
        <v>41506</v>
      </c>
      <c r="GI184" s="26">
        <v>3.178</v>
      </c>
      <c r="GJ184" s="94">
        <f t="shared" si="129"/>
        <v>6.356</v>
      </c>
      <c r="GK184" s="104"/>
      <c r="GL184" s="104"/>
      <c r="GO184" s="94"/>
    </row>
    <row r="185" spans="3:197">
      <c r="C185" s="80" t="str" cm="1">
        <f t="array" ref="C185">_xlfn.IFS(MONTH(D185)&lt;4,1,MONTH(D185)&lt;7,2,MONTH(D185)&lt;10,3,MONTH(D185)&gt;9,4)&amp;"Q"&amp;RIGHT(YEAR(D185),2)</f>
        <v>4Q16</v>
      </c>
      <c r="D185" s="81">
        <f t="shared" si="112"/>
        <v>42674</v>
      </c>
      <c r="E185" s="82">
        <f t="shared" si="109"/>
        <v>42653</v>
      </c>
      <c r="F185" s="83">
        <f t="shared" si="110"/>
        <v>0.55</v>
      </c>
      <c r="G185" s="83">
        <f t="shared" si="110"/>
        <v>0.5075</v>
      </c>
      <c r="H185" s="81"/>
      <c r="I185" s="84">
        <v>42653</v>
      </c>
      <c r="J185" s="85">
        <v>5</v>
      </c>
      <c r="K185" s="85">
        <v>4.2</v>
      </c>
      <c r="L185" s="86">
        <v>4.4</v>
      </c>
      <c r="M185" s="94" cm="1">
        <f t="array" ref="M185">INDEX($BV$29:$BV$1449,MATCH($D185,$BR$29:$BR$1449,0),)</f>
        <v>4.06</v>
      </c>
      <c r="N185" s="88"/>
      <c r="O185" s="88"/>
      <c r="P185" s="88"/>
      <c r="Q185" s="89">
        <f t="shared" si="111"/>
        <v>0.0837438423645323</v>
      </c>
      <c r="AH185" s="105">
        <f t="shared" si="123"/>
        <v>43738</v>
      </c>
      <c r="AI185" s="91">
        <f t="shared" si="113"/>
        <v>3.183</v>
      </c>
      <c r="AJ185" s="36">
        <f t="shared" si="114"/>
        <v>-0.0145510835913313</v>
      </c>
      <c r="AK185" s="36">
        <f t="shared" si="116"/>
        <v>-0.0215185982170305</v>
      </c>
      <c r="AL185" s="105"/>
      <c r="AM185" s="91"/>
      <c r="AN185" s="36"/>
      <c r="AO185" s="36"/>
      <c r="AP185" s="36"/>
      <c r="AQ185" s="128" t="str" cm="1">
        <f t="array" ref="AQ185">_xlfn.IFS(MONTH(AR185)&lt;4,1,MONTH(AR185)&lt;7,2,MONTH(AR185)&lt;10,3,MONTH(AR185)&gt;9,4)&amp;"Q"&amp;RIGHT(YEAR(AR185),2)</f>
        <v>1Q22</v>
      </c>
      <c r="AR185" s="128">
        <f t="shared" si="115"/>
        <v>44620</v>
      </c>
      <c r="AS185" s="129">
        <v>44599</v>
      </c>
      <c r="AT185" s="130">
        <v>142</v>
      </c>
      <c r="AU185" s="94" cm="1">
        <f t="array" ref="AU185">INDEX($CE$29:$CE$1449,MATCH($AR185,$CA$29:$CA$1449,0),)</f>
        <v>139</v>
      </c>
      <c r="AV185" s="130">
        <v>288</v>
      </c>
      <c r="AW185" s="94" cm="1">
        <f t="array" ref="AW185">INDEX($CF$29:$CF$1449,MATCH($AR185,$CA$29:$CA$1449,0),)</f>
        <v>271.6</v>
      </c>
      <c r="AX185" s="94"/>
      <c r="AY185" s="94"/>
      <c r="AZ185" s="94"/>
      <c r="BA185" s="94"/>
      <c r="BB185" s="132">
        <f t="shared" si="117"/>
        <v>-0.00699300699300698</v>
      </c>
      <c r="BC185" s="132">
        <f t="shared" si="119"/>
        <v>-0.0206896551724138</v>
      </c>
      <c r="BD185" s="132">
        <f t="shared" si="121"/>
        <v>-0.0273972602739726</v>
      </c>
      <c r="BE185" s="132">
        <f t="shared" si="118"/>
        <v>-0.0034602076124568</v>
      </c>
      <c r="BF185" s="132">
        <f t="shared" si="120"/>
        <v>-0.00689655172413794</v>
      </c>
      <c r="BG185" s="132">
        <f t="shared" si="122"/>
        <v>-0.0136986301369864</v>
      </c>
      <c r="BH185" s="132"/>
      <c r="BI185" s="132"/>
      <c r="BJ185" s="132"/>
      <c r="BK185" s="132"/>
      <c r="BL185" s="132"/>
      <c r="BM185" s="132"/>
      <c r="BN185" s="132"/>
      <c r="FV185" s="104">
        <f t="shared" si="124"/>
        <v>2011</v>
      </c>
      <c r="FW185" s="104">
        <f t="shared" si="125"/>
        <v>21</v>
      </c>
      <c r="FX185" s="35">
        <v>40679</v>
      </c>
      <c r="FY185" s="26">
        <v>1.86</v>
      </c>
      <c r="FZ185" s="94">
        <f t="shared" si="126"/>
        <v>7.44</v>
      </c>
      <c r="GA185" s="104"/>
      <c r="GB185" s="104"/>
      <c r="GE185" s="94"/>
      <c r="GF185" s="104">
        <f t="shared" si="127"/>
        <v>2013</v>
      </c>
      <c r="GG185" s="104">
        <f t="shared" si="128"/>
        <v>34</v>
      </c>
      <c r="GH185" s="35">
        <v>41507</v>
      </c>
      <c r="GI185" s="26">
        <v>3.178</v>
      </c>
      <c r="GJ185" s="94">
        <f t="shared" si="129"/>
        <v>6.356</v>
      </c>
      <c r="GK185" s="104"/>
      <c r="GL185" s="104"/>
      <c r="GO185" s="94"/>
    </row>
    <row r="186" spans="3:197">
      <c r="C186" s="80" t="str" cm="1">
        <f t="array" ref="C186">_xlfn.IFS(MONTH(D186)&lt;4,1,MONTH(D186)&lt;7,2,MONTH(D186)&lt;10,3,MONTH(D186)&gt;9,4)&amp;"Q"&amp;RIGHT(YEAR(D186),2)</f>
        <v>4Q16</v>
      </c>
      <c r="D186" s="81">
        <f t="shared" si="112"/>
        <v>42674</v>
      </c>
      <c r="E186" s="82">
        <f t="shared" si="109"/>
        <v>42654</v>
      </c>
      <c r="F186" s="83">
        <f t="shared" si="110"/>
        <v>0.559375</v>
      </c>
      <c r="G186" s="83">
        <f t="shared" si="110"/>
        <v>0.5075</v>
      </c>
      <c r="H186" s="81"/>
      <c r="I186" s="84">
        <v>42654</v>
      </c>
      <c r="J186" s="85">
        <v>5</v>
      </c>
      <c r="K186" s="85">
        <v>4.25</v>
      </c>
      <c r="L186" s="86">
        <v>4.475</v>
      </c>
      <c r="M186" s="94" cm="1">
        <f t="array" ref="M186">INDEX($BV$29:$BV$1449,MATCH($D186,$BR$29:$BR$1449,0),)</f>
        <v>4.06</v>
      </c>
      <c r="N186" s="88"/>
      <c r="O186" s="88"/>
      <c r="P186" s="88"/>
      <c r="Q186" s="89">
        <f t="shared" si="111"/>
        <v>0.102216748768473</v>
      </c>
      <c r="AH186" s="105">
        <f t="shared" si="123"/>
        <v>43746</v>
      </c>
      <c r="AI186" s="91">
        <f t="shared" si="113"/>
        <v>3.053</v>
      </c>
      <c r="AJ186" s="36">
        <f t="shared" si="114"/>
        <v>-0.040841972981464</v>
      </c>
      <c r="AK186" s="36">
        <f t="shared" si="116"/>
        <v>-0.0547987616099072</v>
      </c>
      <c r="AL186" s="105"/>
      <c r="AM186" s="91"/>
      <c r="AN186" s="36"/>
      <c r="AO186" s="36"/>
      <c r="AP186" s="36"/>
      <c r="AQ186" s="128" t="str" cm="1">
        <f t="array" ref="AQ186">_xlfn.IFS(MONTH(AR186)&lt;4,1,MONTH(AR186)&lt;7,2,MONTH(AR186)&lt;10,3,MONTH(AR186)&gt;9,4)&amp;"Q"&amp;RIGHT(YEAR(AR186),2)</f>
        <v>1Q22</v>
      </c>
      <c r="AR186" s="128">
        <f t="shared" si="115"/>
        <v>44620</v>
      </c>
      <c r="AS186" s="129">
        <v>44606</v>
      </c>
      <c r="AT186" s="130">
        <v>149</v>
      </c>
      <c r="AU186" s="94" cm="1">
        <f t="array" ref="AU186">INDEX($CE$29:$CE$1449,MATCH($AR186,$CA$29:$CA$1449,0),)</f>
        <v>139</v>
      </c>
      <c r="AV186" s="130">
        <v>285</v>
      </c>
      <c r="AW186" s="94" cm="1">
        <f t="array" ref="AW186">INDEX($CF$29:$CF$1449,MATCH($AR186,$CA$29:$CA$1449,0),)</f>
        <v>271.6</v>
      </c>
      <c r="AX186" s="94"/>
      <c r="AY186" s="94"/>
      <c r="AZ186" s="94"/>
      <c r="BA186" s="94"/>
      <c r="BB186" s="132">
        <f t="shared" si="117"/>
        <v>0.0492957746478873</v>
      </c>
      <c r="BC186" s="132">
        <f t="shared" si="119"/>
        <v>0.0419580419580419</v>
      </c>
      <c r="BD186" s="132">
        <f t="shared" si="121"/>
        <v>0.0275862068965518</v>
      </c>
      <c r="BE186" s="132">
        <f t="shared" si="118"/>
        <v>-0.0104166666666666</v>
      </c>
      <c r="BF186" s="132">
        <f t="shared" si="120"/>
        <v>-0.013840830449827</v>
      </c>
      <c r="BG186" s="132">
        <f t="shared" si="122"/>
        <v>-0.0172413793103449</v>
      </c>
      <c r="BH186" s="132"/>
      <c r="BI186" s="132"/>
      <c r="BJ186" s="132"/>
      <c r="BK186" s="132"/>
      <c r="BL186" s="132"/>
      <c r="BM186" s="132"/>
      <c r="BN186" s="132"/>
      <c r="FV186" s="104">
        <f t="shared" si="124"/>
        <v>2011</v>
      </c>
      <c r="FW186" s="104">
        <f t="shared" si="125"/>
        <v>21</v>
      </c>
      <c r="FX186" s="35">
        <v>40680</v>
      </c>
      <c r="FY186" s="26">
        <v>1.84</v>
      </c>
      <c r="FZ186" s="94">
        <f t="shared" si="126"/>
        <v>7.36</v>
      </c>
      <c r="GA186" s="104"/>
      <c r="GB186" s="104"/>
      <c r="GE186" s="94"/>
      <c r="GF186" s="104">
        <f t="shared" si="127"/>
        <v>2013</v>
      </c>
      <c r="GG186" s="104">
        <f t="shared" si="128"/>
        <v>34</v>
      </c>
      <c r="GH186" s="35">
        <v>41508</v>
      </c>
      <c r="GI186" s="26">
        <v>3.178</v>
      </c>
      <c r="GJ186" s="94">
        <f t="shared" si="129"/>
        <v>6.356</v>
      </c>
      <c r="GK186" s="104"/>
      <c r="GL186" s="104"/>
      <c r="GO186" s="94"/>
    </row>
    <row r="187" spans="3:197">
      <c r="C187" s="80" t="str" cm="1">
        <f t="array" ref="C187">_xlfn.IFS(MONTH(D187)&lt;4,1,MONTH(D187)&lt;7,2,MONTH(D187)&lt;10,3,MONTH(D187)&gt;9,4)&amp;"Q"&amp;RIGHT(YEAR(D187),2)</f>
        <v>4Q16</v>
      </c>
      <c r="D187" s="81">
        <f t="shared" si="112"/>
        <v>42674</v>
      </c>
      <c r="E187" s="82">
        <f t="shared" si="109"/>
        <v>42655</v>
      </c>
      <c r="F187" s="83">
        <f t="shared" si="110"/>
        <v>0.5625</v>
      </c>
      <c r="G187" s="83">
        <f t="shared" si="110"/>
        <v>0.5075</v>
      </c>
      <c r="H187" s="81"/>
      <c r="I187" s="84">
        <v>42655</v>
      </c>
      <c r="J187" s="85">
        <v>5.05</v>
      </c>
      <c r="K187" s="85">
        <v>4.35</v>
      </c>
      <c r="L187" s="86">
        <v>4.5</v>
      </c>
      <c r="M187" s="94" cm="1">
        <f t="array" ref="M187">INDEX($BV$29:$BV$1449,MATCH($D187,$BR$29:$BR$1449,0),)</f>
        <v>4.06</v>
      </c>
      <c r="N187" s="88"/>
      <c r="O187" s="88"/>
      <c r="P187" s="88"/>
      <c r="Q187" s="89">
        <f t="shared" si="111"/>
        <v>0.108374384236453</v>
      </c>
      <c r="AH187" s="105">
        <f t="shared" si="123"/>
        <v>43754</v>
      </c>
      <c r="AI187" s="91">
        <f t="shared" si="113"/>
        <v>3.017</v>
      </c>
      <c r="AJ187" s="36">
        <f t="shared" si="114"/>
        <v>-0.0117916803144448</v>
      </c>
      <c r="AK187" s="36">
        <f t="shared" si="116"/>
        <v>-0.0521520578071002</v>
      </c>
      <c r="AL187" s="105"/>
      <c r="AM187" s="91"/>
      <c r="AN187" s="36"/>
      <c r="AO187" s="36"/>
      <c r="AP187" s="36"/>
      <c r="AQ187" s="128" t="str" cm="1">
        <f t="array" ref="AQ187">_xlfn.IFS(MONTH(AR187)&lt;4,1,MONTH(AR187)&lt;7,2,MONTH(AR187)&lt;10,3,MONTH(AR187)&gt;9,4)&amp;"Q"&amp;RIGHT(YEAR(AR187),2)</f>
        <v>1Q22</v>
      </c>
      <c r="AR187" s="128">
        <f t="shared" si="115"/>
        <v>44620</v>
      </c>
      <c r="AS187" s="129">
        <v>44613</v>
      </c>
      <c r="AT187" s="130">
        <v>147</v>
      </c>
      <c r="AU187" s="94" cm="1">
        <f t="array" ref="AU187">INDEX($CE$29:$CE$1449,MATCH($AR187,$CA$29:$CA$1449,0),)</f>
        <v>139</v>
      </c>
      <c r="AV187" s="130">
        <v>284</v>
      </c>
      <c r="AW187" s="94" cm="1">
        <f t="array" ref="AW187">INDEX($CF$29:$CF$1449,MATCH($AR187,$CA$29:$CA$1449,0),)</f>
        <v>271.6</v>
      </c>
      <c r="AX187" s="94"/>
      <c r="AY187" s="94"/>
      <c r="AZ187" s="94"/>
      <c r="BA187" s="94"/>
      <c r="BB187" s="132">
        <f t="shared" si="117"/>
        <v>-0.0134228187919463</v>
      </c>
      <c r="BC187" s="132">
        <f t="shared" si="119"/>
        <v>0.0352112676056338</v>
      </c>
      <c r="BD187" s="132">
        <f t="shared" si="121"/>
        <v>0.0279720279720279</v>
      </c>
      <c r="BE187" s="132">
        <f t="shared" si="118"/>
        <v>-0.00350877192982457</v>
      </c>
      <c r="BF187" s="132">
        <f t="shared" si="120"/>
        <v>-0.0138888888888888</v>
      </c>
      <c r="BG187" s="132">
        <f t="shared" si="122"/>
        <v>-0.0173010380622838</v>
      </c>
      <c r="BH187" s="132"/>
      <c r="BI187" s="132"/>
      <c r="BJ187" s="132"/>
      <c r="BK187" s="132"/>
      <c r="BL187" s="132"/>
      <c r="BM187" s="132"/>
      <c r="BN187" s="132"/>
      <c r="FV187" s="104">
        <f t="shared" si="124"/>
        <v>2011</v>
      </c>
      <c r="FW187" s="104">
        <f t="shared" si="125"/>
        <v>21</v>
      </c>
      <c r="FX187" s="35">
        <v>40681</v>
      </c>
      <c r="FY187" s="26">
        <v>1.84</v>
      </c>
      <c r="FZ187" s="94">
        <f t="shared" si="126"/>
        <v>7.36</v>
      </c>
      <c r="GA187" s="104"/>
      <c r="GB187" s="104"/>
      <c r="GE187" s="94"/>
      <c r="GF187" s="104">
        <f t="shared" si="127"/>
        <v>2013</v>
      </c>
      <c r="GG187" s="104">
        <f t="shared" si="128"/>
        <v>34</v>
      </c>
      <c r="GH187" s="35">
        <v>41509</v>
      </c>
      <c r="GI187" s="26">
        <v>3.163</v>
      </c>
      <c r="GJ187" s="94">
        <f t="shared" si="129"/>
        <v>6.326</v>
      </c>
      <c r="GK187" s="104"/>
      <c r="GL187" s="104"/>
      <c r="GO187" s="94"/>
    </row>
    <row r="188" spans="3:197">
      <c r="C188" s="80" t="str" cm="1">
        <f t="array" ref="C188">_xlfn.IFS(MONTH(D188)&lt;4,1,MONTH(D188)&lt;7,2,MONTH(D188)&lt;10,3,MONTH(D188)&gt;9,4)&amp;"Q"&amp;RIGHT(YEAR(D188),2)</f>
        <v>4Q16</v>
      </c>
      <c r="D188" s="81">
        <f t="shared" si="112"/>
        <v>42674</v>
      </c>
      <c r="E188" s="82">
        <f t="shared" si="109"/>
        <v>42656</v>
      </c>
      <c r="F188" s="83">
        <f t="shared" si="110"/>
        <v>0.565625</v>
      </c>
      <c r="G188" s="83">
        <f t="shared" si="110"/>
        <v>0.5075</v>
      </c>
      <c r="H188" s="81"/>
      <c r="I188" s="84">
        <v>42656</v>
      </c>
      <c r="J188" s="85">
        <v>5.1</v>
      </c>
      <c r="K188" s="85">
        <v>4.4</v>
      </c>
      <c r="L188" s="86">
        <v>4.525</v>
      </c>
      <c r="M188" s="94" cm="1">
        <f t="array" ref="M188">INDEX($BV$29:$BV$1449,MATCH($D188,$BR$29:$BR$1449,0),)</f>
        <v>4.06</v>
      </c>
      <c r="N188" s="88"/>
      <c r="O188" s="88"/>
      <c r="P188" s="88"/>
      <c r="Q188" s="89">
        <f t="shared" si="111"/>
        <v>0.114532019704434</v>
      </c>
      <c r="AH188" s="105">
        <f t="shared" si="123"/>
        <v>43762</v>
      </c>
      <c r="AI188" s="91">
        <f t="shared" si="113"/>
        <v>2.923</v>
      </c>
      <c r="AJ188" s="36">
        <f t="shared" si="114"/>
        <v>-0.0311567782565462</v>
      </c>
      <c r="AK188" s="36">
        <f t="shared" si="116"/>
        <v>-0.0425810678021618</v>
      </c>
      <c r="AL188" s="105"/>
      <c r="AM188" s="91"/>
      <c r="AN188" s="36"/>
      <c r="AO188" s="36"/>
      <c r="AP188" s="36"/>
      <c r="AQ188" s="128" t="str" cm="1">
        <f t="array" ref="AQ188">_xlfn.IFS(MONTH(AR188)&lt;4,1,MONTH(AR188)&lt;7,2,MONTH(AR188)&lt;10,3,MONTH(AR188)&gt;9,4)&amp;"Q"&amp;RIGHT(YEAR(AR188),2)</f>
        <v>1Q22</v>
      </c>
      <c r="AR188" s="128">
        <f t="shared" si="115"/>
        <v>44620</v>
      </c>
      <c r="AS188" s="129">
        <v>44620</v>
      </c>
      <c r="AT188" s="130">
        <v>145</v>
      </c>
      <c r="AU188" s="94" cm="1">
        <f t="array" ref="AU188">INDEX($CE$29:$CE$1449,MATCH($AR188,$CA$29:$CA$1449,0),)</f>
        <v>139</v>
      </c>
      <c r="AV188" s="130">
        <v>283</v>
      </c>
      <c r="AW188" s="94" cm="1">
        <f t="array" ref="AW188">INDEX($CF$29:$CF$1449,MATCH($AR188,$CA$29:$CA$1449,0),)</f>
        <v>271.6</v>
      </c>
      <c r="AX188" s="94"/>
      <c r="AY188" s="94"/>
      <c r="AZ188" s="94"/>
      <c r="BA188" s="94"/>
      <c r="BB188" s="132">
        <f t="shared" si="117"/>
        <v>-0.0136054421768708</v>
      </c>
      <c r="BC188" s="132">
        <f t="shared" si="119"/>
        <v>-0.0268456375838926</v>
      </c>
      <c r="BD188" s="132">
        <f t="shared" si="121"/>
        <v>0.0211267605633803</v>
      </c>
      <c r="BE188" s="132">
        <f t="shared" si="118"/>
        <v>-0.00352112676056338</v>
      </c>
      <c r="BF188" s="132">
        <f t="shared" si="120"/>
        <v>-0.00701754385964914</v>
      </c>
      <c r="BG188" s="132">
        <f t="shared" si="122"/>
        <v>-0.0173611111111112</v>
      </c>
      <c r="BH188" s="132"/>
      <c r="BI188" s="132"/>
      <c r="BJ188" s="132"/>
      <c r="BK188" s="132"/>
      <c r="BL188" s="132"/>
      <c r="BM188" s="132"/>
      <c r="BN188" s="132"/>
      <c r="FV188" s="104">
        <f t="shared" si="124"/>
        <v>2011</v>
      </c>
      <c r="FW188" s="104">
        <f t="shared" si="125"/>
        <v>21</v>
      </c>
      <c r="FX188" s="35">
        <v>40682</v>
      </c>
      <c r="FY188" s="26">
        <v>1.82</v>
      </c>
      <c r="FZ188" s="94">
        <f t="shared" si="126"/>
        <v>7.28</v>
      </c>
      <c r="GA188" s="104"/>
      <c r="GB188" s="104"/>
      <c r="GE188" s="94"/>
      <c r="GF188" s="104">
        <f t="shared" si="127"/>
        <v>2013</v>
      </c>
      <c r="GG188" s="104">
        <f t="shared" si="128"/>
        <v>35</v>
      </c>
      <c r="GH188" s="35">
        <v>41512</v>
      </c>
      <c r="GI188" s="26">
        <v>3.163</v>
      </c>
      <c r="GJ188" s="94">
        <f t="shared" si="129"/>
        <v>6.326</v>
      </c>
      <c r="GK188" s="104"/>
      <c r="GL188" s="104"/>
      <c r="GO188" s="94"/>
    </row>
    <row r="189" spans="3:197">
      <c r="C189" s="80" t="str" cm="1">
        <f t="array" ref="C189">_xlfn.IFS(MONTH(D189)&lt;4,1,MONTH(D189)&lt;7,2,MONTH(D189)&lt;10,3,MONTH(D189)&gt;9,4)&amp;"Q"&amp;RIGHT(YEAR(D189),2)</f>
        <v>4Q16</v>
      </c>
      <c r="D189" s="81">
        <f t="shared" si="112"/>
        <v>42674</v>
      </c>
      <c r="E189" s="82">
        <f t="shared" si="109"/>
        <v>42657</v>
      </c>
      <c r="F189" s="83">
        <f t="shared" si="110"/>
        <v>0.571875</v>
      </c>
      <c r="G189" s="83">
        <f t="shared" si="110"/>
        <v>0.5075</v>
      </c>
      <c r="H189" s="81"/>
      <c r="I189" s="84">
        <v>42657</v>
      </c>
      <c r="J189" s="85">
        <v>5.2</v>
      </c>
      <c r="K189" s="85">
        <v>4.45</v>
      </c>
      <c r="L189" s="86">
        <v>4.575</v>
      </c>
      <c r="M189" s="94" cm="1">
        <f t="array" ref="M189">INDEX($BV$29:$BV$1449,MATCH($D189,$BR$29:$BR$1449,0),)</f>
        <v>4.06</v>
      </c>
      <c r="N189" s="88"/>
      <c r="O189" s="88"/>
      <c r="P189" s="88"/>
      <c r="Q189" s="89">
        <f t="shared" si="111"/>
        <v>0.126847290640394</v>
      </c>
      <c r="AH189" s="105">
        <f t="shared" si="123"/>
        <v>43770</v>
      </c>
      <c r="AI189" s="91">
        <f t="shared" si="113"/>
        <v>2.88</v>
      </c>
      <c r="AJ189" s="36">
        <f t="shared" si="114"/>
        <v>-0.0147109134450907</v>
      </c>
      <c r="AK189" s="36">
        <f t="shared" si="116"/>
        <v>-0.045409347033477</v>
      </c>
      <c r="AL189" s="105"/>
      <c r="AM189" s="91"/>
      <c r="AN189" s="36"/>
      <c r="AO189" s="36"/>
      <c r="AP189" s="36"/>
      <c r="AQ189" s="128" t="str" cm="1">
        <f t="array" ref="AQ189">_xlfn.IFS(MONTH(AR189)&lt;4,1,MONTH(AR189)&lt;7,2,MONTH(AR189)&lt;10,3,MONTH(AR189)&gt;9,4)&amp;"Q"&amp;RIGHT(YEAR(AR189),2)</f>
        <v>1Q22</v>
      </c>
      <c r="AR189" s="128">
        <f t="shared" si="115"/>
        <v>44651</v>
      </c>
      <c r="AS189" s="129">
        <f>AS188+7</f>
        <v>44627</v>
      </c>
      <c r="AT189" s="130">
        <v>144</v>
      </c>
      <c r="AU189" s="94" cm="1">
        <f t="array" ref="AU189">INDEX($CE$29:$CE$1449,MATCH($AR189,$CA$29:$CA$1449,0),)</f>
        <v>138</v>
      </c>
      <c r="AV189" s="130">
        <v>282</v>
      </c>
      <c r="AW189" s="94" cm="1">
        <f t="array" ref="AW189">INDEX($CF$29:$CF$1449,MATCH($AR189,$CA$29:$CA$1449,0),)</f>
        <v>270</v>
      </c>
      <c r="AX189" s="94"/>
      <c r="AY189" s="94"/>
      <c r="AZ189" s="94"/>
      <c r="BA189" s="94"/>
      <c r="BB189" s="132">
        <f t="shared" si="117"/>
        <v>-0.00689655172413794</v>
      </c>
      <c r="BC189" s="132">
        <f t="shared" si="119"/>
        <v>-0.0204081632653061</v>
      </c>
      <c r="BD189" s="132">
        <f t="shared" si="121"/>
        <v>-0.0335570469798657</v>
      </c>
      <c r="BE189" s="132">
        <f t="shared" si="118"/>
        <v>-0.00353356890459366</v>
      </c>
      <c r="BF189" s="132">
        <f t="shared" si="120"/>
        <v>-0.00704225352112675</v>
      </c>
      <c r="BG189" s="132">
        <f t="shared" si="122"/>
        <v>-0.0105263157894737</v>
      </c>
      <c r="BH189" s="132"/>
      <c r="BI189" s="132"/>
      <c r="BJ189" s="132"/>
      <c r="BK189" s="132"/>
      <c r="BL189" s="132"/>
      <c r="BM189" s="132"/>
      <c r="BN189" s="132"/>
      <c r="FV189" s="104">
        <f t="shared" si="124"/>
        <v>2011</v>
      </c>
      <c r="FW189" s="104">
        <f t="shared" si="125"/>
        <v>21</v>
      </c>
      <c r="FX189" s="35">
        <v>40683</v>
      </c>
      <c r="FY189" s="26">
        <v>1.82</v>
      </c>
      <c r="FZ189" s="94">
        <f t="shared" si="126"/>
        <v>7.28</v>
      </c>
      <c r="GA189" s="104"/>
      <c r="GB189" s="104"/>
      <c r="GE189" s="94"/>
      <c r="GF189" s="104">
        <f t="shared" si="127"/>
        <v>2013</v>
      </c>
      <c r="GG189" s="104">
        <f t="shared" si="128"/>
        <v>35</v>
      </c>
      <c r="GH189" s="35">
        <v>41513</v>
      </c>
      <c r="GI189" s="26">
        <v>3.148</v>
      </c>
      <c r="GJ189" s="94">
        <f t="shared" si="129"/>
        <v>6.296</v>
      </c>
      <c r="GK189" s="104"/>
      <c r="GL189" s="104"/>
      <c r="GO189" s="94"/>
    </row>
    <row r="190" spans="3:197">
      <c r="C190" s="80" t="str" cm="1">
        <f t="array" ref="C190">_xlfn.IFS(MONTH(D190)&lt;4,1,MONTH(D190)&lt;7,2,MONTH(D190)&lt;10,3,MONTH(D190)&gt;9,4)&amp;"Q"&amp;RIGHT(YEAR(D190),2)</f>
        <v>4Q16</v>
      </c>
      <c r="D190" s="81">
        <f t="shared" si="112"/>
        <v>42674</v>
      </c>
      <c r="E190" s="82">
        <f t="shared" si="109"/>
        <v>42660</v>
      </c>
      <c r="F190" s="83">
        <f t="shared" si="110"/>
        <v>0.58125</v>
      </c>
      <c r="G190" s="83">
        <f t="shared" si="110"/>
        <v>0.5075</v>
      </c>
      <c r="H190" s="81"/>
      <c r="I190" s="84">
        <v>42660</v>
      </c>
      <c r="J190" s="85">
        <v>5.25</v>
      </c>
      <c r="K190" s="85">
        <v>4.5</v>
      </c>
      <c r="L190" s="86">
        <v>4.65</v>
      </c>
      <c r="M190" s="94" cm="1">
        <f t="array" ref="M190">INDEX($BV$29:$BV$1449,MATCH($D190,$BR$29:$BR$1449,0),)</f>
        <v>4.06</v>
      </c>
      <c r="N190" s="88"/>
      <c r="O190" s="88"/>
      <c r="P190" s="88"/>
      <c r="Q190" s="89">
        <f t="shared" si="111"/>
        <v>0.145320197044335</v>
      </c>
      <c r="AH190" s="105">
        <f t="shared" si="123"/>
        <v>43780</v>
      </c>
      <c r="AI190" s="91">
        <f t="shared" si="113"/>
        <v>2.847</v>
      </c>
      <c r="AJ190" s="36">
        <f t="shared" si="114"/>
        <v>-0.0114583333333333</v>
      </c>
      <c r="AK190" s="36">
        <f t="shared" si="116"/>
        <v>-0.0260006842285323</v>
      </c>
      <c r="AL190" s="105"/>
      <c r="AM190" s="91"/>
      <c r="AN190" s="36"/>
      <c r="AO190" s="36"/>
      <c r="AP190" s="36"/>
      <c r="AQ190" s="128" t="str" cm="1">
        <f t="array" ref="AQ190">_xlfn.IFS(MONTH(AR190)&lt;4,1,MONTH(AR190)&lt;7,2,MONTH(AR190)&lt;10,3,MONTH(AR190)&gt;9,4)&amp;"Q"&amp;RIGHT(YEAR(AR190),2)</f>
        <v>1Q22</v>
      </c>
      <c r="AR190" s="128">
        <f t="shared" si="115"/>
        <v>44651</v>
      </c>
      <c r="AS190" s="129">
        <f>AS189+7</f>
        <v>44634</v>
      </c>
      <c r="AT190" s="130">
        <v>140</v>
      </c>
      <c r="AU190" s="94" cm="1">
        <f t="array" ref="AU190">INDEX($CE$29:$CE$1449,MATCH($AR190,$CA$29:$CA$1449,0),)</f>
        <v>138</v>
      </c>
      <c r="AV190" s="130">
        <v>281.8</v>
      </c>
      <c r="AW190" s="94" cm="1">
        <f t="array" ref="AW190">INDEX($CF$29:$CF$1449,MATCH($AR190,$CA$29:$CA$1449,0),)</f>
        <v>270</v>
      </c>
      <c r="AX190" s="94"/>
      <c r="AY190" s="94"/>
      <c r="AZ190" s="94"/>
      <c r="BA190" s="94"/>
      <c r="BB190" s="132">
        <f t="shared" si="117"/>
        <v>-0.0277777777777778</v>
      </c>
      <c r="BC190" s="132">
        <f t="shared" si="119"/>
        <v>-0.0344827586206896</v>
      </c>
      <c r="BD190" s="132">
        <f t="shared" si="121"/>
        <v>-0.0476190476190477</v>
      </c>
      <c r="BE190" s="132">
        <f t="shared" si="118"/>
        <v>-0.000709219858155974</v>
      </c>
      <c r="BF190" s="132">
        <f t="shared" si="120"/>
        <v>-0.00424028268551235</v>
      </c>
      <c r="BG190" s="132">
        <f t="shared" si="122"/>
        <v>-0.00774647887323943</v>
      </c>
      <c r="BH190" s="132"/>
      <c r="BI190" s="132"/>
      <c r="BJ190" s="132"/>
      <c r="BK190" s="132"/>
      <c r="BL190" s="132"/>
      <c r="BM190" s="132"/>
      <c r="BN190" s="132"/>
      <c r="FV190" s="104">
        <f t="shared" si="124"/>
        <v>2011</v>
      </c>
      <c r="FW190" s="104">
        <f t="shared" si="125"/>
        <v>22</v>
      </c>
      <c r="FX190" s="35">
        <v>40686</v>
      </c>
      <c r="FY190" s="26">
        <v>1.81</v>
      </c>
      <c r="FZ190" s="94">
        <f t="shared" si="126"/>
        <v>7.24</v>
      </c>
      <c r="GA190" s="104"/>
      <c r="GB190" s="104"/>
      <c r="GE190" s="94"/>
      <c r="GF190" s="104">
        <f t="shared" si="127"/>
        <v>2013</v>
      </c>
      <c r="GG190" s="104">
        <f t="shared" si="128"/>
        <v>35</v>
      </c>
      <c r="GH190" s="35">
        <v>41514</v>
      </c>
      <c r="GI190" s="26">
        <v>3.148</v>
      </c>
      <c r="GJ190" s="94">
        <f t="shared" si="129"/>
        <v>6.296</v>
      </c>
      <c r="GK190" s="104"/>
      <c r="GL190" s="104"/>
      <c r="GO190" s="94"/>
    </row>
    <row r="191" spans="3:197">
      <c r="C191" s="80" t="str" cm="1">
        <f t="array" ref="C191">_xlfn.IFS(MONTH(D191)&lt;4,1,MONTH(D191)&lt;7,2,MONTH(D191)&lt;10,3,MONTH(D191)&gt;9,4)&amp;"Q"&amp;RIGHT(YEAR(D191),2)</f>
        <v>4Q16</v>
      </c>
      <c r="D191" s="81">
        <f t="shared" si="112"/>
        <v>42674</v>
      </c>
      <c r="E191" s="82">
        <f t="shared" si="109"/>
        <v>42661</v>
      </c>
      <c r="F191" s="83">
        <f t="shared" si="110"/>
        <v>0.5875</v>
      </c>
      <c r="G191" s="83">
        <f t="shared" si="110"/>
        <v>0.5075</v>
      </c>
      <c r="H191" s="81"/>
      <c r="I191" s="84">
        <v>42661</v>
      </c>
      <c r="J191" s="85">
        <v>5.3</v>
      </c>
      <c r="K191" s="85">
        <v>4.55</v>
      </c>
      <c r="L191" s="86">
        <v>4.7</v>
      </c>
      <c r="M191" s="94" cm="1">
        <f t="array" ref="M191">INDEX($BV$29:$BV$1449,MATCH($D191,$BR$29:$BR$1449,0),)</f>
        <v>4.06</v>
      </c>
      <c r="N191" s="88"/>
      <c r="O191" s="88"/>
      <c r="P191" s="88"/>
      <c r="Q191" s="89">
        <f t="shared" si="111"/>
        <v>0.157635467980296</v>
      </c>
      <c r="AH191" s="105">
        <f t="shared" si="123"/>
        <v>43788</v>
      </c>
      <c r="AI191" s="91">
        <f t="shared" si="113"/>
        <v>2.793</v>
      </c>
      <c r="AJ191" s="36">
        <f t="shared" si="114"/>
        <v>-0.0189673340358272</v>
      </c>
      <c r="AK191" s="36">
        <f t="shared" si="116"/>
        <v>-0.0302083333333333</v>
      </c>
      <c r="AL191" s="105"/>
      <c r="AM191" s="91"/>
      <c r="AN191" s="36"/>
      <c r="AO191" s="36"/>
      <c r="AP191" s="36"/>
      <c r="AQ191" s="128" t="str" cm="1">
        <f t="array" ref="AQ191">_xlfn.IFS(MONTH(AR191)&lt;4,1,MONTH(AR191)&lt;7,2,MONTH(AR191)&lt;10,3,MONTH(AR191)&gt;9,4)&amp;"Q"&amp;RIGHT(YEAR(AR191),2)</f>
        <v>1Q22</v>
      </c>
      <c r="AR191" s="128">
        <f t="shared" si="115"/>
        <v>44651</v>
      </c>
      <c r="AS191" s="129">
        <f>AS190+7</f>
        <v>44641</v>
      </c>
      <c r="AT191" s="130">
        <v>142</v>
      </c>
      <c r="AU191" s="94" cm="1">
        <f t="array" ref="AU191">INDEX($CE$29:$CE$1449,MATCH($AR191,$CA$29:$CA$1449,0),)</f>
        <v>138</v>
      </c>
      <c r="AV191" s="130">
        <v>281.5</v>
      </c>
      <c r="AW191" s="94" cm="1">
        <f t="array" ref="AW191">INDEX($CF$29:$CF$1449,MATCH($AR191,$CA$29:$CA$1449,0),)</f>
        <v>270</v>
      </c>
      <c r="AX191" s="94"/>
      <c r="AY191" s="94"/>
      <c r="AZ191" s="94"/>
      <c r="BA191" s="94"/>
      <c r="BB191" s="132">
        <f t="shared" si="117"/>
        <v>0.0142857142857142</v>
      </c>
      <c r="BC191" s="132">
        <f t="shared" si="119"/>
        <v>-0.0138888888888888</v>
      </c>
      <c r="BD191" s="132">
        <f t="shared" si="121"/>
        <v>-0.0206896551724138</v>
      </c>
      <c r="BE191" s="132">
        <f t="shared" si="118"/>
        <v>-0.0010645848119234</v>
      </c>
      <c r="BF191" s="132">
        <f t="shared" si="120"/>
        <v>-0.00177304964539005</v>
      </c>
      <c r="BG191" s="132">
        <f t="shared" si="122"/>
        <v>-0.0053003533568905</v>
      </c>
      <c r="BH191" s="132"/>
      <c r="BI191" s="132"/>
      <c r="BJ191" s="132"/>
      <c r="BK191" s="132"/>
      <c r="BL191" s="132"/>
      <c r="BM191" s="132"/>
      <c r="BN191" s="132"/>
      <c r="FV191" s="104">
        <f t="shared" si="124"/>
        <v>2011</v>
      </c>
      <c r="FW191" s="104">
        <f t="shared" si="125"/>
        <v>22</v>
      </c>
      <c r="FX191" s="35">
        <v>40687</v>
      </c>
      <c r="FY191" s="26">
        <v>1.8</v>
      </c>
      <c r="FZ191" s="94">
        <f t="shared" si="126"/>
        <v>7.2</v>
      </c>
      <c r="GA191" s="104"/>
      <c r="GB191" s="104"/>
      <c r="GE191" s="94"/>
      <c r="GF191" s="104">
        <f t="shared" si="127"/>
        <v>2013</v>
      </c>
      <c r="GG191" s="104">
        <f t="shared" si="128"/>
        <v>35</v>
      </c>
      <c r="GH191" s="35">
        <v>41515</v>
      </c>
      <c r="GI191" s="26">
        <v>3.143</v>
      </c>
      <c r="GJ191" s="94">
        <f t="shared" si="129"/>
        <v>6.286</v>
      </c>
      <c r="GK191" s="104"/>
      <c r="GL191" s="104"/>
      <c r="GO191" s="94"/>
    </row>
    <row r="192" spans="3:197">
      <c r="C192" s="80" t="str" cm="1">
        <f t="array" ref="C192">_xlfn.IFS(MONTH(D192)&lt;4,1,MONTH(D192)&lt;7,2,MONTH(D192)&lt;10,3,MONTH(D192)&gt;9,4)&amp;"Q"&amp;RIGHT(YEAR(D192),2)</f>
        <v>4Q16</v>
      </c>
      <c r="D192" s="81">
        <f t="shared" si="112"/>
        <v>42674</v>
      </c>
      <c r="E192" s="82">
        <f t="shared" si="109"/>
        <v>42662</v>
      </c>
      <c r="F192" s="83">
        <f t="shared" si="110"/>
        <v>0.596875</v>
      </c>
      <c r="G192" s="83">
        <f t="shared" si="110"/>
        <v>0.5075</v>
      </c>
      <c r="H192" s="81"/>
      <c r="I192" s="84">
        <v>42662</v>
      </c>
      <c r="J192" s="85">
        <v>5.35</v>
      </c>
      <c r="K192" s="85">
        <v>4.65</v>
      </c>
      <c r="L192" s="86">
        <v>4.775</v>
      </c>
      <c r="M192" s="94" cm="1">
        <f t="array" ref="M192">INDEX($BV$29:$BV$1449,MATCH($D192,$BR$29:$BR$1449,0),)</f>
        <v>4.06</v>
      </c>
      <c r="N192" s="88"/>
      <c r="O192" s="88"/>
      <c r="P192" s="88"/>
      <c r="Q192" s="89">
        <f t="shared" si="111"/>
        <v>0.176108374384237</v>
      </c>
      <c r="AH192" s="105">
        <f t="shared" si="123"/>
        <v>43796</v>
      </c>
      <c r="AI192" s="91">
        <f t="shared" si="113"/>
        <v>2.747</v>
      </c>
      <c r="AJ192" s="36">
        <f t="shared" si="114"/>
        <v>-0.0164697457930542</v>
      </c>
      <c r="AK192" s="36">
        <f t="shared" si="116"/>
        <v>-0.0351246926589392</v>
      </c>
      <c r="AL192" s="105"/>
      <c r="AM192" s="91"/>
      <c r="AN192" s="36"/>
      <c r="AO192" s="36"/>
      <c r="AP192" s="36"/>
      <c r="AQ192" s="128" t="str" cm="1">
        <f t="array" ref="AQ192">_xlfn.IFS(MONTH(AR192)&lt;4,1,MONTH(AR192)&lt;7,2,MONTH(AR192)&lt;10,3,MONTH(AR192)&gt;9,4)&amp;"Q"&amp;RIGHT(YEAR(AR192),2)</f>
        <v>1Q22</v>
      </c>
      <c r="AR192" s="128">
        <f t="shared" si="115"/>
        <v>44651</v>
      </c>
      <c r="AS192" s="129">
        <f>AS191+7</f>
        <v>44648</v>
      </c>
      <c r="AT192" s="130">
        <v>142</v>
      </c>
      <c r="AU192" s="94" cm="1">
        <f t="array" ref="AU192">INDEX($CE$29:$CE$1449,MATCH($AR192,$CA$29:$CA$1449,0),)</f>
        <v>138</v>
      </c>
      <c r="AV192" s="130">
        <v>280.5</v>
      </c>
      <c r="AW192" s="94" cm="1">
        <f t="array" ref="AW192">INDEX($CF$29:$CF$1449,MATCH($AR192,$CA$29:$CA$1449,0),)</f>
        <v>270</v>
      </c>
      <c r="AX192" s="94"/>
      <c r="AY192" s="94"/>
      <c r="AZ192" s="94"/>
      <c r="BA192" s="94"/>
      <c r="BB192" s="132">
        <f t="shared" si="117"/>
        <v>0</v>
      </c>
      <c r="BC192" s="132">
        <f t="shared" si="119"/>
        <v>0.0142857142857142</v>
      </c>
      <c r="BD192" s="132">
        <f t="shared" si="121"/>
        <v>-0.0138888888888888</v>
      </c>
      <c r="BE192" s="132">
        <f t="shared" si="118"/>
        <v>-0.00355239786856132</v>
      </c>
      <c r="BF192" s="132">
        <f t="shared" si="120"/>
        <v>-0.00461320085166794</v>
      </c>
      <c r="BG192" s="132">
        <f t="shared" si="122"/>
        <v>-0.00531914893617025</v>
      </c>
      <c r="BH192" s="132"/>
      <c r="BI192" s="132"/>
      <c r="BJ192" s="132"/>
      <c r="BK192" s="132"/>
      <c r="BL192" s="132"/>
      <c r="BM192" s="132"/>
      <c r="BN192" s="132"/>
      <c r="FV192" s="104">
        <f t="shared" si="124"/>
        <v>2011</v>
      </c>
      <c r="FW192" s="104">
        <f t="shared" si="125"/>
        <v>22</v>
      </c>
      <c r="FX192" s="35">
        <v>40688</v>
      </c>
      <c r="FY192" s="26">
        <v>1.8</v>
      </c>
      <c r="FZ192" s="94">
        <f t="shared" si="126"/>
        <v>7.2</v>
      </c>
      <c r="GA192" s="104"/>
      <c r="GB192" s="104"/>
      <c r="GE192" s="94"/>
      <c r="GF192" s="104">
        <f t="shared" si="127"/>
        <v>2013</v>
      </c>
      <c r="GG192" s="104">
        <f t="shared" si="128"/>
        <v>35</v>
      </c>
      <c r="GH192" s="35">
        <v>41516</v>
      </c>
      <c r="GI192" s="26">
        <v>3.143</v>
      </c>
      <c r="GJ192" s="94">
        <f t="shared" si="129"/>
        <v>6.286</v>
      </c>
      <c r="GK192" s="104"/>
      <c r="GL192" s="104"/>
      <c r="GO192" s="94"/>
    </row>
    <row r="193" spans="3:197">
      <c r="C193" s="80" t="str" cm="1">
        <f t="array" ref="C193">_xlfn.IFS(MONTH(D193)&lt;4,1,MONTH(D193)&lt;7,2,MONTH(D193)&lt;10,3,MONTH(D193)&gt;9,4)&amp;"Q"&amp;RIGHT(YEAR(D193),2)</f>
        <v>4Q16</v>
      </c>
      <c r="D193" s="81">
        <f t="shared" si="112"/>
        <v>42674</v>
      </c>
      <c r="E193" s="82">
        <f t="shared" si="109"/>
        <v>42663</v>
      </c>
      <c r="F193" s="83">
        <f t="shared" si="110"/>
        <v>0.603125</v>
      </c>
      <c r="G193" s="83">
        <f t="shared" si="110"/>
        <v>0.5075</v>
      </c>
      <c r="H193" s="81"/>
      <c r="I193" s="84">
        <v>42663</v>
      </c>
      <c r="J193" s="85">
        <v>5.35</v>
      </c>
      <c r="K193" s="85">
        <v>4.7</v>
      </c>
      <c r="L193" s="86">
        <v>4.825</v>
      </c>
      <c r="M193" s="94" cm="1">
        <f t="array" ref="M193">INDEX($BV$29:$BV$1449,MATCH($D193,$BR$29:$BR$1449,0),)</f>
        <v>4.06</v>
      </c>
      <c r="N193" s="88"/>
      <c r="O193" s="88"/>
      <c r="P193" s="88"/>
      <c r="Q193" s="89">
        <f t="shared" si="111"/>
        <v>0.188423645320197</v>
      </c>
      <c r="AH193" s="105">
        <f t="shared" si="123"/>
        <v>43804</v>
      </c>
      <c r="AI193" s="91">
        <f t="shared" si="113"/>
        <v>2.732</v>
      </c>
      <c r="AJ193" s="36">
        <f t="shared" si="114"/>
        <v>-0.00546050236621753</v>
      </c>
      <c r="AK193" s="36">
        <f t="shared" si="116"/>
        <v>-0.0218403150733978</v>
      </c>
      <c r="AL193" s="105"/>
      <c r="AM193" s="91"/>
      <c r="AN193" s="36"/>
      <c r="AO193" s="36"/>
      <c r="AP193" s="36"/>
      <c r="AQ193" s="128" t="str" cm="1">
        <f t="array" ref="AQ193">_xlfn.IFS(MONTH(AR193)&lt;4,1,MONTH(AR193)&lt;7,2,MONTH(AR193)&lt;10,3,MONTH(AR193)&gt;9,4)&amp;"Q"&amp;RIGHT(YEAR(AR193),2)</f>
        <v>2Q22</v>
      </c>
      <c r="AR193" s="128">
        <f t="shared" si="115"/>
        <v>44681</v>
      </c>
      <c r="AS193" s="129">
        <f>AS192+9</f>
        <v>44657</v>
      </c>
      <c r="AT193" s="130">
        <v>138</v>
      </c>
      <c r="AU193" s="94" cm="1">
        <f t="array" ref="AU193">INDEX($CE$29:$CE$1449,MATCH($AR193,$CA$29:$CA$1449,0),)</f>
        <v>136</v>
      </c>
      <c r="AV193" s="130">
        <v>277</v>
      </c>
      <c r="AW193" s="94" cm="1">
        <f t="array" ref="AW193">INDEX($CF$29:$CF$1449,MATCH($AR193,$CA$29:$CA$1449,0),)</f>
        <v>268</v>
      </c>
      <c r="AX193" s="94"/>
      <c r="AY193" s="94"/>
      <c r="AZ193" s="94"/>
      <c r="BA193" s="94"/>
      <c r="BB193" s="132">
        <f t="shared" si="117"/>
        <v>-0.028169014084507</v>
      </c>
      <c r="BC193" s="132">
        <f t="shared" si="119"/>
        <v>-0.028169014084507</v>
      </c>
      <c r="BD193" s="132">
        <f t="shared" si="121"/>
        <v>-0.0142857142857142</v>
      </c>
      <c r="BE193" s="132">
        <f t="shared" si="118"/>
        <v>-0.0124777183600713</v>
      </c>
      <c r="BF193" s="132">
        <f t="shared" si="120"/>
        <v>-0.0159857904085258</v>
      </c>
      <c r="BG193" s="132">
        <f t="shared" si="122"/>
        <v>-0.0170333569907737</v>
      </c>
      <c r="BH193" s="132"/>
      <c r="BI193" s="132"/>
      <c r="BJ193" s="132"/>
      <c r="BK193" s="132"/>
      <c r="BL193" s="132"/>
      <c r="BM193" s="132"/>
      <c r="BN193" s="132"/>
      <c r="FV193" s="104">
        <f t="shared" si="124"/>
        <v>2011</v>
      </c>
      <c r="FW193" s="104">
        <f t="shared" si="125"/>
        <v>22</v>
      </c>
      <c r="FX193" s="35">
        <v>40689</v>
      </c>
      <c r="FY193" s="26">
        <v>1.79</v>
      </c>
      <c r="FZ193" s="94">
        <f t="shared" si="126"/>
        <v>7.16</v>
      </c>
      <c r="GA193" s="104"/>
      <c r="GB193" s="104"/>
      <c r="GE193" s="94"/>
      <c r="GF193" s="104">
        <f t="shared" si="127"/>
        <v>2013</v>
      </c>
      <c r="GG193" s="104">
        <f t="shared" si="128"/>
        <v>36</v>
      </c>
      <c r="GH193" s="35">
        <v>41519</v>
      </c>
      <c r="GI193" s="26">
        <v>3.135</v>
      </c>
      <c r="GJ193" s="94">
        <f t="shared" si="129"/>
        <v>6.27</v>
      </c>
      <c r="GK193" s="104"/>
      <c r="GL193" s="104"/>
      <c r="GO193" s="94"/>
    </row>
    <row r="194" spans="3:197">
      <c r="C194" s="80" t="str" cm="1">
        <f t="array" ref="C194">_xlfn.IFS(MONTH(D194)&lt;4,1,MONTH(D194)&lt;7,2,MONTH(D194)&lt;10,3,MONTH(D194)&gt;9,4)&amp;"Q"&amp;RIGHT(YEAR(D194),2)</f>
        <v>4Q16</v>
      </c>
      <c r="D194" s="81">
        <f t="shared" si="112"/>
        <v>42674</v>
      </c>
      <c r="E194" s="82">
        <f t="shared" si="109"/>
        <v>42664</v>
      </c>
      <c r="F194" s="83">
        <f t="shared" si="110"/>
        <v>0.60625</v>
      </c>
      <c r="G194" s="83">
        <f t="shared" si="110"/>
        <v>0.5075</v>
      </c>
      <c r="H194" s="81"/>
      <c r="I194" s="84">
        <v>42664</v>
      </c>
      <c r="J194" s="85">
        <v>5.4</v>
      </c>
      <c r="K194" s="85">
        <v>4.7</v>
      </c>
      <c r="L194" s="86">
        <v>4.85</v>
      </c>
      <c r="M194" s="94" cm="1">
        <f t="array" ref="M194">INDEX($BV$29:$BV$1449,MATCH($D194,$BR$29:$BR$1449,0),)</f>
        <v>4.06</v>
      </c>
      <c r="N194" s="88"/>
      <c r="O194" s="88"/>
      <c r="P194" s="88"/>
      <c r="Q194" s="89">
        <f t="shared" si="111"/>
        <v>0.194581280788177</v>
      </c>
      <c r="AH194" s="105">
        <f t="shared" si="123"/>
        <v>43812</v>
      </c>
      <c r="AI194" s="91">
        <f t="shared" si="113"/>
        <v>2.97</v>
      </c>
      <c r="AJ194" s="36">
        <f t="shared" si="114"/>
        <v>0.0871156661786237</v>
      </c>
      <c r="AK194" s="36">
        <f t="shared" si="116"/>
        <v>0.0811794685111031</v>
      </c>
      <c r="AL194" s="105"/>
      <c r="AM194" s="91"/>
      <c r="AN194" s="36"/>
      <c r="AO194" s="36"/>
      <c r="AP194" s="36"/>
      <c r="AQ194" s="128" t="str" cm="1">
        <f t="array" ref="AQ194">_xlfn.IFS(MONTH(AR194)&lt;4,1,MONTH(AR194)&lt;7,2,MONTH(AR194)&lt;10,3,MONTH(AR194)&gt;9,4)&amp;"Q"&amp;RIGHT(YEAR(AR194),2)</f>
        <v>2Q22</v>
      </c>
      <c r="AR194" s="128">
        <f t="shared" si="115"/>
        <v>44681</v>
      </c>
      <c r="AS194" s="129">
        <f>AS193+5</f>
        <v>44662</v>
      </c>
      <c r="AT194" s="130">
        <v>136</v>
      </c>
      <c r="AU194" s="94" cm="1">
        <f t="array" ref="AU194">INDEX($CE$29:$CE$1449,MATCH($AR194,$CA$29:$CA$1449,0),)</f>
        <v>136</v>
      </c>
      <c r="AV194" s="130">
        <v>275</v>
      </c>
      <c r="AW194" s="94" cm="1">
        <f t="array" ref="AW194">INDEX($CF$29:$CF$1449,MATCH($AR194,$CA$29:$CA$1449,0),)</f>
        <v>268</v>
      </c>
      <c r="AX194" s="94"/>
      <c r="AY194" s="94"/>
      <c r="AZ194" s="94"/>
      <c r="BA194" s="94"/>
      <c r="BB194" s="132">
        <f t="shared" si="117"/>
        <v>-0.0144927536231884</v>
      </c>
      <c r="BC194" s="132">
        <f t="shared" si="119"/>
        <v>-0.0422535211267606</v>
      </c>
      <c r="BD194" s="132">
        <f t="shared" si="121"/>
        <v>-0.0422535211267606</v>
      </c>
      <c r="BE194" s="132">
        <f t="shared" si="118"/>
        <v>-0.00722021660649819</v>
      </c>
      <c r="BF194" s="132">
        <f t="shared" si="120"/>
        <v>-0.0196078431372549</v>
      </c>
      <c r="BG194" s="132">
        <f t="shared" si="122"/>
        <v>-0.0230905861456483</v>
      </c>
      <c r="BH194" s="132"/>
      <c r="BI194" s="132"/>
      <c r="BJ194" s="132"/>
      <c r="BK194" s="132"/>
      <c r="BL194" s="132"/>
      <c r="BM194" s="132"/>
      <c r="BN194" s="132"/>
      <c r="FV194" s="104">
        <f t="shared" si="124"/>
        <v>2011</v>
      </c>
      <c r="FW194" s="104">
        <f t="shared" si="125"/>
        <v>22</v>
      </c>
      <c r="FX194" s="35">
        <v>40690</v>
      </c>
      <c r="FY194" s="26">
        <v>1.78</v>
      </c>
      <c r="FZ194" s="94">
        <f t="shared" si="126"/>
        <v>7.12</v>
      </c>
      <c r="GA194" s="104"/>
      <c r="GB194" s="104"/>
      <c r="GE194" s="94"/>
      <c r="GF194" s="104">
        <f t="shared" si="127"/>
        <v>2013</v>
      </c>
      <c r="GG194" s="104">
        <f t="shared" si="128"/>
        <v>36</v>
      </c>
      <c r="GH194" s="35">
        <v>41520</v>
      </c>
      <c r="GI194" s="26">
        <v>3.128</v>
      </c>
      <c r="GJ194" s="94">
        <f t="shared" si="129"/>
        <v>6.256</v>
      </c>
      <c r="GK194" s="104"/>
      <c r="GL194" s="104"/>
      <c r="GO194" s="94"/>
    </row>
    <row r="195" spans="3:197">
      <c r="C195" s="80" t="str" cm="1">
        <f t="array" ref="C195">_xlfn.IFS(MONTH(D195)&lt;4,1,MONTH(D195)&lt;7,2,MONTH(D195)&lt;10,3,MONTH(D195)&gt;9,4)&amp;"Q"&amp;RIGHT(YEAR(D195),2)</f>
        <v>4Q16</v>
      </c>
      <c r="D195" s="81">
        <f t="shared" si="112"/>
        <v>42674</v>
      </c>
      <c r="E195" s="82">
        <f t="shared" si="109"/>
        <v>42667</v>
      </c>
      <c r="F195" s="83">
        <f t="shared" si="110"/>
        <v>0.61875</v>
      </c>
      <c r="G195" s="83">
        <f t="shared" si="110"/>
        <v>0.5075</v>
      </c>
      <c r="H195" s="81"/>
      <c r="I195" s="84">
        <v>42667</v>
      </c>
      <c r="J195" s="85">
        <v>5.4</v>
      </c>
      <c r="K195" s="85">
        <v>4.8</v>
      </c>
      <c r="L195" s="86">
        <v>4.95</v>
      </c>
      <c r="M195" s="94" cm="1">
        <f t="array" ref="M195">INDEX($BV$29:$BV$1449,MATCH($D195,$BR$29:$BR$1449,0),)</f>
        <v>4.06</v>
      </c>
      <c r="N195" s="88"/>
      <c r="O195" s="88"/>
      <c r="P195" s="88"/>
      <c r="Q195" s="89">
        <f t="shared" si="111"/>
        <v>0.219211822660099</v>
      </c>
      <c r="AH195" s="105">
        <f t="shared" si="123"/>
        <v>43822</v>
      </c>
      <c r="AI195" s="91">
        <f t="shared" si="113"/>
        <v>3.027</v>
      </c>
      <c r="AJ195" s="36">
        <f t="shared" si="114"/>
        <v>0.0191919191919192</v>
      </c>
      <c r="AK195" s="36">
        <f t="shared" si="116"/>
        <v>0.107979502196193</v>
      </c>
      <c r="AL195" s="105"/>
      <c r="AM195" s="91"/>
      <c r="AN195" s="36"/>
      <c r="AO195" s="36"/>
      <c r="AP195" s="36"/>
      <c r="AQ195" s="128" t="str" cm="1">
        <f t="array" ref="AQ195">_xlfn.IFS(MONTH(AR195)&lt;4,1,MONTH(AR195)&lt;7,2,MONTH(AR195)&lt;10,3,MONTH(AR195)&gt;9,4)&amp;"Q"&amp;RIGHT(YEAR(AR195),2)</f>
        <v>2Q22</v>
      </c>
      <c r="AR195" s="128">
        <f t="shared" si="115"/>
        <v>44681</v>
      </c>
      <c r="AS195" s="129">
        <f>AS194+7</f>
        <v>44669</v>
      </c>
      <c r="AT195" s="130">
        <v>136</v>
      </c>
      <c r="AU195" s="94" cm="1">
        <f t="array" ref="AU195">INDEX($CE$29:$CE$1449,MATCH($AR195,$CA$29:$CA$1449,0),)</f>
        <v>136</v>
      </c>
      <c r="AV195" s="130">
        <v>274</v>
      </c>
      <c r="AW195" s="94" cm="1">
        <f t="array" ref="AW195">INDEX($CF$29:$CF$1449,MATCH($AR195,$CA$29:$CA$1449,0),)</f>
        <v>268</v>
      </c>
      <c r="AX195" s="94"/>
      <c r="AY195" s="94"/>
      <c r="AZ195" s="94"/>
      <c r="BA195" s="94"/>
      <c r="BB195" s="132">
        <f t="shared" si="117"/>
        <v>0</v>
      </c>
      <c r="BC195" s="132">
        <f t="shared" si="119"/>
        <v>-0.0144927536231884</v>
      </c>
      <c r="BD195" s="132">
        <f t="shared" si="121"/>
        <v>-0.0422535211267606</v>
      </c>
      <c r="BE195" s="132">
        <f t="shared" si="118"/>
        <v>-0.00363636363636366</v>
      </c>
      <c r="BF195" s="132">
        <f t="shared" si="120"/>
        <v>-0.0108303249097473</v>
      </c>
      <c r="BG195" s="132">
        <f t="shared" si="122"/>
        <v>-0.0231729055258467</v>
      </c>
      <c r="BH195" s="132"/>
      <c r="BI195" s="132"/>
      <c r="BJ195" s="132"/>
      <c r="BK195" s="132"/>
      <c r="BL195" s="132"/>
      <c r="BM195" s="132"/>
      <c r="BN195" s="132"/>
      <c r="FV195" s="104">
        <f t="shared" si="124"/>
        <v>2011</v>
      </c>
      <c r="FW195" s="104">
        <f t="shared" si="125"/>
        <v>23</v>
      </c>
      <c r="FX195" s="35">
        <v>40693</v>
      </c>
      <c r="FY195" s="26">
        <v>1.78</v>
      </c>
      <c r="FZ195" s="94">
        <f t="shared" si="126"/>
        <v>7.12</v>
      </c>
      <c r="GA195" s="104"/>
      <c r="GB195" s="104"/>
      <c r="GE195" s="94"/>
      <c r="GF195" s="104">
        <f t="shared" si="127"/>
        <v>2013</v>
      </c>
      <c r="GG195" s="104">
        <f t="shared" si="128"/>
        <v>36</v>
      </c>
      <c r="GH195" s="35">
        <v>41521</v>
      </c>
      <c r="GI195" s="26">
        <v>3.12</v>
      </c>
      <c r="GJ195" s="94">
        <f t="shared" si="129"/>
        <v>6.24</v>
      </c>
      <c r="GK195" s="104"/>
      <c r="GL195" s="104"/>
      <c r="GO195" s="94"/>
    </row>
    <row r="196" spans="3:197">
      <c r="C196" s="80" t="str" cm="1">
        <f t="array" ref="C196">_xlfn.IFS(MONTH(D196)&lt;4,1,MONTH(D196)&lt;7,2,MONTH(D196)&lt;10,3,MONTH(D196)&gt;9,4)&amp;"Q"&amp;RIGHT(YEAR(D196),2)</f>
        <v>4Q16</v>
      </c>
      <c r="D196" s="81">
        <f t="shared" si="112"/>
        <v>42674</v>
      </c>
      <c r="E196" s="82">
        <f t="shared" si="109"/>
        <v>42668</v>
      </c>
      <c r="F196" s="83">
        <f t="shared" si="110"/>
        <v>0.619375</v>
      </c>
      <c r="G196" s="83">
        <f t="shared" si="110"/>
        <v>0.5075</v>
      </c>
      <c r="H196" s="81"/>
      <c r="I196" s="84">
        <v>42668</v>
      </c>
      <c r="J196" s="85">
        <v>5.4</v>
      </c>
      <c r="K196" s="85">
        <v>4.8</v>
      </c>
      <c r="L196" s="86">
        <v>4.955</v>
      </c>
      <c r="M196" s="94" cm="1">
        <f t="array" ref="M196">INDEX($BV$29:$BV$1449,MATCH($D196,$BR$29:$BR$1449,0),)</f>
        <v>4.06</v>
      </c>
      <c r="N196" s="88"/>
      <c r="O196" s="88"/>
      <c r="P196" s="88"/>
      <c r="Q196" s="89">
        <f t="shared" si="111"/>
        <v>0.220443349753695</v>
      </c>
      <c r="AH196" s="105">
        <f t="shared" si="123"/>
        <v>43830</v>
      </c>
      <c r="AI196" s="91">
        <f t="shared" si="113"/>
        <v>3.03</v>
      </c>
      <c r="AJ196" s="36">
        <f t="shared" si="114"/>
        <v>0.000991080277502387</v>
      </c>
      <c r="AK196" s="36">
        <f t="shared" si="116"/>
        <v>0.0202020202020201</v>
      </c>
      <c r="AL196" s="105"/>
      <c r="AM196" s="91"/>
      <c r="AN196" s="36"/>
      <c r="AO196" s="36"/>
      <c r="AP196" s="36"/>
      <c r="AQ196" s="128" t="str" cm="1">
        <f t="array" ref="AQ196">_xlfn.IFS(MONTH(AR196)&lt;4,1,MONTH(AR196)&lt;7,2,MONTH(AR196)&lt;10,3,MONTH(AR196)&gt;9,4)&amp;"Q"&amp;RIGHT(YEAR(AR196),2)</f>
        <v>2Q22</v>
      </c>
      <c r="AR196" s="128">
        <f t="shared" si="115"/>
        <v>44681</v>
      </c>
      <c r="AS196" s="129">
        <f>AS195+7</f>
        <v>44676</v>
      </c>
      <c r="AT196" s="130">
        <v>135</v>
      </c>
      <c r="AU196" s="94" cm="1">
        <f t="array" ref="AU196">INDEX($CE$29:$CE$1449,MATCH($AR196,$CA$29:$CA$1449,0),)</f>
        <v>136</v>
      </c>
      <c r="AV196" s="130">
        <v>273</v>
      </c>
      <c r="AW196" s="94" cm="1">
        <f t="array" ref="AW196">INDEX($CF$29:$CF$1449,MATCH($AR196,$CA$29:$CA$1449,0),)</f>
        <v>268</v>
      </c>
      <c r="AX196" s="94"/>
      <c r="AY196" s="94"/>
      <c r="AZ196" s="94"/>
      <c r="BA196" s="94"/>
      <c r="BB196" s="132">
        <f t="shared" si="117"/>
        <v>-0.00735294117647056</v>
      </c>
      <c r="BC196" s="132">
        <f t="shared" si="119"/>
        <v>-0.00735294117647056</v>
      </c>
      <c r="BD196" s="132">
        <f t="shared" si="121"/>
        <v>-0.0217391304347826</v>
      </c>
      <c r="BE196" s="132">
        <f t="shared" si="118"/>
        <v>-0.0036496350364964</v>
      </c>
      <c r="BF196" s="132">
        <f t="shared" si="120"/>
        <v>-0.00727272727272732</v>
      </c>
      <c r="BG196" s="132">
        <f t="shared" si="122"/>
        <v>-0.0144404332129964</v>
      </c>
      <c r="BH196" s="132"/>
      <c r="BI196" s="132"/>
      <c r="BJ196" s="132"/>
      <c r="BK196" s="132"/>
      <c r="BL196" s="132"/>
      <c r="BM196" s="132"/>
      <c r="BN196" s="132"/>
      <c r="FV196" s="104">
        <f t="shared" si="124"/>
        <v>2011</v>
      </c>
      <c r="FW196" s="104">
        <f t="shared" si="125"/>
        <v>23</v>
      </c>
      <c r="FX196" s="35">
        <v>40694</v>
      </c>
      <c r="FY196" s="26">
        <v>1.77</v>
      </c>
      <c r="FZ196" s="94">
        <f t="shared" si="126"/>
        <v>7.08</v>
      </c>
      <c r="GA196" s="104"/>
      <c r="GB196" s="104"/>
      <c r="GE196" s="94"/>
      <c r="GF196" s="104">
        <f t="shared" si="127"/>
        <v>2013</v>
      </c>
      <c r="GG196" s="104">
        <f t="shared" si="128"/>
        <v>36</v>
      </c>
      <c r="GH196" s="35">
        <v>41522</v>
      </c>
      <c r="GI196" s="26">
        <v>3.475</v>
      </c>
      <c r="GJ196" s="94">
        <f t="shared" si="129"/>
        <v>6.95</v>
      </c>
      <c r="GK196" s="104"/>
      <c r="GL196" s="104"/>
      <c r="GO196" s="94"/>
    </row>
    <row r="197" spans="3:197">
      <c r="C197" s="80" t="str" cm="1">
        <f t="array" ref="C197">_xlfn.IFS(MONTH(D197)&lt;4,1,MONTH(D197)&lt;7,2,MONTH(D197)&lt;10,3,MONTH(D197)&gt;9,4)&amp;"Q"&amp;RIGHT(YEAR(D197),2)</f>
        <v>4Q16</v>
      </c>
      <c r="D197" s="81">
        <f t="shared" si="112"/>
        <v>42674</v>
      </c>
      <c r="E197" s="82">
        <f t="shared" si="109"/>
        <v>42669</v>
      </c>
      <c r="F197" s="83">
        <f t="shared" si="110"/>
        <v>0.620625</v>
      </c>
      <c r="G197" s="83">
        <f t="shared" si="110"/>
        <v>0.5075</v>
      </c>
      <c r="H197" s="81"/>
      <c r="I197" s="84">
        <v>42669</v>
      </c>
      <c r="J197" s="85">
        <v>5.4</v>
      </c>
      <c r="K197" s="85">
        <v>4.85</v>
      </c>
      <c r="L197" s="86">
        <v>4.965</v>
      </c>
      <c r="M197" s="94" cm="1">
        <f t="array" ref="M197">INDEX($BV$29:$BV$1449,MATCH($D197,$BR$29:$BR$1449,0),)</f>
        <v>4.06</v>
      </c>
      <c r="N197" s="88"/>
      <c r="O197" s="88"/>
      <c r="P197" s="88"/>
      <c r="Q197" s="89">
        <f t="shared" si="111"/>
        <v>0.222906403940887</v>
      </c>
      <c r="AH197" s="105">
        <f t="shared" si="123"/>
        <v>43838</v>
      </c>
      <c r="AI197" s="91">
        <f t="shared" si="113"/>
        <v>3.147</v>
      </c>
      <c r="AJ197" s="36">
        <f t="shared" si="114"/>
        <v>0.0386138613861386</v>
      </c>
      <c r="AK197" s="36">
        <f t="shared" si="116"/>
        <v>0.0396432111000991</v>
      </c>
      <c r="AL197" s="105"/>
      <c r="AM197" s="91"/>
      <c r="AN197" s="36"/>
      <c r="AO197" s="36"/>
      <c r="AP197" s="36"/>
      <c r="AQ197" s="128" t="str" cm="1">
        <f t="array" ref="AQ197">_xlfn.IFS(MONTH(AR197)&lt;4,1,MONTH(AR197)&lt;7,2,MONTH(AR197)&lt;10,3,MONTH(AR197)&gt;9,4)&amp;"Q"&amp;RIGHT(YEAR(AR197),2)</f>
        <v>2Q22</v>
      </c>
      <c r="AR197" s="128">
        <f t="shared" si="115"/>
        <v>44712</v>
      </c>
      <c r="AS197" s="129">
        <f>AS196+8</f>
        <v>44684</v>
      </c>
      <c r="AT197" s="130">
        <v>135</v>
      </c>
      <c r="AU197" s="94" cm="1">
        <f t="array" ref="AU197">INDEX($CE$29:$CE$1449,MATCH($AR197,$CA$29:$CA$1449,0),)</f>
        <v>136</v>
      </c>
      <c r="AV197" s="130">
        <v>272</v>
      </c>
      <c r="AW197" s="94" cm="1">
        <f t="array" ref="AW197">INDEX($CF$29:$CF$1449,MATCH($AR197,$CA$29:$CA$1449,0),)</f>
        <v>268</v>
      </c>
      <c r="AX197" s="94"/>
      <c r="AY197" s="94"/>
      <c r="AZ197" s="94"/>
      <c r="BA197" s="94"/>
      <c r="BB197" s="132">
        <f t="shared" si="117"/>
        <v>0</v>
      </c>
      <c r="BC197" s="132">
        <f t="shared" si="119"/>
        <v>-0.00735294117647056</v>
      </c>
      <c r="BD197" s="132">
        <f t="shared" si="121"/>
        <v>-0.00735294117647056</v>
      </c>
      <c r="BE197" s="132">
        <f t="shared" si="118"/>
        <v>-0.00366300366300365</v>
      </c>
      <c r="BF197" s="132">
        <f t="shared" si="120"/>
        <v>-0.00729927007299269</v>
      </c>
      <c r="BG197" s="132">
        <f t="shared" si="122"/>
        <v>-0.0109090909090909</v>
      </c>
      <c r="BH197" s="132"/>
      <c r="BI197" s="132"/>
      <c r="BJ197" s="132"/>
      <c r="BK197" s="132"/>
      <c r="BL197" s="132"/>
      <c r="BM197" s="132"/>
      <c r="BN197" s="132"/>
      <c r="FV197" s="104">
        <f t="shared" si="124"/>
        <v>2011</v>
      </c>
      <c r="FW197" s="104">
        <f t="shared" si="125"/>
        <v>23</v>
      </c>
      <c r="FX197" s="35">
        <v>40695</v>
      </c>
      <c r="FY197" s="26">
        <v>1.77</v>
      </c>
      <c r="FZ197" s="94">
        <f t="shared" si="126"/>
        <v>7.08</v>
      </c>
      <c r="GA197" s="104"/>
      <c r="GB197" s="104"/>
      <c r="GE197" s="94"/>
      <c r="GF197" s="104">
        <f t="shared" si="127"/>
        <v>2013</v>
      </c>
      <c r="GG197" s="104">
        <f t="shared" si="128"/>
        <v>36</v>
      </c>
      <c r="GH197" s="35">
        <v>41523</v>
      </c>
      <c r="GI197" s="26">
        <v>3.505</v>
      </c>
      <c r="GJ197" s="94">
        <f t="shared" si="129"/>
        <v>7.01</v>
      </c>
      <c r="GK197" s="104"/>
      <c r="GL197" s="104"/>
      <c r="GO197" s="94"/>
    </row>
    <row r="198" spans="3:197">
      <c r="C198" s="80" t="str" cm="1">
        <f t="array" ref="C198">_xlfn.IFS(MONTH(D198)&lt;4,1,MONTH(D198)&lt;7,2,MONTH(D198)&lt;10,3,MONTH(D198)&gt;9,4)&amp;"Q"&amp;RIGHT(YEAR(D198),2)</f>
        <v>4Q16</v>
      </c>
      <c r="D198" s="81">
        <f t="shared" si="112"/>
        <v>42674</v>
      </c>
      <c r="E198" s="82">
        <f t="shared" si="109"/>
        <v>42670</v>
      </c>
      <c r="F198" s="83">
        <f t="shared" si="110"/>
        <v>0.621875</v>
      </c>
      <c r="G198" s="83">
        <f t="shared" si="110"/>
        <v>0.5075</v>
      </c>
      <c r="H198" s="81"/>
      <c r="I198" s="84">
        <v>42670</v>
      </c>
      <c r="J198" s="85">
        <v>5.4</v>
      </c>
      <c r="K198" s="85">
        <v>4.85</v>
      </c>
      <c r="L198" s="86">
        <v>4.975</v>
      </c>
      <c r="M198" s="94" cm="1">
        <f t="array" ref="M198">INDEX($BV$29:$BV$1449,MATCH($D198,$BR$29:$BR$1449,0),)</f>
        <v>4.06</v>
      </c>
      <c r="N198" s="88"/>
      <c r="O198" s="88"/>
      <c r="P198" s="88"/>
      <c r="Q198" s="89">
        <f t="shared" si="111"/>
        <v>0.225369458128079</v>
      </c>
      <c r="AH198" s="105">
        <f t="shared" si="123"/>
        <v>43846</v>
      </c>
      <c r="AI198" s="91">
        <f t="shared" si="113"/>
        <v>3.33</v>
      </c>
      <c r="AJ198" s="36">
        <f t="shared" si="114"/>
        <v>0.0581506196377504</v>
      </c>
      <c r="AK198" s="36">
        <f t="shared" si="116"/>
        <v>0.0990099009900991</v>
      </c>
      <c r="AL198" s="105"/>
      <c r="AM198" s="91"/>
      <c r="AN198" s="36"/>
      <c r="AO198" s="36"/>
      <c r="AP198" s="36"/>
      <c r="AQ198" s="128" t="str" cm="1">
        <f t="array" ref="AQ198">_xlfn.IFS(MONTH(AR198)&lt;4,1,MONTH(AR198)&lt;7,2,MONTH(AR198)&lt;10,3,MONTH(AR198)&gt;9,4)&amp;"Q"&amp;RIGHT(YEAR(AR198),2)</f>
        <v>2Q22</v>
      </c>
      <c r="AR198" s="128">
        <f t="shared" si="115"/>
        <v>44712</v>
      </c>
      <c r="AS198" s="129">
        <f>AS197+6</f>
        <v>44690</v>
      </c>
      <c r="AT198" s="130">
        <v>135</v>
      </c>
      <c r="AU198" s="94" cm="1">
        <f t="array" ref="AU198">INDEX($CE$29:$CE$1449,MATCH($AR198,$CA$29:$CA$1449,0),)</f>
        <v>136</v>
      </c>
      <c r="AV198" s="130">
        <v>270</v>
      </c>
      <c r="AW198" s="94" cm="1">
        <f t="array" ref="AW198">INDEX($CF$29:$CF$1449,MATCH($AR198,$CA$29:$CA$1449,0),)</f>
        <v>268</v>
      </c>
      <c r="AX198" s="94"/>
      <c r="AY198" s="94"/>
      <c r="AZ198" s="94"/>
      <c r="BA198" s="94"/>
      <c r="BB198" s="132">
        <f t="shared" si="117"/>
        <v>0</v>
      </c>
      <c r="BC198" s="132">
        <f t="shared" si="119"/>
        <v>0</v>
      </c>
      <c r="BD198" s="132">
        <f t="shared" si="121"/>
        <v>-0.00735294117647056</v>
      </c>
      <c r="BE198" s="132">
        <f t="shared" si="118"/>
        <v>-0.00735294117647056</v>
      </c>
      <c r="BF198" s="132">
        <f t="shared" si="120"/>
        <v>-0.0109890109890109</v>
      </c>
      <c r="BG198" s="132">
        <f t="shared" si="122"/>
        <v>-0.0145985401459854</v>
      </c>
      <c r="BH198" s="132"/>
      <c r="BI198" s="132"/>
      <c r="BJ198" s="132"/>
      <c r="BK198" s="132"/>
      <c r="BL198" s="132"/>
      <c r="BM198" s="132"/>
      <c r="BN198" s="132"/>
      <c r="FV198" s="104">
        <f t="shared" si="124"/>
        <v>2011</v>
      </c>
      <c r="FW198" s="104">
        <f t="shared" si="125"/>
        <v>23</v>
      </c>
      <c r="FX198" s="35">
        <v>40696</v>
      </c>
      <c r="FY198" s="26">
        <v>1.77</v>
      </c>
      <c r="FZ198" s="94">
        <f t="shared" si="126"/>
        <v>7.08</v>
      </c>
      <c r="GA198" s="104"/>
      <c r="GB198" s="104"/>
      <c r="GE198" s="94"/>
      <c r="GF198" s="104">
        <f t="shared" si="127"/>
        <v>2013</v>
      </c>
      <c r="GG198" s="104">
        <f t="shared" si="128"/>
        <v>37</v>
      </c>
      <c r="GH198" s="35">
        <v>41526</v>
      </c>
      <c r="GI198" s="26">
        <v>3.76</v>
      </c>
      <c r="GJ198" s="94">
        <f t="shared" si="129"/>
        <v>7.52</v>
      </c>
      <c r="GK198" s="104"/>
      <c r="GL198" s="104"/>
      <c r="GO198" s="94"/>
    </row>
    <row r="199" spans="3:197">
      <c r="C199" s="80" t="str" cm="1">
        <f t="array" ref="C199">_xlfn.IFS(MONTH(D199)&lt;4,1,MONTH(D199)&lt;7,2,MONTH(D199)&lt;10,3,MONTH(D199)&gt;9,4)&amp;"Q"&amp;RIGHT(YEAR(D199),2)</f>
        <v>4Q16</v>
      </c>
      <c r="D199" s="81">
        <f t="shared" si="112"/>
        <v>42674</v>
      </c>
      <c r="E199" s="82">
        <f t="shared" si="109"/>
        <v>42671</v>
      </c>
      <c r="F199" s="83">
        <f t="shared" si="110"/>
        <v>0.623125</v>
      </c>
      <c r="G199" s="83">
        <f t="shared" si="110"/>
        <v>0.5075</v>
      </c>
      <c r="H199" s="81"/>
      <c r="I199" s="84">
        <v>42671</v>
      </c>
      <c r="J199" s="85">
        <v>5.45</v>
      </c>
      <c r="K199" s="85">
        <v>4.9</v>
      </c>
      <c r="L199" s="86">
        <v>4.985</v>
      </c>
      <c r="M199" s="94" cm="1">
        <f t="array" ref="M199">INDEX($BV$29:$BV$1449,MATCH($D199,$BR$29:$BR$1449,0),)</f>
        <v>4.06</v>
      </c>
      <c r="N199" s="88"/>
      <c r="O199" s="88"/>
      <c r="P199" s="88"/>
      <c r="Q199" s="89">
        <f t="shared" si="111"/>
        <v>0.227832512315271</v>
      </c>
      <c r="AH199" s="105">
        <f t="shared" si="123"/>
        <v>43854</v>
      </c>
      <c r="AI199" s="91">
        <f t="shared" si="113"/>
        <v>3.377</v>
      </c>
      <c r="AJ199" s="36">
        <f t="shared" si="114"/>
        <v>0.0141141141141141</v>
      </c>
      <c r="AK199" s="36">
        <f t="shared" si="116"/>
        <v>0.073085478233238</v>
      </c>
      <c r="AL199" s="105"/>
      <c r="AM199" s="91"/>
      <c r="AN199" s="36"/>
      <c r="AO199" s="36"/>
      <c r="AP199" s="36"/>
      <c r="AQ199" s="128" t="str" cm="1">
        <f t="array" ref="AQ199">_xlfn.IFS(MONTH(AR199)&lt;4,1,MONTH(AR199)&lt;7,2,MONTH(AR199)&lt;10,3,MONTH(AR199)&gt;9,4)&amp;"Q"&amp;RIGHT(YEAR(AR199),2)</f>
        <v>2Q22</v>
      </c>
      <c r="AR199" s="128">
        <f t="shared" si="115"/>
        <v>44712</v>
      </c>
      <c r="AS199" s="129">
        <f t="shared" ref="AS199:AS234" si="130">AS198+7</f>
        <v>44697</v>
      </c>
      <c r="AT199" s="130">
        <v>135</v>
      </c>
      <c r="AU199" s="94" cm="1">
        <f t="array" ref="AU199">INDEX($CE$29:$CE$1449,MATCH($AR199,$CA$29:$CA$1449,0),)</f>
        <v>136</v>
      </c>
      <c r="AV199" s="130">
        <v>268</v>
      </c>
      <c r="AW199" s="94" cm="1">
        <f t="array" ref="AW199">INDEX($CF$29:$CF$1449,MATCH($AR199,$CA$29:$CA$1449,0),)</f>
        <v>268</v>
      </c>
      <c r="AX199" s="94"/>
      <c r="AY199" s="94"/>
      <c r="AZ199" s="94"/>
      <c r="BA199" s="94"/>
      <c r="BB199" s="132">
        <f t="shared" si="117"/>
        <v>0</v>
      </c>
      <c r="BC199" s="132">
        <f t="shared" si="119"/>
        <v>0</v>
      </c>
      <c r="BD199" s="132">
        <f t="shared" si="121"/>
        <v>0</v>
      </c>
      <c r="BE199" s="132">
        <f t="shared" si="118"/>
        <v>-0.00740740740740742</v>
      </c>
      <c r="BF199" s="132">
        <f t="shared" si="120"/>
        <v>-0.0147058823529411</v>
      </c>
      <c r="BG199" s="132">
        <f t="shared" si="122"/>
        <v>-0.0183150183150184</v>
      </c>
      <c r="BH199" s="132"/>
      <c r="BI199" s="132"/>
      <c r="BJ199" s="132"/>
      <c r="BK199" s="132"/>
      <c r="BL199" s="132"/>
      <c r="BM199" s="132"/>
      <c r="BN199" s="132"/>
      <c r="FV199" s="104">
        <f t="shared" si="124"/>
        <v>2011</v>
      </c>
      <c r="FW199" s="104">
        <f t="shared" si="125"/>
        <v>23</v>
      </c>
      <c r="FX199" s="35">
        <v>40697</v>
      </c>
      <c r="FY199" s="26">
        <v>1.74</v>
      </c>
      <c r="FZ199" s="94">
        <f t="shared" si="126"/>
        <v>6.96</v>
      </c>
      <c r="GA199" s="104"/>
      <c r="GB199" s="104"/>
      <c r="GE199" s="94"/>
      <c r="GF199" s="104">
        <f t="shared" si="127"/>
        <v>2013</v>
      </c>
      <c r="GG199" s="104">
        <f t="shared" si="128"/>
        <v>37</v>
      </c>
      <c r="GH199" s="35">
        <v>41527</v>
      </c>
      <c r="GI199" s="26">
        <v>3.8</v>
      </c>
      <c r="GJ199" s="94">
        <f t="shared" si="129"/>
        <v>7.6</v>
      </c>
      <c r="GK199" s="104"/>
      <c r="GL199" s="104"/>
      <c r="GO199" s="94"/>
    </row>
    <row r="200" spans="3:197">
      <c r="C200" s="80" t="str" cm="1">
        <f t="array" ref="C200">_xlfn.IFS(MONTH(D200)&lt;4,1,MONTH(D200)&lt;7,2,MONTH(D200)&lt;10,3,MONTH(D200)&gt;9,4)&amp;"Q"&amp;RIGHT(YEAR(D200),2)</f>
        <v>4Q16</v>
      </c>
      <c r="D200" s="81">
        <f t="shared" si="112"/>
        <v>42674</v>
      </c>
      <c r="E200" s="82">
        <f t="shared" si="109"/>
        <v>42674</v>
      </c>
      <c r="F200" s="83">
        <f t="shared" si="110"/>
        <v>0.62625</v>
      </c>
      <c r="G200" s="83">
        <f t="shared" si="110"/>
        <v>0.5075</v>
      </c>
      <c r="H200" s="81"/>
      <c r="I200" s="84">
        <v>42674</v>
      </c>
      <c r="J200" s="85">
        <v>5.45</v>
      </c>
      <c r="K200" s="85">
        <v>4.95</v>
      </c>
      <c r="L200" s="86">
        <v>5.01</v>
      </c>
      <c r="M200" s="94" cm="1">
        <f t="array" ref="M200">INDEX($BV$29:$BV$1449,MATCH($D200,$BR$29:$BR$1449,0),)</f>
        <v>4.06</v>
      </c>
      <c r="N200" s="88"/>
      <c r="O200" s="88"/>
      <c r="P200" s="88"/>
      <c r="Q200" s="89">
        <f t="shared" si="111"/>
        <v>0.233990147783251</v>
      </c>
      <c r="AH200" s="105">
        <f t="shared" si="123"/>
        <v>43864</v>
      </c>
      <c r="AI200" s="91">
        <f t="shared" si="113"/>
        <v>3.44</v>
      </c>
      <c r="AJ200" s="36">
        <f t="shared" si="114"/>
        <v>0.0186556114894878</v>
      </c>
      <c r="AK200" s="36">
        <f t="shared" si="116"/>
        <v>0.0330330330330331</v>
      </c>
      <c r="AL200" s="105"/>
      <c r="AM200" s="91"/>
      <c r="AN200" s="36"/>
      <c r="AO200" s="36"/>
      <c r="AP200" s="36"/>
      <c r="AQ200" s="128" t="str" cm="1">
        <f t="array" ref="AQ200">_xlfn.IFS(MONTH(AR200)&lt;4,1,MONTH(AR200)&lt;7,2,MONTH(AR200)&lt;10,3,MONTH(AR200)&gt;9,4)&amp;"Q"&amp;RIGHT(YEAR(AR200),2)</f>
        <v>2Q22</v>
      </c>
      <c r="AR200" s="128">
        <f t="shared" si="115"/>
        <v>44712</v>
      </c>
      <c r="AS200" s="129">
        <f t="shared" si="130"/>
        <v>44704</v>
      </c>
      <c r="AT200" s="130">
        <v>135</v>
      </c>
      <c r="AU200" s="94" cm="1">
        <f t="array" ref="AU200">INDEX($CE$29:$CE$1449,MATCH($AR200,$CA$29:$CA$1449,0),)</f>
        <v>136</v>
      </c>
      <c r="AV200" s="130">
        <v>267.5</v>
      </c>
      <c r="AW200" s="94" cm="1">
        <f t="array" ref="AW200">INDEX($CF$29:$CF$1449,MATCH($AR200,$CA$29:$CA$1449,0),)</f>
        <v>268</v>
      </c>
      <c r="AX200" s="94"/>
      <c r="AY200" s="94"/>
      <c r="AZ200" s="94"/>
      <c r="BA200" s="94"/>
      <c r="BB200" s="132">
        <f t="shared" si="117"/>
        <v>0</v>
      </c>
      <c r="BC200" s="132">
        <f t="shared" si="119"/>
        <v>0</v>
      </c>
      <c r="BD200" s="132">
        <f t="shared" si="121"/>
        <v>0</v>
      </c>
      <c r="BE200" s="132">
        <f t="shared" si="118"/>
        <v>-0.00186567164179108</v>
      </c>
      <c r="BF200" s="132">
        <f t="shared" si="120"/>
        <v>-0.0092592592592593</v>
      </c>
      <c r="BG200" s="132">
        <f t="shared" si="122"/>
        <v>-0.0165441176470589</v>
      </c>
      <c r="BH200" s="132"/>
      <c r="BI200" s="132"/>
      <c r="BJ200" s="132"/>
      <c r="BK200" s="132"/>
      <c r="BL200" s="132"/>
      <c r="BM200" s="132"/>
      <c r="BN200" s="132"/>
      <c r="FV200" s="104">
        <f t="shared" si="124"/>
        <v>2011</v>
      </c>
      <c r="FW200" s="104">
        <f t="shared" si="125"/>
        <v>24</v>
      </c>
      <c r="FX200" s="35">
        <v>40701</v>
      </c>
      <c r="FY200" s="26">
        <v>1.72</v>
      </c>
      <c r="FZ200" s="94">
        <f t="shared" si="126"/>
        <v>6.88</v>
      </c>
      <c r="GA200" s="104"/>
      <c r="GB200" s="104"/>
      <c r="GE200" s="94"/>
      <c r="GF200" s="104">
        <f t="shared" si="127"/>
        <v>2013</v>
      </c>
      <c r="GG200" s="104">
        <f t="shared" si="128"/>
        <v>37</v>
      </c>
      <c r="GH200" s="35">
        <v>41528</v>
      </c>
      <c r="GI200" s="26">
        <v>3.92</v>
      </c>
      <c r="GJ200" s="94">
        <f t="shared" si="129"/>
        <v>7.84</v>
      </c>
      <c r="GK200" s="104"/>
      <c r="GL200" s="104"/>
      <c r="GO200" s="94"/>
    </row>
    <row r="201" spans="3:197">
      <c r="C201" s="80" t="str" cm="1">
        <f t="array" ref="C201">_xlfn.IFS(MONTH(D201)&lt;4,1,MONTH(D201)&lt;7,2,MONTH(D201)&lt;10,3,MONTH(D201)&gt;9,4)&amp;"Q"&amp;RIGHT(YEAR(D201),2)</f>
        <v>4Q16</v>
      </c>
      <c r="D201" s="81">
        <f t="shared" si="112"/>
        <v>42704</v>
      </c>
      <c r="E201" s="82">
        <f t="shared" si="109"/>
        <v>42675</v>
      </c>
      <c r="F201" s="83">
        <f t="shared" si="110"/>
        <v>0.626875</v>
      </c>
      <c r="G201" s="83">
        <f t="shared" si="110"/>
        <v>0.52375</v>
      </c>
      <c r="H201" s="81"/>
      <c r="I201" s="84">
        <v>42675</v>
      </c>
      <c r="J201" s="85">
        <v>5.45</v>
      </c>
      <c r="K201" s="85">
        <v>4.95</v>
      </c>
      <c r="L201" s="86">
        <v>5.015</v>
      </c>
      <c r="M201" s="94" cm="1">
        <f t="array" ref="M201">INDEX($BV$29:$BV$1449,MATCH($D201,$BR$29:$BR$1449,0),)</f>
        <v>4.19</v>
      </c>
      <c r="N201" s="88"/>
      <c r="O201" s="88"/>
      <c r="P201" s="88"/>
      <c r="Q201" s="89">
        <f t="shared" si="111"/>
        <v>0.19689737470167</v>
      </c>
      <c r="AH201" s="105">
        <f t="shared" si="123"/>
        <v>43872</v>
      </c>
      <c r="AI201" s="91">
        <f t="shared" si="113"/>
        <v>3.413</v>
      </c>
      <c r="AJ201" s="36">
        <f t="shared" si="114"/>
        <v>-0.00784883720930241</v>
      </c>
      <c r="AK201" s="36">
        <f t="shared" si="116"/>
        <v>0.0106603494225643</v>
      </c>
      <c r="AL201" s="105"/>
      <c r="AM201" s="91"/>
      <c r="AN201" s="36"/>
      <c r="AO201" s="36"/>
      <c r="AP201" s="36"/>
      <c r="AQ201" s="128" t="str" cm="1">
        <f t="array" ref="AQ201">_xlfn.IFS(MONTH(AR201)&lt;4,1,MONTH(AR201)&lt;7,2,MONTH(AR201)&lt;10,3,MONTH(AR201)&gt;9,4)&amp;"Q"&amp;RIGHT(YEAR(AR201),2)</f>
        <v>2Q22</v>
      </c>
      <c r="AR201" s="128">
        <f t="shared" si="115"/>
        <v>44712</v>
      </c>
      <c r="AS201" s="129">
        <f t="shared" si="130"/>
        <v>44711</v>
      </c>
      <c r="AT201" s="130">
        <v>135</v>
      </c>
      <c r="AU201" s="94" cm="1">
        <f t="array" ref="AU201">INDEX($CE$29:$CE$1449,MATCH($AR201,$CA$29:$CA$1449,0),)</f>
        <v>136</v>
      </c>
      <c r="AV201" s="130">
        <v>267</v>
      </c>
      <c r="AW201" s="94" cm="1">
        <f t="array" ref="AW201">INDEX($CF$29:$CF$1449,MATCH($AR201,$CA$29:$CA$1449,0),)</f>
        <v>268</v>
      </c>
      <c r="AX201" s="94"/>
      <c r="AY201" s="94"/>
      <c r="AZ201" s="94"/>
      <c r="BA201" s="94"/>
      <c r="BB201" s="132">
        <f t="shared" si="117"/>
        <v>0</v>
      </c>
      <c r="BC201" s="132">
        <f t="shared" si="119"/>
        <v>0</v>
      </c>
      <c r="BD201" s="132">
        <f t="shared" si="121"/>
        <v>0</v>
      </c>
      <c r="BE201" s="132">
        <f t="shared" si="118"/>
        <v>-0.0018691588785047</v>
      </c>
      <c r="BF201" s="132">
        <f t="shared" si="120"/>
        <v>-0.00373134328358204</v>
      </c>
      <c r="BG201" s="132">
        <f t="shared" si="122"/>
        <v>-0.0111111111111111</v>
      </c>
      <c r="BH201" s="132"/>
      <c r="BI201" s="132"/>
      <c r="BJ201" s="132"/>
      <c r="BK201" s="132"/>
      <c r="BL201" s="132"/>
      <c r="BM201" s="132"/>
      <c r="BN201" s="132"/>
      <c r="FV201" s="104">
        <f t="shared" si="124"/>
        <v>2011</v>
      </c>
      <c r="FW201" s="104">
        <f t="shared" si="125"/>
        <v>24</v>
      </c>
      <c r="FX201" s="35">
        <v>40702</v>
      </c>
      <c r="FY201" s="26">
        <v>1.7</v>
      </c>
      <c r="FZ201" s="94">
        <f t="shared" si="126"/>
        <v>6.8</v>
      </c>
      <c r="GA201" s="104"/>
      <c r="GB201" s="104"/>
      <c r="GE201" s="94"/>
      <c r="GF201" s="104">
        <f t="shared" si="127"/>
        <v>2013</v>
      </c>
      <c r="GG201" s="104">
        <f t="shared" si="128"/>
        <v>37</v>
      </c>
      <c r="GH201" s="35">
        <v>41529</v>
      </c>
      <c r="GI201" s="26">
        <v>3.951</v>
      </c>
      <c r="GJ201" s="94">
        <f t="shared" si="129"/>
        <v>7.902</v>
      </c>
      <c r="GK201" s="104"/>
      <c r="GL201" s="104"/>
      <c r="GO201" s="94"/>
    </row>
    <row r="202" spans="3:197">
      <c r="C202" s="80" t="str" cm="1">
        <f t="array" ref="C202">_xlfn.IFS(MONTH(D202)&lt;4,1,MONTH(D202)&lt;7,2,MONTH(D202)&lt;10,3,MONTH(D202)&gt;9,4)&amp;"Q"&amp;RIGHT(YEAR(D202),2)</f>
        <v>4Q16</v>
      </c>
      <c r="D202" s="81">
        <f t="shared" si="112"/>
        <v>42704</v>
      </c>
      <c r="E202" s="82">
        <f t="shared" si="109"/>
        <v>42676</v>
      </c>
      <c r="F202" s="83">
        <f t="shared" si="110"/>
        <v>0.626875</v>
      </c>
      <c r="G202" s="83">
        <f t="shared" si="110"/>
        <v>0.52375</v>
      </c>
      <c r="H202" s="81"/>
      <c r="I202" s="84">
        <v>42676</v>
      </c>
      <c r="J202" s="85">
        <v>5.45</v>
      </c>
      <c r="K202" s="85">
        <v>4.95</v>
      </c>
      <c r="L202" s="86">
        <v>5.015</v>
      </c>
      <c r="M202" s="94" cm="1">
        <f t="array" ref="M202">INDEX($BV$29:$BV$1449,MATCH($D202,$BR$29:$BR$1449,0),)</f>
        <v>4.19</v>
      </c>
      <c r="N202" s="88"/>
      <c r="O202" s="88"/>
      <c r="P202" s="88"/>
      <c r="Q202" s="89">
        <f t="shared" si="111"/>
        <v>0.19689737470167</v>
      </c>
      <c r="AH202" s="105">
        <f t="shared" si="123"/>
        <v>43880</v>
      </c>
      <c r="AI202" s="91">
        <f t="shared" si="113"/>
        <v>3.317</v>
      </c>
      <c r="AJ202" s="36">
        <f t="shared" si="114"/>
        <v>-0.0281277468502782</v>
      </c>
      <c r="AK202" s="36">
        <f t="shared" si="116"/>
        <v>-0.0357558139534883</v>
      </c>
      <c r="AL202" s="105"/>
      <c r="AM202" s="91"/>
      <c r="AN202" s="36"/>
      <c r="AO202" s="36"/>
      <c r="AP202" s="36"/>
      <c r="AQ202" s="128" t="str" cm="1">
        <f t="array" ref="AQ202">_xlfn.IFS(MONTH(AR202)&lt;4,1,MONTH(AR202)&lt;7,2,MONTH(AR202)&lt;10,3,MONTH(AR202)&gt;9,4)&amp;"Q"&amp;RIGHT(YEAR(AR202),2)</f>
        <v>2Q22</v>
      </c>
      <c r="AR202" s="128">
        <f t="shared" si="115"/>
        <v>44742</v>
      </c>
      <c r="AS202" s="129">
        <f t="shared" si="130"/>
        <v>44718</v>
      </c>
      <c r="AT202" s="130">
        <v>134</v>
      </c>
      <c r="AU202" s="94" cm="1">
        <f t="array" ref="AU202">INDEX($CE$29:$CE$1449,MATCH($AR202,$CA$29:$CA$1449,0),)</f>
        <v>133</v>
      </c>
      <c r="AV202" s="130">
        <v>266.5</v>
      </c>
      <c r="AW202" s="94" cm="1">
        <f t="array" ref="AW202">INDEX($CF$29:$CF$1449,MATCH($AR202,$CA$29:$CA$1449,0),)</f>
        <v>268</v>
      </c>
      <c r="AX202" s="94"/>
      <c r="AY202" s="94"/>
      <c r="AZ202" s="94"/>
      <c r="BA202" s="94"/>
      <c r="BB202" s="132">
        <f t="shared" si="117"/>
        <v>-0.00740740740740742</v>
      </c>
      <c r="BC202" s="132">
        <f t="shared" si="119"/>
        <v>-0.00740740740740742</v>
      </c>
      <c r="BD202" s="132">
        <f t="shared" si="121"/>
        <v>-0.00740740740740742</v>
      </c>
      <c r="BE202" s="132">
        <f t="shared" si="118"/>
        <v>-0.00187265917602997</v>
      </c>
      <c r="BF202" s="132">
        <f t="shared" si="120"/>
        <v>-0.00373831775700939</v>
      </c>
      <c r="BG202" s="132">
        <f t="shared" si="122"/>
        <v>-0.00559701492537312</v>
      </c>
      <c r="BH202" s="132"/>
      <c r="BI202" s="132"/>
      <c r="BJ202" s="132"/>
      <c r="BK202" s="132"/>
      <c r="BL202" s="132"/>
      <c r="BM202" s="132"/>
      <c r="BN202" s="132"/>
      <c r="FV202" s="104">
        <f t="shared" si="124"/>
        <v>2011</v>
      </c>
      <c r="FW202" s="104">
        <f t="shared" si="125"/>
        <v>24</v>
      </c>
      <c r="FX202" s="35">
        <v>40703</v>
      </c>
      <c r="FY202" s="26">
        <v>1.7</v>
      </c>
      <c r="FZ202" s="94">
        <f t="shared" si="126"/>
        <v>6.8</v>
      </c>
      <c r="GA202" s="104"/>
      <c r="GB202" s="104"/>
      <c r="GE202" s="94"/>
      <c r="GF202" s="104">
        <f t="shared" si="127"/>
        <v>2013</v>
      </c>
      <c r="GG202" s="104">
        <f t="shared" si="128"/>
        <v>37</v>
      </c>
      <c r="GH202" s="35">
        <v>41530</v>
      </c>
      <c r="GI202" s="26">
        <v>4.025</v>
      </c>
      <c r="GJ202" s="94">
        <f t="shared" si="129"/>
        <v>8.05</v>
      </c>
      <c r="GK202" s="104"/>
      <c r="GL202" s="104"/>
      <c r="GO202" s="94"/>
    </row>
    <row r="203" spans="3:197">
      <c r="C203" s="80" t="str" cm="1">
        <f t="array" ref="C203">_xlfn.IFS(MONTH(D203)&lt;4,1,MONTH(D203)&lt;7,2,MONTH(D203)&lt;10,3,MONTH(D203)&gt;9,4)&amp;"Q"&amp;RIGHT(YEAR(D203),2)</f>
        <v>4Q16</v>
      </c>
      <c r="D203" s="81">
        <f t="shared" si="112"/>
        <v>42704</v>
      </c>
      <c r="E203" s="82">
        <f t="shared" si="109"/>
        <v>42677</v>
      </c>
      <c r="F203" s="83">
        <f t="shared" si="110"/>
        <v>0.634375</v>
      </c>
      <c r="G203" s="83">
        <f t="shared" si="110"/>
        <v>0.52375</v>
      </c>
      <c r="H203" s="81"/>
      <c r="I203" s="84">
        <v>42677</v>
      </c>
      <c r="J203" s="85">
        <v>5.5</v>
      </c>
      <c r="K203" s="85">
        <v>5</v>
      </c>
      <c r="L203" s="86">
        <v>5.075</v>
      </c>
      <c r="M203" s="94" cm="1">
        <f t="array" ref="M203">INDEX($BV$29:$BV$1449,MATCH($D203,$BR$29:$BR$1449,0),)</f>
        <v>4.19</v>
      </c>
      <c r="N203" s="88"/>
      <c r="O203" s="88"/>
      <c r="P203" s="88"/>
      <c r="Q203" s="89">
        <f t="shared" si="111"/>
        <v>0.211217183770883</v>
      </c>
      <c r="AH203" s="105">
        <f t="shared" si="123"/>
        <v>43888</v>
      </c>
      <c r="AI203" s="91">
        <f t="shared" si="113"/>
        <v>3.417</v>
      </c>
      <c r="AJ203" s="36">
        <f t="shared" si="114"/>
        <v>0.0301477238468495</v>
      </c>
      <c r="AK203" s="36">
        <f t="shared" si="116"/>
        <v>0.00117198945209496</v>
      </c>
      <c r="AL203" s="105"/>
      <c r="AM203" s="91"/>
      <c r="AN203" s="36"/>
      <c r="AO203" s="36"/>
      <c r="AP203" s="36"/>
      <c r="AQ203" s="128" t="str" cm="1">
        <f t="array" ref="AQ203">_xlfn.IFS(MONTH(AR203)&lt;4,1,MONTH(AR203)&lt;7,2,MONTH(AR203)&lt;10,3,MONTH(AR203)&gt;9,4)&amp;"Q"&amp;RIGHT(YEAR(AR203),2)</f>
        <v>2Q22</v>
      </c>
      <c r="AR203" s="128">
        <f t="shared" si="115"/>
        <v>44742</v>
      </c>
      <c r="AS203" s="129">
        <f t="shared" si="130"/>
        <v>44725</v>
      </c>
      <c r="AT203" s="130">
        <v>133</v>
      </c>
      <c r="AU203" s="94" cm="1">
        <f t="array" ref="AU203">INDEX($CE$29:$CE$1449,MATCH($AR203,$CA$29:$CA$1449,0),)</f>
        <v>133</v>
      </c>
      <c r="AV203" s="130">
        <v>266</v>
      </c>
      <c r="AW203" s="94" cm="1">
        <f t="array" ref="AW203">INDEX($CF$29:$CF$1449,MATCH($AR203,$CA$29:$CA$1449,0),)</f>
        <v>268</v>
      </c>
      <c r="AX203" s="94"/>
      <c r="AY203" s="94"/>
      <c r="AZ203" s="94"/>
      <c r="BA203" s="94"/>
      <c r="BB203" s="132">
        <f t="shared" si="117"/>
        <v>-0.0074626865671642</v>
      </c>
      <c r="BC203" s="132">
        <f t="shared" si="119"/>
        <v>-0.0148148148148148</v>
      </c>
      <c r="BD203" s="132">
        <f t="shared" si="121"/>
        <v>-0.0148148148148148</v>
      </c>
      <c r="BE203" s="132">
        <f t="shared" si="118"/>
        <v>-0.00187617260787998</v>
      </c>
      <c r="BF203" s="132">
        <f t="shared" si="120"/>
        <v>-0.00374531835205993</v>
      </c>
      <c r="BG203" s="132">
        <f t="shared" si="122"/>
        <v>-0.00560747663551397</v>
      </c>
      <c r="BH203" s="132"/>
      <c r="BI203" s="132"/>
      <c r="BJ203" s="132"/>
      <c r="BK203" s="132"/>
      <c r="BL203" s="132"/>
      <c r="BM203" s="132"/>
      <c r="BN203" s="132"/>
      <c r="FV203" s="104">
        <f t="shared" si="124"/>
        <v>2011</v>
      </c>
      <c r="FW203" s="104">
        <f t="shared" si="125"/>
        <v>24</v>
      </c>
      <c r="FX203" s="35">
        <v>40704</v>
      </c>
      <c r="FY203" s="26">
        <v>1.68</v>
      </c>
      <c r="FZ203" s="94">
        <f t="shared" si="126"/>
        <v>6.72</v>
      </c>
      <c r="GA203" s="104"/>
      <c r="GB203" s="104"/>
      <c r="GE203" s="94"/>
      <c r="GF203" s="104">
        <f t="shared" si="127"/>
        <v>2013</v>
      </c>
      <c r="GG203" s="104">
        <f t="shared" si="128"/>
        <v>38</v>
      </c>
      <c r="GH203" s="35">
        <v>41533</v>
      </c>
      <c r="GI203" s="26">
        <v>4.175</v>
      </c>
      <c r="GJ203" s="94">
        <f t="shared" si="129"/>
        <v>8.35</v>
      </c>
      <c r="GK203" s="104"/>
      <c r="GL203" s="104"/>
      <c r="GO203" s="94"/>
    </row>
    <row r="204" spans="3:197">
      <c r="C204" s="80" t="str" cm="1">
        <f t="array" ref="C204">_xlfn.IFS(MONTH(D204)&lt;4,1,MONTH(D204)&lt;7,2,MONTH(D204)&lt;10,3,MONTH(D204)&gt;9,4)&amp;"Q"&amp;RIGHT(YEAR(D204),2)</f>
        <v>4Q16</v>
      </c>
      <c r="D204" s="81">
        <f t="shared" si="112"/>
        <v>42704</v>
      </c>
      <c r="E204" s="82">
        <f t="shared" si="109"/>
        <v>42678</v>
      </c>
      <c r="F204" s="83">
        <f t="shared" si="110"/>
        <v>0.63625</v>
      </c>
      <c r="G204" s="83">
        <f t="shared" si="110"/>
        <v>0.52375</v>
      </c>
      <c r="H204" s="81"/>
      <c r="I204" s="84">
        <v>42678</v>
      </c>
      <c r="J204" s="85">
        <v>5.5</v>
      </c>
      <c r="K204" s="85">
        <v>5.03</v>
      </c>
      <c r="L204" s="86">
        <v>5.09</v>
      </c>
      <c r="M204" s="94" cm="1">
        <f t="array" ref="M204">INDEX($BV$29:$BV$1449,MATCH($D204,$BR$29:$BR$1449,0),)</f>
        <v>4.19</v>
      </c>
      <c r="N204" s="88"/>
      <c r="O204" s="88"/>
      <c r="P204" s="88"/>
      <c r="Q204" s="89">
        <f t="shared" si="111"/>
        <v>0.214797136038186</v>
      </c>
      <c r="AH204" s="105">
        <f t="shared" si="123"/>
        <v>43896</v>
      </c>
      <c r="AI204" s="91">
        <f t="shared" si="113"/>
        <v>3.563</v>
      </c>
      <c r="AJ204" s="36">
        <f t="shared" si="114"/>
        <v>0.0427275387767048</v>
      </c>
      <c r="AK204" s="36">
        <f t="shared" si="116"/>
        <v>0.0741634006632499</v>
      </c>
      <c r="AL204" s="105"/>
      <c r="AM204" s="91"/>
      <c r="AN204" s="36"/>
      <c r="AO204" s="36"/>
      <c r="AP204" s="36"/>
      <c r="AQ204" s="128" t="str" cm="1">
        <f t="array" ref="AQ204">_xlfn.IFS(MONTH(AR204)&lt;4,1,MONTH(AR204)&lt;7,2,MONTH(AR204)&lt;10,3,MONTH(AR204)&gt;9,4)&amp;"Q"&amp;RIGHT(YEAR(AR204),2)</f>
        <v>2Q22</v>
      </c>
      <c r="AR204" s="128">
        <f t="shared" si="115"/>
        <v>44742</v>
      </c>
      <c r="AS204" s="129">
        <f t="shared" si="130"/>
        <v>44732</v>
      </c>
      <c r="AT204" s="130">
        <v>133</v>
      </c>
      <c r="AU204" s="94" cm="1">
        <f t="array" ref="AU204">INDEX($CE$29:$CE$1449,MATCH($AR204,$CA$29:$CA$1449,0),)</f>
        <v>133</v>
      </c>
      <c r="AV204" s="130">
        <v>265.5</v>
      </c>
      <c r="AW204" s="94" cm="1">
        <f t="array" ref="AW204">INDEX($CF$29:$CF$1449,MATCH($AR204,$CA$29:$CA$1449,0),)</f>
        <v>268</v>
      </c>
      <c r="AX204" s="94"/>
      <c r="AY204" s="94"/>
      <c r="AZ204" s="94"/>
      <c r="BA204" s="94"/>
      <c r="BB204" s="132">
        <f t="shared" si="117"/>
        <v>0</v>
      </c>
      <c r="BC204" s="132">
        <f t="shared" si="119"/>
        <v>-0.0074626865671642</v>
      </c>
      <c r="BD204" s="132">
        <f t="shared" si="121"/>
        <v>-0.0148148148148148</v>
      </c>
      <c r="BE204" s="132">
        <f t="shared" si="118"/>
        <v>-0.00187969924812026</v>
      </c>
      <c r="BF204" s="132">
        <f t="shared" si="120"/>
        <v>-0.00375234521575984</v>
      </c>
      <c r="BG204" s="132">
        <f t="shared" si="122"/>
        <v>-0.0056179775280899</v>
      </c>
      <c r="BH204" s="132"/>
      <c r="BI204" s="132"/>
      <c r="BJ204" s="132"/>
      <c r="BK204" s="132"/>
      <c r="BL204" s="132"/>
      <c r="BM204" s="132"/>
      <c r="BN204" s="132"/>
      <c r="FV204" s="104">
        <f t="shared" si="124"/>
        <v>2011</v>
      </c>
      <c r="FW204" s="104">
        <f t="shared" si="125"/>
        <v>25</v>
      </c>
      <c r="FX204" s="35">
        <v>40707</v>
      </c>
      <c r="FY204" s="26">
        <v>1.65</v>
      </c>
      <c r="FZ204" s="94">
        <f t="shared" si="126"/>
        <v>6.6</v>
      </c>
      <c r="GA204" s="104"/>
      <c r="GB204" s="104"/>
      <c r="GE204" s="94"/>
      <c r="GF204" s="104">
        <f t="shared" si="127"/>
        <v>2013</v>
      </c>
      <c r="GG204" s="104">
        <f t="shared" si="128"/>
        <v>38</v>
      </c>
      <c r="GH204" s="35">
        <v>41534</v>
      </c>
      <c r="GI204" s="26">
        <v>4.213</v>
      </c>
      <c r="GJ204" s="94">
        <f t="shared" si="129"/>
        <v>8.426</v>
      </c>
      <c r="GK204" s="104"/>
      <c r="GL204" s="104"/>
      <c r="GO204" s="94"/>
    </row>
    <row r="205" spans="3:197">
      <c r="C205" s="80" t="str" cm="1">
        <f t="array" ref="C205">_xlfn.IFS(MONTH(D205)&lt;4,1,MONTH(D205)&lt;7,2,MONTH(D205)&lt;10,3,MONTH(D205)&gt;9,4)&amp;"Q"&amp;RIGHT(YEAR(D205),2)</f>
        <v>4Q16</v>
      </c>
      <c r="D205" s="81">
        <f t="shared" si="112"/>
        <v>42704</v>
      </c>
      <c r="E205" s="82">
        <f t="shared" si="109"/>
        <v>42681</v>
      </c>
      <c r="F205" s="83">
        <f t="shared" si="110"/>
        <v>0.6375</v>
      </c>
      <c r="G205" s="83">
        <f t="shared" si="110"/>
        <v>0.52375</v>
      </c>
      <c r="H205" s="81"/>
      <c r="I205" s="84">
        <v>42681</v>
      </c>
      <c r="J205" s="85">
        <v>5.5</v>
      </c>
      <c r="K205" s="85">
        <v>5.03</v>
      </c>
      <c r="L205" s="86">
        <v>5.1</v>
      </c>
      <c r="M205" s="94" cm="1">
        <f t="array" ref="M205">INDEX($BV$29:$BV$1449,MATCH($D205,$BR$29:$BR$1449,0),)</f>
        <v>4.19</v>
      </c>
      <c r="N205" s="88"/>
      <c r="O205" s="88"/>
      <c r="P205" s="88"/>
      <c r="Q205" s="89">
        <f t="shared" si="111"/>
        <v>0.217183770883055</v>
      </c>
      <c r="AH205" s="105">
        <f t="shared" si="123"/>
        <v>43906</v>
      </c>
      <c r="AI205" s="91">
        <f t="shared" si="113"/>
        <v>3.577</v>
      </c>
      <c r="AJ205" s="36">
        <f t="shared" si="114"/>
        <v>0.00392927308447932</v>
      </c>
      <c r="AK205" s="36">
        <f t="shared" si="116"/>
        <v>0.0468247000292654</v>
      </c>
      <c r="AL205" s="105"/>
      <c r="AM205" s="91"/>
      <c r="AN205" s="36"/>
      <c r="AO205" s="36"/>
      <c r="AP205" s="36"/>
      <c r="AQ205" s="128" t="str" cm="1">
        <f t="array" ref="AQ205">_xlfn.IFS(MONTH(AR205)&lt;4,1,MONTH(AR205)&lt;7,2,MONTH(AR205)&lt;10,3,MONTH(AR205)&gt;9,4)&amp;"Q"&amp;RIGHT(YEAR(AR205),2)</f>
        <v>2Q22</v>
      </c>
      <c r="AR205" s="128">
        <f t="shared" si="115"/>
        <v>44742</v>
      </c>
      <c r="AS205" s="129">
        <f t="shared" si="130"/>
        <v>44739</v>
      </c>
      <c r="AT205" s="130">
        <v>132</v>
      </c>
      <c r="AU205" s="94" cm="1">
        <f t="array" ref="AU205">INDEX($CE$29:$CE$1449,MATCH($AR205,$CA$29:$CA$1449,0),)</f>
        <v>133</v>
      </c>
      <c r="AV205" s="130">
        <v>265</v>
      </c>
      <c r="AW205" s="94" cm="1">
        <f t="array" ref="AW205">INDEX($CF$29:$CF$1449,MATCH($AR205,$CA$29:$CA$1449,0),)</f>
        <v>268</v>
      </c>
      <c r="AX205" s="94"/>
      <c r="AY205" s="94"/>
      <c r="AZ205" s="94"/>
      <c r="BA205" s="94"/>
      <c r="BB205" s="132">
        <f t="shared" si="117"/>
        <v>-0.00751879699248126</v>
      </c>
      <c r="BC205" s="132">
        <f t="shared" si="119"/>
        <v>-0.00751879699248126</v>
      </c>
      <c r="BD205" s="132">
        <f t="shared" si="121"/>
        <v>-0.0149253731343284</v>
      </c>
      <c r="BE205" s="132">
        <f t="shared" si="118"/>
        <v>-0.00188323917137478</v>
      </c>
      <c r="BF205" s="132">
        <f t="shared" si="120"/>
        <v>-0.00375939849624063</v>
      </c>
      <c r="BG205" s="132">
        <f t="shared" si="122"/>
        <v>-0.00562851782363982</v>
      </c>
      <c r="BH205" s="132"/>
      <c r="BI205" s="132"/>
      <c r="BJ205" s="132"/>
      <c r="BK205" s="132"/>
      <c r="BL205" s="132"/>
      <c r="BM205" s="132"/>
      <c r="BN205" s="132"/>
      <c r="FV205" s="104">
        <f t="shared" si="124"/>
        <v>2011</v>
      </c>
      <c r="FW205" s="104">
        <f t="shared" si="125"/>
        <v>25</v>
      </c>
      <c r="FX205" s="35">
        <v>40708</v>
      </c>
      <c r="FY205" s="26">
        <v>1.65</v>
      </c>
      <c r="FZ205" s="94">
        <f t="shared" si="126"/>
        <v>6.6</v>
      </c>
      <c r="GA205" s="104"/>
      <c r="GB205" s="104"/>
      <c r="GE205" s="94"/>
      <c r="GF205" s="104">
        <f t="shared" si="127"/>
        <v>2013</v>
      </c>
      <c r="GG205" s="104">
        <f t="shared" si="128"/>
        <v>38</v>
      </c>
      <c r="GH205" s="35">
        <v>41535</v>
      </c>
      <c r="GI205" s="26">
        <v>4.213</v>
      </c>
      <c r="GJ205" s="94">
        <f t="shared" si="129"/>
        <v>8.426</v>
      </c>
      <c r="GK205" s="104"/>
      <c r="GL205" s="104"/>
      <c r="GO205" s="94"/>
    </row>
    <row r="206" spans="3:197">
      <c r="C206" s="80" t="str" cm="1">
        <f t="array" ref="C206">_xlfn.IFS(MONTH(D206)&lt;4,1,MONTH(D206)&lt;7,2,MONTH(D206)&lt;10,3,MONTH(D206)&gt;9,4)&amp;"Q"&amp;RIGHT(YEAR(D206),2)</f>
        <v>4Q16</v>
      </c>
      <c r="D206" s="81">
        <f t="shared" si="112"/>
        <v>42704</v>
      </c>
      <c r="E206" s="82">
        <f t="shared" si="109"/>
        <v>42682</v>
      </c>
      <c r="F206" s="83">
        <f t="shared" si="110"/>
        <v>0.640625</v>
      </c>
      <c r="G206" s="83">
        <f t="shared" si="110"/>
        <v>0.52375</v>
      </c>
      <c r="H206" s="81"/>
      <c r="I206" s="84">
        <v>42682</v>
      </c>
      <c r="J206" s="85">
        <v>5.5</v>
      </c>
      <c r="K206" s="85">
        <v>5.03</v>
      </c>
      <c r="L206" s="86">
        <v>5.125</v>
      </c>
      <c r="M206" s="94" cm="1">
        <f t="array" ref="M206">INDEX($BV$29:$BV$1449,MATCH($D206,$BR$29:$BR$1449,0),)</f>
        <v>4.19</v>
      </c>
      <c r="N206" s="88"/>
      <c r="O206" s="88"/>
      <c r="P206" s="88"/>
      <c r="Q206" s="89">
        <f t="shared" si="111"/>
        <v>0.223150357995227</v>
      </c>
      <c r="AH206" s="105">
        <f t="shared" si="123"/>
        <v>43914</v>
      </c>
      <c r="AI206" s="91">
        <f t="shared" si="113"/>
        <v>3.5</v>
      </c>
      <c r="AJ206" s="36">
        <f t="shared" si="114"/>
        <v>-0.0215264187866927</v>
      </c>
      <c r="AK206" s="36">
        <f t="shared" si="116"/>
        <v>-0.0176817288801572</v>
      </c>
      <c r="AL206" s="105"/>
      <c r="AM206" s="91"/>
      <c r="AN206" s="36"/>
      <c r="AO206" s="36"/>
      <c r="AP206" s="36"/>
      <c r="AQ206" s="128" t="str" cm="1">
        <f t="array" ref="AQ206">_xlfn.IFS(MONTH(AR206)&lt;4,1,MONTH(AR206)&lt;7,2,MONTH(AR206)&lt;10,3,MONTH(AR206)&gt;9,4)&amp;"Q"&amp;RIGHT(YEAR(AR206),2)</f>
        <v>3Q22</v>
      </c>
      <c r="AR206" s="128">
        <f t="shared" si="115"/>
        <v>44773</v>
      </c>
      <c r="AS206" s="129">
        <f t="shared" si="130"/>
        <v>44746</v>
      </c>
      <c r="AT206" s="130">
        <v>132</v>
      </c>
      <c r="AU206" s="94" cm="1">
        <f t="array" ref="AU206">INDEX($CE$29:$CE$1449,MATCH($AR206,$CA$29:$CA$1449,0),)</f>
        <v>130</v>
      </c>
      <c r="AV206" s="130">
        <v>265</v>
      </c>
      <c r="AW206" s="94" cm="1">
        <f t="array" ref="AW206">INDEX($CF$29:$CF$1449,MATCH($AR206,$CA$29:$CA$1449,0),)</f>
        <v>255</v>
      </c>
      <c r="AX206" s="94"/>
      <c r="AY206" s="94"/>
      <c r="AZ206" s="94"/>
      <c r="BA206" s="94"/>
      <c r="BB206" s="132">
        <f t="shared" si="117"/>
        <v>0</v>
      </c>
      <c r="BC206" s="132">
        <f t="shared" si="119"/>
        <v>-0.00751879699248126</v>
      </c>
      <c r="BD206" s="132">
        <f t="shared" si="121"/>
        <v>-0.00751879699248126</v>
      </c>
      <c r="BE206" s="132">
        <f t="shared" si="118"/>
        <v>0</v>
      </c>
      <c r="BF206" s="132">
        <f t="shared" si="120"/>
        <v>-0.00188323917137478</v>
      </c>
      <c r="BG206" s="132">
        <f t="shared" si="122"/>
        <v>-0.00375939849624063</v>
      </c>
      <c r="BH206" s="132"/>
      <c r="BI206" s="132"/>
      <c r="BJ206" s="132"/>
      <c r="BK206" s="132"/>
      <c r="BL206" s="132"/>
      <c r="BM206" s="132"/>
      <c r="BN206" s="132"/>
      <c r="FV206" s="104">
        <f t="shared" si="124"/>
        <v>2011</v>
      </c>
      <c r="FW206" s="104">
        <f t="shared" si="125"/>
        <v>25</v>
      </c>
      <c r="FX206" s="35">
        <v>40709</v>
      </c>
      <c r="FY206" s="26">
        <v>1.64</v>
      </c>
      <c r="FZ206" s="94">
        <f t="shared" si="126"/>
        <v>6.56</v>
      </c>
      <c r="GA206" s="104"/>
      <c r="GB206" s="104"/>
      <c r="GE206" s="94"/>
      <c r="GF206" s="104">
        <f t="shared" si="127"/>
        <v>2013</v>
      </c>
      <c r="GG206" s="104">
        <f t="shared" si="128"/>
        <v>39</v>
      </c>
      <c r="GH206" s="35">
        <v>41540</v>
      </c>
      <c r="GI206" s="26">
        <v>4.21</v>
      </c>
      <c r="GJ206" s="94">
        <f t="shared" si="129"/>
        <v>8.42</v>
      </c>
      <c r="GK206" s="104"/>
      <c r="GL206" s="104"/>
      <c r="GO206" s="94"/>
    </row>
    <row r="207" spans="3:197">
      <c r="C207" s="80" t="str" cm="1">
        <f t="array" ref="C207">_xlfn.IFS(MONTH(D207)&lt;4,1,MONTH(D207)&lt;7,2,MONTH(D207)&lt;10,3,MONTH(D207)&gt;9,4)&amp;"Q"&amp;RIGHT(YEAR(D207),2)</f>
        <v>4Q16</v>
      </c>
      <c r="D207" s="81">
        <f t="shared" si="112"/>
        <v>42704</v>
      </c>
      <c r="E207" s="82">
        <f t="shared" si="109"/>
        <v>42683</v>
      </c>
      <c r="F207" s="83">
        <f t="shared" si="110"/>
        <v>0.64375</v>
      </c>
      <c r="G207" s="83">
        <f t="shared" si="110"/>
        <v>0.52375</v>
      </c>
      <c r="H207" s="81"/>
      <c r="I207" s="84">
        <v>42683</v>
      </c>
      <c r="J207" s="85">
        <v>5.5</v>
      </c>
      <c r="K207" s="85">
        <v>5.05</v>
      </c>
      <c r="L207" s="86">
        <v>5.15</v>
      </c>
      <c r="M207" s="94" cm="1">
        <f t="array" ref="M207">INDEX($BV$29:$BV$1449,MATCH($D207,$BR$29:$BR$1449,0),)</f>
        <v>4.19</v>
      </c>
      <c r="N207" s="88"/>
      <c r="O207" s="88"/>
      <c r="P207" s="88"/>
      <c r="Q207" s="89">
        <f t="shared" si="111"/>
        <v>0.229116945107398</v>
      </c>
      <c r="AH207" s="105">
        <f t="shared" si="123"/>
        <v>43922</v>
      </c>
      <c r="AI207" s="91">
        <f t="shared" si="113"/>
        <v>3.6</v>
      </c>
      <c r="AJ207" s="36">
        <f t="shared" si="114"/>
        <v>0.0285714285714287</v>
      </c>
      <c r="AK207" s="36">
        <f t="shared" si="116"/>
        <v>0.00642996924797323</v>
      </c>
      <c r="AL207" s="105"/>
      <c r="AM207" s="91"/>
      <c r="AN207" s="36"/>
      <c r="AO207" s="36"/>
      <c r="AP207" s="36"/>
      <c r="AQ207" s="128" t="str" cm="1">
        <f t="array" ref="AQ207">_xlfn.IFS(MONTH(AR207)&lt;4,1,MONTH(AR207)&lt;7,2,MONTH(AR207)&lt;10,3,MONTH(AR207)&gt;9,4)&amp;"Q"&amp;RIGHT(YEAR(AR207),2)</f>
        <v>3Q22</v>
      </c>
      <c r="AR207" s="128">
        <f t="shared" si="115"/>
        <v>44773</v>
      </c>
      <c r="AS207" s="129">
        <f t="shared" si="130"/>
        <v>44753</v>
      </c>
      <c r="AT207" s="130">
        <v>131</v>
      </c>
      <c r="AU207" s="94" cm="1">
        <f t="array" ref="AU207">INDEX($CE$29:$CE$1449,MATCH($AR207,$CA$29:$CA$1449,0),)</f>
        <v>130</v>
      </c>
      <c r="AV207" s="130">
        <v>264</v>
      </c>
      <c r="AW207" s="94" cm="1">
        <f t="array" ref="AW207">INDEX($CF$29:$CF$1449,MATCH($AR207,$CA$29:$CA$1449,0),)</f>
        <v>255</v>
      </c>
      <c r="AX207" s="94"/>
      <c r="AY207" s="94"/>
      <c r="AZ207" s="94"/>
      <c r="BA207" s="94"/>
      <c r="BB207" s="132">
        <f t="shared" si="117"/>
        <v>-0.00757575757575757</v>
      </c>
      <c r="BC207" s="132">
        <f t="shared" si="119"/>
        <v>-0.00757575757575757</v>
      </c>
      <c r="BD207" s="132">
        <f t="shared" si="121"/>
        <v>-0.0150375939849624</v>
      </c>
      <c r="BE207" s="132">
        <f t="shared" si="118"/>
        <v>-0.00377358490566038</v>
      </c>
      <c r="BF207" s="132">
        <f t="shared" si="120"/>
        <v>-0.00377358490566038</v>
      </c>
      <c r="BG207" s="132">
        <f t="shared" si="122"/>
        <v>-0.00564971751412424</v>
      </c>
      <c r="BH207" s="132"/>
      <c r="BI207" s="132"/>
      <c r="BJ207" s="132"/>
      <c r="BK207" s="132"/>
      <c r="BL207" s="132"/>
      <c r="BM207" s="132"/>
      <c r="BN207" s="132"/>
      <c r="FV207" s="104">
        <f t="shared" si="124"/>
        <v>2011</v>
      </c>
      <c r="FW207" s="104">
        <f t="shared" si="125"/>
        <v>25</v>
      </c>
      <c r="FX207" s="35">
        <v>40710</v>
      </c>
      <c r="FY207" s="26">
        <v>1.62</v>
      </c>
      <c r="FZ207" s="94">
        <f t="shared" si="126"/>
        <v>6.48</v>
      </c>
      <c r="GA207" s="104"/>
      <c r="GB207" s="104"/>
      <c r="GE207" s="94"/>
      <c r="GF207" s="104">
        <f t="shared" si="127"/>
        <v>2013</v>
      </c>
      <c r="GG207" s="104">
        <f t="shared" si="128"/>
        <v>39</v>
      </c>
      <c r="GH207" s="35">
        <v>41541</v>
      </c>
      <c r="GI207" s="26">
        <v>4.163</v>
      </c>
      <c r="GJ207" s="94">
        <f t="shared" si="129"/>
        <v>8.326</v>
      </c>
      <c r="GK207" s="104"/>
      <c r="GL207" s="104"/>
      <c r="GO207" s="94"/>
    </row>
    <row r="208" spans="3:197">
      <c r="C208" s="80" t="str" cm="1">
        <f t="array" ref="C208">_xlfn.IFS(MONTH(D208)&lt;4,1,MONTH(D208)&lt;7,2,MONTH(D208)&lt;10,3,MONTH(D208)&gt;9,4)&amp;"Q"&amp;RIGHT(YEAR(D208),2)</f>
        <v>4Q16</v>
      </c>
      <c r="D208" s="81">
        <f t="shared" si="112"/>
        <v>42704</v>
      </c>
      <c r="E208" s="82">
        <f t="shared" si="109"/>
        <v>42684</v>
      </c>
      <c r="F208" s="83">
        <f t="shared" si="110"/>
        <v>0.64375</v>
      </c>
      <c r="G208" s="83">
        <f t="shared" si="110"/>
        <v>0.52375</v>
      </c>
      <c r="H208" s="81"/>
      <c r="I208" s="84">
        <v>42684</v>
      </c>
      <c r="J208" s="85">
        <v>5.5</v>
      </c>
      <c r="K208" s="85">
        <v>5.05</v>
      </c>
      <c r="L208" s="86">
        <v>5.15</v>
      </c>
      <c r="M208" s="94" cm="1">
        <f t="array" ref="M208">INDEX($BV$29:$BV$1449,MATCH($D208,$BR$29:$BR$1449,0),)</f>
        <v>4.19</v>
      </c>
      <c r="N208" s="88"/>
      <c r="O208" s="88"/>
      <c r="P208" s="88"/>
      <c r="Q208" s="89">
        <f t="shared" si="111"/>
        <v>0.229116945107398</v>
      </c>
      <c r="AH208" s="105">
        <f t="shared" si="123"/>
        <v>43930</v>
      </c>
      <c r="AI208" s="91">
        <f t="shared" si="113"/>
        <v>3.587</v>
      </c>
      <c r="AJ208" s="36">
        <f t="shared" si="114"/>
        <v>-0.00361111111111112</v>
      </c>
      <c r="AK208" s="36">
        <f t="shared" si="116"/>
        <v>0.0248571428571429</v>
      </c>
      <c r="AL208" s="105"/>
      <c r="AM208" s="91"/>
      <c r="AN208" s="36"/>
      <c r="AO208" s="36"/>
      <c r="AP208" s="36"/>
      <c r="AQ208" s="128" t="str" cm="1">
        <f t="array" ref="AQ208">_xlfn.IFS(MONTH(AR208)&lt;4,1,MONTH(AR208)&lt;7,2,MONTH(AR208)&lt;10,3,MONTH(AR208)&gt;9,4)&amp;"Q"&amp;RIGHT(YEAR(AR208),2)</f>
        <v>3Q22</v>
      </c>
      <c r="AR208" s="128">
        <f t="shared" si="115"/>
        <v>44773</v>
      </c>
      <c r="AS208" s="129">
        <f t="shared" si="130"/>
        <v>44760</v>
      </c>
      <c r="AT208" s="130">
        <v>126</v>
      </c>
      <c r="AU208" s="94" cm="1">
        <f t="array" ref="AU208">INDEX($CE$29:$CE$1449,MATCH($AR208,$CA$29:$CA$1449,0),)</f>
        <v>130</v>
      </c>
      <c r="AV208" s="130">
        <v>260</v>
      </c>
      <c r="AW208" s="94" cm="1">
        <f t="array" ref="AW208">INDEX($CF$29:$CF$1449,MATCH($AR208,$CA$29:$CA$1449,0),)</f>
        <v>255</v>
      </c>
      <c r="AX208" s="94"/>
      <c r="AY208" s="94"/>
      <c r="AZ208" s="94"/>
      <c r="BA208" s="94"/>
      <c r="BB208" s="132">
        <f t="shared" si="117"/>
        <v>-0.0381679389312977</v>
      </c>
      <c r="BC208" s="132">
        <f t="shared" si="119"/>
        <v>-0.0454545454545454</v>
      </c>
      <c r="BD208" s="132">
        <f t="shared" si="121"/>
        <v>-0.0454545454545454</v>
      </c>
      <c r="BE208" s="132">
        <f t="shared" si="118"/>
        <v>-0.0151515151515151</v>
      </c>
      <c r="BF208" s="132">
        <f t="shared" si="120"/>
        <v>-0.0188679245283019</v>
      </c>
      <c r="BG208" s="132">
        <f t="shared" si="122"/>
        <v>-0.0188679245283019</v>
      </c>
      <c r="BH208" s="132"/>
      <c r="BI208" s="132"/>
      <c r="BJ208" s="132"/>
      <c r="BK208" s="132"/>
      <c r="BL208" s="132"/>
      <c r="BM208" s="132"/>
      <c r="BN208" s="132"/>
      <c r="FV208" s="104">
        <f t="shared" si="124"/>
        <v>2011</v>
      </c>
      <c r="FW208" s="104">
        <f t="shared" si="125"/>
        <v>25</v>
      </c>
      <c r="FX208" s="35">
        <v>40711</v>
      </c>
      <c r="FY208" s="26">
        <v>1.61</v>
      </c>
      <c r="FZ208" s="94">
        <f t="shared" si="126"/>
        <v>6.44</v>
      </c>
      <c r="GA208" s="104"/>
      <c r="GB208" s="104"/>
      <c r="GE208" s="94"/>
      <c r="GF208" s="104">
        <f t="shared" si="127"/>
        <v>2013</v>
      </c>
      <c r="GG208" s="104">
        <f t="shared" si="128"/>
        <v>39</v>
      </c>
      <c r="GH208" s="35">
        <v>41542</v>
      </c>
      <c r="GI208" s="26">
        <v>4.153</v>
      </c>
      <c r="GJ208" s="94">
        <f t="shared" si="129"/>
        <v>8.306</v>
      </c>
      <c r="GK208" s="104"/>
      <c r="GL208" s="104"/>
      <c r="GO208" s="94"/>
    </row>
    <row r="209" spans="3:197">
      <c r="C209" s="80" t="str" cm="1">
        <f t="array" ref="C209">_xlfn.IFS(MONTH(D209)&lt;4,1,MONTH(D209)&lt;7,2,MONTH(D209)&lt;10,3,MONTH(D209)&gt;9,4)&amp;"Q"&amp;RIGHT(YEAR(D209),2)</f>
        <v>4Q16</v>
      </c>
      <c r="D209" s="81">
        <f t="shared" si="112"/>
        <v>42704</v>
      </c>
      <c r="E209" s="82">
        <f t="shared" si="109"/>
        <v>42685</v>
      </c>
      <c r="F209" s="83">
        <f t="shared" si="110"/>
        <v>0.64375</v>
      </c>
      <c r="G209" s="83">
        <f t="shared" si="110"/>
        <v>0.52375</v>
      </c>
      <c r="H209" s="81"/>
      <c r="I209" s="84">
        <v>42685</v>
      </c>
      <c r="J209" s="85">
        <v>5.5</v>
      </c>
      <c r="K209" s="85">
        <v>5.05</v>
      </c>
      <c r="L209" s="86">
        <v>5.15</v>
      </c>
      <c r="M209" s="94" cm="1">
        <f t="array" ref="M209">INDEX($BV$29:$BV$1449,MATCH($D209,$BR$29:$BR$1449,0),)</f>
        <v>4.19</v>
      </c>
      <c r="N209" s="88"/>
      <c r="O209" s="88"/>
      <c r="P209" s="88"/>
      <c r="Q209" s="89">
        <f t="shared" si="111"/>
        <v>0.229116945107398</v>
      </c>
      <c r="AH209" s="105">
        <f t="shared" si="123"/>
        <v>43938</v>
      </c>
      <c r="AI209" s="91">
        <f t="shared" si="113"/>
        <v>3.473</v>
      </c>
      <c r="AJ209" s="36">
        <f t="shared" si="114"/>
        <v>-0.0317814329523279</v>
      </c>
      <c r="AK209" s="36">
        <f t="shared" si="116"/>
        <v>-0.0352777777777779</v>
      </c>
      <c r="AL209" s="105"/>
      <c r="AM209" s="91"/>
      <c r="AN209" s="36"/>
      <c r="AO209" s="36"/>
      <c r="AP209" s="36"/>
      <c r="AQ209" s="128" t="str" cm="1">
        <f t="array" ref="AQ209">_xlfn.IFS(MONTH(AR209)&lt;4,1,MONTH(AR209)&lt;7,2,MONTH(AR209)&lt;10,3,MONTH(AR209)&gt;9,4)&amp;"Q"&amp;RIGHT(YEAR(AR209),2)</f>
        <v>3Q22</v>
      </c>
      <c r="AR209" s="128">
        <f t="shared" si="115"/>
        <v>44773</v>
      </c>
      <c r="AS209" s="129">
        <f t="shared" si="130"/>
        <v>44767</v>
      </c>
      <c r="AT209" s="130">
        <v>123</v>
      </c>
      <c r="AU209" s="94" cm="1">
        <f t="array" ref="AU209">INDEX($CE$29:$CE$1449,MATCH($AR209,$CA$29:$CA$1449,0),)</f>
        <v>130</v>
      </c>
      <c r="AV209" s="130">
        <v>252</v>
      </c>
      <c r="AW209" s="94" cm="1">
        <f t="array" ref="AW209">INDEX($CF$29:$CF$1449,MATCH($AR209,$CA$29:$CA$1449,0),)</f>
        <v>255</v>
      </c>
      <c r="AX209" s="94"/>
      <c r="AY209" s="94"/>
      <c r="AZ209" s="94"/>
      <c r="BA209" s="94"/>
      <c r="BB209" s="132">
        <f t="shared" si="117"/>
        <v>-0.0238095238095238</v>
      </c>
      <c r="BC209" s="132">
        <f t="shared" si="119"/>
        <v>-0.0610687022900763</v>
      </c>
      <c r="BD209" s="132">
        <f t="shared" si="121"/>
        <v>-0.0681818181818182</v>
      </c>
      <c r="BE209" s="132">
        <f t="shared" si="118"/>
        <v>-0.0307692307692308</v>
      </c>
      <c r="BF209" s="132">
        <f t="shared" si="120"/>
        <v>-0.0454545454545454</v>
      </c>
      <c r="BG209" s="132">
        <f t="shared" si="122"/>
        <v>-0.0490566037735849</v>
      </c>
      <c r="BH209" s="132"/>
      <c r="BI209" s="132"/>
      <c r="BJ209" s="132"/>
      <c r="BK209" s="132"/>
      <c r="BL209" s="132"/>
      <c r="BM209" s="132"/>
      <c r="BN209" s="132"/>
      <c r="FV209" s="104">
        <f t="shared" si="124"/>
        <v>2011</v>
      </c>
      <c r="FW209" s="104">
        <f t="shared" si="125"/>
        <v>26</v>
      </c>
      <c r="FX209" s="35">
        <v>40714</v>
      </c>
      <c r="FY209" s="26">
        <v>1.59</v>
      </c>
      <c r="FZ209" s="94">
        <f t="shared" si="126"/>
        <v>6.36</v>
      </c>
      <c r="GA209" s="104"/>
      <c r="GB209" s="104"/>
      <c r="GE209" s="94"/>
      <c r="GF209" s="104">
        <f t="shared" si="127"/>
        <v>2013</v>
      </c>
      <c r="GG209" s="104">
        <f t="shared" si="128"/>
        <v>39</v>
      </c>
      <c r="GH209" s="35">
        <v>41543</v>
      </c>
      <c r="GI209" s="26">
        <v>4.138</v>
      </c>
      <c r="GJ209" s="94">
        <f t="shared" si="129"/>
        <v>8.276</v>
      </c>
      <c r="GK209" s="104"/>
      <c r="GL209" s="104"/>
      <c r="GO209" s="94"/>
    </row>
    <row r="210" spans="3:197">
      <c r="C210" s="80" t="str" cm="1">
        <f t="array" ref="C210">_xlfn.IFS(MONTH(D210)&lt;4,1,MONTH(D210)&lt;7,2,MONTH(D210)&lt;10,3,MONTH(D210)&gt;9,4)&amp;"Q"&amp;RIGHT(YEAR(D210),2)</f>
        <v>4Q16</v>
      </c>
      <c r="D210" s="81">
        <f t="shared" si="112"/>
        <v>42704</v>
      </c>
      <c r="E210" s="82">
        <f t="shared" si="109"/>
        <v>42688</v>
      </c>
      <c r="F210" s="83">
        <f t="shared" si="110"/>
        <v>0.645</v>
      </c>
      <c r="G210" s="83">
        <f t="shared" si="110"/>
        <v>0.52375</v>
      </c>
      <c r="H210" s="81"/>
      <c r="I210" s="84">
        <v>42688</v>
      </c>
      <c r="J210" s="85">
        <v>5.5</v>
      </c>
      <c r="K210" s="85">
        <v>5.05</v>
      </c>
      <c r="L210" s="86">
        <v>5.16</v>
      </c>
      <c r="M210" s="94" cm="1">
        <f t="array" ref="M210">INDEX($BV$29:$BV$1449,MATCH($D210,$BR$29:$BR$1449,0),)</f>
        <v>4.19</v>
      </c>
      <c r="N210" s="88"/>
      <c r="O210" s="88"/>
      <c r="P210" s="88"/>
      <c r="Q210" s="89">
        <f t="shared" si="111"/>
        <v>0.231503579952267</v>
      </c>
      <c r="AH210" s="105">
        <f t="shared" si="123"/>
        <v>43948</v>
      </c>
      <c r="AI210" s="91">
        <f t="shared" si="113"/>
        <v>3.41</v>
      </c>
      <c r="AJ210" s="36">
        <f t="shared" si="114"/>
        <v>-0.0181399366541893</v>
      </c>
      <c r="AK210" s="36">
        <f t="shared" si="116"/>
        <v>-0.0493448564259827</v>
      </c>
      <c r="AL210" s="105"/>
      <c r="AM210" s="91"/>
      <c r="AN210" s="36"/>
      <c r="AO210" s="36"/>
      <c r="AP210" s="36"/>
      <c r="AQ210" s="128" t="str" cm="1">
        <f t="array" ref="AQ210">_xlfn.IFS(MONTH(AR210)&lt;4,1,MONTH(AR210)&lt;7,2,MONTH(AR210)&lt;10,3,MONTH(AR210)&gt;9,4)&amp;"Q"&amp;RIGHT(YEAR(AR210),2)</f>
        <v>3Q22</v>
      </c>
      <c r="AR210" s="128">
        <f t="shared" si="115"/>
        <v>44804</v>
      </c>
      <c r="AS210" s="129">
        <f t="shared" si="130"/>
        <v>44774</v>
      </c>
      <c r="AT210" s="130">
        <v>122</v>
      </c>
      <c r="AU210" s="94" cm="1">
        <f t="array" ref="AU210">INDEX($CE$29:$CE$1449,MATCH($AR210,$CA$29:$CA$1449,0),)</f>
        <v>115</v>
      </c>
      <c r="AV210" s="130">
        <v>246</v>
      </c>
      <c r="AW210" s="94" cm="1">
        <f t="array" ref="AW210">INDEX($CF$29:$CF$1449,MATCH($AR210,$CA$29:$CA$1449,0),)</f>
        <v>224</v>
      </c>
      <c r="AX210" s="94"/>
      <c r="AY210" s="94"/>
      <c r="AZ210" s="94"/>
      <c r="BA210" s="94"/>
      <c r="BB210" s="132">
        <f t="shared" si="117"/>
        <v>-0.00813008130081305</v>
      </c>
      <c r="BC210" s="132">
        <f t="shared" si="119"/>
        <v>-0.0317460317460317</v>
      </c>
      <c r="BD210" s="132">
        <f t="shared" si="121"/>
        <v>-0.0687022900763359</v>
      </c>
      <c r="BE210" s="132">
        <f t="shared" si="118"/>
        <v>-0.0238095238095238</v>
      </c>
      <c r="BF210" s="132">
        <f t="shared" si="120"/>
        <v>-0.0538461538461539</v>
      </c>
      <c r="BG210" s="132">
        <f t="shared" si="122"/>
        <v>-0.0681818181818182</v>
      </c>
      <c r="BH210" s="132"/>
      <c r="BI210" s="132"/>
      <c r="BJ210" s="132"/>
      <c r="BK210" s="132"/>
      <c r="BL210" s="132"/>
      <c r="BM210" s="132"/>
      <c r="BN210" s="132"/>
      <c r="FV210" s="104">
        <f t="shared" si="124"/>
        <v>2011</v>
      </c>
      <c r="FW210" s="104">
        <f t="shared" si="125"/>
        <v>26</v>
      </c>
      <c r="FX210" s="35">
        <v>40715</v>
      </c>
      <c r="FY210" s="26">
        <v>1.58</v>
      </c>
      <c r="FZ210" s="94">
        <f t="shared" si="126"/>
        <v>6.32</v>
      </c>
      <c r="GA210" s="104"/>
      <c r="GB210" s="104"/>
      <c r="GE210" s="94"/>
      <c r="GF210" s="104">
        <f t="shared" si="127"/>
        <v>2013</v>
      </c>
      <c r="GG210" s="104">
        <f t="shared" si="128"/>
        <v>39</v>
      </c>
      <c r="GH210" s="35">
        <v>41544</v>
      </c>
      <c r="GI210" s="26">
        <v>4.138</v>
      </c>
      <c r="GJ210" s="94">
        <f t="shared" si="129"/>
        <v>8.276</v>
      </c>
      <c r="GK210" s="104"/>
      <c r="GL210" s="104"/>
      <c r="GO210" s="94"/>
    </row>
    <row r="211" spans="3:197">
      <c r="C211" s="80" t="str" cm="1">
        <f t="array" ref="C211">_xlfn.IFS(MONTH(D211)&lt;4,1,MONTH(D211)&lt;7,2,MONTH(D211)&lt;10,3,MONTH(D211)&gt;9,4)&amp;"Q"&amp;RIGHT(YEAR(D211),2)</f>
        <v>4Q16</v>
      </c>
      <c r="D211" s="81">
        <f t="shared" si="112"/>
        <v>42704</v>
      </c>
      <c r="E211" s="82">
        <f t="shared" si="109"/>
        <v>42689</v>
      </c>
      <c r="F211" s="83">
        <f t="shared" si="110"/>
        <v>0.645</v>
      </c>
      <c r="G211" s="83">
        <f t="shared" si="110"/>
        <v>0.52375</v>
      </c>
      <c r="H211" s="81"/>
      <c r="I211" s="84">
        <v>42689</v>
      </c>
      <c r="J211" s="85">
        <v>5.5</v>
      </c>
      <c r="K211" s="85">
        <v>5</v>
      </c>
      <c r="L211" s="86">
        <v>5.16</v>
      </c>
      <c r="M211" s="94" cm="1">
        <f t="array" ref="M211">INDEX($BV$29:$BV$1449,MATCH($D211,$BR$29:$BR$1449,0),)</f>
        <v>4.19</v>
      </c>
      <c r="N211" s="88"/>
      <c r="O211" s="88"/>
      <c r="P211" s="88"/>
      <c r="Q211" s="89">
        <f t="shared" si="111"/>
        <v>0.231503579952267</v>
      </c>
      <c r="AH211" s="105">
        <f t="shared" si="123"/>
        <v>43956</v>
      </c>
      <c r="AI211" s="91">
        <f t="shared" si="113"/>
        <v>3.287</v>
      </c>
      <c r="AJ211" s="36">
        <f t="shared" si="114"/>
        <v>-0.0360703812316716</v>
      </c>
      <c r="AK211" s="36">
        <f t="shared" si="116"/>
        <v>-0.053556003455226</v>
      </c>
      <c r="AL211" s="105"/>
      <c r="AM211" s="91"/>
      <c r="AN211" s="36"/>
      <c r="AO211" s="36"/>
      <c r="AP211" s="36"/>
      <c r="AQ211" s="128" t="str" cm="1">
        <f t="array" ref="AQ211">_xlfn.IFS(MONTH(AR211)&lt;4,1,MONTH(AR211)&lt;7,2,MONTH(AR211)&lt;10,3,MONTH(AR211)&gt;9,4)&amp;"Q"&amp;RIGHT(YEAR(AR211),2)</f>
        <v>3Q22</v>
      </c>
      <c r="AR211" s="128">
        <f t="shared" si="115"/>
        <v>44804</v>
      </c>
      <c r="AS211" s="129">
        <f t="shared" si="130"/>
        <v>44781</v>
      </c>
      <c r="AT211" s="130">
        <v>121</v>
      </c>
      <c r="AU211" s="94" cm="1">
        <f t="array" ref="AU211">INDEX($CE$29:$CE$1449,MATCH($AR211,$CA$29:$CA$1449,0),)</f>
        <v>115</v>
      </c>
      <c r="AV211" s="130">
        <v>245</v>
      </c>
      <c r="AW211" s="94" cm="1">
        <f t="array" ref="AW211">INDEX($CF$29:$CF$1449,MATCH($AR211,$CA$29:$CA$1449,0),)</f>
        <v>224</v>
      </c>
      <c r="AX211" s="94"/>
      <c r="AY211" s="94"/>
      <c r="AZ211" s="94"/>
      <c r="BA211" s="94"/>
      <c r="BB211" s="132">
        <f t="shared" si="117"/>
        <v>-0.00819672131147542</v>
      </c>
      <c r="BC211" s="132">
        <f t="shared" si="119"/>
        <v>-0.016260162601626</v>
      </c>
      <c r="BD211" s="132">
        <f t="shared" si="121"/>
        <v>-0.0396825396825397</v>
      </c>
      <c r="BE211" s="132">
        <f t="shared" si="118"/>
        <v>-0.00406504065040647</v>
      </c>
      <c r="BF211" s="132">
        <f t="shared" si="120"/>
        <v>-0.0277777777777778</v>
      </c>
      <c r="BG211" s="132">
        <f t="shared" si="122"/>
        <v>-0.0576923076923077</v>
      </c>
      <c r="BH211" s="132"/>
      <c r="BI211" s="132"/>
      <c r="BJ211" s="132"/>
      <c r="BK211" s="132"/>
      <c r="BL211" s="132"/>
      <c r="BM211" s="132"/>
      <c r="BN211" s="132"/>
      <c r="FV211" s="104">
        <f t="shared" si="124"/>
        <v>2011</v>
      </c>
      <c r="FW211" s="104">
        <f t="shared" si="125"/>
        <v>26</v>
      </c>
      <c r="FX211" s="35">
        <v>40716</v>
      </c>
      <c r="FY211" s="26">
        <v>1.55</v>
      </c>
      <c r="FZ211" s="94">
        <f t="shared" si="126"/>
        <v>6.2</v>
      </c>
      <c r="GA211" s="104"/>
      <c r="GB211" s="104"/>
      <c r="GE211" s="94"/>
      <c r="GF211" s="104">
        <f t="shared" si="127"/>
        <v>2013</v>
      </c>
      <c r="GG211" s="104">
        <f t="shared" si="128"/>
        <v>40</v>
      </c>
      <c r="GH211" s="35">
        <v>41547</v>
      </c>
      <c r="GI211" s="26">
        <v>4.138</v>
      </c>
      <c r="GJ211" s="94">
        <f t="shared" si="129"/>
        <v>8.276</v>
      </c>
      <c r="GK211" s="104"/>
      <c r="GL211" s="104"/>
      <c r="GO211" s="94"/>
    </row>
    <row r="212" spans="3:197">
      <c r="C212" s="80" t="str" cm="1">
        <f t="array" ref="C212">_xlfn.IFS(MONTH(D212)&lt;4,1,MONTH(D212)&lt;7,2,MONTH(D212)&lt;10,3,MONTH(D212)&gt;9,4)&amp;"Q"&amp;RIGHT(YEAR(D212),2)</f>
        <v>4Q16</v>
      </c>
      <c r="D212" s="81">
        <f t="shared" si="112"/>
        <v>42704</v>
      </c>
      <c r="E212" s="82">
        <f t="shared" si="109"/>
        <v>42690</v>
      </c>
      <c r="F212" s="83">
        <f t="shared" si="110"/>
        <v>0.646875</v>
      </c>
      <c r="G212" s="83">
        <f t="shared" si="110"/>
        <v>0.52375</v>
      </c>
      <c r="H212" s="81"/>
      <c r="I212" s="84">
        <v>42690</v>
      </c>
      <c r="J212" s="85">
        <v>5.5</v>
      </c>
      <c r="K212" s="85">
        <v>5.05</v>
      </c>
      <c r="L212" s="86">
        <v>5.175</v>
      </c>
      <c r="M212" s="94" cm="1">
        <f t="array" ref="M212">INDEX($BV$29:$BV$1449,MATCH($D212,$BR$29:$BR$1449,0),)</f>
        <v>4.19</v>
      </c>
      <c r="N212" s="88"/>
      <c r="O212" s="88"/>
      <c r="P212" s="88"/>
      <c r="Q212" s="89">
        <f t="shared" si="111"/>
        <v>0.23508353221957</v>
      </c>
      <c r="AH212" s="105">
        <f t="shared" si="123"/>
        <v>43964</v>
      </c>
      <c r="AI212" s="91">
        <f t="shared" si="113"/>
        <v>3.213</v>
      </c>
      <c r="AJ212" s="36">
        <f t="shared" si="114"/>
        <v>-0.0225129297231518</v>
      </c>
      <c r="AK212" s="36">
        <f t="shared" si="116"/>
        <v>-0.0577712609970674</v>
      </c>
      <c r="AL212" s="105"/>
      <c r="AM212" s="91"/>
      <c r="AN212" s="36"/>
      <c r="AO212" s="36"/>
      <c r="AP212" s="36"/>
      <c r="AQ212" s="128" t="str" cm="1">
        <f t="array" ref="AQ212">_xlfn.IFS(MONTH(AR212)&lt;4,1,MONTH(AR212)&lt;7,2,MONTH(AR212)&lt;10,3,MONTH(AR212)&gt;9,4)&amp;"Q"&amp;RIGHT(YEAR(AR212),2)</f>
        <v>3Q22</v>
      </c>
      <c r="AR212" s="128">
        <f t="shared" si="115"/>
        <v>44804</v>
      </c>
      <c r="AS212" s="129">
        <f t="shared" si="130"/>
        <v>44788</v>
      </c>
      <c r="AT212" s="130">
        <v>120</v>
      </c>
      <c r="AU212" s="94" cm="1">
        <f t="array" ref="AU212">INDEX($CE$29:$CE$1449,MATCH($AR212,$CA$29:$CA$1449,0),)</f>
        <v>115</v>
      </c>
      <c r="AV212" s="130">
        <v>241</v>
      </c>
      <c r="AW212" s="94" cm="1">
        <f t="array" ref="AW212">INDEX($CF$29:$CF$1449,MATCH($AR212,$CA$29:$CA$1449,0),)</f>
        <v>224</v>
      </c>
      <c r="AX212" s="94"/>
      <c r="AY212" s="94"/>
      <c r="AZ212" s="94"/>
      <c r="BA212" s="94"/>
      <c r="BB212" s="132">
        <f t="shared" si="117"/>
        <v>-0.00826446280991733</v>
      </c>
      <c r="BC212" s="132">
        <f t="shared" si="119"/>
        <v>-0.0163934426229508</v>
      </c>
      <c r="BD212" s="132">
        <f t="shared" si="121"/>
        <v>-0.024390243902439</v>
      </c>
      <c r="BE212" s="132">
        <f t="shared" si="118"/>
        <v>-0.0163265306122449</v>
      </c>
      <c r="BF212" s="132">
        <f t="shared" si="120"/>
        <v>-0.0203252032520326</v>
      </c>
      <c r="BG212" s="132">
        <f t="shared" si="122"/>
        <v>-0.0436507936507936</v>
      </c>
      <c r="BH212" s="132"/>
      <c r="BI212" s="132"/>
      <c r="BJ212" s="132"/>
      <c r="BK212" s="132"/>
      <c r="BL212" s="132"/>
      <c r="BM212" s="132"/>
      <c r="BN212" s="132"/>
      <c r="FV212" s="104">
        <f t="shared" si="124"/>
        <v>2011</v>
      </c>
      <c r="FW212" s="104">
        <f t="shared" si="125"/>
        <v>26</v>
      </c>
      <c r="FX212" s="35">
        <v>40717</v>
      </c>
      <c r="FY212" s="26">
        <v>1.54</v>
      </c>
      <c r="FZ212" s="94">
        <f t="shared" si="126"/>
        <v>6.16</v>
      </c>
      <c r="GA212" s="104"/>
      <c r="GB212" s="104"/>
      <c r="GE212" s="94"/>
      <c r="GF212" s="104">
        <f t="shared" si="127"/>
        <v>2013</v>
      </c>
      <c r="GG212" s="104">
        <f t="shared" si="128"/>
        <v>40</v>
      </c>
      <c r="GH212" s="35">
        <v>41548</v>
      </c>
      <c r="GI212" s="26">
        <v>4.138</v>
      </c>
      <c r="GJ212" s="94">
        <f t="shared" si="129"/>
        <v>8.276</v>
      </c>
      <c r="GK212" s="104"/>
      <c r="GL212" s="104"/>
      <c r="GO212" s="94"/>
    </row>
    <row r="213" spans="3:197">
      <c r="C213" s="80" t="str" cm="1">
        <f t="array" ref="C213">_xlfn.IFS(MONTH(D213)&lt;4,1,MONTH(D213)&lt;7,2,MONTH(D213)&lt;10,3,MONTH(D213)&gt;9,4)&amp;"Q"&amp;RIGHT(YEAR(D213),2)</f>
        <v>4Q16</v>
      </c>
      <c r="D213" s="81">
        <f t="shared" si="112"/>
        <v>42704</v>
      </c>
      <c r="E213" s="82">
        <f t="shared" si="109"/>
        <v>42691</v>
      </c>
      <c r="F213" s="83">
        <f t="shared" si="110"/>
        <v>0.653125</v>
      </c>
      <c r="G213" s="83">
        <f t="shared" si="110"/>
        <v>0.52375</v>
      </c>
      <c r="H213" s="81"/>
      <c r="I213" s="84">
        <v>42691</v>
      </c>
      <c r="J213" s="85">
        <v>5.5</v>
      </c>
      <c r="K213" s="85">
        <v>5.1</v>
      </c>
      <c r="L213" s="86">
        <v>5.225</v>
      </c>
      <c r="M213" s="94" cm="1">
        <f t="array" ref="M213">INDEX($BV$29:$BV$1449,MATCH($D213,$BR$29:$BR$1449,0),)</f>
        <v>4.19</v>
      </c>
      <c r="N213" s="88"/>
      <c r="O213" s="88"/>
      <c r="P213" s="88"/>
      <c r="Q213" s="89">
        <f t="shared" si="111"/>
        <v>0.247016706443914</v>
      </c>
      <c r="AH213" s="105">
        <f t="shared" si="123"/>
        <v>43972</v>
      </c>
      <c r="AI213" s="91">
        <f t="shared" si="113"/>
        <v>3.114</v>
      </c>
      <c r="AJ213" s="36">
        <f t="shared" si="114"/>
        <v>-0.0308123249299721</v>
      </c>
      <c r="AK213" s="36">
        <f t="shared" si="116"/>
        <v>-0.0526315789473685</v>
      </c>
      <c r="AL213" s="105"/>
      <c r="AM213" s="91"/>
      <c r="AN213" s="36"/>
      <c r="AO213" s="36"/>
      <c r="AP213" s="36"/>
      <c r="AQ213" s="128" t="str" cm="1">
        <f t="array" ref="AQ213">_xlfn.IFS(MONTH(AR213)&lt;4,1,MONTH(AR213)&lt;7,2,MONTH(AR213)&lt;10,3,MONTH(AR213)&gt;9,4)&amp;"Q"&amp;RIGHT(YEAR(AR213),2)</f>
        <v>3Q22</v>
      </c>
      <c r="AR213" s="128">
        <f t="shared" si="115"/>
        <v>44804</v>
      </c>
      <c r="AS213" s="129">
        <f t="shared" si="130"/>
        <v>44795</v>
      </c>
      <c r="AT213" s="130">
        <v>116</v>
      </c>
      <c r="AU213" s="94" cm="1">
        <f t="array" ref="AU213">INDEX($CE$29:$CE$1449,MATCH($AR213,$CA$29:$CA$1449,0),)</f>
        <v>115</v>
      </c>
      <c r="AV213" s="130">
        <v>235</v>
      </c>
      <c r="AW213" s="94" cm="1">
        <f t="array" ref="AW213">INDEX($CF$29:$CF$1449,MATCH($AR213,$CA$29:$CA$1449,0),)</f>
        <v>224</v>
      </c>
      <c r="AX213" s="94"/>
      <c r="AY213" s="94"/>
      <c r="AZ213" s="94"/>
      <c r="BA213" s="94"/>
      <c r="BB213" s="132">
        <f t="shared" si="117"/>
        <v>-0.0333333333333333</v>
      </c>
      <c r="BC213" s="132">
        <f t="shared" si="119"/>
        <v>-0.0413223140495868</v>
      </c>
      <c r="BD213" s="132">
        <f t="shared" si="121"/>
        <v>-0.0491803278688525</v>
      </c>
      <c r="BE213" s="132">
        <f t="shared" si="118"/>
        <v>-0.024896265560166</v>
      </c>
      <c r="BF213" s="132">
        <f t="shared" si="120"/>
        <v>-0.0408163265306123</v>
      </c>
      <c r="BG213" s="132">
        <f t="shared" si="122"/>
        <v>-0.0447154471544715</v>
      </c>
      <c r="BH213" s="132"/>
      <c r="BI213" s="132"/>
      <c r="BJ213" s="132"/>
      <c r="BK213" s="132"/>
      <c r="BL213" s="132"/>
      <c r="BM213" s="132"/>
      <c r="BN213" s="132"/>
      <c r="FV213" s="104">
        <f t="shared" si="124"/>
        <v>2011</v>
      </c>
      <c r="FW213" s="104">
        <f t="shared" si="125"/>
        <v>26</v>
      </c>
      <c r="FX213" s="35">
        <v>40718</v>
      </c>
      <c r="FY213" s="26">
        <v>1.53</v>
      </c>
      <c r="FZ213" s="94">
        <f t="shared" si="126"/>
        <v>6.12</v>
      </c>
      <c r="GA213" s="104"/>
      <c r="GB213" s="104"/>
      <c r="GE213" s="94"/>
      <c r="GF213" s="104">
        <f t="shared" si="127"/>
        <v>2013</v>
      </c>
      <c r="GG213" s="104">
        <f t="shared" si="128"/>
        <v>40</v>
      </c>
      <c r="GH213" s="35">
        <v>41549</v>
      </c>
      <c r="GI213" s="26">
        <v>4.138</v>
      </c>
      <c r="GJ213" s="94">
        <f t="shared" si="129"/>
        <v>8.276</v>
      </c>
      <c r="GK213" s="104"/>
      <c r="GL213" s="104"/>
      <c r="GO213" s="94"/>
    </row>
    <row r="214" spans="3:197">
      <c r="C214" s="80" t="str" cm="1">
        <f t="array" ref="C214">_xlfn.IFS(MONTH(D214)&lt;4,1,MONTH(D214)&lt;7,2,MONTH(D214)&lt;10,3,MONTH(D214)&gt;9,4)&amp;"Q"&amp;RIGHT(YEAR(D214),2)</f>
        <v>4Q16</v>
      </c>
      <c r="D214" s="81">
        <f t="shared" si="112"/>
        <v>42704</v>
      </c>
      <c r="E214" s="82">
        <f t="shared" si="109"/>
        <v>42692</v>
      </c>
      <c r="F214" s="83">
        <f t="shared" si="110"/>
        <v>0.653125</v>
      </c>
      <c r="G214" s="83">
        <f t="shared" si="110"/>
        <v>0.52375</v>
      </c>
      <c r="H214" s="81"/>
      <c r="I214" s="84">
        <v>42692</v>
      </c>
      <c r="J214" s="85">
        <v>5.5</v>
      </c>
      <c r="K214" s="85">
        <v>5.1</v>
      </c>
      <c r="L214" s="86">
        <v>5.225</v>
      </c>
      <c r="M214" s="94" cm="1">
        <f t="array" ref="M214">INDEX($BV$29:$BV$1449,MATCH($D214,$BR$29:$BR$1449,0),)</f>
        <v>4.19</v>
      </c>
      <c r="N214" s="88"/>
      <c r="O214" s="88"/>
      <c r="P214" s="88"/>
      <c r="Q214" s="89">
        <f t="shared" si="111"/>
        <v>0.247016706443914</v>
      </c>
      <c r="AH214" s="105">
        <f t="shared" si="123"/>
        <v>43980</v>
      </c>
      <c r="AI214" s="91">
        <f t="shared" si="113"/>
        <v>3.058</v>
      </c>
      <c r="AJ214" s="36">
        <f t="shared" si="114"/>
        <v>-0.0179833012202955</v>
      </c>
      <c r="AK214" s="36">
        <f t="shared" si="116"/>
        <v>-0.0482415188297542</v>
      </c>
      <c r="AL214" s="105"/>
      <c r="AM214" s="91"/>
      <c r="AN214" s="36"/>
      <c r="AO214" s="36"/>
      <c r="AP214" s="36"/>
      <c r="AQ214" s="128" t="str" cm="1">
        <f t="array" ref="AQ214">_xlfn.IFS(MONTH(AR214)&lt;4,1,MONTH(AR214)&lt;7,2,MONTH(AR214)&lt;10,3,MONTH(AR214)&gt;9,4)&amp;"Q"&amp;RIGHT(YEAR(AR214),2)</f>
        <v>3Q22</v>
      </c>
      <c r="AR214" s="128">
        <f t="shared" si="115"/>
        <v>44804</v>
      </c>
      <c r="AS214" s="129">
        <f t="shared" si="130"/>
        <v>44802</v>
      </c>
      <c r="AT214" s="130">
        <v>110</v>
      </c>
      <c r="AU214" s="94" cm="1">
        <f t="array" ref="AU214">INDEX($CE$29:$CE$1449,MATCH($AR214,$CA$29:$CA$1449,0),)</f>
        <v>115</v>
      </c>
      <c r="AV214" s="130">
        <v>228</v>
      </c>
      <c r="AW214" s="94" cm="1">
        <f t="array" ref="AW214">INDEX($CF$29:$CF$1449,MATCH($AR214,$CA$29:$CA$1449,0),)</f>
        <v>224</v>
      </c>
      <c r="AX214" s="94"/>
      <c r="AY214" s="94"/>
      <c r="AZ214" s="94"/>
      <c r="BA214" s="94"/>
      <c r="BB214" s="132">
        <f t="shared" si="117"/>
        <v>-0.0517241379310345</v>
      </c>
      <c r="BC214" s="132">
        <f t="shared" si="119"/>
        <v>-0.0833333333333334</v>
      </c>
      <c r="BD214" s="132">
        <f t="shared" si="121"/>
        <v>-0.0909090909090909</v>
      </c>
      <c r="BE214" s="132">
        <f t="shared" si="118"/>
        <v>-0.0297872340425532</v>
      </c>
      <c r="BF214" s="132">
        <f t="shared" si="120"/>
        <v>-0.053941908713693</v>
      </c>
      <c r="BG214" s="132">
        <f t="shared" si="122"/>
        <v>-0.0693877551020409</v>
      </c>
      <c r="BH214" s="132"/>
      <c r="BI214" s="132"/>
      <c r="BJ214" s="132"/>
      <c r="BK214" s="132"/>
      <c r="BL214" s="132"/>
      <c r="BM214" s="132"/>
      <c r="BN214" s="132"/>
      <c r="FV214" s="104">
        <f t="shared" si="124"/>
        <v>2011</v>
      </c>
      <c r="FW214" s="104">
        <f t="shared" si="125"/>
        <v>27</v>
      </c>
      <c r="FX214" s="35">
        <v>40721</v>
      </c>
      <c r="FY214" s="26">
        <v>1.51</v>
      </c>
      <c r="FZ214" s="94">
        <f t="shared" si="126"/>
        <v>6.04</v>
      </c>
      <c r="GA214" s="104"/>
      <c r="GB214" s="104"/>
      <c r="GE214" s="94"/>
      <c r="GF214" s="104">
        <f t="shared" si="127"/>
        <v>2013</v>
      </c>
      <c r="GG214" s="104">
        <f t="shared" si="128"/>
        <v>40</v>
      </c>
      <c r="GH214" s="35">
        <v>41550</v>
      </c>
      <c r="GI214" s="26">
        <v>4.175</v>
      </c>
      <c r="GJ214" s="94">
        <f t="shared" si="129"/>
        <v>8.35</v>
      </c>
      <c r="GK214" s="104"/>
      <c r="GL214" s="104"/>
      <c r="GO214" s="94"/>
    </row>
    <row r="215" spans="3:197">
      <c r="C215" s="80" t="str" cm="1">
        <f t="array" ref="C215">_xlfn.IFS(MONTH(D215)&lt;4,1,MONTH(D215)&lt;7,2,MONTH(D215)&lt;10,3,MONTH(D215)&gt;9,4)&amp;"Q"&amp;RIGHT(YEAR(D215),2)</f>
        <v>4Q16</v>
      </c>
      <c r="D215" s="81">
        <f t="shared" si="112"/>
        <v>42704</v>
      </c>
      <c r="E215" s="82">
        <f t="shared" si="109"/>
        <v>42695</v>
      </c>
      <c r="F215" s="83">
        <f t="shared" si="110"/>
        <v>0.653125</v>
      </c>
      <c r="G215" s="83">
        <f t="shared" si="110"/>
        <v>0.52375</v>
      </c>
      <c r="H215" s="81"/>
      <c r="I215" s="84">
        <v>42695</v>
      </c>
      <c r="J215" s="85">
        <v>5.5</v>
      </c>
      <c r="K215" s="85">
        <v>5.1</v>
      </c>
      <c r="L215" s="86">
        <v>5.225</v>
      </c>
      <c r="M215" s="94" cm="1">
        <f t="array" ref="M215">INDEX($BV$29:$BV$1449,MATCH($D215,$BR$29:$BR$1449,0),)</f>
        <v>4.19</v>
      </c>
      <c r="N215" s="88"/>
      <c r="O215" s="88"/>
      <c r="P215" s="88"/>
      <c r="Q215" s="89">
        <f t="shared" si="111"/>
        <v>0.247016706443914</v>
      </c>
      <c r="AH215" s="105">
        <f t="shared" si="123"/>
        <v>43990</v>
      </c>
      <c r="AI215" s="91">
        <f t="shared" si="113"/>
        <v>3.023</v>
      </c>
      <c r="AJ215" s="36">
        <f t="shared" si="114"/>
        <v>-0.0114453891432308</v>
      </c>
      <c r="AK215" s="36">
        <f t="shared" si="116"/>
        <v>-0.0292228644829801</v>
      </c>
      <c r="AL215" s="105"/>
      <c r="AM215" s="91"/>
      <c r="AN215" s="36"/>
      <c r="AO215" s="36"/>
      <c r="AP215" s="36"/>
      <c r="AQ215" s="128" t="str" cm="1">
        <f t="array" ref="AQ215">_xlfn.IFS(MONTH(AR215)&lt;4,1,MONTH(AR215)&lt;7,2,MONTH(AR215)&lt;10,3,MONTH(AR215)&gt;9,4)&amp;"Q"&amp;RIGHT(YEAR(AR215),2)</f>
        <v>3Q22</v>
      </c>
      <c r="AR215" s="128">
        <f t="shared" si="115"/>
        <v>44834</v>
      </c>
      <c r="AS215" s="129">
        <f t="shared" si="130"/>
        <v>44809</v>
      </c>
      <c r="AT215" s="130">
        <v>106.5</v>
      </c>
      <c r="AU215" s="94" cm="1">
        <f t="array" ref="AU215">INDEX($CE$29:$CE$1449,MATCH($AR215,$CA$29:$CA$1449,0),)</f>
        <v>103</v>
      </c>
      <c r="AV215" s="130">
        <v>225</v>
      </c>
      <c r="AW215" s="94" cm="1">
        <f t="array" ref="AW215">INDEX($CF$29:$CF$1449,MATCH($AR215,$CA$29:$CA$1449,0),)</f>
        <v>205</v>
      </c>
      <c r="AX215" s="94"/>
      <c r="AY215" s="94"/>
      <c r="AZ215" s="94"/>
      <c r="BA215" s="94"/>
      <c r="BB215" s="132">
        <f t="shared" si="117"/>
        <v>-0.0318181818181819</v>
      </c>
      <c r="BC215" s="132">
        <f t="shared" si="119"/>
        <v>-0.0818965517241379</v>
      </c>
      <c r="BD215" s="132">
        <f t="shared" si="121"/>
        <v>-0.1125</v>
      </c>
      <c r="BE215" s="132">
        <f t="shared" si="118"/>
        <v>-0.0131578947368421</v>
      </c>
      <c r="BF215" s="132">
        <f t="shared" si="120"/>
        <v>-0.0425531914893617</v>
      </c>
      <c r="BG215" s="132">
        <f t="shared" si="122"/>
        <v>-0.0663900414937759</v>
      </c>
      <c r="BH215" s="132"/>
      <c r="BI215" s="132"/>
      <c r="BJ215" s="132"/>
      <c r="BK215" s="132"/>
      <c r="BL215" s="132"/>
      <c r="BM215" s="132"/>
      <c r="BN215" s="132"/>
      <c r="FV215" s="104">
        <f t="shared" si="124"/>
        <v>2011</v>
      </c>
      <c r="FW215" s="104">
        <f t="shared" si="125"/>
        <v>27</v>
      </c>
      <c r="FX215" s="35">
        <v>40722</v>
      </c>
      <c r="FY215" s="26">
        <v>1.5</v>
      </c>
      <c r="FZ215" s="94">
        <f t="shared" si="126"/>
        <v>6</v>
      </c>
      <c r="GA215" s="104"/>
      <c r="GB215" s="104"/>
      <c r="GE215" s="94"/>
      <c r="GF215" s="104">
        <f t="shared" si="127"/>
        <v>2013</v>
      </c>
      <c r="GG215" s="104">
        <f t="shared" si="128"/>
        <v>40</v>
      </c>
      <c r="GH215" s="35">
        <v>41551</v>
      </c>
      <c r="GI215" s="26">
        <v>4.268</v>
      </c>
      <c r="GJ215" s="94">
        <f t="shared" si="129"/>
        <v>8.536</v>
      </c>
      <c r="GK215" s="104"/>
      <c r="GL215" s="104"/>
      <c r="GO215" s="94"/>
    </row>
    <row r="216" spans="3:197">
      <c r="C216" s="80" t="str" cm="1">
        <f t="array" ref="C216">_xlfn.IFS(MONTH(D216)&lt;4,1,MONTH(D216)&lt;7,2,MONTH(D216)&lt;10,3,MONTH(D216)&gt;9,4)&amp;"Q"&amp;RIGHT(YEAR(D216),2)</f>
        <v>4Q16</v>
      </c>
      <c r="D216" s="81">
        <f t="shared" si="112"/>
        <v>42704</v>
      </c>
      <c r="E216" s="82">
        <f t="shared" si="109"/>
        <v>42696</v>
      </c>
      <c r="F216" s="83">
        <f t="shared" si="110"/>
        <v>0.65375</v>
      </c>
      <c r="G216" s="83">
        <f t="shared" si="110"/>
        <v>0.52375</v>
      </c>
      <c r="H216" s="81"/>
      <c r="I216" s="84">
        <v>42696</v>
      </c>
      <c r="J216" s="85">
        <v>5.5</v>
      </c>
      <c r="K216" s="85">
        <v>5.1</v>
      </c>
      <c r="L216" s="86">
        <v>5.23</v>
      </c>
      <c r="M216" s="94" cm="1">
        <f t="array" ref="M216">INDEX($BV$29:$BV$1449,MATCH($D216,$BR$29:$BR$1449,0),)</f>
        <v>4.19</v>
      </c>
      <c r="N216" s="88"/>
      <c r="O216" s="88"/>
      <c r="P216" s="88"/>
      <c r="Q216" s="89">
        <f t="shared" si="111"/>
        <v>0.248210023866348</v>
      </c>
      <c r="AH216" s="105">
        <f t="shared" si="123"/>
        <v>43998</v>
      </c>
      <c r="AI216" s="91">
        <f t="shared" si="113"/>
        <v>2.897</v>
      </c>
      <c r="AJ216" s="36">
        <f t="shared" si="114"/>
        <v>-0.041680449884221</v>
      </c>
      <c r="AK216" s="36">
        <f t="shared" si="116"/>
        <v>-0.052648790058862</v>
      </c>
      <c r="AL216" s="105"/>
      <c r="AM216" s="91"/>
      <c r="AN216" s="36"/>
      <c r="AO216" s="36"/>
      <c r="AP216" s="36"/>
      <c r="AQ216" s="128" t="str" cm="1">
        <f t="array" ref="AQ216">_xlfn.IFS(MONTH(AR216)&lt;4,1,MONTH(AR216)&lt;7,2,MONTH(AR216)&lt;10,3,MONTH(AR216)&gt;9,4)&amp;"Q"&amp;RIGHT(YEAR(AR216),2)</f>
        <v>3Q22</v>
      </c>
      <c r="AR216" s="128">
        <f t="shared" si="115"/>
        <v>44834</v>
      </c>
      <c r="AS216" s="129">
        <f t="shared" si="130"/>
        <v>44816</v>
      </c>
      <c r="AT216" s="130">
        <v>103</v>
      </c>
      <c r="AU216" s="94" cm="1">
        <f t="array" ref="AU216">INDEX($CE$29:$CE$1449,MATCH($AR216,$CA$29:$CA$1449,0),)</f>
        <v>103</v>
      </c>
      <c r="AV216" s="130">
        <v>215</v>
      </c>
      <c r="AW216" s="94" cm="1">
        <f t="array" ref="AW216">INDEX($CF$29:$CF$1449,MATCH($AR216,$CA$29:$CA$1449,0),)</f>
        <v>205</v>
      </c>
      <c r="AX216" s="94"/>
      <c r="AY216" s="94"/>
      <c r="AZ216" s="94"/>
      <c r="BA216" s="94"/>
      <c r="BB216" s="132">
        <f t="shared" si="117"/>
        <v>-0.0328638497652582</v>
      </c>
      <c r="BC216" s="132">
        <f t="shared" si="119"/>
        <v>-0.0636363636363636</v>
      </c>
      <c r="BD216" s="132">
        <f t="shared" si="121"/>
        <v>-0.112068965517241</v>
      </c>
      <c r="BE216" s="132">
        <f t="shared" si="118"/>
        <v>-0.0444444444444444</v>
      </c>
      <c r="BF216" s="132">
        <f t="shared" si="120"/>
        <v>-0.0570175438596491</v>
      </c>
      <c r="BG216" s="132">
        <f t="shared" si="122"/>
        <v>-0.0851063829787234</v>
      </c>
      <c r="BH216" s="132"/>
      <c r="BI216" s="132"/>
      <c r="BJ216" s="132"/>
      <c r="BK216" s="132"/>
      <c r="BL216" s="132"/>
      <c r="BM216" s="132"/>
      <c r="BN216" s="132"/>
      <c r="FV216" s="104">
        <f t="shared" si="124"/>
        <v>2011</v>
      </c>
      <c r="FW216" s="104">
        <f t="shared" si="125"/>
        <v>27</v>
      </c>
      <c r="FX216" s="35">
        <v>40723</v>
      </c>
      <c r="FY216" s="26">
        <v>1.49</v>
      </c>
      <c r="FZ216" s="94">
        <f t="shared" si="126"/>
        <v>5.96</v>
      </c>
      <c r="GA216" s="104"/>
      <c r="GB216" s="104"/>
      <c r="GE216" s="94"/>
      <c r="GF216" s="104">
        <f t="shared" si="127"/>
        <v>2013</v>
      </c>
      <c r="GG216" s="104">
        <f t="shared" si="128"/>
        <v>41</v>
      </c>
      <c r="GH216" s="35">
        <v>41554</v>
      </c>
      <c r="GI216" s="26">
        <v>4.268</v>
      </c>
      <c r="GJ216" s="94">
        <f t="shared" si="129"/>
        <v>8.536</v>
      </c>
      <c r="GK216" s="104"/>
      <c r="GL216" s="104"/>
      <c r="GO216" s="94"/>
    </row>
    <row r="217" spans="3:197">
      <c r="C217" s="80" t="str" cm="1">
        <f t="array" ref="C217">_xlfn.IFS(MONTH(D217)&lt;4,1,MONTH(D217)&lt;7,2,MONTH(D217)&lt;10,3,MONTH(D217)&gt;9,4)&amp;"Q"&amp;RIGHT(YEAR(D217),2)</f>
        <v>4Q16</v>
      </c>
      <c r="D217" s="81">
        <f t="shared" si="112"/>
        <v>42704</v>
      </c>
      <c r="E217" s="82">
        <f t="shared" si="109"/>
        <v>42697</v>
      </c>
      <c r="F217" s="83">
        <f t="shared" si="110"/>
        <v>0.653125</v>
      </c>
      <c r="G217" s="83">
        <f t="shared" si="110"/>
        <v>0.52375</v>
      </c>
      <c r="H217" s="81"/>
      <c r="I217" s="84">
        <v>42697</v>
      </c>
      <c r="J217" s="85">
        <v>5.5</v>
      </c>
      <c r="K217" s="85">
        <v>5.1</v>
      </c>
      <c r="L217" s="86">
        <v>5.225</v>
      </c>
      <c r="M217" s="94" cm="1">
        <f t="array" ref="M217">INDEX($BV$29:$BV$1449,MATCH($D217,$BR$29:$BR$1449,0),)</f>
        <v>4.19</v>
      </c>
      <c r="N217" s="88"/>
      <c r="O217" s="88"/>
      <c r="P217" s="88"/>
      <c r="Q217" s="89">
        <f t="shared" si="111"/>
        <v>0.247016706443914</v>
      </c>
      <c r="AH217" s="105">
        <f t="shared" si="123"/>
        <v>44006</v>
      </c>
      <c r="AI217" s="91">
        <f t="shared" si="113"/>
        <v>2.804</v>
      </c>
      <c r="AJ217" s="36">
        <f t="shared" si="114"/>
        <v>-0.0321021746634449</v>
      </c>
      <c r="AK217" s="36">
        <f t="shared" si="116"/>
        <v>-0.0724445914654318</v>
      </c>
      <c r="AL217" s="105"/>
      <c r="AM217" s="91"/>
      <c r="AN217" s="36"/>
      <c r="AO217" s="36"/>
      <c r="AP217" s="36"/>
      <c r="AQ217" s="128" t="str" cm="1">
        <f t="array" ref="AQ217">_xlfn.IFS(MONTH(AR217)&lt;4,1,MONTH(AR217)&lt;7,2,MONTH(AR217)&lt;10,3,MONTH(AR217)&gt;9,4)&amp;"Q"&amp;RIGHT(YEAR(AR217),2)</f>
        <v>3Q22</v>
      </c>
      <c r="AR217" s="128">
        <f t="shared" si="115"/>
        <v>44834</v>
      </c>
      <c r="AS217" s="129">
        <f t="shared" si="130"/>
        <v>44823</v>
      </c>
      <c r="AT217" s="130">
        <v>102</v>
      </c>
      <c r="AU217" s="94" cm="1">
        <f t="array" ref="AU217">INDEX($CE$29:$CE$1449,MATCH($AR217,$CA$29:$CA$1449,0),)</f>
        <v>103</v>
      </c>
      <c r="AV217" s="130">
        <v>203</v>
      </c>
      <c r="AW217" s="94" cm="1">
        <f t="array" ref="AW217">INDEX($CF$29:$CF$1449,MATCH($AR217,$CA$29:$CA$1449,0),)</f>
        <v>205</v>
      </c>
      <c r="AX217" s="94"/>
      <c r="AY217" s="94"/>
      <c r="AZ217" s="94"/>
      <c r="BA217" s="94"/>
      <c r="BB217" s="132">
        <f t="shared" si="117"/>
        <v>-0.00970873786407767</v>
      </c>
      <c r="BC217" s="132">
        <f t="shared" si="119"/>
        <v>-0.0422535211267606</v>
      </c>
      <c r="BD217" s="132">
        <f t="shared" si="121"/>
        <v>-0.0727272727272728</v>
      </c>
      <c r="BE217" s="132">
        <f t="shared" si="118"/>
        <v>-0.0558139534883721</v>
      </c>
      <c r="BF217" s="132">
        <f t="shared" si="120"/>
        <v>-0.0977777777777777</v>
      </c>
      <c r="BG217" s="132">
        <f t="shared" si="122"/>
        <v>-0.109649122807018</v>
      </c>
      <c r="BH217" s="132"/>
      <c r="BI217" s="132"/>
      <c r="BJ217" s="132"/>
      <c r="BK217" s="132"/>
      <c r="BL217" s="132"/>
      <c r="BM217" s="132"/>
      <c r="BN217" s="132"/>
      <c r="FV217" s="104">
        <f t="shared" si="124"/>
        <v>2011</v>
      </c>
      <c r="FW217" s="104">
        <f t="shared" si="125"/>
        <v>27</v>
      </c>
      <c r="FX217" s="35">
        <v>40724</v>
      </c>
      <c r="FY217" s="26">
        <v>1.48</v>
      </c>
      <c r="FZ217" s="94">
        <f t="shared" si="126"/>
        <v>5.92</v>
      </c>
      <c r="GA217" s="104"/>
      <c r="GB217" s="104"/>
      <c r="GE217" s="94"/>
      <c r="GF217" s="104">
        <f t="shared" si="127"/>
        <v>2013</v>
      </c>
      <c r="GG217" s="104">
        <f t="shared" si="128"/>
        <v>41</v>
      </c>
      <c r="GH217" s="35">
        <v>41555</v>
      </c>
      <c r="GI217" s="26">
        <v>4.253</v>
      </c>
      <c r="GJ217" s="94">
        <f t="shared" si="129"/>
        <v>8.506</v>
      </c>
      <c r="GK217" s="104"/>
      <c r="GL217" s="104"/>
      <c r="GO217" s="94"/>
    </row>
    <row r="218" spans="3:197">
      <c r="C218" s="80" t="str" cm="1">
        <f t="array" ref="C218">_xlfn.IFS(MONTH(D218)&lt;4,1,MONTH(D218)&lt;7,2,MONTH(D218)&lt;10,3,MONTH(D218)&gt;9,4)&amp;"Q"&amp;RIGHT(YEAR(D218),2)</f>
        <v>4Q16</v>
      </c>
      <c r="D218" s="81">
        <f t="shared" si="112"/>
        <v>42704</v>
      </c>
      <c r="E218" s="82">
        <f t="shared" si="109"/>
        <v>42698</v>
      </c>
      <c r="F218" s="83">
        <f t="shared" si="110"/>
        <v>0.646875</v>
      </c>
      <c r="G218" s="83">
        <f t="shared" si="110"/>
        <v>0.52375</v>
      </c>
      <c r="H218" s="81"/>
      <c r="I218" s="84">
        <v>42698</v>
      </c>
      <c r="J218" s="85">
        <v>5.5</v>
      </c>
      <c r="K218" s="85">
        <v>5</v>
      </c>
      <c r="L218" s="86">
        <v>5.175</v>
      </c>
      <c r="M218" s="94" cm="1">
        <f t="array" ref="M218">INDEX($BV$29:$BV$1449,MATCH($D218,$BR$29:$BR$1449,0),)</f>
        <v>4.19</v>
      </c>
      <c r="N218" s="88"/>
      <c r="O218" s="88"/>
      <c r="P218" s="88"/>
      <c r="Q218" s="89">
        <f t="shared" si="111"/>
        <v>0.23508353221957</v>
      </c>
      <c r="AH218" s="105">
        <f t="shared" si="123"/>
        <v>44014</v>
      </c>
      <c r="AI218" s="91">
        <f t="shared" si="113"/>
        <v>2.762</v>
      </c>
      <c r="AJ218" s="36">
        <f t="shared" si="114"/>
        <v>-0.0149786019971468</v>
      </c>
      <c r="AK218" s="36">
        <f t="shared" si="116"/>
        <v>-0.0465999309630651</v>
      </c>
      <c r="AL218" s="105"/>
      <c r="AM218" s="91"/>
      <c r="AN218" s="36"/>
      <c r="AO218" s="36"/>
      <c r="AP218" s="36"/>
      <c r="AQ218" s="128" t="str" cm="1">
        <f t="array" ref="AQ218">_xlfn.IFS(MONTH(AR218)&lt;4,1,MONTH(AR218)&lt;7,2,MONTH(AR218)&lt;10,3,MONTH(AR218)&gt;9,4)&amp;"Q"&amp;RIGHT(YEAR(AR218),2)</f>
        <v>3Q22</v>
      </c>
      <c r="AR218" s="128">
        <f t="shared" si="115"/>
        <v>44834</v>
      </c>
      <c r="AS218" s="129">
        <f t="shared" si="130"/>
        <v>44830</v>
      </c>
      <c r="AT218" s="130">
        <v>101</v>
      </c>
      <c r="AU218" s="94" cm="1">
        <f t="array" ref="AU218">INDEX($CE$29:$CE$1449,MATCH($AR218,$CA$29:$CA$1449,0),)</f>
        <v>103</v>
      </c>
      <c r="AV218" s="130">
        <v>198</v>
      </c>
      <c r="AW218" s="94" cm="1">
        <f t="array" ref="AW218">INDEX($CF$29:$CF$1449,MATCH($AR218,$CA$29:$CA$1449,0),)</f>
        <v>205</v>
      </c>
      <c r="AX218" s="94"/>
      <c r="AY218" s="94"/>
      <c r="AZ218" s="94"/>
      <c r="BA218" s="94"/>
      <c r="BB218" s="132">
        <f t="shared" si="117"/>
        <v>-0.00980392156862742</v>
      </c>
      <c r="BC218" s="132">
        <f t="shared" si="119"/>
        <v>-0.0194174757281553</v>
      </c>
      <c r="BD218" s="132">
        <f t="shared" si="121"/>
        <v>-0.0516431924882629</v>
      </c>
      <c r="BE218" s="132">
        <f t="shared" si="118"/>
        <v>-0.0246305418719212</v>
      </c>
      <c r="BF218" s="132">
        <f t="shared" si="120"/>
        <v>-0.0790697674418604</v>
      </c>
      <c r="BG218" s="132">
        <f t="shared" si="122"/>
        <v>-0.12</v>
      </c>
      <c r="BH218" s="132"/>
      <c r="BI218" s="132"/>
      <c r="BJ218" s="132"/>
      <c r="BK218" s="132"/>
      <c r="BL218" s="132"/>
      <c r="BM218" s="132"/>
      <c r="BN218" s="132"/>
      <c r="FV218" s="104">
        <f t="shared" si="124"/>
        <v>2011</v>
      </c>
      <c r="FW218" s="104">
        <f t="shared" si="125"/>
        <v>27</v>
      </c>
      <c r="FX218" s="35">
        <v>40725</v>
      </c>
      <c r="FY218" s="26">
        <v>1.48</v>
      </c>
      <c r="FZ218" s="94">
        <f t="shared" si="126"/>
        <v>5.92</v>
      </c>
      <c r="GA218" s="104"/>
      <c r="GB218" s="104"/>
      <c r="GE218" s="94"/>
      <c r="GF218" s="104">
        <f t="shared" si="127"/>
        <v>2013</v>
      </c>
      <c r="GG218" s="104">
        <f t="shared" si="128"/>
        <v>41</v>
      </c>
      <c r="GH218" s="35">
        <v>41556</v>
      </c>
      <c r="GI218" s="26">
        <v>4.253</v>
      </c>
      <c r="GJ218" s="94">
        <f t="shared" si="129"/>
        <v>8.506</v>
      </c>
      <c r="GK218" s="104"/>
      <c r="GL218" s="104"/>
      <c r="GO218" s="94"/>
    </row>
    <row r="219" spans="3:197">
      <c r="C219" s="80" t="str" cm="1">
        <f t="array" ref="C219">_xlfn.IFS(MONTH(D219)&lt;4,1,MONTH(D219)&lt;7,2,MONTH(D219)&lt;10,3,MONTH(D219)&gt;9,4)&amp;"Q"&amp;RIGHT(YEAR(D219),2)</f>
        <v>4Q16</v>
      </c>
      <c r="D219" s="81">
        <f t="shared" si="112"/>
        <v>42704</v>
      </c>
      <c r="E219" s="82">
        <f t="shared" si="109"/>
        <v>42699</v>
      </c>
      <c r="F219" s="83">
        <f t="shared" si="110"/>
        <v>0.645</v>
      </c>
      <c r="G219" s="83">
        <f t="shared" si="110"/>
        <v>0.52375</v>
      </c>
      <c r="H219" s="81"/>
      <c r="I219" s="84">
        <v>42699</v>
      </c>
      <c r="J219" s="85">
        <v>5.5</v>
      </c>
      <c r="K219" s="85">
        <v>5</v>
      </c>
      <c r="L219" s="86">
        <v>5.16</v>
      </c>
      <c r="M219" s="94" cm="1">
        <f t="array" ref="M219">INDEX($BV$29:$BV$1449,MATCH($D219,$BR$29:$BR$1449,0),)</f>
        <v>4.19</v>
      </c>
      <c r="N219" s="88"/>
      <c r="O219" s="88"/>
      <c r="P219" s="88"/>
      <c r="Q219" s="89">
        <f t="shared" si="111"/>
        <v>0.231503579952267</v>
      </c>
      <c r="AH219" s="105">
        <f t="shared" si="123"/>
        <v>44022</v>
      </c>
      <c r="AI219" s="91">
        <f t="shared" si="113"/>
        <v>2.684</v>
      </c>
      <c r="AJ219" s="36">
        <f t="shared" si="114"/>
        <v>-0.0282404055032585</v>
      </c>
      <c r="AK219" s="36">
        <f t="shared" si="116"/>
        <v>-0.042796005706134</v>
      </c>
      <c r="AL219" s="105"/>
      <c r="AM219" s="91"/>
      <c r="AN219" s="36"/>
      <c r="AO219" s="36"/>
      <c r="AP219" s="36"/>
      <c r="AQ219" s="128" t="str" cm="1">
        <f t="array" ref="AQ219">_xlfn.IFS(MONTH(AR219)&lt;4,1,MONTH(AR219)&lt;7,2,MONTH(AR219)&lt;10,3,MONTH(AR219)&gt;9,4)&amp;"Q"&amp;RIGHT(YEAR(AR219),2)</f>
        <v>4Q22</v>
      </c>
      <c r="AR219" s="128">
        <f t="shared" si="115"/>
        <v>44865</v>
      </c>
      <c r="AS219" s="129">
        <f t="shared" si="130"/>
        <v>44837</v>
      </c>
      <c r="AT219" s="130">
        <v>98</v>
      </c>
      <c r="AU219" s="94" cm="1">
        <f t="array" ref="AU219">INDEX($CE$29:$CE$1449,MATCH($AR219,$CA$29:$CA$1449,0),)</f>
        <v>95</v>
      </c>
      <c r="AV219" s="130">
        <v>197</v>
      </c>
      <c r="AW219" s="94" cm="1">
        <f t="array" ref="AW219">INDEX($CF$29:$CF$1449,MATCH($AR219,$CA$29:$CA$1449,0),)</f>
        <v>186</v>
      </c>
      <c r="AX219" s="94"/>
      <c r="AY219" s="94"/>
      <c r="AZ219" s="94"/>
      <c r="BA219" s="94"/>
      <c r="BB219" s="132">
        <f t="shared" si="117"/>
        <v>-0.0297029702970297</v>
      </c>
      <c r="BC219" s="132">
        <f t="shared" si="119"/>
        <v>-0.0392156862745098</v>
      </c>
      <c r="BD219" s="132">
        <f t="shared" si="121"/>
        <v>-0.0485436893203883</v>
      </c>
      <c r="BE219" s="132">
        <f t="shared" si="118"/>
        <v>-0.00505050505050508</v>
      </c>
      <c r="BF219" s="132">
        <f t="shared" si="120"/>
        <v>-0.0295566502463054</v>
      </c>
      <c r="BG219" s="132">
        <f t="shared" si="122"/>
        <v>-0.0837209302325581</v>
      </c>
      <c r="BH219" s="132"/>
      <c r="BI219" s="132"/>
      <c r="BJ219" s="132"/>
      <c r="BK219" s="132"/>
      <c r="BL219" s="132"/>
      <c r="BM219" s="132"/>
      <c r="BN219" s="132"/>
      <c r="FV219" s="104">
        <f t="shared" si="124"/>
        <v>2011</v>
      </c>
      <c r="FW219" s="104">
        <f t="shared" si="125"/>
        <v>28</v>
      </c>
      <c r="FX219" s="35">
        <v>40728</v>
      </c>
      <c r="FY219" s="26">
        <v>1.45</v>
      </c>
      <c r="FZ219" s="94">
        <f t="shared" si="126"/>
        <v>5.8</v>
      </c>
      <c r="GA219" s="104"/>
      <c r="GB219" s="104"/>
      <c r="GE219" s="94"/>
      <c r="GF219" s="104">
        <f t="shared" si="127"/>
        <v>2013</v>
      </c>
      <c r="GG219" s="104">
        <f t="shared" si="128"/>
        <v>41</v>
      </c>
      <c r="GH219" s="35">
        <v>41557</v>
      </c>
      <c r="GI219" s="26">
        <v>4.253</v>
      </c>
      <c r="GJ219" s="94">
        <f t="shared" si="129"/>
        <v>8.506</v>
      </c>
      <c r="GK219" s="104"/>
      <c r="GL219" s="104"/>
      <c r="GO219" s="94"/>
    </row>
    <row r="220" spans="3:197">
      <c r="C220" s="80" t="str" cm="1">
        <f t="array" ref="C220">_xlfn.IFS(MONTH(D220)&lt;4,1,MONTH(D220)&lt;7,2,MONTH(D220)&lt;10,3,MONTH(D220)&gt;9,4)&amp;"Q"&amp;RIGHT(YEAR(D220),2)</f>
        <v>4Q16</v>
      </c>
      <c r="D220" s="81">
        <f t="shared" si="112"/>
        <v>42704</v>
      </c>
      <c r="E220" s="82">
        <f t="shared" si="109"/>
        <v>42702</v>
      </c>
      <c r="F220" s="83">
        <f t="shared" si="110"/>
        <v>0.645</v>
      </c>
      <c r="G220" s="83">
        <f t="shared" si="110"/>
        <v>0.52375</v>
      </c>
      <c r="H220" s="81"/>
      <c r="I220" s="84">
        <v>42702</v>
      </c>
      <c r="J220" s="85">
        <v>5.5</v>
      </c>
      <c r="K220" s="85">
        <v>5</v>
      </c>
      <c r="L220" s="86">
        <v>5.16</v>
      </c>
      <c r="M220" s="94" cm="1">
        <f t="array" ref="M220">INDEX($BV$29:$BV$1449,MATCH($D220,$BR$29:$BR$1449,0),)</f>
        <v>4.19</v>
      </c>
      <c r="N220" s="88"/>
      <c r="O220" s="88"/>
      <c r="P220" s="88"/>
      <c r="Q220" s="89">
        <f t="shared" si="111"/>
        <v>0.231503579952267</v>
      </c>
      <c r="AH220" s="105">
        <f t="shared" si="123"/>
        <v>44032</v>
      </c>
      <c r="AI220" s="91">
        <f t="shared" si="113"/>
        <v>2.667</v>
      </c>
      <c r="AJ220" s="36">
        <f t="shared" si="114"/>
        <v>-0.00633383010432209</v>
      </c>
      <c r="AK220" s="36">
        <f t="shared" si="116"/>
        <v>-0.0343953656770457</v>
      </c>
      <c r="AL220" s="105"/>
      <c r="AM220" s="91"/>
      <c r="AN220" s="36"/>
      <c r="AO220" s="36"/>
      <c r="AP220" s="36"/>
      <c r="AQ220" s="128" t="str" cm="1">
        <f t="array" ref="AQ220">_xlfn.IFS(MONTH(AR220)&lt;4,1,MONTH(AR220)&lt;7,2,MONTH(AR220)&lt;10,3,MONTH(AR220)&gt;9,4)&amp;"Q"&amp;RIGHT(YEAR(AR220),2)</f>
        <v>4Q22</v>
      </c>
      <c r="AR220" s="128">
        <f t="shared" si="115"/>
        <v>44865</v>
      </c>
      <c r="AS220" s="129">
        <f t="shared" si="130"/>
        <v>44844</v>
      </c>
      <c r="AT220" s="130">
        <v>96</v>
      </c>
      <c r="AU220" s="94" cm="1">
        <f t="array" ref="AU220">INDEX($CE$29:$CE$1449,MATCH($AR220,$CA$29:$CA$1449,0),)</f>
        <v>95</v>
      </c>
      <c r="AV220" s="130">
        <v>196</v>
      </c>
      <c r="AW220" s="94" cm="1">
        <f t="array" ref="AW220">INDEX($CF$29:$CF$1449,MATCH($AR220,$CA$29:$CA$1449,0),)</f>
        <v>186</v>
      </c>
      <c r="AX220" s="94"/>
      <c r="AY220" s="94"/>
      <c r="AZ220" s="94"/>
      <c r="BA220" s="94"/>
      <c r="BB220" s="132">
        <f t="shared" si="117"/>
        <v>-0.0204081632653061</v>
      </c>
      <c r="BC220" s="132">
        <f t="shared" si="119"/>
        <v>-0.0495049504950495</v>
      </c>
      <c r="BD220" s="132">
        <f t="shared" si="121"/>
        <v>-0.0588235294117647</v>
      </c>
      <c r="BE220" s="132">
        <f t="shared" si="118"/>
        <v>-0.00507614213197971</v>
      </c>
      <c r="BF220" s="132">
        <f t="shared" si="120"/>
        <v>-0.0101010101010101</v>
      </c>
      <c r="BG220" s="132">
        <f t="shared" si="122"/>
        <v>-0.0344827586206896</v>
      </c>
      <c r="BH220" s="132"/>
      <c r="BI220" s="132"/>
      <c r="BJ220" s="132"/>
      <c r="BK220" s="132"/>
      <c r="BL220" s="132"/>
      <c r="BM220" s="132"/>
      <c r="BN220" s="132"/>
      <c r="FV220" s="104">
        <f t="shared" si="124"/>
        <v>2011</v>
      </c>
      <c r="FW220" s="104">
        <f t="shared" si="125"/>
        <v>28</v>
      </c>
      <c r="FX220" s="35">
        <v>40729</v>
      </c>
      <c r="FY220" s="26">
        <v>1.44</v>
      </c>
      <c r="FZ220" s="94">
        <f t="shared" si="126"/>
        <v>5.76</v>
      </c>
      <c r="GA220" s="104"/>
      <c r="GB220" s="104"/>
      <c r="GE220" s="94"/>
      <c r="GF220" s="104">
        <f t="shared" si="127"/>
        <v>2013</v>
      </c>
      <c r="GG220" s="104">
        <f t="shared" si="128"/>
        <v>41</v>
      </c>
      <c r="GH220" s="35">
        <v>41558</v>
      </c>
      <c r="GI220" s="26">
        <v>4.253</v>
      </c>
      <c r="GJ220" s="94">
        <f t="shared" si="129"/>
        <v>8.506</v>
      </c>
      <c r="GK220" s="104"/>
      <c r="GL220" s="104"/>
      <c r="GO220" s="94"/>
    </row>
    <row r="221" spans="3:197">
      <c r="C221" s="80" t="str" cm="1">
        <f t="array" ref="C221">_xlfn.IFS(MONTH(D221)&lt;4,1,MONTH(D221)&lt;7,2,MONTH(D221)&lt;10,3,MONTH(D221)&gt;9,4)&amp;"Q"&amp;RIGHT(YEAR(D221),2)</f>
        <v>4Q16</v>
      </c>
      <c r="D221" s="81">
        <f t="shared" si="112"/>
        <v>42704</v>
      </c>
      <c r="E221" s="82">
        <f t="shared" ref="E221:E284" si="131">+I221</f>
        <v>42703</v>
      </c>
      <c r="F221" s="83">
        <f t="shared" ref="F221:G284" si="132">+L221/8</f>
        <v>0.646875</v>
      </c>
      <c r="G221" s="83">
        <f t="shared" si="132"/>
        <v>0.52375</v>
      </c>
      <c r="H221" s="81"/>
      <c r="I221" s="84">
        <v>42703</v>
      </c>
      <c r="J221" s="85">
        <v>5.55</v>
      </c>
      <c r="K221" s="85">
        <v>5</v>
      </c>
      <c r="L221" s="86">
        <v>5.175</v>
      </c>
      <c r="M221" s="94" cm="1">
        <f t="array" ref="M221">INDEX($BV$29:$BV$1449,MATCH($D221,$BR$29:$BR$1449,0),)</f>
        <v>4.19</v>
      </c>
      <c r="N221" s="88"/>
      <c r="O221" s="88"/>
      <c r="P221" s="88"/>
      <c r="Q221" s="89">
        <f t="shared" ref="Q221:Q284" si="133">L221/M221-1</f>
        <v>0.23508353221957</v>
      </c>
      <c r="AH221" s="105">
        <f t="shared" si="123"/>
        <v>44040</v>
      </c>
      <c r="AI221" s="91">
        <f t="shared" si="113"/>
        <v>2.63</v>
      </c>
      <c r="AJ221" s="36">
        <f t="shared" si="114"/>
        <v>-0.0138732658417697</v>
      </c>
      <c r="AK221" s="36">
        <f t="shared" si="116"/>
        <v>-0.0201192250372579</v>
      </c>
      <c r="AL221" s="105"/>
      <c r="AM221" s="91"/>
      <c r="AN221" s="36"/>
      <c r="AO221" s="36"/>
      <c r="AP221" s="36"/>
      <c r="AQ221" s="128" t="str" cm="1">
        <f t="array" ref="AQ221">_xlfn.IFS(MONTH(AR221)&lt;4,1,MONTH(AR221)&lt;7,2,MONTH(AR221)&lt;10,3,MONTH(AR221)&gt;9,4)&amp;"Q"&amp;RIGHT(YEAR(AR221),2)</f>
        <v>4Q22</v>
      </c>
      <c r="AR221" s="128">
        <f t="shared" si="115"/>
        <v>44865</v>
      </c>
      <c r="AS221" s="129">
        <f t="shared" si="130"/>
        <v>44851</v>
      </c>
      <c r="AT221" s="130">
        <v>93</v>
      </c>
      <c r="AU221" s="94" cm="1">
        <f t="array" ref="AU221">INDEX($CE$29:$CE$1449,MATCH($AR221,$CA$29:$CA$1449,0),)</f>
        <v>95</v>
      </c>
      <c r="AV221" s="130">
        <v>191</v>
      </c>
      <c r="AW221" s="94" cm="1">
        <f t="array" ref="AW221">INDEX($CF$29:$CF$1449,MATCH($AR221,$CA$29:$CA$1449,0),)</f>
        <v>186</v>
      </c>
      <c r="AX221" s="94"/>
      <c r="AY221" s="94"/>
      <c r="AZ221" s="94"/>
      <c r="BA221" s="94"/>
      <c r="BB221" s="132">
        <f t="shared" si="117"/>
        <v>-0.03125</v>
      </c>
      <c r="BC221" s="132">
        <f t="shared" si="119"/>
        <v>-0.0510204081632653</v>
      </c>
      <c r="BD221" s="132">
        <f t="shared" si="121"/>
        <v>-0.0792079207920792</v>
      </c>
      <c r="BE221" s="132">
        <f t="shared" si="118"/>
        <v>-0.0255102040816326</v>
      </c>
      <c r="BF221" s="132">
        <f t="shared" si="120"/>
        <v>-0.0304568527918782</v>
      </c>
      <c r="BG221" s="132">
        <f t="shared" si="122"/>
        <v>-0.0353535353535354</v>
      </c>
      <c r="BH221" s="132"/>
      <c r="BI221" s="132"/>
      <c r="BJ221" s="132"/>
      <c r="BK221" s="132"/>
      <c r="BL221" s="132"/>
      <c r="BM221" s="132"/>
      <c r="BN221" s="132"/>
      <c r="FV221" s="104">
        <f t="shared" si="124"/>
        <v>2011</v>
      </c>
      <c r="FW221" s="104">
        <f t="shared" si="125"/>
        <v>28</v>
      </c>
      <c r="FX221" s="35">
        <v>40730</v>
      </c>
      <c r="FY221" s="26">
        <v>1.43</v>
      </c>
      <c r="FZ221" s="94">
        <f t="shared" si="126"/>
        <v>5.72</v>
      </c>
      <c r="GA221" s="104"/>
      <c r="GB221" s="104"/>
      <c r="GE221" s="94"/>
      <c r="GF221" s="104">
        <f t="shared" si="127"/>
        <v>2013</v>
      </c>
      <c r="GG221" s="104">
        <f t="shared" si="128"/>
        <v>42</v>
      </c>
      <c r="GH221" s="35">
        <v>41561</v>
      </c>
      <c r="GI221" s="26">
        <v>4.253</v>
      </c>
      <c r="GJ221" s="94">
        <f t="shared" si="129"/>
        <v>8.506</v>
      </c>
      <c r="GK221" s="104"/>
      <c r="GL221" s="104"/>
      <c r="GO221" s="94"/>
    </row>
    <row r="222" spans="3:197">
      <c r="C222" s="80" t="str" cm="1">
        <f t="array" ref="C222">_xlfn.IFS(MONTH(D222)&lt;4,1,MONTH(D222)&lt;7,2,MONTH(D222)&lt;10,3,MONTH(D222)&gt;9,4)&amp;"Q"&amp;RIGHT(YEAR(D222),2)</f>
        <v>4Q16</v>
      </c>
      <c r="D222" s="81">
        <f t="shared" ref="D222:D285" si="134">EOMONTH(E222,0)</f>
        <v>42704</v>
      </c>
      <c r="E222" s="82">
        <f t="shared" si="131"/>
        <v>42704</v>
      </c>
      <c r="F222" s="83">
        <f t="shared" si="132"/>
        <v>0.65</v>
      </c>
      <c r="G222" s="83">
        <f t="shared" si="132"/>
        <v>0.52375</v>
      </c>
      <c r="H222" s="81"/>
      <c r="I222" s="84">
        <v>42704</v>
      </c>
      <c r="J222" s="85">
        <v>5.55</v>
      </c>
      <c r="K222" s="85">
        <v>5</v>
      </c>
      <c r="L222" s="86">
        <v>5.2</v>
      </c>
      <c r="M222" s="94" cm="1">
        <f t="array" ref="M222">INDEX($BV$29:$BV$1449,MATCH($D222,$BR$29:$BR$1449,0),)</f>
        <v>4.19</v>
      </c>
      <c r="N222" s="88"/>
      <c r="O222" s="88"/>
      <c r="P222" s="88"/>
      <c r="Q222" s="89">
        <f t="shared" si="133"/>
        <v>0.241050119331742</v>
      </c>
      <c r="AH222" s="105">
        <f t="shared" si="123"/>
        <v>44048</v>
      </c>
      <c r="AI222" s="91">
        <f t="shared" ref="AI222:AI282" si="135">IFERROR(VLOOKUP(AH222,$I:$L,4,FALSE),VLOOKUP(AH222,$I:$L,4,TRUE))</f>
        <v>2.609</v>
      </c>
      <c r="AJ222" s="36">
        <f t="shared" ref="AJ222:AJ285" si="136">AI222/AI221-1</f>
        <v>-0.00798479087452464</v>
      </c>
      <c r="AK222" s="36">
        <f t="shared" si="116"/>
        <v>-0.0217472815898012</v>
      </c>
      <c r="AL222" s="105"/>
      <c r="AM222" s="91"/>
      <c r="AN222" s="36"/>
      <c r="AO222" s="36"/>
      <c r="AP222" s="36"/>
      <c r="AQ222" s="128" t="str" cm="1">
        <f t="array" ref="AQ222">_xlfn.IFS(MONTH(AR222)&lt;4,1,MONTH(AR222)&lt;7,2,MONTH(AR222)&lt;10,3,MONTH(AR222)&gt;9,4)&amp;"Q"&amp;RIGHT(YEAR(AR222),2)</f>
        <v>4Q22</v>
      </c>
      <c r="AR222" s="128">
        <f t="shared" ref="AR222:AR285" si="137">EOMONTH(AS222,0)</f>
        <v>44865</v>
      </c>
      <c r="AS222" s="129">
        <f t="shared" si="130"/>
        <v>44858</v>
      </c>
      <c r="AT222" s="130">
        <v>92</v>
      </c>
      <c r="AU222" s="94" cm="1">
        <f t="array" ref="AU222">INDEX($CE$29:$CE$1449,MATCH($AR222,$CA$29:$CA$1449,0),)</f>
        <v>95</v>
      </c>
      <c r="AV222" s="130">
        <v>190</v>
      </c>
      <c r="AW222" s="94" cm="1">
        <f t="array" ref="AW222">INDEX($CF$29:$CF$1449,MATCH($AR222,$CA$29:$CA$1449,0),)</f>
        <v>186</v>
      </c>
      <c r="AX222" s="94"/>
      <c r="AY222" s="94"/>
      <c r="AZ222" s="94"/>
      <c r="BA222" s="94"/>
      <c r="BB222" s="132">
        <f t="shared" si="117"/>
        <v>-0.010752688172043</v>
      </c>
      <c r="BC222" s="132">
        <f t="shared" si="119"/>
        <v>-0.0416666666666666</v>
      </c>
      <c r="BD222" s="132">
        <f t="shared" si="121"/>
        <v>-0.0612244897959183</v>
      </c>
      <c r="BE222" s="132">
        <f t="shared" si="118"/>
        <v>-0.00523560209424079</v>
      </c>
      <c r="BF222" s="132">
        <f t="shared" si="120"/>
        <v>-0.0306122448979592</v>
      </c>
      <c r="BG222" s="132">
        <f t="shared" si="122"/>
        <v>-0.0355329949238579</v>
      </c>
      <c r="BH222" s="132"/>
      <c r="BI222" s="132"/>
      <c r="BJ222" s="132"/>
      <c r="BK222" s="132"/>
      <c r="BL222" s="132"/>
      <c r="BM222" s="132"/>
      <c r="BN222" s="132"/>
      <c r="FV222" s="104">
        <f t="shared" si="124"/>
        <v>2011</v>
      </c>
      <c r="FW222" s="104">
        <f t="shared" si="125"/>
        <v>28</v>
      </c>
      <c r="FX222" s="35">
        <v>40731</v>
      </c>
      <c r="FY222" s="26">
        <v>1.43</v>
      </c>
      <c r="FZ222" s="94">
        <f t="shared" si="126"/>
        <v>5.72</v>
      </c>
      <c r="GA222" s="104"/>
      <c r="GB222" s="104"/>
      <c r="GE222" s="94"/>
      <c r="GF222" s="104">
        <f t="shared" si="127"/>
        <v>2013</v>
      </c>
      <c r="GG222" s="104">
        <f t="shared" si="128"/>
        <v>42</v>
      </c>
      <c r="GH222" s="35">
        <v>41562</v>
      </c>
      <c r="GI222" s="26">
        <v>4.253</v>
      </c>
      <c r="GJ222" s="94">
        <f t="shared" si="129"/>
        <v>8.506</v>
      </c>
      <c r="GK222" s="104"/>
      <c r="GL222" s="104"/>
      <c r="GO222" s="94"/>
    </row>
    <row r="223" spans="3:197">
      <c r="C223" s="80" t="str" cm="1">
        <f t="array" ref="C223">_xlfn.IFS(MONTH(D223)&lt;4,1,MONTH(D223)&lt;7,2,MONTH(D223)&lt;10,3,MONTH(D223)&gt;9,4)&amp;"Q"&amp;RIGHT(YEAR(D223),2)</f>
        <v>4Q16</v>
      </c>
      <c r="D223" s="81">
        <f t="shared" si="134"/>
        <v>42735</v>
      </c>
      <c r="E223" s="82">
        <f t="shared" si="131"/>
        <v>42705</v>
      </c>
      <c r="F223" s="83">
        <f t="shared" si="132"/>
        <v>0.651875</v>
      </c>
      <c r="G223" s="83">
        <f t="shared" si="132"/>
        <v>0.52375</v>
      </c>
      <c r="H223" s="81"/>
      <c r="I223" s="84">
        <v>42705</v>
      </c>
      <c r="J223" s="85">
        <v>5.55</v>
      </c>
      <c r="K223" s="85">
        <v>5</v>
      </c>
      <c r="L223" s="86">
        <v>5.215</v>
      </c>
      <c r="M223" s="94" cm="1">
        <f t="array" ref="M223">INDEX($BV$29:$BV$1449,MATCH($D223,$BR$29:$BR$1449,0),)</f>
        <v>4.19</v>
      </c>
      <c r="N223" s="88"/>
      <c r="O223" s="88"/>
      <c r="P223" s="88"/>
      <c r="Q223" s="89">
        <f t="shared" si="133"/>
        <v>0.244630071599045</v>
      </c>
      <c r="AH223" s="105">
        <f t="shared" si="123"/>
        <v>44056</v>
      </c>
      <c r="AI223" s="91">
        <f t="shared" si="135"/>
        <v>2.581</v>
      </c>
      <c r="AJ223" s="36">
        <f t="shared" si="136"/>
        <v>-0.0107320812571867</v>
      </c>
      <c r="AK223" s="36">
        <f t="shared" ref="AK223:AK286" si="138">AI223/AI221-1</f>
        <v>-0.0186311787072243</v>
      </c>
      <c r="AL223" s="105"/>
      <c r="AM223" s="91"/>
      <c r="AN223" s="36"/>
      <c r="AO223" s="36"/>
      <c r="AP223" s="36"/>
      <c r="AQ223" s="128" t="str" cm="1">
        <f t="array" ref="AQ223">_xlfn.IFS(MONTH(AR223)&lt;4,1,MONTH(AR223)&lt;7,2,MONTH(AR223)&lt;10,3,MONTH(AR223)&gt;9,4)&amp;"Q"&amp;RIGHT(YEAR(AR223),2)</f>
        <v>4Q22</v>
      </c>
      <c r="AR223" s="128">
        <f t="shared" si="137"/>
        <v>44865</v>
      </c>
      <c r="AS223" s="129">
        <f t="shared" si="130"/>
        <v>44865</v>
      </c>
      <c r="AT223" s="130">
        <v>81.5</v>
      </c>
      <c r="AU223" s="94" cm="1">
        <f t="array" ref="AU223">INDEX($CE$29:$CE$1449,MATCH($AR223,$CA$29:$CA$1449,0),)</f>
        <v>95</v>
      </c>
      <c r="AV223" s="130">
        <v>170</v>
      </c>
      <c r="AW223" s="94" cm="1">
        <f t="array" ref="AW223">INDEX($CF$29:$CF$1449,MATCH($AR223,$CA$29:$CA$1449,0),)</f>
        <v>186</v>
      </c>
      <c r="AX223" s="94"/>
      <c r="AY223" s="94"/>
      <c r="AZ223" s="94"/>
      <c r="BA223" s="94"/>
      <c r="BB223" s="132">
        <f t="shared" si="117"/>
        <v>-0.114130434782609</v>
      </c>
      <c r="BC223" s="132">
        <f t="shared" si="119"/>
        <v>-0.123655913978495</v>
      </c>
      <c r="BD223" s="132">
        <f t="shared" si="121"/>
        <v>-0.151041666666667</v>
      </c>
      <c r="BE223" s="132">
        <f t="shared" si="118"/>
        <v>-0.105263157894737</v>
      </c>
      <c r="BF223" s="132">
        <f t="shared" si="120"/>
        <v>-0.109947643979058</v>
      </c>
      <c r="BG223" s="132">
        <f t="shared" si="122"/>
        <v>-0.13265306122449</v>
      </c>
      <c r="BH223" s="132"/>
      <c r="BI223" s="132"/>
      <c r="BJ223" s="132"/>
      <c r="BK223" s="132"/>
      <c r="BL223" s="132"/>
      <c r="BM223" s="132"/>
      <c r="BN223" s="132"/>
      <c r="FV223" s="104">
        <f t="shared" si="124"/>
        <v>2011</v>
      </c>
      <c r="FW223" s="104">
        <f t="shared" si="125"/>
        <v>28</v>
      </c>
      <c r="FX223" s="35">
        <v>40732</v>
      </c>
      <c r="FY223" s="26">
        <v>1.42</v>
      </c>
      <c r="FZ223" s="94">
        <f t="shared" si="126"/>
        <v>5.68</v>
      </c>
      <c r="GA223" s="104"/>
      <c r="GB223" s="104"/>
      <c r="GE223" s="94"/>
      <c r="GF223" s="104">
        <f t="shared" si="127"/>
        <v>2013</v>
      </c>
      <c r="GG223" s="104">
        <f t="shared" si="128"/>
        <v>42</v>
      </c>
      <c r="GH223" s="35">
        <v>41563</v>
      </c>
      <c r="GI223" s="26">
        <v>4.238</v>
      </c>
      <c r="GJ223" s="94">
        <f t="shared" si="129"/>
        <v>8.476</v>
      </c>
      <c r="GK223" s="104"/>
      <c r="GL223" s="104"/>
      <c r="GO223" s="94"/>
    </row>
    <row r="224" spans="3:197">
      <c r="C224" s="80" t="str" cm="1">
        <f t="array" ref="C224">_xlfn.IFS(MONTH(D224)&lt;4,1,MONTH(D224)&lt;7,2,MONTH(D224)&lt;10,3,MONTH(D224)&gt;9,4)&amp;"Q"&amp;RIGHT(YEAR(D224),2)</f>
        <v>4Q16</v>
      </c>
      <c r="D224" s="81">
        <f t="shared" si="134"/>
        <v>42735</v>
      </c>
      <c r="E224" s="82">
        <f t="shared" si="131"/>
        <v>42706</v>
      </c>
      <c r="F224" s="83">
        <f t="shared" si="132"/>
        <v>0.659375</v>
      </c>
      <c r="G224" s="83">
        <f t="shared" si="132"/>
        <v>0.52375</v>
      </c>
      <c r="H224" s="81"/>
      <c r="I224" s="84">
        <v>42706</v>
      </c>
      <c r="J224" s="85">
        <v>5.6</v>
      </c>
      <c r="K224" s="85">
        <v>5.1</v>
      </c>
      <c r="L224" s="86">
        <v>5.275</v>
      </c>
      <c r="M224" s="94" cm="1">
        <f t="array" ref="M224">INDEX($BV$29:$BV$1449,MATCH($D224,$BR$29:$BR$1449,0),)</f>
        <v>4.19</v>
      </c>
      <c r="N224" s="88"/>
      <c r="O224" s="88"/>
      <c r="P224" s="88"/>
      <c r="Q224" s="89">
        <f t="shared" si="133"/>
        <v>0.258949880668258</v>
      </c>
      <c r="AH224" s="105">
        <f t="shared" si="123"/>
        <v>44064</v>
      </c>
      <c r="AI224" s="91">
        <f t="shared" si="135"/>
        <v>2.537</v>
      </c>
      <c r="AJ224" s="36">
        <f t="shared" si="136"/>
        <v>-0.0170476559473073</v>
      </c>
      <c r="AK224" s="36">
        <f t="shared" si="138"/>
        <v>-0.0275967803756229</v>
      </c>
      <c r="AL224" s="105"/>
      <c r="AM224" s="91"/>
      <c r="AN224" s="36"/>
      <c r="AO224" s="36"/>
      <c r="AP224" s="36"/>
      <c r="AQ224" s="128" t="str" cm="1">
        <f t="array" ref="AQ224">_xlfn.IFS(MONTH(AR224)&lt;4,1,MONTH(AR224)&lt;7,2,MONTH(AR224)&lt;10,3,MONTH(AR224)&gt;9,4)&amp;"Q"&amp;RIGHT(YEAR(AR224),2)</f>
        <v>4Q22</v>
      </c>
      <c r="AR224" s="128">
        <f t="shared" si="137"/>
        <v>44895</v>
      </c>
      <c r="AS224" s="129">
        <f t="shared" si="130"/>
        <v>44872</v>
      </c>
      <c r="AT224" s="130">
        <v>76</v>
      </c>
      <c r="AU224" s="94" cm="1">
        <f t="array" ref="AU224">INDEX($CE$29:$CE$1449,MATCH($AR224,$CA$29:$CA$1449,0),)</f>
        <v>85</v>
      </c>
      <c r="AV224" s="130">
        <v>158</v>
      </c>
      <c r="AW224" s="94" cm="1">
        <f t="array" ref="AW224">INDEX($CF$29:$CF$1449,MATCH($AR224,$CA$29:$CA$1449,0),)</f>
        <v>170</v>
      </c>
      <c r="AX224" s="94"/>
      <c r="AY224" s="94"/>
      <c r="AZ224" s="94"/>
      <c r="BA224" s="94"/>
      <c r="BB224" s="132">
        <f t="shared" si="117"/>
        <v>-0.0674846625766872</v>
      </c>
      <c r="BC224" s="132">
        <f t="shared" si="119"/>
        <v>-0.173913043478261</v>
      </c>
      <c r="BD224" s="132">
        <f t="shared" si="121"/>
        <v>-0.182795698924731</v>
      </c>
      <c r="BE224" s="132">
        <f t="shared" si="118"/>
        <v>-0.0705882352941176</v>
      </c>
      <c r="BF224" s="132">
        <f t="shared" si="120"/>
        <v>-0.168421052631579</v>
      </c>
      <c r="BG224" s="132">
        <f t="shared" si="122"/>
        <v>-0.172774869109948</v>
      </c>
      <c r="BH224" s="132"/>
      <c r="BI224" s="132"/>
      <c r="BJ224" s="132"/>
      <c r="BK224" s="132"/>
      <c r="BL224" s="132"/>
      <c r="BM224" s="132"/>
      <c r="BN224" s="132"/>
      <c r="FV224" s="104">
        <f t="shared" si="124"/>
        <v>2011</v>
      </c>
      <c r="FW224" s="104">
        <f t="shared" si="125"/>
        <v>29</v>
      </c>
      <c r="FX224" s="35">
        <v>40735</v>
      </c>
      <c r="FY224" s="26">
        <v>1.37</v>
      </c>
      <c r="FZ224" s="94">
        <f t="shared" si="126"/>
        <v>5.48</v>
      </c>
      <c r="GA224" s="104"/>
      <c r="GB224" s="104"/>
      <c r="GE224" s="94"/>
      <c r="GF224" s="104">
        <f t="shared" si="127"/>
        <v>2013</v>
      </c>
      <c r="GG224" s="104">
        <f t="shared" si="128"/>
        <v>42</v>
      </c>
      <c r="GH224" s="35">
        <v>41564</v>
      </c>
      <c r="GI224" s="26">
        <v>4.226</v>
      </c>
      <c r="GJ224" s="94">
        <f t="shared" si="129"/>
        <v>8.452</v>
      </c>
      <c r="GK224" s="104"/>
      <c r="GL224" s="104"/>
      <c r="GO224" s="94"/>
    </row>
    <row r="225" spans="3:197">
      <c r="C225" s="80" t="str" cm="1">
        <f t="array" ref="C225">_xlfn.IFS(MONTH(D225)&lt;4,1,MONTH(D225)&lt;7,2,MONTH(D225)&lt;10,3,MONTH(D225)&gt;9,4)&amp;"Q"&amp;RIGHT(YEAR(D225),2)</f>
        <v>4Q16</v>
      </c>
      <c r="D225" s="81">
        <f t="shared" si="134"/>
        <v>42735</v>
      </c>
      <c r="E225" s="82">
        <f t="shared" si="131"/>
        <v>42709</v>
      </c>
      <c r="F225" s="83">
        <f t="shared" si="132"/>
        <v>0.6625</v>
      </c>
      <c r="G225" s="83">
        <f t="shared" si="132"/>
        <v>0.52375</v>
      </c>
      <c r="H225" s="81"/>
      <c r="I225" s="84">
        <v>42709</v>
      </c>
      <c r="J225" s="85">
        <v>5.6</v>
      </c>
      <c r="K225" s="85">
        <v>5.15</v>
      </c>
      <c r="L225" s="86">
        <v>5.3</v>
      </c>
      <c r="M225" s="94" cm="1">
        <f t="array" ref="M225">INDEX($BV$29:$BV$1449,MATCH($D225,$BR$29:$BR$1449,0),)</f>
        <v>4.19</v>
      </c>
      <c r="N225" s="88"/>
      <c r="O225" s="88"/>
      <c r="P225" s="88"/>
      <c r="Q225" s="89">
        <f t="shared" si="133"/>
        <v>0.264916467780429</v>
      </c>
      <c r="AH225" s="105">
        <f t="shared" si="123"/>
        <v>44074</v>
      </c>
      <c r="AI225" s="91">
        <f t="shared" si="135"/>
        <v>2.586</v>
      </c>
      <c r="AJ225" s="36">
        <f t="shared" si="136"/>
        <v>0.0193141505715411</v>
      </c>
      <c r="AK225" s="36">
        <f t="shared" si="138"/>
        <v>0.00193723363037579</v>
      </c>
      <c r="AL225" s="105"/>
      <c r="AM225" s="91"/>
      <c r="AN225" s="36"/>
      <c r="AO225" s="36"/>
      <c r="AP225" s="36"/>
      <c r="AQ225" s="128" t="str" cm="1">
        <f t="array" ref="AQ225">_xlfn.IFS(MONTH(AR225)&lt;4,1,MONTH(AR225)&lt;7,2,MONTH(AR225)&lt;10,3,MONTH(AR225)&gt;9,4)&amp;"Q"&amp;RIGHT(YEAR(AR225),2)</f>
        <v>4Q22</v>
      </c>
      <c r="AR225" s="128">
        <f t="shared" si="137"/>
        <v>44895</v>
      </c>
      <c r="AS225" s="129">
        <f t="shared" si="130"/>
        <v>44879</v>
      </c>
      <c r="AT225" s="130">
        <v>73.5</v>
      </c>
      <c r="AU225" s="94" cm="1">
        <f t="array" ref="AU225">INDEX($CE$29:$CE$1449,MATCH($AR225,$CA$29:$CA$1449,0),)</f>
        <v>85</v>
      </c>
      <c r="AV225" s="130">
        <v>153</v>
      </c>
      <c r="AW225" s="94" cm="1">
        <f t="array" ref="AW225">INDEX($CF$29:$CF$1449,MATCH($AR225,$CA$29:$CA$1449,0),)</f>
        <v>170</v>
      </c>
      <c r="AX225" s="94"/>
      <c r="AY225" s="94"/>
      <c r="AZ225" s="94"/>
      <c r="BA225" s="94"/>
      <c r="BB225" s="132">
        <f t="shared" ref="BB225:BB288" si="139">AT225/AT224-1</f>
        <v>-0.0328947368421053</v>
      </c>
      <c r="BC225" s="132">
        <f t="shared" si="119"/>
        <v>-0.098159509202454</v>
      </c>
      <c r="BD225" s="132">
        <f t="shared" si="121"/>
        <v>-0.201086956521739</v>
      </c>
      <c r="BE225" s="133">
        <f t="shared" ref="BE225:BE288" si="140">AV225/AV224-1</f>
        <v>-0.0316455696202531</v>
      </c>
      <c r="BF225" s="132">
        <f t="shared" si="120"/>
        <v>-0.1</v>
      </c>
      <c r="BG225" s="132">
        <f t="shared" si="122"/>
        <v>-0.194736842105263</v>
      </c>
      <c r="BH225" s="132"/>
      <c r="BI225" s="132"/>
      <c r="BJ225" s="132"/>
      <c r="BK225" s="132"/>
      <c r="BL225" s="132"/>
      <c r="BM225" s="132"/>
      <c r="BN225" s="132"/>
      <c r="FV225" s="104">
        <f t="shared" si="124"/>
        <v>2011</v>
      </c>
      <c r="FW225" s="104">
        <f t="shared" si="125"/>
        <v>29</v>
      </c>
      <c r="FX225" s="35">
        <v>40736</v>
      </c>
      <c r="FY225" s="26">
        <v>1.36</v>
      </c>
      <c r="FZ225" s="94">
        <f t="shared" si="126"/>
        <v>5.44</v>
      </c>
      <c r="GA225" s="104"/>
      <c r="GB225" s="104"/>
      <c r="GE225" s="94"/>
      <c r="GF225" s="104">
        <f t="shared" si="127"/>
        <v>2013</v>
      </c>
      <c r="GG225" s="104">
        <f t="shared" si="128"/>
        <v>42</v>
      </c>
      <c r="GH225" s="35">
        <v>41565</v>
      </c>
      <c r="GI225" s="26">
        <v>4.21</v>
      </c>
      <c r="GJ225" s="94">
        <f t="shared" si="129"/>
        <v>8.42</v>
      </c>
      <c r="GK225" s="104"/>
      <c r="GL225" s="104"/>
      <c r="GO225" s="94"/>
    </row>
    <row r="226" spans="3:197">
      <c r="C226" s="80" t="str" cm="1">
        <f t="array" ref="C226">_xlfn.IFS(MONTH(D226)&lt;4,1,MONTH(D226)&lt;7,2,MONTH(D226)&lt;10,3,MONTH(D226)&gt;9,4)&amp;"Q"&amp;RIGHT(YEAR(D226),2)</f>
        <v>4Q16</v>
      </c>
      <c r="D226" s="81">
        <f t="shared" si="134"/>
        <v>42735</v>
      </c>
      <c r="E226" s="82">
        <f t="shared" si="131"/>
        <v>42710</v>
      </c>
      <c r="F226" s="83">
        <f t="shared" si="132"/>
        <v>0.665625</v>
      </c>
      <c r="G226" s="83">
        <f t="shared" si="132"/>
        <v>0.52375</v>
      </c>
      <c r="H226" s="81"/>
      <c r="I226" s="84">
        <v>42710</v>
      </c>
      <c r="J226" s="85">
        <v>5.6</v>
      </c>
      <c r="K226" s="85">
        <v>5.15</v>
      </c>
      <c r="L226" s="86">
        <v>5.325</v>
      </c>
      <c r="M226" s="94" cm="1">
        <f t="array" ref="M226">INDEX($BV$29:$BV$1449,MATCH($D226,$BR$29:$BR$1449,0),)</f>
        <v>4.19</v>
      </c>
      <c r="N226" s="88"/>
      <c r="O226" s="88"/>
      <c r="P226" s="88"/>
      <c r="Q226" s="89">
        <f t="shared" si="133"/>
        <v>0.270883054892601</v>
      </c>
      <c r="AH226" s="105">
        <f t="shared" si="123"/>
        <v>44082</v>
      </c>
      <c r="AI226" s="91">
        <f t="shared" si="135"/>
        <v>2.855</v>
      </c>
      <c r="AJ226" s="36">
        <f t="shared" si="136"/>
        <v>0.104021655065739</v>
      </c>
      <c r="AK226" s="36">
        <f t="shared" si="138"/>
        <v>0.12534489554592</v>
      </c>
      <c r="AL226" s="105"/>
      <c r="AM226" s="91"/>
      <c r="AN226" s="36"/>
      <c r="AO226" s="36"/>
      <c r="AP226" s="36"/>
      <c r="AQ226" s="128" t="str" cm="1">
        <f t="array" ref="AQ226">_xlfn.IFS(MONTH(AR226)&lt;4,1,MONTH(AR226)&lt;7,2,MONTH(AR226)&lt;10,3,MONTH(AR226)&gt;9,4)&amp;"Q"&amp;RIGHT(YEAR(AR226),2)</f>
        <v>4Q22</v>
      </c>
      <c r="AR226" s="128">
        <f t="shared" si="137"/>
        <v>44895</v>
      </c>
      <c r="AS226" s="129">
        <f t="shared" si="130"/>
        <v>44886</v>
      </c>
      <c r="AT226" s="130">
        <v>75</v>
      </c>
      <c r="AU226" s="94" cm="1">
        <f t="array" ref="AU226">INDEX($CE$29:$CE$1449,MATCH($AR226,$CA$29:$CA$1449,0),)</f>
        <v>85</v>
      </c>
      <c r="AV226" s="130">
        <v>152</v>
      </c>
      <c r="AW226" s="94" cm="1">
        <f t="array" ref="AW226">INDEX($CF$29:$CF$1449,MATCH($AR226,$CA$29:$CA$1449,0),)</f>
        <v>170</v>
      </c>
      <c r="AX226" s="94"/>
      <c r="AY226" s="94"/>
      <c r="AZ226" s="94"/>
      <c r="BA226" s="94"/>
      <c r="BB226" s="132">
        <f t="shared" si="139"/>
        <v>0.0204081632653061</v>
      </c>
      <c r="BC226" s="132">
        <f t="shared" ref="BC226:BC289" si="141">AT226/AT224-1</f>
        <v>-0.0131578947368421</v>
      </c>
      <c r="BD226" s="132">
        <f t="shared" si="121"/>
        <v>-0.0797546012269938</v>
      </c>
      <c r="BE226" s="132">
        <f t="shared" si="140"/>
        <v>-0.00653594771241828</v>
      </c>
      <c r="BF226" s="132">
        <f t="shared" ref="BF226:BF289" si="142">AV226/AV224-1</f>
        <v>-0.0379746835443038</v>
      </c>
      <c r="BG226" s="132">
        <f t="shared" si="122"/>
        <v>-0.105882352941176</v>
      </c>
      <c r="BH226" s="132"/>
      <c r="BI226" s="132"/>
      <c r="BJ226" s="132"/>
      <c r="BK226" s="132"/>
      <c r="BL226" s="132"/>
      <c r="BM226" s="132"/>
      <c r="BN226" s="132"/>
      <c r="FV226" s="104">
        <f t="shared" si="124"/>
        <v>2011</v>
      </c>
      <c r="FW226" s="104">
        <f t="shared" si="125"/>
        <v>29</v>
      </c>
      <c r="FX226" s="35">
        <v>40737</v>
      </c>
      <c r="FY226" s="26">
        <v>1.35</v>
      </c>
      <c r="FZ226" s="94">
        <f t="shared" si="126"/>
        <v>5.4</v>
      </c>
      <c r="GA226" s="104"/>
      <c r="GB226" s="104"/>
      <c r="GE226" s="94"/>
      <c r="GF226" s="104">
        <f t="shared" si="127"/>
        <v>2013</v>
      </c>
      <c r="GG226" s="104">
        <f t="shared" si="128"/>
        <v>43</v>
      </c>
      <c r="GH226" s="35">
        <v>41568</v>
      </c>
      <c r="GI226" s="26">
        <v>4.21</v>
      </c>
      <c r="GJ226" s="94">
        <f t="shared" si="129"/>
        <v>8.42</v>
      </c>
      <c r="GK226" s="104"/>
      <c r="GL226" s="104"/>
      <c r="GO226" s="94"/>
    </row>
    <row r="227" spans="3:197">
      <c r="C227" s="80" t="str" cm="1">
        <f t="array" ref="C227">_xlfn.IFS(MONTH(D227)&lt;4,1,MONTH(D227)&lt;7,2,MONTH(D227)&lt;10,3,MONTH(D227)&gt;9,4)&amp;"Q"&amp;RIGHT(YEAR(D227),2)</f>
        <v>4Q16</v>
      </c>
      <c r="D227" s="81">
        <f t="shared" si="134"/>
        <v>42735</v>
      </c>
      <c r="E227" s="82">
        <f t="shared" si="131"/>
        <v>42711</v>
      </c>
      <c r="F227" s="83">
        <f t="shared" si="132"/>
        <v>0.671875</v>
      </c>
      <c r="G227" s="83">
        <f t="shared" si="132"/>
        <v>0.52375</v>
      </c>
      <c r="H227" s="81"/>
      <c r="I227" s="84">
        <v>42711</v>
      </c>
      <c r="J227" s="85">
        <v>5.7</v>
      </c>
      <c r="K227" s="85">
        <v>5.18</v>
      </c>
      <c r="L227" s="86">
        <v>5.375</v>
      </c>
      <c r="M227" s="94" cm="1">
        <f t="array" ref="M227">INDEX($BV$29:$BV$1449,MATCH($D227,$BR$29:$BR$1449,0),)</f>
        <v>4.19</v>
      </c>
      <c r="N227" s="88"/>
      <c r="O227" s="88"/>
      <c r="P227" s="88"/>
      <c r="Q227" s="89">
        <f t="shared" si="133"/>
        <v>0.282816229116945</v>
      </c>
      <c r="AH227" s="105">
        <f t="shared" si="123"/>
        <v>44090</v>
      </c>
      <c r="AI227" s="91">
        <f t="shared" si="135"/>
        <v>2.968</v>
      </c>
      <c r="AJ227" s="36">
        <f t="shared" si="136"/>
        <v>0.0395796847635728</v>
      </c>
      <c r="AK227" s="36">
        <f t="shared" si="138"/>
        <v>0.147718484145398</v>
      </c>
      <c r="AL227" s="105"/>
      <c r="AM227" s="91"/>
      <c r="AN227" s="36"/>
      <c r="AO227" s="36"/>
      <c r="AP227" s="36"/>
      <c r="AQ227" s="128" t="str" cm="1">
        <f t="array" ref="AQ227">_xlfn.IFS(MONTH(AR227)&lt;4,1,MONTH(AR227)&lt;7,2,MONTH(AR227)&lt;10,3,MONTH(AR227)&gt;9,4)&amp;"Q"&amp;RIGHT(YEAR(AR227),2)</f>
        <v>4Q22</v>
      </c>
      <c r="AR227" s="128">
        <f t="shared" si="137"/>
        <v>44895</v>
      </c>
      <c r="AS227" s="129">
        <f t="shared" si="130"/>
        <v>44893</v>
      </c>
      <c r="AT227" s="130">
        <v>74.5</v>
      </c>
      <c r="AU227" s="94" cm="1">
        <f t="array" ref="AU227">INDEX($CE$29:$CE$1449,MATCH($AR227,$CA$29:$CA$1449,0),)</f>
        <v>85</v>
      </c>
      <c r="AV227" s="130">
        <v>151</v>
      </c>
      <c r="AW227" s="94" cm="1">
        <f t="array" ref="AW227">INDEX($CF$29:$CF$1449,MATCH($AR227,$CA$29:$CA$1449,0),)</f>
        <v>170</v>
      </c>
      <c r="AX227" s="94"/>
      <c r="AY227" s="94"/>
      <c r="AZ227" s="94"/>
      <c r="BA227" s="94"/>
      <c r="BB227" s="132">
        <f t="shared" si="139"/>
        <v>-0.00666666666666671</v>
      </c>
      <c r="BC227" s="132">
        <f t="shared" si="141"/>
        <v>0.0136054421768708</v>
      </c>
      <c r="BD227" s="132">
        <f t="shared" ref="BD227:BD290" si="143">AT227/AT224-1</f>
        <v>-0.0197368421052632</v>
      </c>
      <c r="BE227" s="132">
        <f t="shared" si="140"/>
        <v>-0.00657894736842102</v>
      </c>
      <c r="BF227" s="132">
        <f t="shared" si="142"/>
        <v>-0.0130718954248366</v>
      </c>
      <c r="BG227" s="132">
        <f t="shared" ref="BG227:BG290" si="144">AV227/AV224-1</f>
        <v>-0.0443037974683544</v>
      </c>
      <c r="BH227" s="132"/>
      <c r="BI227" s="132"/>
      <c r="BJ227" s="132"/>
      <c r="BK227" s="132"/>
      <c r="BL227" s="132"/>
      <c r="BM227" s="132"/>
      <c r="BN227" s="132"/>
      <c r="FV227" s="104">
        <f t="shared" si="124"/>
        <v>2011</v>
      </c>
      <c r="FW227" s="104">
        <f t="shared" si="125"/>
        <v>29</v>
      </c>
      <c r="FX227" s="35">
        <v>40738</v>
      </c>
      <c r="FY227" s="26">
        <v>1.34</v>
      </c>
      <c r="FZ227" s="94">
        <f t="shared" si="126"/>
        <v>5.36</v>
      </c>
      <c r="GA227" s="104"/>
      <c r="GB227" s="104"/>
      <c r="GE227" s="94"/>
      <c r="GF227" s="104">
        <f t="shared" si="127"/>
        <v>2013</v>
      </c>
      <c r="GG227" s="104">
        <f t="shared" si="128"/>
        <v>43</v>
      </c>
      <c r="GH227" s="35">
        <v>41569</v>
      </c>
      <c r="GI227" s="26">
        <v>4.193</v>
      </c>
      <c r="GJ227" s="94">
        <f t="shared" si="129"/>
        <v>8.386</v>
      </c>
      <c r="GK227" s="104"/>
      <c r="GL227" s="104"/>
      <c r="GO227" s="94"/>
    </row>
    <row r="228" spans="3:197">
      <c r="C228" s="80" t="str" cm="1">
        <f t="array" ref="C228">_xlfn.IFS(MONTH(D228)&lt;4,1,MONTH(D228)&lt;7,2,MONTH(D228)&lt;10,3,MONTH(D228)&gt;9,4)&amp;"Q"&amp;RIGHT(YEAR(D228),2)</f>
        <v>4Q16</v>
      </c>
      <c r="D228" s="81">
        <f t="shared" si="134"/>
        <v>42735</v>
      </c>
      <c r="E228" s="82">
        <f t="shared" si="131"/>
        <v>42712</v>
      </c>
      <c r="F228" s="83">
        <f t="shared" si="132"/>
        <v>0.675</v>
      </c>
      <c r="G228" s="83">
        <f t="shared" si="132"/>
        <v>0.52375</v>
      </c>
      <c r="H228" s="81"/>
      <c r="I228" s="84">
        <v>42712</v>
      </c>
      <c r="J228" s="85">
        <v>5.8</v>
      </c>
      <c r="K228" s="85">
        <v>5.18</v>
      </c>
      <c r="L228" s="86">
        <v>5.4</v>
      </c>
      <c r="M228" s="94" cm="1">
        <f t="array" ref="M228">INDEX($BV$29:$BV$1449,MATCH($D228,$BR$29:$BR$1449,0),)</f>
        <v>4.19</v>
      </c>
      <c r="N228" s="88"/>
      <c r="O228" s="88"/>
      <c r="P228" s="88"/>
      <c r="Q228" s="89">
        <f t="shared" si="133"/>
        <v>0.288782816229117</v>
      </c>
      <c r="AH228" s="105">
        <f t="shared" si="123"/>
        <v>44098</v>
      </c>
      <c r="AI228" s="91">
        <f t="shared" si="135"/>
        <v>2.96</v>
      </c>
      <c r="AJ228" s="36">
        <f t="shared" si="136"/>
        <v>-0.00269541778975746</v>
      </c>
      <c r="AK228" s="36">
        <f t="shared" si="138"/>
        <v>0.0367775831873904</v>
      </c>
      <c r="AL228" s="105"/>
      <c r="AM228" s="91"/>
      <c r="AN228" s="36"/>
      <c r="AO228" s="36"/>
      <c r="AP228" s="36"/>
      <c r="AQ228" s="128" t="str" cm="1">
        <f t="array" ref="AQ228">_xlfn.IFS(MONTH(AR228)&lt;4,1,MONTH(AR228)&lt;7,2,MONTH(AR228)&lt;10,3,MONTH(AR228)&gt;9,4)&amp;"Q"&amp;RIGHT(YEAR(AR228),2)</f>
        <v>4Q22</v>
      </c>
      <c r="AR228" s="128">
        <f t="shared" si="137"/>
        <v>44926</v>
      </c>
      <c r="AS228" s="129">
        <f t="shared" si="130"/>
        <v>44900</v>
      </c>
      <c r="AT228" s="130">
        <v>73.5</v>
      </c>
      <c r="AU228" s="94" cm="1">
        <f t="array" ref="AU228">INDEX($CE$29:$CE$1449,MATCH($AR228,$CA$29:$CA$1449,0),)</f>
        <v>80</v>
      </c>
      <c r="AV228" s="130">
        <v>149.5</v>
      </c>
      <c r="AW228" s="94" cm="1">
        <f t="array" ref="AW228">INDEX($CF$29:$CF$1449,MATCH($AR228,$CA$29:$CA$1449,0),)</f>
        <v>155</v>
      </c>
      <c r="AX228" s="94"/>
      <c r="AY228" s="94"/>
      <c r="AZ228" s="94"/>
      <c r="BA228" s="94"/>
      <c r="BB228" s="132">
        <f t="shared" si="139"/>
        <v>-0.0134228187919463</v>
      </c>
      <c r="BC228" s="132">
        <f t="shared" si="141"/>
        <v>-0.02</v>
      </c>
      <c r="BD228" s="132">
        <f t="shared" si="143"/>
        <v>0</v>
      </c>
      <c r="BE228" s="132">
        <f t="shared" si="140"/>
        <v>-0.00993377483443714</v>
      </c>
      <c r="BF228" s="132">
        <f t="shared" si="142"/>
        <v>-0.0164473684210527</v>
      </c>
      <c r="BG228" s="132">
        <f t="shared" si="144"/>
        <v>-0.0228758169934641</v>
      </c>
      <c r="BH228" s="132"/>
      <c r="BI228" s="132"/>
      <c r="BJ228" s="132"/>
      <c r="BK228" s="132"/>
      <c r="BL228" s="132"/>
      <c r="BM228" s="132"/>
      <c r="BN228" s="132"/>
      <c r="FV228" s="104">
        <f t="shared" si="124"/>
        <v>2011</v>
      </c>
      <c r="FW228" s="104">
        <f t="shared" si="125"/>
        <v>29</v>
      </c>
      <c r="FX228" s="35">
        <v>40739</v>
      </c>
      <c r="FY228" s="26">
        <v>1.33</v>
      </c>
      <c r="FZ228" s="94">
        <f t="shared" si="126"/>
        <v>5.32</v>
      </c>
      <c r="GA228" s="104"/>
      <c r="GB228" s="104"/>
      <c r="GE228" s="94"/>
      <c r="GF228" s="104">
        <f t="shared" si="127"/>
        <v>2013</v>
      </c>
      <c r="GG228" s="104">
        <f t="shared" si="128"/>
        <v>43</v>
      </c>
      <c r="GH228" s="35">
        <v>41570</v>
      </c>
      <c r="GI228" s="26">
        <v>4.176</v>
      </c>
      <c r="GJ228" s="94">
        <f t="shared" si="129"/>
        <v>8.352</v>
      </c>
      <c r="GK228" s="104"/>
      <c r="GL228" s="104"/>
      <c r="GO228" s="94"/>
    </row>
    <row r="229" spans="3:197">
      <c r="C229" s="80" t="str" cm="1">
        <f t="array" ref="C229">_xlfn.IFS(MONTH(D229)&lt;4,1,MONTH(D229)&lt;7,2,MONTH(D229)&lt;10,3,MONTH(D229)&gt;9,4)&amp;"Q"&amp;RIGHT(YEAR(D229),2)</f>
        <v>4Q16</v>
      </c>
      <c r="D229" s="81">
        <f t="shared" si="134"/>
        <v>42735</v>
      </c>
      <c r="E229" s="82">
        <f t="shared" si="131"/>
        <v>42713</v>
      </c>
      <c r="F229" s="83">
        <f t="shared" si="132"/>
        <v>0.678125</v>
      </c>
      <c r="G229" s="83">
        <f t="shared" si="132"/>
        <v>0.52375</v>
      </c>
      <c r="H229" s="81"/>
      <c r="I229" s="84">
        <v>42713</v>
      </c>
      <c r="J229" s="85">
        <v>5.85</v>
      </c>
      <c r="K229" s="85">
        <v>5.18</v>
      </c>
      <c r="L229" s="86">
        <v>5.425</v>
      </c>
      <c r="M229" s="94" cm="1">
        <f t="array" ref="M229">INDEX($BV$29:$BV$1449,MATCH($D229,$BR$29:$BR$1449,0),)</f>
        <v>4.19</v>
      </c>
      <c r="N229" s="88"/>
      <c r="O229" s="88"/>
      <c r="P229" s="88"/>
      <c r="Q229" s="89">
        <f t="shared" si="133"/>
        <v>0.294749403341289</v>
      </c>
      <c r="AH229" s="105">
        <f t="shared" si="123"/>
        <v>44106</v>
      </c>
      <c r="AI229" s="91">
        <f t="shared" si="135"/>
        <v>2.953</v>
      </c>
      <c r="AJ229" s="36">
        <f t="shared" si="136"/>
        <v>-0.00236486486486487</v>
      </c>
      <c r="AK229" s="36">
        <f t="shared" si="138"/>
        <v>-0.00505390835579522</v>
      </c>
      <c r="AL229" s="105"/>
      <c r="AM229" s="91"/>
      <c r="AN229" s="36"/>
      <c r="AO229" s="36"/>
      <c r="AP229" s="36"/>
      <c r="AQ229" s="128" t="str" cm="1">
        <f t="array" ref="AQ229">_xlfn.IFS(MONTH(AR229)&lt;4,1,MONTH(AR229)&lt;7,2,MONTH(AR229)&lt;10,3,MONTH(AR229)&gt;9,4)&amp;"Q"&amp;RIGHT(YEAR(AR229),2)</f>
        <v>4Q22</v>
      </c>
      <c r="AR229" s="128">
        <f t="shared" si="137"/>
        <v>44926</v>
      </c>
      <c r="AS229" s="129">
        <f t="shared" si="130"/>
        <v>44907</v>
      </c>
      <c r="AT229" s="130">
        <v>73</v>
      </c>
      <c r="AU229" s="94" cm="1">
        <f t="array" ref="AU229">INDEX($CE$29:$CE$1449,MATCH($AR229,$CA$29:$CA$1449,0),)</f>
        <v>80</v>
      </c>
      <c r="AV229" s="130">
        <v>149.2</v>
      </c>
      <c r="AW229" s="94" cm="1">
        <f t="array" ref="AW229">INDEX($CF$29:$CF$1449,MATCH($AR229,$CA$29:$CA$1449,0),)</f>
        <v>155</v>
      </c>
      <c r="AX229" s="94"/>
      <c r="AY229" s="94"/>
      <c r="AZ229" s="94"/>
      <c r="BA229" s="94"/>
      <c r="BB229" s="132">
        <f t="shared" si="139"/>
        <v>-0.00680272108843538</v>
      </c>
      <c r="BC229" s="132">
        <f t="shared" si="141"/>
        <v>-0.0201342281879194</v>
      </c>
      <c r="BD229" s="132">
        <f t="shared" si="143"/>
        <v>-0.0266666666666666</v>
      </c>
      <c r="BE229" s="132">
        <f t="shared" si="140"/>
        <v>-0.00200668896321077</v>
      </c>
      <c r="BF229" s="132">
        <f t="shared" si="142"/>
        <v>-0.0119205298013246</v>
      </c>
      <c r="BG229" s="132">
        <f t="shared" si="144"/>
        <v>-0.018421052631579</v>
      </c>
      <c r="BH229" s="132"/>
      <c r="BI229" s="132"/>
      <c r="BJ229" s="132"/>
      <c r="BK229" s="132"/>
      <c r="BL229" s="132"/>
      <c r="BM229" s="132"/>
      <c r="BN229" s="132"/>
      <c r="FV229" s="104">
        <f t="shared" si="124"/>
        <v>2011</v>
      </c>
      <c r="FW229" s="104">
        <f t="shared" si="125"/>
        <v>30</v>
      </c>
      <c r="FX229" s="35">
        <v>40742</v>
      </c>
      <c r="FY229" s="26">
        <v>1.33</v>
      </c>
      <c r="FZ229" s="94">
        <f t="shared" si="126"/>
        <v>5.32</v>
      </c>
      <c r="GA229" s="104"/>
      <c r="GB229" s="104"/>
      <c r="GE229" s="94"/>
      <c r="GF229" s="104">
        <f t="shared" si="127"/>
        <v>2013</v>
      </c>
      <c r="GG229" s="104">
        <f t="shared" si="128"/>
        <v>43</v>
      </c>
      <c r="GH229" s="35">
        <v>41571</v>
      </c>
      <c r="GI229" s="26">
        <v>4.094</v>
      </c>
      <c r="GJ229" s="94">
        <f t="shared" si="129"/>
        <v>8.188</v>
      </c>
      <c r="GK229" s="104"/>
      <c r="GL229" s="104"/>
      <c r="GO229" s="94"/>
    </row>
    <row r="230" spans="3:197">
      <c r="C230" s="80" t="str" cm="1">
        <f t="array" ref="C230">_xlfn.IFS(MONTH(D230)&lt;4,1,MONTH(D230)&lt;7,2,MONTH(D230)&lt;10,3,MONTH(D230)&gt;9,4)&amp;"Q"&amp;RIGHT(YEAR(D230),2)</f>
        <v>4Q16</v>
      </c>
      <c r="D230" s="81">
        <f t="shared" si="134"/>
        <v>42735</v>
      </c>
      <c r="E230" s="82">
        <f t="shared" si="131"/>
        <v>42716</v>
      </c>
      <c r="F230" s="83">
        <f t="shared" si="132"/>
        <v>0.684375</v>
      </c>
      <c r="G230" s="83">
        <f t="shared" si="132"/>
        <v>0.52375</v>
      </c>
      <c r="H230" s="81"/>
      <c r="I230" s="84">
        <v>42716</v>
      </c>
      <c r="J230" s="85">
        <v>5.9</v>
      </c>
      <c r="K230" s="85">
        <v>5.18</v>
      </c>
      <c r="L230" s="86">
        <v>5.475</v>
      </c>
      <c r="M230" s="94" cm="1">
        <f t="array" ref="M230">INDEX($BV$29:$BV$1449,MATCH($D230,$BR$29:$BR$1449,0),)</f>
        <v>4.19</v>
      </c>
      <c r="N230" s="88"/>
      <c r="O230" s="88"/>
      <c r="P230" s="88"/>
      <c r="Q230" s="89">
        <f t="shared" si="133"/>
        <v>0.306682577565632</v>
      </c>
      <c r="AH230" s="105">
        <f t="shared" si="123"/>
        <v>44116</v>
      </c>
      <c r="AI230" s="91">
        <f t="shared" si="135"/>
        <v>2.96</v>
      </c>
      <c r="AJ230" s="36">
        <f t="shared" si="136"/>
        <v>0.00237047070775476</v>
      </c>
      <c r="AK230" s="36">
        <f t="shared" si="138"/>
        <v>0</v>
      </c>
      <c r="AL230" s="105"/>
      <c r="AM230" s="91"/>
      <c r="AN230" s="36"/>
      <c r="AO230" s="36"/>
      <c r="AP230" s="36"/>
      <c r="AQ230" s="128" t="str" cm="1">
        <f t="array" ref="AQ230">_xlfn.IFS(MONTH(AR230)&lt;4,1,MONTH(AR230)&lt;7,2,MONTH(AR230)&lt;10,3,MONTH(AR230)&gt;9,4)&amp;"Q"&amp;RIGHT(YEAR(AR230),2)</f>
        <v>4Q22</v>
      </c>
      <c r="AR230" s="128">
        <f t="shared" si="137"/>
        <v>44926</v>
      </c>
      <c r="AS230" s="129">
        <f t="shared" si="130"/>
        <v>44914</v>
      </c>
      <c r="AT230" s="130">
        <v>71.6</v>
      </c>
      <c r="AU230" s="94" cm="1">
        <f t="array" ref="AU230">INDEX($CE$29:$CE$1449,MATCH($AR230,$CA$29:$CA$1449,0),)</f>
        <v>80</v>
      </c>
      <c r="AV230" s="130">
        <v>146</v>
      </c>
      <c r="AW230" s="94" cm="1">
        <f t="array" ref="AW230">INDEX($CF$29:$CF$1449,MATCH($AR230,$CA$29:$CA$1449,0),)</f>
        <v>155</v>
      </c>
      <c r="AX230" s="94"/>
      <c r="AY230" s="94"/>
      <c r="AZ230" s="94"/>
      <c r="BA230" s="94"/>
      <c r="BB230" s="132">
        <f t="shared" si="139"/>
        <v>-0.0191780821917809</v>
      </c>
      <c r="BC230" s="132">
        <f t="shared" si="141"/>
        <v>-0.0258503401360545</v>
      </c>
      <c r="BD230" s="132">
        <f t="shared" si="143"/>
        <v>-0.0389261744966444</v>
      </c>
      <c r="BE230" s="132">
        <f t="shared" si="140"/>
        <v>-0.0214477211796246</v>
      </c>
      <c r="BF230" s="132">
        <f t="shared" si="142"/>
        <v>-0.0234113712374582</v>
      </c>
      <c r="BG230" s="132">
        <f t="shared" si="144"/>
        <v>-0.0331125827814569</v>
      </c>
      <c r="BH230" s="132"/>
      <c r="BI230" s="132"/>
      <c r="BJ230" s="132"/>
      <c r="BK230" s="132"/>
      <c r="BL230" s="132"/>
      <c r="BM230" s="132"/>
      <c r="BN230" s="132"/>
      <c r="FV230" s="104">
        <f t="shared" si="124"/>
        <v>2011</v>
      </c>
      <c r="FW230" s="104">
        <f t="shared" si="125"/>
        <v>30</v>
      </c>
      <c r="FX230" s="35">
        <v>40743</v>
      </c>
      <c r="FY230" s="26">
        <v>1.32</v>
      </c>
      <c r="FZ230" s="94">
        <f t="shared" si="126"/>
        <v>5.28</v>
      </c>
      <c r="GA230" s="104"/>
      <c r="GB230" s="104"/>
      <c r="GE230" s="94"/>
      <c r="GF230" s="104">
        <f t="shared" si="127"/>
        <v>2013</v>
      </c>
      <c r="GG230" s="104">
        <f t="shared" si="128"/>
        <v>43</v>
      </c>
      <c r="GH230" s="35">
        <v>41572</v>
      </c>
      <c r="GI230" s="26">
        <v>3.994</v>
      </c>
      <c r="GJ230" s="94">
        <f t="shared" si="129"/>
        <v>7.988</v>
      </c>
      <c r="GK230" s="104"/>
      <c r="GL230" s="104"/>
      <c r="GO230" s="94"/>
    </row>
    <row r="231" spans="3:197">
      <c r="C231" s="80" t="str" cm="1">
        <f t="array" ref="C231">_xlfn.IFS(MONTH(D231)&lt;4,1,MONTH(D231)&lt;7,2,MONTH(D231)&lt;10,3,MONTH(D231)&gt;9,4)&amp;"Q"&amp;RIGHT(YEAR(D231),2)</f>
        <v>4Q16</v>
      </c>
      <c r="D231" s="81">
        <f t="shared" si="134"/>
        <v>42735</v>
      </c>
      <c r="E231" s="82">
        <f t="shared" si="131"/>
        <v>42717</v>
      </c>
      <c r="F231" s="83">
        <f t="shared" si="132"/>
        <v>0.6875</v>
      </c>
      <c r="G231" s="83">
        <f t="shared" si="132"/>
        <v>0.52375</v>
      </c>
      <c r="H231" s="81"/>
      <c r="I231" s="84">
        <v>42717</v>
      </c>
      <c r="J231" s="85">
        <v>6</v>
      </c>
      <c r="K231" s="85">
        <v>5.18</v>
      </c>
      <c r="L231" s="86">
        <v>5.5</v>
      </c>
      <c r="M231" s="94" cm="1">
        <f t="array" ref="M231">INDEX($BV$29:$BV$1449,MATCH($D231,$BR$29:$BR$1449,0),)</f>
        <v>4.19</v>
      </c>
      <c r="N231" s="88"/>
      <c r="O231" s="88"/>
      <c r="P231" s="88"/>
      <c r="Q231" s="89">
        <f t="shared" si="133"/>
        <v>0.312649164677804</v>
      </c>
      <c r="AH231" s="105">
        <f t="shared" si="123"/>
        <v>44124</v>
      </c>
      <c r="AI231" s="91">
        <f t="shared" si="135"/>
        <v>2.9</v>
      </c>
      <c r="AJ231" s="36">
        <f t="shared" si="136"/>
        <v>-0.0202702702702703</v>
      </c>
      <c r="AK231" s="36">
        <f t="shared" si="138"/>
        <v>-0.0179478496444294</v>
      </c>
      <c r="AL231" s="105"/>
      <c r="AM231" s="91"/>
      <c r="AN231" s="36"/>
      <c r="AO231" s="36"/>
      <c r="AP231" s="36"/>
      <c r="AQ231" s="128" t="str" cm="1">
        <f t="array" ref="AQ231">_xlfn.IFS(MONTH(AR231)&lt;4,1,MONTH(AR231)&lt;7,2,MONTH(AR231)&lt;10,3,MONTH(AR231)&gt;9,4)&amp;"Q"&amp;RIGHT(YEAR(AR231),2)</f>
        <v>4Q22</v>
      </c>
      <c r="AR231" s="128">
        <f t="shared" si="137"/>
        <v>44926</v>
      </c>
      <c r="AS231" s="129">
        <f t="shared" si="130"/>
        <v>44921</v>
      </c>
      <c r="AT231" s="130">
        <v>71.5</v>
      </c>
      <c r="AU231" s="94" cm="1">
        <f t="array" ref="AU231">INDEX($CE$29:$CE$1449,MATCH($AR231,$CA$29:$CA$1449,0),)</f>
        <v>80</v>
      </c>
      <c r="AV231" s="130">
        <v>143</v>
      </c>
      <c r="AW231" s="94" cm="1">
        <f t="array" ref="AW231">INDEX($CF$29:$CF$1449,MATCH($AR231,$CA$29:$CA$1449,0),)</f>
        <v>155</v>
      </c>
      <c r="AX231" s="94"/>
      <c r="AY231" s="94"/>
      <c r="AZ231" s="94"/>
      <c r="BA231" s="94"/>
      <c r="BB231" s="132">
        <f t="shared" si="139"/>
        <v>-0.00139664804469264</v>
      </c>
      <c r="BC231" s="132">
        <f t="shared" si="141"/>
        <v>-0.0205479452054794</v>
      </c>
      <c r="BD231" s="132">
        <f t="shared" si="143"/>
        <v>-0.0272108843537415</v>
      </c>
      <c r="BE231" s="132">
        <f t="shared" si="140"/>
        <v>-0.0205479452054794</v>
      </c>
      <c r="BF231" s="132">
        <f t="shared" si="142"/>
        <v>-0.0415549597855227</v>
      </c>
      <c r="BG231" s="132">
        <f t="shared" si="144"/>
        <v>-0.0434782608695652</v>
      </c>
      <c r="BH231" s="132"/>
      <c r="BI231" s="132"/>
      <c r="BJ231" s="132"/>
      <c r="BK231" s="132"/>
      <c r="BL231" s="132"/>
      <c r="BM231" s="132"/>
      <c r="BN231" s="132"/>
      <c r="FV231" s="104">
        <f t="shared" si="124"/>
        <v>2011</v>
      </c>
      <c r="FW231" s="104">
        <f t="shared" si="125"/>
        <v>30</v>
      </c>
      <c r="FX231" s="35">
        <v>40744</v>
      </c>
      <c r="FY231" s="26">
        <v>1.28</v>
      </c>
      <c r="FZ231" s="94">
        <f t="shared" si="126"/>
        <v>5.12</v>
      </c>
      <c r="GA231" s="104"/>
      <c r="GB231" s="104"/>
      <c r="GE231" s="94"/>
      <c r="GF231" s="104">
        <f t="shared" si="127"/>
        <v>2013</v>
      </c>
      <c r="GG231" s="104">
        <f t="shared" si="128"/>
        <v>44</v>
      </c>
      <c r="GH231" s="35">
        <v>41575</v>
      </c>
      <c r="GI231" s="26">
        <v>3.994</v>
      </c>
      <c r="GJ231" s="94">
        <f t="shared" si="129"/>
        <v>7.988</v>
      </c>
      <c r="GK231" s="104"/>
      <c r="GL231" s="104"/>
      <c r="GO231" s="94"/>
    </row>
    <row r="232" spans="3:197">
      <c r="C232" s="80" t="str" cm="1">
        <f t="array" ref="C232">_xlfn.IFS(MONTH(D232)&lt;4,1,MONTH(D232)&lt;7,2,MONTH(D232)&lt;10,3,MONTH(D232)&gt;9,4)&amp;"Q"&amp;RIGHT(YEAR(D232),2)</f>
        <v>4Q16</v>
      </c>
      <c r="D232" s="81">
        <f t="shared" si="134"/>
        <v>42735</v>
      </c>
      <c r="E232" s="82">
        <f t="shared" si="131"/>
        <v>42718</v>
      </c>
      <c r="F232" s="83">
        <f t="shared" si="132"/>
        <v>0.690625</v>
      </c>
      <c r="G232" s="83">
        <f t="shared" si="132"/>
        <v>0.52375</v>
      </c>
      <c r="H232" s="81"/>
      <c r="I232" s="84">
        <v>42718</v>
      </c>
      <c r="J232" s="85">
        <v>6</v>
      </c>
      <c r="K232" s="85">
        <v>5.18</v>
      </c>
      <c r="L232" s="86">
        <v>5.525</v>
      </c>
      <c r="M232" s="94" cm="1">
        <f t="array" ref="M232">INDEX($BV$29:$BV$1449,MATCH($D232,$BR$29:$BR$1449,0),)</f>
        <v>4.19</v>
      </c>
      <c r="N232" s="88"/>
      <c r="O232" s="88"/>
      <c r="P232" s="88"/>
      <c r="Q232" s="89">
        <f t="shared" si="133"/>
        <v>0.318615751789976</v>
      </c>
      <c r="AH232" s="105">
        <f t="shared" ref="AH232:AH280" si="145">WORKDAY(AH231,6)</f>
        <v>44132</v>
      </c>
      <c r="AI232" s="91">
        <f t="shared" si="135"/>
        <v>2.87</v>
      </c>
      <c r="AJ232" s="36">
        <f t="shared" si="136"/>
        <v>-0.0103448275862068</v>
      </c>
      <c r="AK232" s="36">
        <f t="shared" si="138"/>
        <v>-0.0304054054054054</v>
      </c>
      <c r="AL232" s="105"/>
      <c r="AM232" s="91"/>
      <c r="AN232" s="36"/>
      <c r="AO232" s="36"/>
      <c r="AP232" s="36"/>
      <c r="AQ232" s="128" t="str" cm="1">
        <f t="array" ref="AQ232">_xlfn.IFS(MONTH(AR232)&lt;4,1,MONTH(AR232)&lt;7,2,MONTH(AR232)&lt;10,3,MONTH(AR232)&gt;9,4)&amp;"Q"&amp;RIGHT(YEAR(AR232),2)</f>
        <v>1Q23</v>
      </c>
      <c r="AR232" s="128">
        <f t="shared" si="137"/>
        <v>44957</v>
      </c>
      <c r="AS232" s="129">
        <f t="shared" si="130"/>
        <v>44928</v>
      </c>
      <c r="AT232" s="130">
        <v>71</v>
      </c>
      <c r="AU232" s="94" cm="1">
        <f t="array" ref="AU232">INDEX($CE$29:$CE$1449,MATCH($AR232,$CA$29:$CA$1449,0),)</f>
        <v>72</v>
      </c>
      <c r="AV232" s="130">
        <v>141.5</v>
      </c>
      <c r="AW232" s="94" cm="1">
        <f t="array" ref="AW232">INDEX($CF$29:$CF$1449,MATCH($AR232,$CA$29:$CA$1449,0),)</f>
        <v>140</v>
      </c>
      <c r="AX232" s="94"/>
      <c r="AY232" s="134"/>
      <c r="AZ232" s="135"/>
      <c r="BA232" s="134"/>
      <c r="BB232" s="132">
        <f t="shared" si="139"/>
        <v>-0.00699300699300698</v>
      </c>
      <c r="BC232" s="132">
        <f t="shared" si="141"/>
        <v>-0.00837988826815639</v>
      </c>
      <c r="BD232" s="132">
        <f t="shared" si="143"/>
        <v>-0.0273972602739726</v>
      </c>
      <c r="BE232" s="132">
        <f t="shared" si="140"/>
        <v>-0.0104895104895105</v>
      </c>
      <c r="BF232" s="132">
        <f t="shared" si="142"/>
        <v>-0.0308219178082192</v>
      </c>
      <c r="BG232" s="132">
        <f t="shared" si="144"/>
        <v>-0.0516085790884718</v>
      </c>
      <c r="BH232" s="132"/>
      <c r="BI232" s="132"/>
      <c r="BJ232" s="132"/>
      <c r="BK232" s="132"/>
      <c r="BL232" s="132"/>
      <c r="BM232" s="132"/>
      <c r="BN232" s="132"/>
      <c r="FV232" s="104">
        <f t="shared" si="124"/>
        <v>2011</v>
      </c>
      <c r="FW232" s="104">
        <f t="shared" si="125"/>
        <v>30</v>
      </c>
      <c r="FX232" s="35">
        <v>40745</v>
      </c>
      <c r="FY232" s="26">
        <v>1.27</v>
      </c>
      <c r="FZ232" s="94">
        <f t="shared" si="126"/>
        <v>5.08</v>
      </c>
      <c r="GA232" s="104"/>
      <c r="GB232" s="104"/>
      <c r="GE232" s="94"/>
      <c r="GF232" s="104">
        <f t="shared" si="127"/>
        <v>2013</v>
      </c>
      <c r="GG232" s="104">
        <f t="shared" si="128"/>
        <v>44</v>
      </c>
      <c r="GH232" s="35">
        <v>41576</v>
      </c>
      <c r="GI232" s="26">
        <v>3.994</v>
      </c>
      <c r="GJ232" s="94">
        <f t="shared" si="129"/>
        <v>7.988</v>
      </c>
      <c r="GK232" s="104"/>
      <c r="GL232" s="104"/>
      <c r="GO232" s="94"/>
    </row>
    <row r="233" spans="3:197">
      <c r="C233" s="80" t="str" cm="1">
        <f t="array" ref="C233">_xlfn.IFS(MONTH(D233)&lt;4,1,MONTH(D233)&lt;7,2,MONTH(D233)&lt;10,3,MONTH(D233)&gt;9,4)&amp;"Q"&amp;RIGHT(YEAR(D233),2)</f>
        <v>4Q16</v>
      </c>
      <c r="D233" s="81">
        <f t="shared" si="134"/>
        <v>42735</v>
      </c>
      <c r="E233" s="82">
        <f t="shared" si="131"/>
        <v>42719</v>
      </c>
      <c r="F233" s="83">
        <f t="shared" si="132"/>
        <v>0.69375</v>
      </c>
      <c r="G233" s="83">
        <f t="shared" si="132"/>
        <v>0.52375</v>
      </c>
      <c r="H233" s="81"/>
      <c r="I233" s="84">
        <v>42719</v>
      </c>
      <c r="J233" s="85">
        <v>6</v>
      </c>
      <c r="K233" s="85">
        <v>5.18</v>
      </c>
      <c r="L233" s="86">
        <v>5.55</v>
      </c>
      <c r="M233" s="94" cm="1">
        <f t="array" ref="M233">INDEX($BV$29:$BV$1449,MATCH($D233,$BR$29:$BR$1449,0),)</f>
        <v>4.19</v>
      </c>
      <c r="N233" s="88"/>
      <c r="O233" s="88"/>
      <c r="P233" s="88"/>
      <c r="Q233" s="89">
        <f t="shared" si="133"/>
        <v>0.324582338902148</v>
      </c>
      <c r="AH233" s="105">
        <f t="shared" si="145"/>
        <v>44140</v>
      </c>
      <c r="AI233" s="91">
        <f t="shared" si="135"/>
        <v>2.849</v>
      </c>
      <c r="AJ233" s="36">
        <f t="shared" si="136"/>
        <v>-0.00731707317073171</v>
      </c>
      <c r="AK233" s="36">
        <f t="shared" si="138"/>
        <v>-0.0175862068965517</v>
      </c>
      <c r="AL233" s="105"/>
      <c r="AM233" s="91"/>
      <c r="AN233" s="36"/>
      <c r="AO233" s="36"/>
      <c r="AP233" s="36"/>
      <c r="AQ233" s="128" t="str" cm="1">
        <f t="array" ref="AQ233">_xlfn.IFS(MONTH(AR233)&lt;4,1,MONTH(AR233)&lt;7,2,MONTH(AR233)&lt;10,3,MONTH(AR233)&gt;9,4)&amp;"Q"&amp;RIGHT(YEAR(AR233),2)</f>
        <v>1Q23</v>
      </c>
      <c r="AR233" s="128">
        <f t="shared" si="137"/>
        <v>44957</v>
      </c>
      <c r="AS233" s="129">
        <f t="shared" si="130"/>
        <v>44935</v>
      </c>
      <c r="AT233" s="130">
        <v>70.5</v>
      </c>
      <c r="AU233" s="94" cm="1">
        <f t="array" ref="AU233">INDEX($CE$29:$CE$1449,MATCH($AR233,$CA$29:$CA$1449,0),)</f>
        <v>72</v>
      </c>
      <c r="AV233" s="130">
        <v>141</v>
      </c>
      <c r="AW233" s="94" cm="1">
        <f t="array" ref="AW233">INDEX($CF$29:$CF$1449,MATCH($AR233,$CA$29:$CA$1449,0),)</f>
        <v>140</v>
      </c>
      <c r="AX233" s="94"/>
      <c r="AY233" s="134"/>
      <c r="AZ233" s="135"/>
      <c r="BA233" s="134"/>
      <c r="BB233" s="132">
        <f t="shared" si="139"/>
        <v>-0.00704225352112675</v>
      </c>
      <c r="BC233" s="132">
        <f t="shared" si="141"/>
        <v>-0.013986013986014</v>
      </c>
      <c r="BD233" s="132">
        <f t="shared" si="143"/>
        <v>-0.01536312849162</v>
      </c>
      <c r="BE233" s="132">
        <f t="shared" si="140"/>
        <v>-0.00353356890459366</v>
      </c>
      <c r="BF233" s="132">
        <f t="shared" si="142"/>
        <v>-0.013986013986014</v>
      </c>
      <c r="BG233" s="132">
        <f t="shared" si="144"/>
        <v>-0.0342465753424658</v>
      </c>
      <c r="BH233" s="132"/>
      <c r="BI233" s="132"/>
      <c r="BJ233" s="132"/>
      <c r="BK233" s="132"/>
      <c r="BL233" s="132"/>
      <c r="BM233" s="132"/>
      <c r="BN233" s="132"/>
      <c r="FV233" s="104">
        <f t="shared" si="124"/>
        <v>2011</v>
      </c>
      <c r="FW233" s="104">
        <f t="shared" si="125"/>
        <v>30</v>
      </c>
      <c r="FX233" s="35">
        <v>40746</v>
      </c>
      <c r="FY233" s="26">
        <v>1.25</v>
      </c>
      <c r="FZ233" s="94">
        <f t="shared" si="126"/>
        <v>5</v>
      </c>
      <c r="GA233" s="104"/>
      <c r="GB233" s="104"/>
      <c r="GE233" s="94"/>
      <c r="GF233" s="104">
        <f t="shared" si="127"/>
        <v>2013</v>
      </c>
      <c r="GG233" s="104">
        <f t="shared" si="128"/>
        <v>44</v>
      </c>
      <c r="GH233" s="35">
        <v>41577</v>
      </c>
      <c r="GI233" s="26">
        <v>4.028</v>
      </c>
      <c r="GJ233" s="94">
        <f t="shared" si="129"/>
        <v>8.056</v>
      </c>
      <c r="GK233" s="104"/>
      <c r="GL233" s="104"/>
      <c r="GO233" s="94"/>
    </row>
    <row r="234" spans="3:197">
      <c r="C234" s="80" t="str" cm="1">
        <f t="array" ref="C234">_xlfn.IFS(MONTH(D234)&lt;4,1,MONTH(D234)&lt;7,2,MONTH(D234)&lt;10,3,MONTH(D234)&gt;9,4)&amp;"Q"&amp;RIGHT(YEAR(D234),2)</f>
        <v>4Q16</v>
      </c>
      <c r="D234" s="81">
        <f t="shared" si="134"/>
        <v>42735</v>
      </c>
      <c r="E234" s="82">
        <f t="shared" si="131"/>
        <v>42720</v>
      </c>
      <c r="F234" s="83">
        <f t="shared" si="132"/>
        <v>0.694375</v>
      </c>
      <c r="G234" s="83">
        <f t="shared" si="132"/>
        <v>0.52375</v>
      </c>
      <c r="H234" s="81"/>
      <c r="I234" s="84">
        <v>42720</v>
      </c>
      <c r="J234" s="85">
        <v>6</v>
      </c>
      <c r="K234" s="85">
        <v>5.2</v>
      </c>
      <c r="L234" s="86">
        <v>5.555</v>
      </c>
      <c r="M234" s="94" cm="1">
        <f t="array" ref="M234">INDEX($BV$29:$BV$1449,MATCH($D234,$BR$29:$BR$1449,0),)</f>
        <v>4.19</v>
      </c>
      <c r="N234" s="88"/>
      <c r="O234" s="88"/>
      <c r="P234" s="88"/>
      <c r="Q234" s="89">
        <f t="shared" si="133"/>
        <v>0.325775656324582</v>
      </c>
      <c r="AH234" s="105">
        <f t="shared" si="145"/>
        <v>44148</v>
      </c>
      <c r="AI234" s="91">
        <f t="shared" si="135"/>
        <v>2.817</v>
      </c>
      <c r="AJ234" s="36">
        <f t="shared" si="136"/>
        <v>-0.0112320112320112</v>
      </c>
      <c r="AK234" s="36">
        <f t="shared" si="138"/>
        <v>-0.0184668989547038</v>
      </c>
      <c r="AL234" s="105"/>
      <c r="AM234" s="91"/>
      <c r="AN234" s="36"/>
      <c r="AO234" s="36"/>
      <c r="AP234" s="36"/>
      <c r="AQ234" s="128" t="str" cm="1">
        <f t="array" ref="AQ234">_xlfn.IFS(MONTH(AR234)&lt;4,1,MONTH(AR234)&lt;7,2,MONTH(AR234)&lt;10,3,MONTH(AR234)&gt;9,4)&amp;"Q"&amp;RIGHT(YEAR(AR234),2)</f>
        <v>1Q23</v>
      </c>
      <c r="AR234" s="128">
        <f t="shared" si="137"/>
        <v>44957</v>
      </c>
      <c r="AS234" s="129">
        <f t="shared" si="130"/>
        <v>44942</v>
      </c>
      <c r="AT234" s="130">
        <v>70.2</v>
      </c>
      <c r="AU234" s="94" cm="1">
        <f t="array" ref="AU234">INDEX($CE$29:$CE$1449,MATCH($AR234,$CA$29:$CA$1449,0),)</f>
        <v>72</v>
      </c>
      <c r="AV234" s="130">
        <v>140</v>
      </c>
      <c r="AW234" s="94" cm="1">
        <f t="array" ref="AW234">INDEX($CF$29:$CF$1449,MATCH($AR234,$CA$29:$CA$1449,0),)</f>
        <v>140</v>
      </c>
      <c r="AX234" s="94"/>
      <c r="AY234" s="134"/>
      <c r="AZ234" s="135"/>
      <c r="BA234" s="134"/>
      <c r="BB234" s="132">
        <f t="shared" si="139"/>
        <v>-0.00425531914893618</v>
      </c>
      <c r="BC234" s="132">
        <f t="shared" si="141"/>
        <v>-0.0112676056338028</v>
      </c>
      <c r="BD234" s="132">
        <f t="shared" si="143"/>
        <v>-0.0181818181818182</v>
      </c>
      <c r="BE234" s="132">
        <f t="shared" si="140"/>
        <v>-0.00709219858156029</v>
      </c>
      <c r="BF234" s="132">
        <f t="shared" si="142"/>
        <v>-0.0106007067137809</v>
      </c>
      <c r="BG234" s="132">
        <f t="shared" si="144"/>
        <v>-0.0209790209790209</v>
      </c>
      <c r="BH234" s="132"/>
      <c r="BI234" s="132"/>
      <c r="BJ234" s="132"/>
      <c r="BK234" s="132"/>
      <c r="BL234" s="132"/>
      <c r="BM234" s="132"/>
      <c r="BN234" s="132"/>
      <c r="FV234" s="104">
        <f t="shared" si="124"/>
        <v>2011</v>
      </c>
      <c r="FW234" s="104">
        <f t="shared" si="125"/>
        <v>31</v>
      </c>
      <c r="FX234" s="35">
        <v>40749</v>
      </c>
      <c r="FY234" s="26">
        <v>1.24</v>
      </c>
      <c r="FZ234" s="94">
        <f t="shared" si="126"/>
        <v>4.96</v>
      </c>
      <c r="GA234" s="104"/>
      <c r="GB234" s="104"/>
      <c r="GE234" s="94"/>
      <c r="GF234" s="104">
        <f t="shared" si="127"/>
        <v>2013</v>
      </c>
      <c r="GG234" s="104">
        <f t="shared" si="128"/>
        <v>44</v>
      </c>
      <c r="GH234" s="35">
        <v>41578</v>
      </c>
      <c r="GI234" s="26">
        <v>4.045</v>
      </c>
      <c r="GJ234" s="94">
        <f t="shared" si="129"/>
        <v>8.09</v>
      </c>
      <c r="GK234" s="104"/>
      <c r="GL234" s="104"/>
      <c r="GO234" s="94"/>
    </row>
    <row r="235" spans="3:197">
      <c r="C235" s="80" t="str" cm="1">
        <f t="array" ref="C235">_xlfn.IFS(MONTH(D235)&lt;4,1,MONTH(D235)&lt;7,2,MONTH(D235)&lt;10,3,MONTH(D235)&gt;9,4)&amp;"Q"&amp;RIGHT(YEAR(D235),2)</f>
        <v>4Q16</v>
      </c>
      <c r="D235" s="81">
        <f t="shared" si="134"/>
        <v>42735</v>
      </c>
      <c r="E235" s="82">
        <f t="shared" si="131"/>
        <v>42723</v>
      </c>
      <c r="F235" s="83">
        <f t="shared" si="132"/>
        <v>0.695</v>
      </c>
      <c r="G235" s="83">
        <f t="shared" si="132"/>
        <v>0.52375</v>
      </c>
      <c r="H235" s="81"/>
      <c r="I235" s="84">
        <v>42723</v>
      </c>
      <c r="J235" s="85">
        <v>6</v>
      </c>
      <c r="K235" s="85">
        <v>5.2</v>
      </c>
      <c r="L235" s="86">
        <v>5.56</v>
      </c>
      <c r="M235" s="94" cm="1">
        <f t="array" ref="M235">INDEX($BV$29:$BV$1449,MATCH($D235,$BR$29:$BR$1449,0),)</f>
        <v>4.19</v>
      </c>
      <c r="N235" s="88"/>
      <c r="O235" s="88"/>
      <c r="P235" s="88"/>
      <c r="Q235" s="89">
        <f t="shared" si="133"/>
        <v>0.326968973747017</v>
      </c>
      <c r="AH235" s="105">
        <f t="shared" si="145"/>
        <v>44158</v>
      </c>
      <c r="AI235" s="91">
        <f t="shared" si="135"/>
        <v>2.797</v>
      </c>
      <c r="AJ235" s="36">
        <f t="shared" si="136"/>
        <v>-0.00709975150869724</v>
      </c>
      <c r="AK235" s="36">
        <f t="shared" si="138"/>
        <v>-0.0182520182520183</v>
      </c>
      <c r="AL235" s="105"/>
      <c r="AM235" s="91"/>
      <c r="AN235" s="36"/>
      <c r="AO235" s="36"/>
      <c r="AP235" s="36"/>
      <c r="AQ235" s="128" t="str" cm="1">
        <f t="array" ref="AQ235">_xlfn.IFS(MONTH(AR235)&lt;4,1,MONTH(AR235)&lt;7,2,MONTH(AR235)&lt;10,3,MONTH(AR235)&gt;9,4)&amp;"Q"&amp;RIGHT(YEAR(AR235),2)</f>
        <v>1Q23</v>
      </c>
      <c r="AR235" s="128">
        <f t="shared" si="137"/>
        <v>44957</v>
      </c>
      <c r="AS235" s="129">
        <f>AS234+14</f>
        <v>44956</v>
      </c>
      <c r="AT235" s="130">
        <v>68</v>
      </c>
      <c r="AU235" s="94" cm="1">
        <f t="array" ref="AU235">INDEX($CE$29:$CE$1449,MATCH($AR235,$CA$29:$CA$1449,0),)</f>
        <v>72</v>
      </c>
      <c r="AV235" s="130">
        <v>137</v>
      </c>
      <c r="AW235" s="94" cm="1">
        <f t="array" ref="AW235">INDEX($CF$29:$CF$1449,MATCH($AR235,$CA$29:$CA$1449,0),)</f>
        <v>140</v>
      </c>
      <c r="AX235" s="94"/>
      <c r="AY235" s="134"/>
      <c r="AZ235" s="135"/>
      <c r="BA235" s="134"/>
      <c r="BB235" s="132">
        <f t="shared" si="139"/>
        <v>-0.0313390313390314</v>
      </c>
      <c r="BC235" s="132">
        <f t="shared" si="141"/>
        <v>-0.0354609929078015</v>
      </c>
      <c r="BD235" s="132">
        <f t="shared" si="143"/>
        <v>-0.0422535211267606</v>
      </c>
      <c r="BE235" s="132">
        <f t="shared" si="140"/>
        <v>-0.0214285714285715</v>
      </c>
      <c r="BF235" s="132">
        <f t="shared" si="142"/>
        <v>-0.0283687943262412</v>
      </c>
      <c r="BG235" s="132">
        <f t="shared" si="144"/>
        <v>-0.0318021201413428</v>
      </c>
      <c r="BH235" s="132"/>
      <c r="BI235" s="132"/>
      <c r="BJ235" s="132"/>
      <c r="BK235" s="132"/>
      <c r="BL235" s="132"/>
      <c r="BM235" s="132"/>
      <c r="BN235" s="132"/>
      <c r="FV235" s="104">
        <f t="shared" si="124"/>
        <v>2011</v>
      </c>
      <c r="FW235" s="104">
        <f t="shared" si="125"/>
        <v>31</v>
      </c>
      <c r="FX235" s="35">
        <v>40750</v>
      </c>
      <c r="FY235" s="26">
        <v>1.22</v>
      </c>
      <c r="FZ235" s="94">
        <f t="shared" si="126"/>
        <v>4.88</v>
      </c>
      <c r="GA235" s="104"/>
      <c r="GB235" s="104"/>
      <c r="GE235" s="94"/>
      <c r="GF235" s="104">
        <f t="shared" si="127"/>
        <v>2013</v>
      </c>
      <c r="GG235" s="104">
        <f t="shared" si="128"/>
        <v>44</v>
      </c>
      <c r="GH235" s="35">
        <v>41579</v>
      </c>
      <c r="GI235" s="26">
        <v>4.088</v>
      </c>
      <c r="GJ235" s="94">
        <f t="shared" si="129"/>
        <v>8.176</v>
      </c>
      <c r="GK235" s="104"/>
      <c r="GL235" s="104"/>
      <c r="GO235" s="94"/>
    </row>
    <row r="236" spans="3:197">
      <c r="C236" s="80" t="str" cm="1">
        <f t="array" ref="C236">_xlfn.IFS(MONTH(D236)&lt;4,1,MONTH(D236)&lt;7,2,MONTH(D236)&lt;10,3,MONTH(D236)&gt;9,4)&amp;"Q"&amp;RIGHT(YEAR(D236),2)</f>
        <v>4Q16</v>
      </c>
      <c r="D236" s="81">
        <f t="shared" si="134"/>
        <v>42735</v>
      </c>
      <c r="E236" s="82">
        <f t="shared" si="131"/>
        <v>42724</v>
      </c>
      <c r="F236" s="83">
        <f t="shared" si="132"/>
        <v>0.696875</v>
      </c>
      <c r="G236" s="83">
        <f t="shared" si="132"/>
        <v>0.52375</v>
      </c>
      <c r="H236" s="81"/>
      <c r="I236" s="84">
        <v>42724</v>
      </c>
      <c r="J236" s="85">
        <v>6</v>
      </c>
      <c r="K236" s="85">
        <v>5.24</v>
      </c>
      <c r="L236" s="86">
        <v>5.575</v>
      </c>
      <c r="M236" s="94" cm="1">
        <f t="array" ref="M236">INDEX($BV$29:$BV$1449,MATCH($D236,$BR$29:$BR$1449,0),)</f>
        <v>4.19</v>
      </c>
      <c r="N236" s="88"/>
      <c r="O236" s="88"/>
      <c r="P236" s="88"/>
      <c r="Q236" s="89">
        <f t="shared" si="133"/>
        <v>0.33054892601432</v>
      </c>
      <c r="AH236" s="105">
        <f t="shared" si="145"/>
        <v>44166</v>
      </c>
      <c r="AI236" s="91">
        <f t="shared" si="135"/>
        <v>2.77</v>
      </c>
      <c r="AJ236" s="36">
        <f t="shared" si="136"/>
        <v>-0.00965319985698965</v>
      </c>
      <c r="AK236" s="36">
        <f t="shared" si="138"/>
        <v>-0.0166844160454385</v>
      </c>
      <c r="AL236" s="105"/>
      <c r="AM236" s="91"/>
      <c r="AN236" s="36"/>
      <c r="AO236" s="36"/>
      <c r="AP236" s="36"/>
      <c r="AQ236" s="128" t="str" cm="1">
        <f t="array" ref="AQ236">_xlfn.IFS(MONTH(AR236)&lt;4,1,MONTH(AR236)&lt;7,2,MONTH(AR236)&lt;10,3,MONTH(AR236)&gt;9,4)&amp;"Q"&amp;RIGHT(YEAR(AR236),2)</f>
        <v>1Q23</v>
      </c>
      <c r="AR236" s="128">
        <f t="shared" si="137"/>
        <v>44985</v>
      </c>
      <c r="AS236" s="129">
        <f t="shared" ref="AS236:AS258" si="146">AS235+7</f>
        <v>44963</v>
      </c>
      <c r="AT236" s="130">
        <v>68</v>
      </c>
      <c r="AU236" s="94" cm="1">
        <f t="array" ref="AU236">INDEX($CE$29:$CE$1449,MATCH($AR236,$CA$29:$CA$1449,0),)</f>
        <v>67</v>
      </c>
      <c r="AV236" s="130">
        <v>132</v>
      </c>
      <c r="AW236" s="94" cm="1">
        <f t="array" ref="AW236">INDEX($CF$29:$CF$1449,MATCH($AR236,$CA$29:$CA$1449,0),)</f>
        <v>129</v>
      </c>
      <c r="AX236" s="94"/>
      <c r="AY236" s="134"/>
      <c r="AZ236" s="135"/>
      <c r="BA236" s="134"/>
      <c r="BB236" s="132">
        <f t="shared" si="139"/>
        <v>0</v>
      </c>
      <c r="BC236" s="132">
        <f t="shared" si="141"/>
        <v>-0.0313390313390314</v>
      </c>
      <c r="BD236" s="132">
        <f t="shared" si="143"/>
        <v>-0.0354609929078015</v>
      </c>
      <c r="BE236" s="132">
        <f t="shared" si="140"/>
        <v>-0.0364963503649635</v>
      </c>
      <c r="BF236" s="132">
        <f t="shared" si="142"/>
        <v>-0.0571428571428572</v>
      </c>
      <c r="BG236" s="132">
        <f t="shared" si="144"/>
        <v>-0.0638297872340425</v>
      </c>
      <c r="BH236" s="132"/>
      <c r="BI236" s="132"/>
      <c r="BJ236" s="132"/>
      <c r="BK236" s="132"/>
      <c r="BL236" s="132"/>
      <c r="BM236" s="132"/>
      <c r="BN236" s="132"/>
      <c r="FV236" s="104">
        <f t="shared" si="124"/>
        <v>2011</v>
      </c>
      <c r="FW236" s="104">
        <f t="shared" si="125"/>
        <v>31</v>
      </c>
      <c r="FX236" s="35">
        <v>40751</v>
      </c>
      <c r="FY236" s="26">
        <v>1.21</v>
      </c>
      <c r="FZ236" s="94">
        <f t="shared" si="126"/>
        <v>4.84</v>
      </c>
      <c r="GA236" s="104"/>
      <c r="GB236" s="104"/>
      <c r="GE236" s="94"/>
      <c r="GF236" s="104">
        <f t="shared" si="127"/>
        <v>2013</v>
      </c>
      <c r="GG236" s="104">
        <f t="shared" si="128"/>
        <v>45</v>
      </c>
      <c r="GH236" s="35">
        <v>41582</v>
      </c>
      <c r="GI236" s="26">
        <v>4.088</v>
      </c>
      <c r="GJ236" s="94">
        <f t="shared" si="129"/>
        <v>8.176</v>
      </c>
      <c r="GK236" s="104"/>
      <c r="GL236" s="104"/>
      <c r="GO236" s="94"/>
    </row>
    <row r="237" spans="3:197">
      <c r="C237" s="80" t="str" cm="1">
        <f t="array" ref="C237">_xlfn.IFS(MONTH(D237)&lt;4,1,MONTH(D237)&lt;7,2,MONTH(D237)&lt;10,3,MONTH(D237)&gt;9,4)&amp;"Q"&amp;RIGHT(YEAR(D237),2)</f>
        <v>4Q16</v>
      </c>
      <c r="D237" s="81">
        <f t="shared" si="134"/>
        <v>42735</v>
      </c>
      <c r="E237" s="82">
        <f t="shared" si="131"/>
        <v>42725</v>
      </c>
      <c r="F237" s="83">
        <f t="shared" si="132"/>
        <v>0.7</v>
      </c>
      <c r="G237" s="83">
        <f t="shared" si="132"/>
        <v>0.52375</v>
      </c>
      <c r="H237" s="81"/>
      <c r="I237" s="84">
        <v>42725</v>
      </c>
      <c r="J237" s="85">
        <v>6.1</v>
      </c>
      <c r="K237" s="85">
        <v>5.3</v>
      </c>
      <c r="L237" s="86">
        <v>5.6</v>
      </c>
      <c r="M237" s="94" cm="1">
        <f t="array" ref="M237">INDEX($BV$29:$BV$1449,MATCH($D237,$BR$29:$BR$1449,0),)</f>
        <v>4.19</v>
      </c>
      <c r="N237" s="88"/>
      <c r="O237" s="88"/>
      <c r="P237" s="88"/>
      <c r="Q237" s="89">
        <f t="shared" si="133"/>
        <v>0.336515513126491</v>
      </c>
      <c r="AH237" s="105">
        <f t="shared" si="145"/>
        <v>44174</v>
      </c>
      <c r="AI237" s="91">
        <f t="shared" si="135"/>
        <v>2.972</v>
      </c>
      <c r="AJ237" s="36">
        <f t="shared" si="136"/>
        <v>0.0729241877256317</v>
      </c>
      <c r="AK237" s="36">
        <f t="shared" si="138"/>
        <v>0.0625670361101178</v>
      </c>
      <c r="AL237" s="105"/>
      <c r="AM237" s="91"/>
      <c r="AN237" s="36"/>
      <c r="AO237" s="36"/>
      <c r="AP237" s="36"/>
      <c r="AQ237" s="128" t="str" cm="1">
        <f t="array" ref="AQ237">_xlfn.IFS(MONTH(AR237)&lt;4,1,MONTH(AR237)&lt;7,2,MONTH(AR237)&lt;10,3,MONTH(AR237)&gt;9,4)&amp;"Q"&amp;RIGHT(YEAR(AR237),2)</f>
        <v>1Q23</v>
      </c>
      <c r="AR237" s="128">
        <f t="shared" si="137"/>
        <v>44985</v>
      </c>
      <c r="AS237" s="129">
        <f t="shared" si="146"/>
        <v>44970</v>
      </c>
      <c r="AT237" s="130">
        <v>68</v>
      </c>
      <c r="AU237" s="94" cm="1">
        <f t="array" ref="AU237">INDEX($CE$29:$CE$1449,MATCH($AR237,$CA$29:$CA$1449,0),)</f>
        <v>67</v>
      </c>
      <c r="AV237" s="130">
        <v>129</v>
      </c>
      <c r="AW237" s="94" cm="1">
        <f t="array" ref="AW237">INDEX($CF$29:$CF$1449,MATCH($AR237,$CA$29:$CA$1449,0),)</f>
        <v>129</v>
      </c>
      <c r="AX237" s="94"/>
      <c r="AY237" s="134"/>
      <c r="AZ237" s="135"/>
      <c r="BA237" s="134"/>
      <c r="BB237" s="132">
        <f t="shared" si="139"/>
        <v>0</v>
      </c>
      <c r="BC237" s="132">
        <f t="shared" si="141"/>
        <v>0</v>
      </c>
      <c r="BD237" s="132">
        <f t="shared" si="143"/>
        <v>-0.0313390313390314</v>
      </c>
      <c r="BE237" s="132">
        <f t="shared" si="140"/>
        <v>-0.0227272727272727</v>
      </c>
      <c r="BF237" s="132">
        <f t="shared" si="142"/>
        <v>-0.0583941605839416</v>
      </c>
      <c r="BG237" s="132">
        <f t="shared" si="144"/>
        <v>-0.0785714285714286</v>
      </c>
      <c r="BH237" s="132"/>
      <c r="BI237" s="132"/>
      <c r="BJ237" s="132"/>
      <c r="BK237" s="132"/>
      <c r="BL237" s="132"/>
      <c r="BM237" s="132"/>
      <c r="BN237" s="132"/>
      <c r="FV237" s="104">
        <f t="shared" si="124"/>
        <v>2011</v>
      </c>
      <c r="FW237" s="104">
        <f t="shared" si="125"/>
        <v>31</v>
      </c>
      <c r="FX237" s="35">
        <v>40752</v>
      </c>
      <c r="FY237" s="26">
        <v>1.19</v>
      </c>
      <c r="FZ237" s="94">
        <f t="shared" si="126"/>
        <v>4.76</v>
      </c>
      <c r="GA237" s="104"/>
      <c r="GB237" s="104"/>
      <c r="GE237" s="94"/>
      <c r="GF237" s="104">
        <f t="shared" si="127"/>
        <v>2013</v>
      </c>
      <c r="GG237" s="104">
        <f t="shared" si="128"/>
        <v>45</v>
      </c>
      <c r="GH237" s="35">
        <v>41583</v>
      </c>
      <c r="GI237" s="26">
        <v>4.088</v>
      </c>
      <c r="GJ237" s="94">
        <f t="shared" si="129"/>
        <v>8.176</v>
      </c>
      <c r="GK237" s="104"/>
      <c r="GL237" s="104"/>
      <c r="GO237" s="94"/>
    </row>
    <row r="238" spans="3:197">
      <c r="C238" s="80" t="str" cm="1">
        <f t="array" ref="C238">_xlfn.IFS(MONTH(D238)&lt;4,1,MONTH(D238)&lt;7,2,MONTH(D238)&lt;10,3,MONTH(D238)&gt;9,4)&amp;"Q"&amp;RIGHT(YEAR(D238),2)</f>
        <v>4Q16</v>
      </c>
      <c r="D238" s="81">
        <f t="shared" si="134"/>
        <v>42735</v>
      </c>
      <c r="E238" s="82">
        <f t="shared" si="131"/>
        <v>42726</v>
      </c>
      <c r="F238" s="83">
        <f t="shared" si="132"/>
        <v>0.703125</v>
      </c>
      <c r="G238" s="83">
        <f t="shared" si="132"/>
        <v>0.52375</v>
      </c>
      <c r="H238" s="81"/>
      <c r="I238" s="84">
        <v>42726</v>
      </c>
      <c r="J238" s="85">
        <v>6.15</v>
      </c>
      <c r="K238" s="85">
        <v>5.3</v>
      </c>
      <c r="L238" s="86">
        <v>5.625</v>
      </c>
      <c r="M238" s="94" cm="1">
        <f t="array" ref="M238">INDEX($BV$29:$BV$1449,MATCH($D238,$BR$29:$BR$1449,0),)</f>
        <v>4.19</v>
      </c>
      <c r="N238" s="88"/>
      <c r="O238" s="88"/>
      <c r="P238" s="88"/>
      <c r="Q238" s="89">
        <f t="shared" si="133"/>
        <v>0.342482100238663</v>
      </c>
      <c r="AH238" s="105">
        <f t="shared" si="145"/>
        <v>44182</v>
      </c>
      <c r="AI238" s="91">
        <f t="shared" si="135"/>
        <v>3.318</v>
      </c>
      <c r="AJ238" s="36">
        <f t="shared" si="136"/>
        <v>0.116419919246299</v>
      </c>
      <c r="AK238" s="36">
        <f t="shared" si="138"/>
        <v>0.19783393501805</v>
      </c>
      <c r="AL238" s="105"/>
      <c r="AM238" s="91"/>
      <c r="AN238" s="36"/>
      <c r="AO238" s="36"/>
      <c r="AP238" s="36"/>
      <c r="AQ238" s="128" t="str" cm="1">
        <f t="array" ref="AQ238">_xlfn.IFS(MONTH(AR238)&lt;4,1,MONTH(AR238)&lt;7,2,MONTH(AR238)&lt;10,3,MONTH(AR238)&gt;9,4)&amp;"Q"&amp;RIGHT(YEAR(AR238),2)</f>
        <v>1Q23</v>
      </c>
      <c r="AR238" s="128">
        <f t="shared" si="137"/>
        <v>44985</v>
      </c>
      <c r="AS238" s="129">
        <f t="shared" si="146"/>
        <v>44977</v>
      </c>
      <c r="AT238" s="130">
        <v>67.95</v>
      </c>
      <c r="AU238" s="94" cm="1">
        <f t="array" ref="AU238">INDEX($CE$29:$CE$1449,MATCH($AR238,$CA$29:$CA$1449,0),)</f>
        <v>67</v>
      </c>
      <c r="AV238" s="130">
        <v>128.5</v>
      </c>
      <c r="AW238" s="94" cm="1">
        <f t="array" ref="AW238">INDEX($CF$29:$CF$1449,MATCH($AR238,$CA$29:$CA$1449,0),)</f>
        <v>129</v>
      </c>
      <c r="AX238" s="94"/>
      <c r="AY238" s="134"/>
      <c r="AZ238" s="135"/>
      <c r="BA238" s="134"/>
      <c r="BB238" s="132">
        <f t="shared" si="139"/>
        <v>-0.000735294117647056</v>
      </c>
      <c r="BC238" s="132">
        <f t="shared" si="141"/>
        <v>-0.000735294117647056</v>
      </c>
      <c r="BD238" s="132">
        <f t="shared" si="143"/>
        <v>-0.000735294117647056</v>
      </c>
      <c r="BE238" s="132">
        <f t="shared" si="140"/>
        <v>-0.00387596899224807</v>
      </c>
      <c r="BF238" s="132">
        <f t="shared" si="142"/>
        <v>-0.0265151515151515</v>
      </c>
      <c r="BG238" s="132">
        <f t="shared" si="144"/>
        <v>-0.0620437956204379</v>
      </c>
      <c r="BH238" s="132"/>
      <c r="BI238" s="132"/>
      <c r="BJ238" s="132"/>
      <c r="BK238" s="132"/>
      <c r="BL238" s="132"/>
      <c r="BM238" s="132"/>
      <c r="BN238" s="132"/>
      <c r="FV238" s="104">
        <f t="shared" si="124"/>
        <v>2011</v>
      </c>
      <c r="FW238" s="104">
        <f t="shared" si="125"/>
        <v>31</v>
      </c>
      <c r="FX238" s="35">
        <v>40753</v>
      </c>
      <c r="FY238" s="26">
        <v>1.18</v>
      </c>
      <c r="FZ238" s="94">
        <f t="shared" si="126"/>
        <v>4.72</v>
      </c>
      <c r="GA238" s="104"/>
      <c r="GB238" s="104"/>
      <c r="GE238" s="94"/>
      <c r="GF238" s="104">
        <f t="shared" si="127"/>
        <v>2013</v>
      </c>
      <c r="GG238" s="104">
        <f t="shared" si="128"/>
        <v>45</v>
      </c>
      <c r="GH238" s="35">
        <v>41584</v>
      </c>
      <c r="GI238" s="26">
        <v>4.066</v>
      </c>
      <c r="GJ238" s="94">
        <f t="shared" si="129"/>
        <v>8.132</v>
      </c>
      <c r="GK238" s="104"/>
      <c r="GL238" s="104"/>
      <c r="GO238" s="94"/>
    </row>
    <row r="239" spans="3:197">
      <c r="C239" s="80" t="str" cm="1">
        <f t="array" ref="C239">_xlfn.IFS(MONTH(D239)&lt;4,1,MONTH(D239)&lt;7,2,MONTH(D239)&lt;10,3,MONTH(D239)&gt;9,4)&amp;"Q"&amp;RIGHT(YEAR(D239),2)</f>
        <v>4Q16</v>
      </c>
      <c r="D239" s="81">
        <f t="shared" si="134"/>
        <v>42735</v>
      </c>
      <c r="E239" s="82">
        <f t="shared" si="131"/>
        <v>42727</v>
      </c>
      <c r="F239" s="83">
        <f t="shared" si="132"/>
        <v>0.7075</v>
      </c>
      <c r="G239" s="83">
        <f t="shared" si="132"/>
        <v>0.52375</v>
      </c>
      <c r="H239" s="81"/>
      <c r="I239" s="84">
        <v>42727</v>
      </c>
      <c r="J239" s="85">
        <v>6.25</v>
      </c>
      <c r="K239" s="85">
        <v>5.4</v>
      </c>
      <c r="L239" s="86">
        <v>5.66</v>
      </c>
      <c r="M239" s="94" cm="1">
        <f t="array" ref="M239">INDEX($BV$29:$BV$1449,MATCH($D239,$BR$29:$BR$1449,0),)</f>
        <v>4.19</v>
      </c>
      <c r="N239" s="88"/>
      <c r="O239" s="88"/>
      <c r="P239" s="88"/>
      <c r="Q239" s="89">
        <f t="shared" si="133"/>
        <v>0.350835322195704</v>
      </c>
      <c r="AH239" s="105">
        <f t="shared" si="145"/>
        <v>44190</v>
      </c>
      <c r="AI239" s="91">
        <f t="shared" si="135"/>
        <v>3.45</v>
      </c>
      <c r="AJ239" s="36">
        <f t="shared" si="136"/>
        <v>0.0397830018083183</v>
      </c>
      <c r="AK239" s="36">
        <f t="shared" si="138"/>
        <v>0.160834454912517</v>
      </c>
      <c r="AL239" s="105"/>
      <c r="AM239" s="91"/>
      <c r="AN239" s="36"/>
      <c r="AO239" s="36"/>
      <c r="AP239" s="36"/>
      <c r="AQ239" s="128" t="str" cm="1">
        <f t="array" ref="AQ239">_xlfn.IFS(MONTH(AR239)&lt;4,1,MONTH(AR239)&lt;7,2,MONTH(AR239)&lt;10,3,MONTH(AR239)&gt;9,4)&amp;"Q"&amp;RIGHT(YEAR(AR239),2)</f>
        <v>1Q23</v>
      </c>
      <c r="AR239" s="128">
        <f t="shared" si="137"/>
        <v>44985</v>
      </c>
      <c r="AS239" s="129">
        <f t="shared" si="146"/>
        <v>44984</v>
      </c>
      <c r="AT239" s="135">
        <v>66.5</v>
      </c>
      <c r="AU239" s="134" cm="1">
        <f t="array" ref="AU239">INDEX($CE$29:$CE$1449,MATCH($AR239,$CA$29:$CA$1449,0),)</f>
        <v>67</v>
      </c>
      <c r="AV239" s="135">
        <v>127</v>
      </c>
      <c r="AW239" s="134" cm="1">
        <f t="array" ref="AW239">INDEX($CF$29:$CF$1449,MATCH($AR239,$CA$29:$CA$1449,0),)</f>
        <v>129</v>
      </c>
      <c r="AX239" s="134"/>
      <c r="AY239" s="134"/>
      <c r="AZ239" s="135"/>
      <c r="BA239" s="134"/>
      <c r="BB239" s="132">
        <f t="shared" si="139"/>
        <v>-0.0213392200147168</v>
      </c>
      <c r="BC239" s="132">
        <f t="shared" si="141"/>
        <v>-0.0220588235294118</v>
      </c>
      <c r="BD239" s="132">
        <f t="shared" si="143"/>
        <v>-0.0220588235294118</v>
      </c>
      <c r="BE239" s="132">
        <f t="shared" si="140"/>
        <v>-0.0116731517509727</v>
      </c>
      <c r="BF239" s="132">
        <f t="shared" si="142"/>
        <v>-0.0155038759689923</v>
      </c>
      <c r="BG239" s="132">
        <f t="shared" si="144"/>
        <v>-0.0378787878787878</v>
      </c>
      <c r="BH239" s="132"/>
      <c r="BI239" s="132"/>
      <c r="BJ239" s="132"/>
      <c r="BK239" s="132"/>
      <c r="BL239" s="132"/>
      <c r="BM239" s="132"/>
      <c r="BN239" s="132"/>
      <c r="FV239" s="104">
        <f t="shared" si="124"/>
        <v>2011</v>
      </c>
      <c r="FW239" s="104">
        <f t="shared" si="125"/>
        <v>32</v>
      </c>
      <c r="FX239" s="35">
        <v>40756</v>
      </c>
      <c r="FY239" s="26">
        <v>1.15</v>
      </c>
      <c r="FZ239" s="94">
        <f t="shared" si="126"/>
        <v>4.6</v>
      </c>
      <c r="GA239" s="104"/>
      <c r="GB239" s="104"/>
      <c r="GE239" s="94"/>
      <c r="GF239" s="104">
        <f t="shared" si="127"/>
        <v>2013</v>
      </c>
      <c r="GG239" s="104">
        <f t="shared" si="128"/>
        <v>45</v>
      </c>
      <c r="GH239" s="35">
        <v>41585</v>
      </c>
      <c r="GI239" s="26">
        <v>4.049</v>
      </c>
      <c r="GJ239" s="94">
        <f t="shared" si="129"/>
        <v>8.098</v>
      </c>
      <c r="GK239" s="104"/>
      <c r="GL239" s="104"/>
      <c r="GO239" s="94"/>
    </row>
    <row r="240" spans="3:197">
      <c r="C240" s="80" t="str" cm="1">
        <f t="array" ref="C240">_xlfn.IFS(MONTH(D240)&lt;4,1,MONTH(D240)&lt;7,2,MONTH(D240)&lt;10,3,MONTH(D240)&gt;9,4)&amp;"Q"&amp;RIGHT(YEAR(D240),2)</f>
        <v>4Q16</v>
      </c>
      <c r="D240" s="81">
        <f t="shared" si="134"/>
        <v>42735</v>
      </c>
      <c r="E240" s="82">
        <f t="shared" si="131"/>
        <v>42730</v>
      </c>
      <c r="F240" s="83">
        <f t="shared" si="132"/>
        <v>0.709375</v>
      </c>
      <c r="G240" s="83">
        <f t="shared" si="132"/>
        <v>0.52375</v>
      </c>
      <c r="H240" s="81"/>
      <c r="I240" s="84">
        <v>42730</v>
      </c>
      <c r="J240" s="85">
        <v>6.25</v>
      </c>
      <c r="K240" s="85">
        <v>5.4</v>
      </c>
      <c r="L240" s="86">
        <v>5.675</v>
      </c>
      <c r="M240" s="94" cm="1">
        <f t="array" ref="M240">INDEX($BV$29:$BV$1449,MATCH($D240,$BR$29:$BR$1449,0),)</f>
        <v>4.19</v>
      </c>
      <c r="N240" s="88"/>
      <c r="O240" s="88"/>
      <c r="P240" s="88"/>
      <c r="Q240" s="89">
        <f t="shared" si="133"/>
        <v>0.354415274463007</v>
      </c>
      <c r="AH240" s="105">
        <f t="shared" si="145"/>
        <v>44200</v>
      </c>
      <c r="AI240" s="91">
        <f t="shared" si="135"/>
        <v>3.46</v>
      </c>
      <c r="AJ240" s="36">
        <f t="shared" si="136"/>
        <v>0.00289855072463752</v>
      </c>
      <c r="AK240" s="36">
        <f t="shared" si="138"/>
        <v>0.0427968655816757</v>
      </c>
      <c r="AL240" s="105"/>
      <c r="AM240" s="91"/>
      <c r="AN240" s="36"/>
      <c r="AO240" s="36"/>
      <c r="AP240" s="36"/>
      <c r="AQ240" s="128" t="str" cm="1">
        <f t="array" ref="AQ240">_xlfn.IFS(MONTH(AR240)&lt;4,1,MONTH(AR240)&lt;7,2,MONTH(AR240)&lt;10,3,MONTH(AR240)&gt;9,4)&amp;"Q"&amp;RIGHT(YEAR(AR240),2)</f>
        <v>1Q23</v>
      </c>
      <c r="AR240" s="128">
        <f t="shared" si="137"/>
        <v>45016</v>
      </c>
      <c r="AS240" s="129">
        <f t="shared" si="146"/>
        <v>44991</v>
      </c>
      <c r="AT240" s="135">
        <v>65</v>
      </c>
      <c r="AU240" s="134" cm="1">
        <f t="array" ref="AU240">INDEX($CE$29:$CE$1449,MATCH($AR240,$CA$29:$CA$1449,0),)</f>
        <v>60</v>
      </c>
      <c r="AV240" s="135">
        <v>125.5</v>
      </c>
      <c r="AW240" s="134" cm="1">
        <f t="array" ref="AW240">INDEX($CF$29:$CF$1449,MATCH($AR240,$CA$29:$CA$1449,0),)</f>
        <v>117</v>
      </c>
      <c r="AX240" s="134"/>
      <c r="AY240" s="134"/>
      <c r="AZ240" s="135"/>
      <c r="BA240" s="134"/>
      <c r="BB240" s="132">
        <f t="shared" si="139"/>
        <v>-0.0225563909774437</v>
      </c>
      <c r="BC240" s="132">
        <f t="shared" si="141"/>
        <v>-0.0434142752023547</v>
      </c>
      <c r="BD240" s="132">
        <f t="shared" si="143"/>
        <v>-0.0441176470588235</v>
      </c>
      <c r="BE240" s="132">
        <f t="shared" si="140"/>
        <v>-0.0118110236220472</v>
      </c>
      <c r="BF240" s="132">
        <f t="shared" si="142"/>
        <v>-0.0233463035019456</v>
      </c>
      <c r="BG240" s="132">
        <f t="shared" si="144"/>
        <v>-0.0271317829457365</v>
      </c>
      <c r="BH240" s="132"/>
      <c r="BI240" s="132"/>
      <c r="BJ240" s="132"/>
      <c r="BK240" s="132"/>
      <c r="BL240" s="132"/>
      <c r="BM240" s="132"/>
      <c r="BN240" s="132"/>
      <c r="FV240" s="104">
        <f t="shared" si="124"/>
        <v>2011</v>
      </c>
      <c r="FW240" s="104">
        <f t="shared" si="125"/>
        <v>32</v>
      </c>
      <c r="FX240" s="35">
        <v>40757</v>
      </c>
      <c r="FY240" s="26">
        <v>1.12</v>
      </c>
      <c r="FZ240" s="94">
        <f t="shared" si="126"/>
        <v>4.48</v>
      </c>
      <c r="GA240" s="104"/>
      <c r="GB240" s="104"/>
      <c r="GE240" s="94"/>
      <c r="GF240" s="104">
        <f t="shared" si="127"/>
        <v>2013</v>
      </c>
      <c r="GG240" s="104">
        <f t="shared" si="128"/>
        <v>45</v>
      </c>
      <c r="GH240" s="35">
        <v>41586</v>
      </c>
      <c r="GI240" s="26">
        <v>4.023</v>
      </c>
      <c r="GJ240" s="94">
        <f t="shared" si="129"/>
        <v>8.046</v>
      </c>
      <c r="GK240" s="104"/>
      <c r="GL240" s="104"/>
      <c r="GO240" s="94"/>
    </row>
    <row r="241" spans="3:197">
      <c r="C241" s="80" t="str" cm="1">
        <f t="array" ref="C241">_xlfn.IFS(MONTH(D241)&lt;4,1,MONTH(D241)&lt;7,2,MONTH(D241)&lt;10,3,MONTH(D241)&gt;9,4)&amp;"Q"&amp;RIGHT(YEAR(D241),2)</f>
        <v>4Q16</v>
      </c>
      <c r="D241" s="81">
        <f t="shared" si="134"/>
        <v>42735</v>
      </c>
      <c r="E241" s="82">
        <f t="shared" si="131"/>
        <v>42731</v>
      </c>
      <c r="F241" s="83">
        <f t="shared" si="132"/>
        <v>0.7095</v>
      </c>
      <c r="G241" s="83">
        <f t="shared" si="132"/>
        <v>0.52375</v>
      </c>
      <c r="H241" s="81"/>
      <c r="I241" s="84">
        <v>42731</v>
      </c>
      <c r="J241" s="85">
        <v>6.25</v>
      </c>
      <c r="K241" s="85">
        <v>5.4</v>
      </c>
      <c r="L241" s="86">
        <v>5.676</v>
      </c>
      <c r="M241" s="94" cm="1">
        <f t="array" ref="M241">INDEX($BV$29:$BV$1449,MATCH($D241,$BR$29:$BR$1449,0),)</f>
        <v>4.19</v>
      </c>
      <c r="N241" s="88"/>
      <c r="O241" s="88"/>
      <c r="P241" s="88"/>
      <c r="Q241" s="89">
        <f t="shared" si="133"/>
        <v>0.354653937947494</v>
      </c>
      <c r="AH241" s="105">
        <f t="shared" si="145"/>
        <v>44208</v>
      </c>
      <c r="AI241" s="91">
        <f t="shared" si="135"/>
        <v>3.425</v>
      </c>
      <c r="AJ241" s="36">
        <f t="shared" si="136"/>
        <v>-0.0101156069364162</v>
      </c>
      <c r="AK241" s="36">
        <f t="shared" si="138"/>
        <v>-0.00724637681159435</v>
      </c>
      <c r="AL241" s="105"/>
      <c r="AM241" s="91"/>
      <c r="AN241" s="36"/>
      <c r="AO241" s="36"/>
      <c r="AP241" s="36"/>
      <c r="AQ241" s="128" t="str" cm="1">
        <f t="array" ref="AQ241">_xlfn.IFS(MONTH(AR241)&lt;4,1,MONTH(AR241)&lt;7,2,MONTH(AR241)&lt;10,3,MONTH(AR241)&gt;9,4)&amp;"Q"&amp;RIGHT(YEAR(AR241),2)</f>
        <v>1Q23</v>
      </c>
      <c r="AR241" s="128">
        <f t="shared" si="137"/>
        <v>45016</v>
      </c>
      <c r="AS241" s="129">
        <f t="shared" si="146"/>
        <v>44998</v>
      </c>
      <c r="AT241" s="135">
        <v>63.5</v>
      </c>
      <c r="AU241" s="134" cm="1">
        <f t="array" ref="AU241">INDEX($CE$29:$CE$1449,MATCH($AR241,$CA$29:$CA$1449,0),)</f>
        <v>60</v>
      </c>
      <c r="AV241" s="135">
        <v>124</v>
      </c>
      <c r="AW241" s="134" cm="1">
        <f t="array" ref="AW241">INDEX($CF$29:$CF$1449,MATCH($AR241,$CA$29:$CA$1449,0),)</f>
        <v>117</v>
      </c>
      <c r="AX241" s="134"/>
      <c r="AY241" s="134"/>
      <c r="AZ241" s="135"/>
      <c r="BA241" s="134"/>
      <c r="BB241" s="132">
        <f t="shared" si="139"/>
        <v>-0.0230769230769231</v>
      </c>
      <c r="BC241" s="132">
        <f t="shared" si="141"/>
        <v>-0.0451127819548872</v>
      </c>
      <c r="BD241" s="132">
        <f t="shared" si="143"/>
        <v>-0.0654893303899927</v>
      </c>
      <c r="BE241" s="132">
        <f t="shared" si="140"/>
        <v>-0.0119521912350598</v>
      </c>
      <c r="BF241" s="132">
        <f t="shared" si="142"/>
        <v>-0.0236220472440944</v>
      </c>
      <c r="BG241" s="132">
        <f t="shared" si="144"/>
        <v>-0.0350194552529183</v>
      </c>
      <c r="BH241" s="132"/>
      <c r="BI241" s="132"/>
      <c r="BJ241" s="132"/>
      <c r="BK241" s="132"/>
      <c r="BL241" s="132"/>
      <c r="BM241" s="132"/>
      <c r="BN241" s="132"/>
      <c r="FV241" s="104">
        <f t="shared" si="124"/>
        <v>2011</v>
      </c>
      <c r="FW241" s="104">
        <f t="shared" si="125"/>
        <v>32</v>
      </c>
      <c r="FX241" s="35">
        <v>40758</v>
      </c>
      <c r="FY241" s="26">
        <v>1.11</v>
      </c>
      <c r="FZ241" s="94">
        <f t="shared" si="126"/>
        <v>4.44</v>
      </c>
      <c r="GA241" s="104"/>
      <c r="GB241" s="104"/>
      <c r="GE241" s="94"/>
      <c r="GF241" s="104">
        <f t="shared" si="127"/>
        <v>2013</v>
      </c>
      <c r="GG241" s="104">
        <f t="shared" si="128"/>
        <v>46</v>
      </c>
      <c r="GH241" s="35">
        <v>41589</v>
      </c>
      <c r="GI241" s="26">
        <v>4</v>
      </c>
      <c r="GJ241" s="94">
        <f t="shared" si="129"/>
        <v>8</v>
      </c>
      <c r="GK241" s="104"/>
      <c r="GL241" s="104"/>
      <c r="GO241" s="94"/>
    </row>
    <row r="242" spans="3:197">
      <c r="C242" s="80" t="str" cm="1">
        <f t="array" ref="C242">_xlfn.IFS(MONTH(D242)&lt;4,1,MONTH(D242)&lt;7,2,MONTH(D242)&lt;10,3,MONTH(D242)&gt;9,4)&amp;"Q"&amp;RIGHT(YEAR(D242),2)</f>
        <v>4Q16</v>
      </c>
      <c r="D242" s="81">
        <f t="shared" si="134"/>
        <v>42735</v>
      </c>
      <c r="E242" s="82">
        <f t="shared" si="131"/>
        <v>42732</v>
      </c>
      <c r="F242" s="83">
        <f t="shared" si="132"/>
        <v>0.712625</v>
      </c>
      <c r="G242" s="83">
        <f t="shared" si="132"/>
        <v>0.52375</v>
      </c>
      <c r="H242" s="81"/>
      <c r="I242" s="84">
        <v>42732</v>
      </c>
      <c r="J242" s="85">
        <v>6.3</v>
      </c>
      <c r="K242" s="85">
        <v>5.4</v>
      </c>
      <c r="L242" s="86">
        <v>5.701</v>
      </c>
      <c r="M242" s="94" cm="1">
        <f t="array" ref="M242">INDEX($BV$29:$BV$1449,MATCH($D242,$BR$29:$BR$1449,0),)</f>
        <v>4.19</v>
      </c>
      <c r="N242" s="88"/>
      <c r="O242" s="88"/>
      <c r="P242" s="88"/>
      <c r="Q242" s="89">
        <f t="shared" si="133"/>
        <v>0.360620525059666</v>
      </c>
      <c r="AH242" s="105">
        <f t="shared" si="145"/>
        <v>44216</v>
      </c>
      <c r="AI242" s="91">
        <f t="shared" si="135"/>
        <v>3.465</v>
      </c>
      <c r="AJ242" s="36">
        <f t="shared" si="136"/>
        <v>0.0116788321167884</v>
      </c>
      <c r="AK242" s="36">
        <f t="shared" si="138"/>
        <v>0.00144508670520227</v>
      </c>
      <c r="AL242" s="105"/>
      <c r="AM242" s="91"/>
      <c r="AN242" s="36"/>
      <c r="AO242" s="36"/>
      <c r="AP242" s="36"/>
      <c r="AQ242" s="128" t="str" cm="1">
        <f t="array" ref="AQ242">_xlfn.IFS(MONTH(AR242)&lt;4,1,MONTH(AR242)&lt;7,2,MONTH(AR242)&lt;10,3,MONTH(AR242)&gt;9,4)&amp;"Q"&amp;RIGHT(YEAR(AR242),2)</f>
        <v>1Q23</v>
      </c>
      <c r="AR242" s="128">
        <f t="shared" si="137"/>
        <v>45016</v>
      </c>
      <c r="AS242" s="129">
        <f t="shared" si="146"/>
        <v>45005</v>
      </c>
      <c r="AT242" s="135">
        <v>61</v>
      </c>
      <c r="AU242" s="134" cm="1">
        <f t="array" ref="AU242">INDEX($CE$29:$CE$1449,MATCH($AR242,$CA$29:$CA$1449,0),)</f>
        <v>60</v>
      </c>
      <c r="AV242" s="135">
        <v>121</v>
      </c>
      <c r="AW242" s="134" cm="1">
        <f t="array" ref="AW242">INDEX($CF$29:$CF$1449,MATCH($AR242,$CA$29:$CA$1449,0),)</f>
        <v>117</v>
      </c>
      <c r="AX242" s="134"/>
      <c r="AY242" s="134"/>
      <c r="AZ242" s="135"/>
      <c r="BA242" s="134"/>
      <c r="BB242" s="132">
        <f t="shared" si="139"/>
        <v>-0.0393700787401575</v>
      </c>
      <c r="BC242" s="132">
        <f t="shared" si="141"/>
        <v>-0.0615384615384615</v>
      </c>
      <c r="BD242" s="132">
        <f t="shared" si="143"/>
        <v>-0.0827067669172933</v>
      </c>
      <c r="BE242" s="132">
        <f t="shared" si="140"/>
        <v>-0.0241935483870968</v>
      </c>
      <c r="BF242" s="132">
        <f t="shared" si="142"/>
        <v>-0.0358565737051793</v>
      </c>
      <c r="BG242" s="132">
        <f t="shared" si="144"/>
        <v>-0.047244094488189</v>
      </c>
      <c r="BH242" s="132"/>
      <c r="BI242" s="132"/>
      <c r="BJ242" s="132"/>
      <c r="BK242" s="132"/>
      <c r="BL242" s="132"/>
      <c r="BM242" s="132"/>
      <c r="BN242" s="132"/>
      <c r="FV242" s="104">
        <f t="shared" si="124"/>
        <v>2011</v>
      </c>
      <c r="FW242" s="104">
        <f t="shared" si="125"/>
        <v>32</v>
      </c>
      <c r="FX242" s="35">
        <v>40759</v>
      </c>
      <c r="FY242" s="26">
        <v>1.1</v>
      </c>
      <c r="FZ242" s="94">
        <f t="shared" si="126"/>
        <v>4.4</v>
      </c>
      <c r="GA242" s="104"/>
      <c r="GB242" s="104"/>
      <c r="GE242" s="94"/>
      <c r="GF242" s="104">
        <f t="shared" si="127"/>
        <v>2013</v>
      </c>
      <c r="GG242" s="104">
        <f t="shared" si="128"/>
        <v>46</v>
      </c>
      <c r="GH242" s="35">
        <v>41590</v>
      </c>
      <c r="GI242" s="26">
        <v>3.959</v>
      </c>
      <c r="GJ242" s="94">
        <f t="shared" si="129"/>
        <v>7.918</v>
      </c>
      <c r="GK242" s="104"/>
      <c r="GL242" s="104"/>
      <c r="GO242" s="94"/>
    </row>
    <row r="243" spans="3:197">
      <c r="C243" s="80" t="str" cm="1">
        <f t="array" ref="C243">_xlfn.IFS(MONTH(D243)&lt;4,1,MONTH(D243)&lt;7,2,MONTH(D243)&lt;10,3,MONTH(D243)&gt;9,4)&amp;"Q"&amp;RIGHT(YEAR(D243),2)</f>
        <v>4Q16</v>
      </c>
      <c r="D243" s="81">
        <f t="shared" si="134"/>
        <v>42735</v>
      </c>
      <c r="E243" s="82">
        <f t="shared" si="131"/>
        <v>42733</v>
      </c>
      <c r="F243" s="83">
        <f t="shared" si="132"/>
        <v>0.71575</v>
      </c>
      <c r="G243" s="83">
        <f t="shared" si="132"/>
        <v>0.52375</v>
      </c>
      <c r="H243" s="81"/>
      <c r="I243" s="84">
        <v>42733</v>
      </c>
      <c r="J243" s="85">
        <v>6.3</v>
      </c>
      <c r="K243" s="85">
        <v>5.4</v>
      </c>
      <c r="L243" s="86">
        <v>5.726</v>
      </c>
      <c r="M243" s="94" cm="1">
        <f t="array" ref="M243">INDEX($BV$29:$BV$1449,MATCH($D243,$BR$29:$BR$1449,0),)</f>
        <v>4.19</v>
      </c>
      <c r="N243" s="88"/>
      <c r="O243" s="88"/>
      <c r="P243" s="88"/>
      <c r="Q243" s="89">
        <f t="shared" si="133"/>
        <v>0.366587112171838</v>
      </c>
      <c r="AH243" s="105">
        <f t="shared" si="145"/>
        <v>44224</v>
      </c>
      <c r="AI243" s="91">
        <f t="shared" si="135"/>
        <v>3.61</v>
      </c>
      <c r="AJ243" s="36">
        <f t="shared" si="136"/>
        <v>0.0418470418470418</v>
      </c>
      <c r="AK243" s="36">
        <f t="shared" si="138"/>
        <v>0.0540145985401459</v>
      </c>
      <c r="AL243" s="105"/>
      <c r="AM243" s="91"/>
      <c r="AN243" s="36"/>
      <c r="AO243" s="36"/>
      <c r="AP243" s="36"/>
      <c r="AQ243" s="128" t="str" cm="1">
        <f t="array" ref="AQ243">_xlfn.IFS(MONTH(AR243)&lt;4,1,MONTH(AR243)&lt;7,2,MONTH(AR243)&lt;10,3,MONTH(AR243)&gt;9,4)&amp;"Q"&amp;RIGHT(YEAR(AR243),2)</f>
        <v>1Q23</v>
      </c>
      <c r="AR243" s="128">
        <f t="shared" si="137"/>
        <v>45016</v>
      </c>
      <c r="AS243" s="129">
        <f t="shared" si="146"/>
        <v>45012</v>
      </c>
      <c r="AT243" s="135">
        <v>58.5</v>
      </c>
      <c r="AU243" s="134" cm="1">
        <f t="array" ref="AU243">INDEX($CE$29:$CE$1449,MATCH($AR243,$CA$29:$CA$1449,0),)</f>
        <v>60</v>
      </c>
      <c r="AV243" s="135">
        <v>116.5</v>
      </c>
      <c r="AW243" s="134" cm="1">
        <f t="array" ref="AW243">INDEX($CF$29:$CF$1449,MATCH($AR243,$CA$29:$CA$1449,0),)</f>
        <v>117</v>
      </c>
      <c r="AX243" s="134"/>
      <c r="AY243" s="134"/>
      <c r="AZ243" s="135"/>
      <c r="BA243" s="134"/>
      <c r="BB243" s="132">
        <f t="shared" si="139"/>
        <v>-0.0409836065573771</v>
      </c>
      <c r="BC243" s="132">
        <f t="shared" si="141"/>
        <v>-0.0787401574803149</v>
      </c>
      <c r="BD243" s="132">
        <f t="shared" si="143"/>
        <v>-0.1</v>
      </c>
      <c r="BE243" s="132">
        <f t="shared" si="140"/>
        <v>-0.0371900826446281</v>
      </c>
      <c r="BF243" s="132">
        <f t="shared" si="142"/>
        <v>-0.0604838709677419</v>
      </c>
      <c r="BG243" s="132">
        <f t="shared" si="144"/>
        <v>-0.0717131474103586</v>
      </c>
      <c r="BH243" s="132"/>
      <c r="BI243" s="132"/>
      <c r="BJ243" s="132"/>
      <c r="BK243" s="132"/>
      <c r="BL243" s="132"/>
      <c r="BM243" s="132"/>
      <c r="BN243" s="132"/>
      <c r="FV243" s="104">
        <f t="shared" si="124"/>
        <v>2011</v>
      </c>
      <c r="FW243" s="104">
        <f t="shared" si="125"/>
        <v>32</v>
      </c>
      <c r="FX243" s="35">
        <v>40760</v>
      </c>
      <c r="FY243" s="26">
        <v>1.09</v>
      </c>
      <c r="FZ243" s="94">
        <f t="shared" si="126"/>
        <v>4.36</v>
      </c>
      <c r="GA243" s="104"/>
      <c r="GB243" s="104"/>
      <c r="GE243" s="94"/>
      <c r="GF243" s="104">
        <f t="shared" si="127"/>
        <v>2013</v>
      </c>
      <c r="GG243" s="104">
        <f t="shared" si="128"/>
        <v>46</v>
      </c>
      <c r="GH243" s="35">
        <v>41591</v>
      </c>
      <c r="GI243" s="26">
        <v>3.949</v>
      </c>
      <c r="GJ243" s="94">
        <f t="shared" si="129"/>
        <v>7.898</v>
      </c>
      <c r="GK243" s="104"/>
      <c r="GL243" s="104"/>
      <c r="GO243" s="94"/>
    </row>
    <row r="244" spans="3:197">
      <c r="C244" s="80" t="str" cm="1">
        <f t="array" ref="C244">_xlfn.IFS(MONTH(D244)&lt;4,1,MONTH(D244)&lt;7,2,MONTH(D244)&lt;10,3,MONTH(D244)&gt;9,4)&amp;"Q"&amp;RIGHT(YEAR(D244),2)</f>
        <v>4Q16</v>
      </c>
      <c r="D244" s="81">
        <f t="shared" si="134"/>
        <v>42735</v>
      </c>
      <c r="E244" s="82">
        <f t="shared" si="131"/>
        <v>42734</v>
      </c>
      <c r="F244" s="83">
        <f t="shared" si="132"/>
        <v>0.71575</v>
      </c>
      <c r="G244" s="83">
        <f t="shared" si="132"/>
        <v>0.52375</v>
      </c>
      <c r="H244" s="81"/>
      <c r="I244" s="84">
        <v>42734</v>
      </c>
      <c r="J244" s="85">
        <v>6.3</v>
      </c>
      <c r="K244" s="85">
        <v>5.4</v>
      </c>
      <c r="L244" s="86">
        <v>5.726</v>
      </c>
      <c r="M244" s="94" cm="1">
        <f t="array" ref="M244">INDEX($BV$29:$BV$1449,MATCH($D244,$BR$29:$BR$1449,0),)</f>
        <v>4.19</v>
      </c>
      <c r="N244" s="88"/>
      <c r="O244" s="88"/>
      <c r="P244" s="88"/>
      <c r="Q244" s="89">
        <f t="shared" si="133"/>
        <v>0.366587112171838</v>
      </c>
      <c r="AH244" s="105">
        <f t="shared" si="145"/>
        <v>44232</v>
      </c>
      <c r="AI244" s="91">
        <f t="shared" si="135"/>
        <v>3.72</v>
      </c>
      <c r="AJ244" s="36">
        <f t="shared" si="136"/>
        <v>0.030470914127424</v>
      </c>
      <c r="AK244" s="36">
        <f t="shared" si="138"/>
        <v>0.0735930735930737</v>
      </c>
      <c r="AL244" s="105"/>
      <c r="AM244" s="91"/>
      <c r="AN244" s="36"/>
      <c r="AO244" s="36"/>
      <c r="AP244" s="36"/>
      <c r="AQ244" s="128" t="str" cm="1">
        <f t="array" ref="AQ244">_xlfn.IFS(MONTH(AR244)&lt;4,1,MONTH(AR244)&lt;7,2,MONTH(AR244)&lt;10,3,MONTH(AR244)&gt;9,4)&amp;"Q"&amp;RIGHT(YEAR(AR244),2)</f>
        <v>2Q23</v>
      </c>
      <c r="AR244" s="128">
        <f t="shared" si="137"/>
        <v>45046</v>
      </c>
      <c r="AS244" s="129">
        <f t="shared" si="146"/>
        <v>45019</v>
      </c>
      <c r="AT244" s="135">
        <v>55.5</v>
      </c>
      <c r="AU244" s="134" cm="1">
        <f t="array" ref="AU244">INDEX($CE$29:$CE$1449,MATCH($AR244,$CA$29:$CA$1449,0),)</f>
        <v>54</v>
      </c>
      <c r="AV244" s="135">
        <v>114</v>
      </c>
      <c r="AW244" s="134" cm="1">
        <f t="array" ref="AW244">INDEX($CF$29:$CF$1449,MATCH($AR244,$CA$29:$CA$1449,0),)</f>
        <v>109</v>
      </c>
      <c r="AX244" s="134"/>
      <c r="AY244" s="134" cm="1">
        <f t="array" ref="AY244">INDEX($CO$29:$CO$1449,MATCH($AR244,$CA$29:$CA$1449,0),)</f>
        <v>85.0753150937596</v>
      </c>
      <c r="AZ244" s="135"/>
      <c r="BA244" s="134" cm="1">
        <f t="array" ref="BA244">INDEX($CP$29:$CP$1449,MATCH($AR244,$CA$29:$CA$1449,0),)</f>
        <v>158.881884881678</v>
      </c>
      <c r="BB244" s="132">
        <f t="shared" si="139"/>
        <v>-0.0512820512820513</v>
      </c>
      <c r="BC244" s="132">
        <f t="shared" si="141"/>
        <v>-0.0901639344262295</v>
      </c>
      <c r="BD244" s="132">
        <f t="shared" si="143"/>
        <v>-0.125984251968504</v>
      </c>
      <c r="BE244" s="132">
        <f t="shared" si="140"/>
        <v>-0.0214592274678111</v>
      </c>
      <c r="BF244" s="132">
        <f t="shared" si="142"/>
        <v>-0.0578512396694215</v>
      </c>
      <c r="BG244" s="132">
        <f t="shared" si="144"/>
        <v>-0.0806451612903226</v>
      </c>
      <c r="BH244" s="132"/>
      <c r="BI244" s="132"/>
      <c r="BJ244" s="132"/>
      <c r="BK244" s="132"/>
      <c r="BL244" s="132"/>
      <c r="BM244" s="132"/>
      <c r="BN244" s="132"/>
      <c r="FV244" s="104">
        <f t="shared" ref="FV244:FV307" si="147">YEAR(FX244)</f>
        <v>2011</v>
      </c>
      <c r="FW244" s="104">
        <f t="shared" ref="FW244:FW307" si="148">WEEKNUM(FX244)</f>
        <v>33</v>
      </c>
      <c r="FX244" s="35">
        <v>40763</v>
      </c>
      <c r="FY244" s="26">
        <v>1.08</v>
      </c>
      <c r="FZ244" s="94">
        <f t="shared" ref="FZ244:FZ307" si="149">FY244*4</f>
        <v>4.32</v>
      </c>
      <c r="GA244" s="104"/>
      <c r="GB244" s="104"/>
      <c r="GE244" s="94"/>
      <c r="GF244" s="104">
        <f t="shared" ref="GF244:GF307" si="150">YEAR(GH244)</f>
        <v>2013</v>
      </c>
      <c r="GG244" s="104">
        <f t="shared" ref="GG244:GG307" si="151">WEEKNUM(GH244)</f>
        <v>46</v>
      </c>
      <c r="GH244" s="35">
        <v>41592</v>
      </c>
      <c r="GI244" s="26">
        <v>3.929</v>
      </c>
      <c r="GJ244" s="94">
        <f t="shared" ref="GJ244:GJ307" si="152">GI244*2</f>
        <v>7.858</v>
      </c>
      <c r="GK244" s="104"/>
      <c r="GL244" s="104"/>
      <c r="GO244" s="94"/>
    </row>
    <row r="245" spans="3:197">
      <c r="C245" s="80" t="str" cm="1">
        <f t="array" ref="C245">_xlfn.IFS(MONTH(D245)&lt;4,1,MONTH(D245)&lt;7,2,MONTH(D245)&lt;10,3,MONTH(D245)&gt;9,4)&amp;"Q"&amp;RIGHT(YEAR(D245),2)</f>
        <v>1Q17</v>
      </c>
      <c r="D245" s="81">
        <f t="shared" si="134"/>
        <v>42766</v>
      </c>
      <c r="E245" s="82">
        <f t="shared" si="131"/>
        <v>42738</v>
      </c>
      <c r="F245" s="83">
        <f t="shared" si="132"/>
        <v>0.716</v>
      </c>
      <c r="G245" s="83">
        <f t="shared" si="132"/>
        <v>0.71125</v>
      </c>
      <c r="H245" s="81"/>
      <c r="I245" s="84">
        <v>42738</v>
      </c>
      <c r="J245" s="85">
        <v>6.35</v>
      </c>
      <c r="K245" s="85">
        <v>5.4</v>
      </c>
      <c r="L245" s="86">
        <v>5.728</v>
      </c>
      <c r="M245" s="94" cm="1">
        <f t="array" ref="M245">INDEX($BV$29:$BV$1449,MATCH($D245,$BR$29:$BR$1449,0),)</f>
        <v>5.69</v>
      </c>
      <c r="N245" s="88"/>
      <c r="O245" s="88"/>
      <c r="P245" s="88"/>
      <c r="Q245" s="89">
        <f t="shared" si="133"/>
        <v>0.00667838312829505</v>
      </c>
      <c r="AH245" s="105">
        <f t="shared" si="145"/>
        <v>44242</v>
      </c>
      <c r="AI245" s="91">
        <f t="shared" si="135"/>
        <v>3.735</v>
      </c>
      <c r="AJ245" s="36">
        <f t="shared" si="136"/>
        <v>0.00403225806451601</v>
      </c>
      <c r="AK245" s="36">
        <f t="shared" si="138"/>
        <v>0.0346260387811634</v>
      </c>
      <c r="AL245" s="105"/>
      <c r="AM245" s="91"/>
      <c r="AN245" s="36"/>
      <c r="AO245" s="36"/>
      <c r="AP245" s="36"/>
      <c r="AQ245" s="128" t="str" cm="1">
        <f t="array" ref="AQ245">_xlfn.IFS(MONTH(AR245)&lt;4,1,MONTH(AR245)&lt;7,2,MONTH(AR245)&lt;10,3,MONTH(AR245)&gt;9,4)&amp;"Q"&amp;RIGHT(YEAR(AR245),2)</f>
        <v>2Q23</v>
      </c>
      <c r="AR245" s="128">
        <f t="shared" si="137"/>
        <v>45046</v>
      </c>
      <c r="AS245" s="129">
        <f t="shared" si="146"/>
        <v>45026</v>
      </c>
      <c r="AT245" s="135">
        <v>53</v>
      </c>
      <c r="AU245" s="134" cm="1">
        <f t="array" ref="AU245">INDEX($CE$29:$CE$1449,MATCH($AR245,$CA$29:$CA$1449,0),)</f>
        <v>54</v>
      </c>
      <c r="AV245" s="135">
        <v>111</v>
      </c>
      <c r="AW245" s="134" cm="1">
        <f t="array" ref="AW245">INDEX($CF$29:$CF$1449,MATCH($AR245,$CA$29:$CA$1449,0),)</f>
        <v>109</v>
      </c>
      <c r="AX245" s="134"/>
      <c r="AY245" s="134" cm="1">
        <f t="array" ref="AY245">INDEX($CO$29:$CO$1449,MATCH($AR245,$CA$29:$CA$1449,0),)</f>
        <v>85.0753150937596</v>
      </c>
      <c r="AZ245" s="135"/>
      <c r="BA245" s="134" cm="1">
        <f t="array" ref="BA245">INDEX($CP$29:$CP$1449,MATCH($AR245,$CA$29:$CA$1449,0),)</f>
        <v>158.881884881678</v>
      </c>
      <c r="BB245" s="132">
        <f t="shared" si="139"/>
        <v>-0.045045045045045</v>
      </c>
      <c r="BC245" s="132">
        <f t="shared" si="141"/>
        <v>-0.094017094017094</v>
      </c>
      <c r="BD245" s="132">
        <f t="shared" si="143"/>
        <v>-0.131147540983607</v>
      </c>
      <c r="BE245" s="132">
        <f t="shared" si="140"/>
        <v>-0.0263157894736842</v>
      </c>
      <c r="BF245" s="132">
        <f t="shared" si="142"/>
        <v>-0.0472103004291845</v>
      </c>
      <c r="BG245" s="132">
        <f t="shared" si="144"/>
        <v>-0.0826446280991735</v>
      </c>
      <c r="BH245" s="132"/>
      <c r="BI245" s="132"/>
      <c r="BJ245" s="132"/>
      <c r="BK245" s="132"/>
      <c r="BL245" s="132"/>
      <c r="BM245" s="132"/>
      <c r="BN245" s="132"/>
      <c r="FV245" s="104">
        <f t="shared" si="147"/>
        <v>2011</v>
      </c>
      <c r="FW245" s="104">
        <f t="shared" si="148"/>
        <v>33</v>
      </c>
      <c r="FX245" s="35">
        <v>40764</v>
      </c>
      <c r="FY245" s="26">
        <v>1.07</v>
      </c>
      <c r="FZ245" s="94">
        <f t="shared" si="149"/>
        <v>4.28</v>
      </c>
      <c r="GA245" s="104"/>
      <c r="GB245" s="104"/>
      <c r="GE245" s="94"/>
      <c r="GF245" s="104">
        <f t="shared" si="150"/>
        <v>2013</v>
      </c>
      <c r="GG245" s="104">
        <f t="shared" si="151"/>
        <v>46</v>
      </c>
      <c r="GH245" s="35">
        <v>41593</v>
      </c>
      <c r="GI245" s="26">
        <v>3.868</v>
      </c>
      <c r="GJ245" s="94">
        <f t="shared" si="152"/>
        <v>7.736</v>
      </c>
      <c r="GK245" s="104"/>
      <c r="GL245" s="104"/>
      <c r="GO245" s="94"/>
    </row>
    <row r="246" spans="3:197">
      <c r="C246" s="80" t="str" cm="1">
        <f t="array" ref="C246">_xlfn.IFS(MONTH(D246)&lt;4,1,MONTH(D246)&lt;7,2,MONTH(D246)&lt;10,3,MONTH(D246)&gt;9,4)&amp;"Q"&amp;RIGHT(YEAR(D246),2)</f>
        <v>1Q17</v>
      </c>
      <c r="D246" s="81">
        <f t="shared" si="134"/>
        <v>42766</v>
      </c>
      <c r="E246" s="82">
        <f t="shared" si="131"/>
        <v>42739</v>
      </c>
      <c r="F246" s="83">
        <f t="shared" si="132"/>
        <v>0.721875</v>
      </c>
      <c r="G246" s="83">
        <f t="shared" si="132"/>
        <v>0.71125</v>
      </c>
      <c r="H246" s="81"/>
      <c r="I246" s="84">
        <v>42739</v>
      </c>
      <c r="J246" s="85">
        <v>6.45</v>
      </c>
      <c r="K246" s="85">
        <v>5.4</v>
      </c>
      <c r="L246" s="86">
        <v>5.775</v>
      </c>
      <c r="M246" s="94" cm="1">
        <f t="array" ref="M246">INDEX($BV$29:$BV$1449,MATCH($D246,$BR$29:$BR$1449,0),)</f>
        <v>5.69</v>
      </c>
      <c r="N246" s="88"/>
      <c r="O246" s="88"/>
      <c r="P246" s="88"/>
      <c r="Q246" s="89">
        <f t="shared" si="133"/>
        <v>0.0149384885764499</v>
      </c>
      <c r="AH246" s="105">
        <f t="shared" si="145"/>
        <v>44250</v>
      </c>
      <c r="AI246" s="91">
        <f t="shared" si="135"/>
        <v>4.15</v>
      </c>
      <c r="AJ246" s="36">
        <f t="shared" si="136"/>
        <v>0.111111111111111</v>
      </c>
      <c r="AK246" s="36">
        <f t="shared" si="138"/>
        <v>0.115591397849462</v>
      </c>
      <c r="AL246" s="105"/>
      <c r="AM246" s="91"/>
      <c r="AN246" s="36"/>
      <c r="AO246" s="36"/>
      <c r="AP246" s="36"/>
      <c r="AQ246" s="128" t="str" cm="1">
        <f t="array" ref="AQ246">_xlfn.IFS(MONTH(AR246)&lt;4,1,MONTH(AR246)&lt;7,2,MONTH(AR246)&lt;10,3,MONTH(AR246)&gt;9,4)&amp;"Q"&amp;RIGHT(YEAR(AR246),2)</f>
        <v>2Q23</v>
      </c>
      <c r="AR246" s="128">
        <f t="shared" si="137"/>
        <v>45046</v>
      </c>
      <c r="AS246" s="129">
        <f t="shared" si="146"/>
        <v>45033</v>
      </c>
      <c r="AT246" s="135">
        <v>52</v>
      </c>
      <c r="AU246" s="134" cm="1">
        <f t="array" ref="AU246">INDEX($CE$29:$CE$1449,MATCH($AR246,$CA$29:$CA$1449,0),)</f>
        <v>54</v>
      </c>
      <c r="AV246" s="135">
        <v>109</v>
      </c>
      <c r="AW246" s="134" cm="1">
        <f t="array" ref="AW246">INDEX($CF$29:$CF$1449,MATCH($AR246,$CA$29:$CA$1449,0),)</f>
        <v>109</v>
      </c>
      <c r="AX246" s="134"/>
      <c r="AY246" s="134" cm="1">
        <f t="array" ref="AY246">INDEX($CO$29:$CO$1449,MATCH($AR246,$CA$29:$CA$1449,0),)</f>
        <v>85.0753150937596</v>
      </c>
      <c r="AZ246" s="135"/>
      <c r="BA246" s="134" cm="1">
        <f t="array" ref="BA246">INDEX($CP$29:$CP$1449,MATCH($AR246,$CA$29:$CA$1449,0),)</f>
        <v>158.881884881678</v>
      </c>
      <c r="BB246" s="132">
        <f t="shared" si="139"/>
        <v>-0.0188679245283019</v>
      </c>
      <c r="BC246" s="132">
        <f t="shared" si="141"/>
        <v>-0.0630630630630631</v>
      </c>
      <c r="BD246" s="132">
        <f t="shared" si="143"/>
        <v>-0.111111111111111</v>
      </c>
      <c r="BE246" s="132">
        <f t="shared" si="140"/>
        <v>-0.0180180180180181</v>
      </c>
      <c r="BF246" s="132">
        <f t="shared" si="142"/>
        <v>-0.043859649122807</v>
      </c>
      <c r="BG246" s="132">
        <f t="shared" si="144"/>
        <v>-0.0643776824034334</v>
      </c>
      <c r="BH246" s="132"/>
      <c r="BI246" s="132"/>
      <c r="BJ246" s="132"/>
      <c r="BK246" s="132"/>
      <c r="BL246" s="132"/>
      <c r="BM246" s="132"/>
      <c r="BN246" s="132"/>
      <c r="FV246" s="104">
        <f t="shared" si="147"/>
        <v>2011</v>
      </c>
      <c r="FW246" s="104">
        <f t="shared" si="148"/>
        <v>33</v>
      </c>
      <c r="FX246" s="35">
        <v>40765</v>
      </c>
      <c r="FY246" s="26">
        <v>1.07</v>
      </c>
      <c r="FZ246" s="94">
        <f t="shared" si="149"/>
        <v>4.28</v>
      </c>
      <c r="GA246" s="104"/>
      <c r="GB246" s="104"/>
      <c r="GE246" s="94"/>
      <c r="GF246" s="104">
        <f t="shared" si="150"/>
        <v>2013</v>
      </c>
      <c r="GG246" s="104">
        <f t="shared" si="151"/>
        <v>47</v>
      </c>
      <c r="GH246" s="35">
        <v>41596</v>
      </c>
      <c r="GI246" s="26">
        <v>3.888</v>
      </c>
      <c r="GJ246" s="94">
        <f t="shared" si="152"/>
        <v>7.776</v>
      </c>
      <c r="GK246" s="104"/>
      <c r="GL246" s="104"/>
      <c r="GO246" s="94"/>
    </row>
    <row r="247" spans="3:197">
      <c r="C247" s="80" t="str" cm="1">
        <f t="array" ref="C247">_xlfn.IFS(MONTH(D247)&lt;4,1,MONTH(D247)&lt;7,2,MONTH(D247)&lt;10,3,MONTH(D247)&gt;9,4)&amp;"Q"&amp;RIGHT(YEAR(D247),2)</f>
        <v>1Q17</v>
      </c>
      <c r="D247" s="81">
        <f t="shared" si="134"/>
        <v>42766</v>
      </c>
      <c r="E247" s="82">
        <f t="shared" si="131"/>
        <v>42740</v>
      </c>
      <c r="F247" s="83">
        <f t="shared" si="132"/>
        <v>0.740625</v>
      </c>
      <c r="G247" s="83">
        <f t="shared" si="132"/>
        <v>0.71125</v>
      </c>
      <c r="H247" s="81"/>
      <c r="I247" s="84">
        <v>42740</v>
      </c>
      <c r="J247" s="85">
        <v>6.5</v>
      </c>
      <c r="K247" s="85">
        <v>5.5</v>
      </c>
      <c r="L247" s="86">
        <v>5.925</v>
      </c>
      <c r="M247" s="94" cm="1">
        <f t="array" ref="M247">INDEX($BV$29:$BV$1449,MATCH($D247,$BR$29:$BR$1449,0),)</f>
        <v>5.69</v>
      </c>
      <c r="N247" s="88"/>
      <c r="O247" s="88"/>
      <c r="P247" s="88"/>
      <c r="Q247" s="89">
        <f t="shared" si="133"/>
        <v>0.0413005272407732</v>
      </c>
      <c r="AH247" s="105">
        <f t="shared" si="145"/>
        <v>44258</v>
      </c>
      <c r="AI247" s="91">
        <f t="shared" si="135"/>
        <v>4.425</v>
      </c>
      <c r="AJ247" s="36">
        <f t="shared" si="136"/>
        <v>0.0662650602409638</v>
      </c>
      <c r="AK247" s="36">
        <f t="shared" si="138"/>
        <v>0.184738955823293</v>
      </c>
      <c r="AL247" s="105"/>
      <c r="AM247" s="91"/>
      <c r="AN247" s="36"/>
      <c r="AO247" s="36"/>
      <c r="AP247" s="36"/>
      <c r="AQ247" s="128" t="str" cm="1">
        <f t="array" ref="AQ247">_xlfn.IFS(MONTH(AR247)&lt;4,1,MONTH(AR247)&lt;7,2,MONTH(AR247)&lt;10,3,MONTH(AR247)&gt;9,4)&amp;"Q"&amp;RIGHT(YEAR(AR247),2)</f>
        <v>2Q23</v>
      </c>
      <c r="AR247" s="128">
        <f t="shared" si="137"/>
        <v>45046</v>
      </c>
      <c r="AS247" s="129">
        <f t="shared" si="146"/>
        <v>45040</v>
      </c>
      <c r="AT247" s="135">
        <v>54</v>
      </c>
      <c r="AU247" s="134" cm="1">
        <f t="array" ref="AU247">INDEX($CE$29:$CE$1449,MATCH($AR247,$CA$29:$CA$1449,0),)</f>
        <v>54</v>
      </c>
      <c r="AV247" s="135">
        <v>109</v>
      </c>
      <c r="AW247" s="134" cm="1">
        <f t="array" ref="AW247">INDEX($CF$29:$CF$1449,MATCH($AR247,$CA$29:$CA$1449,0),)</f>
        <v>109</v>
      </c>
      <c r="AX247" s="134"/>
      <c r="AY247" s="134" cm="1">
        <f t="array" ref="AY247">INDEX($CO$29:$CO$1449,MATCH($AR247,$CA$29:$CA$1449,0),)</f>
        <v>85.0753150937596</v>
      </c>
      <c r="AZ247" s="135"/>
      <c r="BA247" s="134" cm="1">
        <f t="array" ref="BA247">INDEX($CP$29:$CP$1449,MATCH($AR247,$CA$29:$CA$1449,0),)</f>
        <v>158.881884881678</v>
      </c>
      <c r="BB247" s="132">
        <f t="shared" si="139"/>
        <v>0.0384615384615385</v>
      </c>
      <c r="BC247" s="132">
        <f t="shared" si="141"/>
        <v>0.0188679245283019</v>
      </c>
      <c r="BD247" s="132">
        <f t="shared" si="143"/>
        <v>-0.027027027027027</v>
      </c>
      <c r="BE247" s="132">
        <f t="shared" si="140"/>
        <v>0</v>
      </c>
      <c r="BF247" s="132">
        <f t="shared" si="142"/>
        <v>-0.0180180180180181</v>
      </c>
      <c r="BG247" s="132">
        <f t="shared" si="144"/>
        <v>-0.043859649122807</v>
      </c>
      <c r="BH247" s="132"/>
      <c r="BI247" s="132"/>
      <c r="BJ247" s="132"/>
      <c r="BK247" s="132"/>
      <c r="BL247" s="132"/>
      <c r="BM247" s="132"/>
      <c r="BN247" s="132"/>
      <c r="FV247" s="104">
        <f t="shared" si="147"/>
        <v>2011</v>
      </c>
      <c r="FW247" s="104">
        <f t="shared" si="148"/>
        <v>33</v>
      </c>
      <c r="FX247" s="35">
        <v>40766</v>
      </c>
      <c r="FY247" s="26">
        <v>1.04</v>
      </c>
      <c r="FZ247" s="94">
        <f t="shared" si="149"/>
        <v>4.16</v>
      </c>
      <c r="GA247" s="104"/>
      <c r="GB247" s="104"/>
      <c r="GE247" s="94"/>
      <c r="GF247" s="104">
        <f t="shared" si="150"/>
        <v>2013</v>
      </c>
      <c r="GG247" s="104">
        <f t="shared" si="151"/>
        <v>47</v>
      </c>
      <c r="GH247" s="35">
        <v>41597</v>
      </c>
      <c r="GI247" s="26">
        <v>3.859</v>
      </c>
      <c r="GJ247" s="94">
        <f t="shared" si="152"/>
        <v>7.718</v>
      </c>
      <c r="GK247" s="104"/>
      <c r="GL247" s="104"/>
      <c r="GO247" s="94"/>
    </row>
    <row r="248" spans="3:197">
      <c r="C248" s="80" t="str" cm="1">
        <f t="array" ref="C248">_xlfn.IFS(MONTH(D248)&lt;4,1,MONTH(D248)&lt;7,2,MONTH(D248)&lt;10,3,MONTH(D248)&gt;9,4)&amp;"Q"&amp;RIGHT(YEAR(D248),2)</f>
        <v>1Q17</v>
      </c>
      <c r="D248" s="81">
        <f t="shared" si="134"/>
        <v>42766</v>
      </c>
      <c r="E248" s="82">
        <f t="shared" si="131"/>
        <v>42741</v>
      </c>
      <c r="F248" s="83">
        <f t="shared" si="132"/>
        <v>0.753125</v>
      </c>
      <c r="G248" s="83">
        <f t="shared" si="132"/>
        <v>0.71125</v>
      </c>
      <c r="H248" s="81"/>
      <c r="I248" s="84">
        <v>42741</v>
      </c>
      <c r="J248" s="85">
        <v>6.6</v>
      </c>
      <c r="K248" s="85">
        <v>5.6</v>
      </c>
      <c r="L248" s="86">
        <v>6.025</v>
      </c>
      <c r="M248" s="94" cm="1">
        <f t="array" ref="M248">INDEX($BV$29:$BV$1449,MATCH($D248,$BR$29:$BR$1449,0),)</f>
        <v>5.69</v>
      </c>
      <c r="N248" s="88"/>
      <c r="O248" s="88"/>
      <c r="P248" s="88"/>
      <c r="Q248" s="89">
        <f t="shared" si="133"/>
        <v>0.0588752196836555</v>
      </c>
      <c r="AH248" s="105">
        <f t="shared" si="145"/>
        <v>44266</v>
      </c>
      <c r="AI248" s="91">
        <f t="shared" si="135"/>
        <v>4.475</v>
      </c>
      <c r="AJ248" s="36">
        <f t="shared" si="136"/>
        <v>0.0112994350282485</v>
      </c>
      <c r="AK248" s="36">
        <f t="shared" si="138"/>
        <v>0.0783132530120481</v>
      </c>
      <c r="AL248" s="105"/>
      <c r="AM248" s="91"/>
      <c r="AN248" s="36"/>
      <c r="AO248" s="36"/>
      <c r="AP248" s="36"/>
      <c r="AQ248" s="128" t="str" cm="1">
        <f t="array" ref="AQ248">_xlfn.IFS(MONTH(AR248)&lt;4,1,MONTH(AR248)&lt;7,2,MONTH(AR248)&lt;10,3,MONTH(AR248)&gt;9,4)&amp;"Q"&amp;RIGHT(YEAR(AR248),2)</f>
        <v>2Q23</v>
      </c>
      <c r="AR248" s="128">
        <f t="shared" si="137"/>
        <v>45077</v>
      </c>
      <c r="AS248" s="129">
        <f t="shared" si="146"/>
        <v>45047</v>
      </c>
      <c r="AT248" s="135">
        <v>55</v>
      </c>
      <c r="AU248" s="134" cm="1">
        <f t="array" ref="AU248">INDEX($CE$29:$CE$1449,MATCH($AR248,$CA$29:$CA$1449,0),)</f>
        <v>51</v>
      </c>
      <c r="AV248" s="135">
        <v>109</v>
      </c>
      <c r="AW248" s="134" cm="1">
        <f t="array" ref="AW248">INDEX($CF$29:$CF$1449,MATCH($AR248,$CA$29:$CA$1449,0),)</f>
        <v>103</v>
      </c>
      <c r="AX248" s="134"/>
      <c r="AY248" s="134" cm="1">
        <f t="array" ref="AY248">INDEX($CO$29:$CO$1449,MATCH($AR248,$CA$29:$CA$1449,0),)</f>
        <v>83.025</v>
      </c>
      <c r="AZ248" s="135"/>
      <c r="BA248" s="134" cm="1">
        <f t="array" ref="BA248">INDEX($CP$29:$CP$1449,MATCH($AR248,$CA$29:$CA$1449,0),)</f>
        <v>153.75</v>
      </c>
      <c r="BB248" s="132">
        <f t="shared" si="139"/>
        <v>0.0185185185185186</v>
      </c>
      <c r="BC248" s="132">
        <f t="shared" si="141"/>
        <v>0.0576923076923077</v>
      </c>
      <c r="BD248" s="132">
        <f t="shared" si="143"/>
        <v>0.0377358490566038</v>
      </c>
      <c r="BE248" s="132">
        <f t="shared" si="140"/>
        <v>0</v>
      </c>
      <c r="BF248" s="132">
        <f t="shared" si="142"/>
        <v>0</v>
      </c>
      <c r="BG248" s="132">
        <f t="shared" si="144"/>
        <v>-0.0180180180180181</v>
      </c>
      <c r="BH248" s="132"/>
      <c r="BI248" s="132"/>
      <c r="BJ248" s="132"/>
      <c r="BK248" s="132"/>
      <c r="BL248" s="132"/>
      <c r="BM248" s="132"/>
      <c r="BN248" s="132"/>
      <c r="FV248" s="104">
        <f t="shared" si="147"/>
        <v>2011</v>
      </c>
      <c r="FW248" s="104">
        <f t="shared" si="148"/>
        <v>33</v>
      </c>
      <c r="FX248" s="35">
        <v>40767</v>
      </c>
      <c r="FY248" s="26">
        <v>1.03</v>
      </c>
      <c r="FZ248" s="94">
        <f t="shared" si="149"/>
        <v>4.12</v>
      </c>
      <c r="GA248" s="104"/>
      <c r="GB248" s="104"/>
      <c r="GE248" s="94"/>
      <c r="GF248" s="104">
        <f t="shared" si="150"/>
        <v>2013</v>
      </c>
      <c r="GG248" s="104">
        <f t="shared" si="151"/>
        <v>47</v>
      </c>
      <c r="GH248" s="35">
        <v>41598</v>
      </c>
      <c r="GI248" s="26">
        <v>3.84</v>
      </c>
      <c r="GJ248" s="94">
        <f t="shared" si="152"/>
        <v>7.68</v>
      </c>
      <c r="GK248" s="104"/>
      <c r="GL248" s="104"/>
      <c r="GO248" s="94"/>
    </row>
    <row r="249" spans="3:197">
      <c r="C249" s="80" t="str" cm="1">
        <f t="array" ref="C249">_xlfn.IFS(MONTH(D249)&lt;4,1,MONTH(D249)&lt;7,2,MONTH(D249)&lt;10,3,MONTH(D249)&gt;9,4)&amp;"Q"&amp;RIGHT(YEAR(D249),2)</f>
        <v>1Q17</v>
      </c>
      <c r="D249" s="81">
        <f t="shared" si="134"/>
        <v>42766</v>
      </c>
      <c r="E249" s="82">
        <f t="shared" si="131"/>
        <v>42744</v>
      </c>
      <c r="F249" s="83">
        <f t="shared" si="132"/>
        <v>0.75625</v>
      </c>
      <c r="G249" s="83">
        <f t="shared" si="132"/>
        <v>0.71125</v>
      </c>
      <c r="H249" s="81"/>
      <c r="I249" s="84">
        <v>42744</v>
      </c>
      <c r="J249" s="85">
        <v>6.6</v>
      </c>
      <c r="K249" s="85">
        <v>5.6</v>
      </c>
      <c r="L249" s="86">
        <v>6.05</v>
      </c>
      <c r="M249" s="94" cm="1">
        <f t="array" ref="M249">INDEX($BV$29:$BV$1449,MATCH($D249,$BR$29:$BR$1449,0),)</f>
        <v>5.69</v>
      </c>
      <c r="N249" s="88"/>
      <c r="O249" s="88"/>
      <c r="P249" s="88"/>
      <c r="Q249" s="89">
        <f t="shared" si="133"/>
        <v>0.0632688927943761</v>
      </c>
      <c r="AH249" s="105">
        <f t="shared" si="145"/>
        <v>44274</v>
      </c>
      <c r="AI249" s="91">
        <f t="shared" si="135"/>
        <v>4.35</v>
      </c>
      <c r="AJ249" s="36">
        <f t="shared" si="136"/>
        <v>-0.0279329608938548</v>
      </c>
      <c r="AK249" s="36">
        <f t="shared" si="138"/>
        <v>-0.0169491525423729</v>
      </c>
      <c r="AL249" s="105"/>
      <c r="AM249" s="91"/>
      <c r="AN249" s="36"/>
      <c r="AO249" s="36"/>
      <c r="AP249" s="36"/>
      <c r="AQ249" s="128" t="str" cm="1">
        <f t="array" ref="AQ249">_xlfn.IFS(MONTH(AR249)&lt;4,1,MONTH(AR249)&lt;7,2,MONTH(AR249)&lt;10,3,MONTH(AR249)&gt;9,4)&amp;"Q"&amp;RIGHT(YEAR(AR249),2)</f>
        <v>2Q23</v>
      </c>
      <c r="AR249" s="128">
        <f t="shared" si="137"/>
        <v>45077</v>
      </c>
      <c r="AS249" s="129">
        <f t="shared" si="146"/>
        <v>45054</v>
      </c>
      <c r="AT249" s="135">
        <v>55</v>
      </c>
      <c r="AU249" s="134" cm="1">
        <f t="array" ref="AU249">INDEX($CE$29:$CE$1449,MATCH($AR249,$CA$29:$CA$1449,0),)</f>
        <v>51</v>
      </c>
      <c r="AV249" s="135">
        <v>108.5</v>
      </c>
      <c r="AW249" s="134" cm="1">
        <f t="array" ref="AW249">INDEX($CF$29:$CF$1449,MATCH($AR249,$CA$29:$CA$1449,0),)</f>
        <v>103</v>
      </c>
      <c r="AX249" s="134"/>
      <c r="AY249" s="134" cm="1">
        <f t="array" ref="AY249">INDEX($CO$29:$CO$1449,MATCH($AR249,$CA$29:$CA$1449,0),)</f>
        <v>83.025</v>
      </c>
      <c r="AZ249" s="135"/>
      <c r="BA249" s="134" cm="1">
        <f t="array" ref="BA249">INDEX($CP$29:$CP$1449,MATCH($AR249,$CA$29:$CA$1449,0),)</f>
        <v>153.75</v>
      </c>
      <c r="BB249" s="132">
        <f t="shared" si="139"/>
        <v>0</v>
      </c>
      <c r="BC249" s="132">
        <f t="shared" si="141"/>
        <v>0.0185185185185186</v>
      </c>
      <c r="BD249" s="132">
        <f t="shared" si="143"/>
        <v>0.0576923076923077</v>
      </c>
      <c r="BE249" s="132">
        <f t="shared" si="140"/>
        <v>-0.00458715596330272</v>
      </c>
      <c r="BF249" s="132">
        <f t="shared" si="142"/>
        <v>-0.00458715596330272</v>
      </c>
      <c r="BG249" s="132">
        <f t="shared" si="144"/>
        <v>-0.00458715596330272</v>
      </c>
      <c r="BH249" s="132"/>
      <c r="BI249" s="132"/>
      <c r="BJ249" s="132"/>
      <c r="BK249" s="132"/>
      <c r="BL249" s="132"/>
      <c r="BM249" s="132"/>
      <c r="BN249" s="132"/>
      <c r="FV249" s="104">
        <f t="shared" si="147"/>
        <v>2011</v>
      </c>
      <c r="FW249" s="104">
        <f t="shared" si="148"/>
        <v>34</v>
      </c>
      <c r="FX249" s="35">
        <v>40770</v>
      </c>
      <c r="FY249" s="26">
        <v>1</v>
      </c>
      <c r="FZ249" s="94">
        <f t="shared" si="149"/>
        <v>4</v>
      </c>
      <c r="GA249" s="104"/>
      <c r="GB249" s="104"/>
      <c r="GE249" s="94"/>
      <c r="GF249" s="104">
        <f t="shared" si="150"/>
        <v>2013</v>
      </c>
      <c r="GG249" s="104">
        <f t="shared" si="151"/>
        <v>47</v>
      </c>
      <c r="GH249" s="35">
        <v>41599</v>
      </c>
      <c r="GI249" s="26">
        <v>3.823</v>
      </c>
      <c r="GJ249" s="94">
        <f t="shared" si="152"/>
        <v>7.646</v>
      </c>
      <c r="GK249" s="104"/>
      <c r="GL249" s="104"/>
      <c r="GO249" s="94"/>
    </row>
    <row r="250" spans="3:197">
      <c r="C250" s="80" t="str" cm="1">
        <f t="array" ref="C250">_xlfn.IFS(MONTH(D250)&lt;4,1,MONTH(D250)&lt;7,2,MONTH(D250)&lt;10,3,MONTH(D250)&gt;9,4)&amp;"Q"&amp;RIGHT(YEAR(D250),2)</f>
        <v>1Q17</v>
      </c>
      <c r="D250" s="81">
        <f t="shared" si="134"/>
        <v>42766</v>
      </c>
      <c r="E250" s="82">
        <f t="shared" si="131"/>
        <v>42745</v>
      </c>
      <c r="F250" s="83">
        <f t="shared" si="132"/>
        <v>0.765625</v>
      </c>
      <c r="G250" s="83">
        <f t="shared" si="132"/>
        <v>0.71125</v>
      </c>
      <c r="H250" s="81"/>
      <c r="I250" s="84">
        <v>42745</v>
      </c>
      <c r="J250" s="85">
        <v>6.7</v>
      </c>
      <c r="K250" s="85">
        <v>5.6</v>
      </c>
      <c r="L250" s="86">
        <v>6.125</v>
      </c>
      <c r="M250" s="94" cm="1">
        <f t="array" ref="M250">INDEX($BV$29:$BV$1449,MATCH($D250,$BR$29:$BR$1449,0),)</f>
        <v>5.69</v>
      </c>
      <c r="N250" s="88"/>
      <c r="O250" s="88"/>
      <c r="P250" s="88"/>
      <c r="Q250" s="89">
        <f t="shared" si="133"/>
        <v>0.0764499121265376</v>
      </c>
      <c r="AH250" s="105">
        <f t="shared" si="145"/>
        <v>44284</v>
      </c>
      <c r="AI250" s="91">
        <f t="shared" si="135"/>
        <v>4.235</v>
      </c>
      <c r="AJ250" s="36">
        <f t="shared" si="136"/>
        <v>-0.0264367816091953</v>
      </c>
      <c r="AK250" s="36">
        <f t="shared" si="138"/>
        <v>-0.0536312849162009</v>
      </c>
      <c r="AL250" s="105"/>
      <c r="AM250" s="91"/>
      <c r="AN250" s="36"/>
      <c r="AO250" s="36"/>
      <c r="AP250" s="36"/>
      <c r="AQ250" s="128" t="str" cm="1">
        <f t="array" ref="AQ250">_xlfn.IFS(MONTH(AR250)&lt;4,1,MONTH(AR250)&lt;7,2,MONTH(AR250)&lt;10,3,MONTH(AR250)&gt;9,4)&amp;"Q"&amp;RIGHT(YEAR(AR250),2)</f>
        <v>2Q23</v>
      </c>
      <c r="AR250" s="128">
        <f t="shared" si="137"/>
        <v>45077</v>
      </c>
      <c r="AS250" s="129">
        <f t="shared" si="146"/>
        <v>45061</v>
      </c>
      <c r="AT250" s="135">
        <v>54</v>
      </c>
      <c r="AU250" s="134" cm="1">
        <f t="array" ref="AU250">INDEX($CE$29:$CE$1449,MATCH($AR250,$CA$29:$CA$1449,0),)</f>
        <v>51</v>
      </c>
      <c r="AV250" s="135">
        <v>107</v>
      </c>
      <c r="AW250" s="134" cm="1">
        <f t="array" ref="AW250">INDEX($CF$29:$CF$1449,MATCH($AR250,$CA$29:$CA$1449,0),)</f>
        <v>103</v>
      </c>
      <c r="AX250" s="134"/>
      <c r="AY250" s="134" cm="1">
        <f t="array" ref="AY250">INDEX($CO$29:$CO$1449,MATCH($AR250,$CA$29:$CA$1449,0),)</f>
        <v>83.025</v>
      </c>
      <c r="AZ250" s="135"/>
      <c r="BA250" s="134" cm="1">
        <f t="array" ref="BA250">INDEX($CP$29:$CP$1449,MATCH($AR250,$CA$29:$CA$1449,0),)</f>
        <v>153.75</v>
      </c>
      <c r="BB250" s="132">
        <f t="shared" si="139"/>
        <v>-0.0181818181818182</v>
      </c>
      <c r="BC250" s="132">
        <f t="shared" si="141"/>
        <v>-0.0181818181818182</v>
      </c>
      <c r="BD250" s="132">
        <f t="shared" si="143"/>
        <v>0</v>
      </c>
      <c r="BE250" s="132">
        <f t="shared" si="140"/>
        <v>-0.0138248847926268</v>
      </c>
      <c r="BF250" s="132">
        <f t="shared" si="142"/>
        <v>-0.018348623853211</v>
      </c>
      <c r="BG250" s="132">
        <f t="shared" si="144"/>
        <v>-0.018348623853211</v>
      </c>
      <c r="BH250" s="132"/>
      <c r="BI250" s="132"/>
      <c r="BJ250" s="132"/>
      <c r="BK250" s="132"/>
      <c r="BL250" s="132"/>
      <c r="BM250" s="132"/>
      <c r="BN250" s="132"/>
      <c r="FV250" s="104">
        <f t="shared" si="147"/>
        <v>2011</v>
      </c>
      <c r="FW250" s="104">
        <f t="shared" si="148"/>
        <v>34</v>
      </c>
      <c r="FX250" s="35">
        <v>40771</v>
      </c>
      <c r="FY250" s="26">
        <v>1</v>
      </c>
      <c r="FZ250" s="94">
        <f t="shared" si="149"/>
        <v>4</v>
      </c>
      <c r="GA250" s="104"/>
      <c r="GB250" s="104"/>
      <c r="GE250" s="94"/>
      <c r="GF250" s="104">
        <f t="shared" si="150"/>
        <v>2013</v>
      </c>
      <c r="GG250" s="104">
        <f t="shared" si="151"/>
        <v>47</v>
      </c>
      <c r="GH250" s="35">
        <v>41600</v>
      </c>
      <c r="GI250" s="26">
        <v>3.823</v>
      </c>
      <c r="GJ250" s="94">
        <f t="shared" si="152"/>
        <v>7.646</v>
      </c>
      <c r="GK250" s="104"/>
      <c r="GL250" s="104"/>
      <c r="GO250" s="94"/>
    </row>
    <row r="251" spans="3:197">
      <c r="C251" s="80" t="str" cm="1">
        <f t="array" ref="C251">_xlfn.IFS(MONTH(D251)&lt;4,1,MONTH(D251)&lt;7,2,MONTH(D251)&lt;10,3,MONTH(D251)&gt;9,4)&amp;"Q"&amp;RIGHT(YEAR(D251),2)</f>
        <v>1Q17</v>
      </c>
      <c r="D251" s="81">
        <f t="shared" si="134"/>
        <v>42766</v>
      </c>
      <c r="E251" s="82">
        <f t="shared" si="131"/>
        <v>42746</v>
      </c>
      <c r="F251" s="83">
        <f t="shared" si="132"/>
        <v>0.771875</v>
      </c>
      <c r="G251" s="83">
        <f t="shared" si="132"/>
        <v>0.71125</v>
      </c>
      <c r="H251" s="81"/>
      <c r="I251" s="84">
        <v>42746</v>
      </c>
      <c r="J251" s="85">
        <v>6.8</v>
      </c>
      <c r="K251" s="85">
        <v>5.6</v>
      </c>
      <c r="L251" s="86">
        <v>6.175</v>
      </c>
      <c r="M251" s="94" cm="1">
        <f t="array" ref="M251">INDEX($BV$29:$BV$1449,MATCH($D251,$BR$29:$BR$1449,0),)</f>
        <v>5.69</v>
      </c>
      <c r="N251" s="88"/>
      <c r="O251" s="88"/>
      <c r="P251" s="88"/>
      <c r="Q251" s="89">
        <f t="shared" si="133"/>
        <v>0.0852372583479788</v>
      </c>
      <c r="AH251" s="105">
        <f t="shared" si="145"/>
        <v>44292</v>
      </c>
      <c r="AI251" s="91">
        <f t="shared" si="135"/>
        <v>4.175</v>
      </c>
      <c r="AJ251" s="36">
        <f t="shared" si="136"/>
        <v>-0.014167650531287</v>
      </c>
      <c r="AK251" s="36">
        <f t="shared" si="138"/>
        <v>-0.0402298850574713</v>
      </c>
      <c r="AL251" s="105"/>
      <c r="AM251" s="91"/>
      <c r="AN251" s="36"/>
      <c r="AO251" s="36"/>
      <c r="AP251" s="36"/>
      <c r="AQ251" s="128" t="str" cm="1">
        <f t="array" ref="AQ251">_xlfn.IFS(MONTH(AR251)&lt;4,1,MONTH(AR251)&lt;7,2,MONTH(AR251)&lt;10,3,MONTH(AR251)&gt;9,4)&amp;"Q"&amp;RIGHT(YEAR(AR251),2)</f>
        <v>2Q23</v>
      </c>
      <c r="AR251" s="128">
        <f t="shared" si="137"/>
        <v>45077</v>
      </c>
      <c r="AS251" s="129">
        <f t="shared" si="146"/>
        <v>45068</v>
      </c>
      <c r="AT251" s="135">
        <v>51.8</v>
      </c>
      <c r="AU251" s="134" cm="1">
        <f t="array" ref="AU251">INDEX($CE$29:$CE$1449,MATCH($AR251,$CA$29:$CA$1449,0),)</f>
        <v>51</v>
      </c>
      <c r="AV251" s="135">
        <v>104</v>
      </c>
      <c r="AW251" s="134" cm="1">
        <f t="array" ref="AW251">INDEX($CF$29:$CF$1449,MATCH($AR251,$CA$29:$CA$1449,0),)</f>
        <v>103</v>
      </c>
      <c r="AX251" s="134"/>
      <c r="AY251" s="134" cm="1">
        <f t="array" ref="AY251">INDEX($CO$29:$CO$1449,MATCH($AR251,$CA$29:$CA$1449,0),)</f>
        <v>83.025</v>
      </c>
      <c r="AZ251" s="135"/>
      <c r="BA251" s="134" cm="1">
        <f t="array" ref="BA251">INDEX($CP$29:$CP$1449,MATCH($AR251,$CA$29:$CA$1449,0),)</f>
        <v>153.75</v>
      </c>
      <c r="BB251" s="132">
        <f t="shared" si="139"/>
        <v>-0.0407407407407407</v>
      </c>
      <c r="BC251" s="132">
        <f t="shared" si="141"/>
        <v>-0.0581818181818182</v>
      </c>
      <c r="BD251" s="132">
        <f t="shared" si="143"/>
        <v>-0.0581818181818182</v>
      </c>
      <c r="BE251" s="132">
        <f t="shared" si="140"/>
        <v>-0.0280373831775701</v>
      </c>
      <c r="BF251" s="132">
        <f t="shared" si="142"/>
        <v>-0.0414746543778802</v>
      </c>
      <c r="BG251" s="132">
        <f t="shared" si="144"/>
        <v>-0.0458715596330275</v>
      </c>
      <c r="BH251" s="132"/>
      <c r="BI251" s="132"/>
      <c r="BJ251" s="132"/>
      <c r="BK251" s="132"/>
      <c r="BL251" s="132"/>
      <c r="BM251" s="132"/>
      <c r="BN251" s="132"/>
      <c r="FV251" s="104">
        <f t="shared" si="147"/>
        <v>2011</v>
      </c>
      <c r="FW251" s="104">
        <f t="shared" si="148"/>
        <v>34</v>
      </c>
      <c r="FX251" s="35">
        <v>40772</v>
      </c>
      <c r="FY251" s="26">
        <v>0.99</v>
      </c>
      <c r="FZ251" s="94">
        <f t="shared" si="149"/>
        <v>3.96</v>
      </c>
      <c r="GA251" s="104"/>
      <c r="GB251" s="104"/>
      <c r="GE251" s="94"/>
      <c r="GF251" s="104">
        <f t="shared" si="150"/>
        <v>2013</v>
      </c>
      <c r="GG251" s="104">
        <f t="shared" si="151"/>
        <v>48</v>
      </c>
      <c r="GH251" s="35">
        <v>41603</v>
      </c>
      <c r="GI251" s="26">
        <v>3.804</v>
      </c>
      <c r="GJ251" s="94">
        <f t="shared" si="152"/>
        <v>7.608</v>
      </c>
      <c r="GK251" s="104"/>
      <c r="GL251" s="104"/>
      <c r="GO251" s="94"/>
    </row>
    <row r="252" spans="3:197">
      <c r="C252" s="80" t="str" cm="1">
        <f t="array" ref="C252">_xlfn.IFS(MONTH(D252)&lt;4,1,MONTH(D252)&lt;7,2,MONTH(D252)&lt;10,3,MONTH(D252)&gt;9,4)&amp;"Q"&amp;RIGHT(YEAR(D252),2)</f>
        <v>1Q17</v>
      </c>
      <c r="D252" s="81">
        <f t="shared" si="134"/>
        <v>42766</v>
      </c>
      <c r="E252" s="82">
        <f t="shared" si="131"/>
        <v>42747</v>
      </c>
      <c r="F252" s="83">
        <f t="shared" si="132"/>
        <v>0.78125</v>
      </c>
      <c r="G252" s="83">
        <f t="shared" si="132"/>
        <v>0.71125</v>
      </c>
      <c r="H252" s="81"/>
      <c r="I252" s="84">
        <v>42747</v>
      </c>
      <c r="J252" s="85">
        <v>6.9</v>
      </c>
      <c r="K252" s="85">
        <v>5.7</v>
      </c>
      <c r="L252" s="86">
        <v>6.25</v>
      </c>
      <c r="M252" s="94" cm="1">
        <f t="array" ref="M252">INDEX($BV$29:$BV$1449,MATCH($D252,$BR$29:$BR$1449,0),)</f>
        <v>5.69</v>
      </c>
      <c r="N252" s="88"/>
      <c r="O252" s="88"/>
      <c r="P252" s="88"/>
      <c r="Q252" s="89">
        <f t="shared" si="133"/>
        <v>0.0984182776801406</v>
      </c>
      <c r="AH252" s="105">
        <f t="shared" si="145"/>
        <v>44300</v>
      </c>
      <c r="AI252" s="91">
        <f t="shared" si="135"/>
        <v>4.375</v>
      </c>
      <c r="AJ252" s="36">
        <f t="shared" si="136"/>
        <v>0.0479041916167664</v>
      </c>
      <c r="AK252" s="36">
        <f t="shared" si="138"/>
        <v>0.0330578512396693</v>
      </c>
      <c r="AL252" s="105"/>
      <c r="AM252" s="91"/>
      <c r="AN252" s="36"/>
      <c r="AO252" s="36"/>
      <c r="AP252" s="36"/>
      <c r="AQ252" s="128" t="str" cm="1">
        <f t="array" ref="AQ252">_xlfn.IFS(MONTH(AR252)&lt;4,1,MONTH(AR252)&lt;7,2,MONTH(AR252)&lt;10,3,MONTH(AR252)&gt;9,4)&amp;"Q"&amp;RIGHT(YEAR(AR252),2)</f>
        <v>2Q23</v>
      </c>
      <c r="AR252" s="128">
        <f t="shared" si="137"/>
        <v>45077</v>
      </c>
      <c r="AS252" s="129">
        <f t="shared" si="146"/>
        <v>45075</v>
      </c>
      <c r="AT252" s="135">
        <v>51.6</v>
      </c>
      <c r="AU252" s="134" cm="1">
        <f t="array" ref="AU252">INDEX($CE$29:$CE$1449,MATCH($AR252,$CA$29:$CA$1449,0),)</f>
        <v>51</v>
      </c>
      <c r="AV252" s="135">
        <v>103.5</v>
      </c>
      <c r="AW252" s="134" cm="1">
        <f t="array" ref="AW252">INDEX($CF$29:$CF$1449,MATCH($AR252,$CA$29:$CA$1449,0),)</f>
        <v>103</v>
      </c>
      <c r="AX252" s="134"/>
      <c r="AY252" s="134" cm="1">
        <f t="array" ref="AY252">INDEX($CO$29:$CO$1449,MATCH($AR252,$CA$29:$CA$1449,0),)</f>
        <v>83.025</v>
      </c>
      <c r="AZ252" s="135"/>
      <c r="BA252" s="134" cm="1">
        <f t="array" ref="BA252">INDEX($CP$29:$CP$1449,MATCH($AR252,$CA$29:$CA$1449,0),)</f>
        <v>153.75</v>
      </c>
      <c r="BB252" s="132">
        <f t="shared" si="139"/>
        <v>-0.00386100386100374</v>
      </c>
      <c r="BC252" s="132">
        <f t="shared" si="141"/>
        <v>-0.0444444444444444</v>
      </c>
      <c r="BD252" s="132">
        <f t="shared" si="143"/>
        <v>-0.0618181818181818</v>
      </c>
      <c r="BE252" s="132">
        <f t="shared" si="140"/>
        <v>-0.00480769230769229</v>
      </c>
      <c r="BF252" s="132">
        <f t="shared" si="142"/>
        <v>-0.0327102803738317</v>
      </c>
      <c r="BG252" s="132">
        <f t="shared" si="144"/>
        <v>-0.0460829493087558</v>
      </c>
      <c r="BH252" s="132"/>
      <c r="BI252" s="132"/>
      <c r="BJ252" s="132"/>
      <c r="BK252" s="132"/>
      <c r="BL252" s="132"/>
      <c r="BM252" s="132"/>
      <c r="BN252" s="132"/>
      <c r="FV252" s="104">
        <f t="shared" si="147"/>
        <v>2011</v>
      </c>
      <c r="FW252" s="104">
        <f t="shared" si="148"/>
        <v>34</v>
      </c>
      <c r="FX252" s="35">
        <v>40773</v>
      </c>
      <c r="FY252" s="26">
        <v>0.98</v>
      </c>
      <c r="FZ252" s="94">
        <f t="shared" si="149"/>
        <v>3.92</v>
      </c>
      <c r="GA252" s="104"/>
      <c r="GB252" s="104"/>
      <c r="GE252" s="94"/>
      <c r="GF252" s="104">
        <f t="shared" si="150"/>
        <v>2013</v>
      </c>
      <c r="GG252" s="104">
        <f t="shared" si="151"/>
        <v>48</v>
      </c>
      <c r="GH252" s="35">
        <v>41604</v>
      </c>
      <c r="GI252" s="26">
        <v>3.804</v>
      </c>
      <c r="GJ252" s="94">
        <f t="shared" si="152"/>
        <v>7.608</v>
      </c>
      <c r="GK252" s="104"/>
      <c r="GL252" s="104"/>
      <c r="GO252" s="94"/>
    </row>
    <row r="253" spans="3:197">
      <c r="C253" s="80" t="str" cm="1">
        <f t="array" ref="C253">_xlfn.IFS(MONTH(D253)&lt;4,1,MONTH(D253)&lt;7,2,MONTH(D253)&lt;10,3,MONTH(D253)&gt;9,4)&amp;"Q"&amp;RIGHT(YEAR(D253),2)</f>
        <v>1Q17</v>
      </c>
      <c r="D253" s="81">
        <f t="shared" si="134"/>
        <v>42766</v>
      </c>
      <c r="E253" s="82">
        <f t="shared" si="131"/>
        <v>42748</v>
      </c>
      <c r="F253" s="83">
        <f t="shared" si="132"/>
        <v>0.7875</v>
      </c>
      <c r="G253" s="83">
        <f t="shared" si="132"/>
        <v>0.71125</v>
      </c>
      <c r="H253" s="81"/>
      <c r="I253" s="84">
        <v>42748</v>
      </c>
      <c r="J253" s="85">
        <v>6.95</v>
      </c>
      <c r="K253" s="85">
        <v>5.7</v>
      </c>
      <c r="L253" s="86">
        <v>6.3</v>
      </c>
      <c r="M253" s="94" cm="1">
        <f t="array" ref="M253">INDEX($BV$29:$BV$1449,MATCH($D253,$BR$29:$BR$1449,0),)</f>
        <v>5.69</v>
      </c>
      <c r="N253" s="88"/>
      <c r="O253" s="88"/>
      <c r="P253" s="88"/>
      <c r="Q253" s="89">
        <f t="shared" si="133"/>
        <v>0.107205623901582</v>
      </c>
      <c r="AH253" s="105">
        <f t="shared" si="145"/>
        <v>44308</v>
      </c>
      <c r="AI253" s="91">
        <f t="shared" si="135"/>
        <v>4.4</v>
      </c>
      <c r="AJ253" s="36">
        <f t="shared" si="136"/>
        <v>0.00571428571428578</v>
      </c>
      <c r="AK253" s="36">
        <f t="shared" si="138"/>
        <v>0.0538922155688624</v>
      </c>
      <c r="AL253" s="105"/>
      <c r="AM253" s="91"/>
      <c r="AN253" s="36"/>
      <c r="AO253" s="36"/>
      <c r="AP253" s="36"/>
      <c r="AQ253" s="128" t="str" cm="1">
        <f t="array" ref="AQ253">_xlfn.IFS(MONTH(AR253)&lt;4,1,MONTH(AR253)&lt;7,2,MONTH(AR253)&lt;10,3,MONTH(AR253)&gt;9,4)&amp;"Q"&amp;RIGHT(YEAR(AR253),2)</f>
        <v>2Q23</v>
      </c>
      <c r="AR253" s="128">
        <f t="shared" si="137"/>
        <v>45107</v>
      </c>
      <c r="AS253" s="129">
        <f t="shared" si="146"/>
        <v>45082</v>
      </c>
      <c r="AT253" s="135">
        <v>51.6</v>
      </c>
      <c r="AU253" s="134" cm="1">
        <f t="array" ref="AU253">INDEX($CE$29:$CE$1449,MATCH($AR253,$CA$29:$CA$1449,0),)</f>
        <v>49.5</v>
      </c>
      <c r="AV253" s="135">
        <v>103</v>
      </c>
      <c r="AW253" s="134" cm="1">
        <f t="array" ref="AW253">INDEX($CF$29:$CF$1449,MATCH($AR253,$CA$29:$CA$1449,0),)</f>
        <v>100</v>
      </c>
      <c r="AX253" s="134"/>
      <c r="AY253" s="134" cm="1">
        <f t="array" ref="AY253">INDEX($CO$29:$CO$1449,MATCH($AR253,$CA$29:$CA$1449,0),)</f>
        <v>79.95</v>
      </c>
      <c r="AZ253" s="135"/>
      <c r="BA253" s="134" cm="1">
        <f t="array" ref="BA253">INDEX($CP$29:$CP$1449,MATCH($AR253,$CA$29:$CA$1449,0),)</f>
        <v>148.625</v>
      </c>
      <c r="BB253" s="132">
        <f t="shared" si="139"/>
        <v>0</v>
      </c>
      <c r="BC253" s="132">
        <f t="shared" si="141"/>
        <v>-0.00386100386100374</v>
      </c>
      <c r="BD253" s="132">
        <f t="shared" si="143"/>
        <v>-0.0444444444444444</v>
      </c>
      <c r="BE253" s="132">
        <f t="shared" si="140"/>
        <v>-0.00483091787439616</v>
      </c>
      <c r="BF253" s="132">
        <f t="shared" si="142"/>
        <v>-0.00961538461538458</v>
      </c>
      <c r="BG253" s="132">
        <f t="shared" si="144"/>
        <v>-0.0373831775700935</v>
      </c>
      <c r="BH253" s="132"/>
      <c r="BI253" s="132"/>
      <c r="BJ253" s="132"/>
      <c r="BK253" s="132"/>
      <c r="BL253" s="132"/>
      <c r="BM253" s="132"/>
      <c r="BN253" s="132"/>
      <c r="FV253" s="104">
        <f t="shared" si="147"/>
        <v>2011</v>
      </c>
      <c r="FW253" s="104">
        <f t="shared" si="148"/>
        <v>34</v>
      </c>
      <c r="FX253" s="35">
        <v>40774</v>
      </c>
      <c r="FY253" s="26">
        <v>0.97</v>
      </c>
      <c r="FZ253" s="94">
        <f t="shared" si="149"/>
        <v>3.88</v>
      </c>
      <c r="GA253" s="104"/>
      <c r="GB253" s="104"/>
      <c r="GE253" s="94"/>
      <c r="GF253" s="104">
        <f t="shared" si="150"/>
        <v>2013</v>
      </c>
      <c r="GG253" s="104">
        <f t="shared" si="151"/>
        <v>48</v>
      </c>
      <c r="GH253" s="35">
        <v>41605</v>
      </c>
      <c r="GI253" s="26">
        <v>3.811</v>
      </c>
      <c r="GJ253" s="94">
        <f t="shared" si="152"/>
        <v>7.622</v>
      </c>
      <c r="GK253" s="104"/>
      <c r="GL253" s="104"/>
      <c r="GO253" s="94"/>
    </row>
    <row r="254" spans="3:197">
      <c r="C254" s="80" t="str" cm="1">
        <f t="array" ref="C254">_xlfn.IFS(MONTH(D254)&lt;4,1,MONTH(D254)&lt;7,2,MONTH(D254)&lt;10,3,MONTH(D254)&gt;9,4)&amp;"Q"&amp;RIGHT(YEAR(D254),2)</f>
        <v>1Q17</v>
      </c>
      <c r="D254" s="81">
        <f t="shared" si="134"/>
        <v>42766</v>
      </c>
      <c r="E254" s="82">
        <f t="shared" si="131"/>
        <v>42751</v>
      </c>
      <c r="F254" s="83">
        <f t="shared" si="132"/>
        <v>0.79375</v>
      </c>
      <c r="G254" s="83">
        <f t="shared" si="132"/>
        <v>0.71125</v>
      </c>
      <c r="H254" s="81"/>
      <c r="I254" s="84">
        <v>42751</v>
      </c>
      <c r="J254" s="85">
        <v>7</v>
      </c>
      <c r="K254" s="85">
        <v>5.8</v>
      </c>
      <c r="L254" s="86">
        <v>6.35</v>
      </c>
      <c r="M254" s="94" cm="1">
        <f t="array" ref="M254">INDEX($BV$29:$BV$1449,MATCH($D254,$BR$29:$BR$1449,0),)</f>
        <v>5.69</v>
      </c>
      <c r="N254" s="88"/>
      <c r="O254" s="88"/>
      <c r="P254" s="88"/>
      <c r="Q254" s="89">
        <f t="shared" si="133"/>
        <v>0.115992970123023</v>
      </c>
      <c r="AH254" s="105">
        <f t="shared" si="145"/>
        <v>44316</v>
      </c>
      <c r="AI254" s="91">
        <f t="shared" si="135"/>
        <v>4.632</v>
      </c>
      <c r="AJ254" s="36">
        <f t="shared" si="136"/>
        <v>0.0527272727272725</v>
      </c>
      <c r="AK254" s="36">
        <f t="shared" si="138"/>
        <v>0.058742857142857</v>
      </c>
      <c r="AL254" s="105"/>
      <c r="AM254" s="91"/>
      <c r="AN254" s="36"/>
      <c r="AO254" s="36"/>
      <c r="AP254" s="36"/>
      <c r="AQ254" s="128" t="str" cm="1">
        <f t="array" ref="AQ254">_xlfn.IFS(MONTH(AR254)&lt;4,1,MONTH(AR254)&lt;7,2,MONTH(AR254)&lt;10,3,MONTH(AR254)&gt;9,4)&amp;"Q"&amp;RIGHT(YEAR(AR254),2)</f>
        <v>2Q23</v>
      </c>
      <c r="AR254" s="128">
        <f t="shared" si="137"/>
        <v>45107</v>
      </c>
      <c r="AS254" s="129">
        <f t="shared" si="146"/>
        <v>45089</v>
      </c>
      <c r="AT254" s="135">
        <v>52</v>
      </c>
      <c r="AU254" s="134" cm="1">
        <f t="array" ref="AU254">INDEX($CE$29:$CE$1449,MATCH($AR254,$CA$29:$CA$1449,0),)</f>
        <v>49.5</v>
      </c>
      <c r="AV254" s="135">
        <v>103</v>
      </c>
      <c r="AW254" s="134" cm="1">
        <f t="array" ref="AW254">INDEX($CF$29:$CF$1449,MATCH($AR254,$CA$29:$CA$1449,0),)</f>
        <v>100</v>
      </c>
      <c r="AX254" s="134"/>
      <c r="AY254" s="134" cm="1">
        <f t="array" ref="AY254">INDEX($CO$29:$CO$1449,MATCH($AR254,$CA$29:$CA$1449,0),)</f>
        <v>79.95</v>
      </c>
      <c r="AZ254" s="135"/>
      <c r="BA254" s="134" cm="1">
        <f t="array" ref="BA254">INDEX($CP$29:$CP$1449,MATCH($AR254,$CA$29:$CA$1449,0),)</f>
        <v>148.625</v>
      </c>
      <c r="BB254" s="132">
        <f t="shared" si="139"/>
        <v>0.00775193798449614</v>
      </c>
      <c r="BC254" s="132">
        <f t="shared" si="141"/>
        <v>0.00775193798449614</v>
      </c>
      <c r="BD254" s="132">
        <f t="shared" si="143"/>
        <v>0.00386100386100385</v>
      </c>
      <c r="BE254" s="132">
        <f t="shared" si="140"/>
        <v>0</v>
      </c>
      <c r="BF254" s="132">
        <f t="shared" si="142"/>
        <v>-0.00483091787439616</v>
      </c>
      <c r="BG254" s="132">
        <f t="shared" si="144"/>
        <v>-0.00961538461538458</v>
      </c>
      <c r="BH254" s="132"/>
      <c r="BI254" s="132"/>
      <c r="BJ254" s="132"/>
      <c r="BK254" s="132"/>
      <c r="BL254" s="132"/>
      <c r="BM254" s="132"/>
      <c r="BN254" s="132"/>
      <c r="FV254" s="104">
        <f t="shared" si="147"/>
        <v>2011</v>
      </c>
      <c r="FW254" s="104">
        <f t="shared" si="148"/>
        <v>35</v>
      </c>
      <c r="FX254" s="35">
        <v>40777</v>
      </c>
      <c r="FY254" s="26">
        <v>0.97</v>
      </c>
      <c r="FZ254" s="94">
        <f t="shared" si="149"/>
        <v>3.88</v>
      </c>
      <c r="GA254" s="104"/>
      <c r="GB254" s="104"/>
      <c r="GE254" s="94"/>
      <c r="GF254" s="104">
        <f t="shared" si="150"/>
        <v>2013</v>
      </c>
      <c r="GG254" s="104">
        <f t="shared" si="151"/>
        <v>48</v>
      </c>
      <c r="GH254" s="35">
        <v>41606</v>
      </c>
      <c r="GI254" s="26">
        <v>3.82</v>
      </c>
      <c r="GJ254" s="94">
        <f t="shared" si="152"/>
        <v>7.64</v>
      </c>
      <c r="GK254" s="104"/>
      <c r="GL254" s="104"/>
      <c r="GO254" s="94"/>
    </row>
    <row r="255" spans="3:197">
      <c r="C255" s="80" t="str" cm="1">
        <f t="array" ref="C255">_xlfn.IFS(MONTH(D255)&lt;4,1,MONTH(D255)&lt;7,2,MONTH(D255)&lt;10,3,MONTH(D255)&gt;9,4)&amp;"Q"&amp;RIGHT(YEAR(D255),2)</f>
        <v>1Q17</v>
      </c>
      <c r="D255" s="81">
        <f t="shared" si="134"/>
        <v>42766</v>
      </c>
      <c r="E255" s="82">
        <f t="shared" si="131"/>
        <v>42752</v>
      </c>
      <c r="F255" s="83">
        <f t="shared" si="132"/>
        <v>0.8</v>
      </c>
      <c r="G255" s="83">
        <f t="shared" si="132"/>
        <v>0.71125</v>
      </c>
      <c r="H255" s="81"/>
      <c r="I255" s="84">
        <v>42752</v>
      </c>
      <c r="J255" s="85">
        <v>7.1</v>
      </c>
      <c r="K255" s="85">
        <v>5.8</v>
      </c>
      <c r="L255" s="86">
        <v>6.4</v>
      </c>
      <c r="M255" s="94" cm="1">
        <f t="array" ref="M255">INDEX($BV$29:$BV$1449,MATCH($D255,$BR$29:$BR$1449,0),)</f>
        <v>5.69</v>
      </c>
      <c r="N255" s="88"/>
      <c r="O255" s="88"/>
      <c r="P255" s="88"/>
      <c r="Q255" s="89">
        <f t="shared" si="133"/>
        <v>0.124780316344464</v>
      </c>
      <c r="AH255" s="105">
        <f t="shared" si="145"/>
        <v>44326</v>
      </c>
      <c r="AI255" s="91">
        <f t="shared" si="135"/>
        <v>4.606</v>
      </c>
      <c r="AJ255" s="36">
        <f t="shared" si="136"/>
        <v>-0.00561312607944731</v>
      </c>
      <c r="AK255" s="36">
        <f t="shared" si="138"/>
        <v>0.0468181818181816</v>
      </c>
      <c r="AL255" s="105"/>
      <c r="AM255" s="91"/>
      <c r="AN255" s="36"/>
      <c r="AO255" s="36"/>
      <c r="AP255" s="36"/>
      <c r="AQ255" s="128" t="str" cm="1">
        <f t="array" ref="AQ255">_xlfn.IFS(MONTH(AR255)&lt;4,1,MONTH(AR255)&lt;7,2,MONTH(AR255)&lt;10,3,MONTH(AR255)&gt;9,4)&amp;"Q"&amp;RIGHT(YEAR(AR255),2)</f>
        <v>2Q23</v>
      </c>
      <c r="AR255" s="128">
        <f t="shared" si="137"/>
        <v>45107</v>
      </c>
      <c r="AS255" s="129">
        <f t="shared" si="146"/>
        <v>45096</v>
      </c>
      <c r="AT255" s="135">
        <v>50</v>
      </c>
      <c r="AU255" s="134" cm="1">
        <f t="array" ref="AU255">INDEX($CE$29:$CE$1449,MATCH($AR255,$CA$29:$CA$1449,0),)</f>
        <v>49.5</v>
      </c>
      <c r="AV255" s="135">
        <v>102.5</v>
      </c>
      <c r="AW255" s="134" cm="1">
        <f t="array" ref="AW255">INDEX($CF$29:$CF$1449,MATCH($AR255,$CA$29:$CA$1449,0),)</f>
        <v>100</v>
      </c>
      <c r="AX255" s="134"/>
      <c r="AY255" s="134" cm="1">
        <f t="array" ref="AY255">INDEX($CO$29:$CO$1449,MATCH($AR255,$CA$29:$CA$1449,0),)</f>
        <v>79.95</v>
      </c>
      <c r="AZ255" s="135"/>
      <c r="BA255" s="134" cm="1">
        <f t="array" ref="BA255">INDEX($CP$29:$CP$1449,MATCH($AR255,$CA$29:$CA$1449,0),)</f>
        <v>148.625</v>
      </c>
      <c r="BB255" s="132">
        <f t="shared" si="139"/>
        <v>-0.0384615384615384</v>
      </c>
      <c r="BC255" s="132">
        <f t="shared" si="141"/>
        <v>-0.0310077519379846</v>
      </c>
      <c r="BD255" s="132">
        <f t="shared" si="143"/>
        <v>-0.0310077519379846</v>
      </c>
      <c r="BE255" s="132">
        <f t="shared" si="140"/>
        <v>-0.00485436893203883</v>
      </c>
      <c r="BF255" s="132">
        <f t="shared" si="142"/>
        <v>-0.00485436893203883</v>
      </c>
      <c r="BG255" s="132">
        <f t="shared" si="144"/>
        <v>-0.00966183574879231</v>
      </c>
      <c r="BH255" s="132"/>
      <c r="BI255" s="132"/>
      <c r="BJ255" s="132"/>
      <c r="BK255" s="132"/>
      <c r="BL255" s="132"/>
      <c r="BM255" s="132"/>
      <c r="BN255" s="132"/>
      <c r="FV255" s="104">
        <f t="shared" si="147"/>
        <v>2011</v>
      </c>
      <c r="FW255" s="104">
        <f t="shared" si="148"/>
        <v>35</v>
      </c>
      <c r="FX255" s="35">
        <v>40778</v>
      </c>
      <c r="FY255" s="26">
        <v>0.95</v>
      </c>
      <c r="FZ255" s="94">
        <f t="shared" si="149"/>
        <v>3.8</v>
      </c>
      <c r="GA255" s="104"/>
      <c r="GB255" s="104"/>
      <c r="GE255" s="94"/>
      <c r="GF255" s="104">
        <f t="shared" si="150"/>
        <v>2013</v>
      </c>
      <c r="GG255" s="104">
        <f t="shared" si="151"/>
        <v>48</v>
      </c>
      <c r="GH255" s="35">
        <v>41607</v>
      </c>
      <c r="GI255" s="26">
        <v>3.82</v>
      </c>
      <c r="GJ255" s="94">
        <f t="shared" si="152"/>
        <v>7.64</v>
      </c>
      <c r="GK255" s="104"/>
      <c r="GL255" s="104"/>
      <c r="GO255" s="94"/>
    </row>
    <row r="256" spans="3:197">
      <c r="C256" s="80" t="str" cm="1">
        <f t="array" ref="C256">_xlfn.IFS(MONTH(D256)&lt;4,1,MONTH(D256)&lt;7,2,MONTH(D256)&lt;10,3,MONTH(D256)&gt;9,4)&amp;"Q"&amp;RIGHT(YEAR(D256),2)</f>
        <v>1Q17</v>
      </c>
      <c r="D256" s="81">
        <f t="shared" si="134"/>
        <v>42766</v>
      </c>
      <c r="E256" s="82">
        <f t="shared" si="131"/>
        <v>42753</v>
      </c>
      <c r="F256" s="83">
        <f t="shared" si="132"/>
        <v>0.8125</v>
      </c>
      <c r="G256" s="83">
        <f t="shared" si="132"/>
        <v>0.71125</v>
      </c>
      <c r="H256" s="81"/>
      <c r="I256" s="84">
        <v>42753</v>
      </c>
      <c r="J256" s="85">
        <v>7.2</v>
      </c>
      <c r="K256" s="85">
        <v>5.9</v>
      </c>
      <c r="L256" s="86">
        <v>6.5</v>
      </c>
      <c r="M256" s="94" cm="1">
        <f t="array" ref="M256">INDEX($BV$29:$BV$1449,MATCH($D256,$BR$29:$BR$1449,0),)</f>
        <v>5.69</v>
      </c>
      <c r="N256" s="88"/>
      <c r="O256" s="88"/>
      <c r="P256" s="88"/>
      <c r="Q256" s="89">
        <f t="shared" si="133"/>
        <v>0.142355008787346</v>
      </c>
      <c r="AH256" s="105">
        <f t="shared" si="145"/>
        <v>44334</v>
      </c>
      <c r="AI256" s="91">
        <f t="shared" si="135"/>
        <v>4.419</v>
      </c>
      <c r="AJ256" s="36">
        <f t="shared" si="136"/>
        <v>-0.0405992184107686</v>
      </c>
      <c r="AK256" s="36">
        <f t="shared" si="138"/>
        <v>-0.0459844559585493</v>
      </c>
      <c r="AL256" s="105"/>
      <c r="AM256" s="91"/>
      <c r="AN256" s="36"/>
      <c r="AO256" s="36"/>
      <c r="AP256" s="36"/>
      <c r="AQ256" s="128" t="str" cm="1">
        <f t="array" ref="AQ256">_xlfn.IFS(MONTH(AR256)&lt;4,1,MONTH(AR256)&lt;7,2,MONTH(AR256)&lt;10,3,MONTH(AR256)&gt;9,4)&amp;"Q"&amp;RIGHT(YEAR(AR256),2)</f>
        <v>2Q23</v>
      </c>
      <c r="AR256" s="128">
        <f t="shared" si="137"/>
        <v>45107</v>
      </c>
      <c r="AS256" s="129">
        <f t="shared" si="146"/>
        <v>45103</v>
      </c>
      <c r="AT256" s="135">
        <v>50</v>
      </c>
      <c r="AU256" s="134" cm="1">
        <f t="array" ref="AU256">INDEX($CE$29:$CE$1449,MATCH($AR256,$CA$29:$CA$1449,0),)</f>
        <v>49.5</v>
      </c>
      <c r="AV256" s="135">
        <v>102.5</v>
      </c>
      <c r="AW256" s="134" cm="1">
        <f t="array" ref="AW256">INDEX($CF$29:$CF$1449,MATCH($AR256,$CA$29:$CA$1449,0),)</f>
        <v>100</v>
      </c>
      <c r="AX256" s="134"/>
      <c r="AY256" s="134" cm="1">
        <f t="array" ref="AY256">INDEX($CO$29:$CO$1449,MATCH($AR256,$CA$29:$CA$1449,0),)</f>
        <v>79.95</v>
      </c>
      <c r="AZ256" s="135"/>
      <c r="BA256" s="134" cm="1">
        <f t="array" ref="BA256">INDEX($CP$29:$CP$1449,MATCH($AR256,$CA$29:$CA$1449,0),)</f>
        <v>148.625</v>
      </c>
      <c r="BB256" s="132">
        <f t="shared" si="139"/>
        <v>0</v>
      </c>
      <c r="BC256" s="132">
        <f t="shared" si="141"/>
        <v>-0.0384615384615384</v>
      </c>
      <c r="BD256" s="132">
        <f t="shared" si="143"/>
        <v>-0.0310077519379846</v>
      </c>
      <c r="BE256" s="132">
        <f t="shared" si="140"/>
        <v>0</v>
      </c>
      <c r="BF256" s="132">
        <f t="shared" si="142"/>
        <v>-0.00485436893203883</v>
      </c>
      <c r="BG256" s="132">
        <f t="shared" si="144"/>
        <v>-0.00485436893203883</v>
      </c>
      <c r="BH256" s="132"/>
      <c r="BI256" s="132"/>
      <c r="BJ256" s="132"/>
      <c r="BK256" s="132"/>
      <c r="BL256" s="132"/>
      <c r="BM256" s="132"/>
      <c r="BN256" s="132"/>
      <c r="FV256" s="104">
        <f t="shared" si="147"/>
        <v>2011</v>
      </c>
      <c r="FW256" s="104">
        <f t="shared" si="148"/>
        <v>35</v>
      </c>
      <c r="FX256" s="35">
        <v>40779</v>
      </c>
      <c r="FY256" s="26">
        <v>0.95</v>
      </c>
      <c r="FZ256" s="94">
        <f t="shared" si="149"/>
        <v>3.8</v>
      </c>
      <c r="GA256" s="104"/>
      <c r="GB256" s="104"/>
      <c r="GE256" s="94"/>
      <c r="GF256" s="104">
        <f t="shared" si="150"/>
        <v>2013</v>
      </c>
      <c r="GG256" s="104">
        <f t="shared" si="151"/>
        <v>49</v>
      </c>
      <c r="GH256" s="35">
        <v>41610</v>
      </c>
      <c r="GI256" s="26">
        <v>3.82</v>
      </c>
      <c r="GJ256" s="94">
        <f t="shared" si="152"/>
        <v>7.64</v>
      </c>
      <c r="GK256" s="104"/>
      <c r="GL256" s="104"/>
      <c r="GO256" s="94"/>
    </row>
    <row r="257" spans="3:197">
      <c r="C257" s="80" t="str" cm="1">
        <f t="array" ref="C257">_xlfn.IFS(MONTH(D257)&lt;4,1,MONTH(D257)&lt;7,2,MONTH(D257)&lt;10,3,MONTH(D257)&gt;9,4)&amp;"Q"&amp;RIGHT(YEAR(D257),2)</f>
        <v>1Q17</v>
      </c>
      <c r="D257" s="81">
        <f t="shared" si="134"/>
        <v>42766</v>
      </c>
      <c r="E257" s="82">
        <f t="shared" si="131"/>
        <v>42754</v>
      </c>
      <c r="F257" s="83">
        <f t="shared" si="132"/>
        <v>0.81875</v>
      </c>
      <c r="G257" s="83">
        <f t="shared" si="132"/>
        <v>0.71125</v>
      </c>
      <c r="H257" s="81"/>
      <c r="I257" s="84">
        <v>42754</v>
      </c>
      <c r="J257" s="85">
        <v>7.3</v>
      </c>
      <c r="K257" s="85">
        <v>5.96</v>
      </c>
      <c r="L257" s="86">
        <v>6.55</v>
      </c>
      <c r="M257" s="94" cm="1">
        <f t="array" ref="M257">INDEX($BV$29:$BV$1449,MATCH($D257,$BR$29:$BR$1449,0),)</f>
        <v>5.69</v>
      </c>
      <c r="N257" s="88"/>
      <c r="O257" s="88"/>
      <c r="P257" s="88"/>
      <c r="Q257" s="89">
        <f t="shared" si="133"/>
        <v>0.151142355008787</v>
      </c>
      <c r="AH257" s="105">
        <f t="shared" si="145"/>
        <v>44342</v>
      </c>
      <c r="AI257" s="91">
        <f t="shared" si="135"/>
        <v>4.356</v>
      </c>
      <c r="AJ257" s="36">
        <f t="shared" si="136"/>
        <v>-0.0142566191446027</v>
      </c>
      <c r="AK257" s="36">
        <f t="shared" si="138"/>
        <v>-0.0542770299609205</v>
      </c>
      <c r="AL257" s="105"/>
      <c r="AM257" s="91"/>
      <c r="AN257" s="36"/>
      <c r="AO257" s="36"/>
      <c r="AP257" s="36"/>
      <c r="AQ257" s="128" t="str" cm="1">
        <f t="array" ref="AQ257">_xlfn.IFS(MONTH(AR257)&lt;4,1,MONTH(AR257)&lt;7,2,MONTH(AR257)&lt;10,3,MONTH(AR257)&gt;9,4)&amp;"Q"&amp;RIGHT(YEAR(AR257),2)</f>
        <v>3Q23</v>
      </c>
      <c r="AR257" s="128">
        <f t="shared" si="137"/>
        <v>45138</v>
      </c>
      <c r="AS257" s="129">
        <f t="shared" si="146"/>
        <v>45110</v>
      </c>
      <c r="AT257" s="135">
        <v>48.5</v>
      </c>
      <c r="AU257" s="134" cm="1">
        <f t="array" ref="AU257">INDEX($CE$29:$CE$1449,MATCH($AR257,$CA$29:$CA$1449,0),)</f>
        <v>48</v>
      </c>
      <c r="AV257" s="135">
        <v>99</v>
      </c>
      <c r="AW257" s="134" cm="1">
        <f t="array" ref="AW257">INDEX($CF$29:$CF$1449,MATCH($AR257,$CA$29:$CA$1449,0),)</f>
        <v>96</v>
      </c>
      <c r="AX257" s="134"/>
      <c r="AY257" s="134" cm="1">
        <f t="array" ref="AY257">INDEX($CO$29:$CO$1449,MATCH($AR257,$CA$29:$CA$1449,0),)</f>
        <v>78.925</v>
      </c>
      <c r="AZ257" s="135"/>
      <c r="BA257" s="134" cm="1">
        <f t="array" ref="BA257">INDEX($CP$29:$CP$1449,MATCH($AR257,$CA$29:$CA$1449,0),)</f>
        <v>147.6</v>
      </c>
      <c r="BB257" s="132">
        <f t="shared" si="139"/>
        <v>-0.03</v>
      </c>
      <c r="BC257" s="132">
        <f t="shared" si="141"/>
        <v>-0.03</v>
      </c>
      <c r="BD257" s="132">
        <f t="shared" si="143"/>
        <v>-0.0673076923076923</v>
      </c>
      <c r="BE257" s="132">
        <f t="shared" si="140"/>
        <v>-0.0341463414634147</v>
      </c>
      <c r="BF257" s="132">
        <f t="shared" si="142"/>
        <v>-0.0341463414634147</v>
      </c>
      <c r="BG257" s="132">
        <f t="shared" si="144"/>
        <v>-0.0388349514563107</v>
      </c>
      <c r="BH257" s="132"/>
      <c r="BI257" s="132"/>
      <c r="BJ257" s="132"/>
      <c r="BK257" s="132"/>
      <c r="BL257" s="132"/>
      <c r="BM257" s="132"/>
      <c r="BN257" s="132"/>
      <c r="FV257" s="104">
        <f t="shared" si="147"/>
        <v>2011</v>
      </c>
      <c r="FW257" s="104">
        <f t="shared" si="148"/>
        <v>35</v>
      </c>
      <c r="FX257" s="35">
        <v>40780</v>
      </c>
      <c r="FY257" s="26">
        <v>0.98</v>
      </c>
      <c r="FZ257" s="94">
        <f t="shared" si="149"/>
        <v>3.92</v>
      </c>
      <c r="GA257" s="104"/>
      <c r="GB257" s="104"/>
      <c r="GE257" s="94"/>
      <c r="GF257" s="104">
        <f t="shared" si="150"/>
        <v>2013</v>
      </c>
      <c r="GG257" s="104">
        <f t="shared" si="151"/>
        <v>49</v>
      </c>
      <c r="GH257" s="35">
        <v>41611</v>
      </c>
      <c r="GI257" s="26">
        <v>3.846</v>
      </c>
      <c r="GJ257" s="94">
        <f t="shared" si="152"/>
        <v>7.692</v>
      </c>
      <c r="GK257" s="104"/>
      <c r="GL257" s="104"/>
      <c r="GO257" s="94"/>
    </row>
    <row r="258" spans="3:197">
      <c r="C258" s="80" t="str" cm="1">
        <f t="array" ref="C258">_xlfn.IFS(MONTH(D258)&lt;4,1,MONTH(D258)&lt;7,2,MONTH(D258)&lt;10,3,MONTH(D258)&gt;9,4)&amp;"Q"&amp;RIGHT(YEAR(D258),2)</f>
        <v>1Q17</v>
      </c>
      <c r="D258" s="81">
        <f t="shared" si="134"/>
        <v>42766</v>
      </c>
      <c r="E258" s="82">
        <f t="shared" si="131"/>
        <v>42755</v>
      </c>
      <c r="F258" s="83">
        <f t="shared" si="132"/>
        <v>0.83125</v>
      </c>
      <c r="G258" s="83">
        <f t="shared" si="132"/>
        <v>0.71125</v>
      </c>
      <c r="H258" s="81"/>
      <c r="I258" s="84">
        <v>42755</v>
      </c>
      <c r="J258" s="85">
        <v>7.4</v>
      </c>
      <c r="K258" s="85">
        <v>5.96</v>
      </c>
      <c r="L258" s="86">
        <v>6.65</v>
      </c>
      <c r="M258" s="94" cm="1">
        <f t="array" ref="M258">INDEX($BV$29:$BV$1449,MATCH($D258,$BR$29:$BR$1449,0),)</f>
        <v>5.69</v>
      </c>
      <c r="N258" s="88"/>
      <c r="O258" s="88"/>
      <c r="P258" s="88"/>
      <c r="Q258" s="89">
        <f t="shared" si="133"/>
        <v>0.168717047451669</v>
      </c>
      <c r="AH258" s="105">
        <f t="shared" si="145"/>
        <v>44350</v>
      </c>
      <c r="AI258" s="91">
        <f t="shared" si="135"/>
        <v>4.495</v>
      </c>
      <c r="AJ258" s="36">
        <f t="shared" si="136"/>
        <v>0.0319100091827365</v>
      </c>
      <c r="AK258" s="36">
        <f t="shared" si="138"/>
        <v>0.0171984611903147</v>
      </c>
      <c r="AL258" s="105"/>
      <c r="AM258" s="91"/>
      <c r="AN258" s="36"/>
      <c r="AO258" s="36"/>
      <c r="AP258" s="36"/>
      <c r="AQ258" s="128" t="str" cm="1">
        <f t="array" ref="AQ258">_xlfn.IFS(MONTH(AR258)&lt;4,1,MONTH(AR258)&lt;7,2,MONTH(AR258)&lt;10,3,MONTH(AR258)&gt;9,4)&amp;"Q"&amp;RIGHT(YEAR(AR258),2)</f>
        <v>3Q23</v>
      </c>
      <c r="AR258" s="128">
        <f t="shared" si="137"/>
        <v>45138</v>
      </c>
      <c r="AS258" s="129">
        <f t="shared" si="146"/>
        <v>45117</v>
      </c>
      <c r="AT258" s="135">
        <v>48.2</v>
      </c>
      <c r="AU258" s="134" cm="1">
        <f t="array" ref="AU258">INDEX($CE$29:$CE$1449,MATCH($AR258,$CA$29:$CA$1449,0),)</f>
        <v>48</v>
      </c>
      <c r="AV258" s="135">
        <v>97.5</v>
      </c>
      <c r="AW258" s="134" cm="1">
        <f t="array" ref="AW258">INDEX($CF$29:$CF$1449,MATCH($AR258,$CA$29:$CA$1449,0),)</f>
        <v>96</v>
      </c>
      <c r="AX258" s="134"/>
      <c r="AY258" s="134" cm="1">
        <f t="array" ref="AY258">INDEX($CO$29:$CO$1449,MATCH($AR258,$CA$29:$CA$1449,0),)</f>
        <v>78.925</v>
      </c>
      <c r="AZ258" s="135"/>
      <c r="BA258" s="134" cm="1">
        <f t="array" ref="BA258">INDEX($CP$29:$CP$1449,MATCH($AR258,$CA$29:$CA$1449,0),)</f>
        <v>147.6</v>
      </c>
      <c r="BB258" s="132">
        <f t="shared" si="139"/>
        <v>-0.00618556701030926</v>
      </c>
      <c r="BC258" s="132">
        <f t="shared" si="141"/>
        <v>-0.0359999999999999</v>
      </c>
      <c r="BD258" s="132">
        <f t="shared" si="143"/>
        <v>-0.0359999999999999</v>
      </c>
      <c r="BE258" s="132">
        <f t="shared" si="140"/>
        <v>-0.0151515151515151</v>
      </c>
      <c r="BF258" s="132">
        <f t="shared" si="142"/>
        <v>-0.0487804878048781</v>
      </c>
      <c r="BG258" s="132">
        <f t="shared" si="144"/>
        <v>-0.0487804878048781</v>
      </c>
      <c r="BH258" s="132"/>
      <c r="BI258" s="132"/>
      <c r="BJ258" s="132"/>
      <c r="BK258" s="132"/>
      <c r="BL258" s="132"/>
      <c r="BM258" s="132"/>
      <c r="BN258" s="132"/>
      <c r="FV258" s="104">
        <f t="shared" si="147"/>
        <v>2011</v>
      </c>
      <c r="FW258" s="104">
        <f t="shared" si="148"/>
        <v>35</v>
      </c>
      <c r="FX258" s="35">
        <v>40781</v>
      </c>
      <c r="FY258" s="26">
        <v>1.01</v>
      </c>
      <c r="FZ258" s="94">
        <f t="shared" si="149"/>
        <v>4.04</v>
      </c>
      <c r="GA258" s="104"/>
      <c r="GB258" s="104"/>
      <c r="GE258" s="94"/>
      <c r="GF258" s="104">
        <f t="shared" si="150"/>
        <v>2013</v>
      </c>
      <c r="GG258" s="104">
        <f t="shared" si="151"/>
        <v>49</v>
      </c>
      <c r="GH258" s="35">
        <v>41612</v>
      </c>
      <c r="GI258" s="26">
        <v>3.856</v>
      </c>
      <c r="GJ258" s="94">
        <f t="shared" si="152"/>
        <v>7.712</v>
      </c>
      <c r="GK258" s="104"/>
      <c r="GL258" s="104"/>
      <c r="GO258" s="94"/>
    </row>
    <row r="259" spans="3:197">
      <c r="C259" s="80" t="str" cm="1">
        <f t="array" ref="C259">_xlfn.IFS(MONTH(D259)&lt;4,1,MONTH(D259)&lt;7,2,MONTH(D259)&lt;10,3,MONTH(D259)&gt;9,4)&amp;"Q"&amp;RIGHT(YEAR(D259),2)</f>
        <v>1Q17</v>
      </c>
      <c r="D259" s="81">
        <f t="shared" si="134"/>
        <v>42766</v>
      </c>
      <c r="E259" s="82">
        <f t="shared" si="131"/>
        <v>42758</v>
      </c>
      <c r="F259" s="83">
        <f t="shared" si="132"/>
        <v>0.831875</v>
      </c>
      <c r="G259" s="83">
        <f t="shared" si="132"/>
        <v>0.71125</v>
      </c>
      <c r="H259" s="81"/>
      <c r="I259" s="84">
        <v>42758</v>
      </c>
      <c r="J259" s="85">
        <v>7.4</v>
      </c>
      <c r="K259" s="85">
        <v>5.96</v>
      </c>
      <c r="L259" s="86">
        <v>6.655</v>
      </c>
      <c r="M259" s="94" cm="1">
        <f t="array" ref="M259">INDEX($BV$29:$BV$1449,MATCH($D259,$BR$29:$BR$1449,0),)</f>
        <v>5.69</v>
      </c>
      <c r="N259" s="88"/>
      <c r="O259" s="88"/>
      <c r="P259" s="88"/>
      <c r="Q259" s="89">
        <f t="shared" si="133"/>
        <v>0.169595782073814</v>
      </c>
      <c r="AH259" s="105">
        <f t="shared" si="145"/>
        <v>44358</v>
      </c>
      <c r="AI259" s="91">
        <f t="shared" si="135"/>
        <v>4.495</v>
      </c>
      <c r="AJ259" s="36">
        <f t="shared" si="136"/>
        <v>0</v>
      </c>
      <c r="AK259" s="36">
        <f t="shared" si="138"/>
        <v>0.0319100091827365</v>
      </c>
      <c r="AL259" s="105"/>
      <c r="AM259" s="91"/>
      <c r="AN259" s="36"/>
      <c r="AO259" s="36"/>
      <c r="AP259" s="36"/>
      <c r="AQ259" s="128" t="str" cm="1">
        <f t="array" ref="AQ259">_xlfn.IFS(MONTH(AR259)&lt;4,1,MONTH(AR259)&lt;7,2,MONTH(AR259)&lt;10,3,MONTH(AR259)&gt;9,4)&amp;"Q"&amp;RIGHT(YEAR(AR259),2)</f>
        <v>3Q23</v>
      </c>
      <c r="AR259" s="128">
        <f t="shared" si="137"/>
        <v>45138</v>
      </c>
      <c r="AS259" s="129">
        <f t="shared" ref="AS259:AS282" si="153">AS258+7</f>
        <v>45124</v>
      </c>
      <c r="AT259" s="135">
        <v>47.5</v>
      </c>
      <c r="AU259" s="134" cm="1">
        <f t="array" ref="AU259">INDEX($CE$29:$CE$1449,MATCH($AR259,$CA$29:$CA$1449,0),)</f>
        <v>48</v>
      </c>
      <c r="AV259" s="135">
        <v>96.5</v>
      </c>
      <c r="AW259" s="134" cm="1">
        <f t="array" ref="AW259">INDEX($CF$29:$CF$1449,MATCH($AR259,$CA$29:$CA$1449,0),)</f>
        <v>96</v>
      </c>
      <c r="AX259" s="134"/>
      <c r="AY259" s="134" cm="1">
        <f t="array" ref="AY259">INDEX($CO$29:$CO$1449,MATCH($AR259,$CA$29:$CA$1449,0),)</f>
        <v>78.925</v>
      </c>
      <c r="AZ259" s="135"/>
      <c r="BA259" s="134" cm="1">
        <f t="array" ref="BA259">INDEX($CP$29:$CP$1449,MATCH($AR259,$CA$29:$CA$1449,0),)</f>
        <v>147.6</v>
      </c>
      <c r="BB259" s="132">
        <f t="shared" si="139"/>
        <v>-0.0145228215767635</v>
      </c>
      <c r="BC259" s="132">
        <f t="shared" si="141"/>
        <v>-0.020618556701031</v>
      </c>
      <c r="BD259" s="132">
        <f t="shared" si="143"/>
        <v>-0.05</v>
      </c>
      <c r="BE259" s="132">
        <f t="shared" si="140"/>
        <v>-0.0102564102564102</v>
      </c>
      <c r="BF259" s="132">
        <f t="shared" si="142"/>
        <v>-0.0252525252525253</v>
      </c>
      <c r="BG259" s="132">
        <f t="shared" si="144"/>
        <v>-0.0585365853658537</v>
      </c>
      <c r="BH259" s="132"/>
      <c r="BI259" s="132"/>
      <c r="BJ259" s="132"/>
      <c r="BK259" s="132"/>
      <c r="BL259" s="132"/>
      <c r="BM259" s="132"/>
      <c r="BN259" s="132"/>
      <c r="FV259" s="104">
        <f t="shared" si="147"/>
        <v>2011</v>
      </c>
      <c r="FW259" s="104">
        <f t="shared" si="148"/>
        <v>36</v>
      </c>
      <c r="FX259" s="35">
        <v>40784</v>
      </c>
      <c r="FY259" s="26">
        <v>1.02</v>
      </c>
      <c r="FZ259" s="94">
        <f t="shared" si="149"/>
        <v>4.08</v>
      </c>
      <c r="GA259" s="104"/>
      <c r="GB259" s="104"/>
      <c r="GE259" s="94"/>
      <c r="GF259" s="104">
        <f t="shared" si="150"/>
        <v>2013</v>
      </c>
      <c r="GG259" s="104">
        <f t="shared" si="151"/>
        <v>49</v>
      </c>
      <c r="GH259" s="35">
        <v>41613</v>
      </c>
      <c r="GI259" s="26">
        <v>3.954</v>
      </c>
      <c r="GJ259" s="94">
        <f t="shared" si="152"/>
        <v>7.908</v>
      </c>
      <c r="GK259" s="104"/>
      <c r="GL259" s="104"/>
      <c r="GO259" s="94"/>
    </row>
    <row r="260" spans="3:197">
      <c r="C260" s="80" t="str" cm="1">
        <f t="array" ref="C260">_xlfn.IFS(MONTH(D260)&lt;4,1,MONTH(D260)&lt;7,2,MONTH(D260)&lt;10,3,MONTH(D260)&gt;9,4)&amp;"Q"&amp;RIGHT(YEAR(D260),2)</f>
        <v>1Q17</v>
      </c>
      <c r="D260" s="81">
        <f t="shared" si="134"/>
        <v>42766</v>
      </c>
      <c r="E260" s="82">
        <f t="shared" si="131"/>
        <v>42759</v>
      </c>
      <c r="F260" s="83">
        <f t="shared" si="132"/>
        <v>0.838125</v>
      </c>
      <c r="G260" s="83">
        <f t="shared" si="132"/>
        <v>0.71125</v>
      </c>
      <c r="H260" s="81"/>
      <c r="I260" s="84">
        <v>42759</v>
      </c>
      <c r="J260" s="85">
        <v>7.5</v>
      </c>
      <c r="K260" s="85">
        <v>5.96</v>
      </c>
      <c r="L260" s="86">
        <v>6.705</v>
      </c>
      <c r="M260" s="94" cm="1">
        <f t="array" ref="M260">INDEX($BV$29:$BV$1449,MATCH($D260,$BR$29:$BR$1449,0),)</f>
        <v>5.69</v>
      </c>
      <c r="N260" s="88"/>
      <c r="O260" s="88"/>
      <c r="P260" s="88"/>
      <c r="Q260" s="89">
        <f t="shared" si="133"/>
        <v>0.178383128295255</v>
      </c>
      <c r="AH260" s="105">
        <f t="shared" si="145"/>
        <v>44368</v>
      </c>
      <c r="AI260" s="91">
        <f t="shared" si="135"/>
        <v>4.55</v>
      </c>
      <c r="AJ260" s="36">
        <f t="shared" si="136"/>
        <v>0.0122358175750834</v>
      </c>
      <c r="AK260" s="36">
        <f t="shared" si="138"/>
        <v>0.0122358175750834</v>
      </c>
      <c r="AL260" s="105"/>
      <c r="AM260" s="91"/>
      <c r="AN260" s="36"/>
      <c r="AO260" s="36"/>
      <c r="AP260" s="36"/>
      <c r="AQ260" s="128" t="str" cm="1">
        <f t="array" ref="AQ260">_xlfn.IFS(MONTH(AR260)&lt;4,1,MONTH(AR260)&lt;7,2,MONTH(AR260)&lt;10,3,MONTH(AR260)&gt;9,4)&amp;"Q"&amp;RIGHT(YEAR(AR260),2)</f>
        <v>3Q23</v>
      </c>
      <c r="AR260" s="128">
        <f t="shared" si="137"/>
        <v>45138</v>
      </c>
      <c r="AS260" s="129">
        <f t="shared" si="153"/>
        <v>45131</v>
      </c>
      <c r="AT260" s="135">
        <v>47.4</v>
      </c>
      <c r="AU260" s="134" cm="1">
        <f t="array" ref="AU260">INDEX($CE$29:$CE$1449,MATCH($AR260,$CA$29:$CA$1449,0),)</f>
        <v>48</v>
      </c>
      <c r="AV260" s="135">
        <v>94.5</v>
      </c>
      <c r="AW260" s="134" cm="1">
        <f t="array" ref="AW260">INDEX($CF$29:$CF$1449,MATCH($AR260,$CA$29:$CA$1449,0),)</f>
        <v>96</v>
      </c>
      <c r="AX260" s="134"/>
      <c r="AY260" s="134" cm="1">
        <f t="array" ref="AY260">INDEX($CO$29:$CO$1449,MATCH($AR260,$CA$29:$CA$1449,0),)</f>
        <v>78.925</v>
      </c>
      <c r="AZ260" s="135"/>
      <c r="BA260" s="134" cm="1">
        <f t="array" ref="BA260">INDEX($CP$29:$CP$1449,MATCH($AR260,$CA$29:$CA$1449,0),)</f>
        <v>147.6</v>
      </c>
      <c r="BB260" s="132">
        <f t="shared" si="139"/>
        <v>-0.00210526315789472</v>
      </c>
      <c r="BC260" s="132">
        <f t="shared" si="141"/>
        <v>-0.016597510373444</v>
      </c>
      <c r="BD260" s="132">
        <f t="shared" si="143"/>
        <v>-0.0226804123711341</v>
      </c>
      <c r="BE260" s="132">
        <f t="shared" si="140"/>
        <v>-0.0207253886010362</v>
      </c>
      <c r="BF260" s="132">
        <f t="shared" si="142"/>
        <v>-0.0307692307692308</v>
      </c>
      <c r="BG260" s="132">
        <f t="shared" si="144"/>
        <v>-0.0454545454545454</v>
      </c>
      <c r="BH260" s="132"/>
      <c r="BI260" s="132"/>
      <c r="BJ260" s="132"/>
      <c r="BK260" s="132"/>
      <c r="BL260" s="132"/>
      <c r="BM260" s="132"/>
      <c r="BN260" s="132"/>
      <c r="FV260" s="104">
        <f t="shared" si="147"/>
        <v>2011</v>
      </c>
      <c r="FW260" s="104">
        <f t="shared" si="148"/>
        <v>36</v>
      </c>
      <c r="FX260" s="35">
        <v>40785</v>
      </c>
      <c r="FY260" s="26">
        <v>1.05</v>
      </c>
      <c r="FZ260" s="94">
        <f t="shared" si="149"/>
        <v>4.2</v>
      </c>
      <c r="GA260" s="104"/>
      <c r="GB260" s="104"/>
      <c r="GE260" s="94"/>
      <c r="GF260" s="104">
        <f t="shared" si="150"/>
        <v>2013</v>
      </c>
      <c r="GG260" s="104">
        <f t="shared" si="151"/>
        <v>49</v>
      </c>
      <c r="GH260" s="35">
        <v>41614</v>
      </c>
      <c r="GI260" s="26">
        <v>3.954</v>
      </c>
      <c r="GJ260" s="94">
        <f t="shared" si="152"/>
        <v>7.908</v>
      </c>
      <c r="GK260" s="104"/>
      <c r="GL260" s="104"/>
      <c r="GO260" s="94"/>
    </row>
    <row r="261" spans="3:197">
      <c r="C261" s="80" t="str" cm="1">
        <f t="array" ref="C261">_xlfn.IFS(MONTH(D261)&lt;4,1,MONTH(D261)&lt;7,2,MONTH(D261)&lt;10,3,MONTH(D261)&gt;9,4)&amp;"Q"&amp;RIGHT(YEAR(D261),2)</f>
        <v>1Q17</v>
      </c>
      <c r="D261" s="81">
        <f t="shared" si="134"/>
        <v>42766</v>
      </c>
      <c r="E261" s="82">
        <f t="shared" si="131"/>
        <v>42760</v>
      </c>
      <c r="F261" s="83">
        <f t="shared" si="132"/>
        <v>0.838625</v>
      </c>
      <c r="G261" s="83">
        <f t="shared" si="132"/>
        <v>0.71125</v>
      </c>
      <c r="H261" s="81"/>
      <c r="I261" s="84">
        <v>42760</v>
      </c>
      <c r="J261" s="85">
        <v>7.6</v>
      </c>
      <c r="K261" s="85">
        <v>5.96</v>
      </c>
      <c r="L261" s="86">
        <v>6.709</v>
      </c>
      <c r="M261" s="94" cm="1">
        <f t="array" ref="M261">INDEX($BV$29:$BV$1449,MATCH($D261,$BR$29:$BR$1449,0),)</f>
        <v>5.69</v>
      </c>
      <c r="N261" s="88"/>
      <c r="O261" s="88"/>
      <c r="P261" s="88"/>
      <c r="Q261" s="89">
        <f t="shared" si="133"/>
        <v>0.17908611599297</v>
      </c>
      <c r="AH261" s="105">
        <f t="shared" si="145"/>
        <v>44376</v>
      </c>
      <c r="AI261" s="91">
        <f t="shared" si="135"/>
        <v>4.585</v>
      </c>
      <c r="AJ261" s="36">
        <f t="shared" si="136"/>
        <v>0.00769230769230766</v>
      </c>
      <c r="AK261" s="36">
        <f t="shared" si="138"/>
        <v>0.0200222469410456</v>
      </c>
      <c r="AL261" s="105"/>
      <c r="AM261" s="91"/>
      <c r="AN261" s="36"/>
      <c r="AO261" s="36"/>
      <c r="AP261" s="36"/>
      <c r="AQ261" s="128" t="str" cm="1">
        <f t="array" ref="AQ261">_xlfn.IFS(MONTH(AR261)&lt;4,1,MONTH(AR261)&lt;7,2,MONTH(AR261)&lt;10,3,MONTH(AR261)&gt;9,4)&amp;"Q"&amp;RIGHT(YEAR(AR261),2)</f>
        <v>3Q23</v>
      </c>
      <c r="AR261" s="128">
        <f t="shared" si="137"/>
        <v>45138</v>
      </c>
      <c r="AS261" s="129">
        <f t="shared" si="153"/>
        <v>45138</v>
      </c>
      <c r="AT261" s="135">
        <v>47.4</v>
      </c>
      <c r="AU261" s="134" cm="1">
        <f t="array" ref="AU261">INDEX($CE$29:$CE$1449,MATCH($AR261,$CA$29:$CA$1449,0),)</f>
        <v>48</v>
      </c>
      <c r="AV261" s="135">
        <v>94</v>
      </c>
      <c r="AW261" s="134" cm="1">
        <f t="array" ref="AW261">INDEX($CF$29:$CF$1449,MATCH($AR261,$CA$29:$CA$1449,0),)</f>
        <v>96</v>
      </c>
      <c r="AX261" s="134"/>
      <c r="AY261" s="134" cm="1">
        <f t="array" ref="AY261">INDEX($CO$29:$CO$1449,MATCH($AR261,$CA$29:$CA$1449,0),)</f>
        <v>78.925</v>
      </c>
      <c r="AZ261" s="135"/>
      <c r="BA261" s="134" cm="1">
        <f t="array" ref="BA261">INDEX($CP$29:$CP$1449,MATCH($AR261,$CA$29:$CA$1449,0),)</f>
        <v>147.6</v>
      </c>
      <c r="BB261" s="132">
        <f t="shared" si="139"/>
        <v>0</v>
      </c>
      <c r="BC261" s="132">
        <f t="shared" si="141"/>
        <v>-0.00210526315789472</v>
      </c>
      <c r="BD261" s="132">
        <f t="shared" si="143"/>
        <v>-0.016597510373444</v>
      </c>
      <c r="BE261" s="132">
        <f t="shared" si="140"/>
        <v>-0.00529100529100535</v>
      </c>
      <c r="BF261" s="132">
        <f t="shared" si="142"/>
        <v>-0.0259067357512953</v>
      </c>
      <c r="BG261" s="132">
        <f t="shared" si="144"/>
        <v>-0.0358974358974359</v>
      </c>
      <c r="BH261" s="132"/>
      <c r="BI261" s="132"/>
      <c r="BJ261" s="132"/>
      <c r="BK261" s="132"/>
      <c r="BL261" s="132"/>
      <c r="BM261" s="132"/>
      <c r="BN261" s="132"/>
      <c r="FV261" s="104">
        <f t="shared" si="147"/>
        <v>2011</v>
      </c>
      <c r="FW261" s="104">
        <f t="shared" si="148"/>
        <v>36</v>
      </c>
      <c r="FX261" s="35">
        <v>40786</v>
      </c>
      <c r="FY261" s="26">
        <v>1.01</v>
      </c>
      <c r="FZ261" s="94">
        <f t="shared" si="149"/>
        <v>4.04</v>
      </c>
      <c r="GA261" s="104"/>
      <c r="GB261" s="104"/>
      <c r="GE261" s="94"/>
      <c r="GF261" s="104">
        <f t="shared" si="150"/>
        <v>2013</v>
      </c>
      <c r="GG261" s="104">
        <f t="shared" si="151"/>
        <v>50</v>
      </c>
      <c r="GH261" s="35">
        <v>41617</v>
      </c>
      <c r="GI261" s="26">
        <v>4.1</v>
      </c>
      <c r="GJ261" s="94">
        <f t="shared" si="152"/>
        <v>8.2</v>
      </c>
      <c r="GK261" s="104"/>
      <c r="GL261" s="104"/>
      <c r="GO261" s="94"/>
    </row>
    <row r="262" spans="3:197">
      <c r="C262" s="80" t="str" cm="1">
        <f t="array" ref="C262">_xlfn.IFS(MONTH(D262)&lt;4,1,MONTH(D262)&lt;7,2,MONTH(D262)&lt;10,3,MONTH(D262)&gt;9,4)&amp;"Q"&amp;RIGHT(YEAR(D262),2)</f>
        <v>1Q17</v>
      </c>
      <c r="D262" s="81">
        <f t="shared" si="134"/>
        <v>42766</v>
      </c>
      <c r="E262" s="82">
        <f t="shared" si="131"/>
        <v>42761</v>
      </c>
      <c r="F262" s="83">
        <f t="shared" si="132"/>
        <v>0.844375</v>
      </c>
      <c r="G262" s="83">
        <f t="shared" si="132"/>
        <v>0.71125</v>
      </c>
      <c r="H262" s="81"/>
      <c r="I262" s="84">
        <v>42761</v>
      </c>
      <c r="J262" s="85">
        <v>7.7</v>
      </c>
      <c r="K262" s="85">
        <v>5.96</v>
      </c>
      <c r="L262" s="86">
        <v>6.755</v>
      </c>
      <c r="M262" s="94" cm="1">
        <f t="array" ref="M262">INDEX($BV$29:$BV$1449,MATCH($D262,$BR$29:$BR$1449,0),)</f>
        <v>5.69</v>
      </c>
      <c r="N262" s="88"/>
      <c r="O262" s="88"/>
      <c r="P262" s="88"/>
      <c r="Q262" s="89">
        <f t="shared" si="133"/>
        <v>0.187170474516696</v>
      </c>
      <c r="AH262" s="105">
        <f t="shared" si="145"/>
        <v>44384</v>
      </c>
      <c r="AI262" s="91">
        <f t="shared" si="135"/>
        <v>4.6</v>
      </c>
      <c r="AJ262" s="36">
        <f t="shared" si="136"/>
        <v>0.00327153762268262</v>
      </c>
      <c r="AK262" s="36">
        <f t="shared" si="138"/>
        <v>0.0109890109890109</v>
      </c>
      <c r="AL262" s="105"/>
      <c r="AM262" s="91"/>
      <c r="AN262" s="36"/>
      <c r="AO262" s="36"/>
      <c r="AP262" s="36"/>
      <c r="AQ262" s="128" t="str" cm="1">
        <f t="array" ref="AQ262">_xlfn.IFS(MONTH(AR262)&lt;4,1,MONTH(AR262)&lt;7,2,MONTH(AR262)&lt;10,3,MONTH(AR262)&gt;9,4)&amp;"Q"&amp;RIGHT(YEAR(AR262),2)</f>
        <v>3Q23</v>
      </c>
      <c r="AR262" s="128">
        <f t="shared" si="137"/>
        <v>45169</v>
      </c>
      <c r="AS262" s="129">
        <f t="shared" si="153"/>
        <v>45145</v>
      </c>
      <c r="AT262" s="135">
        <v>47.4</v>
      </c>
      <c r="AU262" s="134" cm="1">
        <f t="array" ref="AU262">INDEX($CE$29:$CE$1449,MATCH($AR262,$CA$29:$CA$1449,0),)</f>
        <v>47.5</v>
      </c>
      <c r="AV262" s="135">
        <v>95.5</v>
      </c>
      <c r="AW262" s="134" cm="1">
        <f t="array" ref="AW262">INDEX($CF$29:$CF$1449,MATCH($AR262,$CA$29:$CA$1449,0),)</f>
        <v>94</v>
      </c>
      <c r="AX262" s="134"/>
      <c r="AY262" s="134" cm="1">
        <f t="array" ref="AY262">INDEX($CO$29:$CO$1449,MATCH($AR262,$CA$29:$CA$1449,0),)</f>
        <v>78.925</v>
      </c>
      <c r="AZ262" s="135"/>
      <c r="BA262" s="134" cm="1">
        <f t="array" ref="BA262">INDEX($CP$29:$CP$1449,MATCH($AR262,$CA$29:$CA$1449,0),)</f>
        <v>147.6</v>
      </c>
      <c r="BB262" s="132">
        <f t="shared" si="139"/>
        <v>0</v>
      </c>
      <c r="BC262" s="132">
        <f t="shared" si="141"/>
        <v>0</v>
      </c>
      <c r="BD262" s="132">
        <f t="shared" si="143"/>
        <v>-0.00210526315789472</v>
      </c>
      <c r="BE262" s="132">
        <f t="shared" si="140"/>
        <v>0.0159574468085106</v>
      </c>
      <c r="BF262" s="132">
        <f t="shared" si="142"/>
        <v>0.0105820105820107</v>
      </c>
      <c r="BG262" s="132">
        <f t="shared" si="144"/>
        <v>-0.0103626943005182</v>
      </c>
      <c r="BH262" s="132"/>
      <c r="BI262" s="132"/>
      <c r="BJ262" s="132"/>
      <c r="BK262" s="132"/>
      <c r="BL262" s="132"/>
      <c r="BM262" s="132"/>
      <c r="BN262" s="132"/>
      <c r="FV262" s="104">
        <f t="shared" si="147"/>
        <v>2011</v>
      </c>
      <c r="FW262" s="104">
        <f t="shared" si="148"/>
        <v>36</v>
      </c>
      <c r="FX262" s="35">
        <v>40787</v>
      </c>
      <c r="FY262" s="26">
        <v>1</v>
      </c>
      <c r="FZ262" s="94">
        <f t="shared" si="149"/>
        <v>4</v>
      </c>
      <c r="GA262" s="104"/>
      <c r="GB262" s="104"/>
      <c r="GE262" s="94"/>
      <c r="GF262" s="104">
        <f t="shared" si="150"/>
        <v>2013</v>
      </c>
      <c r="GG262" s="104">
        <f t="shared" si="151"/>
        <v>50</v>
      </c>
      <c r="GH262" s="35">
        <v>41618</v>
      </c>
      <c r="GI262" s="26">
        <v>4.117</v>
      </c>
      <c r="GJ262" s="94">
        <f t="shared" si="152"/>
        <v>8.234</v>
      </c>
      <c r="GK262" s="104"/>
      <c r="GL262" s="104"/>
      <c r="GO262" s="94"/>
    </row>
    <row r="263" spans="3:197">
      <c r="C263" s="80" t="str" cm="1">
        <f t="array" ref="C263">_xlfn.IFS(MONTH(D263)&lt;4,1,MONTH(D263)&lt;7,2,MONTH(D263)&lt;10,3,MONTH(D263)&gt;9,4)&amp;"Q"&amp;RIGHT(YEAR(D263),2)</f>
        <v>1Q17</v>
      </c>
      <c r="D263" s="81">
        <f t="shared" si="134"/>
        <v>42794</v>
      </c>
      <c r="E263" s="82">
        <f t="shared" si="131"/>
        <v>42768</v>
      </c>
      <c r="F263" s="83">
        <f t="shared" si="132"/>
        <v>0.85025</v>
      </c>
      <c r="G263" s="83">
        <f t="shared" si="132"/>
        <v>0.72625</v>
      </c>
      <c r="H263" s="81"/>
      <c r="I263" s="84">
        <v>42768</v>
      </c>
      <c r="J263" s="85">
        <v>7.8</v>
      </c>
      <c r="K263" s="85">
        <v>6</v>
      </c>
      <c r="L263" s="86">
        <v>6.802</v>
      </c>
      <c r="M263" s="94" cm="1">
        <f t="array" ref="M263">INDEX($BV$29:$BV$1449,MATCH($D263,$BR$29:$BR$1449,0),)</f>
        <v>5.81</v>
      </c>
      <c r="N263" s="88"/>
      <c r="O263" s="88"/>
      <c r="P263" s="88"/>
      <c r="Q263" s="89">
        <f t="shared" si="133"/>
        <v>0.170740103270224</v>
      </c>
      <c r="AH263" s="105">
        <f t="shared" si="145"/>
        <v>44392</v>
      </c>
      <c r="AI263" s="91">
        <f t="shared" si="135"/>
        <v>4.615</v>
      </c>
      <c r="AJ263" s="36">
        <f t="shared" si="136"/>
        <v>0.00326086956521743</v>
      </c>
      <c r="AK263" s="36">
        <f t="shared" si="138"/>
        <v>0.00654307524536546</v>
      </c>
      <c r="AL263" s="105"/>
      <c r="AM263" s="91"/>
      <c r="AN263" s="36"/>
      <c r="AO263" s="36"/>
      <c r="AP263" s="36"/>
      <c r="AQ263" s="128" t="str" cm="1">
        <f t="array" ref="AQ263">_xlfn.IFS(MONTH(AR263)&lt;4,1,MONTH(AR263)&lt;7,2,MONTH(AR263)&lt;10,3,MONTH(AR263)&gt;9,4)&amp;"Q"&amp;RIGHT(YEAR(AR263),2)</f>
        <v>3Q23</v>
      </c>
      <c r="AR263" s="128">
        <f t="shared" si="137"/>
        <v>45169</v>
      </c>
      <c r="AS263" s="129">
        <f t="shared" si="153"/>
        <v>45152</v>
      </c>
      <c r="AT263" s="135">
        <v>47.3</v>
      </c>
      <c r="AU263" s="134" cm="1">
        <f t="array" ref="AU263">INDEX($CE$29:$CE$1449,MATCH($AR263,$CA$29:$CA$1449,0),)</f>
        <v>47.5</v>
      </c>
      <c r="AV263" s="135">
        <v>95.5</v>
      </c>
      <c r="AW263" s="134" cm="1">
        <f t="array" ref="AW263">INDEX($CF$29:$CF$1449,MATCH($AR263,$CA$29:$CA$1449,0),)</f>
        <v>94</v>
      </c>
      <c r="AX263" s="134"/>
      <c r="AY263" s="134" cm="1">
        <f t="array" ref="AY263">INDEX($CO$29:$CO$1449,MATCH($AR263,$CA$29:$CA$1449,0),)</f>
        <v>78.925</v>
      </c>
      <c r="AZ263" s="135"/>
      <c r="BA263" s="134" cm="1">
        <f t="array" ref="BA263">INDEX($CP$29:$CP$1449,MATCH($AR263,$CA$29:$CA$1449,0),)</f>
        <v>147.6</v>
      </c>
      <c r="BB263" s="132">
        <f t="shared" si="139"/>
        <v>-0.0021097046413503</v>
      </c>
      <c r="BC263" s="132">
        <f t="shared" si="141"/>
        <v>-0.0021097046413503</v>
      </c>
      <c r="BD263" s="132">
        <f t="shared" si="143"/>
        <v>-0.0021097046413503</v>
      </c>
      <c r="BE263" s="132">
        <f t="shared" si="140"/>
        <v>0</v>
      </c>
      <c r="BF263" s="132">
        <f t="shared" si="142"/>
        <v>0.0159574468085106</v>
      </c>
      <c r="BG263" s="132">
        <f t="shared" si="144"/>
        <v>0.0105820105820107</v>
      </c>
      <c r="BH263" s="132"/>
      <c r="BI263" s="132"/>
      <c r="BJ263" s="132"/>
      <c r="BK263" s="132"/>
      <c r="BL263" s="132"/>
      <c r="BM263" s="132"/>
      <c r="BN263" s="132"/>
      <c r="FV263" s="104">
        <f t="shared" si="147"/>
        <v>2011</v>
      </c>
      <c r="FW263" s="104">
        <f t="shared" si="148"/>
        <v>36</v>
      </c>
      <c r="FX263" s="35">
        <v>40788</v>
      </c>
      <c r="FY263" s="26">
        <v>1</v>
      </c>
      <c r="FZ263" s="94">
        <f t="shared" si="149"/>
        <v>4</v>
      </c>
      <c r="GA263" s="104"/>
      <c r="GB263" s="104"/>
      <c r="GE263" s="94"/>
      <c r="GF263" s="104">
        <f t="shared" si="150"/>
        <v>2013</v>
      </c>
      <c r="GG263" s="104">
        <f t="shared" si="151"/>
        <v>50</v>
      </c>
      <c r="GH263" s="35">
        <v>41619</v>
      </c>
      <c r="GI263" s="26">
        <v>4.126</v>
      </c>
      <c r="GJ263" s="94">
        <f t="shared" si="152"/>
        <v>8.252</v>
      </c>
      <c r="GK263" s="104"/>
      <c r="GL263" s="104"/>
      <c r="GO263" s="94"/>
    </row>
    <row r="264" spans="3:197">
      <c r="C264" s="80" t="str" cm="1">
        <f t="array" ref="C264">_xlfn.IFS(MONTH(D264)&lt;4,1,MONTH(D264)&lt;7,2,MONTH(D264)&lt;10,3,MONTH(D264)&gt;9,4)&amp;"Q"&amp;RIGHT(YEAR(D264),2)</f>
        <v>1Q17</v>
      </c>
      <c r="D264" s="81">
        <f t="shared" si="134"/>
        <v>42794</v>
      </c>
      <c r="E264" s="82">
        <f t="shared" si="131"/>
        <v>42769</v>
      </c>
      <c r="F264" s="83">
        <f t="shared" si="132"/>
        <v>0.856</v>
      </c>
      <c r="G264" s="83">
        <f t="shared" si="132"/>
        <v>0.72625</v>
      </c>
      <c r="H264" s="81"/>
      <c r="I264" s="84">
        <v>42769</v>
      </c>
      <c r="J264" s="85">
        <v>7.9</v>
      </c>
      <c r="K264" s="85">
        <v>6</v>
      </c>
      <c r="L264" s="86">
        <v>6.848</v>
      </c>
      <c r="M264" s="94" cm="1">
        <f t="array" ref="M264">INDEX($BV$29:$BV$1449,MATCH($D264,$BR$29:$BR$1449,0),)</f>
        <v>5.81</v>
      </c>
      <c r="N264" s="88"/>
      <c r="O264" s="88"/>
      <c r="P264" s="88"/>
      <c r="Q264" s="89">
        <f t="shared" si="133"/>
        <v>0.178657487091222</v>
      </c>
      <c r="AH264" s="105">
        <f t="shared" si="145"/>
        <v>44400</v>
      </c>
      <c r="AI264" s="91">
        <f t="shared" si="135"/>
        <v>4.51</v>
      </c>
      <c r="AJ264" s="36">
        <f t="shared" si="136"/>
        <v>-0.0227518959913326</v>
      </c>
      <c r="AK264" s="36">
        <f t="shared" si="138"/>
        <v>-0.0195652173913043</v>
      </c>
      <c r="AL264" s="105"/>
      <c r="AM264" s="91"/>
      <c r="AN264" s="36"/>
      <c r="AO264" s="36"/>
      <c r="AP264" s="36"/>
      <c r="AQ264" s="128" t="str" cm="1">
        <f t="array" ref="AQ264">_xlfn.IFS(MONTH(AR264)&lt;4,1,MONTH(AR264)&lt;7,2,MONTH(AR264)&lt;10,3,MONTH(AR264)&gt;9,4)&amp;"Q"&amp;RIGHT(YEAR(AR264),2)</f>
        <v>3Q23</v>
      </c>
      <c r="AR264" s="128">
        <f t="shared" si="137"/>
        <v>45169</v>
      </c>
      <c r="AS264" s="129">
        <f t="shared" si="153"/>
        <v>45159</v>
      </c>
      <c r="AT264" s="135">
        <v>48.5</v>
      </c>
      <c r="AU264" s="134" cm="1">
        <f t="array" ref="AU264">INDEX($CE$29:$CE$1449,MATCH($AR264,$CA$29:$CA$1449,0),)</f>
        <v>47.5</v>
      </c>
      <c r="AV264" s="135">
        <v>97</v>
      </c>
      <c r="AW264" s="134" cm="1">
        <f t="array" ref="AW264">INDEX($CF$29:$CF$1449,MATCH($AR264,$CA$29:$CA$1449,0),)</f>
        <v>94</v>
      </c>
      <c r="AX264" s="134"/>
      <c r="AY264" s="134" cm="1">
        <f t="array" ref="AY264">INDEX($CO$29:$CO$1449,MATCH($AR264,$CA$29:$CA$1449,0),)</f>
        <v>78.925</v>
      </c>
      <c r="AZ264" s="135"/>
      <c r="BA264" s="134" cm="1">
        <f t="array" ref="BA264">INDEX($CP$29:$CP$1449,MATCH($AR264,$CA$29:$CA$1449,0),)</f>
        <v>147.6</v>
      </c>
      <c r="BB264" s="132">
        <f t="shared" si="139"/>
        <v>0.025369978858351</v>
      </c>
      <c r="BC264" s="132">
        <f t="shared" si="141"/>
        <v>0.0232067510548524</v>
      </c>
      <c r="BD264" s="132">
        <f t="shared" si="143"/>
        <v>0.0232067510548524</v>
      </c>
      <c r="BE264" s="132">
        <f t="shared" si="140"/>
        <v>0.0157068062827226</v>
      </c>
      <c r="BF264" s="132">
        <f t="shared" si="142"/>
        <v>0.0157068062827226</v>
      </c>
      <c r="BG264" s="132">
        <f t="shared" si="144"/>
        <v>0.0319148936170213</v>
      </c>
      <c r="BH264" s="132"/>
      <c r="BI264" s="132"/>
      <c r="BJ264" s="132"/>
      <c r="BK264" s="132"/>
      <c r="BL264" s="132"/>
      <c r="BM264" s="132"/>
      <c r="BN264" s="132"/>
      <c r="FV264" s="104">
        <f t="shared" si="147"/>
        <v>2011</v>
      </c>
      <c r="FW264" s="104">
        <f t="shared" si="148"/>
        <v>37</v>
      </c>
      <c r="FX264" s="35">
        <v>40791</v>
      </c>
      <c r="FY264" s="26">
        <v>0.99</v>
      </c>
      <c r="FZ264" s="94">
        <f t="shared" si="149"/>
        <v>3.96</v>
      </c>
      <c r="GA264" s="104"/>
      <c r="GB264" s="104"/>
      <c r="GE264" s="94"/>
      <c r="GF264" s="104">
        <f t="shared" si="150"/>
        <v>2013</v>
      </c>
      <c r="GG264" s="104">
        <f t="shared" si="151"/>
        <v>50</v>
      </c>
      <c r="GH264" s="35">
        <v>41620</v>
      </c>
      <c r="GI264" s="26">
        <v>4.117</v>
      </c>
      <c r="GJ264" s="94">
        <f t="shared" si="152"/>
        <v>8.234</v>
      </c>
      <c r="GK264" s="104"/>
      <c r="GL264" s="104"/>
      <c r="GO264" s="94"/>
    </row>
    <row r="265" spans="3:197">
      <c r="C265" s="80" t="str" cm="1">
        <f t="array" ref="C265">_xlfn.IFS(MONTH(D265)&lt;4,1,MONTH(D265)&lt;7,2,MONTH(D265)&lt;10,3,MONTH(D265)&gt;9,4)&amp;"Q"&amp;RIGHT(YEAR(D265),2)</f>
        <v>1Q17</v>
      </c>
      <c r="D265" s="81">
        <f t="shared" si="134"/>
        <v>42794</v>
      </c>
      <c r="E265" s="82">
        <f t="shared" si="131"/>
        <v>42772</v>
      </c>
      <c r="F265" s="83">
        <f t="shared" si="132"/>
        <v>0.8645</v>
      </c>
      <c r="G265" s="83">
        <f t="shared" si="132"/>
        <v>0.72625</v>
      </c>
      <c r="H265" s="81"/>
      <c r="I265" s="84">
        <v>42772</v>
      </c>
      <c r="J265" s="85">
        <v>8</v>
      </c>
      <c r="K265" s="85">
        <v>6.1</v>
      </c>
      <c r="L265" s="86">
        <v>6.916</v>
      </c>
      <c r="M265" s="94" cm="1">
        <f t="array" ref="M265">INDEX($BV$29:$BV$1449,MATCH($D265,$BR$29:$BR$1449,0),)</f>
        <v>5.81</v>
      </c>
      <c r="N265" s="88"/>
      <c r="O265" s="88"/>
      <c r="P265" s="88"/>
      <c r="Q265" s="89">
        <f t="shared" si="133"/>
        <v>0.190361445783133</v>
      </c>
      <c r="AH265" s="105">
        <f t="shared" si="145"/>
        <v>44410</v>
      </c>
      <c r="AI265" s="91">
        <f t="shared" si="135"/>
        <v>4.495</v>
      </c>
      <c r="AJ265" s="36">
        <f t="shared" si="136"/>
        <v>-0.00332594235033257</v>
      </c>
      <c r="AK265" s="36">
        <f t="shared" si="138"/>
        <v>-0.0260021668472373</v>
      </c>
      <c r="AL265" s="105"/>
      <c r="AM265" s="91"/>
      <c r="AN265" s="36"/>
      <c r="AO265" s="36"/>
      <c r="AP265" s="36"/>
      <c r="AQ265" s="128" t="str" cm="1">
        <f t="array" ref="AQ265">_xlfn.IFS(MONTH(AR265)&lt;4,1,MONTH(AR265)&lt;7,2,MONTH(AR265)&lt;10,3,MONTH(AR265)&gt;9,4)&amp;"Q"&amp;RIGHT(YEAR(AR265),2)</f>
        <v>3Q23</v>
      </c>
      <c r="AR265" s="128">
        <f t="shared" si="137"/>
        <v>45169</v>
      </c>
      <c r="AS265" s="129">
        <f t="shared" si="153"/>
        <v>45166</v>
      </c>
      <c r="AT265" s="135">
        <v>48.4</v>
      </c>
      <c r="AU265" s="134" cm="1">
        <f t="array" ref="AU265">INDEX($CE$29:$CE$1449,MATCH($AR265,$CA$29:$CA$1449,0),)</f>
        <v>47.5</v>
      </c>
      <c r="AV265" s="135">
        <v>96.8</v>
      </c>
      <c r="AW265" s="134" cm="1">
        <f t="array" ref="AW265">INDEX($CF$29:$CF$1449,MATCH($AR265,$CA$29:$CA$1449,0),)</f>
        <v>94</v>
      </c>
      <c r="AX265" s="134"/>
      <c r="AY265" s="134" cm="1">
        <f t="array" ref="AY265">INDEX($CO$29:$CO$1449,MATCH($AR265,$CA$29:$CA$1449,0),)</f>
        <v>78.925</v>
      </c>
      <c r="AZ265" s="135"/>
      <c r="BA265" s="134" cm="1">
        <f t="array" ref="BA265">INDEX($CP$29:$CP$1449,MATCH($AR265,$CA$29:$CA$1449,0),)</f>
        <v>147.6</v>
      </c>
      <c r="BB265" s="132">
        <f t="shared" si="139"/>
        <v>-0.00206185567010309</v>
      </c>
      <c r="BC265" s="132">
        <f t="shared" si="141"/>
        <v>0.0232558139534884</v>
      </c>
      <c r="BD265" s="132">
        <f t="shared" si="143"/>
        <v>0.0210970464135021</v>
      </c>
      <c r="BE265" s="132">
        <f t="shared" si="140"/>
        <v>-0.00206185567010309</v>
      </c>
      <c r="BF265" s="132">
        <f t="shared" si="142"/>
        <v>0.0136125654450261</v>
      </c>
      <c r="BG265" s="132">
        <f t="shared" si="144"/>
        <v>0.0136125654450261</v>
      </c>
      <c r="BH265" s="132"/>
      <c r="BI265" s="132"/>
      <c r="BJ265" s="132"/>
      <c r="BK265" s="132"/>
      <c r="BL265" s="132"/>
      <c r="BM265" s="132"/>
      <c r="BN265" s="132"/>
      <c r="FV265" s="104">
        <f t="shared" si="147"/>
        <v>2011</v>
      </c>
      <c r="FW265" s="104">
        <f t="shared" si="148"/>
        <v>37</v>
      </c>
      <c r="FX265" s="35">
        <v>40792</v>
      </c>
      <c r="FY265" s="26">
        <v>0.99</v>
      </c>
      <c r="FZ265" s="94">
        <f t="shared" si="149"/>
        <v>3.96</v>
      </c>
      <c r="GA265" s="104"/>
      <c r="GB265" s="104"/>
      <c r="GE265" s="94"/>
      <c r="GF265" s="104">
        <f t="shared" si="150"/>
        <v>2013</v>
      </c>
      <c r="GG265" s="104">
        <f t="shared" si="151"/>
        <v>50</v>
      </c>
      <c r="GH265" s="35">
        <v>41621</v>
      </c>
      <c r="GI265" s="26">
        <v>4.101</v>
      </c>
      <c r="GJ265" s="94">
        <f t="shared" si="152"/>
        <v>8.202</v>
      </c>
      <c r="GK265" s="104"/>
      <c r="GL265" s="104"/>
      <c r="GO265" s="94"/>
    </row>
    <row r="266" spans="3:197">
      <c r="C266" s="80" t="str" cm="1">
        <f t="array" ref="C266">_xlfn.IFS(MONTH(D266)&lt;4,1,MONTH(D266)&lt;7,2,MONTH(D266)&lt;10,3,MONTH(D266)&gt;9,4)&amp;"Q"&amp;RIGHT(YEAR(D266),2)</f>
        <v>1Q17</v>
      </c>
      <c r="D266" s="81">
        <f t="shared" si="134"/>
        <v>42794</v>
      </c>
      <c r="E266" s="82">
        <f t="shared" si="131"/>
        <v>42773</v>
      </c>
      <c r="F266" s="83">
        <f t="shared" si="132"/>
        <v>0.864875</v>
      </c>
      <c r="G266" s="83">
        <f t="shared" si="132"/>
        <v>0.72625</v>
      </c>
      <c r="H266" s="81"/>
      <c r="I266" s="84">
        <v>42773</v>
      </c>
      <c r="J266" s="85">
        <v>8</v>
      </c>
      <c r="K266" s="85">
        <v>6.18</v>
      </c>
      <c r="L266" s="86">
        <v>6.919</v>
      </c>
      <c r="M266" s="94" cm="1">
        <f t="array" ref="M266">INDEX($BV$29:$BV$1449,MATCH($D266,$BR$29:$BR$1449,0),)</f>
        <v>5.81</v>
      </c>
      <c r="N266" s="88"/>
      <c r="O266" s="88"/>
      <c r="P266" s="88"/>
      <c r="Q266" s="89">
        <f t="shared" si="133"/>
        <v>0.190877796901893</v>
      </c>
      <c r="AH266" s="105">
        <f t="shared" si="145"/>
        <v>44418</v>
      </c>
      <c r="AI266" s="91">
        <f t="shared" si="135"/>
        <v>4.255</v>
      </c>
      <c r="AJ266" s="36">
        <f t="shared" si="136"/>
        <v>-0.053392658509455</v>
      </c>
      <c r="AK266" s="36">
        <f t="shared" si="138"/>
        <v>-0.0565410199556541</v>
      </c>
      <c r="AL266" s="105"/>
      <c r="AM266" s="91"/>
      <c r="AN266" s="36"/>
      <c r="AO266" s="36"/>
      <c r="AP266" s="36"/>
      <c r="AQ266" s="128" t="str" cm="1">
        <f t="array" ref="AQ266">_xlfn.IFS(MONTH(AR266)&lt;4,1,MONTH(AR266)&lt;7,2,MONTH(AR266)&lt;10,3,MONTH(AR266)&gt;9,4)&amp;"Q"&amp;RIGHT(YEAR(AR266),2)</f>
        <v>3Q23</v>
      </c>
      <c r="AR266" s="128">
        <f t="shared" si="137"/>
        <v>45199</v>
      </c>
      <c r="AS266" s="129">
        <f t="shared" si="153"/>
        <v>45173</v>
      </c>
      <c r="AT266" s="135">
        <v>48.3</v>
      </c>
      <c r="AU266" s="134" cm="1">
        <f t="array" ref="AU266">INDEX($CE$29:$CE$1449,MATCH($AR266,$CA$29:$CA$1449,0),)</f>
        <v>47.5</v>
      </c>
      <c r="AV266" s="135">
        <v>96.5</v>
      </c>
      <c r="AW266" s="134" cm="1">
        <f t="array" ref="AW266">INDEX($CF$29:$CF$1449,MATCH($AR266,$CA$29:$CA$1449,0),)</f>
        <v>94</v>
      </c>
      <c r="AX266" s="134"/>
      <c r="AY266" s="134" cm="1">
        <f t="array" ref="AY266">INDEX($CO$29:$CO$1449,MATCH($AR266,$CA$29:$CA$1449,0),)</f>
        <v>78.925</v>
      </c>
      <c r="AZ266" s="135"/>
      <c r="BA266" s="134" cm="1">
        <f t="array" ref="BA266">INDEX($CP$29:$CP$1449,MATCH($AR266,$CA$29:$CA$1449,0),)</f>
        <v>147.6</v>
      </c>
      <c r="BB266" s="133">
        <f t="shared" si="139"/>
        <v>-0.00206611570247939</v>
      </c>
      <c r="BC266" s="132">
        <f t="shared" si="141"/>
        <v>-0.00412371134020628</v>
      </c>
      <c r="BD266" s="132">
        <f t="shared" si="143"/>
        <v>0.0211416490486258</v>
      </c>
      <c r="BE266" s="133">
        <f t="shared" si="140"/>
        <v>-0.00309917355371903</v>
      </c>
      <c r="BF266" s="132">
        <f t="shared" si="142"/>
        <v>-0.00515463917525771</v>
      </c>
      <c r="BG266" s="132">
        <f t="shared" si="144"/>
        <v>0.0104712041884816</v>
      </c>
      <c r="BH266" s="132"/>
      <c r="BI266" s="132"/>
      <c r="BJ266" s="132"/>
      <c r="BK266" s="132"/>
      <c r="BL266" s="132"/>
      <c r="BM266" s="132"/>
      <c r="BN266" s="132"/>
      <c r="FV266" s="104">
        <f t="shared" si="147"/>
        <v>2011</v>
      </c>
      <c r="FW266" s="104">
        <f t="shared" si="148"/>
        <v>37</v>
      </c>
      <c r="FX266" s="35">
        <v>40793</v>
      </c>
      <c r="FY266" s="26">
        <v>0.98</v>
      </c>
      <c r="FZ266" s="94">
        <f t="shared" si="149"/>
        <v>3.92</v>
      </c>
      <c r="GA266" s="104"/>
      <c r="GB266" s="104"/>
      <c r="GE266" s="94"/>
      <c r="GF266" s="104">
        <f t="shared" si="150"/>
        <v>2013</v>
      </c>
      <c r="GG266" s="104">
        <f t="shared" si="151"/>
        <v>51</v>
      </c>
      <c r="GH266" s="35">
        <v>41624</v>
      </c>
      <c r="GI266" s="26">
        <v>4.101</v>
      </c>
      <c r="GJ266" s="94">
        <f t="shared" si="152"/>
        <v>8.202</v>
      </c>
      <c r="GK266" s="104"/>
      <c r="GL266" s="104"/>
      <c r="GO266" s="94"/>
    </row>
    <row r="267" spans="3:197">
      <c r="C267" s="80" t="str" cm="1">
        <f t="array" ref="C267">_xlfn.IFS(MONTH(D267)&lt;4,1,MONTH(D267)&lt;7,2,MONTH(D267)&lt;10,3,MONTH(D267)&gt;9,4)&amp;"Q"&amp;RIGHT(YEAR(D267),2)</f>
        <v>1Q17</v>
      </c>
      <c r="D267" s="81">
        <f t="shared" si="134"/>
        <v>42794</v>
      </c>
      <c r="E267" s="82">
        <f t="shared" si="131"/>
        <v>42774</v>
      </c>
      <c r="F267" s="83">
        <f t="shared" si="132"/>
        <v>0.865625</v>
      </c>
      <c r="G267" s="83">
        <f t="shared" si="132"/>
        <v>0.72625</v>
      </c>
      <c r="H267" s="81"/>
      <c r="I267" s="84">
        <v>42774</v>
      </c>
      <c r="J267" s="85">
        <v>8</v>
      </c>
      <c r="K267" s="85">
        <v>6.2</v>
      </c>
      <c r="L267" s="86">
        <v>6.925</v>
      </c>
      <c r="M267" s="94" cm="1">
        <f t="array" ref="M267">INDEX($BV$29:$BV$1449,MATCH($D267,$BR$29:$BR$1449,0),)</f>
        <v>5.81</v>
      </c>
      <c r="N267" s="88"/>
      <c r="O267" s="88"/>
      <c r="P267" s="88"/>
      <c r="Q267" s="89">
        <f t="shared" si="133"/>
        <v>0.191910499139415</v>
      </c>
      <c r="AH267" s="105">
        <f t="shared" si="145"/>
        <v>44426</v>
      </c>
      <c r="AI267" s="91">
        <f t="shared" si="135"/>
        <v>4.187</v>
      </c>
      <c r="AJ267" s="36">
        <f t="shared" si="136"/>
        <v>-0.0159811985898941</v>
      </c>
      <c r="AK267" s="36">
        <f t="shared" si="138"/>
        <v>-0.0685205784204671</v>
      </c>
      <c r="AL267" s="105"/>
      <c r="AM267" s="91"/>
      <c r="AN267" s="36"/>
      <c r="AO267" s="36"/>
      <c r="AP267" s="36"/>
      <c r="AQ267" s="128" t="str" cm="1">
        <f t="array" ref="AQ267">_xlfn.IFS(MONTH(AR267)&lt;4,1,MONTH(AR267)&lt;7,2,MONTH(AR267)&lt;10,3,MONTH(AR267)&gt;9,4)&amp;"Q"&amp;RIGHT(YEAR(AR267),2)</f>
        <v>3Q23</v>
      </c>
      <c r="AR267" s="128">
        <f t="shared" si="137"/>
        <v>45199</v>
      </c>
      <c r="AS267" s="129">
        <f t="shared" si="153"/>
        <v>45180</v>
      </c>
      <c r="AT267" s="135">
        <v>48.3</v>
      </c>
      <c r="AU267" s="134" cm="1">
        <f t="array" ref="AU267">INDEX($CE$29:$CE$1449,MATCH($AR267,$CA$29:$CA$1449,0),)</f>
        <v>47.5</v>
      </c>
      <c r="AV267" s="135">
        <v>96.5</v>
      </c>
      <c r="AW267" s="134" cm="1">
        <f t="array" ref="AW267">INDEX($CF$29:$CF$1449,MATCH($AR267,$CA$29:$CA$1449,0),)</f>
        <v>94</v>
      </c>
      <c r="AX267" s="134"/>
      <c r="AY267" s="134" cm="1">
        <f t="array" ref="AY267">INDEX($CO$29:$CO$1449,MATCH($AR267,$CA$29:$CA$1449,0),)</f>
        <v>78.925</v>
      </c>
      <c r="AZ267" s="135"/>
      <c r="BA267" s="134" cm="1">
        <f t="array" ref="BA267">INDEX($CP$29:$CP$1449,MATCH($AR267,$CA$29:$CA$1449,0),)</f>
        <v>147.6</v>
      </c>
      <c r="BB267" s="133">
        <f t="shared" si="139"/>
        <v>0</v>
      </c>
      <c r="BC267" s="132">
        <f t="shared" si="141"/>
        <v>-0.00206611570247939</v>
      </c>
      <c r="BD267" s="132">
        <f t="shared" si="143"/>
        <v>-0.00412371134020628</v>
      </c>
      <c r="BE267" s="133">
        <f t="shared" si="140"/>
        <v>0</v>
      </c>
      <c r="BF267" s="132">
        <f t="shared" si="142"/>
        <v>-0.00309917355371903</v>
      </c>
      <c r="BG267" s="132">
        <f t="shared" si="144"/>
        <v>-0.00515463917525771</v>
      </c>
      <c r="BH267" s="132"/>
      <c r="BI267" s="132"/>
      <c r="BJ267" s="132"/>
      <c r="BK267" s="132"/>
      <c r="BL267" s="132"/>
      <c r="BM267" s="132"/>
      <c r="BN267" s="132"/>
      <c r="FV267" s="104">
        <f t="shared" si="147"/>
        <v>2011</v>
      </c>
      <c r="FW267" s="104">
        <f t="shared" si="148"/>
        <v>37</v>
      </c>
      <c r="FX267" s="35">
        <v>40794</v>
      </c>
      <c r="FY267" s="26">
        <v>0.98</v>
      </c>
      <c r="FZ267" s="94">
        <f t="shared" si="149"/>
        <v>3.92</v>
      </c>
      <c r="GA267" s="104"/>
      <c r="GB267" s="104"/>
      <c r="GE267" s="94"/>
      <c r="GF267" s="104">
        <f t="shared" si="150"/>
        <v>2013</v>
      </c>
      <c r="GG267" s="104">
        <f t="shared" si="151"/>
        <v>51</v>
      </c>
      <c r="GH267" s="35">
        <v>41625</v>
      </c>
      <c r="GI267" s="26">
        <v>4.1</v>
      </c>
      <c r="GJ267" s="94">
        <f t="shared" si="152"/>
        <v>8.2</v>
      </c>
      <c r="GK267" s="104"/>
      <c r="GL267" s="104"/>
      <c r="GO267" s="94"/>
    </row>
    <row r="268" spans="3:197">
      <c r="C268" s="80" t="str" cm="1">
        <f t="array" ref="C268">_xlfn.IFS(MONTH(D268)&lt;4,1,MONTH(D268)&lt;7,2,MONTH(D268)&lt;10,3,MONTH(D268)&gt;9,4)&amp;"Q"&amp;RIGHT(YEAR(D268),2)</f>
        <v>1Q17</v>
      </c>
      <c r="D268" s="81">
        <f t="shared" si="134"/>
        <v>42794</v>
      </c>
      <c r="E268" s="82">
        <f t="shared" si="131"/>
        <v>42775</v>
      </c>
      <c r="F268" s="83">
        <f t="shared" si="132"/>
        <v>0.865875</v>
      </c>
      <c r="G268" s="83">
        <f t="shared" si="132"/>
        <v>0.72625</v>
      </c>
      <c r="H268" s="81"/>
      <c r="I268" s="84">
        <v>42775</v>
      </c>
      <c r="J268" s="85">
        <v>8.05</v>
      </c>
      <c r="K268" s="85">
        <v>6.2</v>
      </c>
      <c r="L268" s="86">
        <v>6.927</v>
      </c>
      <c r="M268" s="94" cm="1">
        <f t="array" ref="M268">INDEX($BV$29:$BV$1449,MATCH($D268,$BR$29:$BR$1449,0),)</f>
        <v>5.81</v>
      </c>
      <c r="N268" s="88"/>
      <c r="O268" s="88"/>
      <c r="P268" s="88"/>
      <c r="Q268" s="89">
        <f t="shared" si="133"/>
        <v>0.192254733218589</v>
      </c>
      <c r="AH268" s="105">
        <f t="shared" si="145"/>
        <v>44434</v>
      </c>
      <c r="AI268" s="91">
        <f t="shared" si="135"/>
        <v>3.943</v>
      </c>
      <c r="AJ268" s="36">
        <f t="shared" si="136"/>
        <v>-0.0582756149988058</v>
      </c>
      <c r="AK268" s="36">
        <f t="shared" si="138"/>
        <v>-0.0733254994124559</v>
      </c>
      <c r="AL268" s="105"/>
      <c r="AM268" s="91"/>
      <c r="AN268" s="36"/>
      <c r="AO268" s="36"/>
      <c r="AP268" s="36"/>
      <c r="AQ268" s="128" t="str" cm="1">
        <f t="array" ref="AQ268">_xlfn.IFS(MONTH(AR268)&lt;4,1,MONTH(AR268)&lt;7,2,MONTH(AR268)&lt;10,3,MONTH(AR268)&gt;9,4)&amp;"Q"&amp;RIGHT(YEAR(AR268),2)</f>
        <v>3Q23</v>
      </c>
      <c r="AR268" s="128">
        <f t="shared" si="137"/>
        <v>45199</v>
      </c>
      <c r="AS268" s="129">
        <f t="shared" si="153"/>
        <v>45187</v>
      </c>
      <c r="AT268" s="135">
        <v>49.5</v>
      </c>
      <c r="AU268" s="134" cm="1">
        <f t="array" ref="AU268">INDEX($CE$29:$CE$1449,MATCH($AR268,$CA$29:$CA$1449,0),)</f>
        <v>47.5</v>
      </c>
      <c r="AV268" s="135">
        <v>97.5</v>
      </c>
      <c r="AW268" s="134" cm="1">
        <f t="array" ref="AW268">INDEX($CF$29:$CF$1449,MATCH($AR268,$CA$29:$CA$1449,0),)</f>
        <v>94</v>
      </c>
      <c r="AX268" s="134"/>
      <c r="AY268" s="134" cm="1">
        <f t="array" ref="AY268">INDEX($CO$29:$CO$1449,MATCH($AR268,$CA$29:$CA$1449,0),)</f>
        <v>78.925</v>
      </c>
      <c r="AZ268" s="135"/>
      <c r="BA268" s="134" cm="1">
        <f t="array" ref="BA268">INDEX($CP$29:$CP$1449,MATCH($AR268,$CA$29:$CA$1449,0),)</f>
        <v>147.6</v>
      </c>
      <c r="BB268" s="133">
        <f t="shared" si="139"/>
        <v>0.0248447204968945</v>
      </c>
      <c r="BC268" s="132">
        <f t="shared" si="141"/>
        <v>0.0248447204968945</v>
      </c>
      <c r="BD268" s="132">
        <f t="shared" si="143"/>
        <v>0.0227272727272727</v>
      </c>
      <c r="BE268" s="133">
        <f t="shared" si="140"/>
        <v>0.0103626943005182</v>
      </c>
      <c r="BF268" s="132">
        <f t="shared" si="142"/>
        <v>0.0103626943005182</v>
      </c>
      <c r="BG268" s="132">
        <f t="shared" si="144"/>
        <v>0.00723140495867769</v>
      </c>
      <c r="BH268" s="132"/>
      <c r="BI268" s="132"/>
      <c r="BJ268" s="132"/>
      <c r="BK268" s="132"/>
      <c r="BL268" s="132"/>
      <c r="BM268" s="132"/>
      <c r="BN268" s="132"/>
      <c r="FV268" s="104">
        <f t="shared" si="147"/>
        <v>2011</v>
      </c>
      <c r="FW268" s="104">
        <f t="shared" si="148"/>
        <v>37</v>
      </c>
      <c r="FX268" s="35">
        <v>40795</v>
      </c>
      <c r="FY268" s="26">
        <v>0.99</v>
      </c>
      <c r="FZ268" s="94">
        <f t="shared" si="149"/>
        <v>3.96</v>
      </c>
      <c r="GA268" s="104"/>
      <c r="GB268" s="104"/>
      <c r="GE268" s="94"/>
      <c r="GF268" s="104">
        <f t="shared" si="150"/>
        <v>2013</v>
      </c>
      <c r="GG268" s="104">
        <f t="shared" si="151"/>
        <v>51</v>
      </c>
      <c r="GH268" s="35">
        <v>41626</v>
      </c>
      <c r="GI268" s="26">
        <v>4.098</v>
      </c>
      <c r="GJ268" s="94">
        <f t="shared" si="152"/>
        <v>8.196</v>
      </c>
      <c r="GK268" s="104"/>
      <c r="GL268" s="104"/>
      <c r="GO268" s="94"/>
    </row>
    <row r="269" spans="3:197">
      <c r="C269" s="80" t="str" cm="1">
        <f t="array" ref="C269">_xlfn.IFS(MONTH(D269)&lt;4,1,MONTH(D269)&lt;7,2,MONTH(D269)&lt;10,3,MONTH(D269)&gt;9,4)&amp;"Q"&amp;RIGHT(YEAR(D269),2)</f>
        <v>1Q17</v>
      </c>
      <c r="D269" s="81">
        <f t="shared" si="134"/>
        <v>42794</v>
      </c>
      <c r="E269" s="82">
        <f t="shared" si="131"/>
        <v>42776</v>
      </c>
      <c r="F269" s="83">
        <f t="shared" si="132"/>
        <v>0.865875</v>
      </c>
      <c r="G269" s="83">
        <f t="shared" si="132"/>
        <v>0.72625</v>
      </c>
      <c r="H269" s="81"/>
      <c r="I269" s="84">
        <v>42776</v>
      </c>
      <c r="J269" s="85">
        <v>8.05</v>
      </c>
      <c r="K269" s="85">
        <v>6.2</v>
      </c>
      <c r="L269" s="86">
        <v>6.927</v>
      </c>
      <c r="M269" s="94" cm="1">
        <f t="array" ref="M269">INDEX($BV$29:$BV$1449,MATCH($D269,$BR$29:$BR$1449,0),)</f>
        <v>5.81</v>
      </c>
      <c r="N269" s="88"/>
      <c r="O269" s="88"/>
      <c r="P269" s="88"/>
      <c r="Q269" s="89">
        <f t="shared" si="133"/>
        <v>0.192254733218589</v>
      </c>
      <c r="AH269" s="105">
        <f t="shared" si="145"/>
        <v>44442</v>
      </c>
      <c r="AI269" s="91">
        <f t="shared" si="135"/>
        <v>3.799</v>
      </c>
      <c r="AJ269" s="36">
        <f t="shared" si="136"/>
        <v>-0.0365204159269592</v>
      </c>
      <c r="AK269" s="36">
        <f t="shared" si="138"/>
        <v>-0.0926677812276093</v>
      </c>
      <c r="AL269" s="105"/>
      <c r="AM269" s="91"/>
      <c r="AN269" s="36"/>
      <c r="AO269" s="36"/>
      <c r="AP269" s="36"/>
      <c r="AQ269" s="128" t="str" cm="1">
        <f t="array" ref="AQ269">_xlfn.IFS(MONTH(AR269)&lt;4,1,MONTH(AR269)&lt;7,2,MONTH(AR269)&lt;10,3,MONTH(AR269)&gt;9,4)&amp;"Q"&amp;RIGHT(YEAR(AR269),2)</f>
        <v>3Q23</v>
      </c>
      <c r="AR269" s="128">
        <f t="shared" si="137"/>
        <v>45199</v>
      </c>
      <c r="AS269" s="129">
        <f t="shared" si="153"/>
        <v>45194</v>
      </c>
      <c r="AT269" s="135">
        <v>49</v>
      </c>
      <c r="AU269" s="134" cm="1">
        <f t="array" ref="AU269">INDEX($CE$29:$CE$1449,MATCH($AR269,$CA$29:$CA$1449,0),)</f>
        <v>47.5</v>
      </c>
      <c r="AV269" s="135">
        <v>97</v>
      </c>
      <c r="AW269" s="134" cm="1">
        <f t="array" ref="AW269">INDEX($CF$29:$CF$1449,MATCH($AR269,$CA$29:$CA$1449,0),)</f>
        <v>94</v>
      </c>
      <c r="AX269" s="134"/>
      <c r="AY269" s="134" cm="1">
        <f t="array" ref="AY269">INDEX($CO$29:$CO$1449,MATCH($AR269,$CA$29:$CA$1449,0),)</f>
        <v>78.925</v>
      </c>
      <c r="AZ269" s="135"/>
      <c r="BA269" s="134" cm="1">
        <f t="array" ref="BA269">INDEX($CP$29:$CP$1449,MATCH($AR269,$CA$29:$CA$1449,0),)</f>
        <v>147.6</v>
      </c>
      <c r="BB269" s="133">
        <f t="shared" si="139"/>
        <v>-0.0101010101010101</v>
      </c>
      <c r="BC269" s="132">
        <f t="shared" si="141"/>
        <v>0.0144927536231885</v>
      </c>
      <c r="BD269" s="132">
        <f t="shared" si="143"/>
        <v>0.0144927536231885</v>
      </c>
      <c r="BE269" s="133">
        <f t="shared" si="140"/>
        <v>-0.00512820512820511</v>
      </c>
      <c r="BF269" s="132">
        <f t="shared" si="142"/>
        <v>0.00518134715025909</v>
      </c>
      <c r="BG269" s="132">
        <f t="shared" si="144"/>
        <v>0.00518134715025909</v>
      </c>
      <c r="BH269" s="132"/>
      <c r="BI269" s="132"/>
      <c r="BJ269" s="132"/>
      <c r="BK269" s="132"/>
      <c r="BL269" s="132"/>
      <c r="BM269" s="132"/>
      <c r="BN269" s="132"/>
      <c r="FV269" s="104">
        <f t="shared" si="147"/>
        <v>2011</v>
      </c>
      <c r="FW269" s="104">
        <f t="shared" si="148"/>
        <v>38</v>
      </c>
      <c r="FX269" s="35">
        <v>40799</v>
      </c>
      <c r="FY269" s="26">
        <v>1.01</v>
      </c>
      <c r="FZ269" s="94">
        <f t="shared" si="149"/>
        <v>4.04</v>
      </c>
      <c r="GA269" s="104"/>
      <c r="GB269" s="104"/>
      <c r="GE269" s="94"/>
      <c r="GF269" s="104">
        <f t="shared" si="150"/>
        <v>2013</v>
      </c>
      <c r="GG269" s="104">
        <f t="shared" si="151"/>
        <v>51</v>
      </c>
      <c r="GH269" s="35">
        <v>41627</v>
      </c>
      <c r="GI269" s="26">
        <v>4.097</v>
      </c>
      <c r="GJ269" s="94">
        <f t="shared" si="152"/>
        <v>8.194</v>
      </c>
      <c r="GK269" s="104"/>
      <c r="GL269" s="104"/>
      <c r="GO269" s="94"/>
    </row>
    <row r="270" spans="3:197">
      <c r="C270" s="80" t="str" cm="1">
        <f t="array" ref="C270">_xlfn.IFS(MONTH(D270)&lt;4,1,MONTH(D270)&lt;7,2,MONTH(D270)&lt;10,3,MONTH(D270)&gt;9,4)&amp;"Q"&amp;RIGHT(YEAR(D270),2)</f>
        <v>1Q17</v>
      </c>
      <c r="D270" s="81">
        <f t="shared" si="134"/>
        <v>42794</v>
      </c>
      <c r="E270" s="82">
        <f t="shared" si="131"/>
        <v>42779</v>
      </c>
      <c r="F270" s="83">
        <f t="shared" si="132"/>
        <v>0.865875</v>
      </c>
      <c r="G270" s="83">
        <f t="shared" si="132"/>
        <v>0.72625</v>
      </c>
      <c r="H270" s="81"/>
      <c r="I270" s="84">
        <v>42779</v>
      </c>
      <c r="J270" s="85">
        <v>8.05</v>
      </c>
      <c r="K270" s="85">
        <v>6.2</v>
      </c>
      <c r="L270" s="86">
        <v>6.927</v>
      </c>
      <c r="M270" s="94" cm="1">
        <f t="array" ref="M270">INDEX($BV$29:$BV$1449,MATCH($D270,$BR$29:$BR$1449,0),)</f>
        <v>5.81</v>
      </c>
      <c r="N270" s="88"/>
      <c r="O270" s="88"/>
      <c r="P270" s="88"/>
      <c r="Q270" s="89">
        <f t="shared" si="133"/>
        <v>0.192254733218589</v>
      </c>
      <c r="AH270" s="105">
        <f t="shared" si="145"/>
        <v>44452</v>
      </c>
      <c r="AI270" s="91">
        <f t="shared" si="135"/>
        <v>3.735</v>
      </c>
      <c r="AJ270" s="36">
        <f t="shared" si="136"/>
        <v>-0.0168465385627797</v>
      </c>
      <c r="AK270" s="36">
        <f t="shared" si="138"/>
        <v>-0.0527517118944966</v>
      </c>
      <c r="AL270" s="105"/>
      <c r="AM270" s="91"/>
      <c r="AN270" s="36"/>
      <c r="AO270" s="36"/>
      <c r="AP270" s="36"/>
      <c r="AQ270" s="128" t="str" cm="1">
        <f t="array" ref="AQ270">_xlfn.IFS(MONTH(AR270)&lt;4,1,MONTH(AR270)&lt;7,2,MONTH(AR270)&lt;10,3,MONTH(AR270)&gt;9,4)&amp;"Q"&amp;RIGHT(YEAR(AR270),2)</f>
        <v>4Q23</v>
      </c>
      <c r="AR270" s="128">
        <f t="shared" si="137"/>
        <v>45230</v>
      </c>
      <c r="AS270" s="129">
        <f t="shared" si="153"/>
        <v>45201</v>
      </c>
      <c r="AT270" s="135">
        <v>49.5</v>
      </c>
      <c r="AU270" s="134" cm="1">
        <f t="array" ref="AU270">INDEX($CE$29:$CE$1449,MATCH($AR270,$CA$29:$CA$1449,0),)</f>
        <v>50</v>
      </c>
      <c r="AV270" s="135">
        <v>98</v>
      </c>
      <c r="AW270" s="134" cm="1">
        <f t="array" ref="AW270">INDEX($CF$29:$CF$1449,MATCH($AR270,$CA$29:$CA$1449,0),)</f>
        <v>100</v>
      </c>
      <c r="AX270" s="134"/>
      <c r="AY270" s="134" cm="1">
        <f t="array" ref="AY270">INDEX($CO$29:$CO$1449,MATCH($AR270,$CA$29:$CA$1449,0),)</f>
        <v>79.95</v>
      </c>
      <c r="AZ270" s="135"/>
      <c r="BA270" s="134" cm="1">
        <f t="array" ref="BA270">INDEX($CP$29:$CP$1449,MATCH($AR270,$CA$29:$CA$1449,0),)</f>
        <v>149.65</v>
      </c>
      <c r="BB270" s="133">
        <f t="shared" si="139"/>
        <v>0.010204081632653</v>
      </c>
      <c r="BC270" s="132">
        <f t="shared" si="141"/>
        <v>0</v>
      </c>
      <c r="BD270" s="132">
        <f t="shared" si="143"/>
        <v>0.0248447204968945</v>
      </c>
      <c r="BE270" s="133">
        <f t="shared" si="140"/>
        <v>0.0103092783505154</v>
      </c>
      <c r="BF270" s="132">
        <f t="shared" si="142"/>
        <v>0.00512820512820511</v>
      </c>
      <c r="BG270" s="132">
        <f t="shared" si="144"/>
        <v>0.0155440414507773</v>
      </c>
      <c r="BH270" s="132"/>
      <c r="BI270" s="132"/>
      <c r="BJ270" s="132"/>
      <c r="BK270" s="132"/>
      <c r="BL270" s="132"/>
      <c r="BM270" s="132"/>
      <c r="BN270" s="132"/>
      <c r="FV270" s="104">
        <f t="shared" si="147"/>
        <v>2011</v>
      </c>
      <c r="FW270" s="104">
        <f t="shared" si="148"/>
        <v>38</v>
      </c>
      <c r="FX270" s="35">
        <v>40800</v>
      </c>
      <c r="FY270" s="26">
        <v>1.1</v>
      </c>
      <c r="FZ270" s="94">
        <f t="shared" si="149"/>
        <v>4.4</v>
      </c>
      <c r="GA270" s="104"/>
      <c r="GB270" s="104"/>
      <c r="GE270" s="94"/>
      <c r="GF270" s="104">
        <f t="shared" si="150"/>
        <v>2013</v>
      </c>
      <c r="GG270" s="104">
        <f t="shared" si="151"/>
        <v>51</v>
      </c>
      <c r="GH270" s="35">
        <v>41628</v>
      </c>
      <c r="GI270" s="26">
        <v>4.097</v>
      </c>
      <c r="GJ270" s="94">
        <f t="shared" si="152"/>
        <v>8.194</v>
      </c>
      <c r="GK270" s="104"/>
      <c r="GL270" s="104"/>
      <c r="GO270" s="94"/>
    </row>
    <row r="271" spans="3:197">
      <c r="C271" s="80" t="str" cm="1">
        <f t="array" ref="C271">_xlfn.IFS(MONTH(D271)&lt;4,1,MONTH(D271)&lt;7,2,MONTH(D271)&lt;10,3,MONTH(D271)&gt;9,4)&amp;"Q"&amp;RIGHT(YEAR(D271),2)</f>
        <v>1Q17</v>
      </c>
      <c r="D271" s="81">
        <f t="shared" si="134"/>
        <v>42794</v>
      </c>
      <c r="E271" s="82">
        <f t="shared" si="131"/>
        <v>42780</v>
      </c>
      <c r="F271" s="83">
        <f t="shared" si="132"/>
        <v>0.865875</v>
      </c>
      <c r="G271" s="83">
        <f t="shared" si="132"/>
        <v>0.72625</v>
      </c>
      <c r="H271" s="81"/>
      <c r="I271" s="84">
        <v>42780</v>
      </c>
      <c r="J271" s="85">
        <v>8.05</v>
      </c>
      <c r="K271" s="85">
        <v>6.2</v>
      </c>
      <c r="L271" s="86">
        <v>6.927</v>
      </c>
      <c r="M271" s="94" cm="1">
        <f t="array" ref="M271">INDEX($BV$29:$BV$1449,MATCH($D271,$BR$29:$BR$1449,0),)</f>
        <v>5.81</v>
      </c>
      <c r="N271" s="88"/>
      <c r="O271" s="88"/>
      <c r="P271" s="88"/>
      <c r="Q271" s="89">
        <f t="shared" si="133"/>
        <v>0.192254733218589</v>
      </c>
      <c r="AH271" s="105">
        <f t="shared" si="145"/>
        <v>44460</v>
      </c>
      <c r="AI271" s="91">
        <f t="shared" si="135"/>
        <v>3.723</v>
      </c>
      <c r="AJ271" s="36">
        <f t="shared" si="136"/>
        <v>-0.00321285140562244</v>
      </c>
      <c r="AK271" s="36">
        <f t="shared" si="138"/>
        <v>-0.0200052645433009</v>
      </c>
      <c r="AL271" s="105"/>
      <c r="AM271" s="91"/>
      <c r="AN271" s="36"/>
      <c r="AO271" s="36"/>
      <c r="AP271" s="36"/>
      <c r="AQ271" s="128" t="str" cm="1">
        <f t="array" ref="AQ271">_xlfn.IFS(MONTH(AR271)&lt;4,1,MONTH(AR271)&lt;7,2,MONTH(AR271)&lt;10,3,MONTH(AR271)&gt;9,4)&amp;"Q"&amp;RIGHT(YEAR(AR271),2)</f>
        <v>4Q23</v>
      </c>
      <c r="AR271" s="128">
        <f t="shared" si="137"/>
        <v>45230</v>
      </c>
      <c r="AS271" s="129">
        <f t="shared" si="153"/>
        <v>45208</v>
      </c>
      <c r="AT271" s="135">
        <v>50</v>
      </c>
      <c r="AU271" s="134" cm="1">
        <f t="array" ref="AU271">INDEX($CE$29:$CE$1449,MATCH($AR271,$CA$29:$CA$1449,0),)</f>
        <v>50</v>
      </c>
      <c r="AV271" s="135">
        <v>99</v>
      </c>
      <c r="AW271" s="134" cm="1">
        <f t="array" ref="AW271">INDEX($CF$29:$CF$1449,MATCH($AR271,$CA$29:$CA$1449,0),)</f>
        <v>100</v>
      </c>
      <c r="AX271" s="134"/>
      <c r="AY271" s="134" cm="1">
        <f t="array" ref="AY271">INDEX($CO$29:$CO$1449,MATCH($AR271,$CA$29:$CA$1449,0),)</f>
        <v>79.95</v>
      </c>
      <c r="AZ271" s="135"/>
      <c r="BA271" s="134" cm="1">
        <f t="array" ref="BA271">INDEX($CP$29:$CP$1449,MATCH($AR271,$CA$29:$CA$1449,0),)</f>
        <v>149.65</v>
      </c>
      <c r="BB271" s="133">
        <f t="shared" si="139"/>
        <v>0.0101010101010102</v>
      </c>
      <c r="BC271" s="132">
        <f t="shared" si="141"/>
        <v>0.0204081632653061</v>
      </c>
      <c r="BD271" s="132">
        <f t="shared" si="143"/>
        <v>0.0101010101010102</v>
      </c>
      <c r="BE271" s="133">
        <f t="shared" si="140"/>
        <v>0.010204081632653</v>
      </c>
      <c r="BF271" s="132">
        <f t="shared" si="142"/>
        <v>0.0206185567010309</v>
      </c>
      <c r="BG271" s="132">
        <f t="shared" si="144"/>
        <v>0.0153846153846153</v>
      </c>
      <c r="BH271" s="132"/>
      <c r="BI271" s="132"/>
      <c r="BJ271" s="132"/>
      <c r="BK271" s="132"/>
      <c r="BL271" s="132"/>
      <c r="BM271" s="132"/>
      <c r="BN271" s="132"/>
      <c r="FV271" s="104">
        <f t="shared" si="147"/>
        <v>2011</v>
      </c>
      <c r="FW271" s="104">
        <f t="shared" si="148"/>
        <v>38</v>
      </c>
      <c r="FX271" s="35">
        <v>40801</v>
      </c>
      <c r="FY271" s="26">
        <v>1.11</v>
      </c>
      <c r="FZ271" s="94">
        <f t="shared" si="149"/>
        <v>4.44</v>
      </c>
      <c r="GA271" s="104"/>
      <c r="GB271" s="104"/>
      <c r="GE271" s="94"/>
      <c r="GF271" s="104">
        <f t="shared" si="150"/>
        <v>2013</v>
      </c>
      <c r="GG271" s="104">
        <f t="shared" si="151"/>
        <v>52</v>
      </c>
      <c r="GH271" s="35">
        <v>41631</v>
      </c>
      <c r="GI271" s="26">
        <v>4.097</v>
      </c>
      <c r="GJ271" s="94">
        <f t="shared" si="152"/>
        <v>8.194</v>
      </c>
      <c r="GK271" s="104"/>
      <c r="GL271" s="104"/>
      <c r="GO271" s="94"/>
    </row>
    <row r="272" spans="3:197">
      <c r="C272" s="80" t="str" cm="1">
        <f t="array" ref="C272">_xlfn.IFS(MONTH(D272)&lt;4,1,MONTH(D272)&lt;7,2,MONTH(D272)&lt;10,3,MONTH(D272)&gt;9,4)&amp;"Q"&amp;RIGHT(YEAR(D272),2)</f>
        <v>1Q17</v>
      </c>
      <c r="D272" s="81">
        <f t="shared" si="134"/>
        <v>42794</v>
      </c>
      <c r="E272" s="82">
        <f t="shared" si="131"/>
        <v>42781</v>
      </c>
      <c r="F272" s="83">
        <f t="shared" si="132"/>
        <v>0.865875</v>
      </c>
      <c r="G272" s="83">
        <f t="shared" si="132"/>
        <v>0.72625</v>
      </c>
      <c r="H272" s="81"/>
      <c r="I272" s="84">
        <v>42781</v>
      </c>
      <c r="J272" s="85">
        <v>8.05</v>
      </c>
      <c r="K272" s="85">
        <v>6.2</v>
      </c>
      <c r="L272" s="86">
        <v>6.927</v>
      </c>
      <c r="M272" s="94" cm="1">
        <f t="array" ref="M272">INDEX($BV$29:$BV$1449,MATCH($D272,$BR$29:$BR$1449,0),)</f>
        <v>5.81</v>
      </c>
      <c r="N272" s="88"/>
      <c r="O272" s="88"/>
      <c r="P272" s="88"/>
      <c r="Q272" s="89">
        <f t="shared" si="133"/>
        <v>0.192254733218589</v>
      </c>
      <c r="AH272" s="105">
        <f t="shared" si="145"/>
        <v>44468</v>
      </c>
      <c r="AI272" s="91">
        <f t="shared" si="135"/>
        <v>3.687</v>
      </c>
      <c r="AJ272" s="36">
        <f t="shared" si="136"/>
        <v>-0.00966962127316684</v>
      </c>
      <c r="AK272" s="36">
        <f t="shared" si="138"/>
        <v>-0.01285140562249</v>
      </c>
      <c r="AL272" s="105"/>
      <c r="AM272" s="91"/>
      <c r="AN272" s="36"/>
      <c r="AO272" s="36"/>
      <c r="AP272" s="36"/>
      <c r="AQ272" s="128" t="str" cm="1">
        <f t="array" ref="AQ272">_xlfn.IFS(MONTH(AR272)&lt;4,1,MONTH(AR272)&lt;7,2,MONTH(AR272)&lt;10,3,MONTH(AR272)&gt;9,4)&amp;"Q"&amp;RIGHT(YEAR(AR272),2)</f>
        <v>4Q23</v>
      </c>
      <c r="AR272" s="128">
        <f t="shared" si="137"/>
        <v>45230</v>
      </c>
      <c r="AS272" s="129">
        <f t="shared" si="153"/>
        <v>45215</v>
      </c>
      <c r="AT272" s="135">
        <v>50.5</v>
      </c>
      <c r="AU272" s="134" cm="1">
        <f t="array" ref="AU272">INDEX($CE$29:$CE$1449,MATCH($AR272,$CA$29:$CA$1449,0),)</f>
        <v>50</v>
      </c>
      <c r="AV272" s="135">
        <v>99</v>
      </c>
      <c r="AW272" s="134" cm="1">
        <f t="array" ref="AW272">INDEX($CF$29:$CF$1449,MATCH($AR272,$CA$29:$CA$1449,0),)</f>
        <v>100</v>
      </c>
      <c r="AX272" s="134"/>
      <c r="AY272" s="134" cm="1">
        <f t="array" ref="AY272">INDEX($CO$29:$CO$1449,MATCH($AR272,$CA$29:$CA$1449,0),)</f>
        <v>79.95</v>
      </c>
      <c r="AZ272" s="135"/>
      <c r="BA272" s="134" cm="1">
        <f t="array" ref="BA272">INDEX($CP$29:$CP$1449,MATCH($AR272,$CA$29:$CA$1449,0),)</f>
        <v>149.65</v>
      </c>
      <c r="BB272" s="133">
        <f t="shared" si="139"/>
        <v>0.01</v>
      </c>
      <c r="BC272" s="132">
        <f t="shared" si="141"/>
        <v>0.0202020202020201</v>
      </c>
      <c r="BD272" s="132">
        <f t="shared" si="143"/>
        <v>0.0306122448979591</v>
      </c>
      <c r="BE272" s="133">
        <f t="shared" si="140"/>
        <v>0</v>
      </c>
      <c r="BF272" s="132">
        <f t="shared" si="142"/>
        <v>0.010204081632653</v>
      </c>
      <c r="BG272" s="132">
        <f t="shared" si="144"/>
        <v>0.0206185567010309</v>
      </c>
      <c r="BH272" s="132"/>
      <c r="BI272" s="132"/>
      <c r="BJ272" s="132"/>
      <c r="BK272" s="132"/>
      <c r="BL272" s="132"/>
      <c r="BM272" s="132"/>
      <c r="BN272" s="132"/>
      <c r="FV272" s="104">
        <f t="shared" si="147"/>
        <v>2011</v>
      </c>
      <c r="FW272" s="104">
        <f t="shared" si="148"/>
        <v>38</v>
      </c>
      <c r="FX272" s="35">
        <v>40802</v>
      </c>
      <c r="FY272" s="26">
        <v>1.14</v>
      </c>
      <c r="FZ272" s="94">
        <f t="shared" si="149"/>
        <v>4.56</v>
      </c>
      <c r="GA272" s="104"/>
      <c r="GB272" s="104"/>
      <c r="GE272" s="94"/>
      <c r="GF272" s="104">
        <f t="shared" si="150"/>
        <v>2013</v>
      </c>
      <c r="GG272" s="104">
        <f t="shared" si="151"/>
        <v>52</v>
      </c>
      <c r="GH272" s="35">
        <v>41632</v>
      </c>
      <c r="GI272" s="26">
        <v>4.097</v>
      </c>
      <c r="GJ272" s="94">
        <f t="shared" si="152"/>
        <v>8.194</v>
      </c>
      <c r="GK272" s="104"/>
      <c r="GL272" s="104"/>
      <c r="GO272" s="94"/>
    </row>
    <row r="273" spans="3:197">
      <c r="C273" s="80" t="str" cm="1">
        <f t="array" ref="C273">_xlfn.IFS(MONTH(D273)&lt;4,1,MONTH(D273)&lt;7,2,MONTH(D273)&lt;10,3,MONTH(D273)&gt;9,4)&amp;"Q"&amp;RIGHT(YEAR(D273),2)</f>
        <v>1Q17</v>
      </c>
      <c r="D273" s="81">
        <f t="shared" si="134"/>
        <v>42794</v>
      </c>
      <c r="E273" s="82">
        <f t="shared" si="131"/>
        <v>42782</v>
      </c>
      <c r="F273" s="83">
        <f t="shared" si="132"/>
        <v>0.865875</v>
      </c>
      <c r="G273" s="83">
        <f t="shared" si="132"/>
        <v>0.72625</v>
      </c>
      <c r="H273" s="81"/>
      <c r="I273" s="84">
        <v>42782</v>
      </c>
      <c r="J273" s="85">
        <v>8.06</v>
      </c>
      <c r="K273" s="85">
        <v>6.18</v>
      </c>
      <c r="L273" s="86">
        <v>6.927</v>
      </c>
      <c r="M273" s="94" cm="1">
        <f t="array" ref="M273">INDEX($BV$29:$BV$1449,MATCH($D273,$BR$29:$BR$1449,0),)</f>
        <v>5.81</v>
      </c>
      <c r="N273" s="88"/>
      <c r="O273" s="88"/>
      <c r="P273" s="88"/>
      <c r="Q273" s="89">
        <f t="shared" si="133"/>
        <v>0.192254733218589</v>
      </c>
      <c r="AH273" s="105">
        <f t="shared" si="145"/>
        <v>44476</v>
      </c>
      <c r="AI273" s="91">
        <f t="shared" si="135"/>
        <v>3.636</v>
      </c>
      <c r="AJ273" s="36">
        <f t="shared" si="136"/>
        <v>-0.0138323840520748</v>
      </c>
      <c r="AK273" s="36">
        <f t="shared" si="138"/>
        <v>-0.0233682514101531</v>
      </c>
      <c r="AL273" s="105"/>
      <c r="AM273" s="91"/>
      <c r="AN273" s="36"/>
      <c r="AO273" s="36"/>
      <c r="AP273" s="36"/>
      <c r="AQ273" s="128" t="str" cm="1">
        <f t="array" ref="AQ273">_xlfn.IFS(MONTH(AR273)&lt;4,1,MONTH(AR273)&lt;7,2,MONTH(AR273)&lt;10,3,MONTH(AR273)&gt;9,4)&amp;"Q"&amp;RIGHT(YEAR(AR273),2)</f>
        <v>4Q23</v>
      </c>
      <c r="AR273" s="128">
        <f t="shared" si="137"/>
        <v>45230</v>
      </c>
      <c r="AS273" s="129">
        <f t="shared" si="153"/>
        <v>45222</v>
      </c>
      <c r="AT273" s="135">
        <v>49.5</v>
      </c>
      <c r="AU273" s="134" cm="1">
        <f t="array" ref="AU273">INDEX($CE$29:$CE$1449,MATCH($AR273,$CA$29:$CA$1449,0),)</f>
        <v>50</v>
      </c>
      <c r="AV273" s="135">
        <v>98</v>
      </c>
      <c r="AW273" s="134" cm="1">
        <f t="array" ref="AW273">INDEX($CF$29:$CF$1449,MATCH($AR273,$CA$29:$CA$1449,0),)</f>
        <v>100</v>
      </c>
      <c r="AX273" s="134"/>
      <c r="AY273" s="134" cm="1">
        <f t="array" ref="AY273">INDEX($CO$29:$CO$1449,MATCH($AR273,$CA$29:$CA$1449,0),)</f>
        <v>79.95</v>
      </c>
      <c r="AZ273" s="135"/>
      <c r="BA273" s="134" cm="1">
        <f t="array" ref="BA273">INDEX($CP$29:$CP$1449,MATCH($AR273,$CA$29:$CA$1449,0),)</f>
        <v>149.65</v>
      </c>
      <c r="BB273" s="133">
        <f t="shared" si="139"/>
        <v>-0.0198019801980198</v>
      </c>
      <c r="BC273" s="132">
        <f t="shared" si="141"/>
        <v>-0.01</v>
      </c>
      <c r="BD273" s="132">
        <f t="shared" si="143"/>
        <v>0</v>
      </c>
      <c r="BE273" s="133">
        <f t="shared" si="140"/>
        <v>-0.0101010101010101</v>
      </c>
      <c r="BF273" s="132">
        <f t="shared" si="142"/>
        <v>-0.0101010101010101</v>
      </c>
      <c r="BG273" s="132">
        <f t="shared" si="144"/>
        <v>0</v>
      </c>
      <c r="BH273" s="132"/>
      <c r="BI273" s="132"/>
      <c r="BJ273" s="132"/>
      <c r="BK273" s="132"/>
      <c r="BL273" s="132"/>
      <c r="BM273" s="132"/>
      <c r="BN273" s="132"/>
      <c r="FV273" s="104">
        <f t="shared" si="147"/>
        <v>2011</v>
      </c>
      <c r="FW273" s="104">
        <f t="shared" si="148"/>
        <v>39</v>
      </c>
      <c r="FX273" s="35">
        <v>40805</v>
      </c>
      <c r="FY273" s="26">
        <v>1.17</v>
      </c>
      <c r="FZ273" s="94">
        <f t="shared" si="149"/>
        <v>4.68</v>
      </c>
      <c r="GA273" s="104"/>
      <c r="GB273" s="104"/>
      <c r="GE273" s="94"/>
      <c r="GF273" s="104">
        <f t="shared" si="150"/>
        <v>2013</v>
      </c>
      <c r="GG273" s="104">
        <f t="shared" si="151"/>
        <v>52</v>
      </c>
      <c r="GH273" s="35">
        <v>41633</v>
      </c>
      <c r="GI273" s="26">
        <v>4.097</v>
      </c>
      <c r="GJ273" s="94">
        <f t="shared" si="152"/>
        <v>8.194</v>
      </c>
      <c r="GK273" s="104"/>
      <c r="GL273" s="104"/>
      <c r="GO273" s="94"/>
    </row>
    <row r="274" spans="3:197">
      <c r="C274" s="80" t="str" cm="1">
        <f t="array" ref="C274">_xlfn.IFS(MONTH(D274)&lt;4,1,MONTH(D274)&lt;7,2,MONTH(D274)&lt;10,3,MONTH(D274)&gt;9,4)&amp;"Q"&amp;RIGHT(YEAR(D274),2)</f>
        <v>1Q17</v>
      </c>
      <c r="D274" s="81">
        <f t="shared" si="134"/>
        <v>42794</v>
      </c>
      <c r="E274" s="82">
        <f t="shared" si="131"/>
        <v>42783</v>
      </c>
      <c r="F274" s="83">
        <f t="shared" si="132"/>
        <v>0.865875</v>
      </c>
      <c r="G274" s="83">
        <f t="shared" si="132"/>
        <v>0.72625</v>
      </c>
      <c r="H274" s="81"/>
      <c r="I274" s="84">
        <v>42783</v>
      </c>
      <c r="J274" s="85">
        <v>8.06</v>
      </c>
      <c r="K274" s="85">
        <v>6.18</v>
      </c>
      <c r="L274" s="86">
        <v>6.927</v>
      </c>
      <c r="M274" s="94" cm="1">
        <f t="array" ref="M274">INDEX($BV$29:$BV$1449,MATCH($D274,$BR$29:$BR$1449,0),)</f>
        <v>5.81</v>
      </c>
      <c r="N274" s="88"/>
      <c r="O274" s="88"/>
      <c r="P274" s="88"/>
      <c r="Q274" s="89">
        <f t="shared" si="133"/>
        <v>0.192254733218589</v>
      </c>
      <c r="AH274" s="105">
        <f t="shared" si="145"/>
        <v>44484</v>
      </c>
      <c r="AI274" s="91">
        <f t="shared" si="135"/>
        <v>3.546</v>
      </c>
      <c r="AJ274" s="36">
        <f t="shared" si="136"/>
        <v>-0.0247524752475249</v>
      </c>
      <c r="AK274" s="36">
        <f t="shared" si="138"/>
        <v>-0.0382424735557364</v>
      </c>
      <c r="AL274" s="105"/>
      <c r="AM274" s="91"/>
      <c r="AN274" s="36"/>
      <c r="AO274" s="36"/>
      <c r="AP274" s="36"/>
      <c r="AQ274" s="128" t="str" cm="1">
        <f t="array" ref="AQ274">_xlfn.IFS(MONTH(AR274)&lt;4,1,MONTH(AR274)&lt;7,2,MONTH(AR274)&lt;10,3,MONTH(AR274)&gt;9,4)&amp;"Q"&amp;RIGHT(YEAR(AR274),2)</f>
        <v>4Q23</v>
      </c>
      <c r="AR274" s="128">
        <f t="shared" si="137"/>
        <v>45230</v>
      </c>
      <c r="AS274" s="129">
        <f t="shared" si="153"/>
        <v>45229</v>
      </c>
      <c r="AT274" s="135">
        <v>50.5</v>
      </c>
      <c r="AU274" s="134" cm="1">
        <f t="array" ref="AU274">INDEX($CE$29:$CE$1449,MATCH($AR274,$CA$29:$CA$1449,0),)</f>
        <v>50</v>
      </c>
      <c r="AV274" s="135">
        <v>98.5</v>
      </c>
      <c r="AW274" s="134" cm="1">
        <f t="array" ref="AW274">INDEX($CF$29:$CF$1449,MATCH($AR274,$CA$29:$CA$1449,0),)</f>
        <v>100</v>
      </c>
      <c r="AX274" s="134"/>
      <c r="AY274" s="134" cm="1">
        <f t="array" ref="AY274">INDEX($CO$29:$CO$1449,MATCH($AR274,$CA$29:$CA$1449,0),)</f>
        <v>79.95</v>
      </c>
      <c r="AZ274" s="135"/>
      <c r="BA274" s="134" cm="1">
        <f t="array" ref="BA274">INDEX($CP$29:$CP$1449,MATCH($AR274,$CA$29:$CA$1449,0),)</f>
        <v>149.65</v>
      </c>
      <c r="BB274" s="133">
        <f t="shared" si="139"/>
        <v>0.0202020202020201</v>
      </c>
      <c r="BC274" s="132">
        <f t="shared" si="141"/>
        <v>0</v>
      </c>
      <c r="BD274" s="132">
        <f t="shared" si="143"/>
        <v>0.01</v>
      </c>
      <c r="BE274" s="133">
        <f t="shared" si="140"/>
        <v>0.00510204081632648</v>
      </c>
      <c r="BF274" s="132">
        <f t="shared" si="142"/>
        <v>-0.00505050505050508</v>
      </c>
      <c r="BG274" s="132">
        <f t="shared" si="144"/>
        <v>-0.00505050505050508</v>
      </c>
      <c r="BH274" s="132"/>
      <c r="BI274" s="132"/>
      <c r="BJ274" s="132"/>
      <c r="BK274" s="132"/>
      <c r="BL274" s="132"/>
      <c r="BM274" s="132"/>
      <c r="BN274" s="132"/>
      <c r="FV274" s="104">
        <f t="shared" si="147"/>
        <v>2011</v>
      </c>
      <c r="FW274" s="104">
        <f t="shared" si="148"/>
        <v>39</v>
      </c>
      <c r="FX274" s="35">
        <v>40806</v>
      </c>
      <c r="FY274" s="26">
        <v>1.19</v>
      </c>
      <c r="FZ274" s="94">
        <f t="shared" si="149"/>
        <v>4.76</v>
      </c>
      <c r="GA274" s="104"/>
      <c r="GB274" s="104"/>
      <c r="GE274" s="94"/>
      <c r="GF274" s="104">
        <f t="shared" si="150"/>
        <v>2013</v>
      </c>
      <c r="GG274" s="104">
        <f t="shared" si="151"/>
        <v>52</v>
      </c>
      <c r="GH274" s="35">
        <v>41634</v>
      </c>
      <c r="GI274" s="26">
        <v>4.1</v>
      </c>
      <c r="GJ274" s="94">
        <f t="shared" si="152"/>
        <v>8.2</v>
      </c>
      <c r="GK274" s="104"/>
      <c r="GL274" s="104"/>
      <c r="GO274" s="94"/>
    </row>
    <row r="275" spans="3:197">
      <c r="C275" s="80" t="str" cm="1">
        <f t="array" ref="C275">_xlfn.IFS(MONTH(D275)&lt;4,1,MONTH(D275)&lt;7,2,MONTH(D275)&lt;10,3,MONTH(D275)&gt;9,4)&amp;"Q"&amp;RIGHT(YEAR(D275),2)</f>
        <v>1Q17</v>
      </c>
      <c r="D275" s="81">
        <f t="shared" si="134"/>
        <v>42794</v>
      </c>
      <c r="E275" s="82">
        <f t="shared" si="131"/>
        <v>42786</v>
      </c>
      <c r="F275" s="83">
        <f t="shared" si="132"/>
        <v>0.865875</v>
      </c>
      <c r="G275" s="83">
        <f t="shared" si="132"/>
        <v>0.72625</v>
      </c>
      <c r="H275" s="81"/>
      <c r="I275" s="84">
        <v>42786</v>
      </c>
      <c r="J275" s="85">
        <v>8.06</v>
      </c>
      <c r="K275" s="85">
        <v>6.15</v>
      </c>
      <c r="L275" s="86">
        <v>6.927</v>
      </c>
      <c r="M275" s="94" cm="1">
        <f t="array" ref="M275">INDEX($BV$29:$BV$1449,MATCH($D275,$BR$29:$BR$1449,0),)</f>
        <v>5.81</v>
      </c>
      <c r="N275" s="88"/>
      <c r="O275" s="88"/>
      <c r="P275" s="88"/>
      <c r="Q275" s="89">
        <f t="shared" si="133"/>
        <v>0.192254733218589</v>
      </c>
      <c r="AH275" s="105">
        <f t="shared" si="145"/>
        <v>44494</v>
      </c>
      <c r="AI275" s="91">
        <f t="shared" si="135"/>
        <v>3.465</v>
      </c>
      <c r="AJ275" s="36">
        <f t="shared" si="136"/>
        <v>-0.0228426395939086</v>
      </c>
      <c r="AK275" s="36">
        <f t="shared" si="138"/>
        <v>-0.0470297029702971</v>
      </c>
      <c r="AL275" s="105"/>
      <c r="AM275" s="91"/>
      <c r="AN275" s="36"/>
      <c r="AO275" s="36"/>
      <c r="AP275" s="36"/>
      <c r="AQ275" s="128" t="str" cm="1">
        <f t="array" ref="AQ275">_xlfn.IFS(MONTH(AR275)&lt;4,1,MONTH(AR275)&lt;7,2,MONTH(AR275)&lt;10,3,MONTH(AR275)&gt;9,4)&amp;"Q"&amp;RIGHT(YEAR(AR275),2)</f>
        <v>4Q23</v>
      </c>
      <c r="AR275" s="128">
        <f t="shared" si="137"/>
        <v>45260</v>
      </c>
      <c r="AS275" s="129">
        <f t="shared" si="153"/>
        <v>45236</v>
      </c>
      <c r="AT275" s="135">
        <v>50.5</v>
      </c>
      <c r="AU275" s="134" cm="1">
        <f t="array" ref="AU275">INDEX($CE$29:$CE$1449,MATCH($AR275,$CA$29:$CA$1449,0),)</f>
        <v>51</v>
      </c>
      <c r="AV275" s="135">
        <v>100</v>
      </c>
      <c r="AW275" s="134" cm="1">
        <f t="array" ref="AW275">INDEX($CF$29:$CF$1449,MATCH($AR275,$CA$29:$CA$1449,0),)</f>
        <v>103</v>
      </c>
      <c r="AX275" s="134"/>
      <c r="AY275" s="134" cm="1">
        <f t="array" ref="AY275">INDEX($CO$29:$CO$1449,MATCH($AR275,$CA$29:$CA$1449,0),)</f>
        <v>81.49</v>
      </c>
      <c r="AZ275" s="135"/>
      <c r="BA275" s="134" cm="1">
        <f t="array" ref="BA275">INDEX($CP$29:$CP$1449,MATCH($AR275,$CA$29:$CA$1449,0),)</f>
        <v>151.7</v>
      </c>
      <c r="BB275" s="133">
        <f t="shared" si="139"/>
        <v>0</v>
      </c>
      <c r="BC275" s="132">
        <f t="shared" si="141"/>
        <v>0.0202020202020201</v>
      </c>
      <c r="BD275" s="132">
        <f t="shared" si="143"/>
        <v>0</v>
      </c>
      <c r="BE275" s="133">
        <f t="shared" si="140"/>
        <v>0.015228426395939</v>
      </c>
      <c r="BF275" s="132">
        <f t="shared" si="142"/>
        <v>0.0204081632653061</v>
      </c>
      <c r="BG275" s="132">
        <f t="shared" si="144"/>
        <v>0.0101010101010102</v>
      </c>
      <c r="BH275" s="132"/>
      <c r="BI275" s="132"/>
      <c r="BJ275" s="132"/>
      <c r="BK275" s="132"/>
      <c r="BL275" s="132"/>
      <c r="BM275" s="132"/>
      <c r="BN275" s="132"/>
      <c r="FV275" s="104">
        <f t="shared" si="147"/>
        <v>2011</v>
      </c>
      <c r="FW275" s="104">
        <f t="shared" si="148"/>
        <v>39</v>
      </c>
      <c r="FX275" s="35">
        <v>40807</v>
      </c>
      <c r="FY275" s="26">
        <v>1.2</v>
      </c>
      <c r="FZ275" s="94">
        <f t="shared" si="149"/>
        <v>4.8</v>
      </c>
      <c r="GA275" s="104"/>
      <c r="GB275" s="104"/>
      <c r="GE275" s="94"/>
      <c r="GF275" s="104">
        <f t="shared" si="150"/>
        <v>2013</v>
      </c>
      <c r="GG275" s="104">
        <f t="shared" si="151"/>
        <v>52</v>
      </c>
      <c r="GH275" s="35">
        <v>41635</v>
      </c>
      <c r="GI275" s="26">
        <v>4.117</v>
      </c>
      <c r="GJ275" s="94">
        <f t="shared" si="152"/>
        <v>8.234</v>
      </c>
      <c r="GK275" s="104"/>
      <c r="GL275" s="104"/>
      <c r="GO275" s="94"/>
    </row>
    <row r="276" spans="3:197">
      <c r="C276" s="80" t="str" cm="1">
        <f t="array" ref="C276">_xlfn.IFS(MONTH(D276)&lt;4,1,MONTH(D276)&lt;7,2,MONTH(D276)&lt;10,3,MONTH(D276)&gt;9,4)&amp;"Q"&amp;RIGHT(YEAR(D276),2)</f>
        <v>1Q17</v>
      </c>
      <c r="D276" s="81">
        <f t="shared" si="134"/>
        <v>42794</v>
      </c>
      <c r="E276" s="82">
        <f t="shared" si="131"/>
        <v>42787</v>
      </c>
      <c r="F276" s="83">
        <f t="shared" si="132"/>
        <v>0.865875</v>
      </c>
      <c r="G276" s="83">
        <f t="shared" si="132"/>
        <v>0.72625</v>
      </c>
      <c r="H276" s="81"/>
      <c r="I276" s="84">
        <v>42787</v>
      </c>
      <c r="J276" s="85">
        <v>8</v>
      </c>
      <c r="K276" s="85">
        <v>6.15</v>
      </c>
      <c r="L276" s="86">
        <v>6.927</v>
      </c>
      <c r="M276" s="94" cm="1">
        <f t="array" ref="M276">INDEX($BV$29:$BV$1449,MATCH($D276,$BR$29:$BR$1449,0),)</f>
        <v>5.81</v>
      </c>
      <c r="N276" s="88"/>
      <c r="O276" s="88"/>
      <c r="P276" s="88"/>
      <c r="Q276" s="89">
        <f t="shared" si="133"/>
        <v>0.192254733218589</v>
      </c>
      <c r="AH276" s="105">
        <f t="shared" si="145"/>
        <v>44502</v>
      </c>
      <c r="AI276" s="91">
        <f t="shared" si="135"/>
        <v>3.302</v>
      </c>
      <c r="AJ276" s="36">
        <f t="shared" si="136"/>
        <v>-0.047041847041847</v>
      </c>
      <c r="AK276" s="36">
        <f t="shared" si="138"/>
        <v>-0.0688099266779469</v>
      </c>
      <c r="AL276" s="105"/>
      <c r="AM276" s="91"/>
      <c r="AN276" s="36"/>
      <c r="AO276" s="36"/>
      <c r="AP276" s="36"/>
      <c r="AQ276" s="128" t="str" cm="1">
        <f t="array" ref="AQ276">_xlfn.IFS(MONTH(AR276)&lt;4,1,MONTH(AR276)&lt;7,2,MONTH(AR276)&lt;10,3,MONTH(AR276)&gt;9,4)&amp;"Q"&amp;RIGHT(YEAR(AR276),2)</f>
        <v>4Q23</v>
      </c>
      <c r="AR276" s="128">
        <f t="shared" si="137"/>
        <v>45260</v>
      </c>
      <c r="AS276" s="129">
        <f t="shared" si="153"/>
        <v>45243</v>
      </c>
      <c r="AT276" s="135">
        <v>53.5</v>
      </c>
      <c r="AU276" s="134" cm="1">
        <f t="array" ref="AU276">INDEX($CE$29:$CE$1449,MATCH($AR276,$CA$29:$CA$1449,0),)</f>
        <v>51</v>
      </c>
      <c r="AV276" s="135">
        <v>101.5</v>
      </c>
      <c r="AW276" s="134" cm="1">
        <f t="array" ref="AW276">INDEX($CF$29:$CF$1449,MATCH($AR276,$CA$29:$CA$1449,0),)</f>
        <v>103</v>
      </c>
      <c r="AX276" s="134"/>
      <c r="AY276" s="134" cm="1">
        <f t="array" ref="AY276">INDEX($CO$29:$CO$1449,MATCH($AR276,$CA$29:$CA$1449,0),)</f>
        <v>81.49</v>
      </c>
      <c r="AZ276" s="135"/>
      <c r="BA276" s="134" cm="1">
        <f t="array" ref="BA276">INDEX($CP$29:$CP$1449,MATCH($AR276,$CA$29:$CA$1449,0),)</f>
        <v>151.7</v>
      </c>
      <c r="BB276" s="133">
        <f t="shared" si="139"/>
        <v>0.0594059405940595</v>
      </c>
      <c r="BC276" s="132">
        <f t="shared" si="141"/>
        <v>0.0594059405940595</v>
      </c>
      <c r="BD276" s="132">
        <f t="shared" si="143"/>
        <v>0.0808080808080809</v>
      </c>
      <c r="BE276" s="133">
        <f t="shared" si="140"/>
        <v>0.0149999999999999</v>
      </c>
      <c r="BF276" s="132">
        <f t="shared" si="142"/>
        <v>0.0304568527918783</v>
      </c>
      <c r="BG276" s="132">
        <f t="shared" si="144"/>
        <v>0.0357142857142858</v>
      </c>
      <c r="BH276" s="132"/>
      <c r="BI276" s="132"/>
      <c r="BJ276" s="132"/>
      <c r="BK276" s="132"/>
      <c r="BL276" s="132"/>
      <c r="BM276" s="132"/>
      <c r="BN276" s="132"/>
      <c r="FV276" s="104">
        <f t="shared" si="147"/>
        <v>2011</v>
      </c>
      <c r="FW276" s="104">
        <f t="shared" si="148"/>
        <v>39</v>
      </c>
      <c r="FX276" s="35">
        <v>40808</v>
      </c>
      <c r="FY276" s="26">
        <v>1.19</v>
      </c>
      <c r="FZ276" s="94">
        <f t="shared" si="149"/>
        <v>4.76</v>
      </c>
      <c r="GA276" s="104"/>
      <c r="GB276" s="104"/>
      <c r="GE276" s="94"/>
      <c r="GF276" s="104">
        <f t="shared" si="150"/>
        <v>2013</v>
      </c>
      <c r="GG276" s="104">
        <f t="shared" si="151"/>
        <v>53</v>
      </c>
      <c r="GH276" s="35">
        <v>41638</v>
      </c>
      <c r="GI276" s="26">
        <v>4.117</v>
      </c>
      <c r="GJ276" s="94">
        <f t="shared" si="152"/>
        <v>8.234</v>
      </c>
      <c r="GK276" s="104"/>
      <c r="GL276" s="104"/>
      <c r="GO276" s="94"/>
    </row>
    <row r="277" spans="3:197">
      <c r="C277" s="80" t="str" cm="1">
        <f t="array" ref="C277">_xlfn.IFS(MONTH(D277)&lt;4,1,MONTH(D277)&lt;7,2,MONTH(D277)&lt;10,3,MONTH(D277)&gt;9,4)&amp;"Q"&amp;RIGHT(YEAR(D277),2)</f>
        <v>1Q17</v>
      </c>
      <c r="D277" s="81">
        <f t="shared" si="134"/>
        <v>42794</v>
      </c>
      <c r="E277" s="82">
        <f t="shared" si="131"/>
        <v>42788</v>
      </c>
      <c r="F277" s="83">
        <f t="shared" si="132"/>
        <v>0.8615</v>
      </c>
      <c r="G277" s="83">
        <f t="shared" si="132"/>
        <v>0.72625</v>
      </c>
      <c r="H277" s="81"/>
      <c r="I277" s="84">
        <v>42788</v>
      </c>
      <c r="J277" s="85">
        <v>8</v>
      </c>
      <c r="K277" s="85">
        <v>6.18</v>
      </c>
      <c r="L277" s="86">
        <v>6.892</v>
      </c>
      <c r="M277" s="94" cm="1">
        <f t="array" ref="M277">INDEX($BV$29:$BV$1449,MATCH($D277,$BR$29:$BR$1449,0),)</f>
        <v>5.81</v>
      </c>
      <c r="N277" s="88"/>
      <c r="O277" s="88"/>
      <c r="P277" s="88"/>
      <c r="Q277" s="89">
        <f t="shared" si="133"/>
        <v>0.186230636833047</v>
      </c>
      <c r="AH277" s="105">
        <f t="shared" si="145"/>
        <v>44510</v>
      </c>
      <c r="AI277" s="91">
        <f t="shared" si="135"/>
        <v>3.222</v>
      </c>
      <c r="AJ277" s="36">
        <f t="shared" si="136"/>
        <v>-0.0242277407631739</v>
      </c>
      <c r="AK277" s="36">
        <f t="shared" si="138"/>
        <v>-0.0701298701298702</v>
      </c>
      <c r="AL277" s="105"/>
      <c r="AM277" s="91"/>
      <c r="AN277" s="36"/>
      <c r="AO277" s="36"/>
      <c r="AP277" s="36"/>
      <c r="AQ277" s="128" t="str" cm="1">
        <f t="array" ref="AQ277">_xlfn.IFS(MONTH(AR277)&lt;4,1,MONTH(AR277)&lt;7,2,MONTH(AR277)&lt;10,3,MONTH(AR277)&gt;9,4)&amp;"Q"&amp;RIGHT(YEAR(AR277),2)</f>
        <v>4Q23</v>
      </c>
      <c r="AR277" s="128">
        <f t="shared" si="137"/>
        <v>45260</v>
      </c>
      <c r="AS277" s="129">
        <f t="shared" si="153"/>
        <v>45250</v>
      </c>
      <c r="AT277" s="135">
        <v>55</v>
      </c>
      <c r="AU277" s="134" cm="1">
        <f t="array" ref="AU277">INDEX($CE$29:$CE$1449,MATCH($AR277,$CA$29:$CA$1449,0),)</f>
        <v>51</v>
      </c>
      <c r="AV277" s="135">
        <v>104.5</v>
      </c>
      <c r="AW277" s="134" cm="1">
        <f t="array" ref="AW277">INDEX($CF$29:$CF$1449,MATCH($AR277,$CA$29:$CA$1449,0),)</f>
        <v>103</v>
      </c>
      <c r="AX277" s="134"/>
      <c r="AY277" s="134" cm="1">
        <f t="array" ref="AY277">INDEX($CO$29:$CO$1449,MATCH($AR277,$CA$29:$CA$1449,0),)</f>
        <v>81.49</v>
      </c>
      <c r="AZ277" s="135"/>
      <c r="BA277" s="134" cm="1">
        <f t="array" ref="BA277">INDEX($CP$29:$CP$1449,MATCH($AR277,$CA$29:$CA$1449,0),)</f>
        <v>151.7</v>
      </c>
      <c r="BB277" s="133">
        <f t="shared" si="139"/>
        <v>0.02803738317757</v>
      </c>
      <c r="BC277" s="132">
        <f t="shared" si="141"/>
        <v>0.0891089108910892</v>
      </c>
      <c r="BD277" s="132">
        <f t="shared" si="143"/>
        <v>0.0891089108910892</v>
      </c>
      <c r="BE277" s="133">
        <f t="shared" si="140"/>
        <v>0.0295566502463054</v>
      </c>
      <c r="BF277" s="132">
        <f t="shared" si="142"/>
        <v>0.0449999999999999</v>
      </c>
      <c r="BG277" s="132">
        <f t="shared" si="144"/>
        <v>0.0609137055837563</v>
      </c>
      <c r="BH277" s="132"/>
      <c r="BI277" s="132"/>
      <c r="BJ277" s="132"/>
      <c r="BK277" s="132"/>
      <c r="BL277" s="132"/>
      <c r="BM277" s="132"/>
      <c r="BN277" s="132"/>
      <c r="FV277" s="104">
        <f t="shared" si="147"/>
        <v>2011</v>
      </c>
      <c r="FW277" s="104">
        <f t="shared" si="148"/>
        <v>39</v>
      </c>
      <c r="FX277" s="35">
        <v>40809</v>
      </c>
      <c r="FY277" s="26">
        <v>1.18</v>
      </c>
      <c r="FZ277" s="94">
        <f t="shared" si="149"/>
        <v>4.72</v>
      </c>
      <c r="GA277" s="104"/>
      <c r="GB277" s="104"/>
      <c r="GE277" s="94"/>
      <c r="GF277" s="104">
        <f t="shared" si="150"/>
        <v>2013</v>
      </c>
      <c r="GG277" s="104">
        <f t="shared" si="151"/>
        <v>53</v>
      </c>
      <c r="GH277" s="35">
        <v>41639</v>
      </c>
      <c r="GI277" s="26">
        <v>4.113</v>
      </c>
      <c r="GJ277" s="94">
        <f t="shared" si="152"/>
        <v>8.226</v>
      </c>
      <c r="GK277" s="104"/>
      <c r="GL277" s="104"/>
      <c r="GO277" s="94"/>
    </row>
    <row r="278" spans="3:197">
      <c r="C278" s="80" t="str" cm="1">
        <f t="array" ref="C278">_xlfn.IFS(MONTH(D278)&lt;4,1,MONTH(D278)&lt;7,2,MONTH(D278)&lt;10,3,MONTH(D278)&gt;9,4)&amp;"Q"&amp;RIGHT(YEAR(D278),2)</f>
        <v>1Q17</v>
      </c>
      <c r="D278" s="81">
        <f t="shared" si="134"/>
        <v>42794</v>
      </c>
      <c r="E278" s="82">
        <f t="shared" si="131"/>
        <v>42789</v>
      </c>
      <c r="F278" s="83">
        <f t="shared" si="132"/>
        <v>0.8615</v>
      </c>
      <c r="G278" s="83">
        <f t="shared" si="132"/>
        <v>0.72625</v>
      </c>
      <c r="H278" s="81"/>
      <c r="I278" s="84">
        <v>42789</v>
      </c>
      <c r="J278" s="85">
        <v>8</v>
      </c>
      <c r="K278" s="85">
        <v>6.18</v>
      </c>
      <c r="L278" s="86">
        <v>6.892</v>
      </c>
      <c r="M278" s="94" cm="1">
        <f t="array" ref="M278">INDEX($BV$29:$BV$1449,MATCH($D278,$BR$29:$BR$1449,0),)</f>
        <v>5.81</v>
      </c>
      <c r="N278" s="88"/>
      <c r="O278" s="88"/>
      <c r="P278" s="88"/>
      <c r="Q278" s="89">
        <f t="shared" si="133"/>
        <v>0.186230636833047</v>
      </c>
      <c r="AH278" s="105">
        <f t="shared" si="145"/>
        <v>44518</v>
      </c>
      <c r="AI278" s="91">
        <f t="shared" si="135"/>
        <v>3.173</v>
      </c>
      <c r="AJ278" s="36">
        <f t="shared" si="136"/>
        <v>-0.0152079453755432</v>
      </c>
      <c r="AK278" s="36">
        <f t="shared" si="138"/>
        <v>-0.0390672319806178</v>
      </c>
      <c r="AL278" s="105"/>
      <c r="AM278" s="91"/>
      <c r="AN278" s="36"/>
      <c r="AO278" s="36"/>
      <c r="AP278" s="36"/>
      <c r="AQ278" s="128" t="str" cm="1">
        <f t="array" ref="AQ278">_xlfn.IFS(MONTH(AR278)&lt;4,1,MONTH(AR278)&lt;7,2,MONTH(AR278)&lt;10,3,MONTH(AR278)&gt;9,4)&amp;"Q"&amp;RIGHT(YEAR(AR278),2)</f>
        <v>4Q23</v>
      </c>
      <c r="AR278" s="128">
        <f t="shared" si="137"/>
        <v>45260</v>
      </c>
      <c r="AS278" s="129">
        <f t="shared" si="153"/>
        <v>45257</v>
      </c>
      <c r="AT278" s="135">
        <v>57</v>
      </c>
      <c r="AU278" s="134" cm="1">
        <f t="array" ref="AU278">INDEX($CE$29:$CE$1449,MATCH($AR278,$CA$29:$CA$1449,0),)</f>
        <v>51</v>
      </c>
      <c r="AV278" s="135">
        <v>108</v>
      </c>
      <c r="AW278" s="134" cm="1">
        <f t="array" ref="AW278">INDEX($CF$29:$CF$1449,MATCH($AR278,$CA$29:$CA$1449,0),)</f>
        <v>103</v>
      </c>
      <c r="AX278" s="134"/>
      <c r="AY278" s="134" cm="1">
        <f t="array" ref="AY278">INDEX($CO$29:$CO$1449,MATCH($AR278,$CA$29:$CA$1449,0),)</f>
        <v>81.49</v>
      </c>
      <c r="AZ278" s="135"/>
      <c r="BA278" s="134" cm="1">
        <f t="array" ref="BA278">INDEX($CP$29:$CP$1449,MATCH($AR278,$CA$29:$CA$1449,0),)</f>
        <v>151.7</v>
      </c>
      <c r="BB278" s="133">
        <f t="shared" si="139"/>
        <v>0.0363636363636364</v>
      </c>
      <c r="BC278" s="132">
        <f t="shared" si="141"/>
        <v>0.0654205607476634</v>
      </c>
      <c r="BD278" s="132">
        <f t="shared" si="143"/>
        <v>0.128712871287129</v>
      </c>
      <c r="BE278" s="133">
        <f t="shared" si="140"/>
        <v>0.0334928229665072</v>
      </c>
      <c r="BF278" s="132">
        <f t="shared" si="142"/>
        <v>0.0640394088669951</v>
      </c>
      <c r="BG278" s="132">
        <f t="shared" si="144"/>
        <v>0.0800000000000001</v>
      </c>
      <c r="BH278" s="132"/>
      <c r="BI278" s="132"/>
      <c r="BJ278" s="132"/>
      <c r="BK278" s="132"/>
      <c r="BL278" s="132"/>
      <c r="BM278" s="132"/>
      <c r="BN278" s="132"/>
      <c r="FV278" s="104">
        <f t="shared" si="147"/>
        <v>2011</v>
      </c>
      <c r="FW278" s="104">
        <f t="shared" si="148"/>
        <v>40</v>
      </c>
      <c r="FX278" s="35">
        <v>40812</v>
      </c>
      <c r="FY278" s="26">
        <v>1.14</v>
      </c>
      <c r="FZ278" s="94">
        <f t="shared" si="149"/>
        <v>4.56</v>
      </c>
      <c r="GA278" s="104"/>
      <c r="GB278" s="104"/>
      <c r="GE278" s="94"/>
      <c r="GF278" s="104">
        <f t="shared" si="150"/>
        <v>2014</v>
      </c>
      <c r="GG278" s="104">
        <f t="shared" si="151"/>
        <v>1</v>
      </c>
      <c r="GH278" s="35">
        <v>41641</v>
      </c>
      <c r="GI278" s="26">
        <v>4.113</v>
      </c>
      <c r="GJ278" s="94">
        <f t="shared" si="152"/>
        <v>8.226</v>
      </c>
      <c r="GK278" s="104"/>
      <c r="GL278" s="104"/>
      <c r="GO278" s="94"/>
    </row>
    <row r="279" spans="3:197">
      <c r="C279" s="80" t="str" cm="1">
        <f t="array" ref="C279">_xlfn.IFS(MONTH(D279)&lt;4,1,MONTH(D279)&lt;7,2,MONTH(D279)&lt;10,3,MONTH(D279)&gt;9,4)&amp;"Q"&amp;RIGHT(YEAR(D279),2)</f>
        <v>1Q17</v>
      </c>
      <c r="D279" s="81">
        <f t="shared" si="134"/>
        <v>42794</v>
      </c>
      <c r="E279" s="82">
        <f t="shared" si="131"/>
        <v>42790</v>
      </c>
      <c r="F279" s="83">
        <f t="shared" si="132"/>
        <v>0.8615</v>
      </c>
      <c r="G279" s="83">
        <f t="shared" si="132"/>
        <v>0.72625</v>
      </c>
      <c r="H279" s="81"/>
      <c r="I279" s="84">
        <v>42790</v>
      </c>
      <c r="J279" s="85">
        <v>8</v>
      </c>
      <c r="K279" s="85">
        <v>6.18</v>
      </c>
      <c r="L279" s="86">
        <v>6.892</v>
      </c>
      <c r="M279" s="94" cm="1">
        <f t="array" ref="M279">INDEX($BV$29:$BV$1449,MATCH($D279,$BR$29:$BR$1449,0),)</f>
        <v>5.81</v>
      </c>
      <c r="N279" s="88"/>
      <c r="O279" s="88"/>
      <c r="P279" s="88"/>
      <c r="Q279" s="89">
        <f t="shared" si="133"/>
        <v>0.186230636833047</v>
      </c>
      <c r="AH279" s="105">
        <f t="shared" si="145"/>
        <v>44526</v>
      </c>
      <c r="AI279" s="91">
        <f t="shared" si="135"/>
        <v>3.217</v>
      </c>
      <c r="AJ279" s="36">
        <f t="shared" si="136"/>
        <v>0.0138670028364325</v>
      </c>
      <c r="AK279" s="36">
        <f t="shared" si="138"/>
        <v>-0.00155183116076962</v>
      </c>
      <c r="AL279" s="105"/>
      <c r="AM279" s="91"/>
      <c r="AN279" s="36"/>
      <c r="AO279" s="36"/>
      <c r="AP279" s="36"/>
      <c r="AQ279" s="128" t="str" cm="1">
        <f t="array" ref="AQ279">_xlfn.IFS(MONTH(AR279)&lt;4,1,MONTH(AR279)&lt;7,2,MONTH(AR279)&lt;10,3,MONTH(AR279)&gt;9,4)&amp;"Q"&amp;RIGHT(YEAR(AR279),2)</f>
        <v>4Q23</v>
      </c>
      <c r="AR279" s="128">
        <f t="shared" si="137"/>
        <v>45291</v>
      </c>
      <c r="AS279" s="129">
        <f t="shared" si="153"/>
        <v>45264</v>
      </c>
      <c r="AT279" s="135">
        <v>57.5</v>
      </c>
      <c r="AU279" s="134" cm="1">
        <f t="array" ref="AU279">INDEX($CE$29:$CE$1449,MATCH($AR279,$CA$29:$CA$1449,0),)</f>
        <v>57</v>
      </c>
      <c r="AV279" s="135">
        <v>109</v>
      </c>
      <c r="AW279" s="134" cm="1">
        <f t="array" ref="AW279">INDEX($CF$29:$CF$1449,MATCH($AR279,$CA$29:$CA$1449,0),)</f>
        <v>113</v>
      </c>
      <c r="AX279" s="134"/>
      <c r="AY279" s="134" cm="1">
        <f t="array" ref="AY279">INDEX($CO$29:$CO$1449,MATCH($AR279,$CA$29:$CA$1449,0),)</f>
        <v>85.075</v>
      </c>
      <c r="AZ279" s="135"/>
      <c r="BA279" s="134" cm="1">
        <f t="array" ref="BA279">INDEX($CP$29:$CP$1449,MATCH($AR279,$CA$29:$CA$1449,0),)</f>
        <v>156.825</v>
      </c>
      <c r="BB279" s="133">
        <f t="shared" si="139"/>
        <v>0.00877192982456143</v>
      </c>
      <c r="BC279" s="132">
        <f t="shared" si="141"/>
        <v>0.0454545454545454</v>
      </c>
      <c r="BD279" s="132">
        <f t="shared" si="143"/>
        <v>0.0747663551401869</v>
      </c>
      <c r="BE279" s="133">
        <f t="shared" si="140"/>
        <v>0.0092592592592593</v>
      </c>
      <c r="BF279" s="132">
        <f t="shared" si="142"/>
        <v>0.0430622009569377</v>
      </c>
      <c r="BG279" s="132">
        <f t="shared" si="144"/>
        <v>0.0738916256157636</v>
      </c>
      <c r="BH279" s="132"/>
      <c r="BI279" s="132"/>
      <c r="BJ279" s="132"/>
      <c r="BK279" s="132"/>
      <c r="BL279" s="132"/>
      <c r="BM279" s="132"/>
      <c r="BN279" s="132"/>
      <c r="FV279" s="104">
        <f t="shared" si="147"/>
        <v>2011</v>
      </c>
      <c r="FW279" s="104">
        <f t="shared" si="148"/>
        <v>40</v>
      </c>
      <c r="FX279" s="35">
        <v>40813</v>
      </c>
      <c r="FY279" s="26">
        <v>1.11</v>
      </c>
      <c r="FZ279" s="94">
        <f t="shared" si="149"/>
        <v>4.44</v>
      </c>
      <c r="GA279" s="104"/>
      <c r="GB279" s="104"/>
      <c r="GE279" s="94"/>
      <c r="GF279" s="104">
        <f t="shared" si="150"/>
        <v>2014</v>
      </c>
      <c r="GG279" s="104">
        <f t="shared" si="151"/>
        <v>1</v>
      </c>
      <c r="GH279" s="35">
        <v>41642</v>
      </c>
      <c r="GI279" s="26">
        <v>4.176</v>
      </c>
      <c r="GJ279" s="94">
        <f t="shared" si="152"/>
        <v>8.352</v>
      </c>
      <c r="GK279" s="104"/>
      <c r="GL279" s="104"/>
      <c r="GO279" s="94"/>
    </row>
    <row r="280" spans="3:197">
      <c r="C280" s="80" t="str" cm="1">
        <f t="array" ref="C280">_xlfn.IFS(MONTH(D280)&lt;4,1,MONTH(D280)&lt;7,2,MONTH(D280)&lt;10,3,MONTH(D280)&gt;9,4)&amp;"Q"&amp;RIGHT(YEAR(D280),2)</f>
        <v>1Q17</v>
      </c>
      <c r="D280" s="81">
        <f t="shared" si="134"/>
        <v>42794</v>
      </c>
      <c r="E280" s="82">
        <f t="shared" si="131"/>
        <v>42793</v>
      </c>
      <c r="F280" s="83">
        <f t="shared" si="132"/>
        <v>0.856125</v>
      </c>
      <c r="G280" s="83">
        <f t="shared" si="132"/>
        <v>0.72625</v>
      </c>
      <c r="H280" s="81"/>
      <c r="I280" s="136">
        <v>42793</v>
      </c>
      <c r="J280" s="137">
        <v>8</v>
      </c>
      <c r="K280" s="137">
        <v>6.18</v>
      </c>
      <c r="L280" s="138">
        <v>6.849</v>
      </c>
      <c r="M280" s="94" cm="1">
        <f t="array" ref="M280">INDEX($BV$29:$BV$1449,MATCH($D280,$BR$29:$BR$1449,0),)</f>
        <v>5.81</v>
      </c>
      <c r="N280" s="88"/>
      <c r="O280" s="88"/>
      <c r="P280" s="88"/>
      <c r="Q280" s="89">
        <f t="shared" si="133"/>
        <v>0.178829604130809</v>
      </c>
      <c r="AH280" s="105">
        <f t="shared" si="145"/>
        <v>44536</v>
      </c>
      <c r="AI280" s="91">
        <f t="shared" si="135"/>
        <v>3.326</v>
      </c>
      <c r="AJ280" s="36">
        <f t="shared" si="136"/>
        <v>0.0338824992228786</v>
      </c>
      <c r="AK280" s="36">
        <f t="shared" si="138"/>
        <v>0.04821935077214</v>
      </c>
      <c r="AL280" s="105"/>
      <c r="AM280" s="91"/>
      <c r="AN280" s="36"/>
      <c r="AO280" s="36"/>
      <c r="AP280" s="36"/>
      <c r="AQ280" s="128" t="str" cm="1">
        <f t="array" ref="AQ280">_xlfn.IFS(MONTH(AR280)&lt;4,1,MONTH(AR280)&lt;7,2,MONTH(AR280)&lt;10,3,MONTH(AR280)&gt;9,4)&amp;"Q"&amp;RIGHT(YEAR(AR280),2)</f>
        <v>4Q23</v>
      </c>
      <c r="AR280" s="128">
        <f t="shared" si="137"/>
        <v>45291</v>
      </c>
      <c r="AS280" s="129">
        <f t="shared" si="153"/>
        <v>45271</v>
      </c>
      <c r="AT280" s="135">
        <v>61</v>
      </c>
      <c r="AU280" s="134" cm="1">
        <f t="array" ref="AU280">INDEX($CE$29:$CE$1449,MATCH($AR280,$CA$29:$CA$1449,0),)</f>
        <v>57</v>
      </c>
      <c r="AV280" s="135">
        <v>110</v>
      </c>
      <c r="AW280" s="134" cm="1">
        <f t="array" ref="AW280">INDEX($CF$29:$CF$1449,MATCH($AR280,$CA$29:$CA$1449,0),)</f>
        <v>113</v>
      </c>
      <c r="AX280" s="134"/>
      <c r="AY280" s="134" cm="1">
        <f t="array" ref="AY280">INDEX($CO$29:$CO$1449,MATCH($AR280,$CA$29:$CA$1449,0),)</f>
        <v>85.075</v>
      </c>
      <c r="AZ280" s="135"/>
      <c r="BA280" s="134" cm="1">
        <f t="array" ref="BA280">INDEX($CP$29:$CP$1449,MATCH($AR280,$CA$29:$CA$1449,0),)</f>
        <v>156.825</v>
      </c>
      <c r="BB280" s="133">
        <f t="shared" si="139"/>
        <v>0.0608695652173914</v>
      </c>
      <c r="BC280" s="132">
        <f t="shared" si="141"/>
        <v>0.0701754385964912</v>
      </c>
      <c r="BD280" s="132">
        <f t="shared" si="143"/>
        <v>0.109090909090909</v>
      </c>
      <c r="BE280" s="133">
        <f t="shared" si="140"/>
        <v>0.00917431192660545</v>
      </c>
      <c r="BF280" s="132">
        <f t="shared" si="142"/>
        <v>0.0185185185185186</v>
      </c>
      <c r="BG280" s="132">
        <f t="shared" si="144"/>
        <v>0.0526315789473684</v>
      </c>
      <c r="BH280" s="132"/>
      <c r="BI280" s="132"/>
      <c r="BJ280" s="132"/>
      <c r="BK280" s="132"/>
      <c r="BL280" s="132"/>
      <c r="BM280" s="132"/>
      <c r="BN280" s="132"/>
      <c r="FV280" s="104">
        <f t="shared" si="147"/>
        <v>2011</v>
      </c>
      <c r="FW280" s="104">
        <f t="shared" si="148"/>
        <v>40</v>
      </c>
      <c r="FX280" s="35">
        <v>40814</v>
      </c>
      <c r="FY280" s="26">
        <v>1.1</v>
      </c>
      <c r="FZ280" s="94">
        <f t="shared" si="149"/>
        <v>4.4</v>
      </c>
      <c r="GA280" s="104"/>
      <c r="GB280" s="104"/>
      <c r="GE280" s="94"/>
      <c r="GF280" s="104">
        <f t="shared" si="150"/>
        <v>2014</v>
      </c>
      <c r="GG280" s="104">
        <f t="shared" si="151"/>
        <v>2</v>
      </c>
      <c r="GH280" s="35">
        <v>41645</v>
      </c>
      <c r="GI280" s="26">
        <v>4.176</v>
      </c>
      <c r="GJ280" s="94">
        <f t="shared" si="152"/>
        <v>8.352</v>
      </c>
      <c r="GK280" s="104"/>
      <c r="GL280" s="104"/>
      <c r="GO280" s="94"/>
    </row>
    <row r="281" spans="3:197">
      <c r="C281" s="80" t="str" cm="1">
        <f t="array" ref="C281">_xlfn.IFS(MONTH(D281)&lt;4,1,MONTH(D281)&lt;7,2,MONTH(D281)&lt;10,3,MONTH(D281)&gt;9,4)&amp;"Q"&amp;RIGHT(YEAR(D281),2)</f>
        <v>1Q17</v>
      </c>
      <c r="D281" s="81">
        <f t="shared" si="134"/>
        <v>42794</v>
      </c>
      <c r="E281" s="82">
        <f t="shared" si="131"/>
        <v>42794</v>
      </c>
      <c r="F281" s="83">
        <f t="shared" si="132"/>
        <v>0.856125</v>
      </c>
      <c r="G281" s="83">
        <f t="shared" si="132"/>
        <v>0.72625</v>
      </c>
      <c r="H281" s="81"/>
      <c r="I281" s="136">
        <v>42794</v>
      </c>
      <c r="J281" s="137">
        <v>8</v>
      </c>
      <c r="K281" s="137">
        <v>6.18</v>
      </c>
      <c r="L281" s="138">
        <v>6.849</v>
      </c>
      <c r="M281" s="94" cm="1">
        <f t="array" ref="M281">INDEX($BV$29:$BV$1449,MATCH($D281,$BR$29:$BR$1449,0),)</f>
        <v>5.81</v>
      </c>
      <c r="N281" s="88"/>
      <c r="O281" s="88"/>
      <c r="P281" s="88"/>
      <c r="Q281" s="89">
        <f t="shared" si="133"/>
        <v>0.178829604130809</v>
      </c>
      <c r="AH281" s="105">
        <f>AH280+7</f>
        <v>44543</v>
      </c>
      <c r="AI281" s="91">
        <f t="shared" si="135"/>
        <v>3.28</v>
      </c>
      <c r="AJ281" s="36">
        <f t="shared" si="136"/>
        <v>-0.0138304269392665</v>
      </c>
      <c r="AK281" s="36">
        <f t="shared" si="138"/>
        <v>0.0195834628535902</v>
      </c>
      <c r="AL281" s="105"/>
      <c r="AM281" s="91"/>
      <c r="AN281" s="36"/>
      <c r="AO281" s="36"/>
      <c r="AP281" s="36"/>
      <c r="AQ281" s="128" t="str" cm="1">
        <f t="array" ref="AQ281">_xlfn.IFS(MONTH(AR281)&lt;4,1,MONTH(AR281)&lt;7,2,MONTH(AR281)&lt;10,3,MONTH(AR281)&gt;9,4)&amp;"Q"&amp;RIGHT(YEAR(AR281),2)</f>
        <v>4Q23</v>
      </c>
      <c r="AR281" s="128">
        <f t="shared" si="137"/>
        <v>45291</v>
      </c>
      <c r="AS281" s="129">
        <f t="shared" si="153"/>
        <v>45278</v>
      </c>
      <c r="AT281" s="135">
        <v>60.5</v>
      </c>
      <c r="AU281" s="134" cm="1">
        <f t="array" ref="AU281">INDEX($CE$29:$CE$1449,MATCH($AR281,$CA$29:$CA$1449,0),)</f>
        <v>57</v>
      </c>
      <c r="AV281" s="135">
        <v>112</v>
      </c>
      <c r="AW281" s="134" cm="1">
        <f t="array" ref="AW281">INDEX($CF$29:$CF$1449,MATCH($AR281,$CA$29:$CA$1449,0),)</f>
        <v>113</v>
      </c>
      <c r="AX281" s="134"/>
      <c r="AY281" s="134" cm="1">
        <f t="array" ref="AY281">INDEX($CO$29:$CO$1449,MATCH($AR281,$CA$29:$CA$1449,0),)</f>
        <v>85.075</v>
      </c>
      <c r="AZ281" s="135"/>
      <c r="BA281" s="134" cm="1">
        <f t="array" ref="BA281">INDEX($CP$29:$CP$1449,MATCH($AR281,$CA$29:$CA$1449,0),)</f>
        <v>156.825</v>
      </c>
      <c r="BB281" s="133">
        <f t="shared" si="139"/>
        <v>-0.00819672131147542</v>
      </c>
      <c r="BC281" s="132">
        <f t="shared" si="141"/>
        <v>0.0521739130434782</v>
      </c>
      <c r="BD281" s="132">
        <f t="shared" si="143"/>
        <v>0.0614035087719298</v>
      </c>
      <c r="BE281" s="133">
        <f t="shared" si="140"/>
        <v>0.0181818181818181</v>
      </c>
      <c r="BF281" s="132">
        <f t="shared" si="142"/>
        <v>0.0275229357798166</v>
      </c>
      <c r="BG281" s="132">
        <f t="shared" si="144"/>
        <v>0.037037037037037</v>
      </c>
      <c r="BH281" s="132"/>
      <c r="BI281" s="132"/>
      <c r="BJ281" s="132"/>
      <c r="BK281" s="132"/>
      <c r="BL281" s="132"/>
      <c r="BM281" s="132"/>
      <c r="BN281" s="132"/>
      <c r="FV281" s="104">
        <f t="shared" si="147"/>
        <v>2011</v>
      </c>
      <c r="FW281" s="104">
        <f t="shared" si="148"/>
        <v>40</v>
      </c>
      <c r="FX281" s="35">
        <v>40815</v>
      </c>
      <c r="FY281" s="26">
        <v>1.09</v>
      </c>
      <c r="FZ281" s="94">
        <f t="shared" si="149"/>
        <v>4.36</v>
      </c>
      <c r="GA281" s="104"/>
      <c r="GB281" s="104"/>
      <c r="GE281" s="94"/>
      <c r="GF281" s="104">
        <f t="shared" si="150"/>
        <v>2014</v>
      </c>
      <c r="GG281" s="104">
        <f t="shared" si="151"/>
        <v>2</v>
      </c>
      <c r="GH281" s="35">
        <v>41646</v>
      </c>
      <c r="GI281" s="26">
        <v>4.176</v>
      </c>
      <c r="GJ281" s="94">
        <f t="shared" si="152"/>
        <v>8.352</v>
      </c>
      <c r="GK281" s="104"/>
      <c r="GL281" s="104"/>
      <c r="GO281" s="94"/>
    </row>
    <row r="282" spans="3:197">
      <c r="C282" s="80" t="str" cm="1">
        <f t="array" ref="C282">_xlfn.IFS(MONTH(D282)&lt;4,1,MONTH(D282)&lt;7,2,MONTH(D282)&lt;10,3,MONTH(D282)&gt;9,4)&amp;"Q"&amp;RIGHT(YEAR(D282),2)</f>
        <v>1Q17</v>
      </c>
      <c r="D282" s="81">
        <f t="shared" si="134"/>
        <v>42825</v>
      </c>
      <c r="E282" s="82">
        <f t="shared" si="131"/>
        <v>42795</v>
      </c>
      <c r="F282" s="83">
        <f t="shared" si="132"/>
        <v>0.856125</v>
      </c>
      <c r="G282" s="83">
        <f t="shared" si="132"/>
        <v>0.72625</v>
      </c>
      <c r="H282" s="81"/>
      <c r="I282" s="136">
        <v>42795</v>
      </c>
      <c r="J282" s="137">
        <v>8</v>
      </c>
      <c r="K282" s="137">
        <v>6.18</v>
      </c>
      <c r="L282" s="138">
        <v>6.849</v>
      </c>
      <c r="M282" s="94" cm="1">
        <f t="array" ref="M282">INDEX($BV$29:$BV$1449,MATCH($D282,$BR$29:$BR$1449,0),)</f>
        <v>5.81</v>
      </c>
      <c r="N282" s="88"/>
      <c r="O282" s="88"/>
      <c r="P282" s="88"/>
      <c r="Q282" s="89">
        <f t="shared" si="133"/>
        <v>0.178829604130809</v>
      </c>
      <c r="AH282" s="105">
        <f>AH281+7</f>
        <v>44550</v>
      </c>
      <c r="AI282" s="91">
        <f t="shared" si="135"/>
        <v>3.471</v>
      </c>
      <c r="AJ282" s="36">
        <f t="shared" si="136"/>
        <v>0.0582317073170733</v>
      </c>
      <c r="AK282" s="36">
        <f t="shared" si="138"/>
        <v>0.0435959110042092</v>
      </c>
      <c r="AL282" s="105"/>
      <c r="AM282" s="91"/>
      <c r="AN282" s="36"/>
      <c r="AO282" s="36"/>
      <c r="AP282" s="36"/>
      <c r="AQ282" s="128" t="str" cm="1">
        <f t="array" ref="AQ282">_xlfn.IFS(MONTH(AR282)&lt;4,1,MONTH(AR282)&lt;7,2,MONTH(AR282)&lt;10,3,MONTH(AR282)&gt;9,4)&amp;"Q"&amp;RIGHT(YEAR(AR282),2)</f>
        <v>4Q23</v>
      </c>
      <c r="AR282" s="128">
        <f t="shared" si="137"/>
        <v>45291</v>
      </c>
      <c r="AS282" s="129">
        <f t="shared" si="153"/>
        <v>45285</v>
      </c>
      <c r="AT282" s="135">
        <v>61.5</v>
      </c>
      <c r="AU282" s="134" cm="1">
        <f t="array" ref="AU282">INDEX($CE$29:$CE$1449,MATCH($AR282,$CA$29:$CA$1449,0),)</f>
        <v>57</v>
      </c>
      <c r="AV282" s="135">
        <v>112</v>
      </c>
      <c r="AW282" s="134" cm="1">
        <f t="array" ref="AW282">INDEX($CF$29:$CF$1449,MATCH($AR282,$CA$29:$CA$1449,0),)</f>
        <v>113</v>
      </c>
      <c r="AX282" s="134"/>
      <c r="AY282" s="134" cm="1">
        <f t="array" ref="AY282">INDEX($CO$29:$CO$1449,MATCH($AR282,$CA$29:$CA$1449,0),)</f>
        <v>85.075</v>
      </c>
      <c r="AZ282" s="135"/>
      <c r="BA282" s="134" cm="1">
        <f t="array" ref="BA282">INDEX($CP$29:$CP$1449,MATCH($AR282,$CA$29:$CA$1449,0),)</f>
        <v>156.825</v>
      </c>
      <c r="BB282" s="133">
        <f t="shared" si="139"/>
        <v>0.0165289256198347</v>
      </c>
      <c r="BC282" s="132">
        <f t="shared" si="141"/>
        <v>0.00819672131147531</v>
      </c>
      <c r="BD282" s="132">
        <f t="shared" si="143"/>
        <v>0.0695652173913044</v>
      </c>
      <c r="BE282" s="133">
        <f t="shared" si="140"/>
        <v>0</v>
      </c>
      <c r="BF282" s="132">
        <f t="shared" si="142"/>
        <v>0.0181818181818181</v>
      </c>
      <c r="BG282" s="132">
        <f t="shared" si="144"/>
        <v>0.0275229357798166</v>
      </c>
      <c r="BH282" s="132"/>
      <c r="BI282" s="132"/>
      <c r="BJ282" s="132"/>
      <c r="BK282" s="132"/>
      <c r="BL282" s="132"/>
      <c r="BM282" s="132"/>
      <c r="BN282" s="132"/>
      <c r="FV282" s="104">
        <f t="shared" si="147"/>
        <v>2011</v>
      </c>
      <c r="FW282" s="104">
        <f t="shared" si="148"/>
        <v>40</v>
      </c>
      <c r="FX282" s="35">
        <v>40816</v>
      </c>
      <c r="FY282" s="26">
        <v>1.08</v>
      </c>
      <c r="FZ282" s="94">
        <f t="shared" si="149"/>
        <v>4.32</v>
      </c>
      <c r="GA282" s="104"/>
      <c r="GB282" s="104"/>
      <c r="GE282" s="94"/>
      <c r="GF282" s="104">
        <f t="shared" si="150"/>
        <v>2014</v>
      </c>
      <c r="GG282" s="104">
        <f t="shared" si="151"/>
        <v>2</v>
      </c>
      <c r="GH282" s="35">
        <v>41647</v>
      </c>
      <c r="GI282" s="26">
        <v>4.203</v>
      </c>
      <c r="GJ282" s="94">
        <f t="shared" si="152"/>
        <v>8.406</v>
      </c>
      <c r="GK282" s="104"/>
      <c r="GL282" s="104"/>
      <c r="GO282" s="94"/>
    </row>
    <row r="283" spans="3:197">
      <c r="C283" s="80" t="str" cm="1">
        <f t="array" ref="C283">_xlfn.IFS(MONTH(D283)&lt;4,1,MONTH(D283)&lt;7,2,MONTH(D283)&lt;10,3,MONTH(D283)&gt;9,4)&amp;"Q"&amp;RIGHT(YEAR(D283),2)</f>
        <v>1Q17</v>
      </c>
      <c r="D283" s="81">
        <f t="shared" si="134"/>
        <v>42825</v>
      </c>
      <c r="E283" s="82">
        <f t="shared" si="131"/>
        <v>42796</v>
      </c>
      <c r="F283" s="83">
        <f t="shared" si="132"/>
        <v>0.856125</v>
      </c>
      <c r="G283" s="83">
        <f t="shared" si="132"/>
        <v>0.72625</v>
      </c>
      <c r="H283" s="81"/>
      <c r="I283" s="136">
        <v>42796</v>
      </c>
      <c r="J283" s="137">
        <v>8</v>
      </c>
      <c r="K283" s="137">
        <v>6.18</v>
      </c>
      <c r="L283" s="138">
        <v>6.849</v>
      </c>
      <c r="M283" s="94" cm="1">
        <f t="array" ref="M283">INDEX($BV$29:$BV$1449,MATCH($D283,$BR$29:$BR$1449,0),)</f>
        <v>5.81</v>
      </c>
      <c r="N283" s="88"/>
      <c r="O283" s="88"/>
      <c r="P283" s="88"/>
      <c r="Q283" s="89">
        <f t="shared" si="133"/>
        <v>0.178829604130809</v>
      </c>
      <c r="AH283" s="105">
        <f t="shared" ref="AH283:AH287" si="154">AH282+7</f>
        <v>44557</v>
      </c>
      <c r="AI283" s="91">
        <f t="shared" ref="AI283:AI322" si="155">IFERROR(VLOOKUP(AH283,$I:$L,4,FALSE),VLOOKUP(AH283,$I:$L,4,TRUE))</f>
        <v>3.594</v>
      </c>
      <c r="AJ283" s="36">
        <f t="shared" si="136"/>
        <v>0.0354364736387207</v>
      </c>
      <c r="AK283" s="36">
        <f t="shared" si="138"/>
        <v>0.0957317073170731</v>
      </c>
      <c r="AL283" s="105"/>
      <c r="AM283" s="91"/>
      <c r="AN283" s="36"/>
      <c r="AO283" s="36"/>
      <c r="AP283" s="36"/>
      <c r="AQ283" s="128" t="str" cm="1">
        <f t="array" ref="AQ283">_xlfn.IFS(MONTH(AR283)&lt;4,1,MONTH(AR283)&lt;7,2,MONTH(AR283)&lt;10,3,MONTH(AR283)&gt;9,4)&amp;"Q"&amp;RIGHT(YEAR(AR283),2)</f>
        <v>1Q24</v>
      </c>
      <c r="AR283" s="128">
        <f t="shared" si="137"/>
        <v>45322</v>
      </c>
      <c r="AS283" s="129">
        <f t="shared" ref="AS283:AS305" si="156">AS282+7</f>
        <v>45292</v>
      </c>
      <c r="AT283" s="135">
        <v>63</v>
      </c>
      <c r="AU283" s="134" cm="1">
        <f t="array" ref="AU283">INDEX($CE$29:$CE$1449,MATCH($AR283,$CA$29:$CA$1449,0),)</f>
        <v>62</v>
      </c>
      <c r="AV283" s="135">
        <v>113</v>
      </c>
      <c r="AW283" s="134" cm="1">
        <f t="array" ref="AW283">INDEX($CF$29:$CF$1449,MATCH($AR283,$CA$29:$CA$1449,0),)</f>
        <v>124</v>
      </c>
      <c r="AX283" s="134"/>
      <c r="AY283" s="134" cm="1">
        <f t="array" ref="AY283">INDEX($CO$29:$CO$1449,MATCH($AR283,$CA$29:$CA$1449,0),)</f>
        <v>90.2</v>
      </c>
      <c r="AZ283" s="135"/>
      <c r="BA283" s="134" cm="1">
        <f t="array" ref="BA283">INDEX($CP$29:$CP$1449,MATCH($AR283,$CA$29:$CA$1449,0),)</f>
        <v>174.25</v>
      </c>
      <c r="BB283" s="133">
        <f t="shared" si="139"/>
        <v>0.024390243902439</v>
      </c>
      <c r="BC283" s="132">
        <f t="shared" si="141"/>
        <v>0.0413223140495869</v>
      </c>
      <c r="BD283" s="132">
        <f t="shared" si="143"/>
        <v>0.0327868852459017</v>
      </c>
      <c r="BE283" s="133">
        <f t="shared" si="140"/>
        <v>0.0089285714285714</v>
      </c>
      <c r="BF283" s="132">
        <f t="shared" si="142"/>
        <v>0.0089285714285714</v>
      </c>
      <c r="BG283" s="132">
        <f t="shared" si="144"/>
        <v>0.0272727272727273</v>
      </c>
      <c r="BH283" s="132"/>
      <c r="BI283" s="132"/>
      <c r="BJ283" s="132"/>
      <c r="BK283" s="132"/>
      <c r="BL283" s="132"/>
      <c r="BM283" s="132"/>
      <c r="BN283" s="132"/>
      <c r="FV283" s="104">
        <f t="shared" si="147"/>
        <v>2011</v>
      </c>
      <c r="FW283" s="104">
        <f t="shared" si="148"/>
        <v>41</v>
      </c>
      <c r="FX283" s="35">
        <v>40819</v>
      </c>
      <c r="FY283" s="26">
        <v>1.07</v>
      </c>
      <c r="FZ283" s="94">
        <f t="shared" si="149"/>
        <v>4.28</v>
      </c>
      <c r="GA283" s="104"/>
      <c r="GB283" s="104"/>
      <c r="GE283" s="94"/>
      <c r="GF283" s="104">
        <f t="shared" si="150"/>
        <v>2014</v>
      </c>
      <c r="GG283" s="104">
        <f t="shared" si="151"/>
        <v>2</v>
      </c>
      <c r="GH283" s="35">
        <v>41648</v>
      </c>
      <c r="GI283" s="26">
        <v>4.203</v>
      </c>
      <c r="GJ283" s="94">
        <f t="shared" si="152"/>
        <v>8.406</v>
      </c>
      <c r="GK283" s="104"/>
      <c r="GL283" s="104"/>
      <c r="GO283" s="94"/>
    </row>
    <row r="284" spans="3:197">
      <c r="C284" s="80" t="str" cm="1">
        <f t="array" ref="C284">_xlfn.IFS(MONTH(D284)&lt;4,1,MONTH(D284)&lt;7,2,MONTH(D284)&lt;10,3,MONTH(D284)&gt;9,4)&amp;"Q"&amp;RIGHT(YEAR(D284),2)</f>
        <v>1Q17</v>
      </c>
      <c r="D284" s="81">
        <f t="shared" si="134"/>
        <v>42825</v>
      </c>
      <c r="E284" s="82">
        <f t="shared" si="131"/>
        <v>42797</v>
      </c>
      <c r="F284" s="83">
        <f t="shared" si="132"/>
        <v>0.856125</v>
      </c>
      <c r="G284" s="83">
        <f t="shared" si="132"/>
        <v>0.72625</v>
      </c>
      <c r="H284" s="81"/>
      <c r="I284" s="136">
        <v>42797</v>
      </c>
      <c r="J284" s="137">
        <v>7.95</v>
      </c>
      <c r="K284" s="137">
        <v>6.13</v>
      </c>
      <c r="L284" s="138">
        <v>6.849</v>
      </c>
      <c r="M284" s="94" cm="1">
        <f t="array" ref="M284">INDEX($BV$29:$BV$1449,MATCH($D284,$BR$29:$BR$1449,0),)</f>
        <v>5.81</v>
      </c>
      <c r="N284" s="88"/>
      <c r="O284" s="88"/>
      <c r="P284" s="88"/>
      <c r="Q284" s="89">
        <f t="shared" si="133"/>
        <v>0.178829604130809</v>
      </c>
      <c r="AH284" s="105">
        <f t="shared" si="154"/>
        <v>44564</v>
      </c>
      <c r="AI284" s="91">
        <f t="shared" si="155"/>
        <v>3.631</v>
      </c>
      <c r="AJ284" s="36">
        <f t="shared" si="136"/>
        <v>0.0102949360044517</v>
      </c>
      <c r="AK284" s="36">
        <f t="shared" si="138"/>
        <v>0.0460962258715067</v>
      </c>
      <c r="AL284" s="105"/>
      <c r="AM284" s="91"/>
      <c r="AN284" s="36"/>
      <c r="AO284" s="36"/>
      <c r="AP284" s="36"/>
      <c r="AQ284" s="128" t="str" cm="1">
        <f t="array" ref="AQ284">_xlfn.IFS(MONTH(AR284)&lt;4,1,MONTH(AR284)&lt;7,2,MONTH(AR284)&lt;10,3,MONTH(AR284)&gt;9,4)&amp;"Q"&amp;RIGHT(YEAR(AR284),2)</f>
        <v>1Q24</v>
      </c>
      <c r="AR284" s="128">
        <f t="shared" si="137"/>
        <v>45322</v>
      </c>
      <c r="AS284" s="129">
        <f t="shared" si="156"/>
        <v>45299</v>
      </c>
      <c r="AT284" s="135">
        <v>68</v>
      </c>
      <c r="AU284" s="134" cm="1">
        <f t="array" ref="AU284">INDEX($CE$29:$CE$1449,MATCH($AR284,$CA$29:$CA$1449,0),)</f>
        <v>62</v>
      </c>
      <c r="AV284" s="135">
        <v>119</v>
      </c>
      <c r="AW284" s="134" cm="1">
        <f t="array" ref="AW284">INDEX($CF$29:$CF$1449,MATCH($AR284,$CA$29:$CA$1449,0),)</f>
        <v>124</v>
      </c>
      <c r="AX284" s="134"/>
      <c r="AY284" s="134" cm="1">
        <f t="array" ref="AY284">INDEX($CO$29:$CO$1449,MATCH($AR284,$CA$29:$CA$1449,0),)</f>
        <v>90.2</v>
      </c>
      <c r="AZ284" s="135"/>
      <c r="BA284" s="134" cm="1">
        <f t="array" ref="BA284">INDEX($CP$29:$CP$1449,MATCH($AR284,$CA$29:$CA$1449,0),)</f>
        <v>174.25</v>
      </c>
      <c r="BB284" s="133">
        <f t="shared" si="139"/>
        <v>0.0793650793650793</v>
      </c>
      <c r="BC284" s="132">
        <f t="shared" si="141"/>
        <v>0.105691056910569</v>
      </c>
      <c r="BD284" s="132">
        <f t="shared" si="143"/>
        <v>0.12396694214876</v>
      </c>
      <c r="BE284" s="133">
        <f t="shared" si="140"/>
        <v>0.0530973451327434</v>
      </c>
      <c r="BF284" s="132">
        <f t="shared" si="142"/>
        <v>0.0625</v>
      </c>
      <c r="BG284" s="132">
        <f t="shared" si="144"/>
        <v>0.0625</v>
      </c>
      <c r="BH284" s="132"/>
      <c r="BI284" s="132"/>
      <c r="BJ284" s="132"/>
      <c r="BK284" s="132"/>
      <c r="BL284" s="132"/>
      <c r="BM284" s="132"/>
      <c r="BN284" s="132"/>
      <c r="FV284" s="104">
        <f t="shared" si="147"/>
        <v>2011</v>
      </c>
      <c r="FW284" s="104">
        <f t="shared" si="148"/>
        <v>41</v>
      </c>
      <c r="FX284" s="35">
        <v>40820</v>
      </c>
      <c r="FY284" s="26">
        <v>1.07</v>
      </c>
      <c r="FZ284" s="94">
        <f t="shared" si="149"/>
        <v>4.28</v>
      </c>
      <c r="GA284" s="104"/>
      <c r="GB284" s="104"/>
      <c r="GE284" s="94"/>
      <c r="GF284" s="104">
        <f t="shared" si="150"/>
        <v>2014</v>
      </c>
      <c r="GG284" s="104">
        <f t="shared" si="151"/>
        <v>2</v>
      </c>
      <c r="GH284" s="35">
        <v>41649</v>
      </c>
      <c r="GI284" s="26">
        <v>4.203</v>
      </c>
      <c r="GJ284" s="94">
        <f t="shared" si="152"/>
        <v>8.406</v>
      </c>
      <c r="GK284" s="104"/>
      <c r="GL284" s="104"/>
      <c r="GO284" s="94"/>
    </row>
    <row r="285" spans="3:197">
      <c r="C285" s="80" t="str" cm="1">
        <f t="array" ref="C285">_xlfn.IFS(MONTH(D285)&lt;4,1,MONTH(D285)&lt;7,2,MONTH(D285)&lt;10,3,MONTH(D285)&gt;9,4)&amp;"Q"&amp;RIGHT(YEAR(D285),2)</f>
        <v>1Q17</v>
      </c>
      <c r="D285" s="81">
        <f t="shared" si="134"/>
        <v>42825</v>
      </c>
      <c r="E285" s="82">
        <f t="shared" ref="E285:E293" si="157">+I285</f>
        <v>42800</v>
      </c>
      <c r="F285" s="83">
        <f t="shared" ref="F285:G348" si="158">+L285/8</f>
        <v>0.856125</v>
      </c>
      <c r="G285" s="83">
        <f t="shared" si="158"/>
        <v>0.72625</v>
      </c>
      <c r="H285" s="81"/>
      <c r="I285" s="136">
        <v>42800</v>
      </c>
      <c r="J285" s="137">
        <v>7.95</v>
      </c>
      <c r="K285" s="137">
        <v>6.13</v>
      </c>
      <c r="L285" s="138">
        <v>6.849</v>
      </c>
      <c r="M285" s="94" cm="1">
        <f t="array" ref="M285">INDEX($BV$29:$BV$1449,MATCH($D285,$BR$29:$BR$1449,0),)</f>
        <v>5.81</v>
      </c>
      <c r="N285" s="88"/>
      <c r="O285" s="88"/>
      <c r="P285" s="88"/>
      <c r="Q285" s="89">
        <f t="shared" ref="Q285:Q320" si="159">L285/M285-1</f>
        <v>0.178829604130809</v>
      </c>
      <c r="AH285" s="105">
        <f t="shared" si="154"/>
        <v>44571</v>
      </c>
      <c r="AI285" s="91">
        <f t="shared" si="155"/>
        <v>3.718</v>
      </c>
      <c r="AJ285" s="36">
        <f t="shared" si="136"/>
        <v>0.023960341503718</v>
      </c>
      <c r="AK285" s="36">
        <f t="shared" si="138"/>
        <v>0.0345019476905954</v>
      </c>
      <c r="AL285" s="105"/>
      <c r="AM285" s="91"/>
      <c r="AN285" s="36"/>
      <c r="AO285" s="36"/>
      <c r="AP285" s="36"/>
      <c r="AQ285" s="128" t="str" cm="1">
        <f t="array" ref="AQ285">_xlfn.IFS(MONTH(AR285)&lt;4,1,MONTH(AR285)&lt;7,2,MONTH(AR285)&lt;10,3,MONTH(AR285)&gt;9,4)&amp;"Q"&amp;RIGHT(YEAR(AR285),2)</f>
        <v>1Q24</v>
      </c>
      <c r="AR285" s="128">
        <f t="shared" si="137"/>
        <v>45322</v>
      </c>
      <c r="AS285" s="129">
        <f t="shared" si="156"/>
        <v>45306</v>
      </c>
      <c r="AT285" s="135">
        <v>69</v>
      </c>
      <c r="AU285" s="134" cm="1">
        <f t="array" ref="AU285">INDEX($CE$29:$CE$1449,MATCH($AR285,$CA$29:$CA$1449,0),)</f>
        <v>62</v>
      </c>
      <c r="AV285" s="135">
        <v>123</v>
      </c>
      <c r="AW285" s="134" cm="1">
        <f t="array" ref="AW285">INDEX($CF$29:$CF$1449,MATCH($AR285,$CA$29:$CA$1449,0),)</f>
        <v>124</v>
      </c>
      <c r="AX285" s="134"/>
      <c r="AY285" s="134" cm="1">
        <f t="array" ref="AY285">INDEX($CO$29:$CO$1449,MATCH($AR285,$CA$29:$CA$1449,0),)</f>
        <v>90.2</v>
      </c>
      <c r="AZ285" s="135"/>
      <c r="BA285" s="134" cm="1">
        <f t="array" ref="BA285">INDEX($CP$29:$CP$1449,MATCH($AR285,$CA$29:$CA$1449,0),)</f>
        <v>174.25</v>
      </c>
      <c r="BB285" s="133">
        <f t="shared" si="139"/>
        <v>0.0147058823529411</v>
      </c>
      <c r="BC285" s="132">
        <f t="shared" si="141"/>
        <v>0.0952380952380953</v>
      </c>
      <c r="BD285" s="132">
        <f t="shared" si="143"/>
        <v>0.121951219512195</v>
      </c>
      <c r="BE285" s="133">
        <f t="shared" si="140"/>
        <v>0.0336134453781514</v>
      </c>
      <c r="BF285" s="132">
        <f t="shared" si="142"/>
        <v>0.0884955752212389</v>
      </c>
      <c r="BG285" s="132">
        <f t="shared" si="144"/>
        <v>0.0982142857142858</v>
      </c>
      <c r="BH285" s="132"/>
      <c r="BI285" s="132"/>
      <c r="BJ285" s="132"/>
      <c r="BK285" s="132"/>
      <c r="BL285" s="132"/>
      <c r="BM285" s="132"/>
      <c r="BN285" s="132"/>
      <c r="FV285" s="104">
        <f t="shared" si="147"/>
        <v>2011</v>
      </c>
      <c r="FW285" s="104">
        <f t="shared" si="148"/>
        <v>41</v>
      </c>
      <c r="FX285" s="35">
        <v>40821</v>
      </c>
      <c r="FY285" s="26">
        <v>1.07</v>
      </c>
      <c r="FZ285" s="94">
        <f t="shared" si="149"/>
        <v>4.28</v>
      </c>
      <c r="GA285" s="104"/>
      <c r="GB285" s="104"/>
      <c r="GE285" s="94"/>
      <c r="GF285" s="104">
        <f t="shared" si="150"/>
        <v>2014</v>
      </c>
      <c r="GG285" s="104">
        <f t="shared" si="151"/>
        <v>3</v>
      </c>
      <c r="GH285" s="35">
        <v>41652</v>
      </c>
      <c r="GI285" s="26">
        <v>4.203</v>
      </c>
      <c r="GJ285" s="94">
        <f t="shared" si="152"/>
        <v>8.406</v>
      </c>
      <c r="GK285" s="104"/>
      <c r="GL285" s="104"/>
      <c r="GO285" s="94"/>
    </row>
    <row r="286" spans="3:197">
      <c r="C286" s="80" t="str" cm="1">
        <f t="array" ref="C286">_xlfn.IFS(MONTH(D286)&lt;4,1,MONTH(D286)&lt;7,2,MONTH(D286)&lt;10,3,MONTH(D286)&gt;9,4)&amp;"Q"&amp;RIGHT(YEAR(D286),2)</f>
        <v>1Q17</v>
      </c>
      <c r="D286" s="81">
        <f t="shared" ref="D286:D349" si="160">EOMONTH(E286,0)</f>
        <v>42825</v>
      </c>
      <c r="E286" s="82">
        <f t="shared" si="157"/>
        <v>42801</v>
      </c>
      <c r="F286" s="83">
        <f t="shared" si="158"/>
        <v>0.858375</v>
      </c>
      <c r="G286" s="83">
        <f t="shared" si="158"/>
        <v>0.72625</v>
      </c>
      <c r="H286" s="81"/>
      <c r="I286" s="136">
        <v>42801</v>
      </c>
      <c r="J286" s="137">
        <v>8</v>
      </c>
      <c r="K286" s="137">
        <v>6.16</v>
      </c>
      <c r="L286" s="138">
        <v>6.867</v>
      </c>
      <c r="M286" s="94" cm="1">
        <f t="array" ref="M286">INDEX($BV$29:$BV$1449,MATCH($D286,$BR$29:$BR$1449,0),)</f>
        <v>5.81</v>
      </c>
      <c r="N286" s="88"/>
      <c r="O286" s="88"/>
      <c r="P286" s="88"/>
      <c r="Q286" s="89">
        <f t="shared" si="159"/>
        <v>0.181927710843374</v>
      </c>
      <c r="AH286" s="105">
        <f t="shared" si="154"/>
        <v>44578</v>
      </c>
      <c r="AI286" s="91">
        <f t="shared" si="155"/>
        <v>3.742</v>
      </c>
      <c r="AJ286" s="36">
        <f t="shared" ref="AJ286:AJ349" si="161">AI286/AI285-1</f>
        <v>0.00645508337816025</v>
      </c>
      <c r="AK286" s="36">
        <f t="shared" si="138"/>
        <v>0.030570090884054</v>
      </c>
      <c r="AL286" s="105"/>
      <c r="AM286" s="91"/>
      <c r="AN286" s="36"/>
      <c r="AO286" s="36"/>
      <c r="AP286" s="36"/>
      <c r="AQ286" s="128" t="str" cm="1">
        <f t="array" ref="AQ286">_xlfn.IFS(MONTH(AR286)&lt;4,1,MONTH(AR286)&lt;7,2,MONTH(AR286)&lt;10,3,MONTH(AR286)&gt;9,4)&amp;"Q"&amp;RIGHT(YEAR(AR286),2)</f>
        <v>1Q24</v>
      </c>
      <c r="AR286" s="128">
        <f t="shared" ref="AR286:AR349" si="162">EOMONTH(AS286,0)</f>
        <v>45322</v>
      </c>
      <c r="AS286" s="129">
        <f t="shared" si="156"/>
        <v>45313</v>
      </c>
      <c r="AT286" s="135">
        <v>71.8</v>
      </c>
      <c r="AU286" s="134" cm="1">
        <f t="array" ref="AU286">INDEX($CE$29:$CE$1449,MATCH($AR286,$CA$29:$CA$1449,0),)</f>
        <v>62</v>
      </c>
      <c r="AV286" s="135">
        <v>133</v>
      </c>
      <c r="AW286" s="134" cm="1">
        <f t="array" ref="AW286">INDEX($CF$29:$CF$1449,MATCH($AR286,$CA$29:$CA$1449,0),)</f>
        <v>124</v>
      </c>
      <c r="AX286" s="134"/>
      <c r="AY286" s="134" cm="1">
        <f t="array" ref="AY286">INDEX($CO$29:$CO$1449,MATCH($AR286,$CA$29:$CA$1449,0),)</f>
        <v>90.2</v>
      </c>
      <c r="AZ286" s="135"/>
      <c r="BA286" s="134" cm="1">
        <f t="array" ref="BA286">INDEX($CP$29:$CP$1449,MATCH($AR286,$CA$29:$CA$1449,0),)</f>
        <v>174.25</v>
      </c>
      <c r="BB286" s="133">
        <f t="shared" si="139"/>
        <v>0.0405797101449275</v>
      </c>
      <c r="BC286" s="132">
        <f t="shared" si="141"/>
        <v>0.0558823529411765</v>
      </c>
      <c r="BD286" s="132">
        <f t="shared" si="143"/>
        <v>0.13968253968254</v>
      </c>
      <c r="BE286" s="133">
        <f t="shared" si="140"/>
        <v>0.0813008130081301</v>
      </c>
      <c r="BF286" s="132">
        <f t="shared" si="142"/>
        <v>0.117647058823529</v>
      </c>
      <c r="BG286" s="132">
        <f t="shared" si="144"/>
        <v>0.176991150442478</v>
      </c>
      <c r="BH286" s="132"/>
      <c r="BI286" s="132"/>
      <c r="BJ286" s="132"/>
      <c r="BK286" s="132"/>
      <c r="BL286" s="132"/>
      <c r="BM286" s="132"/>
      <c r="BN286" s="132"/>
      <c r="FV286" s="104">
        <f t="shared" si="147"/>
        <v>2011</v>
      </c>
      <c r="FW286" s="104">
        <f t="shared" si="148"/>
        <v>41</v>
      </c>
      <c r="FX286" s="35">
        <v>40822</v>
      </c>
      <c r="FY286" s="26">
        <v>1.06</v>
      </c>
      <c r="FZ286" s="94">
        <f t="shared" si="149"/>
        <v>4.24</v>
      </c>
      <c r="GA286" s="104"/>
      <c r="GB286" s="104"/>
      <c r="GE286" s="94"/>
      <c r="GF286" s="104">
        <f t="shared" si="150"/>
        <v>2014</v>
      </c>
      <c r="GG286" s="104">
        <f t="shared" si="151"/>
        <v>3</v>
      </c>
      <c r="GH286" s="35">
        <v>41653</v>
      </c>
      <c r="GI286" s="26">
        <v>4.203</v>
      </c>
      <c r="GJ286" s="94">
        <f t="shared" si="152"/>
        <v>8.406</v>
      </c>
      <c r="GK286" s="104"/>
      <c r="GL286" s="104"/>
      <c r="GO286" s="94"/>
    </row>
    <row r="287" spans="3:197">
      <c r="C287" s="80" t="str" cm="1">
        <f t="array" ref="C287">_xlfn.IFS(MONTH(D287)&lt;4,1,MONTH(D287)&lt;7,2,MONTH(D287)&lt;10,3,MONTH(D287)&gt;9,4)&amp;"Q"&amp;RIGHT(YEAR(D287),2)</f>
        <v>1Q17</v>
      </c>
      <c r="D287" s="81">
        <f t="shared" si="160"/>
        <v>42825</v>
      </c>
      <c r="E287" s="82">
        <f t="shared" si="157"/>
        <v>42802</v>
      </c>
      <c r="F287" s="83">
        <f t="shared" si="158"/>
        <v>0.85975</v>
      </c>
      <c r="G287" s="83">
        <f t="shared" si="158"/>
        <v>0.72625</v>
      </c>
      <c r="H287" s="81"/>
      <c r="I287" s="136">
        <v>42802</v>
      </c>
      <c r="J287" s="137">
        <v>8.05</v>
      </c>
      <c r="K287" s="137">
        <v>6.22</v>
      </c>
      <c r="L287" s="138">
        <v>6.878</v>
      </c>
      <c r="M287" s="94" cm="1">
        <f t="array" ref="M287">INDEX($BV$29:$BV$1449,MATCH($D287,$BR$29:$BR$1449,0),)</f>
        <v>5.81</v>
      </c>
      <c r="N287" s="88"/>
      <c r="O287" s="88"/>
      <c r="P287" s="88"/>
      <c r="Q287" s="89">
        <f t="shared" si="159"/>
        <v>0.18382099827883</v>
      </c>
      <c r="AH287" s="105">
        <f t="shared" si="154"/>
        <v>44585</v>
      </c>
      <c r="AI287" s="91">
        <f t="shared" si="155"/>
        <v>3.747</v>
      </c>
      <c r="AJ287" s="36">
        <f t="shared" si="161"/>
        <v>0.001336183858899</v>
      </c>
      <c r="AK287" s="36">
        <f t="shared" ref="AK287:AK350" si="163">AI287/AI285-1</f>
        <v>0.0077998924152769</v>
      </c>
      <c r="AL287" s="105"/>
      <c r="AM287" s="91"/>
      <c r="AN287" s="36"/>
      <c r="AO287" s="36"/>
      <c r="AP287" s="36"/>
      <c r="AQ287" s="128" t="str" cm="1">
        <f t="array" ref="AQ287">_xlfn.IFS(MONTH(AR287)&lt;4,1,MONTH(AR287)&lt;7,2,MONTH(AR287)&lt;10,3,MONTH(AR287)&gt;9,4)&amp;"Q"&amp;RIGHT(YEAR(AR287),2)</f>
        <v>1Q24</v>
      </c>
      <c r="AR287" s="128">
        <f t="shared" si="162"/>
        <v>45322</v>
      </c>
      <c r="AS287" s="129">
        <f t="shared" si="156"/>
        <v>45320</v>
      </c>
      <c r="AT287" s="135">
        <v>72.8</v>
      </c>
      <c r="AU287" s="134" cm="1">
        <f t="array" ref="AU287">INDEX($CE$29:$CE$1449,MATCH($AR287,$CA$29:$CA$1449,0),)</f>
        <v>62</v>
      </c>
      <c r="AV287" s="135">
        <v>140</v>
      </c>
      <c r="AW287" s="134" cm="1">
        <f t="array" ref="AW287">INDEX($CF$29:$CF$1449,MATCH($AR287,$CA$29:$CA$1449,0),)</f>
        <v>124</v>
      </c>
      <c r="AX287" s="134"/>
      <c r="AY287" s="134" cm="1">
        <f t="array" ref="AY287">INDEX($CO$29:$CO$1449,MATCH($AR287,$CA$29:$CA$1449,0),)</f>
        <v>90.2</v>
      </c>
      <c r="AZ287" s="135"/>
      <c r="BA287" s="134" cm="1">
        <f t="array" ref="BA287">INDEX($CP$29:$CP$1449,MATCH($AR287,$CA$29:$CA$1449,0),)</f>
        <v>174.25</v>
      </c>
      <c r="BB287" s="133">
        <f t="shared" si="139"/>
        <v>0.0139275766016713</v>
      </c>
      <c r="BC287" s="132">
        <f t="shared" si="141"/>
        <v>0.0550724637681159</v>
      </c>
      <c r="BD287" s="132">
        <f t="shared" si="143"/>
        <v>0.0705882352941176</v>
      </c>
      <c r="BE287" s="133">
        <f t="shared" si="140"/>
        <v>0.0526315789473684</v>
      </c>
      <c r="BF287" s="132">
        <f t="shared" si="142"/>
        <v>0.138211382113821</v>
      </c>
      <c r="BG287" s="132">
        <f t="shared" si="144"/>
        <v>0.176470588235294</v>
      </c>
      <c r="BH287" s="132"/>
      <c r="BI287" s="132"/>
      <c r="BJ287" s="132"/>
      <c r="BK287" s="132"/>
      <c r="BL287" s="132"/>
      <c r="BM287" s="132"/>
      <c r="BN287" s="132"/>
      <c r="FV287" s="104">
        <f t="shared" si="147"/>
        <v>2011</v>
      </c>
      <c r="FW287" s="104">
        <f t="shared" si="148"/>
        <v>41</v>
      </c>
      <c r="FX287" s="35">
        <v>40823</v>
      </c>
      <c r="FY287" s="26">
        <v>1.06</v>
      </c>
      <c r="FZ287" s="94">
        <f t="shared" si="149"/>
        <v>4.24</v>
      </c>
      <c r="GA287" s="104"/>
      <c r="GB287" s="104"/>
      <c r="GE287" s="94"/>
      <c r="GF287" s="104">
        <f t="shared" si="150"/>
        <v>2014</v>
      </c>
      <c r="GG287" s="104">
        <f t="shared" si="151"/>
        <v>3</v>
      </c>
      <c r="GH287" s="35">
        <v>41654</v>
      </c>
      <c r="GI287" s="26">
        <v>4.201</v>
      </c>
      <c r="GJ287" s="94">
        <f t="shared" si="152"/>
        <v>8.402</v>
      </c>
      <c r="GK287" s="104"/>
      <c r="GL287" s="104"/>
      <c r="GO287" s="94"/>
    </row>
    <row r="288" spans="3:197">
      <c r="C288" s="80" t="str" cm="1">
        <f t="array" ref="C288">_xlfn.IFS(MONTH(D288)&lt;4,1,MONTH(D288)&lt;7,2,MONTH(D288)&lt;10,3,MONTH(D288)&gt;9,4)&amp;"Q"&amp;RIGHT(YEAR(D288),2)</f>
        <v>1Q17</v>
      </c>
      <c r="D288" s="81">
        <f t="shared" si="160"/>
        <v>42825</v>
      </c>
      <c r="E288" s="82">
        <f t="shared" si="157"/>
        <v>42803</v>
      </c>
      <c r="F288" s="83">
        <f t="shared" si="158"/>
        <v>0.86075</v>
      </c>
      <c r="G288" s="83">
        <f t="shared" si="158"/>
        <v>0.72625</v>
      </c>
      <c r="H288" s="81"/>
      <c r="I288" s="136">
        <v>42803</v>
      </c>
      <c r="J288" s="137">
        <v>8.05</v>
      </c>
      <c r="K288" s="137">
        <v>6.23</v>
      </c>
      <c r="L288" s="138">
        <v>6.886</v>
      </c>
      <c r="M288" s="94" cm="1">
        <f t="array" ref="M288">INDEX($BV$29:$BV$1449,MATCH($D288,$BR$29:$BR$1449,0),)</f>
        <v>5.81</v>
      </c>
      <c r="N288" s="88"/>
      <c r="O288" s="88"/>
      <c r="P288" s="88"/>
      <c r="Q288" s="89">
        <f t="shared" si="159"/>
        <v>0.185197934595525</v>
      </c>
      <c r="AH288" s="105">
        <f>AH287+14</f>
        <v>44599</v>
      </c>
      <c r="AI288" s="91">
        <f t="shared" si="155"/>
        <v>3.778</v>
      </c>
      <c r="AJ288" s="36">
        <f t="shared" si="161"/>
        <v>0.00827328529490257</v>
      </c>
      <c r="AK288" s="36">
        <f t="shared" si="163"/>
        <v>0.00962052378407274</v>
      </c>
      <c r="AL288" s="105"/>
      <c r="AM288" s="91"/>
      <c r="AN288" s="36"/>
      <c r="AO288" s="36"/>
      <c r="AP288" s="36"/>
      <c r="AQ288" s="128" t="str" cm="1">
        <f t="array" ref="AQ288">_xlfn.IFS(MONTH(AR288)&lt;4,1,MONTH(AR288)&lt;7,2,MONTH(AR288)&lt;10,3,MONTH(AR288)&gt;9,4)&amp;"Q"&amp;RIGHT(YEAR(AR288),2)</f>
        <v>1Q24</v>
      </c>
      <c r="AR288" s="128">
        <f t="shared" si="162"/>
        <v>45351</v>
      </c>
      <c r="AS288" s="129">
        <f t="shared" si="156"/>
        <v>45327</v>
      </c>
      <c r="AT288" s="135">
        <v>74</v>
      </c>
      <c r="AU288" s="134" cm="1">
        <f t="array" ref="AU288">INDEX($CE$29:$CE$1449,MATCH($AR288,$CA$29:$CA$1449,0),)</f>
        <v>63.5</v>
      </c>
      <c r="AV288" s="135">
        <v>141.5</v>
      </c>
      <c r="AW288" s="134" cm="1">
        <f t="array" ref="AW288">INDEX($CF$29:$CF$1449,MATCH($AR288,$CA$29:$CA$1449,0),)</f>
        <v>127</v>
      </c>
      <c r="AX288" s="134"/>
      <c r="AY288" s="134" cm="1">
        <f t="array" ref="AY288">INDEX($CO$29:$CO$1449,MATCH($AR288,$CA$29:$CA$1449,0),)</f>
        <v>93.275</v>
      </c>
      <c r="AZ288" s="135"/>
      <c r="BA288" s="134" cm="1">
        <f t="array" ref="BA288">INDEX($CP$29:$CP$1449,MATCH($AR288,$CA$29:$CA$1449,0),)</f>
        <v>181.425</v>
      </c>
      <c r="BB288" s="133">
        <f t="shared" si="139"/>
        <v>0.0164835164835164</v>
      </c>
      <c r="BC288" s="132">
        <f t="shared" si="141"/>
        <v>0.0306406685236769</v>
      </c>
      <c r="BD288" s="132">
        <f t="shared" si="143"/>
        <v>0.0724637681159421</v>
      </c>
      <c r="BE288" s="133">
        <f t="shared" si="140"/>
        <v>0.0107142857142857</v>
      </c>
      <c r="BF288" s="132">
        <f t="shared" si="142"/>
        <v>0.0639097744360901</v>
      </c>
      <c r="BG288" s="132">
        <f t="shared" si="144"/>
        <v>0.150406504065041</v>
      </c>
      <c r="BH288" s="132"/>
      <c r="BI288" s="132"/>
      <c r="BJ288" s="132"/>
      <c r="BK288" s="132"/>
      <c r="BL288" s="132"/>
      <c r="BM288" s="132"/>
      <c r="BN288" s="132"/>
      <c r="FV288" s="104">
        <f t="shared" si="147"/>
        <v>2011</v>
      </c>
      <c r="FW288" s="104">
        <f t="shared" si="148"/>
        <v>42</v>
      </c>
      <c r="FX288" s="35">
        <v>40826</v>
      </c>
      <c r="FY288" s="26">
        <v>1.06</v>
      </c>
      <c r="FZ288" s="94">
        <f t="shared" si="149"/>
        <v>4.24</v>
      </c>
      <c r="GA288" s="104"/>
      <c r="GB288" s="104"/>
      <c r="GE288" s="94"/>
      <c r="GF288" s="104">
        <f t="shared" si="150"/>
        <v>2014</v>
      </c>
      <c r="GG288" s="104">
        <f t="shared" si="151"/>
        <v>3</v>
      </c>
      <c r="GH288" s="35">
        <v>41655</v>
      </c>
      <c r="GI288" s="26">
        <v>4.199</v>
      </c>
      <c r="GJ288" s="94">
        <f t="shared" si="152"/>
        <v>8.398</v>
      </c>
      <c r="GK288" s="104"/>
      <c r="GL288" s="104"/>
      <c r="GO288" s="94"/>
    </row>
    <row r="289" spans="3:197">
      <c r="C289" s="80" t="str" cm="1">
        <f t="array" ref="C289">_xlfn.IFS(MONTH(D289)&lt;4,1,MONTH(D289)&lt;7,2,MONTH(D289)&lt;10,3,MONTH(D289)&gt;9,4)&amp;"Q"&amp;RIGHT(YEAR(D289),2)</f>
        <v>1Q17</v>
      </c>
      <c r="D289" s="81">
        <f t="shared" si="160"/>
        <v>42825</v>
      </c>
      <c r="E289" s="82">
        <f t="shared" si="157"/>
        <v>42804</v>
      </c>
      <c r="F289" s="83">
        <f t="shared" si="158"/>
        <v>0.86075</v>
      </c>
      <c r="G289" s="83">
        <f t="shared" si="158"/>
        <v>0.72625</v>
      </c>
      <c r="H289" s="81"/>
      <c r="I289" s="136">
        <v>42804</v>
      </c>
      <c r="J289" s="137">
        <v>8.05</v>
      </c>
      <c r="K289" s="137">
        <v>6.23</v>
      </c>
      <c r="L289" s="138">
        <v>6.886</v>
      </c>
      <c r="M289" s="94" cm="1">
        <f t="array" ref="M289">INDEX($BV$29:$BV$1449,MATCH($D289,$BR$29:$BR$1449,0),)</f>
        <v>5.81</v>
      </c>
      <c r="N289" s="88"/>
      <c r="O289" s="88"/>
      <c r="P289" s="88"/>
      <c r="Q289" s="89">
        <f t="shared" si="159"/>
        <v>0.185197934595525</v>
      </c>
      <c r="AH289" s="105">
        <f t="shared" ref="AH289:AH295" si="164">AH288+7</f>
        <v>44606</v>
      </c>
      <c r="AI289" s="91">
        <f t="shared" si="155"/>
        <v>3.86</v>
      </c>
      <c r="AJ289" s="36">
        <f t="shared" si="161"/>
        <v>0.0217046056114345</v>
      </c>
      <c r="AK289" s="36">
        <f t="shared" si="163"/>
        <v>0.0301574593007738</v>
      </c>
      <c r="AL289" s="105"/>
      <c r="AM289" s="91"/>
      <c r="AN289" s="36"/>
      <c r="AO289" s="36"/>
      <c r="AP289" s="36"/>
      <c r="AQ289" s="128" t="str" cm="1">
        <f t="array" ref="AQ289">_xlfn.IFS(MONTH(AR289)&lt;4,1,MONTH(AR289)&lt;7,2,MONTH(AR289)&lt;10,3,MONTH(AR289)&gt;9,4)&amp;"Q"&amp;RIGHT(YEAR(AR289),2)</f>
        <v>1Q24</v>
      </c>
      <c r="AR289" s="128">
        <f t="shared" si="162"/>
        <v>45351</v>
      </c>
      <c r="AS289" s="129">
        <f t="shared" si="156"/>
        <v>45334</v>
      </c>
      <c r="AT289" s="135">
        <v>74</v>
      </c>
      <c r="AU289" s="134" cm="1">
        <f t="array" ref="AU289">INDEX($CE$29:$CE$1449,MATCH($AR289,$CA$29:$CA$1449,0),)</f>
        <v>63.5</v>
      </c>
      <c r="AV289" s="135">
        <v>141.5</v>
      </c>
      <c r="AW289" s="134" cm="1">
        <f t="array" ref="AW289">INDEX($CF$29:$CF$1449,MATCH($AR289,$CA$29:$CA$1449,0),)</f>
        <v>127</v>
      </c>
      <c r="AX289" s="134"/>
      <c r="AY289" s="134" cm="1">
        <f t="array" ref="AY289">INDEX($CO$29:$CO$1449,MATCH($AR289,$CA$29:$CA$1449,0),)</f>
        <v>93.275</v>
      </c>
      <c r="AZ289" s="135"/>
      <c r="BA289" s="134" cm="1">
        <f t="array" ref="BA289">INDEX($CP$29:$CP$1449,MATCH($AR289,$CA$29:$CA$1449,0),)</f>
        <v>181.425</v>
      </c>
      <c r="BB289" s="133">
        <f t="shared" ref="BB289:BB352" si="165">AT289/AT288-1</f>
        <v>0</v>
      </c>
      <c r="BC289" s="132">
        <f t="shared" si="141"/>
        <v>0.0164835164835164</v>
      </c>
      <c r="BD289" s="132">
        <f t="shared" si="143"/>
        <v>0.0306406685236769</v>
      </c>
      <c r="BE289" s="133">
        <f t="shared" ref="BE289:BE352" si="166">AV289/AV288-1</f>
        <v>0</v>
      </c>
      <c r="BF289" s="132">
        <f t="shared" si="142"/>
        <v>0.0107142857142857</v>
      </c>
      <c r="BG289" s="132">
        <f t="shared" si="144"/>
        <v>0.0639097744360901</v>
      </c>
      <c r="BH289" s="132"/>
      <c r="BI289" s="132"/>
      <c r="BJ289" s="132"/>
      <c r="BK289" s="132"/>
      <c r="BL289" s="132"/>
      <c r="BM289" s="132"/>
      <c r="BN289" s="132"/>
      <c r="FV289" s="104">
        <f t="shared" si="147"/>
        <v>2011</v>
      </c>
      <c r="FW289" s="104">
        <f t="shared" si="148"/>
        <v>42</v>
      </c>
      <c r="FX289" s="35">
        <v>40827</v>
      </c>
      <c r="FY289" s="26">
        <v>1.04</v>
      </c>
      <c r="FZ289" s="94">
        <f t="shared" si="149"/>
        <v>4.16</v>
      </c>
      <c r="GA289" s="104"/>
      <c r="GB289" s="104"/>
      <c r="GE289" s="94"/>
      <c r="GF289" s="104">
        <f t="shared" si="150"/>
        <v>2014</v>
      </c>
      <c r="GG289" s="104">
        <f t="shared" si="151"/>
        <v>3</v>
      </c>
      <c r="GH289" s="35">
        <v>41656</v>
      </c>
      <c r="GI289" s="26">
        <v>4.186</v>
      </c>
      <c r="GJ289" s="94">
        <f t="shared" si="152"/>
        <v>8.372</v>
      </c>
      <c r="GK289" s="104"/>
      <c r="GL289" s="104"/>
      <c r="GO289" s="94"/>
    </row>
    <row r="290" spans="3:197">
      <c r="C290" s="80" t="str" cm="1">
        <f t="array" ref="C290">_xlfn.IFS(MONTH(D290)&lt;4,1,MONTH(D290)&lt;7,2,MONTH(D290)&lt;10,3,MONTH(D290)&gt;9,4)&amp;"Q"&amp;RIGHT(YEAR(D290),2)</f>
        <v>1Q17</v>
      </c>
      <c r="D290" s="81">
        <f t="shared" si="160"/>
        <v>42825</v>
      </c>
      <c r="E290" s="82">
        <f t="shared" si="157"/>
        <v>42807</v>
      </c>
      <c r="F290" s="83">
        <f t="shared" si="158"/>
        <v>0.86075</v>
      </c>
      <c r="G290" s="83">
        <f t="shared" si="158"/>
        <v>0.72625</v>
      </c>
      <c r="H290" s="81"/>
      <c r="I290" s="136">
        <v>42807</v>
      </c>
      <c r="J290" s="137">
        <v>8.05</v>
      </c>
      <c r="K290" s="137">
        <v>6.23</v>
      </c>
      <c r="L290" s="138">
        <v>6.886</v>
      </c>
      <c r="M290" s="94" cm="1">
        <f t="array" ref="M290">INDEX($BV$29:$BV$1449,MATCH($D290,$BR$29:$BR$1449,0),)</f>
        <v>5.81</v>
      </c>
      <c r="N290" s="88"/>
      <c r="O290" s="88"/>
      <c r="P290" s="139">
        <v>6.886</v>
      </c>
      <c r="Q290" s="89">
        <f t="shared" si="159"/>
        <v>0.185197934595525</v>
      </c>
      <c r="AH290" s="105">
        <f t="shared" si="164"/>
        <v>44613</v>
      </c>
      <c r="AI290" s="91">
        <f t="shared" si="155"/>
        <v>3.929</v>
      </c>
      <c r="AJ290" s="36">
        <f t="shared" si="161"/>
        <v>0.0178756476683937</v>
      </c>
      <c r="AK290" s="36">
        <f t="shared" si="163"/>
        <v>0.0399682371625198</v>
      </c>
      <c r="AL290" s="105"/>
      <c r="AM290" s="91"/>
      <c r="AN290" s="36"/>
      <c r="AO290" s="36"/>
      <c r="AP290" s="36"/>
      <c r="AQ290" s="128" t="str" cm="1">
        <f t="array" ref="AQ290">_xlfn.IFS(MONTH(AR290)&lt;4,1,MONTH(AR290)&lt;7,2,MONTH(AR290)&lt;10,3,MONTH(AR290)&gt;9,4)&amp;"Q"&amp;RIGHT(YEAR(AR290),2)</f>
        <v>1Q24</v>
      </c>
      <c r="AR290" s="128">
        <f t="shared" si="162"/>
        <v>45351</v>
      </c>
      <c r="AS290" s="129">
        <f t="shared" si="156"/>
        <v>45341</v>
      </c>
      <c r="AT290" s="135">
        <v>74.5</v>
      </c>
      <c r="AU290" s="134" cm="1">
        <f t="array" ref="AU290">INDEX($CE$29:$CE$1449,MATCH($AR290,$CA$29:$CA$1449,0),)</f>
        <v>63.5</v>
      </c>
      <c r="AV290" s="135">
        <v>142</v>
      </c>
      <c r="AW290" s="134" cm="1">
        <f t="array" ref="AW290">INDEX($CF$29:$CF$1449,MATCH($AR290,$CA$29:$CA$1449,0),)</f>
        <v>127</v>
      </c>
      <c r="AX290" s="134"/>
      <c r="AY290" s="134" cm="1">
        <f t="array" ref="AY290">INDEX($CO$29:$CO$1449,MATCH($AR290,$CA$29:$CA$1449,0),)</f>
        <v>93.275</v>
      </c>
      <c r="AZ290" s="135"/>
      <c r="BA290" s="134" cm="1">
        <f t="array" ref="BA290">INDEX($CP$29:$CP$1449,MATCH($AR290,$CA$29:$CA$1449,0),)</f>
        <v>181.425</v>
      </c>
      <c r="BB290" s="133">
        <f t="shared" si="165"/>
        <v>0.0067567567567568</v>
      </c>
      <c r="BC290" s="132">
        <f t="shared" ref="BC290:BC353" si="167">AT290/AT288-1</f>
        <v>0.0067567567567568</v>
      </c>
      <c r="BD290" s="132">
        <f t="shared" si="143"/>
        <v>0.0233516483516485</v>
      </c>
      <c r="BE290" s="133">
        <f t="shared" si="166"/>
        <v>0.00353356890459366</v>
      </c>
      <c r="BF290" s="132">
        <f t="shared" ref="BF290:BF353" si="168">AV290/AV288-1</f>
        <v>0.00353356890459366</v>
      </c>
      <c r="BG290" s="132">
        <f t="shared" si="144"/>
        <v>0.0142857142857142</v>
      </c>
      <c r="BH290" s="132"/>
      <c r="BI290" s="132"/>
      <c r="BJ290" s="132"/>
      <c r="BK290" s="132"/>
      <c r="BL290" s="132"/>
      <c r="BM290" s="132"/>
      <c r="BN290" s="132"/>
      <c r="FV290" s="104">
        <f t="shared" si="147"/>
        <v>2011</v>
      </c>
      <c r="FW290" s="104">
        <f t="shared" si="148"/>
        <v>42</v>
      </c>
      <c r="FX290" s="35">
        <v>40828</v>
      </c>
      <c r="FY290" s="26">
        <v>1.04</v>
      </c>
      <c r="FZ290" s="94">
        <f t="shared" si="149"/>
        <v>4.16</v>
      </c>
      <c r="GA290" s="104"/>
      <c r="GB290" s="104"/>
      <c r="GE290" s="94"/>
      <c r="GF290" s="104">
        <f t="shared" si="150"/>
        <v>2014</v>
      </c>
      <c r="GG290" s="104">
        <f t="shared" si="151"/>
        <v>4</v>
      </c>
      <c r="GH290" s="35">
        <v>41659</v>
      </c>
      <c r="GI290" s="26">
        <v>4.186</v>
      </c>
      <c r="GJ290" s="94">
        <f t="shared" si="152"/>
        <v>8.372</v>
      </c>
      <c r="GK290" s="104"/>
      <c r="GL290" s="104"/>
      <c r="GO290" s="94"/>
    </row>
    <row r="291" spans="3:197">
      <c r="C291" s="80" t="str" cm="1">
        <f t="array" ref="C291">_xlfn.IFS(MONTH(D291)&lt;4,1,MONTH(D291)&lt;7,2,MONTH(D291)&lt;10,3,MONTH(D291)&gt;9,4)&amp;"Q"&amp;RIGHT(YEAR(D291),2)</f>
        <v>1Q17</v>
      </c>
      <c r="D291" s="81">
        <f t="shared" si="160"/>
        <v>42825</v>
      </c>
      <c r="E291" s="82">
        <f t="shared" si="157"/>
        <v>42808</v>
      </c>
      <c r="F291" s="83">
        <f t="shared" si="158"/>
        <v>0.86075</v>
      </c>
      <c r="G291" s="83">
        <f t="shared" si="158"/>
        <v>0.72625</v>
      </c>
      <c r="H291" s="81"/>
      <c r="I291" s="136">
        <v>42808</v>
      </c>
      <c r="J291" s="137">
        <v>8.05</v>
      </c>
      <c r="K291" s="137">
        <v>6.23</v>
      </c>
      <c r="L291" s="138">
        <v>6.886</v>
      </c>
      <c r="M291" s="94" cm="1">
        <f t="array" ref="M291">INDEX($BV$29:$BV$1449,MATCH($D291,$BR$29:$BR$1449,0),)</f>
        <v>5.81</v>
      </c>
      <c r="N291" s="88"/>
      <c r="O291" s="88"/>
      <c r="P291" s="88"/>
      <c r="Q291" s="89">
        <f t="shared" si="159"/>
        <v>0.185197934595525</v>
      </c>
      <c r="AH291" s="105">
        <f t="shared" si="164"/>
        <v>44620</v>
      </c>
      <c r="AI291" s="91">
        <f t="shared" si="155"/>
        <v>3.931</v>
      </c>
      <c r="AJ291" s="36">
        <f t="shared" si="161"/>
        <v>0.000509035377958877</v>
      </c>
      <c r="AK291" s="36">
        <f t="shared" si="163"/>
        <v>0.0183937823834197</v>
      </c>
      <c r="AL291" s="105"/>
      <c r="AM291" s="91"/>
      <c r="AN291" s="36"/>
      <c r="AO291" s="36"/>
      <c r="AP291" s="36"/>
      <c r="AQ291" s="128" t="str" cm="1">
        <f t="array" ref="AQ291">_xlfn.IFS(MONTH(AR291)&lt;4,1,MONTH(AR291)&lt;7,2,MONTH(AR291)&lt;10,3,MONTH(AR291)&gt;9,4)&amp;"Q"&amp;RIGHT(YEAR(AR291),2)</f>
        <v>1Q24</v>
      </c>
      <c r="AR291" s="128">
        <f t="shared" si="162"/>
        <v>45351</v>
      </c>
      <c r="AS291" s="129">
        <f t="shared" si="156"/>
        <v>45348</v>
      </c>
      <c r="AT291" s="135">
        <v>74</v>
      </c>
      <c r="AU291" s="134" cm="1">
        <f t="array" ref="AU291">INDEX($CE$29:$CE$1449,MATCH($AR291,$CA$29:$CA$1449,0),)</f>
        <v>63.5</v>
      </c>
      <c r="AV291" s="135">
        <v>143.5</v>
      </c>
      <c r="AW291" s="134" cm="1">
        <f t="array" ref="AW291">INDEX($CF$29:$CF$1449,MATCH($AR291,$CA$29:$CA$1449,0),)</f>
        <v>127</v>
      </c>
      <c r="AX291" s="134"/>
      <c r="AY291" s="134" cm="1">
        <f t="array" ref="AY291">INDEX($CO$29:$CO$1449,MATCH($AR291,$CA$29:$CA$1449,0),)</f>
        <v>93.275</v>
      </c>
      <c r="AZ291" s="135"/>
      <c r="BA291" s="134" cm="1">
        <f t="array" ref="BA291">INDEX($CP$29:$CP$1449,MATCH($AR291,$CA$29:$CA$1449,0),)</f>
        <v>181.425</v>
      </c>
      <c r="BB291" s="133">
        <f t="shared" si="165"/>
        <v>-0.00671140939597314</v>
      </c>
      <c r="BC291" s="132">
        <f t="shared" si="167"/>
        <v>0</v>
      </c>
      <c r="BD291" s="132">
        <f t="shared" ref="BD291:BD354" si="169">AT291/AT288-1</f>
        <v>0</v>
      </c>
      <c r="BE291" s="133">
        <f t="shared" si="166"/>
        <v>0.0105633802816902</v>
      </c>
      <c r="BF291" s="132">
        <f t="shared" si="168"/>
        <v>0.0141342756183747</v>
      </c>
      <c r="BG291" s="132">
        <f t="shared" ref="BG291:BG354" si="170">AV291/AV288-1</f>
        <v>0.0141342756183747</v>
      </c>
      <c r="BH291" s="132"/>
      <c r="BI291" s="132"/>
      <c r="BJ291" s="132"/>
      <c r="BK291" s="132"/>
      <c r="BL291" s="132"/>
      <c r="BM291" s="132"/>
      <c r="BN291" s="132"/>
      <c r="FV291" s="104">
        <f t="shared" si="147"/>
        <v>2011</v>
      </c>
      <c r="FW291" s="104">
        <f t="shared" si="148"/>
        <v>42</v>
      </c>
      <c r="FX291" s="35">
        <v>40829</v>
      </c>
      <c r="FY291" s="26">
        <v>1.03</v>
      </c>
      <c r="FZ291" s="94">
        <f t="shared" si="149"/>
        <v>4.12</v>
      </c>
      <c r="GA291" s="104"/>
      <c r="GB291" s="104"/>
      <c r="GE291" s="94"/>
      <c r="GF291" s="104">
        <f t="shared" si="150"/>
        <v>2014</v>
      </c>
      <c r="GG291" s="104">
        <f t="shared" si="151"/>
        <v>4</v>
      </c>
      <c r="GH291" s="35">
        <v>41660</v>
      </c>
      <c r="GI291" s="26">
        <v>4.177</v>
      </c>
      <c r="GJ291" s="94">
        <f t="shared" si="152"/>
        <v>8.354</v>
      </c>
      <c r="GK291" s="104"/>
      <c r="GL291" s="104"/>
      <c r="GO291" s="94"/>
    </row>
    <row r="292" spans="3:197">
      <c r="C292" s="80" t="str" cm="1">
        <f t="array" ref="C292">_xlfn.IFS(MONTH(D292)&lt;4,1,MONTH(D292)&lt;7,2,MONTH(D292)&lt;10,3,MONTH(D292)&gt;9,4)&amp;"Q"&amp;RIGHT(YEAR(D292),2)</f>
        <v>1Q17</v>
      </c>
      <c r="D292" s="81">
        <f t="shared" si="160"/>
        <v>42825</v>
      </c>
      <c r="E292" s="82">
        <f t="shared" si="157"/>
        <v>42809</v>
      </c>
      <c r="F292" s="83">
        <f t="shared" si="158"/>
        <v>0.86075</v>
      </c>
      <c r="G292" s="83">
        <f t="shared" si="158"/>
        <v>0.72625</v>
      </c>
      <c r="H292" s="81"/>
      <c r="I292" s="136">
        <v>42809</v>
      </c>
      <c r="J292" s="137">
        <v>8.05</v>
      </c>
      <c r="K292" s="137">
        <v>6.2</v>
      </c>
      <c r="L292" s="138">
        <v>6.886</v>
      </c>
      <c r="M292" s="94" cm="1">
        <f t="array" ref="M292">INDEX($BV$29:$BV$1449,MATCH($D292,$BR$29:$BR$1449,0),)</f>
        <v>5.81</v>
      </c>
      <c r="N292" s="88"/>
      <c r="O292" s="88"/>
      <c r="P292" s="88"/>
      <c r="Q292" s="89">
        <f t="shared" si="159"/>
        <v>0.185197934595525</v>
      </c>
      <c r="AH292" s="105">
        <f t="shared" si="164"/>
        <v>44627</v>
      </c>
      <c r="AI292" s="91">
        <f t="shared" si="155"/>
        <v>3.904</v>
      </c>
      <c r="AJ292" s="36">
        <f t="shared" si="161"/>
        <v>-0.00686848130246764</v>
      </c>
      <c r="AK292" s="36">
        <f t="shared" si="163"/>
        <v>-0.00636294222448452</v>
      </c>
      <c r="AL292" s="105"/>
      <c r="AM292" s="91"/>
      <c r="AN292" s="36"/>
      <c r="AO292" s="36"/>
      <c r="AP292" s="36"/>
      <c r="AQ292" s="128" t="str" cm="1">
        <f t="array" ref="AQ292">_xlfn.IFS(MONTH(AR292)&lt;4,1,MONTH(AR292)&lt;7,2,MONTH(AR292)&lt;10,3,MONTH(AR292)&gt;9,4)&amp;"Q"&amp;RIGHT(YEAR(AR292),2)</f>
        <v>1Q24</v>
      </c>
      <c r="AR292" s="128">
        <f t="shared" si="162"/>
        <v>45382</v>
      </c>
      <c r="AS292" s="129">
        <f t="shared" si="156"/>
        <v>45355</v>
      </c>
      <c r="AT292" s="135">
        <v>73</v>
      </c>
      <c r="AU292" s="134" cm="1">
        <f t="array" ref="AU292">INDEX($CE$29:$CE$1449,MATCH($AR292,$CA$29:$CA$1449,0),)</f>
        <v>68</v>
      </c>
      <c r="AV292" s="135">
        <v>142.5</v>
      </c>
      <c r="AW292" s="134" cm="1">
        <f t="array" ref="AW292">INDEX($CF$29:$CF$1449,MATCH($AR292,$CA$29:$CA$1449,0),)</f>
        <v>136</v>
      </c>
      <c r="AX292" s="134"/>
      <c r="AY292" s="134" cm="1">
        <f t="array" ref="AY292">INDEX($CO$29:$CO$1449,MATCH($AR292,$CA$29:$CA$1449,0),)</f>
        <v>97.375</v>
      </c>
      <c r="AZ292" s="135"/>
      <c r="BA292" s="134" cm="1">
        <f t="array" ref="BA292">INDEX($CP$29:$CP$1449,MATCH($AR292,$CA$29:$CA$1449,0),)</f>
        <v>194.75</v>
      </c>
      <c r="BB292" s="133">
        <f t="shared" si="165"/>
        <v>-0.0135135135135135</v>
      </c>
      <c r="BC292" s="132">
        <f t="shared" si="167"/>
        <v>-0.0201342281879194</v>
      </c>
      <c r="BD292" s="132">
        <f t="shared" si="169"/>
        <v>-0.0135135135135135</v>
      </c>
      <c r="BE292" s="133">
        <f t="shared" si="166"/>
        <v>-0.00696864111498263</v>
      </c>
      <c r="BF292" s="132">
        <f t="shared" si="168"/>
        <v>0.00352112676056349</v>
      </c>
      <c r="BG292" s="132">
        <f t="shared" si="170"/>
        <v>0.00706713780918733</v>
      </c>
      <c r="BH292" s="132"/>
      <c r="BI292" s="132"/>
      <c r="BJ292" s="132"/>
      <c r="BK292" s="132"/>
      <c r="BL292" s="132"/>
      <c r="BM292" s="132"/>
      <c r="BN292" s="132"/>
      <c r="FV292" s="104">
        <f t="shared" si="147"/>
        <v>2011</v>
      </c>
      <c r="FW292" s="104">
        <f t="shared" si="148"/>
        <v>42</v>
      </c>
      <c r="FX292" s="35">
        <v>40830</v>
      </c>
      <c r="FY292" s="26">
        <v>1.02</v>
      </c>
      <c r="FZ292" s="94">
        <f t="shared" si="149"/>
        <v>4.08</v>
      </c>
      <c r="GA292" s="104"/>
      <c r="GB292" s="104"/>
      <c r="GE292" s="94"/>
      <c r="GF292" s="104">
        <f t="shared" si="150"/>
        <v>2014</v>
      </c>
      <c r="GG292" s="104">
        <f t="shared" si="151"/>
        <v>4</v>
      </c>
      <c r="GH292" s="35">
        <v>41661</v>
      </c>
      <c r="GI292" s="26">
        <v>4.177</v>
      </c>
      <c r="GJ292" s="94">
        <f t="shared" si="152"/>
        <v>8.354</v>
      </c>
      <c r="GK292" s="104"/>
      <c r="GL292" s="104"/>
      <c r="GO292" s="94"/>
    </row>
    <row r="293" spans="3:197">
      <c r="C293" s="80" t="str" cm="1">
        <f t="array" ref="C293">_xlfn.IFS(MONTH(D293)&lt;4,1,MONTH(D293)&lt;7,2,MONTH(D293)&lt;10,3,MONTH(D293)&gt;9,4)&amp;"Q"&amp;RIGHT(YEAR(D293),2)</f>
        <v>1Q17</v>
      </c>
      <c r="D293" s="81">
        <f t="shared" si="160"/>
        <v>42825</v>
      </c>
      <c r="E293" s="82">
        <f t="shared" si="157"/>
        <v>42810</v>
      </c>
      <c r="F293" s="83">
        <f t="shared" si="158"/>
        <v>0.848</v>
      </c>
      <c r="G293" s="83">
        <f t="shared" si="158"/>
        <v>0.72625</v>
      </c>
      <c r="H293" s="81"/>
      <c r="I293" s="140">
        <v>42810</v>
      </c>
      <c r="J293" s="141">
        <v>8</v>
      </c>
      <c r="K293" s="141">
        <v>6.2</v>
      </c>
      <c r="L293" s="142">
        <v>6.784</v>
      </c>
      <c r="M293" s="94" cm="1">
        <f t="array" ref="M293">INDEX($BV$29:$BV$1449,MATCH($D293,$BR$29:$BR$1449,0),)</f>
        <v>5.81</v>
      </c>
      <c r="N293" s="88"/>
      <c r="O293" s="88"/>
      <c r="P293" s="88"/>
      <c r="Q293" s="89">
        <f t="shared" si="159"/>
        <v>0.167641996557659</v>
      </c>
      <c r="AH293" s="105">
        <f t="shared" si="164"/>
        <v>44634</v>
      </c>
      <c r="AI293" s="91">
        <f t="shared" si="155"/>
        <v>3.891</v>
      </c>
      <c r="AJ293" s="36">
        <f t="shared" si="161"/>
        <v>-0.00332991803278682</v>
      </c>
      <c r="AK293" s="36">
        <f t="shared" si="163"/>
        <v>-0.0101755278555075</v>
      </c>
      <c r="AL293" s="105"/>
      <c r="AM293" s="91"/>
      <c r="AN293" s="36"/>
      <c r="AO293" s="36"/>
      <c r="AP293" s="36"/>
      <c r="AQ293" s="128" t="str" cm="1">
        <f t="array" ref="AQ293">_xlfn.IFS(MONTH(AR293)&lt;4,1,MONTH(AR293)&lt;7,2,MONTH(AR293)&lt;10,3,MONTH(AR293)&gt;9,4)&amp;"Q"&amp;RIGHT(YEAR(AR293),2)</f>
        <v>1Q24</v>
      </c>
      <c r="AR293" s="128">
        <f t="shared" si="162"/>
        <v>45382</v>
      </c>
      <c r="AS293" s="129">
        <f t="shared" si="156"/>
        <v>45362</v>
      </c>
      <c r="AT293" s="135">
        <v>72</v>
      </c>
      <c r="AU293" s="134" cm="1">
        <f t="array" ref="AU293">INDEX($CE$29:$CE$1449,MATCH($AR293,$CA$29:$CA$1449,0),)</f>
        <v>68</v>
      </c>
      <c r="AV293" s="135">
        <v>140</v>
      </c>
      <c r="AW293" s="134" cm="1">
        <f t="array" ref="AW293">INDEX($CF$29:$CF$1449,MATCH($AR293,$CA$29:$CA$1449,0),)</f>
        <v>136</v>
      </c>
      <c r="AX293" s="134"/>
      <c r="AY293" s="134" cm="1">
        <f t="array" ref="AY293">INDEX($CO$29:$CO$1449,MATCH($AR293,$CA$29:$CA$1449,0),)</f>
        <v>97.375</v>
      </c>
      <c r="AZ293" s="135"/>
      <c r="BA293" s="134" cm="1">
        <f t="array" ref="BA293">INDEX($CP$29:$CP$1449,MATCH($AR293,$CA$29:$CA$1449,0),)</f>
        <v>194.75</v>
      </c>
      <c r="BB293" s="133">
        <f t="shared" si="165"/>
        <v>-0.0136986301369864</v>
      </c>
      <c r="BC293" s="132">
        <f t="shared" si="167"/>
        <v>-0.027027027027027</v>
      </c>
      <c r="BD293" s="132">
        <f t="shared" si="169"/>
        <v>-0.0335570469798657</v>
      </c>
      <c r="BE293" s="133">
        <f t="shared" si="166"/>
        <v>-0.0175438596491229</v>
      </c>
      <c r="BF293" s="132">
        <f t="shared" si="168"/>
        <v>-0.024390243902439</v>
      </c>
      <c r="BG293" s="132">
        <f t="shared" si="170"/>
        <v>-0.0140845070422535</v>
      </c>
      <c r="BH293" s="132"/>
      <c r="BI293" s="132"/>
      <c r="BJ293" s="132"/>
      <c r="BK293" s="132"/>
      <c r="BL293" s="132"/>
      <c r="BM293" s="132"/>
      <c r="BN293" s="132"/>
      <c r="FV293" s="104">
        <f t="shared" si="147"/>
        <v>2011</v>
      </c>
      <c r="FW293" s="104">
        <f t="shared" si="148"/>
        <v>43</v>
      </c>
      <c r="FX293" s="35">
        <v>40833</v>
      </c>
      <c r="FY293" s="26">
        <v>1.02</v>
      </c>
      <c r="FZ293" s="94">
        <f t="shared" si="149"/>
        <v>4.08</v>
      </c>
      <c r="GA293" s="104"/>
      <c r="GB293" s="104"/>
      <c r="GE293" s="94"/>
      <c r="GF293" s="104">
        <f t="shared" si="150"/>
        <v>2014</v>
      </c>
      <c r="GG293" s="104">
        <f t="shared" si="151"/>
        <v>4</v>
      </c>
      <c r="GH293" s="35">
        <v>41662</v>
      </c>
      <c r="GI293" s="26">
        <v>4.177</v>
      </c>
      <c r="GJ293" s="94">
        <f t="shared" si="152"/>
        <v>8.354</v>
      </c>
      <c r="GK293" s="104"/>
      <c r="GL293" s="104"/>
      <c r="GO293" s="94"/>
    </row>
    <row r="294" spans="3:197">
      <c r="C294" s="80" t="str" cm="1">
        <f t="array" ref="C294">_xlfn.IFS(MONTH(D294)&lt;4,1,MONTH(D294)&lt;7,2,MONTH(D294)&lt;10,3,MONTH(D294)&gt;9,4)&amp;"Q"&amp;RIGHT(YEAR(D294),2)</f>
        <v>1Q17</v>
      </c>
      <c r="D294" s="81">
        <f t="shared" si="160"/>
        <v>42825</v>
      </c>
      <c r="E294" s="82">
        <v>42811</v>
      </c>
      <c r="F294" s="83">
        <f t="shared" si="158"/>
        <v>0.84925</v>
      </c>
      <c r="G294" s="83">
        <f t="shared" si="158"/>
        <v>0.72625</v>
      </c>
      <c r="H294" s="81"/>
      <c r="I294" s="143">
        <v>42811</v>
      </c>
      <c r="J294" s="144">
        <v>8</v>
      </c>
      <c r="K294" s="144">
        <v>6.21</v>
      </c>
      <c r="L294" s="145">
        <v>6.794</v>
      </c>
      <c r="M294" s="94" cm="1">
        <f t="array" ref="M294">INDEX($BV$29:$BV$1449,MATCH($D294,$BR$29:$BR$1449,0),)</f>
        <v>5.81</v>
      </c>
      <c r="N294" s="88"/>
      <c r="O294" s="88"/>
      <c r="P294" s="88"/>
      <c r="Q294" s="89">
        <f t="shared" si="159"/>
        <v>0.169363166953528</v>
      </c>
      <c r="AH294" s="105">
        <f t="shared" si="164"/>
        <v>44641</v>
      </c>
      <c r="AI294" s="91">
        <f t="shared" si="155"/>
        <v>3.823</v>
      </c>
      <c r="AJ294" s="36">
        <f t="shared" si="161"/>
        <v>-0.0174762271909535</v>
      </c>
      <c r="AK294" s="36">
        <f t="shared" si="163"/>
        <v>-0.0207479508196721</v>
      </c>
      <c r="AL294" s="105"/>
      <c r="AM294" s="91"/>
      <c r="AN294" s="36"/>
      <c r="AO294" s="36"/>
      <c r="AP294" s="36"/>
      <c r="AQ294" s="128" t="str" cm="1">
        <f t="array" ref="AQ294">_xlfn.IFS(MONTH(AR294)&lt;4,1,MONTH(AR294)&lt;7,2,MONTH(AR294)&lt;10,3,MONTH(AR294)&gt;9,4)&amp;"Q"&amp;RIGHT(YEAR(AR294),2)</f>
        <v>1Q24</v>
      </c>
      <c r="AR294" s="128">
        <f t="shared" si="162"/>
        <v>45382</v>
      </c>
      <c r="AS294" s="129">
        <f t="shared" si="156"/>
        <v>45369</v>
      </c>
      <c r="AT294" s="135">
        <v>71</v>
      </c>
      <c r="AU294" s="134" cm="1">
        <f t="array" ref="AU294">INDEX($CE$29:$CE$1449,MATCH($AR294,$CA$29:$CA$1449,0),)</f>
        <v>68</v>
      </c>
      <c r="AV294" s="135">
        <v>138</v>
      </c>
      <c r="AW294" s="134" cm="1">
        <f t="array" ref="AW294">INDEX($CF$29:$CF$1449,MATCH($AR294,$CA$29:$CA$1449,0),)</f>
        <v>136</v>
      </c>
      <c r="AX294" s="134"/>
      <c r="AY294" s="134" cm="1">
        <f t="array" ref="AY294">INDEX($CO$29:$CO$1449,MATCH($AR294,$CA$29:$CA$1449,0),)</f>
        <v>97.375</v>
      </c>
      <c r="AZ294" s="135"/>
      <c r="BA294" s="134" cm="1">
        <f t="array" ref="BA294">INDEX($CP$29:$CP$1449,MATCH($AR294,$CA$29:$CA$1449,0),)</f>
        <v>194.75</v>
      </c>
      <c r="BB294" s="133">
        <f t="shared" si="165"/>
        <v>-0.0138888888888888</v>
      </c>
      <c r="BC294" s="132">
        <f t="shared" si="167"/>
        <v>-0.0273972602739726</v>
      </c>
      <c r="BD294" s="132">
        <f t="shared" si="169"/>
        <v>-0.0405405405405406</v>
      </c>
      <c r="BE294" s="133">
        <f t="shared" si="166"/>
        <v>-0.0142857142857142</v>
      </c>
      <c r="BF294" s="132">
        <f t="shared" si="168"/>
        <v>-0.031578947368421</v>
      </c>
      <c r="BG294" s="132">
        <f t="shared" si="170"/>
        <v>-0.0383275261324042</v>
      </c>
      <c r="BH294" s="132"/>
      <c r="BI294" s="132"/>
      <c r="BJ294" s="132"/>
      <c r="BK294" s="132"/>
      <c r="BL294" s="132"/>
      <c r="BM294" s="132"/>
      <c r="BN294" s="132"/>
      <c r="FV294" s="104">
        <f t="shared" si="147"/>
        <v>2011</v>
      </c>
      <c r="FW294" s="104">
        <f t="shared" si="148"/>
        <v>43</v>
      </c>
      <c r="FX294" s="35">
        <v>40834</v>
      </c>
      <c r="FY294" s="26">
        <v>1</v>
      </c>
      <c r="FZ294" s="94">
        <f t="shared" si="149"/>
        <v>4</v>
      </c>
      <c r="GA294" s="104"/>
      <c r="GB294" s="104"/>
      <c r="GE294" s="94"/>
      <c r="GF294" s="104">
        <f t="shared" si="150"/>
        <v>2014</v>
      </c>
      <c r="GG294" s="104">
        <f t="shared" si="151"/>
        <v>4</v>
      </c>
      <c r="GH294" s="35">
        <v>41663</v>
      </c>
      <c r="GI294" s="26">
        <v>4.177</v>
      </c>
      <c r="GJ294" s="94">
        <f t="shared" si="152"/>
        <v>8.354</v>
      </c>
      <c r="GK294" s="104"/>
      <c r="GL294" s="104"/>
      <c r="GO294" s="94"/>
    </row>
    <row r="295" spans="3:197">
      <c r="C295" s="80" t="str" cm="1">
        <f t="array" ref="C295">_xlfn.IFS(MONTH(D295)&lt;4,1,MONTH(D295)&lt;7,2,MONTH(D295)&lt;10,3,MONTH(D295)&gt;9,4)&amp;"Q"&amp;RIGHT(YEAR(D295),2)</f>
        <v>1Q17</v>
      </c>
      <c r="D295" s="81">
        <f t="shared" si="160"/>
        <v>42825</v>
      </c>
      <c r="E295" s="82">
        <v>42814</v>
      </c>
      <c r="F295" s="83">
        <f t="shared" si="158"/>
        <v>0.852625</v>
      </c>
      <c r="G295" s="83">
        <f t="shared" si="158"/>
        <v>0.72625</v>
      </c>
      <c r="H295" s="81"/>
      <c r="I295" s="143">
        <v>42814</v>
      </c>
      <c r="J295" s="144">
        <v>7.95</v>
      </c>
      <c r="K295" s="144">
        <v>6.23</v>
      </c>
      <c r="L295" s="145">
        <v>6.821</v>
      </c>
      <c r="M295" s="94" cm="1">
        <f t="array" ref="M295">INDEX($BV$29:$BV$1449,MATCH($D295,$BR$29:$BR$1449,0),)</f>
        <v>5.81</v>
      </c>
      <c r="N295" s="88"/>
      <c r="O295" s="88"/>
      <c r="P295" s="88"/>
      <c r="Q295" s="89">
        <f t="shared" si="159"/>
        <v>0.174010327022375</v>
      </c>
      <c r="AH295" s="105">
        <f t="shared" si="164"/>
        <v>44648</v>
      </c>
      <c r="AI295" s="91">
        <f t="shared" si="155"/>
        <v>3.774</v>
      </c>
      <c r="AJ295" s="36">
        <f t="shared" si="161"/>
        <v>-0.0128171592989799</v>
      </c>
      <c r="AK295" s="36">
        <f t="shared" si="163"/>
        <v>-0.0300693909020817</v>
      </c>
      <c r="AL295" s="105"/>
      <c r="AM295" s="91"/>
      <c r="AN295" s="36"/>
      <c r="AO295" s="36"/>
      <c r="AP295" s="36"/>
      <c r="AQ295" s="128" t="str" cm="1">
        <f t="array" ref="AQ295">_xlfn.IFS(MONTH(AR295)&lt;4,1,MONTH(AR295)&lt;7,2,MONTH(AR295)&lt;10,3,MONTH(AR295)&gt;9,4)&amp;"Q"&amp;RIGHT(YEAR(AR295),2)</f>
        <v>1Q24</v>
      </c>
      <c r="AR295" s="128">
        <f t="shared" si="162"/>
        <v>45382</v>
      </c>
      <c r="AS295" s="129">
        <f t="shared" si="156"/>
        <v>45376</v>
      </c>
      <c r="AT295" s="135">
        <v>70.8</v>
      </c>
      <c r="AU295" s="134" cm="1">
        <f t="array" ref="AU295">INDEX($CE$29:$CE$1449,MATCH($AR295,$CA$29:$CA$1449,0),)</f>
        <v>68</v>
      </c>
      <c r="AV295" s="135">
        <v>138</v>
      </c>
      <c r="AW295" s="134" cm="1">
        <f t="array" ref="AW295">INDEX($CF$29:$CF$1449,MATCH($AR295,$CA$29:$CA$1449,0),)</f>
        <v>136</v>
      </c>
      <c r="AX295" s="134"/>
      <c r="AY295" s="134" cm="1">
        <f t="array" ref="AY295">INDEX($CO$29:$CO$1449,MATCH($AR295,$CA$29:$CA$1449,0),)</f>
        <v>97.375</v>
      </c>
      <c r="AZ295" s="135"/>
      <c r="BA295" s="134" cm="1">
        <f t="array" ref="BA295">INDEX($CP$29:$CP$1449,MATCH($AR295,$CA$29:$CA$1449,0),)</f>
        <v>194.75</v>
      </c>
      <c r="BB295" s="133">
        <f t="shared" si="165"/>
        <v>-0.0028169014084507</v>
      </c>
      <c r="BC295" s="132">
        <f t="shared" si="167"/>
        <v>-0.0166666666666667</v>
      </c>
      <c r="BD295" s="132">
        <f t="shared" si="169"/>
        <v>-0.0301369863013699</v>
      </c>
      <c r="BE295" s="133">
        <f t="shared" si="166"/>
        <v>0</v>
      </c>
      <c r="BF295" s="132">
        <f t="shared" si="168"/>
        <v>-0.0142857142857142</v>
      </c>
      <c r="BG295" s="132">
        <f t="shared" si="170"/>
        <v>-0.031578947368421</v>
      </c>
      <c r="BH295" s="132"/>
      <c r="BI295" s="132"/>
      <c r="BJ295" s="132"/>
      <c r="BK295" s="132"/>
      <c r="BL295" s="132"/>
      <c r="BM295" s="132"/>
      <c r="BN295" s="132"/>
      <c r="FV295" s="104">
        <f t="shared" si="147"/>
        <v>2011</v>
      </c>
      <c r="FW295" s="104">
        <f t="shared" si="148"/>
        <v>43</v>
      </c>
      <c r="FX295" s="35">
        <v>40835</v>
      </c>
      <c r="FY295" s="26">
        <v>0.98</v>
      </c>
      <c r="FZ295" s="94">
        <f t="shared" si="149"/>
        <v>3.92</v>
      </c>
      <c r="GA295" s="104"/>
      <c r="GB295" s="104"/>
      <c r="GE295" s="94"/>
      <c r="GF295" s="104">
        <f t="shared" si="150"/>
        <v>2014</v>
      </c>
      <c r="GG295" s="104">
        <f t="shared" si="151"/>
        <v>5</v>
      </c>
      <c r="GH295" s="35">
        <v>41666</v>
      </c>
      <c r="GI295" s="26">
        <v>4.177</v>
      </c>
      <c r="GJ295" s="94">
        <f t="shared" si="152"/>
        <v>8.354</v>
      </c>
      <c r="GK295" s="104"/>
      <c r="GL295" s="104"/>
      <c r="GO295" s="94"/>
    </row>
    <row r="296" spans="3:197">
      <c r="C296" s="80" t="str" cm="1">
        <f t="array" ref="C296">_xlfn.IFS(MONTH(D296)&lt;4,1,MONTH(D296)&lt;7,2,MONTH(D296)&lt;10,3,MONTH(D296)&gt;9,4)&amp;"Q"&amp;RIGHT(YEAR(D296),2)</f>
        <v>1Q17</v>
      </c>
      <c r="D296" s="81">
        <f t="shared" si="160"/>
        <v>42825</v>
      </c>
      <c r="E296" s="82">
        <v>42815</v>
      </c>
      <c r="F296" s="83">
        <f t="shared" si="158"/>
        <v>0.852875</v>
      </c>
      <c r="G296" s="83">
        <f t="shared" si="158"/>
        <v>0.72625</v>
      </c>
      <c r="H296" s="81"/>
      <c r="I296" s="143">
        <v>42815</v>
      </c>
      <c r="J296" s="144">
        <v>7.9</v>
      </c>
      <c r="K296" s="144">
        <v>6.23</v>
      </c>
      <c r="L296" s="145">
        <v>6.823</v>
      </c>
      <c r="M296" s="94" cm="1">
        <f t="array" ref="M296">INDEX($BV$29:$BV$1449,MATCH($D296,$BR$29:$BR$1449,0),)</f>
        <v>5.81</v>
      </c>
      <c r="N296" s="88"/>
      <c r="O296" s="88"/>
      <c r="P296" s="88"/>
      <c r="Q296" s="89">
        <f t="shared" si="159"/>
        <v>0.174354561101549</v>
      </c>
      <c r="AH296" s="105">
        <f>AH295+9</f>
        <v>44657</v>
      </c>
      <c r="AI296" s="91">
        <f t="shared" si="155"/>
        <v>3.736</v>
      </c>
      <c r="AJ296" s="36">
        <f t="shared" si="161"/>
        <v>-0.0100688924218335</v>
      </c>
      <c r="AK296" s="36">
        <f t="shared" si="163"/>
        <v>-0.0227569971226784</v>
      </c>
      <c r="AL296" s="105"/>
      <c r="AM296" s="91"/>
      <c r="AN296" s="36"/>
      <c r="AO296" s="36"/>
      <c r="AP296" s="36"/>
      <c r="AQ296" s="128" t="str" cm="1">
        <f t="array" ref="AQ296">_xlfn.IFS(MONTH(AR296)&lt;4,1,MONTH(AR296)&lt;7,2,MONTH(AR296)&lt;10,3,MONTH(AR296)&gt;9,4)&amp;"Q"&amp;RIGHT(YEAR(AR296),2)</f>
        <v>2Q24</v>
      </c>
      <c r="AR296" s="128">
        <f t="shared" si="162"/>
        <v>45412</v>
      </c>
      <c r="AS296" s="129">
        <f t="shared" si="156"/>
        <v>45383</v>
      </c>
      <c r="AT296" s="135">
        <v>70.5</v>
      </c>
      <c r="AU296" s="134" cm="1">
        <f t="array" ref="AU296">INDEX($CE$29:$CE$1449,MATCH($AR296,$CA$29:$CA$1449,0),)</f>
        <v>75</v>
      </c>
      <c r="AV296" s="135">
        <v>137.7</v>
      </c>
      <c r="AW296" s="134" cm="1">
        <f t="array" ref="AW296">INDEX($CF$29:$CF$1449,MATCH($AR296,$CA$29:$CA$1449,0),)</f>
        <v>150</v>
      </c>
      <c r="AX296" s="134"/>
      <c r="AY296" s="134" cm="1">
        <f t="array" ref="AY296">INDEX($CO$29:$CO$1449,MATCH($AR296,$CA$29:$CA$1449,0),)</f>
        <v>107.625</v>
      </c>
      <c r="AZ296" s="135"/>
      <c r="BA296" s="134" cm="1">
        <f t="array" ref="BA296">INDEX($CP$29:$CP$1449,MATCH($AR296,$CA$29:$CA$1449,0),)</f>
        <v>215.25</v>
      </c>
      <c r="BB296" s="133">
        <f t="shared" si="165"/>
        <v>-0.00423728813559321</v>
      </c>
      <c r="BC296" s="132">
        <f t="shared" si="167"/>
        <v>-0.00704225352112675</v>
      </c>
      <c r="BD296" s="132">
        <f t="shared" si="169"/>
        <v>-0.0208333333333334</v>
      </c>
      <c r="BE296" s="133">
        <f t="shared" si="166"/>
        <v>-0.00217391304347836</v>
      </c>
      <c r="BF296" s="132">
        <f t="shared" si="168"/>
        <v>-0.00217391304347836</v>
      </c>
      <c r="BG296" s="132">
        <f t="shared" si="170"/>
        <v>-0.0164285714285715</v>
      </c>
      <c r="BH296" s="132"/>
      <c r="BI296" s="132"/>
      <c r="BJ296" s="132"/>
      <c r="BK296" s="132"/>
      <c r="BL296" s="132"/>
      <c r="BM296" s="132"/>
      <c r="BN296" s="132"/>
      <c r="FV296" s="104">
        <f t="shared" si="147"/>
        <v>2011</v>
      </c>
      <c r="FW296" s="104">
        <f t="shared" si="148"/>
        <v>43</v>
      </c>
      <c r="FX296" s="35">
        <v>40836</v>
      </c>
      <c r="FY296" s="26">
        <v>0.98</v>
      </c>
      <c r="FZ296" s="94">
        <f t="shared" si="149"/>
        <v>3.92</v>
      </c>
      <c r="GA296" s="104"/>
      <c r="GB296" s="104"/>
      <c r="GE296" s="94"/>
      <c r="GF296" s="104">
        <f t="shared" si="150"/>
        <v>2014</v>
      </c>
      <c r="GG296" s="104">
        <f t="shared" si="151"/>
        <v>5</v>
      </c>
      <c r="GH296" s="35">
        <v>41667</v>
      </c>
      <c r="GI296" s="26">
        <v>4.177</v>
      </c>
      <c r="GJ296" s="94">
        <f t="shared" si="152"/>
        <v>8.354</v>
      </c>
      <c r="GK296" s="104"/>
      <c r="GL296" s="104"/>
      <c r="GO296" s="94"/>
    </row>
    <row r="297" spans="3:197">
      <c r="C297" s="80" t="str" cm="1">
        <f t="array" ref="C297">_xlfn.IFS(MONTH(D297)&lt;4,1,MONTH(D297)&lt;7,2,MONTH(D297)&lt;10,3,MONTH(D297)&gt;9,4)&amp;"Q"&amp;RIGHT(YEAR(D297),2)</f>
        <v>1Q17</v>
      </c>
      <c r="D297" s="81">
        <f t="shared" si="160"/>
        <v>42825</v>
      </c>
      <c r="E297" s="82">
        <v>42816</v>
      </c>
      <c r="F297" s="83">
        <f t="shared" si="158"/>
        <v>0.852875</v>
      </c>
      <c r="G297" s="83">
        <f t="shared" si="158"/>
        <v>0.72625</v>
      </c>
      <c r="H297" s="81"/>
      <c r="I297" s="143">
        <v>42816</v>
      </c>
      <c r="J297" s="144">
        <v>7.85</v>
      </c>
      <c r="K297" s="144">
        <v>6.23</v>
      </c>
      <c r="L297" s="145">
        <v>6.823</v>
      </c>
      <c r="M297" s="94" cm="1">
        <f t="array" ref="M297">INDEX($BV$29:$BV$1449,MATCH($D297,$BR$29:$BR$1449,0),)</f>
        <v>5.81</v>
      </c>
      <c r="N297" s="88"/>
      <c r="O297" s="88"/>
      <c r="P297" s="88"/>
      <c r="Q297" s="89">
        <f t="shared" si="159"/>
        <v>0.174354561101549</v>
      </c>
      <c r="AH297" s="105">
        <f>AH296+5</f>
        <v>44662</v>
      </c>
      <c r="AI297" s="91">
        <f t="shared" si="155"/>
        <v>3.678</v>
      </c>
      <c r="AJ297" s="36">
        <f t="shared" si="161"/>
        <v>-0.0155246252676661</v>
      </c>
      <c r="AK297" s="36">
        <f t="shared" si="163"/>
        <v>-0.0254372019077902</v>
      </c>
      <c r="AL297" s="105"/>
      <c r="AM297" s="91"/>
      <c r="AN297" s="36"/>
      <c r="AO297" s="36"/>
      <c r="AP297" s="36"/>
      <c r="AQ297" s="128" t="str" cm="1">
        <f t="array" ref="AQ297">_xlfn.IFS(MONTH(AR297)&lt;4,1,MONTH(AR297)&lt;7,2,MONTH(AR297)&lt;10,3,MONTH(AR297)&gt;9,4)&amp;"Q"&amp;RIGHT(YEAR(AR297),2)</f>
        <v>2Q24</v>
      </c>
      <c r="AR297" s="128">
        <f t="shared" si="162"/>
        <v>45412</v>
      </c>
      <c r="AS297" s="129">
        <f t="shared" si="156"/>
        <v>45390</v>
      </c>
      <c r="AT297" s="135">
        <v>70.5</v>
      </c>
      <c r="AU297" s="134" cm="1">
        <f t="array" ref="AU297">INDEX($CE$29:$CE$1449,MATCH($AR297,$CA$29:$CA$1449,0),)</f>
        <v>75</v>
      </c>
      <c r="AV297" s="135">
        <v>137.5</v>
      </c>
      <c r="AW297" s="134" cm="1">
        <f t="array" ref="AW297">INDEX($CF$29:$CF$1449,MATCH($AR297,$CA$29:$CA$1449,0),)</f>
        <v>150</v>
      </c>
      <c r="AX297" s="134"/>
      <c r="AY297" s="134" cm="1">
        <f t="array" ref="AY297">INDEX($CO$29:$CO$1449,MATCH($AR297,$CA$29:$CA$1449,0),)</f>
        <v>107.625</v>
      </c>
      <c r="AZ297" s="135"/>
      <c r="BA297" s="134" cm="1">
        <f t="array" ref="BA297">INDEX($CP$29:$CP$1449,MATCH($AR297,$CA$29:$CA$1449,0),)</f>
        <v>215.25</v>
      </c>
      <c r="BB297" s="133">
        <f t="shared" si="165"/>
        <v>0</v>
      </c>
      <c r="BC297" s="132">
        <f t="shared" si="167"/>
        <v>-0.00423728813559321</v>
      </c>
      <c r="BD297" s="132">
        <f t="shared" si="169"/>
        <v>-0.00704225352112675</v>
      </c>
      <c r="BE297" s="133">
        <f t="shared" si="166"/>
        <v>-0.00145243282498175</v>
      </c>
      <c r="BF297" s="132">
        <f t="shared" si="168"/>
        <v>-0.00362318840579712</v>
      </c>
      <c r="BG297" s="132">
        <f t="shared" si="170"/>
        <v>-0.00362318840579712</v>
      </c>
      <c r="BH297" s="132"/>
      <c r="BI297" s="132"/>
      <c r="BJ297" s="132"/>
      <c r="BK297" s="132"/>
      <c r="BL297" s="132"/>
      <c r="BM297" s="132"/>
      <c r="BN297" s="132"/>
      <c r="FV297" s="104">
        <f t="shared" si="147"/>
        <v>2011</v>
      </c>
      <c r="FW297" s="104">
        <f t="shared" si="148"/>
        <v>43</v>
      </c>
      <c r="FX297" s="35">
        <v>40837</v>
      </c>
      <c r="FY297" s="26">
        <v>0.97</v>
      </c>
      <c r="FZ297" s="94">
        <f t="shared" si="149"/>
        <v>3.88</v>
      </c>
      <c r="GA297" s="104"/>
      <c r="GB297" s="104"/>
      <c r="GE297" s="94"/>
      <c r="GF297" s="104">
        <f t="shared" si="150"/>
        <v>2014</v>
      </c>
      <c r="GG297" s="104">
        <f t="shared" si="151"/>
        <v>5</v>
      </c>
      <c r="GH297" s="35">
        <v>41668</v>
      </c>
      <c r="GI297" s="26">
        <v>4.174</v>
      </c>
      <c r="GJ297" s="94">
        <f t="shared" si="152"/>
        <v>8.348</v>
      </c>
      <c r="GK297" s="104"/>
      <c r="GL297" s="104"/>
      <c r="GO297" s="94"/>
    </row>
    <row r="298" spans="3:197">
      <c r="C298" s="80" t="str" cm="1">
        <f t="array" ref="C298">_xlfn.IFS(MONTH(D298)&lt;4,1,MONTH(D298)&lt;7,2,MONTH(D298)&lt;10,3,MONTH(D298)&gt;9,4)&amp;"Q"&amp;RIGHT(YEAR(D298),2)</f>
        <v>1Q17</v>
      </c>
      <c r="D298" s="81">
        <f t="shared" si="160"/>
        <v>42825</v>
      </c>
      <c r="E298" s="82">
        <v>42817</v>
      </c>
      <c r="F298" s="83">
        <f t="shared" si="158"/>
        <v>0.853125</v>
      </c>
      <c r="G298" s="83">
        <f t="shared" si="158"/>
        <v>0.72625</v>
      </c>
      <c r="H298" s="81"/>
      <c r="I298" s="143">
        <v>42817</v>
      </c>
      <c r="J298" s="144">
        <v>7.95</v>
      </c>
      <c r="K298" s="144">
        <v>6.2</v>
      </c>
      <c r="L298" s="145">
        <v>6.825</v>
      </c>
      <c r="M298" s="94" cm="1">
        <f t="array" ref="M298">INDEX($BV$29:$BV$1449,MATCH($D298,$BR$29:$BR$1449,0),)</f>
        <v>5.81</v>
      </c>
      <c r="N298" s="88"/>
      <c r="O298" s="88"/>
      <c r="P298" s="88"/>
      <c r="Q298" s="89">
        <f t="shared" si="159"/>
        <v>0.174698795180723</v>
      </c>
      <c r="AH298" s="105">
        <f>AH297+7</f>
        <v>44669</v>
      </c>
      <c r="AI298" s="91">
        <f t="shared" si="155"/>
        <v>3.611</v>
      </c>
      <c r="AJ298" s="36">
        <f t="shared" si="161"/>
        <v>-0.0182164219684611</v>
      </c>
      <c r="AK298" s="36">
        <f t="shared" si="163"/>
        <v>-0.033458244111349</v>
      </c>
      <c r="AL298" s="105"/>
      <c r="AM298" s="91"/>
      <c r="AN298" s="36"/>
      <c r="AO298" s="36"/>
      <c r="AP298" s="36"/>
      <c r="AQ298" s="128" t="str" cm="1">
        <f t="array" ref="AQ298">_xlfn.IFS(MONTH(AR298)&lt;4,1,MONTH(AR298)&lt;7,2,MONTH(AR298)&lt;10,3,MONTH(AR298)&gt;9,4)&amp;"Q"&amp;RIGHT(YEAR(AR298),2)</f>
        <v>2Q24</v>
      </c>
      <c r="AR298" s="128">
        <f t="shared" si="162"/>
        <v>45412</v>
      </c>
      <c r="AS298" s="129">
        <f t="shared" si="156"/>
        <v>45397</v>
      </c>
      <c r="AT298" s="135">
        <v>72</v>
      </c>
      <c r="AU298" s="134" cm="1">
        <f t="array" ref="AU298">INDEX($CE$29:$CE$1449,MATCH($AR298,$CA$29:$CA$1449,0),)</f>
        <v>75</v>
      </c>
      <c r="AV298" s="135">
        <v>139</v>
      </c>
      <c r="AW298" s="134" cm="1">
        <f t="array" ref="AW298">INDEX($CF$29:$CF$1449,MATCH($AR298,$CA$29:$CA$1449,0),)</f>
        <v>150</v>
      </c>
      <c r="AX298" s="134"/>
      <c r="AY298" s="134" cm="1">
        <f t="array" ref="AY298">INDEX($CO$29:$CO$1449,MATCH($AR298,$CA$29:$CA$1449,0),)</f>
        <v>107.625</v>
      </c>
      <c r="AZ298" s="135"/>
      <c r="BA298" s="134" cm="1">
        <f t="array" ref="BA298">INDEX($CP$29:$CP$1449,MATCH($AR298,$CA$29:$CA$1449,0),)</f>
        <v>215.25</v>
      </c>
      <c r="BB298" s="133">
        <f t="shared" si="165"/>
        <v>0.0212765957446808</v>
      </c>
      <c r="BC298" s="132">
        <f t="shared" si="167"/>
        <v>0.0212765957446808</v>
      </c>
      <c r="BD298" s="132">
        <f t="shared" si="169"/>
        <v>0.0169491525423728</v>
      </c>
      <c r="BE298" s="133">
        <f t="shared" si="166"/>
        <v>0.010909090909091</v>
      </c>
      <c r="BF298" s="132">
        <f t="shared" si="168"/>
        <v>0.00944081336238201</v>
      </c>
      <c r="BG298" s="132">
        <f t="shared" si="170"/>
        <v>0.00724637681159424</v>
      </c>
      <c r="BH298" s="132"/>
      <c r="BI298" s="132"/>
      <c r="BJ298" s="132"/>
      <c r="BK298" s="132"/>
      <c r="BL298" s="132"/>
      <c r="BM298" s="132"/>
      <c r="BN298" s="132"/>
      <c r="FV298" s="104">
        <f t="shared" si="147"/>
        <v>2011</v>
      </c>
      <c r="FW298" s="104">
        <f t="shared" si="148"/>
        <v>44</v>
      </c>
      <c r="FX298" s="35">
        <v>40840</v>
      </c>
      <c r="FY298" s="26">
        <v>0.95</v>
      </c>
      <c r="FZ298" s="94">
        <f t="shared" si="149"/>
        <v>3.8</v>
      </c>
      <c r="GA298" s="104"/>
      <c r="GB298" s="104"/>
      <c r="GE298" s="94"/>
      <c r="GF298" s="104">
        <f t="shared" si="150"/>
        <v>2014</v>
      </c>
      <c r="GG298" s="104">
        <f t="shared" si="151"/>
        <v>6</v>
      </c>
      <c r="GH298" s="35">
        <v>41675</v>
      </c>
      <c r="GI298" s="26">
        <v>4.174</v>
      </c>
      <c r="GJ298" s="94">
        <f t="shared" si="152"/>
        <v>8.348</v>
      </c>
      <c r="GK298" s="104"/>
      <c r="GL298" s="104"/>
      <c r="GO298" s="94"/>
    </row>
    <row r="299" spans="3:197">
      <c r="C299" s="80" t="str" cm="1">
        <f t="array" ref="C299">_xlfn.IFS(MONTH(D299)&lt;4,1,MONTH(D299)&lt;7,2,MONTH(D299)&lt;10,3,MONTH(D299)&gt;9,4)&amp;"Q"&amp;RIGHT(YEAR(D299),2)</f>
        <v>1Q17</v>
      </c>
      <c r="D299" s="81">
        <f t="shared" si="160"/>
        <v>42825</v>
      </c>
      <c r="E299" s="82">
        <v>42818</v>
      </c>
      <c r="F299" s="83">
        <f t="shared" si="158"/>
        <v>0.85425</v>
      </c>
      <c r="G299" s="83">
        <f t="shared" si="158"/>
        <v>0.72625</v>
      </c>
      <c r="H299" s="81"/>
      <c r="I299" s="143">
        <v>42818</v>
      </c>
      <c r="J299" s="144">
        <v>7.95</v>
      </c>
      <c r="K299" s="144">
        <v>6.22</v>
      </c>
      <c r="L299" s="145">
        <v>6.834</v>
      </c>
      <c r="M299" s="94" cm="1">
        <f t="array" ref="M299">INDEX($BV$29:$BV$1449,MATCH($D299,$BR$29:$BR$1449,0),)</f>
        <v>5.81</v>
      </c>
      <c r="N299" s="88"/>
      <c r="O299" s="88"/>
      <c r="P299" s="88"/>
      <c r="Q299" s="89">
        <f t="shared" si="159"/>
        <v>0.176247848537005</v>
      </c>
      <c r="AH299" s="105">
        <f>AH298+7</f>
        <v>44676</v>
      </c>
      <c r="AI299" s="91">
        <f t="shared" si="155"/>
        <v>3.548</v>
      </c>
      <c r="AJ299" s="36">
        <f t="shared" si="161"/>
        <v>-0.0174466906674052</v>
      </c>
      <c r="AK299" s="36">
        <f t="shared" si="163"/>
        <v>-0.0353452963567156</v>
      </c>
      <c r="AL299" s="105"/>
      <c r="AM299" s="91"/>
      <c r="AN299" s="36"/>
      <c r="AO299" s="36"/>
      <c r="AP299" s="36"/>
      <c r="AQ299" s="128" t="str" cm="1">
        <f t="array" ref="AQ299">_xlfn.IFS(MONTH(AR299)&lt;4,1,MONTH(AR299)&lt;7,2,MONTH(AR299)&lt;10,3,MONTH(AR299)&gt;9,4)&amp;"Q"&amp;RIGHT(YEAR(AR299),2)</f>
        <v>2Q24</v>
      </c>
      <c r="AR299" s="128">
        <f t="shared" si="162"/>
        <v>45412</v>
      </c>
      <c r="AS299" s="129">
        <f t="shared" si="156"/>
        <v>45404</v>
      </c>
      <c r="AT299" s="135">
        <v>76</v>
      </c>
      <c r="AU299" s="134" cm="1">
        <f t="array" ref="AU299">INDEX($CE$29:$CE$1449,MATCH($AR299,$CA$29:$CA$1449,0),)</f>
        <v>75</v>
      </c>
      <c r="AV299" s="135">
        <v>143</v>
      </c>
      <c r="AW299" s="134" cm="1">
        <f t="array" ref="AW299">INDEX($CF$29:$CF$1449,MATCH($AR299,$CA$29:$CA$1449,0),)</f>
        <v>150</v>
      </c>
      <c r="AX299" s="134"/>
      <c r="AY299" s="134" cm="1">
        <f t="array" ref="AY299">INDEX($CO$29:$CO$1449,MATCH($AR299,$CA$29:$CA$1449,0),)</f>
        <v>107.625</v>
      </c>
      <c r="AZ299" s="135"/>
      <c r="BA299" s="134" cm="1">
        <f t="array" ref="BA299">INDEX($CP$29:$CP$1449,MATCH($AR299,$CA$29:$CA$1449,0),)</f>
        <v>215.25</v>
      </c>
      <c r="BB299" s="133">
        <f t="shared" si="165"/>
        <v>0.0555555555555556</v>
      </c>
      <c r="BC299" s="132">
        <f t="shared" si="167"/>
        <v>0.0780141843971631</v>
      </c>
      <c r="BD299" s="132">
        <f t="shared" si="169"/>
        <v>0.0780141843971631</v>
      </c>
      <c r="BE299" s="133">
        <f t="shared" si="166"/>
        <v>0.0287769784172662</v>
      </c>
      <c r="BF299" s="132">
        <f t="shared" si="168"/>
        <v>0.04</v>
      </c>
      <c r="BG299" s="132">
        <f t="shared" si="170"/>
        <v>0.0384894698620191</v>
      </c>
      <c r="BH299" s="132"/>
      <c r="BI299" s="132"/>
      <c r="BJ299" s="132"/>
      <c r="BK299" s="132"/>
      <c r="BL299" s="132"/>
      <c r="BM299" s="132"/>
      <c r="BN299" s="132"/>
      <c r="FV299" s="104">
        <f t="shared" si="147"/>
        <v>2011</v>
      </c>
      <c r="FW299" s="104">
        <f t="shared" si="148"/>
        <v>44</v>
      </c>
      <c r="FX299" s="35">
        <v>40841</v>
      </c>
      <c r="FY299" s="26">
        <v>0.93</v>
      </c>
      <c r="FZ299" s="94">
        <f t="shared" si="149"/>
        <v>3.72</v>
      </c>
      <c r="GA299" s="104"/>
      <c r="GB299" s="104"/>
      <c r="GE299" s="94"/>
      <c r="GF299" s="104">
        <f t="shared" si="150"/>
        <v>2014</v>
      </c>
      <c r="GG299" s="104">
        <f t="shared" si="151"/>
        <v>6</v>
      </c>
      <c r="GH299" s="35">
        <v>41676</v>
      </c>
      <c r="GI299" s="26">
        <v>4.172</v>
      </c>
      <c r="GJ299" s="94">
        <f t="shared" si="152"/>
        <v>8.344</v>
      </c>
      <c r="GK299" s="104"/>
      <c r="GL299" s="104"/>
      <c r="GO299" s="94"/>
    </row>
    <row r="300" spans="3:197">
      <c r="C300" s="80" t="str" cm="1">
        <f t="array" ref="C300">_xlfn.IFS(MONTH(D300)&lt;4,1,MONTH(D300)&lt;7,2,MONTH(D300)&lt;10,3,MONTH(D300)&gt;9,4)&amp;"Q"&amp;RIGHT(YEAR(D300),2)</f>
        <v>1Q17</v>
      </c>
      <c r="D300" s="81">
        <f t="shared" si="160"/>
        <v>42825</v>
      </c>
      <c r="E300" s="82">
        <v>42821</v>
      </c>
      <c r="F300" s="83">
        <f t="shared" si="158"/>
        <v>0.85425</v>
      </c>
      <c r="G300" s="83">
        <f t="shared" si="158"/>
        <v>0.72625</v>
      </c>
      <c r="H300" s="81"/>
      <c r="I300" s="143">
        <v>42821</v>
      </c>
      <c r="J300" s="144">
        <v>7.85</v>
      </c>
      <c r="K300" s="144">
        <v>6.22</v>
      </c>
      <c r="L300" s="145">
        <v>6.834</v>
      </c>
      <c r="M300" s="94" cm="1">
        <f t="array" ref="M300">INDEX($BV$29:$BV$1449,MATCH($D300,$BR$29:$BR$1449,0),)</f>
        <v>5.81</v>
      </c>
      <c r="N300" s="88"/>
      <c r="O300" s="88"/>
      <c r="P300" s="88"/>
      <c r="Q300" s="89">
        <f t="shared" si="159"/>
        <v>0.176247848537005</v>
      </c>
      <c r="AH300" s="105">
        <f>AH299+8</f>
        <v>44684</v>
      </c>
      <c r="AI300" s="91">
        <f t="shared" si="155"/>
        <v>3.464</v>
      </c>
      <c r="AJ300" s="36">
        <f t="shared" si="161"/>
        <v>-0.0236753100338218</v>
      </c>
      <c r="AK300" s="36">
        <f t="shared" si="163"/>
        <v>-0.0407089448906121</v>
      </c>
      <c r="AL300" s="105"/>
      <c r="AM300" s="91"/>
      <c r="AN300" s="36"/>
      <c r="AO300" s="36"/>
      <c r="AP300" s="36"/>
      <c r="AQ300" s="128" t="str" cm="1">
        <f t="array" ref="AQ300">_xlfn.IFS(MONTH(AR300)&lt;4,1,MONTH(AR300)&lt;7,2,MONTH(AR300)&lt;10,3,MONTH(AR300)&gt;9,4)&amp;"Q"&amp;RIGHT(YEAR(AR300),2)</f>
        <v>2Q24</v>
      </c>
      <c r="AR300" s="128">
        <f t="shared" si="162"/>
        <v>45412</v>
      </c>
      <c r="AS300" s="129">
        <f t="shared" si="156"/>
        <v>45411</v>
      </c>
      <c r="AT300" s="135">
        <v>78</v>
      </c>
      <c r="AU300" s="134" cm="1">
        <f t="array" ref="AU300">INDEX($CE$29:$CE$1449,MATCH($AR300,$CA$29:$CA$1449,0),)</f>
        <v>75</v>
      </c>
      <c r="AV300" s="135">
        <v>147.5</v>
      </c>
      <c r="AW300" s="134" cm="1">
        <f t="array" ref="AW300">INDEX($CF$29:$CF$1449,MATCH($AR300,$CA$29:$CA$1449,0),)</f>
        <v>150</v>
      </c>
      <c r="AX300" s="134"/>
      <c r="AY300" s="134" cm="1">
        <f t="array" ref="AY300">INDEX($CO$29:$CO$1449,MATCH($AR300,$CA$29:$CA$1449,0),)</f>
        <v>107.625</v>
      </c>
      <c r="AZ300" s="135"/>
      <c r="BA300" s="134" cm="1">
        <f t="array" ref="BA300">INDEX($CP$29:$CP$1449,MATCH($AR300,$CA$29:$CA$1449,0),)</f>
        <v>215.25</v>
      </c>
      <c r="BB300" s="133">
        <f t="shared" si="165"/>
        <v>0.0263157894736843</v>
      </c>
      <c r="BC300" s="132">
        <f t="shared" si="167"/>
        <v>0.0833333333333333</v>
      </c>
      <c r="BD300" s="132">
        <f t="shared" si="169"/>
        <v>0.106382978723404</v>
      </c>
      <c r="BE300" s="133">
        <f t="shared" si="166"/>
        <v>0.0314685314685315</v>
      </c>
      <c r="BF300" s="132">
        <f t="shared" si="168"/>
        <v>0.0611510791366907</v>
      </c>
      <c r="BG300" s="132">
        <f t="shared" si="170"/>
        <v>0.0727272727272728</v>
      </c>
      <c r="BH300" s="132"/>
      <c r="BI300" s="132"/>
      <c r="BJ300" s="132"/>
      <c r="BK300" s="132"/>
      <c r="BL300" s="132"/>
      <c r="BM300" s="132"/>
      <c r="BN300" s="132"/>
      <c r="FV300" s="104">
        <f t="shared" si="147"/>
        <v>2011</v>
      </c>
      <c r="FW300" s="104">
        <f t="shared" si="148"/>
        <v>44</v>
      </c>
      <c r="FX300" s="35">
        <v>40842</v>
      </c>
      <c r="FY300" s="26">
        <v>0.9</v>
      </c>
      <c r="FZ300" s="94">
        <f t="shared" si="149"/>
        <v>3.6</v>
      </c>
      <c r="GA300" s="104"/>
      <c r="GB300" s="104"/>
      <c r="GE300" s="94"/>
      <c r="GF300" s="104">
        <f t="shared" si="150"/>
        <v>2014</v>
      </c>
      <c r="GG300" s="104">
        <f t="shared" si="151"/>
        <v>6</v>
      </c>
      <c r="GH300" s="35">
        <v>41677</v>
      </c>
      <c r="GI300" s="26">
        <v>4.169</v>
      </c>
      <c r="GJ300" s="94">
        <f t="shared" si="152"/>
        <v>8.338</v>
      </c>
      <c r="GK300" s="104"/>
      <c r="GL300" s="104"/>
      <c r="GO300" s="94"/>
    </row>
    <row r="301" spans="3:197">
      <c r="C301" s="80" t="str" cm="1">
        <f t="array" ref="C301">_xlfn.IFS(MONTH(D301)&lt;4,1,MONTH(D301)&lt;7,2,MONTH(D301)&lt;10,3,MONTH(D301)&gt;9,4)&amp;"Q"&amp;RIGHT(YEAR(D301),2)</f>
        <v>1Q17</v>
      </c>
      <c r="D301" s="81">
        <f t="shared" si="160"/>
        <v>42825</v>
      </c>
      <c r="E301" s="82">
        <v>42822</v>
      </c>
      <c r="F301" s="83">
        <f t="shared" si="158"/>
        <v>0.8475</v>
      </c>
      <c r="G301" s="83">
        <f t="shared" si="158"/>
        <v>0.72625</v>
      </c>
      <c r="H301" s="81"/>
      <c r="I301" s="143">
        <v>42822</v>
      </c>
      <c r="J301" s="144">
        <v>7.85</v>
      </c>
      <c r="K301" s="144">
        <v>6.25</v>
      </c>
      <c r="L301" s="145">
        <v>6.78</v>
      </c>
      <c r="M301" s="94" cm="1">
        <f t="array" ref="M301">INDEX($BV$29:$BV$1449,MATCH($D301,$BR$29:$BR$1449,0),)</f>
        <v>5.81</v>
      </c>
      <c r="N301" s="88"/>
      <c r="O301" s="88"/>
      <c r="P301" s="88"/>
      <c r="Q301" s="89">
        <f t="shared" si="159"/>
        <v>0.166953528399312</v>
      </c>
      <c r="AH301" s="105">
        <f>AH300+6</f>
        <v>44690</v>
      </c>
      <c r="AI301" s="91">
        <f t="shared" si="155"/>
        <v>3.449</v>
      </c>
      <c r="AJ301" s="36">
        <f t="shared" si="161"/>
        <v>-0.0043302540415705</v>
      </c>
      <c r="AK301" s="36">
        <f t="shared" si="163"/>
        <v>-0.027903043968433</v>
      </c>
      <c r="AL301" s="105"/>
      <c r="AM301" s="91"/>
      <c r="AN301" s="36"/>
      <c r="AO301" s="36"/>
      <c r="AP301" s="36"/>
      <c r="AQ301" s="128" t="str" cm="1">
        <f t="array" ref="AQ301">_xlfn.IFS(MONTH(AR301)&lt;4,1,MONTH(AR301)&lt;7,2,MONTH(AR301)&lt;10,3,MONTH(AR301)&gt;9,4)&amp;"Q"&amp;RIGHT(YEAR(AR301),2)</f>
        <v>2Q24</v>
      </c>
      <c r="AR301" s="128">
        <f t="shared" si="162"/>
        <v>45443</v>
      </c>
      <c r="AS301" s="129">
        <f t="shared" si="156"/>
        <v>45418</v>
      </c>
      <c r="AT301" s="135">
        <v>78.5</v>
      </c>
      <c r="AU301" s="134" cm="1">
        <f t="array" ref="AU301">INDEX($CE$29:$CE$1449,MATCH($AR301,$CA$29:$CA$1449,0),)</f>
        <v>80</v>
      </c>
      <c r="AV301" s="135">
        <v>148</v>
      </c>
      <c r="AW301" s="134" cm="1">
        <f t="array" ref="AW301">INDEX($CF$29:$CF$1449,MATCH($AR301,$CA$29:$CA$1449,0),)</f>
        <v>160</v>
      </c>
      <c r="AX301" s="134"/>
      <c r="AY301" s="134" cm="1">
        <f t="array" ref="AY301">INDEX($CO$29:$CO$1449,MATCH($AR301,$CA$29:$CA$1449,0),)</f>
        <v>116.725</v>
      </c>
      <c r="AZ301" s="135"/>
      <c r="BA301" s="134" cm="1">
        <f t="array" ref="BA301">INDEX($CP$29:$CP$1449,MATCH($AR301,$CA$29:$CA$1449,0),)</f>
        <v>231.42</v>
      </c>
      <c r="BB301" s="133">
        <f t="shared" si="165"/>
        <v>0.00641025641025639</v>
      </c>
      <c r="BC301" s="132">
        <f t="shared" si="167"/>
        <v>0.0328947368421053</v>
      </c>
      <c r="BD301" s="132">
        <f t="shared" si="169"/>
        <v>0.0902777777777777</v>
      </c>
      <c r="BE301" s="133">
        <f t="shared" si="166"/>
        <v>0.00338983050847452</v>
      </c>
      <c r="BF301" s="132">
        <f t="shared" si="168"/>
        <v>0.034965034965035</v>
      </c>
      <c r="BG301" s="132">
        <f t="shared" si="170"/>
        <v>0.064748201438849</v>
      </c>
      <c r="BH301" s="132"/>
      <c r="BI301" s="132"/>
      <c r="BJ301" s="132"/>
      <c r="BK301" s="132"/>
      <c r="BL301" s="132"/>
      <c r="BM301" s="132"/>
      <c r="BN301" s="132"/>
      <c r="FV301" s="104">
        <f t="shared" si="147"/>
        <v>2011</v>
      </c>
      <c r="FW301" s="104">
        <f t="shared" si="148"/>
        <v>44</v>
      </c>
      <c r="FX301" s="35">
        <v>40843</v>
      </c>
      <c r="FY301" s="26">
        <v>0.86</v>
      </c>
      <c r="FZ301" s="94">
        <f t="shared" si="149"/>
        <v>3.44</v>
      </c>
      <c r="GA301" s="104"/>
      <c r="GB301" s="104"/>
      <c r="GE301" s="94"/>
      <c r="GF301" s="104">
        <f t="shared" si="150"/>
        <v>2014</v>
      </c>
      <c r="GG301" s="104">
        <f t="shared" si="151"/>
        <v>7</v>
      </c>
      <c r="GH301" s="35">
        <v>41680</v>
      </c>
      <c r="GI301" s="26">
        <v>4.165</v>
      </c>
      <c r="GJ301" s="94">
        <f t="shared" si="152"/>
        <v>8.33</v>
      </c>
      <c r="GK301" s="104"/>
      <c r="GL301" s="104"/>
      <c r="GO301" s="94"/>
    </row>
    <row r="302" spans="3:197">
      <c r="C302" s="80" t="str" cm="1">
        <f t="array" ref="C302">_xlfn.IFS(MONTH(D302)&lt;4,1,MONTH(D302)&lt;7,2,MONTH(D302)&lt;10,3,MONTH(D302)&gt;9,4)&amp;"Q"&amp;RIGHT(YEAR(D302),2)</f>
        <v>1Q17</v>
      </c>
      <c r="D302" s="81">
        <f t="shared" si="160"/>
        <v>42825</v>
      </c>
      <c r="E302" s="82">
        <v>42823</v>
      </c>
      <c r="F302" s="83">
        <f t="shared" si="158"/>
        <v>0.847875</v>
      </c>
      <c r="G302" s="83">
        <f t="shared" si="158"/>
        <v>0.72625</v>
      </c>
      <c r="H302" s="81"/>
      <c r="I302" s="143">
        <v>42823</v>
      </c>
      <c r="J302" s="144">
        <v>7.85</v>
      </c>
      <c r="K302" s="144">
        <v>6.24</v>
      </c>
      <c r="L302" s="145">
        <v>6.783</v>
      </c>
      <c r="M302" s="94" cm="1">
        <f t="array" ref="M302">INDEX($BV$29:$BV$1449,MATCH($D302,$BR$29:$BR$1449,0),)</f>
        <v>5.81</v>
      </c>
      <c r="N302" s="88"/>
      <c r="O302" s="88"/>
      <c r="P302" s="88"/>
      <c r="Q302" s="89">
        <f t="shared" si="159"/>
        <v>0.167469879518072</v>
      </c>
      <c r="AH302" s="105">
        <f t="shared" ref="AH302:AH322" si="171">AH301+7</f>
        <v>44697</v>
      </c>
      <c r="AI302" s="91">
        <f t="shared" si="155"/>
        <v>3.427</v>
      </c>
      <c r="AJ302" s="36">
        <f t="shared" si="161"/>
        <v>-0.00637866048129887</v>
      </c>
      <c r="AK302" s="36">
        <f t="shared" si="163"/>
        <v>-0.0106812933025404</v>
      </c>
      <c r="AL302" s="105"/>
      <c r="AM302" s="91"/>
      <c r="AN302" s="36"/>
      <c r="AO302" s="36"/>
      <c r="AP302" s="36"/>
      <c r="AQ302" s="128" t="str" cm="1">
        <f t="array" ref="AQ302">_xlfn.IFS(MONTH(AR302)&lt;4,1,MONTH(AR302)&lt;7,2,MONTH(AR302)&lt;10,3,MONTH(AR302)&gt;9,4)&amp;"Q"&amp;RIGHT(YEAR(AR302),2)</f>
        <v>2Q24</v>
      </c>
      <c r="AR302" s="128">
        <f t="shared" si="162"/>
        <v>45443</v>
      </c>
      <c r="AS302" s="129">
        <f t="shared" si="156"/>
        <v>45425</v>
      </c>
      <c r="AT302" s="135">
        <v>79</v>
      </c>
      <c r="AU302" s="134" cm="1">
        <f t="array" ref="AU302">INDEX($CE$29:$CE$1449,MATCH($AR302,$CA$29:$CA$1449,0),)</f>
        <v>80</v>
      </c>
      <c r="AV302" s="135">
        <v>149</v>
      </c>
      <c r="AW302" s="134" cm="1">
        <f t="array" ref="AW302">INDEX($CF$29:$CF$1449,MATCH($AR302,$CA$29:$CA$1449,0),)</f>
        <v>160</v>
      </c>
      <c r="AX302" s="134"/>
      <c r="AY302" s="134" cm="1">
        <f t="array" ref="AY302">INDEX($CO$29:$CO$1449,MATCH($AR302,$CA$29:$CA$1449,0),)</f>
        <v>116.725</v>
      </c>
      <c r="AZ302" s="135"/>
      <c r="BA302" s="134" cm="1">
        <f t="array" ref="BA302">INDEX($CP$29:$CP$1449,MATCH($AR302,$CA$29:$CA$1449,0),)</f>
        <v>231.42</v>
      </c>
      <c r="BB302" s="133">
        <f t="shared" si="165"/>
        <v>0.00636942675159236</v>
      </c>
      <c r="BC302" s="132">
        <f t="shared" si="167"/>
        <v>0.0128205128205128</v>
      </c>
      <c r="BD302" s="132">
        <f t="shared" si="169"/>
        <v>0.0394736842105263</v>
      </c>
      <c r="BE302" s="133">
        <f t="shared" si="166"/>
        <v>0.0067567567567568</v>
      </c>
      <c r="BF302" s="132">
        <f t="shared" si="168"/>
        <v>0.0101694915254238</v>
      </c>
      <c r="BG302" s="132">
        <f t="shared" si="170"/>
        <v>0.0419580419580419</v>
      </c>
      <c r="BH302" s="132"/>
      <c r="BI302" s="132"/>
      <c r="BJ302" s="132"/>
      <c r="BK302" s="132"/>
      <c r="BL302" s="132"/>
      <c r="BM302" s="132"/>
      <c r="BN302" s="132"/>
      <c r="FV302" s="104">
        <f t="shared" si="147"/>
        <v>2011</v>
      </c>
      <c r="FW302" s="104">
        <f t="shared" si="148"/>
        <v>44</v>
      </c>
      <c r="FX302" s="35">
        <v>40844</v>
      </c>
      <c r="FY302" s="26">
        <v>0.84</v>
      </c>
      <c r="FZ302" s="94">
        <f t="shared" si="149"/>
        <v>3.36</v>
      </c>
      <c r="GA302" s="104"/>
      <c r="GB302" s="104"/>
      <c r="GE302" s="94"/>
      <c r="GF302" s="104">
        <f t="shared" si="150"/>
        <v>2014</v>
      </c>
      <c r="GG302" s="104">
        <f t="shared" si="151"/>
        <v>7</v>
      </c>
      <c r="GH302" s="35">
        <v>41681</v>
      </c>
      <c r="GI302" s="26">
        <v>4.154</v>
      </c>
      <c r="GJ302" s="94">
        <f t="shared" si="152"/>
        <v>8.308</v>
      </c>
      <c r="GK302" s="104"/>
      <c r="GL302" s="104"/>
      <c r="GO302" s="94"/>
    </row>
    <row r="303" spans="3:197">
      <c r="C303" s="80" t="str" cm="1">
        <f t="array" ref="C303">_xlfn.IFS(MONTH(D303)&lt;4,1,MONTH(D303)&lt;7,2,MONTH(D303)&lt;10,3,MONTH(D303)&gt;9,4)&amp;"Q"&amp;RIGHT(YEAR(D303),2)</f>
        <v>1Q17</v>
      </c>
      <c r="D303" s="81">
        <f t="shared" si="160"/>
        <v>42825</v>
      </c>
      <c r="E303" s="82">
        <v>42824</v>
      </c>
      <c r="F303" s="83">
        <f t="shared" si="158"/>
        <v>0.84875</v>
      </c>
      <c r="G303" s="83">
        <f t="shared" si="158"/>
        <v>0.72625</v>
      </c>
      <c r="H303" s="81"/>
      <c r="I303" s="143">
        <v>42824</v>
      </c>
      <c r="J303" s="144">
        <v>7.8</v>
      </c>
      <c r="K303" s="144">
        <v>6.26</v>
      </c>
      <c r="L303" s="145">
        <v>6.79</v>
      </c>
      <c r="M303" s="94" cm="1">
        <f t="array" ref="M303">INDEX($BV$29:$BV$1449,MATCH($D303,$BR$29:$BR$1449,0),)</f>
        <v>5.81</v>
      </c>
      <c r="N303" s="88"/>
      <c r="O303" s="88"/>
      <c r="P303" s="88"/>
      <c r="Q303" s="89">
        <f t="shared" si="159"/>
        <v>0.168674698795181</v>
      </c>
      <c r="AH303" s="105">
        <f t="shared" si="171"/>
        <v>44704</v>
      </c>
      <c r="AI303" s="91">
        <f t="shared" si="155"/>
        <v>3.405</v>
      </c>
      <c r="AJ303" s="36">
        <f t="shared" si="161"/>
        <v>-0.00641960898745264</v>
      </c>
      <c r="AK303" s="36">
        <f t="shared" si="163"/>
        <v>-0.0127573209625979</v>
      </c>
      <c r="AL303" s="105"/>
      <c r="AM303" s="91"/>
      <c r="AN303" s="36"/>
      <c r="AO303" s="36"/>
      <c r="AP303" s="36"/>
      <c r="AQ303" s="128" t="str" cm="1">
        <f t="array" ref="AQ303">_xlfn.IFS(MONTH(AR303)&lt;4,1,MONTH(AR303)&lt;7,2,MONTH(AR303)&lt;10,3,MONTH(AR303)&gt;9,4)&amp;"Q"&amp;RIGHT(YEAR(AR303),2)</f>
        <v>2Q24</v>
      </c>
      <c r="AR303" s="128">
        <f t="shared" si="162"/>
        <v>45443</v>
      </c>
      <c r="AS303" s="129">
        <f t="shared" si="156"/>
        <v>45432</v>
      </c>
      <c r="AT303" s="135">
        <v>78</v>
      </c>
      <c r="AU303" s="134" cm="1">
        <f t="array" ref="AU303">INDEX($CE$29:$CE$1449,MATCH($AR303,$CA$29:$CA$1449,0),)</f>
        <v>80</v>
      </c>
      <c r="AV303" s="135">
        <v>149</v>
      </c>
      <c r="AW303" s="134" cm="1">
        <f t="array" ref="AW303">INDEX($CF$29:$CF$1449,MATCH($AR303,$CA$29:$CA$1449,0),)</f>
        <v>160</v>
      </c>
      <c r="AX303" s="134"/>
      <c r="AY303" s="134" cm="1">
        <f t="array" ref="AY303">INDEX($CO$29:$CO$1449,MATCH($AR303,$CA$29:$CA$1449,0),)</f>
        <v>116.725</v>
      </c>
      <c r="AZ303" s="135"/>
      <c r="BA303" s="134" cm="1">
        <f t="array" ref="BA303">INDEX($CP$29:$CP$1449,MATCH($AR303,$CA$29:$CA$1449,0),)</f>
        <v>231.42</v>
      </c>
      <c r="BB303" s="133">
        <f t="shared" si="165"/>
        <v>-0.0126582278481012</v>
      </c>
      <c r="BC303" s="132">
        <f t="shared" si="167"/>
        <v>-0.00636942675159236</v>
      </c>
      <c r="BD303" s="132">
        <f t="shared" si="169"/>
        <v>0</v>
      </c>
      <c r="BE303" s="133">
        <f t="shared" si="166"/>
        <v>0</v>
      </c>
      <c r="BF303" s="132">
        <f t="shared" si="168"/>
        <v>0.0067567567567568</v>
      </c>
      <c r="BG303" s="132">
        <f t="shared" si="170"/>
        <v>0.0101694915254238</v>
      </c>
      <c r="BH303" s="132"/>
      <c r="BI303" s="132"/>
      <c r="BJ303" s="132"/>
      <c r="BK303" s="132"/>
      <c r="BL303" s="132"/>
      <c r="BM303" s="132"/>
      <c r="BN303" s="132"/>
      <c r="FV303" s="104">
        <f t="shared" si="147"/>
        <v>2011</v>
      </c>
      <c r="FW303" s="104">
        <f t="shared" si="148"/>
        <v>45</v>
      </c>
      <c r="FX303" s="35">
        <v>40847</v>
      </c>
      <c r="FY303" s="26">
        <v>0.84</v>
      </c>
      <c r="FZ303" s="94">
        <f t="shared" si="149"/>
        <v>3.36</v>
      </c>
      <c r="GA303" s="104"/>
      <c r="GB303" s="104"/>
      <c r="GE303" s="94"/>
      <c r="GF303" s="104">
        <f t="shared" si="150"/>
        <v>2014</v>
      </c>
      <c r="GG303" s="104">
        <f t="shared" si="151"/>
        <v>7</v>
      </c>
      <c r="GH303" s="35">
        <v>41682</v>
      </c>
      <c r="GI303" s="26">
        <v>4.154</v>
      </c>
      <c r="GJ303" s="94">
        <f t="shared" si="152"/>
        <v>8.308</v>
      </c>
      <c r="GK303" s="104"/>
      <c r="GL303" s="104"/>
      <c r="GO303" s="94"/>
    </row>
    <row r="304" spans="3:197">
      <c r="C304" s="80" t="str" cm="1">
        <f t="array" ref="C304">_xlfn.IFS(MONTH(D304)&lt;4,1,MONTH(D304)&lt;7,2,MONTH(D304)&lt;10,3,MONTH(D304)&gt;9,4)&amp;"Q"&amp;RIGHT(YEAR(D304),2)</f>
        <v>2Q17</v>
      </c>
      <c r="D304" s="81">
        <f t="shared" si="160"/>
        <v>42855</v>
      </c>
      <c r="E304" s="82">
        <f t="shared" ref="E304:E320" si="172">I304</f>
        <v>42830</v>
      </c>
      <c r="F304" s="83">
        <f t="shared" si="158"/>
        <v>0.84875</v>
      </c>
      <c r="G304" s="83">
        <f t="shared" si="158"/>
        <v>0.8125</v>
      </c>
      <c r="H304" s="81"/>
      <c r="I304" s="146">
        <v>42830</v>
      </c>
      <c r="J304" s="147">
        <v>7.7</v>
      </c>
      <c r="K304" s="147">
        <v>6.27</v>
      </c>
      <c r="L304" s="148">
        <v>6.79</v>
      </c>
      <c r="M304" s="94" cm="1">
        <f t="array" ref="M304">INDEX($BV$29:$BV$1449,MATCH($D304,$BR$29:$BR$1449,0),)</f>
        <v>6.5</v>
      </c>
      <c r="N304" s="88"/>
      <c r="O304" s="88"/>
      <c r="P304" s="88"/>
      <c r="Q304" s="89">
        <f t="shared" si="159"/>
        <v>0.0446153846153847</v>
      </c>
      <c r="AH304" s="105">
        <f t="shared" si="171"/>
        <v>44711</v>
      </c>
      <c r="AI304" s="91">
        <f t="shared" si="155"/>
        <v>3.394</v>
      </c>
      <c r="AJ304" s="36">
        <f t="shared" si="161"/>
        <v>-0.00323054331864892</v>
      </c>
      <c r="AK304" s="36">
        <f t="shared" si="163"/>
        <v>-0.00962941348117885</v>
      </c>
      <c r="AL304" s="105"/>
      <c r="AM304" s="91"/>
      <c r="AN304" s="36"/>
      <c r="AO304" s="36"/>
      <c r="AP304" s="36"/>
      <c r="AQ304" s="128" t="str" cm="1">
        <f t="array" ref="AQ304">_xlfn.IFS(MONTH(AR304)&lt;4,1,MONTH(AR304)&lt;7,2,MONTH(AR304)&lt;10,3,MONTH(AR304)&gt;9,4)&amp;"Q"&amp;RIGHT(YEAR(AR304),2)</f>
        <v>2Q24</v>
      </c>
      <c r="AR304" s="128">
        <f t="shared" si="162"/>
        <v>45443</v>
      </c>
      <c r="AS304" s="129">
        <f t="shared" si="156"/>
        <v>45439</v>
      </c>
      <c r="AT304" s="135">
        <v>78</v>
      </c>
      <c r="AU304" s="134" cm="1">
        <f t="array" ref="AU304">INDEX($CE$29:$CE$1449,MATCH($AR304,$CA$29:$CA$1449,0),)</f>
        <v>80</v>
      </c>
      <c r="AV304" s="135">
        <v>148.5</v>
      </c>
      <c r="AW304" s="134" cm="1">
        <f t="array" ref="AW304">INDEX($CF$29:$CF$1449,MATCH($AR304,$CA$29:$CA$1449,0),)</f>
        <v>160</v>
      </c>
      <c r="AX304" s="134"/>
      <c r="AY304" s="134" cm="1">
        <f t="array" ref="AY304">INDEX($CO$29:$CO$1449,MATCH($AR304,$CA$29:$CA$1449,0),)</f>
        <v>116.725</v>
      </c>
      <c r="AZ304" s="135"/>
      <c r="BA304" s="134" cm="1">
        <f t="array" ref="BA304">INDEX($CP$29:$CP$1449,MATCH($AR304,$CA$29:$CA$1449,0),)</f>
        <v>231.42</v>
      </c>
      <c r="BB304" s="133">
        <f t="shared" si="165"/>
        <v>0</v>
      </c>
      <c r="BC304" s="132">
        <f t="shared" si="167"/>
        <v>-0.0126582278481012</v>
      </c>
      <c r="BD304" s="132">
        <f t="shared" si="169"/>
        <v>-0.00636942675159236</v>
      </c>
      <c r="BE304" s="133">
        <f t="shared" si="166"/>
        <v>-0.00335570469798663</v>
      </c>
      <c r="BF304" s="132">
        <f t="shared" si="168"/>
        <v>-0.00335570469798663</v>
      </c>
      <c r="BG304" s="132">
        <f t="shared" si="170"/>
        <v>0.00337837837837829</v>
      </c>
      <c r="BH304" s="132"/>
      <c r="BI304" s="132"/>
      <c r="BJ304" s="132"/>
      <c r="BK304" s="132"/>
      <c r="BL304" s="132"/>
      <c r="BM304" s="132"/>
      <c r="BN304" s="132"/>
      <c r="FV304" s="104">
        <f t="shared" si="147"/>
        <v>2011</v>
      </c>
      <c r="FW304" s="104">
        <f t="shared" si="148"/>
        <v>45</v>
      </c>
      <c r="FX304" s="35">
        <v>40848</v>
      </c>
      <c r="FY304" s="26">
        <v>0.83</v>
      </c>
      <c r="FZ304" s="94">
        <f t="shared" si="149"/>
        <v>3.32</v>
      </c>
      <c r="GA304" s="104"/>
      <c r="GB304" s="104"/>
      <c r="GE304" s="94"/>
      <c r="GF304" s="104">
        <f t="shared" si="150"/>
        <v>2014</v>
      </c>
      <c r="GG304" s="104">
        <f t="shared" si="151"/>
        <v>7</v>
      </c>
      <c r="GH304" s="35">
        <v>41683</v>
      </c>
      <c r="GI304" s="26">
        <v>4.154</v>
      </c>
      <c r="GJ304" s="94">
        <f t="shared" si="152"/>
        <v>8.308</v>
      </c>
      <c r="GK304" s="104"/>
      <c r="GL304" s="104"/>
      <c r="GO304" s="94"/>
    </row>
    <row r="305" spans="3:197">
      <c r="C305" s="80" t="str" cm="1">
        <f t="array" ref="C305">_xlfn.IFS(MONTH(D305)&lt;4,1,MONTH(D305)&lt;7,2,MONTH(D305)&lt;10,3,MONTH(D305)&gt;9,4)&amp;"Q"&amp;RIGHT(YEAR(D305),2)</f>
        <v>2Q17</v>
      </c>
      <c r="D305" s="81">
        <f t="shared" si="160"/>
        <v>42855</v>
      </c>
      <c r="E305" s="82">
        <f t="shared" si="172"/>
        <v>42831</v>
      </c>
      <c r="F305" s="83">
        <f t="shared" si="158"/>
        <v>0.84875</v>
      </c>
      <c r="G305" s="83">
        <f t="shared" si="158"/>
        <v>0.8125</v>
      </c>
      <c r="H305" s="81"/>
      <c r="I305" s="146">
        <v>42831</v>
      </c>
      <c r="J305" s="147">
        <v>7.7</v>
      </c>
      <c r="K305" s="147">
        <v>6.27</v>
      </c>
      <c r="L305" s="148">
        <v>6.79</v>
      </c>
      <c r="M305" s="94" cm="1">
        <f t="array" ref="M305">INDEX($BV$29:$BV$1449,MATCH($D305,$BR$29:$BR$1449,0),)</f>
        <v>6.5</v>
      </c>
      <c r="N305" s="88"/>
      <c r="O305" s="88"/>
      <c r="P305" s="88"/>
      <c r="Q305" s="89">
        <f t="shared" si="159"/>
        <v>0.0446153846153847</v>
      </c>
      <c r="AH305" s="105">
        <f t="shared" si="171"/>
        <v>44718</v>
      </c>
      <c r="AI305" s="91">
        <f t="shared" si="155"/>
        <v>3.374</v>
      </c>
      <c r="AJ305" s="36">
        <f t="shared" si="161"/>
        <v>-0.00589275191514438</v>
      </c>
      <c r="AK305" s="36">
        <f t="shared" si="163"/>
        <v>-0.00910425844346541</v>
      </c>
      <c r="AL305" s="105"/>
      <c r="AM305" s="91"/>
      <c r="AN305" s="36"/>
      <c r="AO305" s="36"/>
      <c r="AP305" s="36"/>
      <c r="AQ305" s="128" t="str" cm="1">
        <f t="array" ref="AQ305">_xlfn.IFS(MONTH(AR305)&lt;4,1,MONTH(AR305)&lt;7,2,MONTH(AR305)&lt;10,3,MONTH(AR305)&gt;9,4)&amp;"Q"&amp;RIGHT(YEAR(AR305),2)</f>
        <v>2Q24</v>
      </c>
      <c r="AR305" s="128">
        <f t="shared" si="162"/>
        <v>45473</v>
      </c>
      <c r="AS305" s="129">
        <f t="shared" si="156"/>
        <v>45446</v>
      </c>
      <c r="AT305" s="135">
        <v>77</v>
      </c>
      <c r="AU305" s="134" cm="1">
        <f t="array" ref="AU305">INDEX($CE$29:$CE$1449,MATCH($AR305,$CA$29:$CA$1449,0),)</f>
        <v>83</v>
      </c>
      <c r="AV305" s="135">
        <v>148</v>
      </c>
      <c r="AW305" s="134" cm="1">
        <f t="array" ref="AW305">INDEX($CF$29:$CF$1449,MATCH($AR305,$CA$29:$CA$1449,0),)</f>
        <v>161.85</v>
      </c>
      <c r="AX305" s="134"/>
      <c r="AY305" s="134" cm="1">
        <f t="array" ref="AY305">INDEX($CO$29:$CO$1449,MATCH($AR305,$CA$29:$CA$1449,0),)</f>
        <v>119.77</v>
      </c>
      <c r="AZ305" s="135"/>
      <c r="BA305" s="134" cm="1">
        <f t="array" ref="BA305">INDEX($CP$29:$CP$1449,MATCH($AR305,$CA$29:$CA$1449,0),)</f>
        <v>236.495</v>
      </c>
      <c r="BB305" s="133">
        <f t="shared" si="165"/>
        <v>-0.0128205128205128</v>
      </c>
      <c r="BC305" s="132">
        <f t="shared" si="167"/>
        <v>-0.0128205128205128</v>
      </c>
      <c r="BD305" s="132">
        <f t="shared" si="169"/>
        <v>-0.0253164556962026</v>
      </c>
      <c r="BE305" s="133">
        <f t="shared" si="166"/>
        <v>-0.00336700336700335</v>
      </c>
      <c r="BF305" s="132">
        <f t="shared" si="168"/>
        <v>-0.00671140939597314</v>
      </c>
      <c r="BG305" s="132">
        <f t="shared" si="170"/>
        <v>-0.00671140939597314</v>
      </c>
      <c r="BH305" s="132"/>
      <c r="BI305" s="132"/>
      <c r="BJ305" s="132"/>
      <c r="BK305" s="132"/>
      <c r="BL305" s="132"/>
      <c r="BM305" s="132"/>
      <c r="BN305" s="132"/>
      <c r="FV305" s="104">
        <f t="shared" si="147"/>
        <v>2011</v>
      </c>
      <c r="FW305" s="104">
        <f t="shared" si="148"/>
        <v>45</v>
      </c>
      <c r="FX305" s="35">
        <v>40849</v>
      </c>
      <c r="FY305" s="26">
        <v>0.83</v>
      </c>
      <c r="FZ305" s="94">
        <f t="shared" si="149"/>
        <v>3.32</v>
      </c>
      <c r="GA305" s="104"/>
      <c r="GB305" s="104"/>
      <c r="GE305" s="94"/>
      <c r="GF305" s="104">
        <f t="shared" si="150"/>
        <v>2014</v>
      </c>
      <c r="GG305" s="104">
        <f t="shared" si="151"/>
        <v>7</v>
      </c>
      <c r="GH305" s="35">
        <v>41684</v>
      </c>
      <c r="GI305" s="26">
        <v>4.152</v>
      </c>
      <c r="GJ305" s="94">
        <f t="shared" si="152"/>
        <v>8.304</v>
      </c>
      <c r="GK305" s="104"/>
      <c r="GL305" s="104"/>
      <c r="GO305" s="94"/>
    </row>
    <row r="306" spans="3:197">
      <c r="C306" s="80" t="str" cm="1">
        <f t="array" ref="C306">_xlfn.IFS(MONTH(D306)&lt;4,1,MONTH(D306)&lt;7,2,MONTH(D306)&lt;10,3,MONTH(D306)&gt;9,4)&amp;"Q"&amp;RIGHT(YEAR(D306),2)</f>
        <v>2Q17</v>
      </c>
      <c r="D306" s="81">
        <f t="shared" si="160"/>
        <v>42855</v>
      </c>
      <c r="E306" s="82">
        <f t="shared" si="172"/>
        <v>42832</v>
      </c>
      <c r="F306" s="83">
        <f t="shared" si="158"/>
        <v>0.84875</v>
      </c>
      <c r="G306" s="83">
        <f t="shared" si="158"/>
        <v>0.8125</v>
      </c>
      <c r="H306" s="81"/>
      <c r="I306" s="146">
        <v>42832</v>
      </c>
      <c r="J306" s="147">
        <v>7.6</v>
      </c>
      <c r="K306" s="147">
        <v>6.27</v>
      </c>
      <c r="L306" s="148">
        <v>6.79</v>
      </c>
      <c r="M306" s="94" cm="1">
        <f t="array" ref="M306">INDEX($BV$29:$BV$1449,MATCH($D306,$BR$29:$BR$1449,0),)</f>
        <v>6.5</v>
      </c>
      <c r="N306" s="88"/>
      <c r="O306" s="88"/>
      <c r="P306" s="88"/>
      <c r="Q306" s="89">
        <f t="shared" si="159"/>
        <v>0.0446153846153847</v>
      </c>
      <c r="AH306" s="105">
        <f t="shared" si="171"/>
        <v>44725</v>
      </c>
      <c r="AI306" s="91">
        <f t="shared" si="155"/>
        <v>3.431</v>
      </c>
      <c r="AJ306" s="36">
        <f t="shared" si="161"/>
        <v>0.0168938944872554</v>
      </c>
      <c r="AK306" s="36">
        <f t="shared" si="163"/>
        <v>0.010901591043017</v>
      </c>
      <c r="AL306" s="105"/>
      <c r="AM306" s="91"/>
      <c r="AN306" s="36"/>
      <c r="AO306" s="36"/>
      <c r="AP306" s="36"/>
      <c r="AQ306" s="128" t="str" cm="1">
        <f t="array" ref="AQ306">_xlfn.IFS(MONTH(AR306)&lt;4,1,MONTH(AR306)&lt;7,2,MONTH(AR306)&lt;10,3,MONTH(AR306)&gt;9,4)&amp;"Q"&amp;RIGHT(YEAR(AR306),2)</f>
        <v>2Q24</v>
      </c>
      <c r="AR306" s="128">
        <f t="shared" si="162"/>
        <v>45473</v>
      </c>
      <c r="AS306" s="149">
        <v>45454</v>
      </c>
      <c r="AT306" s="135">
        <v>76.5</v>
      </c>
      <c r="AU306" s="134" cm="1">
        <f t="array" ref="AU306">INDEX($CE$29:$CE$1449,MATCH($AR306,$CA$29:$CA$1449,0),)</f>
        <v>83</v>
      </c>
      <c r="AV306" s="135">
        <v>147</v>
      </c>
      <c r="AW306" s="134" cm="1">
        <f t="array" ref="AW306">INDEX($CF$29:$CF$1449,MATCH($AR306,$CA$29:$CA$1449,0),)</f>
        <v>161.85</v>
      </c>
      <c r="AX306" s="134"/>
      <c r="AY306" s="134" cm="1">
        <f t="array" ref="AY306">INDEX($CO$29:$CO$1449,MATCH($AR306,$CA$29:$CA$1449,0),)</f>
        <v>119.77</v>
      </c>
      <c r="AZ306" s="135"/>
      <c r="BA306" s="134" cm="1">
        <f t="array" ref="BA306">INDEX($CP$29:$CP$1449,MATCH($AR306,$CA$29:$CA$1449,0),)</f>
        <v>236.495</v>
      </c>
      <c r="BB306" s="133">
        <f t="shared" si="165"/>
        <v>-0.00649350649350644</v>
      </c>
      <c r="BC306" s="132">
        <f t="shared" si="167"/>
        <v>-0.0192307692307693</v>
      </c>
      <c r="BD306" s="132">
        <f t="shared" si="169"/>
        <v>-0.0192307692307693</v>
      </c>
      <c r="BE306" s="133">
        <f t="shared" si="166"/>
        <v>-0.0067567567567568</v>
      </c>
      <c r="BF306" s="132">
        <f t="shared" si="168"/>
        <v>-0.0101010101010101</v>
      </c>
      <c r="BG306" s="132">
        <f t="shared" si="170"/>
        <v>-0.0134228187919463</v>
      </c>
      <c r="BH306" s="132"/>
      <c r="BI306" s="132"/>
      <c r="BJ306" s="132"/>
      <c r="BK306" s="132"/>
      <c r="BL306" s="132"/>
      <c r="BM306" s="132"/>
      <c r="BN306" s="132"/>
      <c r="FV306" s="104">
        <f t="shared" si="147"/>
        <v>2011</v>
      </c>
      <c r="FW306" s="104">
        <f t="shared" si="148"/>
        <v>45</v>
      </c>
      <c r="FX306" s="35">
        <v>40850</v>
      </c>
      <c r="FY306" s="26">
        <v>0.82</v>
      </c>
      <c r="FZ306" s="94">
        <f t="shared" si="149"/>
        <v>3.28</v>
      </c>
      <c r="GA306" s="104"/>
      <c r="GB306" s="104"/>
      <c r="GE306" s="94"/>
      <c r="GF306" s="104">
        <f t="shared" si="150"/>
        <v>2014</v>
      </c>
      <c r="GG306" s="104">
        <f t="shared" si="151"/>
        <v>8</v>
      </c>
      <c r="GH306" s="35">
        <v>41687</v>
      </c>
      <c r="GI306" s="26">
        <v>4.138</v>
      </c>
      <c r="GJ306" s="94">
        <f t="shared" si="152"/>
        <v>8.276</v>
      </c>
      <c r="GK306" s="104"/>
      <c r="GL306" s="104"/>
      <c r="GO306" s="94"/>
    </row>
    <row r="307" spans="3:197">
      <c r="C307" s="80" t="str" cm="1">
        <f t="array" ref="C307">_xlfn.IFS(MONTH(D307)&lt;4,1,MONTH(D307)&lt;7,2,MONTH(D307)&lt;10,3,MONTH(D307)&gt;9,4)&amp;"Q"&amp;RIGHT(YEAR(D307),2)</f>
        <v>2Q17</v>
      </c>
      <c r="D307" s="81">
        <f t="shared" si="160"/>
        <v>42855</v>
      </c>
      <c r="E307" s="82">
        <f t="shared" si="172"/>
        <v>42835</v>
      </c>
      <c r="F307" s="83">
        <f t="shared" si="158"/>
        <v>0.851625</v>
      </c>
      <c r="G307" s="83">
        <f t="shared" si="158"/>
        <v>0.8125</v>
      </c>
      <c r="H307" s="81"/>
      <c r="I307" s="146">
        <v>42835</v>
      </c>
      <c r="J307" s="147">
        <v>7.5</v>
      </c>
      <c r="K307" s="147">
        <v>6.31</v>
      </c>
      <c r="L307" s="148">
        <v>6.813</v>
      </c>
      <c r="M307" s="94" cm="1">
        <f t="array" ref="M307">INDEX($BV$29:$BV$1449,MATCH($D307,$BR$29:$BR$1449,0),)</f>
        <v>6.5</v>
      </c>
      <c r="N307" s="88"/>
      <c r="O307" s="88"/>
      <c r="P307" s="88"/>
      <c r="Q307" s="89">
        <f t="shared" si="159"/>
        <v>0.0481538461538462</v>
      </c>
      <c r="AH307" s="105">
        <f t="shared" si="171"/>
        <v>44732</v>
      </c>
      <c r="AI307" s="91">
        <f t="shared" si="155"/>
        <v>3.422</v>
      </c>
      <c r="AJ307" s="36">
        <f t="shared" si="161"/>
        <v>-0.00262314194112501</v>
      </c>
      <c r="AK307" s="36">
        <f t="shared" si="163"/>
        <v>0.0142264374629519</v>
      </c>
      <c r="AL307" s="105"/>
      <c r="AM307" s="91"/>
      <c r="AN307" s="36"/>
      <c r="AO307" s="36"/>
      <c r="AP307" s="36"/>
      <c r="AQ307" s="128" t="str" cm="1">
        <f t="array" ref="AQ307">_xlfn.IFS(MONTH(AR307)&lt;4,1,MONTH(AR307)&lt;7,2,MONTH(AR307)&lt;10,3,MONTH(AR307)&gt;9,4)&amp;"Q"&amp;RIGHT(YEAR(AR307),2)</f>
        <v>2Q24</v>
      </c>
      <c r="AR307" s="128">
        <f t="shared" si="162"/>
        <v>45473</v>
      </c>
      <c r="AS307" s="149">
        <v>45460</v>
      </c>
      <c r="AT307" s="135">
        <v>76.5</v>
      </c>
      <c r="AU307" s="134" cm="1">
        <f t="array" ref="AU307">INDEX($CE$29:$CE$1449,MATCH($AR307,$CA$29:$CA$1449,0),)</f>
        <v>83</v>
      </c>
      <c r="AV307" s="135">
        <v>146.5</v>
      </c>
      <c r="AW307" s="134" cm="1">
        <f t="array" ref="AW307">INDEX($CF$29:$CF$1449,MATCH($AR307,$CA$29:$CA$1449,0),)</f>
        <v>161.85</v>
      </c>
      <c r="AX307" s="134"/>
      <c r="AY307" s="134" cm="1">
        <f t="array" ref="AY307">INDEX($CO$29:$CO$1449,MATCH($AR307,$CA$29:$CA$1449,0),)</f>
        <v>119.77</v>
      </c>
      <c r="AZ307" s="135"/>
      <c r="BA307" s="134" cm="1">
        <f t="array" ref="BA307">INDEX($CP$29:$CP$1449,MATCH($AR307,$CA$29:$CA$1449,0),)</f>
        <v>236.495</v>
      </c>
      <c r="BB307" s="133">
        <f t="shared" si="165"/>
        <v>0</v>
      </c>
      <c r="BC307" s="132">
        <f t="shared" si="167"/>
        <v>-0.00649350649350644</v>
      </c>
      <c r="BD307" s="132">
        <f t="shared" si="169"/>
        <v>-0.0192307692307693</v>
      </c>
      <c r="BE307" s="133">
        <f t="shared" si="166"/>
        <v>-0.00340136054421769</v>
      </c>
      <c r="BF307" s="132">
        <f t="shared" si="168"/>
        <v>-0.0101351351351351</v>
      </c>
      <c r="BG307" s="132">
        <f t="shared" si="170"/>
        <v>-0.0134680134680135</v>
      </c>
      <c r="BH307" s="132"/>
      <c r="BI307" s="132"/>
      <c r="BJ307" s="132"/>
      <c r="BK307" s="132"/>
      <c r="BL307" s="132"/>
      <c r="BM307" s="132"/>
      <c r="BN307" s="132"/>
      <c r="FV307" s="104">
        <f t="shared" si="147"/>
        <v>2011</v>
      </c>
      <c r="FW307" s="104">
        <f t="shared" si="148"/>
        <v>45</v>
      </c>
      <c r="FX307" s="35">
        <v>40851</v>
      </c>
      <c r="FY307" s="26">
        <v>0.81</v>
      </c>
      <c r="FZ307" s="94">
        <f t="shared" si="149"/>
        <v>3.24</v>
      </c>
      <c r="GA307" s="104"/>
      <c r="GB307" s="104"/>
      <c r="GE307" s="94"/>
      <c r="GF307" s="104">
        <f t="shared" si="150"/>
        <v>2014</v>
      </c>
      <c r="GG307" s="104">
        <f t="shared" si="151"/>
        <v>8</v>
      </c>
      <c r="GH307" s="35">
        <v>41688</v>
      </c>
      <c r="GI307" s="26">
        <v>4.132</v>
      </c>
      <c r="GJ307" s="94">
        <f t="shared" si="152"/>
        <v>8.264</v>
      </c>
      <c r="GK307" s="104"/>
      <c r="GL307" s="104"/>
      <c r="GO307" s="94"/>
    </row>
    <row r="308" spans="3:197">
      <c r="C308" s="80" t="str" cm="1">
        <f t="array" ref="C308">_xlfn.IFS(MONTH(D308)&lt;4,1,MONTH(D308)&lt;7,2,MONTH(D308)&lt;10,3,MONTH(D308)&gt;9,4)&amp;"Q"&amp;RIGHT(YEAR(D308),2)</f>
        <v>2Q17</v>
      </c>
      <c r="D308" s="81">
        <f t="shared" si="160"/>
        <v>42855</v>
      </c>
      <c r="E308" s="82">
        <f t="shared" si="172"/>
        <v>42836</v>
      </c>
      <c r="F308" s="83">
        <f t="shared" si="158"/>
        <v>0.8525</v>
      </c>
      <c r="G308" s="83">
        <f t="shared" si="158"/>
        <v>0.8125</v>
      </c>
      <c r="H308" s="81"/>
      <c r="I308" s="146">
        <v>42836</v>
      </c>
      <c r="J308" s="147">
        <v>7.45</v>
      </c>
      <c r="K308" s="147">
        <v>6.33</v>
      </c>
      <c r="L308" s="148">
        <v>6.82</v>
      </c>
      <c r="M308" s="94" cm="1">
        <f t="array" ref="M308">INDEX($BV$29:$BV$1449,MATCH($D308,$BR$29:$BR$1449,0),)</f>
        <v>6.5</v>
      </c>
      <c r="N308" s="88"/>
      <c r="O308" s="88"/>
      <c r="P308" s="88"/>
      <c r="Q308" s="89">
        <f t="shared" si="159"/>
        <v>0.0492307692307692</v>
      </c>
      <c r="AH308" s="105">
        <f t="shared" si="171"/>
        <v>44739</v>
      </c>
      <c r="AI308" s="91">
        <f t="shared" si="155"/>
        <v>3.301</v>
      </c>
      <c r="AJ308" s="36">
        <f t="shared" si="161"/>
        <v>-0.0353594389246055</v>
      </c>
      <c r="AK308" s="36">
        <f t="shared" si="163"/>
        <v>-0.0378898280384727</v>
      </c>
      <c r="AL308" s="105"/>
      <c r="AM308" s="91"/>
      <c r="AN308" s="36"/>
      <c r="AO308" s="36"/>
      <c r="AP308" s="36"/>
      <c r="AQ308" s="128" t="str" cm="1">
        <f t="array" ref="AQ308">_xlfn.IFS(MONTH(AR308)&lt;4,1,MONTH(AR308)&lt;7,2,MONTH(AR308)&lt;10,3,MONTH(AR308)&gt;9,4)&amp;"Q"&amp;RIGHT(YEAR(AR308),2)</f>
        <v>2Q24</v>
      </c>
      <c r="AR308" s="128">
        <f t="shared" si="162"/>
        <v>45473</v>
      </c>
      <c r="AS308" s="129">
        <f t="shared" ref="AS308:AS371" si="173">AS307+7</f>
        <v>45467</v>
      </c>
      <c r="AT308" s="135">
        <v>76</v>
      </c>
      <c r="AU308" s="134" cm="1">
        <f t="array" ref="AU308">INDEX($CE$29:$CE$1449,MATCH($AR308,$CA$29:$CA$1449,0),)</f>
        <v>83</v>
      </c>
      <c r="AV308" s="135">
        <v>146.5</v>
      </c>
      <c r="AW308" s="134" cm="1">
        <f t="array" ref="AW308">INDEX($CF$29:$CF$1449,MATCH($AR308,$CA$29:$CA$1449,0),)</f>
        <v>161.85</v>
      </c>
      <c r="AX308" s="134"/>
      <c r="AY308" s="134" cm="1">
        <f t="array" ref="AY308">INDEX($CO$29:$CO$1449,MATCH($AR308,$CA$29:$CA$1449,0),)</f>
        <v>119.77</v>
      </c>
      <c r="AZ308" s="135"/>
      <c r="BA308" s="134" cm="1">
        <f t="array" ref="BA308">INDEX($CP$29:$CP$1449,MATCH($AR308,$CA$29:$CA$1449,0),)</f>
        <v>236.495</v>
      </c>
      <c r="BB308" s="133">
        <f t="shared" si="165"/>
        <v>-0.00653594771241828</v>
      </c>
      <c r="BC308" s="132">
        <f t="shared" si="167"/>
        <v>-0.00653594771241828</v>
      </c>
      <c r="BD308" s="132">
        <f t="shared" si="169"/>
        <v>-0.012987012987013</v>
      </c>
      <c r="BE308" s="133">
        <f t="shared" si="166"/>
        <v>0</v>
      </c>
      <c r="BF308" s="132">
        <f t="shared" si="168"/>
        <v>-0.00340136054421769</v>
      </c>
      <c r="BG308" s="132">
        <f t="shared" si="170"/>
        <v>-0.0101351351351351</v>
      </c>
      <c r="BH308" s="132"/>
      <c r="BI308" s="132"/>
      <c r="BJ308" s="132"/>
      <c r="BK308" s="132"/>
      <c r="BL308" s="132"/>
      <c r="BM308" s="132"/>
      <c r="BN308" s="132"/>
      <c r="FV308" s="104">
        <f t="shared" ref="FV308:FV371" si="174">YEAR(FX308)</f>
        <v>2011</v>
      </c>
      <c r="FW308" s="104">
        <f t="shared" ref="FW308:FW371" si="175">WEEKNUM(FX308)</f>
        <v>46</v>
      </c>
      <c r="FX308" s="35">
        <v>40854</v>
      </c>
      <c r="FY308" s="26">
        <v>0.8</v>
      </c>
      <c r="FZ308" s="94">
        <f t="shared" ref="FZ308:FZ371" si="176">FY308*4</f>
        <v>3.2</v>
      </c>
      <c r="GA308" s="104"/>
      <c r="GB308" s="104"/>
      <c r="GE308" s="94"/>
      <c r="GF308" s="104">
        <f t="shared" ref="GF308:GF371" si="177">YEAR(GH308)</f>
        <v>2014</v>
      </c>
      <c r="GG308" s="104">
        <f t="shared" ref="GG308:GG371" si="178">WEEKNUM(GH308)</f>
        <v>8</v>
      </c>
      <c r="GH308" s="35">
        <v>41689</v>
      </c>
      <c r="GI308" s="26">
        <v>4.107</v>
      </c>
      <c r="GJ308" s="94">
        <f t="shared" ref="GJ308:GJ371" si="179">GI308*2</f>
        <v>8.214</v>
      </c>
      <c r="GK308" s="104"/>
      <c r="GL308" s="104"/>
      <c r="GO308" s="94"/>
    </row>
    <row r="309" spans="3:197">
      <c r="C309" s="80" t="str" cm="1">
        <f t="array" ref="C309">_xlfn.IFS(MONTH(D309)&lt;4,1,MONTH(D309)&lt;7,2,MONTH(D309)&lt;10,3,MONTH(D309)&gt;9,4)&amp;"Q"&amp;RIGHT(YEAR(D309),2)</f>
        <v>2Q17</v>
      </c>
      <c r="D309" s="81">
        <f t="shared" si="160"/>
        <v>42855</v>
      </c>
      <c r="E309" s="82">
        <f t="shared" si="172"/>
        <v>42837</v>
      </c>
      <c r="F309" s="83">
        <f t="shared" si="158"/>
        <v>0.853125</v>
      </c>
      <c r="G309" s="83">
        <f t="shared" si="158"/>
        <v>0.8125</v>
      </c>
      <c r="H309" s="81"/>
      <c r="I309" s="146">
        <v>42837</v>
      </c>
      <c r="J309" s="147">
        <v>7.4</v>
      </c>
      <c r="K309" s="147">
        <v>6.33</v>
      </c>
      <c r="L309" s="148">
        <v>6.825</v>
      </c>
      <c r="M309" s="94" cm="1">
        <f t="array" ref="M309">INDEX($BV$29:$BV$1449,MATCH($D309,$BR$29:$BR$1449,0),)</f>
        <v>6.5</v>
      </c>
      <c r="N309" s="88"/>
      <c r="O309" s="88"/>
      <c r="P309" s="88"/>
      <c r="Q309" s="89">
        <f t="shared" si="159"/>
        <v>0.05</v>
      </c>
      <c r="AH309" s="105">
        <f t="shared" si="171"/>
        <v>44746</v>
      </c>
      <c r="AI309" s="91">
        <f t="shared" si="155"/>
        <v>3.267</v>
      </c>
      <c r="AJ309" s="36">
        <f t="shared" si="161"/>
        <v>-0.010299909118449</v>
      </c>
      <c r="AK309" s="36">
        <f t="shared" si="163"/>
        <v>-0.0452951490356517</v>
      </c>
      <c r="AL309" s="105"/>
      <c r="AM309" s="91"/>
      <c r="AN309" s="36"/>
      <c r="AO309" s="36"/>
      <c r="AP309" s="36"/>
      <c r="AQ309" s="128" t="str" cm="1">
        <f t="array" ref="AQ309">_xlfn.IFS(MONTH(AR309)&lt;4,1,MONTH(AR309)&lt;7,2,MONTH(AR309)&lt;10,3,MONTH(AR309)&gt;9,4)&amp;"Q"&amp;RIGHT(YEAR(AR309),2)</f>
        <v>3Q24</v>
      </c>
      <c r="AR309" s="128">
        <f t="shared" si="162"/>
        <v>45504</v>
      </c>
      <c r="AS309" s="129">
        <f t="shared" si="173"/>
        <v>45474</v>
      </c>
      <c r="AT309" s="135">
        <v>76</v>
      </c>
      <c r="AU309" s="134" cm="1">
        <f t="array" ref="AU309">INDEX($CE$29:$CE$1449,MATCH($AR309,$CA$29:$CA$1449,0),)</f>
        <v>87</v>
      </c>
      <c r="AV309" s="135">
        <v>146.5</v>
      </c>
      <c r="AW309" s="134" cm="1">
        <f t="array" ref="AW309">INDEX($CF$29:$CF$1449,MATCH($AR309,$CA$29:$CA$1449,0),)</f>
        <v>170.52</v>
      </c>
      <c r="AX309" s="134"/>
      <c r="AY309" s="134" cm="1">
        <f t="array" ref="AY309">INDEX($CO$29:$CO$1449,MATCH($AR309,$CA$29:$CA$1449,0),)</f>
        <v>127.89</v>
      </c>
      <c r="AZ309" s="135"/>
      <c r="BA309" s="134" cm="1">
        <f t="array" ref="BA309">INDEX($CP$29:$CP$1449,MATCH($AR309,$CA$29:$CA$1449,0),)</f>
        <v>257.55</v>
      </c>
      <c r="BB309" s="133">
        <f t="shared" si="165"/>
        <v>0</v>
      </c>
      <c r="BC309" s="132">
        <f t="shared" si="167"/>
        <v>-0.00653594771241828</v>
      </c>
      <c r="BD309" s="132">
        <f t="shared" si="169"/>
        <v>-0.00653594771241828</v>
      </c>
      <c r="BE309" s="133">
        <f t="shared" si="166"/>
        <v>0</v>
      </c>
      <c r="BF309" s="132">
        <f t="shared" si="168"/>
        <v>0</v>
      </c>
      <c r="BG309" s="132">
        <f t="shared" si="170"/>
        <v>-0.00340136054421769</v>
      </c>
      <c r="BH309" s="132"/>
      <c r="BI309" s="132"/>
      <c r="BJ309" s="132"/>
      <c r="BK309" s="132"/>
      <c r="BL309" s="132"/>
      <c r="BM309" s="132"/>
      <c r="BN309" s="132"/>
      <c r="FV309" s="104">
        <f t="shared" si="174"/>
        <v>2011</v>
      </c>
      <c r="FW309" s="104">
        <f t="shared" si="175"/>
        <v>46</v>
      </c>
      <c r="FX309" s="35">
        <v>40855</v>
      </c>
      <c r="FY309" s="26">
        <v>0.79</v>
      </c>
      <c r="FZ309" s="94">
        <f t="shared" si="176"/>
        <v>3.16</v>
      </c>
      <c r="GA309" s="104"/>
      <c r="GB309" s="104"/>
      <c r="GE309" s="94"/>
      <c r="GF309" s="104">
        <f t="shared" si="177"/>
        <v>2014</v>
      </c>
      <c r="GG309" s="104">
        <f t="shared" si="178"/>
        <v>8</v>
      </c>
      <c r="GH309" s="35">
        <v>41690</v>
      </c>
      <c r="GI309" s="26">
        <v>4.091</v>
      </c>
      <c r="GJ309" s="94">
        <f t="shared" si="179"/>
        <v>8.182</v>
      </c>
      <c r="GK309" s="104"/>
      <c r="GL309" s="104"/>
      <c r="GO309" s="94"/>
    </row>
    <row r="310" spans="3:197">
      <c r="C310" s="80" t="str" cm="1">
        <f t="array" ref="C310">_xlfn.IFS(MONTH(D310)&lt;4,1,MONTH(D310)&lt;7,2,MONTH(D310)&lt;10,3,MONTH(D310)&gt;9,4)&amp;"Q"&amp;RIGHT(YEAR(D310),2)</f>
        <v>2Q17</v>
      </c>
      <c r="D310" s="81">
        <f t="shared" si="160"/>
        <v>42855</v>
      </c>
      <c r="E310" s="82">
        <f t="shared" si="172"/>
        <v>42838</v>
      </c>
      <c r="F310" s="83">
        <f t="shared" si="158"/>
        <v>0.853125</v>
      </c>
      <c r="G310" s="83">
        <f t="shared" si="158"/>
        <v>0.8125</v>
      </c>
      <c r="H310" s="81"/>
      <c r="I310" s="146">
        <v>42838</v>
      </c>
      <c r="J310" s="147">
        <v>7.4</v>
      </c>
      <c r="K310" s="147">
        <v>6.33</v>
      </c>
      <c r="L310" s="148">
        <v>6.825</v>
      </c>
      <c r="M310" s="94" cm="1">
        <f t="array" ref="M310">INDEX($BV$29:$BV$1449,MATCH($D310,$BR$29:$BR$1449,0),)</f>
        <v>6.5</v>
      </c>
      <c r="N310" s="88"/>
      <c r="O310" s="88"/>
      <c r="P310" s="88"/>
      <c r="Q310" s="89">
        <f t="shared" si="159"/>
        <v>0.05</v>
      </c>
      <c r="AH310" s="105">
        <f t="shared" si="171"/>
        <v>44753</v>
      </c>
      <c r="AI310" s="91">
        <f t="shared" si="155"/>
        <v>3.207</v>
      </c>
      <c r="AJ310" s="36">
        <f t="shared" si="161"/>
        <v>-0.0183654729109275</v>
      </c>
      <c r="AK310" s="36">
        <f t="shared" si="163"/>
        <v>-0.0284762193274766</v>
      </c>
      <c r="AL310" s="105"/>
      <c r="AM310" s="91"/>
      <c r="AN310" s="36"/>
      <c r="AO310" s="36"/>
      <c r="AP310" s="36"/>
      <c r="AQ310" s="128" t="str" cm="1">
        <f t="array" ref="AQ310">_xlfn.IFS(MONTH(AR310)&lt;4,1,MONTH(AR310)&lt;7,2,MONTH(AR310)&lt;10,3,MONTH(AR310)&gt;9,4)&amp;"Q"&amp;RIGHT(YEAR(AR310),2)</f>
        <v>3Q24</v>
      </c>
      <c r="AR310" s="128">
        <f t="shared" si="162"/>
        <v>45504</v>
      </c>
      <c r="AS310" s="129">
        <f t="shared" si="173"/>
        <v>45481</v>
      </c>
      <c r="AT310" s="135">
        <v>76.5</v>
      </c>
      <c r="AU310" s="134" cm="1">
        <f t="array" ref="AU310">INDEX($CE$29:$CE$1449,MATCH($AR310,$CA$29:$CA$1449,0),)</f>
        <v>87</v>
      </c>
      <c r="AV310" s="135">
        <v>146.5</v>
      </c>
      <c r="AW310" s="134" cm="1">
        <f t="array" ref="AW310">INDEX($CF$29:$CF$1449,MATCH($AR310,$CA$29:$CA$1449,0),)</f>
        <v>170.52</v>
      </c>
      <c r="AX310" s="134"/>
      <c r="AY310" s="134" cm="1">
        <f t="array" ref="AY310">INDEX($CO$29:$CO$1449,MATCH($AR310,$CA$29:$CA$1449,0),)</f>
        <v>127.89</v>
      </c>
      <c r="AZ310" s="135"/>
      <c r="BA310" s="134" cm="1">
        <f t="array" ref="BA310">INDEX($CP$29:$CP$1449,MATCH($AR310,$CA$29:$CA$1449,0),)</f>
        <v>257.55</v>
      </c>
      <c r="BB310" s="133">
        <f t="shared" si="165"/>
        <v>0.00657894736842102</v>
      </c>
      <c r="BC310" s="132">
        <f t="shared" si="167"/>
        <v>0.00657894736842102</v>
      </c>
      <c r="BD310" s="132">
        <f t="shared" si="169"/>
        <v>0</v>
      </c>
      <c r="BE310" s="133">
        <f t="shared" si="166"/>
        <v>0</v>
      </c>
      <c r="BF310" s="132">
        <f t="shared" si="168"/>
        <v>0</v>
      </c>
      <c r="BG310" s="132">
        <f t="shared" si="170"/>
        <v>0</v>
      </c>
      <c r="BH310" s="132"/>
      <c r="BI310" s="132"/>
      <c r="BJ310" s="132"/>
      <c r="BK310" s="132"/>
      <c r="BL310" s="132"/>
      <c r="BM310" s="132"/>
      <c r="BN310" s="132"/>
      <c r="FV310" s="104">
        <f t="shared" si="174"/>
        <v>2011</v>
      </c>
      <c r="FW310" s="104">
        <f t="shared" si="175"/>
        <v>46</v>
      </c>
      <c r="FX310" s="35">
        <v>40856</v>
      </c>
      <c r="FY310" s="26">
        <v>0.77</v>
      </c>
      <c r="FZ310" s="94">
        <f t="shared" si="176"/>
        <v>3.08</v>
      </c>
      <c r="GA310" s="104"/>
      <c r="GB310" s="104"/>
      <c r="GE310" s="94"/>
      <c r="GF310" s="104">
        <f t="shared" si="177"/>
        <v>2014</v>
      </c>
      <c r="GG310" s="104">
        <f t="shared" si="178"/>
        <v>8</v>
      </c>
      <c r="GH310" s="35">
        <v>41691</v>
      </c>
      <c r="GI310" s="26">
        <v>4.036</v>
      </c>
      <c r="GJ310" s="94">
        <f t="shared" si="179"/>
        <v>8.072</v>
      </c>
      <c r="GK310" s="104"/>
      <c r="GL310" s="104"/>
      <c r="GO310" s="94"/>
    </row>
    <row r="311" spans="3:197">
      <c r="C311" s="80" t="str" cm="1">
        <f t="array" ref="C311">_xlfn.IFS(MONTH(D311)&lt;4,1,MONTH(D311)&lt;7,2,MONTH(D311)&lt;10,3,MONTH(D311)&gt;9,4)&amp;"Q"&amp;RIGHT(YEAR(D311),2)</f>
        <v>2Q17</v>
      </c>
      <c r="D311" s="81">
        <f t="shared" si="160"/>
        <v>42855</v>
      </c>
      <c r="E311" s="82">
        <f t="shared" si="172"/>
        <v>42839</v>
      </c>
      <c r="F311" s="83">
        <f t="shared" si="158"/>
        <v>0.853125</v>
      </c>
      <c r="G311" s="83">
        <f t="shared" si="158"/>
        <v>0.8125</v>
      </c>
      <c r="H311" s="81"/>
      <c r="I311" s="146">
        <v>42839</v>
      </c>
      <c r="J311" s="147">
        <v>7.4</v>
      </c>
      <c r="K311" s="147">
        <v>6.33</v>
      </c>
      <c r="L311" s="148">
        <v>6.825</v>
      </c>
      <c r="M311" s="94" cm="1">
        <f t="array" ref="M311">INDEX($BV$29:$BV$1449,MATCH($D311,$BR$29:$BR$1449,0),)</f>
        <v>6.5</v>
      </c>
      <c r="N311" s="88"/>
      <c r="O311" s="88"/>
      <c r="P311" s="88"/>
      <c r="Q311" s="89">
        <f t="shared" si="159"/>
        <v>0.05</v>
      </c>
      <c r="AH311" s="105">
        <f t="shared" si="171"/>
        <v>44760</v>
      </c>
      <c r="AI311" s="91">
        <f t="shared" si="155"/>
        <v>3.089</v>
      </c>
      <c r="AJ311" s="36">
        <f t="shared" si="161"/>
        <v>-0.0367945120049891</v>
      </c>
      <c r="AK311" s="36">
        <f t="shared" si="163"/>
        <v>-0.0544842363024181</v>
      </c>
      <c r="AL311" s="105"/>
      <c r="AM311" s="91"/>
      <c r="AN311" s="36"/>
      <c r="AO311" s="36"/>
      <c r="AP311" s="36"/>
      <c r="AQ311" s="128" t="str" cm="1">
        <f t="array" ref="AQ311">_xlfn.IFS(MONTH(AR311)&lt;4,1,MONTH(AR311)&lt;7,2,MONTH(AR311)&lt;10,3,MONTH(AR311)&gt;9,4)&amp;"Q"&amp;RIGHT(YEAR(AR311),2)</f>
        <v>3Q24</v>
      </c>
      <c r="AR311" s="128">
        <f t="shared" si="162"/>
        <v>45504</v>
      </c>
      <c r="AS311" s="129">
        <f t="shared" si="173"/>
        <v>45488</v>
      </c>
      <c r="AT311" s="135">
        <v>78</v>
      </c>
      <c r="AU311" s="134" cm="1">
        <f t="array" ref="AU311">INDEX($CE$29:$CE$1449,MATCH($AR311,$CA$29:$CA$1449,0),)</f>
        <v>87</v>
      </c>
      <c r="AV311" s="135">
        <v>148</v>
      </c>
      <c r="AW311" s="134" cm="1">
        <f t="array" ref="AW311">INDEX($CF$29:$CF$1449,MATCH($AR311,$CA$29:$CA$1449,0),)</f>
        <v>170.52</v>
      </c>
      <c r="AX311" s="134"/>
      <c r="AY311" s="134" cm="1">
        <f t="array" ref="AY311">INDEX($CO$29:$CO$1449,MATCH($AR311,$CA$29:$CA$1449,0),)</f>
        <v>127.89</v>
      </c>
      <c r="AZ311" s="135"/>
      <c r="BA311" s="134" cm="1">
        <f t="array" ref="BA311">INDEX($CP$29:$CP$1449,MATCH($AR311,$CA$29:$CA$1449,0),)</f>
        <v>257.55</v>
      </c>
      <c r="BB311" s="133">
        <f t="shared" si="165"/>
        <v>0.0196078431372548</v>
      </c>
      <c r="BC311" s="132">
        <f t="shared" si="167"/>
        <v>0.0263157894736843</v>
      </c>
      <c r="BD311" s="132">
        <f t="shared" si="169"/>
        <v>0.0263157894736843</v>
      </c>
      <c r="BE311" s="133">
        <f t="shared" si="166"/>
        <v>0.0102389078498293</v>
      </c>
      <c r="BF311" s="132">
        <f t="shared" si="168"/>
        <v>0.0102389078498293</v>
      </c>
      <c r="BG311" s="132">
        <f t="shared" si="170"/>
        <v>0.0102389078498293</v>
      </c>
      <c r="BH311" s="132"/>
      <c r="BI311" s="132"/>
      <c r="BJ311" s="132"/>
      <c r="BK311" s="132"/>
      <c r="BL311" s="132"/>
      <c r="BM311" s="132"/>
      <c r="BN311" s="132"/>
      <c r="FV311" s="104">
        <f t="shared" si="174"/>
        <v>2011</v>
      </c>
      <c r="FW311" s="104">
        <f t="shared" si="175"/>
        <v>46</v>
      </c>
      <c r="FX311" s="35">
        <v>40857</v>
      </c>
      <c r="FY311" s="26">
        <v>0.75</v>
      </c>
      <c r="FZ311" s="94">
        <f t="shared" si="176"/>
        <v>3</v>
      </c>
      <c r="GA311" s="104"/>
      <c r="GB311" s="104"/>
      <c r="GE311" s="94"/>
      <c r="GF311" s="104">
        <f t="shared" si="177"/>
        <v>2014</v>
      </c>
      <c r="GG311" s="104">
        <f t="shared" si="178"/>
        <v>9</v>
      </c>
      <c r="GH311" s="35">
        <v>41694</v>
      </c>
      <c r="GI311" s="26">
        <v>4.036</v>
      </c>
      <c r="GJ311" s="94">
        <f t="shared" si="179"/>
        <v>8.072</v>
      </c>
      <c r="GK311" s="104"/>
      <c r="GL311" s="104"/>
      <c r="GO311" s="94"/>
    </row>
    <row r="312" spans="3:197">
      <c r="C312" s="80" t="str" cm="1">
        <f t="array" ref="C312">_xlfn.IFS(MONTH(D312)&lt;4,1,MONTH(D312)&lt;7,2,MONTH(D312)&lt;10,3,MONTH(D312)&gt;9,4)&amp;"Q"&amp;RIGHT(YEAR(D312),2)</f>
        <v>2Q17</v>
      </c>
      <c r="D312" s="81">
        <f t="shared" si="160"/>
        <v>42855</v>
      </c>
      <c r="E312" s="82">
        <f t="shared" si="172"/>
        <v>42842</v>
      </c>
      <c r="F312" s="83">
        <f t="shared" si="158"/>
        <v>0.853125</v>
      </c>
      <c r="G312" s="83">
        <f t="shared" si="158"/>
        <v>0.8125</v>
      </c>
      <c r="H312" s="81"/>
      <c r="I312" s="146">
        <v>42842</v>
      </c>
      <c r="J312" s="147">
        <v>7.4</v>
      </c>
      <c r="K312" s="147">
        <v>6.33</v>
      </c>
      <c r="L312" s="148">
        <v>6.825</v>
      </c>
      <c r="M312" s="94" cm="1">
        <f t="array" ref="M312">INDEX($BV$29:$BV$1449,MATCH($D312,$BR$29:$BR$1449,0),)</f>
        <v>6.5</v>
      </c>
      <c r="N312" s="88"/>
      <c r="O312" s="88"/>
      <c r="P312" s="88"/>
      <c r="Q312" s="89">
        <f t="shared" si="159"/>
        <v>0.05</v>
      </c>
      <c r="AH312" s="105">
        <f t="shared" si="171"/>
        <v>44767</v>
      </c>
      <c r="AI312" s="91">
        <f t="shared" si="155"/>
        <v>2.971</v>
      </c>
      <c r="AJ312" s="36">
        <f t="shared" si="161"/>
        <v>-0.0382000647458725</v>
      </c>
      <c r="AK312" s="36">
        <f t="shared" si="163"/>
        <v>-0.0735890240099781</v>
      </c>
      <c r="AL312" s="105"/>
      <c r="AM312" s="91"/>
      <c r="AN312" s="36"/>
      <c r="AO312" s="36"/>
      <c r="AP312" s="36"/>
      <c r="AQ312" s="128" t="str" cm="1">
        <f t="array" ref="AQ312">_xlfn.IFS(MONTH(AR312)&lt;4,1,MONTH(AR312)&lt;7,2,MONTH(AR312)&lt;10,3,MONTH(AR312)&gt;9,4)&amp;"Q"&amp;RIGHT(YEAR(AR312),2)</f>
        <v>3Q24</v>
      </c>
      <c r="AR312" s="128">
        <f t="shared" si="162"/>
        <v>45504</v>
      </c>
      <c r="AS312" s="129">
        <f t="shared" si="173"/>
        <v>45495</v>
      </c>
      <c r="AT312" s="135">
        <v>78</v>
      </c>
      <c r="AU312" s="134" cm="1">
        <f t="array" ref="AU312">INDEX($CE$29:$CE$1449,MATCH($AR312,$CA$29:$CA$1449,0),)</f>
        <v>87</v>
      </c>
      <c r="AV312" s="135">
        <v>149</v>
      </c>
      <c r="AW312" s="134" cm="1">
        <f t="array" ref="AW312">INDEX($CF$29:$CF$1449,MATCH($AR312,$CA$29:$CA$1449,0),)</f>
        <v>170.52</v>
      </c>
      <c r="AX312" s="134"/>
      <c r="AY312" s="134" cm="1">
        <f t="array" ref="AY312">INDEX($CO$29:$CO$1449,MATCH($AR312,$CA$29:$CA$1449,0),)</f>
        <v>127.89</v>
      </c>
      <c r="AZ312" s="135"/>
      <c r="BA312" s="134" cm="1">
        <f t="array" ref="BA312">INDEX($CP$29:$CP$1449,MATCH($AR312,$CA$29:$CA$1449,0),)</f>
        <v>257.55</v>
      </c>
      <c r="BB312" s="133">
        <f t="shared" si="165"/>
        <v>0</v>
      </c>
      <c r="BC312" s="132">
        <f t="shared" si="167"/>
        <v>0.0196078431372548</v>
      </c>
      <c r="BD312" s="132">
        <f t="shared" si="169"/>
        <v>0.0263157894736843</v>
      </c>
      <c r="BE312" s="133">
        <f t="shared" si="166"/>
        <v>0.0067567567567568</v>
      </c>
      <c r="BF312" s="132">
        <f t="shared" si="168"/>
        <v>0.0170648464163823</v>
      </c>
      <c r="BG312" s="132">
        <f t="shared" si="170"/>
        <v>0.0170648464163823</v>
      </c>
      <c r="BH312" s="132"/>
      <c r="BI312" s="132"/>
      <c r="BJ312" s="132"/>
      <c r="BK312" s="132"/>
      <c r="BL312" s="132"/>
      <c r="BM312" s="132"/>
      <c r="BN312" s="132"/>
      <c r="FV312" s="104">
        <f t="shared" si="174"/>
        <v>2011</v>
      </c>
      <c r="FW312" s="104">
        <f t="shared" si="175"/>
        <v>46</v>
      </c>
      <c r="FX312" s="35">
        <v>40858</v>
      </c>
      <c r="FY312" s="26">
        <v>0.75</v>
      </c>
      <c r="FZ312" s="94">
        <f t="shared" si="176"/>
        <v>3</v>
      </c>
      <c r="GA312" s="104"/>
      <c r="GB312" s="104"/>
      <c r="GE312" s="94"/>
      <c r="GF312" s="104">
        <f t="shared" si="177"/>
        <v>2014</v>
      </c>
      <c r="GG312" s="104">
        <f t="shared" si="178"/>
        <v>9</v>
      </c>
      <c r="GH312" s="35">
        <v>41695</v>
      </c>
      <c r="GI312" s="26">
        <v>4.027</v>
      </c>
      <c r="GJ312" s="94">
        <f t="shared" si="179"/>
        <v>8.054</v>
      </c>
      <c r="GK312" s="104"/>
      <c r="GL312" s="104"/>
      <c r="GO312" s="94"/>
    </row>
    <row r="313" spans="3:197">
      <c r="C313" s="80" t="str" cm="1">
        <f t="array" ref="C313">_xlfn.IFS(MONTH(D313)&lt;4,1,MONTH(D313)&lt;7,2,MONTH(D313)&lt;10,3,MONTH(D313)&gt;9,4)&amp;"Q"&amp;RIGHT(YEAR(D313),2)</f>
        <v>2Q17</v>
      </c>
      <c r="D313" s="81">
        <f t="shared" si="160"/>
        <v>42855</v>
      </c>
      <c r="E313" s="82">
        <f t="shared" si="172"/>
        <v>42843</v>
      </c>
      <c r="F313" s="83">
        <f t="shared" si="158"/>
        <v>0.853125</v>
      </c>
      <c r="G313" s="83">
        <f t="shared" si="158"/>
        <v>0.8125</v>
      </c>
      <c r="H313" s="81"/>
      <c r="I313" s="146">
        <v>42843</v>
      </c>
      <c r="J313" s="147">
        <v>7.4</v>
      </c>
      <c r="K313" s="147">
        <v>6.33</v>
      </c>
      <c r="L313" s="148">
        <v>6.825</v>
      </c>
      <c r="M313" s="94" cm="1">
        <f t="array" ref="M313">INDEX($BV$29:$BV$1449,MATCH($D313,$BR$29:$BR$1449,0),)</f>
        <v>6.5</v>
      </c>
      <c r="N313" s="88"/>
      <c r="O313" s="88"/>
      <c r="P313" s="88"/>
      <c r="Q313" s="89">
        <f t="shared" si="159"/>
        <v>0.05</v>
      </c>
      <c r="AH313" s="105">
        <f t="shared" si="171"/>
        <v>44774</v>
      </c>
      <c r="AI313" s="91">
        <f t="shared" si="155"/>
        <v>2.933</v>
      </c>
      <c r="AJ313" s="36">
        <f t="shared" si="161"/>
        <v>-0.0127903062941771</v>
      </c>
      <c r="AK313" s="36">
        <f t="shared" si="163"/>
        <v>-0.0505017805114925</v>
      </c>
      <c r="AL313" s="105"/>
      <c r="AM313" s="91"/>
      <c r="AN313" s="36"/>
      <c r="AO313" s="36"/>
      <c r="AP313" s="36"/>
      <c r="AQ313" s="128" t="str" cm="1">
        <f t="array" ref="AQ313">_xlfn.IFS(MONTH(AR313)&lt;4,1,MONTH(AR313)&lt;7,2,MONTH(AR313)&lt;10,3,MONTH(AR313)&gt;9,4)&amp;"Q"&amp;RIGHT(YEAR(AR313),2)</f>
        <v>3Q24</v>
      </c>
      <c r="AR313" s="128">
        <f t="shared" si="162"/>
        <v>45504</v>
      </c>
      <c r="AS313" s="129">
        <f t="shared" si="173"/>
        <v>45502</v>
      </c>
      <c r="AT313" s="135">
        <v>77</v>
      </c>
      <c r="AU313" s="134" cm="1">
        <f t="array" ref="AU313">INDEX($CE$29:$CE$1449,MATCH($AR313,$CA$29:$CA$1449,0),)</f>
        <v>87</v>
      </c>
      <c r="AV313" s="135">
        <v>147.8</v>
      </c>
      <c r="AW313" s="134" cm="1">
        <f t="array" ref="AW313">INDEX($CF$29:$CF$1449,MATCH($AR313,$CA$29:$CA$1449,0),)</f>
        <v>170.52</v>
      </c>
      <c r="AX313" s="134"/>
      <c r="AY313" s="134" cm="1">
        <f t="array" ref="AY313">INDEX($CO$29:$CO$1449,MATCH($AR313,$CA$29:$CA$1449,0),)</f>
        <v>127.89</v>
      </c>
      <c r="AZ313" s="135"/>
      <c r="BA313" s="134" cm="1">
        <f t="array" ref="BA313">INDEX($CP$29:$CP$1449,MATCH($AR313,$CA$29:$CA$1449,0),)</f>
        <v>257.55</v>
      </c>
      <c r="BB313" s="133">
        <f t="shared" si="165"/>
        <v>-0.0128205128205128</v>
      </c>
      <c r="BC313" s="132">
        <f t="shared" si="167"/>
        <v>-0.0128205128205128</v>
      </c>
      <c r="BD313" s="132">
        <f t="shared" si="169"/>
        <v>0.00653594771241828</v>
      </c>
      <c r="BE313" s="133">
        <f t="shared" si="166"/>
        <v>-0.00805369127516775</v>
      </c>
      <c r="BF313" s="132">
        <f t="shared" si="168"/>
        <v>-0.00135135135135123</v>
      </c>
      <c r="BG313" s="132">
        <f t="shared" si="170"/>
        <v>0.00887372013651877</v>
      </c>
      <c r="BH313" s="132"/>
      <c r="BI313" s="132"/>
      <c r="BJ313" s="132"/>
      <c r="BK313" s="132"/>
      <c r="BL313" s="132"/>
      <c r="BM313" s="132"/>
      <c r="BN313" s="132"/>
      <c r="FV313" s="104">
        <f t="shared" si="174"/>
        <v>2011</v>
      </c>
      <c r="FW313" s="104">
        <f t="shared" si="175"/>
        <v>47</v>
      </c>
      <c r="FX313" s="35">
        <v>40861</v>
      </c>
      <c r="FY313" s="26">
        <v>0.72</v>
      </c>
      <c r="FZ313" s="94">
        <f t="shared" si="176"/>
        <v>2.88</v>
      </c>
      <c r="GA313" s="104"/>
      <c r="GB313" s="104"/>
      <c r="GE313" s="94"/>
      <c r="GF313" s="104">
        <f t="shared" si="177"/>
        <v>2014</v>
      </c>
      <c r="GG313" s="104">
        <f t="shared" si="178"/>
        <v>9</v>
      </c>
      <c r="GH313" s="35">
        <v>41696</v>
      </c>
      <c r="GI313" s="26">
        <v>3.986</v>
      </c>
      <c r="GJ313" s="94">
        <f t="shared" si="179"/>
        <v>7.972</v>
      </c>
      <c r="GK313" s="104"/>
      <c r="GL313" s="104"/>
      <c r="GO313" s="94"/>
    </row>
    <row r="314" spans="3:197">
      <c r="C314" s="80" t="str" cm="1">
        <f t="array" ref="C314">_xlfn.IFS(MONTH(D314)&lt;4,1,MONTH(D314)&lt;7,2,MONTH(D314)&lt;10,3,MONTH(D314)&gt;9,4)&amp;"Q"&amp;RIGHT(YEAR(D314),2)</f>
        <v>2Q17</v>
      </c>
      <c r="D314" s="81">
        <f t="shared" si="160"/>
        <v>42855</v>
      </c>
      <c r="E314" s="82">
        <f t="shared" si="172"/>
        <v>42844</v>
      </c>
      <c r="F314" s="83">
        <f t="shared" si="158"/>
        <v>0.853125</v>
      </c>
      <c r="G314" s="83">
        <f t="shared" si="158"/>
        <v>0.8125</v>
      </c>
      <c r="H314" s="81"/>
      <c r="I314" s="146">
        <v>42844</v>
      </c>
      <c r="J314" s="147">
        <v>7.35</v>
      </c>
      <c r="K314" s="147">
        <v>6.33</v>
      </c>
      <c r="L314" s="148">
        <v>6.825</v>
      </c>
      <c r="M314" s="94" cm="1">
        <f t="array" ref="M314">INDEX($BV$29:$BV$1449,MATCH($D314,$BR$29:$BR$1449,0),)</f>
        <v>6.5</v>
      </c>
      <c r="N314" s="88"/>
      <c r="O314" s="88"/>
      <c r="P314" s="88"/>
      <c r="Q314" s="89">
        <f t="shared" si="159"/>
        <v>0.05</v>
      </c>
      <c r="AH314" s="105">
        <f t="shared" si="171"/>
        <v>44781</v>
      </c>
      <c r="AI314" s="91">
        <f t="shared" si="155"/>
        <v>2.888</v>
      </c>
      <c r="AJ314" s="36">
        <f t="shared" si="161"/>
        <v>-0.0153426525741561</v>
      </c>
      <c r="AK314" s="36">
        <f t="shared" si="163"/>
        <v>-0.0279367216425447</v>
      </c>
      <c r="AL314" s="105"/>
      <c r="AM314" s="91"/>
      <c r="AN314" s="36"/>
      <c r="AO314" s="36"/>
      <c r="AP314" s="36"/>
      <c r="AQ314" s="128" t="str" cm="1">
        <f t="array" ref="AQ314">_xlfn.IFS(MONTH(AR314)&lt;4,1,MONTH(AR314)&lt;7,2,MONTH(AR314)&lt;10,3,MONTH(AR314)&gt;9,4)&amp;"Q"&amp;RIGHT(YEAR(AR314),2)</f>
        <v>3Q24</v>
      </c>
      <c r="AR314" s="128">
        <f t="shared" si="162"/>
        <v>45535</v>
      </c>
      <c r="AS314" s="129">
        <f t="shared" si="173"/>
        <v>45509</v>
      </c>
      <c r="AT314" s="135">
        <v>78</v>
      </c>
      <c r="AU314" s="134" cm="1">
        <f t="array" ref="AU314">INDEX($CE$29:$CE$1449,MATCH($AR314,$CA$29:$CA$1449,0),)</f>
        <v>90</v>
      </c>
      <c r="AV314" s="135">
        <v>148.8</v>
      </c>
      <c r="AW314" s="134" cm="1">
        <f t="array" ref="AW314">INDEX($CF$29:$CF$1449,MATCH($AR314,$CA$29:$CA$1449,0),)</f>
        <v>174</v>
      </c>
      <c r="AX314" s="134"/>
      <c r="AY314" s="134" cm="1">
        <f t="array" ref="AY314">INDEX($CO$29:$CO$1449,MATCH($AR314,$CA$29:$CA$1449,0),)</f>
        <v>134.995</v>
      </c>
      <c r="AZ314" s="135"/>
      <c r="BA314" s="134" cm="1">
        <f t="array" ref="BA314">INDEX($CP$29:$CP$1449,MATCH($AR314,$CA$29:$CA$1449,0),)</f>
        <v>272.7</v>
      </c>
      <c r="BB314" s="133">
        <f t="shared" si="165"/>
        <v>0.0129870129870129</v>
      </c>
      <c r="BC314" s="132">
        <f t="shared" si="167"/>
        <v>0</v>
      </c>
      <c r="BD314" s="132">
        <f t="shared" si="169"/>
        <v>0</v>
      </c>
      <c r="BE314" s="133">
        <f t="shared" si="166"/>
        <v>0.00676589986468201</v>
      </c>
      <c r="BF314" s="132">
        <f t="shared" si="168"/>
        <v>-0.00134228187919461</v>
      </c>
      <c r="BG314" s="132">
        <f t="shared" si="170"/>
        <v>0.00540540540540557</v>
      </c>
      <c r="BH314" s="132"/>
      <c r="BI314" s="132"/>
      <c r="BJ314" s="132"/>
      <c r="BK314" s="132"/>
      <c r="BL314" s="132"/>
      <c r="BM314" s="132"/>
      <c r="BN314" s="132"/>
      <c r="FV314" s="104">
        <f t="shared" si="174"/>
        <v>2011</v>
      </c>
      <c r="FW314" s="104">
        <f t="shared" si="175"/>
        <v>47</v>
      </c>
      <c r="FX314" s="35">
        <v>40862</v>
      </c>
      <c r="FY314" s="26">
        <v>0.72</v>
      </c>
      <c r="FZ314" s="94">
        <f t="shared" si="176"/>
        <v>2.88</v>
      </c>
      <c r="GA314" s="104"/>
      <c r="GB314" s="104"/>
      <c r="GE314" s="94"/>
      <c r="GF314" s="104">
        <f t="shared" si="177"/>
        <v>2014</v>
      </c>
      <c r="GG314" s="104">
        <f t="shared" si="178"/>
        <v>9</v>
      </c>
      <c r="GH314" s="35">
        <v>41697</v>
      </c>
      <c r="GI314" s="26">
        <v>3.944</v>
      </c>
      <c r="GJ314" s="94">
        <f t="shared" si="179"/>
        <v>7.888</v>
      </c>
      <c r="GK314" s="104"/>
      <c r="GL314" s="104"/>
      <c r="GO314" s="94"/>
    </row>
    <row r="315" spans="3:197">
      <c r="C315" s="80" t="str" cm="1">
        <f t="array" ref="C315">_xlfn.IFS(MONTH(D315)&lt;4,1,MONTH(D315)&lt;7,2,MONTH(D315)&lt;10,3,MONTH(D315)&gt;9,4)&amp;"Q"&amp;RIGHT(YEAR(D315),2)</f>
        <v>2Q17</v>
      </c>
      <c r="D315" s="81">
        <f t="shared" si="160"/>
        <v>42855</v>
      </c>
      <c r="E315" s="82">
        <f t="shared" si="172"/>
        <v>42845</v>
      </c>
      <c r="F315" s="83">
        <f t="shared" si="158"/>
        <v>0.852625</v>
      </c>
      <c r="G315" s="83">
        <f t="shared" si="158"/>
        <v>0.8125</v>
      </c>
      <c r="H315" s="81"/>
      <c r="I315" s="146">
        <v>42845</v>
      </c>
      <c r="J315" s="147">
        <v>7.35</v>
      </c>
      <c r="K315" s="147">
        <v>6.34</v>
      </c>
      <c r="L315" s="148">
        <v>6.821</v>
      </c>
      <c r="M315" s="94" cm="1">
        <f t="array" ref="M315">INDEX($BV$29:$BV$1449,MATCH($D315,$BR$29:$BR$1449,0),)</f>
        <v>6.5</v>
      </c>
      <c r="N315" s="88"/>
      <c r="O315" s="88"/>
      <c r="P315" s="88"/>
      <c r="Q315" s="89">
        <f t="shared" si="159"/>
        <v>0.0493846153846154</v>
      </c>
      <c r="AH315" s="105">
        <f t="shared" si="171"/>
        <v>44788</v>
      </c>
      <c r="AI315" s="91">
        <f t="shared" si="155"/>
        <v>2.786</v>
      </c>
      <c r="AJ315" s="36">
        <f t="shared" si="161"/>
        <v>-0.0353185595567866</v>
      </c>
      <c r="AK315" s="36">
        <f t="shared" si="163"/>
        <v>-0.0501193317422434</v>
      </c>
      <c r="AL315" s="105"/>
      <c r="AM315" s="91"/>
      <c r="AN315" s="36"/>
      <c r="AO315" s="36"/>
      <c r="AP315" s="36"/>
      <c r="AQ315" s="128" t="str" cm="1">
        <f t="array" ref="AQ315">_xlfn.IFS(MONTH(AR315)&lt;4,1,MONTH(AR315)&lt;7,2,MONTH(AR315)&lt;10,3,MONTH(AR315)&gt;9,4)&amp;"Q"&amp;RIGHT(YEAR(AR315),2)</f>
        <v>3Q24</v>
      </c>
      <c r="AR315" s="128">
        <f t="shared" si="162"/>
        <v>45535</v>
      </c>
      <c r="AS315" s="129">
        <f t="shared" si="173"/>
        <v>45516</v>
      </c>
      <c r="AT315" s="135">
        <v>79</v>
      </c>
      <c r="AU315" s="134" cm="1">
        <f t="array" ref="AU315">INDEX($CE$29:$CE$1449,MATCH($AR315,$CA$29:$CA$1449,0),)</f>
        <v>90</v>
      </c>
      <c r="AV315" s="135">
        <v>149</v>
      </c>
      <c r="AW315" s="134" cm="1">
        <f t="array" ref="AW315">INDEX($CF$29:$CF$1449,MATCH($AR315,$CA$29:$CA$1449,0),)</f>
        <v>174</v>
      </c>
      <c r="AX315" s="134"/>
      <c r="AY315" s="134" cm="1">
        <f t="array" ref="AY315">INDEX($CO$29:$CO$1449,MATCH($AR315,$CA$29:$CA$1449,0),)</f>
        <v>134.995</v>
      </c>
      <c r="AZ315" s="135"/>
      <c r="BA315" s="134" cm="1">
        <f t="array" ref="BA315">INDEX($CP$29:$CP$1449,MATCH($AR315,$CA$29:$CA$1449,0),)</f>
        <v>272.7</v>
      </c>
      <c r="BB315" s="133">
        <f t="shared" si="165"/>
        <v>0.0128205128205128</v>
      </c>
      <c r="BC315" s="132">
        <f t="shared" si="167"/>
        <v>0.025974025974026</v>
      </c>
      <c r="BD315" s="132">
        <f t="shared" si="169"/>
        <v>0.0128205128205128</v>
      </c>
      <c r="BE315" s="133">
        <f t="shared" si="166"/>
        <v>0.00134408602150526</v>
      </c>
      <c r="BF315" s="132">
        <f t="shared" si="168"/>
        <v>0.00811907983761828</v>
      </c>
      <c r="BG315" s="132">
        <f t="shared" si="170"/>
        <v>0</v>
      </c>
      <c r="BH315" s="132"/>
      <c r="BI315" s="132"/>
      <c r="BJ315" s="132"/>
      <c r="BK315" s="132"/>
      <c r="BL315" s="132"/>
      <c r="BM315" s="132"/>
      <c r="BN315" s="132"/>
      <c r="FV315" s="104">
        <f t="shared" si="174"/>
        <v>2011</v>
      </c>
      <c r="FW315" s="104">
        <f t="shared" si="175"/>
        <v>47</v>
      </c>
      <c r="FX315" s="35">
        <v>40863</v>
      </c>
      <c r="FY315" s="26">
        <v>0.71</v>
      </c>
      <c r="FZ315" s="94">
        <f t="shared" si="176"/>
        <v>2.84</v>
      </c>
      <c r="GA315" s="104"/>
      <c r="GB315" s="104"/>
      <c r="GE315" s="94"/>
      <c r="GF315" s="104">
        <f t="shared" si="177"/>
        <v>2014</v>
      </c>
      <c r="GG315" s="104">
        <f t="shared" si="178"/>
        <v>9</v>
      </c>
      <c r="GH315" s="35">
        <v>41698</v>
      </c>
      <c r="GI315" s="26">
        <v>3.937</v>
      </c>
      <c r="GJ315" s="94">
        <f t="shared" si="179"/>
        <v>7.874</v>
      </c>
      <c r="GK315" s="104"/>
      <c r="GL315" s="104"/>
      <c r="GO315" s="94"/>
    </row>
    <row r="316" spans="3:197">
      <c r="C316" s="80" t="str" cm="1">
        <f t="array" ref="C316">_xlfn.IFS(MONTH(D316)&lt;4,1,MONTH(D316)&lt;7,2,MONTH(D316)&lt;10,3,MONTH(D316)&gt;9,4)&amp;"Q"&amp;RIGHT(YEAR(D316),2)</f>
        <v>2Q17</v>
      </c>
      <c r="D316" s="81">
        <f t="shared" si="160"/>
        <v>42855</v>
      </c>
      <c r="E316" s="82">
        <f t="shared" si="172"/>
        <v>42846</v>
      </c>
      <c r="F316" s="83">
        <f t="shared" si="158"/>
        <v>0.8395</v>
      </c>
      <c r="G316" s="83">
        <f t="shared" si="158"/>
        <v>0.8125</v>
      </c>
      <c r="H316" s="81"/>
      <c r="I316" s="146">
        <v>42846</v>
      </c>
      <c r="J316" s="147">
        <v>7.3</v>
      </c>
      <c r="K316" s="147">
        <v>6.34</v>
      </c>
      <c r="L316" s="148">
        <v>6.716</v>
      </c>
      <c r="M316" s="94" cm="1">
        <f t="array" ref="M316">INDEX($BV$29:$BV$1449,MATCH($D316,$BR$29:$BR$1449,0),)</f>
        <v>6.5</v>
      </c>
      <c r="N316" s="88"/>
      <c r="O316" s="88"/>
      <c r="P316" s="88"/>
      <c r="Q316" s="89">
        <f t="shared" si="159"/>
        <v>0.0332307692307692</v>
      </c>
      <c r="AH316" s="105">
        <f t="shared" si="171"/>
        <v>44795</v>
      </c>
      <c r="AI316" s="91">
        <f t="shared" si="155"/>
        <v>2.685</v>
      </c>
      <c r="AJ316" s="36">
        <f t="shared" si="161"/>
        <v>-0.0362526920315865</v>
      </c>
      <c r="AK316" s="36">
        <f t="shared" si="163"/>
        <v>-0.0702908587257617</v>
      </c>
      <c r="AL316" s="105"/>
      <c r="AM316" s="91"/>
      <c r="AN316" s="36"/>
      <c r="AO316" s="36"/>
      <c r="AP316" s="36"/>
      <c r="AQ316" s="128" t="str" cm="1">
        <f t="array" ref="AQ316">_xlfn.IFS(MONTH(AR316)&lt;4,1,MONTH(AR316)&lt;7,2,MONTH(AR316)&lt;10,3,MONTH(AR316)&gt;9,4)&amp;"Q"&amp;RIGHT(YEAR(AR316),2)</f>
        <v>3Q24</v>
      </c>
      <c r="AR316" s="128">
        <f t="shared" si="162"/>
        <v>45535</v>
      </c>
      <c r="AS316" s="129">
        <f t="shared" si="173"/>
        <v>45523</v>
      </c>
      <c r="AT316" s="135">
        <v>78</v>
      </c>
      <c r="AU316" s="134" cm="1">
        <f t="array" ref="AU316">INDEX($CE$29:$CE$1449,MATCH($AR316,$CA$29:$CA$1449,0),)</f>
        <v>90</v>
      </c>
      <c r="AV316" s="135">
        <v>148</v>
      </c>
      <c r="AW316" s="134" cm="1">
        <f t="array" ref="AW316">INDEX($CF$29:$CF$1449,MATCH($AR316,$CA$29:$CA$1449,0),)</f>
        <v>174</v>
      </c>
      <c r="AX316" s="134"/>
      <c r="AY316" s="134" cm="1">
        <f t="array" ref="AY316">INDEX($CO$29:$CO$1449,MATCH($AR316,$CA$29:$CA$1449,0),)</f>
        <v>134.995</v>
      </c>
      <c r="AZ316" s="135"/>
      <c r="BA316" s="134" cm="1">
        <f t="array" ref="BA316">INDEX($CP$29:$CP$1449,MATCH($AR316,$CA$29:$CA$1449,0),)</f>
        <v>272.7</v>
      </c>
      <c r="BB316" s="133">
        <f t="shared" si="165"/>
        <v>-0.0126582278481012</v>
      </c>
      <c r="BC316" s="132">
        <f t="shared" si="167"/>
        <v>0</v>
      </c>
      <c r="BD316" s="132">
        <f t="shared" si="169"/>
        <v>0.0129870129870129</v>
      </c>
      <c r="BE316" s="133">
        <f t="shared" si="166"/>
        <v>-0.00671140939597314</v>
      </c>
      <c r="BF316" s="132">
        <f t="shared" si="168"/>
        <v>-0.00537634408602161</v>
      </c>
      <c r="BG316" s="132">
        <f t="shared" si="170"/>
        <v>0.00135317997293627</v>
      </c>
      <c r="BH316" s="132"/>
      <c r="BI316" s="132"/>
      <c r="BJ316" s="132"/>
      <c r="BK316" s="132"/>
      <c r="BL316" s="132"/>
      <c r="BM316" s="132"/>
      <c r="BN316" s="132"/>
      <c r="FV316" s="104">
        <f t="shared" si="174"/>
        <v>2011</v>
      </c>
      <c r="FW316" s="104">
        <f t="shared" si="175"/>
        <v>47</v>
      </c>
      <c r="FX316" s="35">
        <v>40864</v>
      </c>
      <c r="FY316" s="26">
        <v>0.71</v>
      </c>
      <c r="FZ316" s="94">
        <f t="shared" si="176"/>
        <v>2.84</v>
      </c>
      <c r="GA316" s="104"/>
      <c r="GB316" s="104"/>
      <c r="GE316" s="94"/>
      <c r="GF316" s="104">
        <f t="shared" si="177"/>
        <v>2014</v>
      </c>
      <c r="GG316" s="104">
        <f t="shared" si="178"/>
        <v>10</v>
      </c>
      <c r="GH316" s="35">
        <v>41701</v>
      </c>
      <c r="GI316" s="26">
        <v>3.937</v>
      </c>
      <c r="GJ316" s="94">
        <f t="shared" si="179"/>
        <v>7.874</v>
      </c>
      <c r="GK316" s="104"/>
      <c r="GL316" s="104"/>
      <c r="GO316" s="94"/>
    </row>
    <row r="317" spans="3:197">
      <c r="C317" s="80" t="str" cm="1">
        <f t="array" ref="C317">_xlfn.IFS(MONTH(D317)&lt;4,1,MONTH(D317)&lt;7,2,MONTH(D317)&lt;10,3,MONTH(D317)&gt;9,4)&amp;"Q"&amp;RIGHT(YEAR(D317),2)</f>
        <v>2Q17</v>
      </c>
      <c r="D317" s="81">
        <f t="shared" si="160"/>
        <v>42855</v>
      </c>
      <c r="E317" s="82">
        <f t="shared" si="172"/>
        <v>42849</v>
      </c>
      <c r="F317" s="83">
        <f t="shared" si="158"/>
        <v>0.833375</v>
      </c>
      <c r="G317" s="83">
        <f t="shared" si="158"/>
        <v>0.8125</v>
      </c>
      <c r="H317" s="81"/>
      <c r="I317" s="146">
        <v>42849</v>
      </c>
      <c r="J317" s="147">
        <v>7.25</v>
      </c>
      <c r="K317" s="147">
        <v>6.34</v>
      </c>
      <c r="L317" s="148">
        <v>6.667</v>
      </c>
      <c r="M317" s="94" cm="1">
        <f t="array" ref="M317">INDEX($BV$29:$BV$1449,MATCH($D317,$BR$29:$BR$1449,0),)</f>
        <v>6.5</v>
      </c>
      <c r="N317" s="88"/>
      <c r="O317" s="88"/>
      <c r="P317" s="88"/>
      <c r="Q317" s="89">
        <f t="shared" si="159"/>
        <v>0.0256923076923077</v>
      </c>
      <c r="AH317" s="105">
        <f t="shared" si="171"/>
        <v>44802</v>
      </c>
      <c r="AI317" s="91">
        <f t="shared" si="155"/>
        <v>2.609</v>
      </c>
      <c r="AJ317" s="36">
        <f t="shared" si="161"/>
        <v>-0.0283054003724394</v>
      </c>
      <c r="AK317" s="36">
        <f t="shared" si="163"/>
        <v>-0.0635319454414932</v>
      </c>
      <c r="AL317" s="105"/>
      <c r="AM317" s="91"/>
      <c r="AN317" s="36"/>
      <c r="AO317" s="36"/>
      <c r="AP317" s="36"/>
      <c r="AQ317" s="128" t="str" cm="1">
        <f t="array" ref="AQ317">_xlfn.IFS(MONTH(AR317)&lt;4,1,MONTH(AR317)&lt;7,2,MONTH(AR317)&lt;10,3,MONTH(AR317)&gt;9,4)&amp;"Q"&amp;RIGHT(YEAR(AR317),2)</f>
        <v>3Q24</v>
      </c>
      <c r="AR317" s="128">
        <f t="shared" si="162"/>
        <v>45535</v>
      </c>
      <c r="AS317" s="129">
        <f t="shared" si="173"/>
        <v>45530</v>
      </c>
      <c r="AT317" s="135">
        <v>77</v>
      </c>
      <c r="AU317" s="134" cm="1">
        <f t="array" ref="AU317">INDEX($CE$29:$CE$1449,MATCH($AR317,$CA$29:$CA$1449,0),)</f>
        <v>90</v>
      </c>
      <c r="AV317" s="135">
        <v>147.5</v>
      </c>
      <c r="AW317" s="134" cm="1">
        <f t="array" ref="AW317">INDEX($CF$29:$CF$1449,MATCH($AR317,$CA$29:$CA$1449,0),)</f>
        <v>174</v>
      </c>
      <c r="AX317" s="134"/>
      <c r="AY317" s="134" cm="1">
        <f t="array" ref="AY317">INDEX($CO$29:$CO$1449,MATCH($AR317,$CA$29:$CA$1449,0),)</f>
        <v>134.995</v>
      </c>
      <c r="AZ317" s="135"/>
      <c r="BA317" s="134" cm="1">
        <f t="array" ref="BA317">INDEX($CP$29:$CP$1449,MATCH($AR317,$CA$29:$CA$1449,0),)</f>
        <v>272.7</v>
      </c>
      <c r="BB317" s="133">
        <f t="shared" si="165"/>
        <v>-0.0128205128205128</v>
      </c>
      <c r="BC317" s="132">
        <f t="shared" si="167"/>
        <v>-0.0253164556962026</v>
      </c>
      <c r="BD317" s="132">
        <f t="shared" si="169"/>
        <v>-0.0128205128205128</v>
      </c>
      <c r="BE317" s="133">
        <f t="shared" si="166"/>
        <v>-0.0033783783783784</v>
      </c>
      <c r="BF317" s="132">
        <f t="shared" si="168"/>
        <v>-0.0100671140939598</v>
      </c>
      <c r="BG317" s="132">
        <f t="shared" si="170"/>
        <v>-0.00873655913978499</v>
      </c>
      <c r="BH317" s="132"/>
      <c r="BI317" s="132"/>
      <c r="BJ317" s="132"/>
      <c r="BK317" s="132"/>
      <c r="BL317" s="132"/>
      <c r="BM317" s="132"/>
      <c r="BN317" s="132"/>
      <c r="FV317" s="104">
        <f t="shared" si="174"/>
        <v>2011</v>
      </c>
      <c r="FW317" s="104">
        <f t="shared" si="175"/>
        <v>47</v>
      </c>
      <c r="FX317" s="35">
        <v>40865</v>
      </c>
      <c r="FY317" s="26">
        <v>0.7</v>
      </c>
      <c r="FZ317" s="94">
        <f t="shared" si="176"/>
        <v>2.8</v>
      </c>
      <c r="GA317" s="104"/>
      <c r="GB317" s="104"/>
      <c r="GE317" s="94"/>
      <c r="GF317" s="104">
        <f t="shared" si="177"/>
        <v>2014</v>
      </c>
      <c r="GG317" s="104">
        <f t="shared" si="178"/>
        <v>10</v>
      </c>
      <c r="GH317" s="35">
        <v>41702</v>
      </c>
      <c r="GI317" s="26">
        <v>3.906</v>
      </c>
      <c r="GJ317" s="94">
        <f t="shared" si="179"/>
        <v>7.812</v>
      </c>
      <c r="GK317" s="104"/>
      <c r="GL317" s="104"/>
      <c r="GO317" s="94"/>
    </row>
    <row r="318" spans="3:197">
      <c r="C318" s="80" t="str" cm="1">
        <f t="array" ref="C318">_xlfn.IFS(MONTH(D318)&lt;4,1,MONTH(D318)&lt;7,2,MONTH(D318)&lt;10,3,MONTH(D318)&gt;9,4)&amp;"Q"&amp;RIGHT(YEAR(D318),2)</f>
        <v>2Q17</v>
      </c>
      <c r="D318" s="81">
        <f t="shared" si="160"/>
        <v>42855</v>
      </c>
      <c r="E318" s="82">
        <f t="shared" si="172"/>
        <v>42850</v>
      </c>
      <c r="F318" s="83">
        <f t="shared" si="158"/>
        <v>0.827375</v>
      </c>
      <c r="G318" s="83">
        <f t="shared" si="158"/>
        <v>0.8125</v>
      </c>
      <c r="H318" s="81"/>
      <c r="I318" s="146">
        <v>42850</v>
      </c>
      <c r="J318" s="147">
        <v>7.2</v>
      </c>
      <c r="K318" s="147">
        <v>6.33</v>
      </c>
      <c r="L318" s="148">
        <v>6.619</v>
      </c>
      <c r="M318" s="94" cm="1">
        <f t="array" ref="M318">INDEX($BV$29:$BV$1449,MATCH($D318,$BR$29:$BR$1449,0),)</f>
        <v>6.5</v>
      </c>
      <c r="N318" s="88"/>
      <c r="O318" s="88"/>
      <c r="P318" s="88"/>
      <c r="Q318" s="89">
        <f t="shared" si="159"/>
        <v>0.0183076923076924</v>
      </c>
      <c r="AH318" s="105">
        <f t="shared" si="171"/>
        <v>44809</v>
      </c>
      <c r="AI318" s="91">
        <f t="shared" si="155"/>
        <v>2.567</v>
      </c>
      <c r="AJ318" s="36">
        <f t="shared" si="161"/>
        <v>-0.01609812188578</v>
      </c>
      <c r="AK318" s="36">
        <f t="shared" si="163"/>
        <v>-0.0439478584729981</v>
      </c>
      <c r="AL318" s="105"/>
      <c r="AM318" s="91"/>
      <c r="AN318" s="36"/>
      <c r="AO318" s="36"/>
      <c r="AP318" s="36"/>
      <c r="AQ318" s="128" t="str" cm="1">
        <f t="array" ref="AQ318">_xlfn.IFS(MONTH(AR318)&lt;4,1,MONTH(AR318)&lt;7,2,MONTH(AR318)&lt;10,3,MONTH(AR318)&gt;9,4)&amp;"Q"&amp;RIGHT(YEAR(AR318),2)</f>
        <v>3Q24</v>
      </c>
      <c r="AR318" s="128">
        <f t="shared" si="162"/>
        <v>45565</v>
      </c>
      <c r="AS318" s="129">
        <f t="shared" si="173"/>
        <v>45537</v>
      </c>
      <c r="AT318" s="135">
        <v>75</v>
      </c>
      <c r="AU318" s="134" cm="1">
        <f t="array" ref="AU318">INDEX($CE$29:$CE$1449,MATCH($AR318,$CA$29:$CA$1449,0),)</f>
        <v>90</v>
      </c>
      <c r="AV318" s="135">
        <v>146</v>
      </c>
      <c r="AW318" s="134" cm="1">
        <f t="array" ref="AW318">INDEX($CF$29:$CF$1449,MATCH($AR318,$CA$29:$CA$1449,0),)</f>
        <v>174</v>
      </c>
      <c r="AX318" s="134"/>
      <c r="AY318" s="134" cm="1">
        <f t="array" ref="AY318">INDEX($CO$29:$CO$1449,MATCH($AR318,$CA$29:$CA$1449,0),)</f>
        <v>137.025</v>
      </c>
      <c r="AZ318" s="135"/>
      <c r="BA318" s="134" cm="1">
        <f t="array" ref="BA318">INDEX($CP$29:$CP$1449,MATCH($AR318,$CA$29:$CA$1449,0),)</f>
        <v>274.365</v>
      </c>
      <c r="BB318" s="133">
        <f t="shared" si="165"/>
        <v>-0.025974025974026</v>
      </c>
      <c r="BC318" s="132">
        <f t="shared" si="167"/>
        <v>-0.0384615384615384</v>
      </c>
      <c r="BD318" s="132">
        <f t="shared" si="169"/>
        <v>-0.0506329113924051</v>
      </c>
      <c r="BE318" s="133">
        <f t="shared" si="166"/>
        <v>-0.0101694915254237</v>
      </c>
      <c r="BF318" s="132">
        <f t="shared" si="168"/>
        <v>-0.0135135135135135</v>
      </c>
      <c r="BG318" s="132">
        <f t="shared" si="170"/>
        <v>-0.0201342281879194</v>
      </c>
      <c r="BH318" s="132"/>
      <c r="BI318" s="132"/>
      <c r="BJ318" s="132"/>
      <c r="BK318" s="132"/>
      <c r="BL318" s="132"/>
      <c r="BM318" s="132"/>
      <c r="BN318" s="132"/>
      <c r="FV318" s="104">
        <f t="shared" si="174"/>
        <v>2011</v>
      </c>
      <c r="FW318" s="104">
        <f t="shared" si="175"/>
        <v>48</v>
      </c>
      <c r="FX318" s="35">
        <v>40868</v>
      </c>
      <c r="FY318" s="26">
        <v>0.71</v>
      </c>
      <c r="FZ318" s="94">
        <f t="shared" si="176"/>
        <v>2.84</v>
      </c>
      <c r="GA318" s="104"/>
      <c r="GB318" s="104"/>
      <c r="GE318" s="94"/>
      <c r="GF318" s="104">
        <f t="shared" si="177"/>
        <v>2014</v>
      </c>
      <c r="GG318" s="104">
        <f t="shared" si="178"/>
        <v>10</v>
      </c>
      <c r="GH318" s="35">
        <v>41703</v>
      </c>
      <c r="GI318" s="26">
        <v>3.894</v>
      </c>
      <c r="GJ318" s="94">
        <f t="shared" si="179"/>
        <v>7.788</v>
      </c>
      <c r="GK318" s="104"/>
      <c r="GL318" s="104"/>
      <c r="GO318" s="94"/>
    </row>
    <row r="319" spans="3:197">
      <c r="C319" s="80" t="str" cm="1">
        <f t="array" ref="C319">_xlfn.IFS(MONTH(D319)&lt;4,1,MONTH(D319)&lt;7,2,MONTH(D319)&lt;10,3,MONTH(D319)&gt;9,4)&amp;"Q"&amp;RIGHT(YEAR(D319),2)</f>
        <v>2Q17</v>
      </c>
      <c r="D319" s="81">
        <f t="shared" si="160"/>
        <v>42855</v>
      </c>
      <c r="E319" s="82">
        <f t="shared" si="172"/>
        <v>42851</v>
      </c>
      <c r="F319" s="83">
        <f t="shared" si="158"/>
        <v>0.82125</v>
      </c>
      <c r="G319" s="83">
        <f t="shared" si="158"/>
        <v>0.8125</v>
      </c>
      <c r="H319" s="81"/>
      <c r="I319" s="146">
        <v>42851</v>
      </c>
      <c r="J319" s="147">
        <v>7.15</v>
      </c>
      <c r="K319" s="147">
        <v>6.33</v>
      </c>
      <c r="L319" s="148">
        <v>6.57</v>
      </c>
      <c r="M319" s="94" cm="1">
        <f t="array" ref="M319">INDEX($BV$29:$BV$1449,MATCH($D319,$BR$29:$BR$1449,0),)</f>
        <v>6.5</v>
      </c>
      <c r="N319" s="88"/>
      <c r="O319" s="88"/>
      <c r="P319" s="88"/>
      <c r="Q319" s="89">
        <f t="shared" si="159"/>
        <v>0.0107692307692309</v>
      </c>
      <c r="AH319" s="105">
        <f t="shared" si="171"/>
        <v>44816</v>
      </c>
      <c r="AI319" s="91">
        <f t="shared" si="155"/>
        <v>2.515</v>
      </c>
      <c r="AJ319" s="36">
        <f t="shared" si="161"/>
        <v>-0.0202571094663031</v>
      </c>
      <c r="AK319" s="36">
        <f t="shared" si="163"/>
        <v>-0.0360291299348409</v>
      </c>
      <c r="AL319" s="105"/>
      <c r="AM319" s="91"/>
      <c r="AN319" s="36"/>
      <c r="AO319" s="36"/>
      <c r="AP319" s="36"/>
      <c r="AQ319" s="128" t="str" cm="1">
        <f t="array" ref="AQ319">_xlfn.IFS(MONTH(AR319)&lt;4,1,MONTH(AR319)&lt;7,2,MONTH(AR319)&lt;10,3,MONTH(AR319)&gt;9,4)&amp;"Q"&amp;RIGHT(YEAR(AR319),2)</f>
        <v>3Q24</v>
      </c>
      <c r="AR319" s="128">
        <f t="shared" si="162"/>
        <v>45565</v>
      </c>
      <c r="AS319" s="129">
        <f t="shared" si="173"/>
        <v>45544</v>
      </c>
      <c r="AT319" s="135">
        <v>74.5</v>
      </c>
      <c r="AU319" s="134" cm="1">
        <f t="array" ref="AU319">INDEX($CE$29:$CE$1449,MATCH($AR319,$CA$29:$CA$1449,0),)</f>
        <v>90</v>
      </c>
      <c r="AV319" s="135">
        <v>146</v>
      </c>
      <c r="AW319" s="134" cm="1">
        <f t="array" ref="AW319">INDEX($CF$29:$CF$1449,MATCH($AR319,$CA$29:$CA$1449,0),)</f>
        <v>174</v>
      </c>
      <c r="AX319" s="134"/>
      <c r="AY319" s="134" cm="1">
        <f t="array" ref="AY319">INDEX($CO$29:$CO$1449,MATCH($AR319,$CA$29:$CA$1449,0),)</f>
        <v>137.025</v>
      </c>
      <c r="AZ319" s="135"/>
      <c r="BA319" s="134" cm="1">
        <f t="array" ref="BA319">INDEX($CP$29:$CP$1449,MATCH($AR319,$CA$29:$CA$1449,0),)</f>
        <v>274.365</v>
      </c>
      <c r="BB319" s="133">
        <f t="shared" si="165"/>
        <v>-0.00666666666666671</v>
      </c>
      <c r="BC319" s="132">
        <f t="shared" si="167"/>
        <v>-0.0324675324675324</v>
      </c>
      <c r="BD319" s="132">
        <f t="shared" si="169"/>
        <v>-0.0448717948717948</v>
      </c>
      <c r="BE319" s="133">
        <f t="shared" si="166"/>
        <v>0</v>
      </c>
      <c r="BF319" s="132">
        <f t="shared" si="168"/>
        <v>-0.0101694915254237</v>
      </c>
      <c r="BG319" s="132">
        <f t="shared" si="170"/>
        <v>-0.0135135135135135</v>
      </c>
      <c r="BH319" s="132"/>
      <c r="BI319" s="132"/>
      <c r="BJ319" s="132"/>
      <c r="BK319" s="132"/>
      <c r="BL319" s="132"/>
      <c r="BM319" s="132"/>
      <c r="BN319" s="132"/>
      <c r="FV319" s="104">
        <f t="shared" si="174"/>
        <v>2011</v>
      </c>
      <c r="FW319" s="104">
        <f t="shared" si="175"/>
        <v>48</v>
      </c>
      <c r="FX319" s="35">
        <v>40869</v>
      </c>
      <c r="FY319" s="26">
        <v>0.72</v>
      </c>
      <c r="FZ319" s="94">
        <f t="shared" si="176"/>
        <v>2.88</v>
      </c>
      <c r="GA319" s="104"/>
      <c r="GB319" s="104"/>
      <c r="GE319" s="94"/>
      <c r="GF319" s="104">
        <f t="shared" si="177"/>
        <v>2014</v>
      </c>
      <c r="GG319" s="104">
        <f t="shared" si="178"/>
        <v>10</v>
      </c>
      <c r="GH319" s="35">
        <v>41704</v>
      </c>
      <c r="GI319" s="26">
        <v>3.856</v>
      </c>
      <c r="GJ319" s="94">
        <f t="shared" si="179"/>
        <v>7.712</v>
      </c>
      <c r="GK319" s="104"/>
      <c r="GL319" s="104"/>
      <c r="GO319" s="94"/>
    </row>
    <row r="320" spans="3:197">
      <c r="C320" s="80" t="str" cm="1">
        <f t="array" ref="C320">_xlfn.IFS(MONTH(D320)&lt;4,1,MONTH(D320)&lt;7,2,MONTH(D320)&lt;10,3,MONTH(D320)&gt;9,4)&amp;"Q"&amp;RIGHT(YEAR(D320),2)</f>
        <v>2Q17</v>
      </c>
      <c r="D320" s="81">
        <f t="shared" si="160"/>
        <v>42855</v>
      </c>
      <c r="E320" s="82">
        <f t="shared" si="172"/>
        <v>42852</v>
      </c>
      <c r="F320" s="83">
        <f t="shared" si="158"/>
        <v>0.80875</v>
      </c>
      <c r="G320" s="83">
        <f t="shared" si="158"/>
        <v>0.8125</v>
      </c>
      <c r="H320" s="81"/>
      <c r="I320" s="146">
        <v>42852</v>
      </c>
      <c r="J320" s="147">
        <v>7.1</v>
      </c>
      <c r="K320" s="147">
        <v>6.32</v>
      </c>
      <c r="L320" s="148">
        <v>6.47</v>
      </c>
      <c r="M320" s="94" cm="1">
        <f t="array" ref="M320">INDEX($BV$29:$BV$1449,MATCH($D320,$BR$29:$BR$1449,0),)</f>
        <v>6.5</v>
      </c>
      <c r="N320" s="150">
        <f>L320/L319-1</f>
        <v>-0.0152207001522071</v>
      </c>
      <c r="O320" s="150">
        <f>L320/L315-1</f>
        <v>-0.0514587303914382</v>
      </c>
      <c r="P320" s="150">
        <f t="shared" ref="P320:P383" si="180">L320/L310-1</f>
        <v>-0.0520146520146521</v>
      </c>
      <c r="Q320" s="89">
        <f t="shared" si="159"/>
        <v>-0.00461538461538469</v>
      </c>
      <c r="AH320" s="105">
        <f t="shared" si="171"/>
        <v>44823</v>
      </c>
      <c r="AI320" s="91">
        <f t="shared" si="155"/>
        <v>2.478</v>
      </c>
      <c r="AJ320" s="36">
        <f t="shared" si="161"/>
        <v>-0.0147117296222664</v>
      </c>
      <c r="AK320" s="36">
        <f t="shared" si="163"/>
        <v>-0.0346708219711725</v>
      </c>
      <c r="AL320" s="105"/>
      <c r="AM320" s="91"/>
      <c r="AN320" s="36"/>
      <c r="AO320" s="36"/>
      <c r="AP320" s="36"/>
      <c r="AQ320" s="128" t="str" cm="1">
        <f t="array" ref="AQ320">_xlfn.IFS(MONTH(AR320)&lt;4,1,MONTH(AR320)&lt;7,2,MONTH(AR320)&lt;10,3,MONTH(AR320)&gt;9,4)&amp;"Q"&amp;RIGHT(YEAR(AR320),2)</f>
        <v>3Q24</v>
      </c>
      <c r="AR320" s="128">
        <f t="shared" si="162"/>
        <v>45565</v>
      </c>
      <c r="AS320" s="129">
        <f t="shared" si="173"/>
        <v>45551</v>
      </c>
      <c r="AT320" s="135">
        <v>74</v>
      </c>
      <c r="AU320" s="134" cm="1">
        <f t="array" ref="AU320">INDEX($CE$29:$CE$1449,MATCH($AR320,$CA$29:$CA$1449,0),)</f>
        <v>90</v>
      </c>
      <c r="AV320" s="135">
        <v>145</v>
      </c>
      <c r="AW320" s="134" cm="1">
        <f t="array" ref="AW320">INDEX($CF$29:$CF$1449,MATCH($AR320,$CA$29:$CA$1449,0),)</f>
        <v>174</v>
      </c>
      <c r="AX320" s="134"/>
      <c r="AY320" s="134" cm="1">
        <f t="array" ref="AY320">INDEX($CO$29:$CO$1449,MATCH($AR320,$CA$29:$CA$1449,0),)</f>
        <v>137.025</v>
      </c>
      <c r="AZ320" s="135"/>
      <c r="BA320" s="134" cm="1">
        <f t="array" ref="BA320">INDEX($CP$29:$CP$1449,MATCH($AR320,$CA$29:$CA$1449,0),)</f>
        <v>274.365</v>
      </c>
      <c r="BB320" s="133">
        <f t="shared" si="165"/>
        <v>-0.00671140939597314</v>
      </c>
      <c r="BC320" s="132">
        <f t="shared" si="167"/>
        <v>-0.0133333333333333</v>
      </c>
      <c r="BD320" s="132">
        <f t="shared" si="169"/>
        <v>-0.038961038961039</v>
      </c>
      <c r="BE320" s="133">
        <f t="shared" si="166"/>
        <v>-0.00684931506849318</v>
      </c>
      <c r="BF320" s="132">
        <f t="shared" si="168"/>
        <v>-0.00684931506849318</v>
      </c>
      <c r="BG320" s="132">
        <f t="shared" si="170"/>
        <v>-0.0169491525423728</v>
      </c>
      <c r="BH320" s="132"/>
      <c r="BI320" s="132"/>
      <c r="BJ320" s="132"/>
      <c r="BK320" s="132"/>
      <c r="BL320" s="132"/>
      <c r="BM320" s="132"/>
      <c r="BN320" s="132"/>
      <c r="FV320" s="104">
        <f t="shared" si="174"/>
        <v>2011</v>
      </c>
      <c r="FW320" s="104">
        <f t="shared" si="175"/>
        <v>48</v>
      </c>
      <c r="FX320" s="35">
        <v>40870</v>
      </c>
      <c r="FY320" s="26">
        <v>0.73</v>
      </c>
      <c r="FZ320" s="94">
        <f t="shared" si="176"/>
        <v>2.92</v>
      </c>
      <c r="GA320" s="104"/>
      <c r="GB320" s="104"/>
      <c r="GE320" s="94"/>
      <c r="GF320" s="104">
        <f t="shared" si="177"/>
        <v>2014</v>
      </c>
      <c r="GG320" s="104">
        <f t="shared" si="178"/>
        <v>10</v>
      </c>
      <c r="GH320" s="35">
        <v>41705</v>
      </c>
      <c r="GI320" s="26">
        <v>3.824</v>
      </c>
      <c r="GJ320" s="94">
        <f t="shared" si="179"/>
        <v>7.648</v>
      </c>
      <c r="GK320" s="104"/>
      <c r="GL320" s="104"/>
      <c r="GO320" s="94"/>
    </row>
    <row r="321" spans="3:197">
      <c r="C321" s="80" t="str" cm="1">
        <f t="array" ref="C321">_xlfn.IFS(MONTH(D321)&lt;4,1,MONTH(D321)&lt;7,2,MONTH(D321)&lt;10,3,MONTH(D321)&gt;9,4)&amp;"Q"&amp;RIGHT(YEAR(D321),2)</f>
        <v>2Q17</v>
      </c>
      <c r="D321" s="81">
        <f t="shared" si="160"/>
        <v>42855</v>
      </c>
      <c r="E321" s="82">
        <v>42853</v>
      </c>
      <c r="F321" s="83">
        <f t="shared" si="158"/>
        <v>0.80625</v>
      </c>
      <c r="G321" s="83">
        <f t="shared" si="158"/>
        <v>0.8125</v>
      </c>
      <c r="H321" s="81"/>
      <c r="I321" s="146">
        <v>42853</v>
      </c>
      <c r="J321" s="147">
        <v>6.55</v>
      </c>
      <c r="K321" s="147">
        <v>6.3</v>
      </c>
      <c r="L321" s="147">
        <v>6.45</v>
      </c>
      <c r="M321" s="94" cm="1">
        <f t="array" ref="M321">INDEX($BV$29:$BV$1449,MATCH($D321,$BR$29:$BR$1449,0),)</f>
        <v>6.5</v>
      </c>
      <c r="N321" s="150">
        <f t="shared" ref="N321:N384" si="181">L321/L320-1</f>
        <v>-0.00309119010819159</v>
      </c>
      <c r="O321" s="150">
        <f t="shared" ref="O321:O384" si="182">L321/L316-1</f>
        <v>-0.0396069088743299</v>
      </c>
      <c r="P321" s="150">
        <f t="shared" si="180"/>
        <v>-0.054945054945055</v>
      </c>
      <c r="Q321" s="89">
        <f t="shared" ref="Q321:Q384" si="183">L321/M321-1</f>
        <v>-0.00769230769230766</v>
      </c>
      <c r="AH321" s="105">
        <f t="shared" si="171"/>
        <v>44830</v>
      </c>
      <c r="AI321" s="91">
        <f t="shared" si="155"/>
        <v>2.497</v>
      </c>
      <c r="AJ321" s="36">
        <f t="shared" si="161"/>
        <v>0.00766747376916865</v>
      </c>
      <c r="AK321" s="36">
        <f t="shared" si="163"/>
        <v>-0.00715705765407559</v>
      </c>
      <c r="AL321" s="105"/>
      <c r="AM321" s="91"/>
      <c r="AN321" s="36"/>
      <c r="AO321" s="36"/>
      <c r="AP321" s="36"/>
      <c r="AQ321" s="128" t="str" cm="1">
        <f t="array" ref="AQ321">_xlfn.IFS(MONTH(AR321)&lt;4,1,MONTH(AR321)&lt;7,2,MONTH(AR321)&lt;10,3,MONTH(AR321)&gt;9,4)&amp;"Q"&amp;RIGHT(YEAR(AR321),2)</f>
        <v>3Q24</v>
      </c>
      <c r="AR321" s="128">
        <f t="shared" si="162"/>
        <v>45565</v>
      </c>
      <c r="AS321" s="129">
        <f t="shared" si="173"/>
        <v>45558</v>
      </c>
      <c r="AT321" s="135">
        <v>73.5</v>
      </c>
      <c r="AU321" s="134" cm="1">
        <f t="array" ref="AU321">INDEX($CE$29:$CE$1449,MATCH($AR321,$CA$29:$CA$1449,0),)</f>
        <v>90</v>
      </c>
      <c r="AV321" s="135">
        <v>145</v>
      </c>
      <c r="AW321" s="134" cm="1">
        <f t="array" ref="AW321">INDEX($CF$29:$CF$1449,MATCH($AR321,$CA$29:$CA$1449,0),)</f>
        <v>174</v>
      </c>
      <c r="AX321" s="134"/>
      <c r="AY321" s="134" cm="1">
        <f t="array" ref="AY321">INDEX($CO$29:$CO$1449,MATCH($AR321,$CA$29:$CA$1449,0),)</f>
        <v>137.025</v>
      </c>
      <c r="AZ321" s="135"/>
      <c r="BA321" s="134" cm="1">
        <f t="array" ref="BA321">INDEX($CP$29:$CP$1449,MATCH($AR321,$CA$29:$CA$1449,0),)</f>
        <v>274.365</v>
      </c>
      <c r="BB321" s="133">
        <f t="shared" si="165"/>
        <v>-0.0067567567567568</v>
      </c>
      <c r="BC321" s="132">
        <f t="shared" si="167"/>
        <v>-0.0134228187919463</v>
      </c>
      <c r="BD321" s="132">
        <f t="shared" si="169"/>
        <v>-0.02</v>
      </c>
      <c r="BE321" s="133">
        <f t="shared" si="166"/>
        <v>0</v>
      </c>
      <c r="BF321" s="132">
        <f t="shared" si="168"/>
        <v>-0.00684931506849318</v>
      </c>
      <c r="BG321" s="132">
        <f t="shared" si="170"/>
        <v>-0.00684931506849318</v>
      </c>
      <c r="BH321" s="132"/>
      <c r="BI321" s="132"/>
      <c r="BJ321" s="132"/>
      <c r="BK321" s="132"/>
      <c r="BL321" s="132"/>
      <c r="BM321" s="132"/>
      <c r="BN321" s="132"/>
      <c r="FV321" s="104">
        <f t="shared" si="174"/>
        <v>2011</v>
      </c>
      <c r="FW321" s="104">
        <f t="shared" si="175"/>
        <v>48</v>
      </c>
      <c r="FX321" s="35">
        <v>40871</v>
      </c>
      <c r="FY321" s="26">
        <v>0.73</v>
      </c>
      <c r="FZ321" s="94">
        <f t="shared" si="176"/>
        <v>2.92</v>
      </c>
      <c r="GA321" s="104"/>
      <c r="GB321" s="104"/>
      <c r="GE321" s="94"/>
      <c r="GF321" s="104">
        <f t="shared" si="177"/>
        <v>2014</v>
      </c>
      <c r="GG321" s="104">
        <f t="shared" si="178"/>
        <v>11</v>
      </c>
      <c r="GH321" s="35">
        <v>41708</v>
      </c>
      <c r="GI321" s="26">
        <v>3.798</v>
      </c>
      <c r="GJ321" s="94">
        <f t="shared" si="179"/>
        <v>7.596</v>
      </c>
      <c r="GK321" s="104"/>
      <c r="GL321" s="104"/>
      <c r="GO321" s="94"/>
    </row>
    <row r="322" spans="3:197">
      <c r="C322" s="80" t="str" cm="1">
        <f t="array" ref="C322">_xlfn.IFS(MONTH(D322)&lt;4,1,MONTH(D322)&lt;7,2,MONTH(D322)&lt;10,3,MONTH(D322)&gt;9,4)&amp;"Q"&amp;RIGHT(YEAR(D322),2)</f>
        <v>2Q17</v>
      </c>
      <c r="D322" s="81">
        <f t="shared" si="160"/>
        <v>42886</v>
      </c>
      <c r="E322" s="82">
        <v>42857</v>
      </c>
      <c r="F322" s="83">
        <f t="shared" si="158"/>
        <v>0.80625</v>
      </c>
      <c r="G322" s="83">
        <f t="shared" si="158"/>
        <v>0.8125</v>
      </c>
      <c r="H322" s="81"/>
      <c r="I322" s="146">
        <v>42857</v>
      </c>
      <c r="J322" s="147">
        <v>6.55</v>
      </c>
      <c r="K322" s="147">
        <v>6.3</v>
      </c>
      <c r="L322" s="147">
        <v>6.45</v>
      </c>
      <c r="M322" s="94" cm="1">
        <f t="array" ref="M322">INDEX($BV$29:$BV$1449,MATCH($D322,$BR$29:$BR$1449,0),)</f>
        <v>6.5</v>
      </c>
      <c r="N322" s="150">
        <f t="shared" si="181"/>
        <v>0</v>
      </c>
      <c r="O322" s="150">
        <f t="shared" si="182"/>
        <v>-0.0325483725813709</v>
      </c>
      <c r="P322" s="150">
        <f t="shared" si="180"/>
        <v>-0.054945054945055</v>
      </c>
      <c r="Q322" s="89">
        <f t="shared" si="183"/>
        <v>-0.00769230769230766</v>
      </c>
      <c r="AH322" s="105">
        <f t="shared" si="171"/>
        <v>44837</v>
      </c>
      <c r="AI322" s="91">
        <f t="shared" si="155"/>
        <v>2.469</v>
      </c>
      <c r="AJ322" s="36">
        <f t="shared" si="161"/>
        <v>-0.0112134561473769</v>
      </c>
      <c r="AK322" s="36">
        <f t="shared" si="163"/>
        <v>-0.00363196125908005</v>
      </c>
      <c r="AL322" s="105"/>
      <c r="AM322" s="91"/>
      <c r="AN322" s="36"/>
      <c r="AO322" s="36"/>
      <c r="AP322" s="36"/>
      <c r="AQ322" s="128" t="str" cm="1">
        <f t="array" ref="AQ322">_xlfn.IFS(MONTH(AR322)&lt;4,1,MONTH(AR322)&lt;7,2,MONTH(AR322)&lt;10,3,MONTH(AR322)&gt;9,4)&amp;"Q"&amp;RIGHT(YEAR(AR322),2)</f>
        <v>3Q24</v>
      </c>
      <c r="AR322" s="128">
        <f t="shared" si="162"/>
        <v>45565</v>
      </c>
      <c r="AS322" s="129">
        <f t="shared" si="173"/>
        <v>45565</v>
      </c>
      <c r="AT322" s="135">
        <v>73</v>
      </c>
      <c r="AU322" s="134" cm="1">
        <f t="array" ref="AU322">INDEX($CE$29:$CE$1449,MATCH($AR322,$CA$29:$CA$1449,0),)</f>
        <v>90</v>
      </c>
      <c r="AV322" s="135">
        <v>143</v>
      </c>
      <c r="AW322" s="134" cm="1">
        <f t="array" ref="AW322">INDEX($CF$29:$CF$1449,MATCH($AR322,$CA$29:$CA$1449,0),)</f>
        <v>174</v>
      </c>
      <c r="AX322" s="135"/>
      <c r="AY322" s="134" cm="1">
        <f t="array" ref="AY322">INDEX($CO$29:$CO$1449,MATCH($AR322,$CA$29:$CA$1449,0),)</f>
        <v>137.025</v>
      </c>
      <c r="AZ322" s="135"/>
      <c r="BA322" s="134" cm="1">
        <f t="array" ref="BA322">INDEX($CP$29:$CP$1449,MATCH($AR322,$CA$29:$CA$1449,0),)</f>
        <v>274.365</v>
      </c>
      <c r="BB322" s="133">
        <f t="shared" si="165"/>
        <v>-0.00680272108843538</v>
      </c>
      <c r="BC322" s="132">
        <f t="shared" si="167"/>
        <v>-0.0135135135135135</v>
      </c>
      <c r="BD322" s="132">
        <f t="shared" si="169"/>
        <v>-0.0201342281879194</v>
      </c>
      <c r="BE322" s="133">
        <f t="shared" si="166"/>
        <v>-0.0137931034482759</v>
      </c>
      <c r="BF322" s="132">
        <f t="shared" si="168"/>
        <v>-0.0137931034482759</v>
      </c>
      <c r="BG322" s="132">
        <f t="shared" si="170"/>
        <v>-0.0205479452054794</v>
      </c>
      <c r="BH322" s="133"/>
      <c r="BI322" s="132"/>
      <c r="BJ322" s="132"/>
      <c r="BK322" s="133"/>
      <c r="BL322" s="132"/>
      <c r="BM322" s="132"/>
      <c r="BN322" s="132"/>
      <c r="FV322" s="104">
        <f t="shared" si="174"/>
        <v>2011</v>
      </c>
      <c r="FW322" s="104">
        <f t="shared" si="175"/>
        <v>48</v>
      </c>
      <c r="FX322" s="35">
        <v>40872</v>
      </c>
      <c r="FY322" s="26">
        <v>0.74</v>
      </c>
      <c r="FZ322" s="94">
        <f t="shared" si="176"/>
        <v>2.96</v>
      </c>
      <c r="GA322" s="104"/>
      <c r="GB322" s="104"/>
      <c r="GE322" s="94"/>
      <c r="GF322" s="104">
        <f t="shared" si="177"/>
        <v>2014</v>
      </c>
      <c r="GG322" s="104">
        <f t="shared" si="178"/>
        <v>11</v>
      </c>
      <c r="GH322" s="35">
        <v>41709</v>
      </c>
      <c r="GI322" s="26">
        <v>3.787</v>
      </c>
      <c r="GJ322" s="94">
        <f t="shared" si="179"/>
        <v>7.574</v>
      </c>
      <c r="GK322" s="104"/>
      <c r="GL322" s="104"/>
      <c r="GO322" s="94"/>
    </row>
    <row r="323" spans="3:197">
      <c r="C323" s="80" t="str" cm="1">
        <f t="array" ref="C323">_xlfn.IFS(MONTH(D323)&lt;4,1,MONTH(D323)&lt;7,2,MONTH(D323)&lt;10,3,MONTH(D323)&gt;9,4)&amp;"Q"&amp;RIGHT(YEAR(D323),2)</f>
        <v>2Q17</v>
      </c>
      <c r="D323" s="81">
        <f t="shared" si="160"/>
        <v>42886</v>
      </c>
      <c r="E323" s="82">
        <v>42858</v>
      </c>
      <c r="F323" s="83">
        <f t="shared" si="158"/>
        <v>0.80625</v>
      </c>
      <c r="G323" s="83">
        <f t="shared" si="158"/>
        <v>0.8125</v>
      </c>
      <c r="H323" s="81"/>
      <c r="I323" s="146">
        <v>42858</v>
      </c>
      <c r="J323" s="147">
        <v>6.55</v>
      </c>
      <c r="K323" s="147">
        <v>6.3</v>
      </c>
      <c r="L323" s="147">
        <v>6.45</v>
      </c>
      <c r="M323" s="94" cm="1">
        <f t="array" ref="M323">INDEX($BV$29:$BV$1449,MATCH($D323,$BR$29:$BR$1449,0),)</f>
        <v>6.5</v>
      </c>
      <c r="N323" s="150">
        <f t="shared" si="181"/>
        <v>0</v>
      </c>
      <c r="O323" s="150">
        <f t="shared" si="182"/>
        <v>-0.0255325577881854</v>
      </c>
      <c r="P323" s="150">
        <f t="shared" si="180"/>
        <v>-0.054945054945055</v>
      </c>
      <c r="Q323" s="89">
        <f t="shared" si="183"/>
        <v>-0.00769230769230766</v>
      </c>
      <c r="AH323" s="105">
        <f t="shared" ref="AH323:AH386" si="184">AH322+7</f>
        <v>44844</v>
      </c>
      <c r="AI323" s="91">
        <f t="shared" ref="AI323:AI386" si="185">IFERROR(VLOOKUP(AH323,$I:$L,4,FALSE),VLOOKUP(AH323,$I:$L,4,TRUE))</f>
        <v>2.466</v>
      </c>
      <c r="AJ323" s="36">
        <f t="shared" si="161"/>
        <v>-0.00121506682867545</v>
      </c>
      <c r="AK323" s="36">
        <f t="shared" si="163"/>
        <v>-0.0124148978774529</v>
      </c>
      <c r="AL323" s="105"/>
      <c r="AM323" s="91"/>
      <c r="AN323" s="36"/>
      <c r="AO323" s="36"/>
      <c r="AP323" s="36"/>
      <c r="AQ323" s="128" t="str" cm="1">
        <f t="array" ref="AQ323">_xlfn.IFS(MONTH(AR323)&lt;4,1,MONTH(AR323)&lt;7,2,MONTH(AR323)&lt;10,3,MONTH(AR323)&gt;9,4)&amp;"Q"&amp;RIGHT(YEAR(AR323),2)</f>
        <v>4Q24</v>
      </c>
      <c r="AR323" s="128">
        <f t="shared" si="162"/>
        <v>45596</v>
      </c>
      <c r="AS323" s="129">
        <f t="shared" si="173"/>
        <v>45572</v>
      </c>
      <c r="AT323" s="135">
        <v>72.5</v>
      </c>
      <c r="AU323" s="134" cm="1">
        <f t="array" ref="AU323">INDEX($CE$29:$CE$1449,MATCH($AR323,$CA$29:$CA$1449,0),)</f>
        <v>90</v>
      </c>
      <c r="AV323" s="135">
        <v>143</v>
      </c>
      <c r="AW323" s="134" cm="1">
        <f t="array" ref="AW323">INDEX($CF$29:$CF$1449,MATCH($AR323,$CA$29:$CA$1449,0),)</f>
        <v>174</v>
      </c>
      <c r="AX323" s="135">
        <v>129</v>
      </c>
      <c r="AY323" s="134" cm="1">
        <f t="array" ref="AY323">INDEX($CO$29:$CO$1449,MATCH($AR323,$CA$29:$CA$1449,0),)</f>
        <v>140.7</v>
      </c>
      <c r="AZ323" s="135">
        <v>271</v>
      </c>
      <c r="BA323" s="134" cm="1">
        <f t="array" ref="BA323">INDEX($CP$29:$CP$1449,MATCH($AR323,$CA$29:$CA$1449,0),)</f>
        <v>285</v>
      </c>
      <c r="BB323" s="133">
        <f t="shared" si="165"/>
        <v>-0.00684931506849318</v>
      </c>
      <c r="BC323" s="132">
        <f t="shared" si="167"/>
        <v>-0.0136054421768708</v>
      </c>
      <c r="BD323" s="132">
        <f t="shared" si="169"/>
        <v>-0.0202702702702703</v>
      </c>
      <c r="BE323" s="133">
        <f t="shared" si="166"/>
        <v>0</v>
      </c>
      <c r="BF323" s="132">
        <f t="shared" si="168"/>
        <v>-0.0137931034482759</v>
      </c>
      <c r="BG323" s="132">
        <f t="shared" si="170"/>
        <v>-0.0137931034482759</v>
      </c>
      <c r="BH323" s="133"/>
      <c r="BI323" s="132"/>
      <c r="BJ323" s="132" t="e">
        <f>AX323/AX320-1</f>
        <v>#DIV/0!</v>
      </c>
      <c r="BK323" s="133"/>
      <c r="BL323" s="132"/>
      <c r="BM323" s="132" t="e">
        <f>AZ323/AZ320-1</f>
        <v>#DIV/0!</v>
      </c>
      <c r="FV323" s="104">
        <f t="shared" si="174"/>
        <v>2011</v>
      </c>
      <c r="FW323" s="104">
        <f t="shared" si="175"/>
        <v>49</v>
      </c>
      <c r="FX323" s="35">
        <v>40875</v>
      </c>
      <c r="FY323" s="26">
        <v>0.74</v>
      </c>
      <c r="FZ323" s="94">
        <f t="shared" si="176"/>
        <v>2.96</v>
      </c>
      <c r="GA323" s="104"/>
      <c r="GB323" s="104"/>
      <c r="GE323" s="94"/>
      <c r="GF323" s="104">
        <f t="shared" si="177"/>
        <v>2014</v>
      </c>
      <c r="GG323" s="104">
        <f t="shared" si="178"/>
        <v>11</v>
      </c>
      <c r="GH323" s="35">
        <v>41710</v>
      </c>
      <c r="GI323" s="26">
        <v>3.776</v>
      </c>
      <c r="GJ323" s="94">
        <f t="shared" si="179"/>
        <v>7.552</v>
      </c>
      <c r="GK323" s="104"/>
      <c r="GL323" s="104"/>
      <c r="GO323" s="94"/>
    </row>
    <row r="324" spans="3:197">
      <c r="C324" s="80" t="str" cm="1">
        <f t="array" ref="C324">_xlfn.IFS(MONTH(D324)&lt;4,1,MONTH(D324)&lt;7,2,MONTH(D324)&lt;10,3,MONTH(D324)&gt;9,4)&amp;"Q"&amp;RIGHT(YEAR(D324),2)</f>
        <v>2Q17</v>
      </c>
      <c r="D324" s="81">
        <f t="shared" si="160"/>
        <v>42886</v>
      </c>
      <c r="E324" s="82">
        <v>42859</v>
      </c>
      <c r="F324" s="83">
        <f t="shared" si="158"/>
        <v>0.80625</v>
      </c>
      <c r="G324" s="83">
        <f t="shared" si="158"/>
        <v>0.8125</v>
      </c>
      <c r="H324" s="81"/>
      <c r="I324" s="146">
        <v>42859</v>
      </c>
      <c r="J324" s="147">
        <v>6.55</v>
      </c>
      <c r="K324" s="147">
        <v>6.3</v>
      </c>
      <c r="L324" s="147">
        <v>6.45</v>
      </c>
      <c r="M324" s="94" cm="1">
        <f t="array" ref="M324">INDEX($BV$29:$BV$1449,MATCH($D324,$BR$29:$BR$1449,0),)</f>
        <v>6.5</v>
      </c>
      <c r="N324" s="150">
        <f t="shared" si="181"/>
        <v>0</v>
      </c>
      <c r="O324" s="150">
        <f t="shared" si="182"/>
        <v>-0.0182648401826484</v>
      </c>
      <c r="P324" s="150">
        <f t="shared" si="180"/>
        <v>-0.054945054945055</v>
      </c>
      <c r="Q324" s="89">
        <f t="shared" si="183"/>
        <v>-0.00769230769230766</v>
      </c>
      <c r="AH324" s="105">
        <f t="shared" si="184"/>
        <v>44851</v>
      </c>
      <c r="AI324" s="91">
        <f t="shared" si="185"/>
        <v>2.435</v>
      </c>
      <c r="AJ324" s="36">
        <f t="shared" si="161"/>
        <v>-0.0125709651257097</v>
      </c>
      <c r="AK324" s="36">
        <f t="shared" si="163"/>
        <v>-0.0137707573916565</v>
      </c>
      <c r="AL324" s="105"/>
      <c r="AM324" s="91"/>
      <c r="AN324" s="36"/>
      <c r="AO324" s="36"/>
      <c r="AP324" s="36"/>
      <c r="AQ324" s="128" t="str" cm="1">
        <f t="array" ref="AQ324">_xlfn.IFS(MONTH(AR324)&lt;4,1,MONTH(AR324)&lt;7,2,MONTH(AR324)&lt;10,3,MONTH(AR324)&gt;9,4)&amp;"Q"&amp;RIGHT(YEAR(AR324),2)</f>
        <v>4Q24</v>
      </c>
      <c r="AR324" s="128">
        <f t="shared" si="162"/>
        <v>45596</v>
      </c>
      <c r="AS324" s="129">
        <f t="shared" si="173"/>
        <v>45579</v>
      </c>
      <c r="AT324" s="135">
        <v>72</v>
      </c>
      <c r="AU324" s="134" cm="1">
        <f t="array" ref="AU324">INDEX($CE$29:$CE$1449,MATCH($AR324,$CA$29:$CA$1449,0),)</f>
        <v>90</v>
      </c>
      <c r="AV324" s="135">
        <v>144</v>
      </c>
      <c r="AW324" s="134" cm="1">
        <f t="array" ref="AW324">INDEX($CF$29:$CF$1449,MATCH($AR324,$CA$29:$CA$1449,0),)</f>
        <v>174</v>
      </c>
      <c r="AX324" s="135">
        <v>128.75</v>
      </c>
      <c r="AY324" s="134" cm="1">
        <f t="array" ref="AY324">INDEX($CO$29:$CO$1449,MATCH($AR324,$CA$29:$CA$1449,0),)</f>
        <v>140.7</v>
      </c>
      <c r="AZ324" s="135">
        <v>271</v>
      </c>
      <c r="BA324" s="134" cm="1">
        <f t="array" ref="BA324">INDEX($CP$29:$CP$1449,MATCH($AR324,$CA$29:$CA$1449,0),)</f>
        <v>285</v>
      </c>
      <c r="BB324" s="133">
        <f t="shared" si="165"/>
        <v>-0.00689655172413794</v>
      </c>
      <c r="BC324" s="132">
        <f t="shared" si="167"/>
        <v>-0.0136986301369864</v>
      </c>
      <c r="BD324" s="132">
        <f t="shared" si="169"/>
        <v>-0.0204081632653061</v>
      </c>
      <c r="BE324" s="133">
        <f t="shared" si="166"/>
        <v>0.00699300699300709</v>
      </c>
      <c r="BF324" s="132">
        <f t="shared" si="168"/>
        <v>0.00699300699300709</v>
      </c>
      <c r="BG324" s="132">
        <f t="shared" si="170"/>
        <v>-0.00689655172413794</v>
      </c>
      <c r="BH324" s="133">
        <f>AX324/AX323-1</f>
        <v>-0.00193798449612403</v>
      </c>
      <c r="BI324" s="132"/>
      <c r="BJ324" s="132" t="e">
        <f>AX324/AX321-1</f>
        <v>#DIV/0!</v>
      </c>
      <c r="BK324" s="133">
        <f>AZ324/AZ323-1</f>
        <v>0</v>
      </c>
      <c r="BL324" s="132"/>
      <c r="BM324" s="132" t="e">
        <f>AZ324/AZ321-1</f>
        <v>#DIV/0!</v>
      </c>
      <c r="FV324" s="104">
        <f t="shared" si="174"/>
        <v>2011</v>
      </c>
      <c r="FW324" s="104">
        <f t="shared" si="175"/>
        <v>49</v>
      </c>
      <c r="FX324" s="35">
        <v>40876</v>
      </c>
      <c r="FY324" s="26">
        <v>0.74</v>
      </c>
      <c r="FZ324" s="94">
        <f t="shared" si="176"/>
        <v>2.96</v>
      </c>
      <c r="GA324" s="104"/>
      <c r="GB324" s="104"/>
      <c r="GE324" s="94"/>
      <c r="GF324" s="104">
        <f t="shared" si="177"/>
        <v>2014</v>
      </c>
      <c r="GG324" s="104">
        <f t="shared" si="178"/>
        <v>11</v>
      </c>
      <c r="GH324" s="35">
        <v>41711</v>
      </c>
      <c r="GI324" s="26">
        <v>3.76</v>
      </c>
      <c r="GJ324" s="94">
        <f t="shared" si="179"/>
        <v>7.52</v>
      </c>
      <c r="GK324" s="104"/>
      <c r="GL324" s="104"/>
      <c r="GO324" s="94"/>
    </row>
    <row r="325" spans="3:197">
      <c r="C325" s="80" t="str" cm="1">
        <f t="array" ref="C325">_xlfn.IFS(MONTH(D325)&lt;4,1,MONTH(D325)&lt;7,2,MONTH(D325)&lt;10,3,MONTH(D325)&gt;9,4)&amp;"Q"&amp;RIGHT(YEAR(D325),2)</f>
        <v>2Q17</v>
      </c>
      <c r="D325" s="81">
        <f t="shared" si="160"/>
        <v>42886</v>
      </c>
      <c r="E325" s="82">
        <v>42860</v>
      </c>
      <c r="F325" s="83">
        <f t="shared" si="158"/>
        <v>0.80625</v>
      </c>
      <c r="G325" s="83">
        <f t="shared" si="158"/>
        <v>0.8125</v>
      </c>
      <c r="H325" s="81"/>
      <c r="I325" s="146">
        <v>42860</v>
      </c>
      <c r="J325" s="147">
        <v>6.55</v>
      </c>
      <c r="K325" s="147">
        <v>6.3</v>
      </c>
      <c r="L325" s="147">
        <v>6.45</v>
      </c>
      <c r="M325" s="94" cm="1">
        <f t="array" ref="M325">INDEX($BV$29:$BV$1449,MATCH($D325,$BR$29:$BR$1449,0),)</f>
        <v>6.5</v>
      </c>
      <c r="N325" s="150">
        <f t="shared" si="181"/>
        <v>0</v>
      </c>
      <c r="O325" s="150">
        <f t="shared" si="182"/>
        <v>-0.00309119010819159</v>
      </c>
      <c r="P325" s="150">
        <f t="shared" si="180"/>
        <v>-0.0543908517812637</v>
      </c>
      <c r="Q325" s="89">
        <f t="shared" si="183"/>
        <v>-0.00769230769230766</v>
      </c>
      <c r="AH325" s="105">
        <f t="shared" si="184"/>
        <v>44858</v>
      </c>
      <c r="AI325" s="91">
        <f t="shared" si="185"/>
        <v>2.369</v>
      </c>
      <c r="AJ325" s="36">
        <f t="shared" si="161"/>
        <v>-0.0271047227926078</v>
      </c>
      <c r="AK325" s="36">
        <f t="shared" si="163"/>
        <v>-0.0393349553933495</v>
      </c>
      <c r="AL325" s="105"/>
      <c r="AM325" s="91"/>
      <c r="AN325" s="36"/>
      <c r="AO325" s="36"/>
      <c r="AP325" s="36"/>
      <c r="AQ325" s="128" t="str" cm="1">
        <f t="array" ref="AQ325">_xlfn.IFS(MONTH(AR325)&lt;4,1,MONTH(AR325)&lt;7,2,MONTH(AR325)&lt;10,3,MONTH(AR325)&gt;9,4)&amp;"Q"&amp;RIGHT(YEAR(AR325),2)</f>
        <v>4Q24</v>
      </c>
      <c r="AR325" s="128">
        <f t="shared" si="162"/>
        <v>45596</v>
      </c>
      <c r="AS325" s="129">
        <f t="shared" si="173"/>
        <v>45586</v>
      </c>
      <c r="AT325" s="135">
        <v>70</v>
      </c>
      <c r="AU325" s="134" cm="1">
        <f t="array" ref="AU325">INDEX($CE$29:$CE$1449,MATCH($AR325,$CA$29:$CA$1449,0),)</f>
        <v>90</v>
      </c>
      <c r="AV325" s="135">
        <v>143</v>
      </c>
      <c r="AW325" s="134" cm="1">
        <f t="array" ref="AW325">INDEX($CF$29:$CF$1449,MATCH($AR325,$CA$29:$CA$1449,0),)</f>
        <v>174</v>
      </c>
      <c r="AX325" s="135">
        <v>130</v>
      </c>
      <c r="AY325" s="134" cm="1">
        <f t="array" ref="AY325">INDEX($CO$29:$CO$1449,MATCH($AR325,$CA$29:$CA$1449,0),)</f>
        <v>140.7</v>
      </c>
      <c r="AZ325" s="135">
        <v>273</v>
      </c>
      <c r="BA325" s="134" cm="1">
        <f t="array" ref="BA325">INDEX($CP$29:$CP$1449,MATCH($AR325,$CA$29:$CA$1449,0),)</f>
        <v>285</v>
      </c>
      <c r="BB325" s="133">
        <f t="shared" si="165"/>
        <v>-0.0277777777777778</v>
      </c>
      <c r="BC325" s="132">
        <f t="shared" si="167"/>
        <v>-0.0344827586206896</v>
      </c>
      <c r="BD325" s="132">
        <f t="shared" si="169"/>
        <v>-0.041095890410959</v>
      </c>
      <c r="BE325" s="133">
        <f t="shared" si="166"/>
        <v>-0.00694444444444442</v>
      </c>
      <c r="BF325" s="132">
        <f t="shared" si="168"/>
        <v>0</v>
      </c>
      <c r="BG325" s="132">
        <f t="shared" si="170"/>
        <v>0</v>
      </c>
      <c r="BH325" s="133">
        <f>AX325/AX324-1</f>
        <v>0.00970873786407767</v>
      </c>
      <c r="BI325" s="132">
        <f>AX325/AX323-1</f>
        <v>0.00775193798449614</v>
      </c>
      <c r="BJ325" s="132" t="e">
        <f>AX325/AX322-1</f>
        <v>#DIV/0!</v>
      </c>
      <c r="BK325" s="133">
        <f>AZ325/AZ324-1</f>
        <v>0.00738007380073791</v>
      </c>
      <c r="BL325" s="132">
        <f>AZ325/AZ323-1</f>
        <v>0.00738007380073791</v>
      </c>
      <c r="BM325" s="132" t="e">
        <f>AZ325/AZ322-1</f>
        <v>#DIV/0!</v>
      </c>
      <c r="FV325" s="104">
        <f t="shared" si="174"/>
        <v>2011</v>
      </c>
      <c r="FW325" s="104">
        <f t="shared" si="175"/>
        <v>49</v>
      </c>
      <c r="FX325" s="35">
        <v>40877</v>
      </c>
      <c r="FY325" s="26">
        <v>0.73</v>
      </c>
      <c r="FZ325" s="94">
        <f t="shared" si="176"/>
        <v>2.92</v>
      </c>
      <c r="GA325" s="104"/>
      <c r="GB325" s="104"/>
      <c r="GE325" s="94"/>
      <c r="GF325" s="104">
        <f t="shared" si="177"/>
        <v>2014</v>
      </c>
      <c r="GG325" s="104">
        <f t="shared" si="178"/>
        <v>11</v>
      </c>
      <c r="GH325" s="35">
        <v>41712</v>
      </c>
      <c r="GI325" s="26">
        <v>3.756</v>
      </c>
      <c r="GJ325" s="94">
        <f t="shared" si="179"/>
        <v>7.512</v>
      </c>
      <c r="GK325" s="104"/>
      <c r="GL325" s="104"/>
      <c r="GO325" s="94"/>
    </row>
    <row r="326" spans="3:197">
      <c r="C326" s="80" t="str" cm="1">
        <f t="array" ref="C326">_xlfn.IFS(MONTH(D326)&lt;4,1,MONTH(D326)&lt;7,2,MONTH(D326)&lt;10,3,MONTH(D326)&gt;9,4)&amp;"Q"&amp;RIGHT(YEAR(D326),2)</f>
        <v>2Q17</v>
      </c>
      <c r="D326" s="81">
        <f t="shared" si="160"/>
        <v>42886</v>
      </c>
      <c r="E326" s="82">
        <v>42863</v>
      </c>
      <c r="F326" s="83">
        <f t="shared" si="158"/>
        <v>0.803125</v>
      </c>
      <c r="G326" s="83">
        <f t="shared" si="158"/>
        <v>0.8125</v>
      </c>
      <c r="H326" s="81"/>
      <c r="I326" s="146">
        <v>42863</v>
      </c>
      <c r="J326" s="147">
        <v>6.55</v>
      </c>
      <c r="K326" s="147">
        <v>6.25</v>
      </c>
      <c r="L326" s="147">
        <v>6.425</v>
      </c>
      <c r="M326" s="94" cm="1">
        <f t="array" ref="M326">INDEX($BV$29:$BV$1449,MATCH($D326,$BR$29:$BR$1449,0),)</f>
        <v>6.5</v>
      </c>
      <c r="N326" s="150">
        <f t="shared" si="181"/>
        <v>-0.00387596899224807</v>
      </c>
      <c r="O326" s="150">
        <f t="shared" si="182"/>
        <v>-0.00387596899224807</v>
      </c>
      <c r="P326" s="150">
        <f t="shared" si="180"/>
        <v>-0.0433293627159024</v>
      </c>
      <c r="Q326" s="89">
        <f t="shared" si="183"/>
        <v>-0.0115384615384616</v>
      </c>
      <c r="AH326" s="105">
        <f t="shared" si="184"/>
        <v>44865</v>
      </c>
      <c r="AI326" s="91">
        <f t="shared" si="185"/>
        <v>2.231</v>
      </c>
      <c r="AJ326" s="36">
        <f t="shared" si="161"/>
        <v>-0.0582524271844661</v>
      </c>
      <c r="AK326" s="36">
        <f t="shared" si="163"/>
        <v>-0.0837782340862424</v>
      </c>
      <c r="AL326" s="105"/>
      <c r="AM326" s="91"/>
      <c r="AN326" s="36"/>
      <c r="AO326" s="36"/>
      <c r="AP326" s="36"/>
      <c r="AQ326" s="128" t="str" cm="1">
        <f t="array" ref="AQ326">_xlfn.IFS(MONTH(AR326)&lt;4,1,MONTH(AR326)&lt;7,2,MONTH(AR326)&lt;10,3,MONTH(AR326)&gt;9,4)&amp;"Q"&amp;RIGHT(YEAR(AR326),2)</f>
        <v>4Q24</v>
      </c>
      <c r="AR326" s="128">
        <f t="shared" si="162"/>
        <v>45596</v>
      </c>
      <c r="AS326" s="129">
        <f t="shared" si="173"/>
        <v>45593</v>
      </c>
      <c r="AT326" s="135">
        <v>67</v>
      </c>
      <c r="AU326" s="134" cm="1">
        <f t="array" ref="AU326">INDEX($CE$29:$CE$1449,MATCH($AR326,$CA$29:$CA$1449,0),)</f>
        <v>90</v>
      </c>
      <c r="AV326" s="135">
        <v>143</v>
      </c>
      <c r="AW326" s="134" cm="1">
        <f t="array" ref="AW326">INDEX($CF$29:$CF$1449,MATCH($AR326,$CA$29:$CA$1449,0),)</f>
        <v>174</v>
      </c>
      <c r="AX326" s="135">
        <v>130</v>
      </c>
      <c r="AY326" s="134" cm="1">
        <f t="array" ref="AY326">INDEX($CO$29:$CO$1449,MATCH($AR326,$CA$29:$CA$1449,0),)</f>
        <v>140.7</v>
      </c>
      <c r="AZ326" s="135">
        <v>273.25</v>
      </c>
      <c r="BA326" s="134" cm="1">
        <f t="array" ref="BA326">INDEX($CP$29:$CP$1449,MATCH($AR326,$CA$29:$CA$1449,0),)</f>
        <v>285</v>
      </c>
      <c r="BB326" s="133">
        <f t="shared" si="165"/>
        <v>-0.0428571428571428</v>
      </c>
      <c r="BC326" s="132">
        <f t="shared" si="167"/>
        <v>-0.0694444444444444</v>
      </c>
      <c r="BD326" s="132">
        <f t="shared" si="169"/>
        <v>-0.0758620689655173</v>
      </c>
      <c r="BE326" s="133">
        <f t="shared" si="166"/>
        <v>0</v>
      </c>
      <c r="BF326" s="132">
        <f t="shared" si="168"/>
        <v>-0.00694444444444442</v>
      </c>
      <c r="BG326" s="132">
        <f t="shared" si="170"/>
        <v>0</v>
      </c>
      <c r="BH326" s="133">
        <f>AX326/AX325-1</f>
        <v>0</v>
      </c>
      <c r="BI326" s="132">
        <f>AX326/AX324-1</f>
        <v>0.00970873786407767</v>
      </c>
      <c r="BJ326" s="132">
        <f>AX326/AX323-1</f>
        <v>0.00775193798449614</v>
      </c>
      <c r="BK326" s="133">
        <f>AZ326/AZ325-1</f>
        <v>0.000915750915750912</v>
      </c>
      <c r="BL326" s="132">
        <f>AZ326/AZ324-1</f>
        <v>0.00830258302583031</v>
      </c>
      <c r="BM326" s="132">
        <f>AZ326/AZ323-1</f>
        <v>0.00830258302583031</v>
      </c>
      <c r="FV326" s="104">
        <f t="shared" si="174"/>
        <v>2011</v>
      </c>
      <c r="FW326" s="104">
        <f t="shared" si="175"/>
        <v>49</v>
      </c>
      <c r="FX326" s="35">
        <v>40878</v>
      </c>
      <c r="FY326" s="26">
        <v>0.73</v>
      </c>
      <c r="FZ326" s="94">
        <f t="shared" si="176"/>
        <v>2.92</v>
      </c>
      <c r="GA326" s="104"/>
      <c r="GB326" s="104"/>
      <c r="GE326" s="94"/>
      <c r="GF326" s="104">
        <f t="shared" si="177"/>
        <v>2014</v>
      </c>
      <c r="GG326" s="104">
        <f t="shared" si="178"/>
        <v>12</v>
      </c>
      <c r="GH326" s="35">
        <v>41715</v>
      </c>
      <c r="GI326" s="26">
        <v>3.731</v>
      </c>
      <c r="GJ326" s="94">
        <f t="shared" si="179"/>
        <v>7.462</v>
      </c>
      <c r="GK326" s="104"/>
      <c r="GL326" s="104"/>
      <c r="GO326" s="94"/>
    </row>
    <row r="327" spans="3:197">
      <c r="C327" s="80" t="str" cm="1">
        <f t="array" ref="C327">_xlfn.IFS(MONTH(D327)&lt;4,1,MONTH(D327)&lt;7,2,MONTH(D327)&lt;10,3,MONTH(D327)&gt;9,4)&amp;"Q"&amp;RIGHT(YEAR(D327),2)</f>
        <v>2Q17</v>
      </c>
      <c r="D327" s="81">
        <f t="shared" si="160"/>
        <v>42886</v>
      </c>
      <c r="E327" s="82">
        <v>42864</v>
      </c>
      <c r="F327" s="83">
        <f t="shared" si="158"/>
        <v>0.796875</v>
      </c>
      <c r="G327" s="83">
        <f t="shared" si="158"/>
        <v>0.8125</v>
      </c>
      <c r="H327" s="81"/>
      <c r="I327" s="146">
        <v>42864</v>
      </c>
      <c r="J327" s="147">
        <v>6.55</v>
      </c>
      <c r="K327" s="147">
        <v>6.15</v>
      </c>
      <c r="L327" s="147">
        <v>6.375</v>
      </c>
      <c r="M327" s="94" cm="1">
        <f t="array" ref="M327">INDEX($BV$29:$BV$1449,MATCH($D327,$BR$29:$BR$1449,0),)</f>
        <v>6.5</v>
      </c>
      <c r="N327" s="150">
        <f t="shared" si="181"/>
        <v>-0.00778210116731515</v>
      </c>
      <c r="O327" s="150">
        <f t="shared" si="182"/>
        <v>-0.0116279069767442</v>
      </c>
      <c r="P327" s="150">
        <f t="shared" si="180"/>
        <v>-0.0437978101094945</v>
      </c>
      <c r="Q327" s="89">
        <f t="shared" si="183"/>
        <v>-0.0192307692307693</v>
      </c>
      <c r="AH327" s="105">
        <f t="shared" si="184"/>
        <v>44872</v>
      </c>
      <c r="AI327" s="91">
        <f t="shared" si="185"/>
        <v>2.171</v>
      </c>
      <c r="AJ327" s="36">
        <f t="shared" si="161"/>
        <v>-0.0268937696100404</v>
      </c>
      <c r="AK327" s="36">
        <f t="shared" si="163"/>
        <v>-0.0835795694385818</v>
      </c>
      <c r="AL327" s="105"/>
      <c r="AM327" s="91"/>
      <c r="AN327" s="36"/>
      <c r="AO327" s="36"/>
      <c r="AP327" s="36"/>
      <c r="AQ327" s="128" t="str" cm="1">
        <f t="array" ref="AQ327">_xlfn.IFS(MONTH(AR327)&lt;4,1,MONTH(AR327)&lt;7,2,MONTH(AR327)&lt;10,3,MONTH(AR327)&gt;9,4)&amp;"Q"&amp;RIGHT(YEAR(AR327),2)</f>
        <v>4Q24</v>
      </c>
      <c r="AR327" s="128">
        <f t="shared" si="162"/>
        <v>45626</v>
      </c>
      <c r="AS327" s="129">
        <f t="shared" si="173"/>
        <v>45600</v>
      </c>
      <c r="AT327" s="135">
        <v>67</v>
      </c>
      <c r="AU327" s="134" cm="1">
        <f t="array" ref="AU327">INDEX($CE$29:$CE$1449,MATCH($AR327,$CA$29:$CA$1449,0),)</f>
        <v>80</v>
      </c>
      <c r="AV327" s="135">
        <v>142.5</v>
      </c>
      <c r="AW327" s="134" cm="1">
        <f t="array" ref="AW327">INDEX($CF$29:$CF$1449,MATCH($AR327,$CA$29:$CA$1449,0),)</f>
        <v>155</v>
      </c>
      <c r="AX327" s="135">
        <v>129.5</v>
      </c>
      <c r="AY327" s="134" cm="1">
        <f t="array" ref="AY327">INDEX($CO$29:$CO$1449,MATCH($AR327,$CA$29:$CA$1449,0),)</f>
        <v>140.7</v>
      </c>
      <c r="AZ327" s="135">
        <v>272.75</v>
      </c>
      <c r="BA327" s="134" cm="1">
        <f t="array" ref="BA327">INDEX($CP$29:$CP$1449,MATCH($AR327,$CA$29:$CA$1449,0),)</f>
        <v>285</v>
      </c>
      <c r="BB327" s="133">
        <f t="shared" si="165"/>
        <v>0</v>
      </c>
      <c r="BC327" s="132">
        <f t="shared" si="167"/>
        <v>-0.0428571428571428</v>
      </c>
      <c r="BD327" s="132">
        <f t="shared" si="169"/>
        <v>-0.0694444444444444</v>
      </c>
      <c r="BE327" s="133">
        <f t="shared" si="166"/>
        <v>-0.00349650349650354</v>
      </c>
      <c r="BF327" s="132">
        <f t="shared" si="168"/>
        <v>-0.00349650349650354</v>
      </c>
      <c r="BG327" s="132">
        <f t="shared" si="170"/>
        <v>-0.0104166666666666</v>
      </c>
      <c r="BH327" s="133">
        <f t="shared" ref="BH327:BH390" si="186">AX327/AX326-1</f>
        <v>-0.00384615384615383</v>
      </c>
      <c r="BI327" s="132">
        <f t="shared" ref="BI327:BI390" si="187">AX327/AX325-1</f>
        <v>-0.00384615384615383</v>
      </c>
      <c r="BJ327" s="132">
        <f t="shared" ref="BJ327:BJ390" si="188">AX327/AX324-1</f>
        <v>0.00582524271844664</v>
      </c>
      <c r="BK327" s="133">
        <f t="shared" ref="BK327:BK390" si="189">AZ327/AZ326-1</f>
        <v>-0.00182982616651417</v>
      </c>
      <c r="BL327" s="132">
        <f t="shared" ref="BL327:BL390" si="190">AZ327/AZ325-1</f>
        <v>-0.000915750915750912</v>
      </c>
      <c r="BM327" s="132">
        <f t="shared" ref="BM327:BM390" si="191">AZ327/AZ324-1</f>
        <v>0.00645756457564572</v>
      </c>
      <c r="FV327" s="104">
        <f t="shared" si="174"/>
        <v>2011</v>
      </c>
      <c r="FW327" s="104">
        <f t="shared" si="175"/>
        <v>49</v>
      </c>
      <c r="FX327" s="35">
        <v>40879</v>
      </c>
      <c r="FY327" s="26">
        <v>0.72</v>
      </c>
      <c r="FZ327" s="94">
        <f t="shared" si="176"/>
        <v>2.88</v>
      </c>
      <c r="GA327" s="104"/>
      <c r="GB327" s="104"/>
      <c r="GE327" s="94"/>
      <c r="GF327" s="104">
        <f t="shared" si="177"/>
        <v>2014</v>
      </c>
      <c r="GG327" s="104">
        <f t="shared" si="178"/>
        <v>12</v>
      </c>
      <c r="GH327" s="35">
        <v>41716</v>
      </c>
      <c r="GI327" s="26">
        <v>3.729</v>
      </c>
      <c r="GJ327" s="94">
        <f t="shared" si="179"/>
        <v>7.458</v>
      </c>
      <c r="GK327" s="104"/>
      <c r="GL327" s="104"/>
      <c r="GO327" s="94"/>
    </row>
    <row r="328" spans="3:197">
      <c r="C328" s="80" t="str" cm="1">
        <f t="array" ref="C328">_xlfn.IFS(MONTH(D328)&lt;4,1,MONTH(D328)&lt;7,2,MONTH(D328)&lt;10,3,MONTH(D328)&gt;9,4)&amp;"Q"&amp;RIGHT(YEAR(D328),2)</f>
        <v>2Q17</v>
      </c>
      <c r="D328" s="81">
        <f t="shared" si="160"/>
        <v>42886</v>
      </c>
      <c r="E328" s="82">
        <v>42865</v>
      </c>
      <c r="F328" s="83">
        <f t="shared" si="158"/>
        <v>0.79725</v>
      </c>
      <c r="G328" s="83">
        <f t="shared" si="158"/>
        <v>0.8125</v>
      </c>
      <c r="H328" s="81"/>
      <c r="I328" s="146">
        <v>42865</v>
      </c>
      <c r="J328" s="147">
        <v>6.8</v>
      </c>
      <c r="K328" s="147">
        <v>6.33</v>
      </c>
      <c r="L328" s="147">
        <v>6.378</v>
      </c>
      <c r="M328" s="94" cm="1">
        <f t="array" ref="M328">INDEX($BV$29:$BV$1449,MATCH($D328,$BR$29:$BR$1449,0),)</f>
        <v>6.5</v>
      </c>
      <c r="N328" s="150">
        <f t="shared" si="181"/>
        <v>0.000470588235294223</v>
      </c>
      <c r="O328" s="150">
        <f t="shared" si="182"/>
        <v>-0.0111627906976745</v>
      </c>
      <c r="P328" s="150">
        <f t="shared" si="180"/>
        <v>-0.0364103338872941</v>
      </c>
      <c r="Q328" s="89">
        <f t="shared" si="183"/>
        <v>-0.0187692307692308</v>
      </c>
      <c r="AH328" s="105">
        <f t="shared" si="184"/>
        <v>44879</v>
      </c>
      <c r="AI328" s="91">
        <f t="shared" si="185"/>
        <v>2.164</v>
      </c>
      <c r="AJ328" s="36">
        <f t="shared" si="161"/>
        <v>-0.00322432058958988</v>
      </c>
      <c r="AK328" s="36">
        <f t="shared" si="163"/>
        <v>-0.030031376064545</v>
      </c>
      <c r="AL328" s="105"/>
      <c r="AM328" s="91"/>
      <c r="AN328" s="36"/>
      <c r="AO328" s="36"/>
      <c r="AP328" s="36"/>
      <c r="AQ328" s="128" t="str" cm="1">
        <f t="array" ref="AQ328">_xlfn.IFS(MONTH(AR328)&lt;4,1,MONTH(AR328)&lt;7,2,MONTH(AR328)&lt;10,3,MONTH(AR328)&gt;9,4)&amp;"Q"&amp;RIGHT(YEAR(AR328),2)</f>
        <v>4Q24</v>
      </c>
      <c r="AR328" s="128">
        <f t="shared" si="162"/>
        <v>45626</v>
      </c>
      <c r="AS328" s="129">
        <f t="shared" si="173"/>
        <v>45607</v>
      </c>
      <c r="AT328" s="135">
        <v>66</v>
      </c>
      <c r="AU328" s="134" cm="1">
        <f t="array" ref="AU328">INDEX($CE$29:$CE$1449,MATCH($AR328,$CA$29:$CA$1449,0),)</f>
        <v>80</v>
      </c>
      <c r="AV328" s="135">
        <v>142.5</v>
      </c>
      <c r="AW328" s="134" cm="1">
        <f t="array" ref="AW328">INDEX($CF$29:$CF$1449,MATCH($AR328,$CA$29:$CA$1449,0),)</f>
        <v>155</v>
      </c>
      <c r="AX328" s="135">
        <v>129.25</v>
      </c>
      <c r="AY328" s="134" cm="1">
        <f t="array" ref="AY328">INDEX($CO$29:$CO$1449,MATCH($AR328,$CA$29:$CA$1449,0),)</f>
        <v>140.7</v>
      </c>
      <c r="AZ328" s="135">
        <v>272</v>
      </c>
      <c r="BA328" s="134" cm="1">
        <f t="array" ref="BA328">INDEX($CP$29:$CP$1449,MATCH($AR328,$CA$29:$CA$1449,0),)</f>
        <v>285</v>
      </c>
      <c r="BB328" s="133">
        <f t="shared" si="165"/>
        <v>-0.0149253731343284</v>
      </c>
      <c r="BC328" s="132">
        <f t="shared" si="167"/>
        <v>-0.0149253731343284</v>
      </c>
      <c r="BD328" s="132">
        <f t="shared" si="169"/>
        <v>-0.0571428571428572</v>
      </c>
      <c r="BE328" s="133">
        <f t="shared" si="166"/>
        <v>0</v>
      </c>
      <c r="BF328" s="132">
        <f t="shared" si="168"/>
        <v>-0.00349650349650354</v>
      </c>
      <c r="BG328" s="132">
        <f t="shared" si="170"/>
        <v>-0.00349650349650354</v>
      </c>
      <c r="BH328" s="133">
        <f t="shared" si="186"/>
        <v>-0.00193050193050193</v>
      </c>
      <c r="BI328" s="132">
        <f t="shared" si="187"/>
        <v>-0.00576923076923075</v>
      </c>
      <c r="BJ328" s="132">
        <f t="shared" si="188"/>
        <v>-0.00576923076923075</v>
      </c>
      <c r="BK328" s="133">
        <f t="shared" si="189"/>
        <v>-0.002749770852429</v>
      </c>
      <c r="BL328" s="132">
        <f t="shared" si="190"/>
        <v>-0.00457456541628543</v>
      </c>
      <c r="BM328" s="132">
        <f t="shared" si="191"/>
        <v>-0.00366300366300365</v>
      </c>
      <c r="FV328" s="104">
        <f t="shared" si="174"/>
        <v>2011</v>
      </c>
      <c r="FW328" s="104">
        <f t="shared" si="175"/>
        <v>50</v>
      </c>
      <c r="FX328" s="35">
        <v>40882</v>
      </c>
      <c r="FY328" s="26">
        <v>0.72</v>
      </c>
      <c r="FZ328" s="94">
        <f t="shared" si="176"/>
        <v>2.88</v>
      </c>
      <c r="GA328" s="104"/>
      <c r="GB328" s="104"/>
      <c r="GE328" s="94"/>
      <c r="GF328" s="104">
        <f t="shared" si="177"/>
        <v>2014</v>
      </c>
      <c r="GG328" s="104">
        <f t="shared" si="178"/>
        <v>12</v>
      </c>
      <c r="GH328" s="35">
        <v>41717</v>
      </c>
      <c r="GI328" s="26">
        <v>3.729</v>
      </c>
      <c r="GJ328" s="94">
        <f t="shared" si="179"/>
        <v>7.458</v>
      </c>
      <c r="GK328" s="104"/>
      <c r="GL328" s="104"/>
      <c r="GO328" s="94"/>
    </row>
    <row r="329" spans="3:197">
      <c r="C329" s="80" t="str" cm="1">
        <f t="array" ref="C329">_xlfn.IFS(MONTH(D329)&lt;4,1,MONTH(D329)&lt;7,2,MONTH(D329)&lt;10,3,MONTH(D329)&gt;9,4)&amp;"Q"&amp;RIGHT(YEAR(D329),2)</f>
        <v>2Q17</v>
      </c>
      <c r="D329" s="81">
        <f t="shared" si="160"/>
        <v>42886</v>
      </c>
      <c r="E329" s="82">
        <v>42866</v>
      </c>
      <c r="F329" s="83">
        <f t="shared" si="158"/>
        <v>0.79725</v>
      </c>
      <c r="G329" s="83">
        <f t="shared" si="158"/>
        <v>0.8125</v>
      </c>
      <c r="H329" s="81"/>
      <c r="I329" s="146">
        <v>42866</v>
      </c>
      <c r="J329" s="147">
        <v>6.8</v>
      </c>
      <c r="K329" s="147">
        <v>6.33</v>
      </c>
      <c r="L329" s="147">
        <v>6.378</v>
      </c>
      <c r="M329" s="94" cm="1">
        <f t="array" ref="M329">INDEX($BV$29:$BV$1449,MATCH($D329,$BR$29:$BR$1449,0),)</f>
        <v>6.5</v>
      </c>
      <c r="N329" s="150">
        <f t="shared" si="181"/>
        <v>0</v>
      </c>
      <c r="O329" s="150">
        <f t="shared" si="182"/>
        <v>-0.0111627906976745</v>
      </c>
      <c r="P329" s="150">
        <f t="shared" si="180"/>
        <v>-0.0292237442922375</v>
      </c>
      <c r="Q329" s="89">
        <f t="shared" si="183"/>
        <v>-0.0187692307692308</v>
      </c>
      <c r="AH329" s="105">
        <f t="shared" si="184"/>
        <v>44886</v>
      </c>
      <c r="AI329" s="91">
        <f t="shared" si="185"/>
        <v>2.158</v>
      </c>
      <c r="AJ329" s="36">
        <f t="shared" si="161"/>
        <v>-0.0027726432532349</v>
      </c>
      <c r="AK329" s="36">
        <f t="shared" si="163"/>
        <v>-0.00598802395209574</v>
      </c>
      <c r="AL329" s="105"/>
      <c r="AM329" s="91"/>
      <c r="AN329" s="36"/>
      <c r="AO329" s="36"/>
      <c r="AP329" s="36"/>
      <c r="AQ329" s="128" t="str" cm="1">
        <f t="array" ref="AQ329">_xlfn.IFS(MONTH(AR329)&lt;4,1,MONTH(AR329)&lt;7,2,MONTH(AR329)&lt;10,3,MONTH(AR329)&gt;9,4)&amp;"Q"&amp;RIGHT(YEAR(AR329),2)</f>
        <v>4Q24</v>
      </c>
      <c r="AR329" s="128">
        <f t="shared" si="162"/>
        <v>45626</v>
      </c>
      <c r="AS329" s="129">
        <f t="shared" si="173"/>
        <v>45614</v>
      </c>
      <c r="AT329" s="135">
        <v>65</v>
      </c>
      <c r="AU329" s="134" cm="1">
        <f t="array" ref="AU329">INDEX($CE$29:$CE$1449,MATCH($AR329,$CA$29:$CA$1449,0),)</f>
        <v>80</v>
      </c>
      <c r="AV329" s="135">
        <v>142</v>
      </c>
      <c r="AW329" s="134" cm="1">
        <f t="array" ref="AW329">INDEX($CF$29:$CF$1449,MATCH($AR329,$CA$29:$CA$1449,0),)</f>
        <v>155</v>
      </c>
      <c r="AX329" s="135">
        <v>130</v>
      </c>
      <c r="AY329" s="134" cm="1">
        <f t="array" ref="AY329">INDEX($CO$29:$CO$1449,MATCH($AR329,$CA$29:$CA$1449,0),)</f>
        <v>140.7</v>
      </c>
      <c r="AZ329" s="135">
        <v>271.5</v>
      </c>
      <c r="BA329" s="134" cm="1">
        <f t="array" ref="BA329">INDEX($CP$29:$CP$1449,MATCH($AR329,$CA$29:$CA$1449,0),)</f>
        <v>285</v>
      </c>
      <c r="BB329" s="133">
        <f t="shared" si="165"/>
        <v>-0.0151515151515151</v>
      </c>
      <c r="BC329" s="132">
        <f t="shared" si="167"/>
        <v>-0.0298507462686567</v>
      </c>
      <c r="BD329" s="132">
        <f t="shared" si="169"/>
        <v>-0.0298507462686567</v>
      </c>
      <c r="BE329" s="133">
        <f t="shared" si="166"/>
        <v>-0.00350877192982457</v>
      </c>
      <c r="BF329" s="132">
        <f t="shared" si="168"/>
        <v>-0.00350877192982457</v>
      </c>
      <c r="BG329" s="132">
        <f t="shared" si="170"/>
        <v>-0.00699300699300698</v>
      </c>
      <c r="BH329" s="133">
        <f t="shared" si="186"/>
        <v>0.00580270793036752</v>
      </c>
      <c r="BI329" s="132">
        <f t="shared" si="187"/>
        <v>0.00386100386100385</v>
      </c>
      <c r="BJ329" s="132">
        <f t="shared" si="188"/>
        <v>0</v>
      </c>
      <c r="BK329" s="133">
        <f t="shared" si="189"/>
        <v>-0.00183823529411764</v>
      </c>
      <c r="BL329" s="132">
        <f t="shared" si="190"/>
        <v>-0.00458295142071496</v>
      </c>
      <c r="BM329" s="132">
        <f t="shared" si="191"/>
        <v>-0.0064043915827996</v>
      </c>
      <c r="FV329" s="104">
        <f t="shared" si="174"/>
        <v>2011</v>
      </c>
      <c r="FW329" s="104">
        <f t="shared" si="175"/>
        <v>50</v>
      </c>
      <c r="FX329" s="35">
        <v>40883</v>
      </c>
      <c r="FY329" s="26">
        <v>0.72</v>
      </c>
      <c r="FZ329" s="94">
        <f t="shared" si="176"/>
        <v>2.88</v>
      </c>
      <c r="GA329" s="104"/>
      <c r="GB329" s="104"/>
      <c r="GE329" s="94"/>
      <c r="GF329" s="104">
        <f t="shared" si="177"/>
        <v>2014</v>
      </c>
      <c r="GG329" s="104">
        <f t="shared" si="178"/>
        <v>12</v>
      </c>
      <c r="GH329" s="35">
        <v>41718</v>
      </c>
      <c r="GI329" s="26">
        <v>3.727</v>
      </c>
      <c r="GJ329" s="94">
        <f t="shared" si="179"/>
        <v>7.454</v>
      </c>
      <c r="GK329" s="104"/>
      <c r="GL329" s="104"/>
      <c r="GO329" s="94"/>
    </row>
    <row r="330" spans="3:197">
      <c r="C330" s="80" t="str" cm="1">
        <f t="array" ref="C330">_xlfn.IFS(MONTH(D330)&lt;4,1,MONTH(D330)&lt;7,2,MONTH(D330)&lt;10,3,MONTH(D330)&gt;9,4)&amp;"Q"&amp;RIGHT(YEAR(D330),2)</f>
        <v>2Q17</v>
      </c>
      <c r="D330" s="81">
        <f t="shared" si="160"/>
        <v>42886</v>
      </c>
      <c r="E330" s="82">
        <v>42867</v>
      </c>
      <c r="F330" s="83">
        <f t="shared" si="158"/>
        <v>0.79725</v>
      </c>
      <c r="G330" s="83">
        <f t="shared" si="158"/>
        <v>0.8125</v>
      </c>
      <c r="H330" s="81"/>
      <c r="I330" s="146">
        <v>42867</v>
      </c>
      <c r="J330" s="147">
        <v>6.8</v>
      </c>
      <c r="K330" s="147">
        <v>6.33</v>
      </c>
      <c r="L330" s="147">
        <v>6.378</v>
      </c>
      <c r="M330" s="94" cm="1">
        <f t="array" ref="M330">INDEX($BV$29:$BV$1449,MATCH($D330,$BR$29:$BR$1449,0),)</f>
        <v>6.5</v>
      </c>
      <c r="N330" s="150">
        <f t="shared" si="181"/>
        <v>0</v>
      </c>
      <c r="O330" s="150">
        <f t="shared" si="182"/>
        <v>-0.0111627906976745</v>
      </c>
      <c r="P330" s="150">
        <f t="shared" si="180"/>
        <v>-0.0142194744976816</v>
      </c>
      <c r="Q330" s="89">
        <f t="shared" si="183"/>
        <v>-0.0187692307692308</v>
      </c>
      <c r="AH330" s="105">
        <f t="shared" si="184"/>
        <v>44893</v>
      </c>
      <c r="AI330" s="91">
        <f t="shared" si="185"/>
        <v>2.105</v>
      </c>
      <c r="AJ330" s="36">
        <f t="shared" si="161"/>
        <v>-0.0245597775718257</v>
      </c>
      <c r="AK330" s="36">
        <f t="shared" si="163"/>
        <v>-0.0272643253234751</v>
      </c>
      <c r="AL330" s="105"/>
      <c r="AM330" s="91"/>
      <c r="AN330" s="36"/>
      <c r="AO330" s="36"/>
      <c r="AP330" s="36"/>
      <c r="AQ330" s="128" t="str" cm="1">
        <f t="array" ref="AQ330">_xlfn.IFS(MONTH(AR330)&lt;4,1,MONTH(AR330)&lt;7,2,MONTH(AR330)&lt;10,3,MONTH(AR330)&gt;9,4)&amp;"Q"&amp;RIGHT(YEAR(AR330),2)</f>
        <v>4Q24</v>
      </c>
      <c r="AR330" s="128">
        <f t="shared" si="162"/>
        <v>45626</v>
      </c>
      <c r="AS330" s="129">
        <f t="shared" si="173"/>
        <v>45621</v>
      </c>
      <c r="AT330" s="135">
        <v>65</v>
      </c>
      <c r="AU330" s="134" cm="1">
        <f t="array" ref="AU330">INDEX($CE$29:$CE$1449,MATCH($AR330,$CA$29:$CA$1449,0),)</f>
        <v>80</v>
      </c>
      <c r="AV330" s="135">
        <v>142</v>
      </c>
      <c r="AW330" s="134" cm="1">
        <f t="array" ref="AW330">INDEX($CF$29:$CF$1449,MATCH($AR330,$CA$29:$CA$1449,0),)</f>
        <v>155</v>
      </c>
      <c r="AX330" s="135">
        <v>131.5</v>
      </c>
      <c r="AY330" s="134" cm="1">
        <f t="array" ref="AY330">INDEX($CO$29:$CO$1449,MATCH($AR330,$CA$29:$CA$1449,0),)</f>
        <v>140.7</v>
      </c>
      <c r="AZ330" s="135">
        <v>271.25</v>
      </c>
      <c r="BA330" s="134" cm="1">
        <f t="array" ref="BA330">INDEX($CP$29:$CP$1449,MATCH($AR330,$CA$29:$CA$1449,0),)</f>
        <v>285</v>
      </c>
      <c r="BB330" s="133">
        <f t="shared" si="165"/>
        <v>0</v>
      </c>
      <c r="BC330" s="132">
        <f t="shared" si="167"/>
        <v>-0.0151515151515151</v>
      </c>
      <c r="BD330" s="132">
        <f t="shared" si="169"/>
        <v>-0.0298507462686567</v>
      </c>
      <c r="BE330" s="133">
        <f t="shared" si="166"/>
        <v>0</v>
      </c>
      <c r="BF330" s="132">
        <f t="shared" si="168"/>
        <v>-0.00350877192982457</v>
      </c>
      <c r="BG330" s="132">
        <f t="shared" si="170"/>
        <v>-0.00350877192982457</v>
      </c>
      <c r="BH330" s="133">
        <f t="shared" si="186"/>
        <v>0.0115384615384615</v>
      </c>
      <c r="BI330" s="132">
        <f t="shared" si="187"/>
        <v>0.0174081237911026</v>
      </c>
      <c r="BJ330" s="132">
        <f t="shared" si="188"/>
        <v>0.0154440154440154</v>
      </c>
      <c r="BK330" s="133">
        <f t="shared" si="189"/>
        <v>-0.00092081031307556</v>
      </c>
      <c r="BL330" s="132">
        <f t="shared" si="190"/>
        <v>-0.00275735294117652</v>
      </c>
      <c r="BM330" s="132">
        <f t="shared" si="191"/>
        <v>-0.00549954170485789</v>
      </c>
      <c r="FV330" s="104">
        <f t="shared" si="174"/>
        <v>2011</v>
      </c>
      <c r="FW330" s="104">
        <f t="shared" si="175"/>
        <v>50</v>
      </c>
      <c r="FX330" s="35">
        <v>40884</v>
      </c>
      <c r="FY330" s="26">
        <v>0.72</v>
      </c>
      <c r="FZ330" s="94">
        <f t="shared" si="176"/>
        <v>2.88</v>
      </c>
      <c r="GA330" s="104"/>
      <c r="GB330" s="104"/>
      <c r="GE330" s="94"/>
      <c r="GF330" s="104">
        <f t="shared" si="177"/>
        <v>2014</v>
      </c>
      <c r="GG330" s="104">
        <f t="shared" si="178"/>
        <v>12</v>
      </c>
      <c r="GH330" s="35">
        <v>41719</v>
      </c>
      <c r="GI330" s="26">
        <v>3.727</v>
      </c>
      <c r="GJ330" s="94">
        <f t="shared" si="179"/>
        <v>7.454</v>
      </c>
      <c r="GK330" s="104"/>
      <c r="GL330" s="104"/>
      <c r="GO330" s="94"/>
    </row>
    <row r="331" spans="3:197">
      <c r="C331" s="80" t="str" cm="1">
        <f t="array" ref="C331">_xlfn.IFS(MONTH(D331)&lt;4,1,MONTH(D331)&lt;7,2,MONTH(D331)&lt;10,3,MONTH(D331)&gt;9,4)&amp;"Q"&amp;RIGHT(YEAR(D331),2)</f>
        <v>2Q17</v>
      </c>
      <c r="D331" s="81">
        <f t="shared" si="160"/>
        <v>42886</v>
      </c>
      <c r="E331" s="82">
        <v>42870</v>
      </c>
      <c r="F331" s="83">
        <f t="shared" si="158"/>
        <v>0.79725</v>
      </c>
      <c r="G331" s="83">
        <f t="shared" si="158"/>
        <v>0.8125</v>
      </c>
      <c r="H331" s="81"/>
      <c r="I331" s="146">
        <v>42870</v>
      </c>
      <c r="J331" s="147">
        <v>6.85</v>
      </c>
      <c r="K331" s="147">
        <v>6.33</v>
      </c>
      <c r="L331" s="147">
        <v>6.378</v>
      </c>
      <c r="M331" s="94" cm="1">
        <f t="array" ref="M331">INDEX($BV$29:$BV$1449,MATCH($D331,$BR$29:$BR$1449,0),)</f>
        <v>6.5</v>
      </c>
      <c r="N331" s="150">
        <f t="shared" si="181"/>
        <v>0</v>
      </c>
      <c r="O331" s="150">
        <f t="shared" si="182"/>
        <v>-0.00731517509727619</v>
      </c>
      <c r="P331" s="150">
        <f t="shared" si="180"/>
        <v>-0.0111627906976745</v>
      </c>
      <c r="Q331" s="89">
        <f t="shared" si="183"/>
        <v>-0.0187692307692308</v>
      </c>
      <c r="AH331" s="105">
        <f t="shared" si="184"/>
        <v>44900</v>
      </c>
      <c r="AI331" s="91">
        <f t="shared" si="185"/>
        <v>2.089</v>
      </c>
      <c r="AJ331" s="36">
        <f t="shared" si="161"/>
        <v>-0.00760095011876483</v>
      </c>
      <c r="AK331" s="36">
        <f t="shared" si="163"/>
        <v>-0.0319740500463391</v>
      </c>
      <c r="AL331" s="105"/>
      <c r="AM331" s="91"/>
      <c r="AN331" s="36"/>
      <c r="AO331" s="36"/>
      <c r="AP331" s="36"/>
      <c r="AQ331" s="128" t="str" cm="1">
        <f t="array" ref="AQ331">_xlfn.IFS(MONTH(AR331)&lt;4,1,MONTH(AR331)&lt;7,2,MONTH(AR331)&lt;10,3,MONTH(AR331)&gt;9,4)&amp;"Q"&amp;RIGHT(YEAR(AR331),2)</f>
        <v>4Q24</v>
      </c>
      <c r="AR331" s="128">
        <f t="shared" si="162"/>
        <v>45657</v>
      </c>
      <c r="AS331" s="129">
        <f t="shared" si="173"/>
        <v>45628</v>
      </c>
      <c r="AT331" s="135">
        <v>65</v>
      </c>
      <c r="AU331" s="134" cm="1">
        <f t="array" ref="AU331">INDEX($CE$29:$CE$1449,MATCH($AR331,$CA$29:$CA$1449,0),)</f>
        <v>78</v>
      </c>
      <c r="AV331" s="135">
        <v>141.8</v>
      </c>
      <c r="AW331" s="134" cm="1">
        <f t="array" ref="AW331">INDEX($CF$29:$CF$1449,MATCH($AR331,$CA$29:$CA$1449,0),)</f>
        <v>150</v>
      </c>
      <c r="AX331" s="135">
        <v>131.5</v>
      </c>
      <c r="AY331" s="134" cm="1">
        <f t="array" ref="AY331">INDEX($CO$29:$CO$1449,MATCH($AR331,$CA$29:$CA$1449,0),)</f>
        <v>140.7</v>
      </c>
      <c r="AZ331" s="135">
        <v>269.75</v>
      </c>
      <c r="BA331" s="134" cm="1">
        <f t="array" ref="BA331">INDEX($CP$29:$CP$1449,MATCH($AR331,$CA$29:$CA$1449,0),)</f>
        <v>283</v>
      </c>
      <c r="BB331" s="133">
        <f t="shared" si="165"/>
        <v>0</v>
      </c>
      <c r="BC331" s="132">
        <f t="shared" si="167"/>
        <v>0</v>
      </c>
      <c r="BD331" s="132">
        <f t="shared" si="169"/>
        <v>-0.0151515151515151</v>
      </c>
      <c r="BE331" s="133">
        <f t="shared" si="166"/>
        <v>-0.00140845070422524</v>
      </c>
      <c r="BF331" s="132">
        <f t="shared" si="168"/>
        <v>-0.00140845070422524</v>
      </c>
      <c r="BG331" s="132">
        <f t="shared" si="170"/>
        <v>-0.00491228070175431</v>
      </c>
      <c r="BH331" s="133">
        <f t="shared" si="186"/>
        <v>0</v>
      </c>
      <c r="BI331" s="132">
        <f t="shared" si="187"/>
        <v>0.0115384615384615</v>
      </c>
      <c r="BJ331" s="132">
        <f t="shared" si="188"/>
        <v>0.0174081237911026</v>
      </c>
      <c r="BK331" s="133">
        <f t="shared" si="189"/>
        <v>-0.00552995391705069</v>
      </c>
      <c r="BL331" s="132">
        <f t="shared" si="190"/>
        <v>-0.00644567219152858</v>
      </c>
      <c r="BM331" s="132">
        <f t="shared" si="191"/>
        <v>-0.00827205882352944</v>
      </c>
      <c r="FV331" s="104">
        <f t="shared" si="174"/>
        <v>2011</v>
      </c>
      <c r="FW331" s="104">
        <f t="shared" si="175"/>
        <v>50</v>
      </c>
      <c r="FX331" s="35">
        <v>40885</v>
      </c>
      <c r="FY331" s="26">
        <v>0.72</v>
      </c>
      <c r="FZ331" s="94">
        <f t="shared" si="176"/>
        <v>2.88</v>
      </c>
      <c r="GA331" s="104"/>
      <c r="GB331" s="104"/>
      <c r="GE331" s="94"/>
      <c r="GF331" s="104">
        <f t="shared" si="177"/>
        <v>2014</v>
      </c>
      <c r="GG331" s="104">
        <f t="shared" si="178"/>
        <v>13</v>
      </c>
      <c r="GH331" s="35">
        <v>41722</v>
      </c>
      <c r="GI331" s="26">
        <v>3.727</v>
      </c>
      <c r="GJ331" s="94">
        <f t="shared" si="179"/>
        <v>7.454</v>
      </c>
      <c r="GK331" s="104"/>
      <c r="GL331" s="104"/>
      <c r="GO331" s="94"/>
    </row>
    <row r="332" spans="3:197">
      <c r="C332" s="80" t="str" cm="1">
        <f t="array" ref="C332">_xlfn.IFS(MONTH(D332)&lt;4,1,MONTH(D332)&lt;7,2,MONTH(D332)&lt;10,3,MONTH(D332)&gt;9,4)&amp;"Q"&amp;RIGHT(YEAR(D332),2)</f>
        <v>2Q17</v>
      </c>
      <c r="D332" s="81">
        <f t="shared" si="160"/>
        <v>42886</v>
      </c>
      <c r="E332" s="82">
        <v>42871</v>
      </c>
      <c r="F332" s="83">
        <f t="shared" si="158"/>
        <v>0.79775</v>
      </c>
      <c r="G332" s="83">
        <f t="shared" si="158"/>
        <v>0.8125</v>
      </c>
      <c r="H332" s="81"/>
      <c r="I332" s="146">
        <v>42871</v>
      </c>
      <c r="J332" s="147">
        <v>6.9</v>
      </c>
      <c r="K332" s="147">
        <v>6.32</v>
      </c>
      <c r="L332" s="147">
        <v>6.382</v>
      </c>
      <c r="M332" s="94" cm="1">
        <f t="array" ref="M332">INDEX($BV$29:$BV$1449,MATCH($D332,$BR$29:$BR$1449,0),)</f>
        <v>6.5</v>
      </c>
      <c r="N332" s="150">
        <f t="shared" si="181"/>
        <v>0.000627155848228256</v>
      </c>
      <c r="O332" s="150">
        <f t="shared" si="182"/>
        <v>0.0010980392156863</v>
      </c>
      <c r="P332" s="150">
        <f t="shared" si="180"/>
        <v>-0.0105426356589148</v>
      </c>
      <c r="Q332" s="89">
        <f t="shared" si="183"/>
        <v>-0.0181538461538462</v>
      </c>
      <c r="AH332" s="105">
        <f t="shared" si="184"/>
        <v>44907</v>
      </c>
      <c r="AI332" s="91">
        <f t="shared" si="185"/>
        <v>2.054</v>
      </c>
      <c r="AJ332" s="36">
        <f t="shared" si="161"/>
        <v>-0.0167544279559598</v>
      </c>
      <c r="AK332" s="36">
        <f t="shared" si="163"/>
        <v>-0.024228028503563</v>
      </c>
      <c r="AL332" s="105"/>
      <c r="AM332" s="91"/>
      <c r="AN332" s="36"/>
      <c r="AO332" s="36"/>
      <c r="AP332" s="36"/>
      <c r="AQ332" s="128" t="str" cm="1">
        <f t="array" ref="AQ332">_xlfn.IFS(MONTH(AR332)&lt;4,1,MONTH(AR332)&lt;7,2,MONTH(AR332)&lt;10,3,MONTH(AR332)&gt;9,4)&amp;"Q"&amp;RIGHT(YEAR(AR332),2)</f>
        <v>4Q24</v>
      </c>
      <c r="AR332" s="128">
        <f t="shared" si="162"/>
        <v>45657</v>
      </c>
      <c r="AS332" s="129">
        <f t="shared" si="173"/>
        <v>45635</v>
      </c>
      <c r="AT332" s="135">
        <v>63</v>
      </c>
      <c r="AU332" s="134" cm="1">
        <f t="array" ref="AU332">INDEX($CE$29:$CE$1449,MATCH($AR332,$CA$29:$CA$1449,0),)</f>
        <v>78</v>
      </c>
      <c r="AV332" s="135">
        <v>141</v>
      </c>
      <c r="AW332" s="134" cm="1">
        <f t="array" ref="AW332">INDEX($CF$29:$CF$1449,MATCH($AR332,$CA$29:$CA$1449,0),)</f>
        <v>150</v>
      </c>
      <c r="AX332" s="135">
        <v>131.25</v>
      </c>
      <c r="AY332" s="134" cm="1">
        <f t="array" ref="AY332">INDEX($CO$29:$CO$1449,MATCH($AR332,$CA$29:$CA$1449,0),)</f>
        <v>140.7</v>
      </c>
      <c r="AZ332" s="135">
        <v>269</v>
      </c>
      <c r="BA332" s="134" cm="1">
        <f t="array" ref="BA332">INDEX($CP$29:$CP$1449,MATCH($AR332,$CA$29:$CA$1449,0),)</f>
        <v>283</v>
      </c>
      <c r="BB332" s="133">
        <f t="shared" si="165"/>
        <v>-0.0307692307692308</v>
      </c>
      <c r="BC332" s="132">
        <f t="shared" si="167"/>
        <v>-0.0307692307692308</v>
      </c>
      <c r="BD332" s="132">
        <f t="shared" si="169"/>
        <v>-0.0307692307692308</v>
      </c>
      <c r="BE332" s="133">
        <f t="shared" si="166"/>
        <v>-0.00564174894217218</v>
      </c>
      <c r="BF332" s="132">
        <f t="shared" si="168"/>
        <v>-0.00704225352112675</v>
      </c>
      <c r="BG332" s="132">
        <f t="shared" si="170"/>
        <v>-0.00704225352112675</v>
      </c>
      <c r="BH332" s="133">
        <f t="shared" si="186"/>
        <v>-0.00190114068441061</v>
      </c>
      <c r="BI332" s="132">
        <f t="shared" si="187"/>
        <v>-0.00190114068441061</v>
      </c>
      <c r="BJ332" s="132">
        <f t="shared" si="188"/>
        <v>0.00961538461538458</v>
      </c>
      <c r="BK332" s="133">
        <f t="shared" si="189"/>
        <v>-0.00278035217794259</v>
      </c>
      <c r="BL332" s="132">
        <f t="shared" si="190"/>
        <v>-0.00829493087557609</v>
      </c>
      <c r="BM332" s="132">
        <f t="shared" si="191"/>
        <v>-0.00920810313075504</v>
      </c>
      <c r="FV332" s="104">
        <f t="shared" si="174"/>
        <v>2011</v>
      </c>
      <c r="FW332" s="104">
        <f t="shared" si="175"/>
        <v>50</v>
      </c>
      <c r="FX332" s="35">
        <v>40886</v>
      </c>
      <c r="FY332" s="26">
        <v>0.73</v>
      </c>
      <c r="FZ332" s="94">
        <f t="shared" si="176"/>
        <v>2.92</v>
      </c>
      <c r="GA332" s="104"/>
      <c r="GB332" s="104"/>
      <c r="GE332" s="94"/>
      <c r="GF332" s="104">
        <f t="shared" si="177"/>
        <v>2014</v>
      </c>
      <c r="GG332" s="104">
        <f t="shared" si="178"/>
        <v>13</v>
      </c>
      <c r="GH332" s="35">
        <v>41723</v>
      </c>
      <c r="GI332" s="26">
        <v>3.727</v>
      </c>
      <c r="GJ332" s="94">
        <f t="shared" si="179"/>
        <v>7.454</v>
      </c>
      <c r="GK332" s="104"/>
      <c r="GL332" s="104"/>
      <c r="GO332" s="94"/>
    </row>
    <row r="333" spans="3:197">
      <c r="C333" s="80" t="str" cm="1">
        <f t="array" ref="C333">_xlfn.IFS(MONTH(D333)&lt;4,1,MONTH(D333)&lt;7,2,MONTH(D333)&lt;10,3,MONTH(D333)&gt;9,4)&amp;"Q"&amp;RIGHT(YEAR(D333),2)</f>
        <v>2Q17</v>
      </c>
      <c r="D333" s="81">
        <f t="shared" si="160"/>
        <v>42886</v>
      </c>
      <c r="E333" s="82">
        <v>42872</v>
      </c>
      <c r="F333" s="83">
        <f t="shared" si="158"/>
        <v>0.79825</v>
      </c>
      <c r="G333" s="83">
        <f t="shared" si="158"/>
        <v>0.8125</v>
      </c>
      <c r="H333" s="81"/>
      <c r="I333" s="146">
        <v>42872</v>
      </c>
      <c r="J333" s="147">
        <v>7</v>
      </c>
      <c r="K333" s="147">
        <v>6.32</v>
      </c>
      <c r="L333" s="147">
        <v>6.386</v>
      </c>
      <c r="M333" s="94" cm="1">
        <f t="array" ref="M333">INDEX($BV$29:$BV$1449,MATCH($D333,$BR$29:$BR$1449,0),)</f>
        <v>6.5</v>
      </c>
      <c r="N333" s="150">
        <f t="shared" si="181"/>
        <v>0.000626762770291611</v>
      </c>
      <c r="O333" s="150">
        <f t="shared" si="182"/>
        <v>0.00125431169645651</v>
      </c>
      <c r="P333" s="150">
        <f t="shared" si="180"/>
        <v>-0.00992248062015499</v>
      </c>
      <c r="Q333" s="89">
        <f t="shared" si="183"/>
        <v>-0.0175384615384615</v>
      </c>
      <c r="AH333" s="105">
        <f t="shared" si="184"/>
        <v>44914</v>
      </c>
      <c r="AI333" s="91">
        <f t="shared" si="185"/>
        <v>2.04</v>
      </c>
      <c r="AJ333" s="36">
        <f t="shared" si="161"/>
        <v>-0.00681596884128521</v>
      </c>
      <c r="AK333" s="36">
        <f t="shared" si="163"/>
        <v>-0.0234561991383436</v>
      </c>
      <c r="AL333" s="105"/>
      <c r="AM333" s="91"/>
      <c r="AN333" s="36"/>
      <c r="AO333" s="36"/>
      <c r="AP333" s="36"/>
      <c r="AQ333" s="128" t="str" cm="1">
        <f t="array" ref="AQ333">_xlfn.IFS(MONTH(AR333)&lt;4,1,MONTH(AR333)&lt;7,2,MONTH(AR333)&lt;10,3,MONTH(AR333)&gt;9,4)&amp;"Q"&amp;RIGHT(YEAR(AR333),2)</f>
        <v>4Q24</v>
      </c>
      <c r="AR333" s="128">
        <f t="shared" si="162"/>
        <v>45657</v>
      </c>
      <c r="AS333" s="129">
        <f t="shared" si="173"/>
        <v>45642</v>
      </c>
      <c r="AT333" s="135">
        <v>63.5</v>
      </c>
      <c r="AU333" s="134" cm="1">
        <f t="array" ref="AU333">INDEX($CE$29:$CE$1449,MATCH($AR333,$CA$29:$CA$1449,0),)</f>
        <v>78</v>
      </c>
      <c r="AV333" s="135">
        <v>142</v>
      </c>
      <c r="AW333" s="134" cm="1">
        <f t="array" ref="AW333">INDEX($CF$29:$CF$1449,MATCH($AR333,$CA$29:$CA$1449,0),)</f>
        <v>150</v>
      </c>
      <c r="AX333" s="135">
        <v>131</v>
      </c>
      <c r="AY333" s="134" cm="1">
        <f t="array" ref="AY333">INDEX($CO$29:$CO$1449,MATCH($AR333,$CA$29:$CA$1449,0),)</f>
        <v>140.7</v>
      </c>
      <c r="AZ333" s="135">
        <v>269</v>
      </c>
      <c r="BA333" s="134" cm="1">
        <f t="array" ref="BA333">INDEX($CP$29:$CP$1449,MATCH($AR333,$CA$29:$CA$1449,0),)</f>
        <v>283</v>
      </c>
      <c r="BB333" s="133">
        <f t="shared" si="165"/>
        <v>0.00793650793650791</v>
      </c>
      <c r="BC333" s="132">
        <f t="shared" si="167"/>
        <v>-0.0230769230769231</v>
      </c>
      <c r="BD333" s="132">
        <f t="shared" si="169"/>
        <v>-0.0230769230769231</v>
      </c>
      <c r="BE333" s="133">
        <f t="shared" si="166"/>
        <v>0.00709219858156018</v>
      </c>
      <c r="BF333" s="132">
        <f t="shared" si="168"/>
        <v>0.00141043723554302</v>
      </c>
      <c r="BG333" s="132">
        <f t="shared" si="170"/>
        <v>0</v>
      </c>
      <c r="BH333" s="133">
        <f t="shared" si="186"/>
        <v>-0.00190476190476185</v>
      </c>
      <c r="BI333" s="132">
        <f t="shared" si="187"/>
        <v>-0.00380228136882133</v>
      </c>
      <c r="BJ333" s="132">
        <f t="shared" si="188"/>
        <v>-0.00380228136882133</v>
      </c>
      <c r="BK333" s="133">
        <f t="shared" si="189"/>
        <v>0</v>
      </c>
      <c r="BL333" s="132">
        <f t="shared" si="190"/>
        <v>-0.00278035217794259</v>
      </c>
      <c r="BM333" s="132">
        <f t="shared" si="191"/>
        <v>-0.00829493087557609</v>
      </c>
      <c r="FV333" s="104">
        <f t="shared" si="174"/>
        <v>2011</v>
      </c>
      <c r="FW333" s="104">
        <f t="shared" si="175"/>
        <v>51</v>
      </c>
      <c r="FX333" s="35">
        <v>40889</v>
      </c>
      <c r="FY333" s="26">
        <v>0.75</v>
      </c>
      <c r="FZ333" s="94">
        <f t="shared" si="176"/>
        <v>3</v>
      </c>
      <c r="GA333" s="104"/>
      <c r="GB333" s="104"/>
      <c r="GE333" s="94"/>
      <c r="GF333" s="104">
        <f t="shared" si="177"/>
        <v>2014</v>
      </c>
      <c r="GG333" s="104">
        <f t="shared" si="178"/>
        <v>13</v>
      </c>
      <c r="GH333" s="35">
        <v>41724</v>
      </c>
      <c r="GI333" s="26">
        <v>3.723</v>
      </c>
      <c r="GJ333" s="94">
        <f t="shared" si="179"/>
        <v>7.446</v>
      </c>
      <c r="GK333" s="104"/>
      <c r="GL333" s="104"/>
      <c r="GO333" s="94"/>
    </row>
    <row r="334" spans="3:197">
      <c r="C334" s="80" t="str" cm="1">
        <f t="array" ref="C334">_xlfn.IFS(MONTH(D334)&lt;4,1,MONTH(D334)&lt;7,2,MONTH(D334)&lt;10,3,MONTH(D334)&gt;9,4)&amp;"Q"&amp;RIGHT(YEAR(D334),2)</f>
        <v>2Q17</v>
      </c>
      <c r="D334" s="81">
        <f t="shared" si="160"/>
        <v>42886</v>
      </c>
      <c r="E334" s="82">
        <v>42873</v>
      </c>
      <c r="F334" s="83">
        <f t="shared" si="158"/>
        <v>0.79825</v>
      </c>
      <c r="G334" s="83">
        <f t="shared" si="158"/>
        <v>0.8125</v>
      </c>
      <c r="H334" s="81"/>
      <c r="I334" s="146">
        <v>42873</v>
      </c>
      <c r="J334" s="147">
        <v>7.1</v>
      </c>
      <c r="K334" s="147">
        <v>6.31</v>
      </c>
      <c r="L334" s="147">
        <v>6.386</v>
      </c>
      <c r="M334" s="94" cm="1">
        <f t="array" ref="M334">INDEX($BV$29:$BV$1449,MATCH($D334,$BR$29:$BR$1449,0),)</f>
        <v>6.5</v>
      </c>
      <c r="N334" s="150">
        <f t="shared" si="181"/>
        <v>0</v>
      </c>
      <c r="O334" s="150">
        <f t="shared" si="182"/>
        <v>0.00125431169645651</v>
      </c>
      <c r="P334" s="150">
        <f t="shared" si="180"/>
        <v>-0.00992248062015499</v>
      </c>
      <c r="Q334" s="89">
        <f t="shared" si="183"/>
        <v>-0.0175384615384615</v>
      </c>
      <c r="AH334" s="105">
        <f t="shared" si="184"/>
        <v>44921</v>
      </c>
      <c r="AI334" s="91">
        <f t="shared" si="185"/>
        <v>2.026</v>
      </c>
      <c r="AJ334" s="36">
        <f t="shared" si="161"/>
        <v>-0.0068627450980393</v>
      </c>
      <c r="AK334" s="36">
        <f t="shared" si="163"/>
        <v>-0.0136319376825706</v>
      </c>
      <c r="AL334" s="105"/>
      <c r="AM334" s="91"/>
      <c r="AN334" s="36"/>
      <c r="AO334" s="36"/>
      <c r="AP334" s="36"/>
      <c r="AQ334" s="128" t="str" cm="1">
        <f t="array" ref="AQ334">_xlfn.IFS(MONTH(AR334)&lt;4,1,MONTH(AR334)&lt;7,2,MONTH(AR334)&lt;10,3,MONTH(AR334)&gt;9,4)&amp;"Q"&amp;RIGHT(YEAR(AR334),2)</f>
        <v>4Q24</v>
      </c>
      <c r="AR334" s="128">
        <f t="shared" si="162"/>
        <v>45657</v>
      </c>
      <c r="AS334" s="129">
        <f t="shared" si="173"/>
        <v>45649</v>
      </c>
      <c r="AT334" s="135">
        <v>63.6</v>
      </c>
      <c r="AU334" s="134" cm="1">
        <f t="array" ref="AU334">INDEX($CE$29:$CE$1449,MATCH($AR334,$CA$29:$CA$1449,0),)</f>
        <v>78</v>
      </c>
      <c r="AV334" s="135">
        <v>142</v>
      </c>
      <c r="AW334" s="134" cm="1">
        <f t="array" ref="AW334">INDEX($CF$29:$CF$1449,MATCH($AR334,$CA$29:$CA$1449,0),)</f>
        <v>150</v>
      </c>
      <c r="AX334" s="135">
        <v>131.25</v>
      </c>
      <c r="AY334" s="134" cm="1">
        <f t="array" ref="AY334">INDEX($CO$29:$CO$1449,MATCH($AR334,$CA$29:$CA$1449,0),)</f>
        <v>140.7</v>
      </c>
      <c r="AZ334" s="135">
        <v>271.25</v>
      </c>
      <c r="BA334" s="134" cm="1">
        <f t="array" ref="BA334">INDEX($CP$29:$CP$1449,MATCH($AR334,$CA$29:$CA$1449,0),)</f>
        <v>283</v>
      </c>
      <c r="BB334" s="133">
        <f t="shared" si="165"/>
        <v>0.00157480314960634</v>
      </c>
      <c r="BC334" s="132">
        <f t="shared" si="167"/>
        <v>0.00952380952380949</v>
      </c>
      <c r="BD334" s="132">
        <f t="shared" si="169"/>
        <v>-0.0215384615384615</v>
      </c>
      <c r="BE334" s="133">
        <f t="shared" si="166"/>
        <v>0</v>
      </c>
      <c r="BF334" s="132">
        <f t="shared" si="168"/>
        <v>0.00709219858156018</v>
      </c>
      <c r="BG334" s="132">
        <f t="shared" si="170"/>
        <v>0.00141043723554302</v>
      </c>
      <c r="BH334" s="133">
        <f t="shared" si="186"/>
        <v>0.00190839694656497</v>
      </c>
      <c r="BI334" s="132">
        <f t="shared" si="187"/>
        <v>0</v>
      </c>
      <c r="BJ334" s="132">
        <f t="shared" si="188"/>
        <v>-0.00190114068441061</v>
      </c>
      <c r="BK334" s="133">
        <f t="shared" si="189"/>
        <v>0.00836431226765799</v>
      </c>
      <c r="BL334" s="132">
        <f t="shared" si="190"/>
        <v>0.00836431226765799</v>
      </c>
      <c r="BM334" s="132">
        <f t="shared" si="191"/>
        <v>0.00556070435588518</v>
      </c>
      <c r="FV334" s="104">
        <f t="shared" si="174"/>
        <v>2011</v>
      </c>
      <c r="FW334" s="104">
        <f t="shared" si="175"/>
        <v>51</v>
      </c>
      <c r="FX334" s="35">
        <v>40890</v>
      </c>
      <c r="FY334" s="26">
        <v>0.8</v>
      </c>
      <c r="FZ334" s="94">
        <f t="shared" si="176"/>
        <v>3.2</v>
      </c>
      <c r="GA334" s="104"/>
      <c r="GB334" s="104"/>
      <c r="GE334" s="94"/>
      <c r="GF334" s="104">
        <f t="shared" si="177"/>
        <v>2014</v>
      </c>
      <c r="GG334" s="104">
        <f t="shared" si="178"/>
        <v>13</v>
      </c>
      <c r="GH334" s="35">
        <v>41725</v>
      </c>
      <c r="GI334" s="26">
        <v>3.717</v>
      </c>
      <c r="GJ334" s="94">
        <f t="shared" si="179"/>
        <v>7.434</v>
      </c>
      <c r="GK334" s="104"/>
      <c r="GL334" s="104"/>
      <c r="GO334" s="94"/>
    </row>
    <row r="335" spans="3:197">
      <c r="C335" s="80" t="str" cm="1">
        <f t="array" ref="C335">_xlfn.IFS(MONTH(D335)&lt;4,1,MONTH(D335)&lt;7,2,MONTH(D335)&lt;10,3,MONTH(D335)&gt;9,4)&amp;"Q"&amp;RIGHT(YEAR(D335),2)</f>
        <v>2Q17</v>
      </c>
      <c r="D335" s="81">
        <f t="shared" si="160"/>
        <v>42886</v>
      </c>
      <c r="E335" s="82">
        <v>42874</v>
      </c>
      <c r="F335" s="83">
        <f t="shared" si="158"/>
        <v>0.79825</v>
      </c>
      <c r="G335" s="83">
        <f t="shared" si="158"/>
        <v>0.8125</v>
      </c>
      <c r="H335" s="81"/>
      <c r="I335" s="146">
        <v>42874</v>
      </c>
      <c r="J335" s="147">
        <v>7.15</v>
      </c>
      <c r="K335" s="147">
        <v>6.31</v>
      </c>
      <c r="L335" s="147">
        <v>6.386</v>
      </c>
      <c r="M335" s="94" cm="1">
        <f t="array" ref="M335">INDEX($BV$29:$BV$1449,MATCH($D335,$BR$29:$BR$1449,0),)</f>
        <v>6.5</v>
      </c>
      <c r="N335" s="150">
        <f t="shared" si="181"/>
        <v>0</v>
      </c>
      <c r="O335" s="150">
        <f t="shared" si="182"/>
        <v>0.00125431169645651</v>
      </c>
      <c r="P335" s="150">
        <f t="shared" si="180"/>
        <v>-0.00992248062015499</v>
      </c>
      <c r="Q335" s="89">
        <f t="shared" si="183"/>
        <v>-0.0175384615384615</v>
      </c>
      <c r="AH335" s="105">
        <f t="shared" si="184"/>
        <v>44928</v>
      </c>
      <c r="AI335" s="91">
        <f t="shared" si="185"/>
        <v>2.004</v>
      </c>
      <c r="AJ335" s="36">
        <f t="shared" si="161"/>
        <v>-0.0108588351431391</v>
      </c>
      <c r="AK335" s="36">
        <f t="shared" si="163"/>
        <v>-0.0176470588235295</v>
      </c>
      <c r="AL335" s="105"/>
      <c r="AM335" s="91"/>
      <c r="AN335" s="36"/>
      <c r="AO335" s="36"/>
      <c r="AP335" s="36"/>
      <c r="AQ335" s="128" t="str" cm="1">
        <f t="array" ref="AQ335">_xlfn.IFS(MONTH(AR335)&lt;4,1,MONTH(AR335)&lt;7,2,MONTH(AR335)&lt;10,3,MONTH(AR335)&gt;9,4)&amp;"Q"&amp;RIGHT(YEAR(AR335),2)</f>
        <v>4Q24</v>
      </c>
      <c r="AR335" s="128">
        <f t="shared" si="162"/>
        <v>45657</v>
      </c>
      <c r="AS335" s="129">
        <f t="shared" si="173"/>
        <v>45656</v>
      </c>
      <c r="AT335" s="135">
        <v>64.5</v>
      </c>
      <c r="AU335" s="134" cm="1">
        <f t="array" ref="AU335">INDEX($CE$29:$CE$1449,MATCH($AR335,$CA$29:$CA$1449,0),)</f>
        <v>78</v>
      </c>
      <c r="AV335" s="135">
        <v>141.5</v>
      </c>
      <c r="AW335" s="134" cm="1">
        <f t="array" ref="AW335">INDEX($CF$29:$CF$1449,MATCH($AR335,$CA$29:$CA$1449,0),)</f>
        <v>150</v>
      </c>
      <c r="AX335" s="135">
        <v>131.5</v>
      </c>
      <c r="AY335" s="134" cm="1">
        <f t="array" ref="AY335">INDEX($CO$29:$CO$1449,MATCH($AR335,$CA$29:$CA$1449,0),)</f>
        <v>140.7</v>
      </c>
      <c r="AZ335" s="135">
        <v>271.75</v>
      </c>
      <c r="BA335" s="134" cm="1">
        <f t="array" ref="BA335">INDEX($CP$29:$CP$1449,MATCH($AR335,$CA$29:$CA$1449,0),)</f>
        <v>283</v>
      </c>
      <c r="BB335" s="133">
        <f t="shared" si="165"/>
        <v>0.0141509433962264</v>
      </c>
      <c r="BC335" s="132">
        <f t="shared" si="167"/>
        <v>0.015748031496063</v>
      </c>
      <c r="BD335" s="132">
        <f t="shared" si="169"/>
        <v>0.0238095238095237</v>
      </c>
      <c r="BE335" s="133">
        <f t="shared" si="166"/>
        <v>-0.00352112676056338</v>
      </c>
      <c r="BF335" s="132">
        <f t="shared" si="168"/>
        <v>-0.00352112676056338</v>
      </c>
      <c r="BG335" s="132">
        <f t="shared" si="170"/>
        <v>0.00354609929078009</v>
      </c>
      <c r="BH335" s="133">
        <f t="shared" si="186"/>
        <v>0.00190476190476185</v>
      </c>
      <c r="BI335" s="132">
        <f t="shared" si="187"/>
        <v>0.00381679389312972</v>
      </c>
      <c r="BJ335" s="132">
        <f t="shared" si="188"/>
        <v>0.00190476190476185</v>
      </c>
      <c r="BK335" s="133">
        <f t="shared" si="189"/>
        <v>0.00184331797235027</v>
      </c>
      <c r="BL335" s="132">
        <f t="shared" si="190"/>
        <v>0.0102230483271375</v>
      </c>
      <c r="BM335" s="132">
        <f t="shared" si="191"/>
        <v>0.0102230483271375</v>
      </c>
      <c r="FV335" s="104">
        <f t="shared" si="174"/>
        <v>2011</v>
      </c>
      <c r="FW335" s="104">
        <f t="shared" si="175"/>
        <v>51</v>
      </c>
      <c r="FX335" s="35">
        <v>40891</v>
      </c>
      <c r="FY335" s="26">
        <v>0.85</v>
      </c>
      <c r="FZ335" s="94">
        <f t="shared" si="176"/>
        <v>3.4</v>
      </c>
      <c r="GA335" s="104"/>
      <c r="GB335" s="104"/>
      <c r="GE335" s="94"/>
      <c r="GF335" s="104">
        <f t="shared" si="177"/>
        <v>2014</v>
      </c>
      <c r="GG335" s="104">
        <f t="shared" si="178"/>
        <v>13</v>
      </c>
      <c r="GH335" s="35">
        <v>41726</v>
      </c>
      <c r="GI335" s="26">
        <v>3.719</v>
      </c>
      <c r="GJ335" s="94">
        <f t="shared" si="179"/>
        <v>7.438</v>
      </c>
      <c r="GK335" s="104"/>
      <c r="GL335" s="104"/>
      <c r="GO335" s="94"/>
    </row>
    <row r="336" spans="3:197">
      <c r="C336" s="80" t="str" cm="1">
        <f t="array" ref="C336">_xlfn.IFS(MONTH(D336)&lt;4,1,MONTH(D336)&lt;7,2,MONTH(D336)&lt;10,3,MONTH(D336)&gt;9,4)&amp;"Q"&amp;RIGHT(YEAR(D336),2)</f>
        <v>2Q17</v>
      </c>
      <c r="D336" s="81">
        <f t="shared" si="160"/>
        <v>42886</v>
      </c>
      <c r="E336" s="82">
        <v>42877</v>
      </c>
      <c r="F336" s="83">
        <f t="shared" si="158"/>
        <v>0.79825</v>
      </c>
      <c r="G336" s="83">
        <f t="shared" si="158"/>
        <v>0.8125</v>
      </c>
      <c r="H336" s="81"/>
      <c r="I336" s="146">
        <v>42877</v>
      </c>
      <c r="J336" s="147">
        <v>7.15</v>
      </c>
      <c r="K336" s="147">
        <v>6.31</v>
      </c>
      <c r="L336" s="147">
        <v>6.386</v>
      </c>
      <c r="M336" s="94" cm="1">
        <f t="array" ref="M336">INDEX($BV$29:$BV$1449,MATCH($D336,$BR$29:$BR$1449,0),)</f>
        <v>6.5</v>
      </c>
      <c r="N336" s="150">
        <f t="shared" si="181"/>
        <v>0</v>
      </c>
      <c r="O336" s="150">
        <f t="shared" si="182"/>
        <v>0.00125431169645651</v>
      </c>
      <c r="P336" s="150">
        <f t="shared" si="180"/>
        <v>-0.00607003891050584</v>
      </c>
      <c r="Q336" s="89">
        <f t="shared" si="183"/>
        <v>-0.0175384615384615</v>
      </c>
      <c r="AH336" s="105">
        <f t="shared" si="184"/>
        <v>44935</v>
      </c>
      <c r="AI336" s="91">
        <f t="shared" si="185"/>
        <v>1.987</v>
      </c>
      <c r="AJ336" s="36">
        <f t="shared" si="161"/>
        <v>-0.00848303393213568</v>
      </c>
      <c r="AK336" s="36">
        <f t="shared" si="163"/>
        <v>-0.019249753208292</v>
      </c>
      <c r="AL336" s="105">
        <v>44935</v>
      </c>
      <c r="AM336" s="91">
        <f t="shared" ref="AM336:AM399" si="192">IFERROR(VLOOKUP(AL336,$W:$Z,4,FALSE),VLOOKUP(AL336,$W:$Z,4,TRUE))</f>
        <v>5.343</v>
      </c>
      <c r="AN336" s="36"/>
      <c r="AO336" s="36"/>
      <c r="AP336" s="36"/>
      <c r="AQ336" s="128" t="str" cm="1">
        <f t="array" ref="AQ336">_xlfn.IFS(MONTH(AR336)&lt;4,1,MONTH(AR336)&lt;7,2,MONTH(AR336)&lt;10,3,MONTH(AR336)&gt;9,4)&amp;"Q"&amp;RIGHT(YEAR(AR336),2)</f>
        <v>1Q25</v>
      </c>
      <c r="AR336" s="128">
        <f t="shared" si="162"/>
        <v>45688</v>
      </c>
      <c r="AS336" s="129">
        <f t="shared" si="173"/>
        <v>45663</v>
      </c>
      <c r="AT336" s="135">
        <v>64.5</v>
      </c>
      <c r="AU336" s="134" cm="1">
        <f t="array" ref="AU336">INDEX($CE$29:$CE$1449,MATCH($AR336,$CA$29:$CA$1449,0),)</f>
        <v>73</v>
      </c>
      <c r="AV336" s="135">
        <v>141.5</v>
      </c>
      <c r="AW336" s="134" cm="1">
        <f t="array" ref="AW336">INDEX($CF$29:$CF$1449,MATCH($AR336,$CA$29:$CA$1449,0),)</f>
        <v>145</v>
      </c>
      <c r="AX336" s="135">
        <v>131.5</v>
      </c>
      <c r="AY336" s="134" cm="1">
        <f t="array" ref="AY336">INDEX($CO$29:$CO$1449,MATCH($AR336,$CA$29:$CA$1449,0),)</f>
        <v>136.68</v>
      </c>
      <c r="AZ336" s="135">
        <v>271.25</v>
      </c>
      <c r="BA336" s="134" cm="1">
        <f t="array" ref="BA336">INDEX($CP$29:$CP$1449,MATCH($AR336,$CA$29:$CA$1449,0),)</f>
        <v>273</v>
      </c>
      <c r="BB336" s="133">
        <f t="shared" si="165"/>
        <v>0</v>
      </c>
      <c r="BC336" s="132">
        <f t="shared" si="167"/>
        <v>0.0141509433962264</v>
      </c>
      <c r="BD336" s="132">
        <f t="shared" si="169"/>
        <v>0.015748031496063</v>
      </c>
      <c r="BE336" s="133">
        <f t="shared" si="166"/>
        <v>0</v>
      </c>
      <c r="BF336" s="132">
        <f t="shared" si="168"/>
        <v>-0.00352112676056338</v>
      </c>
      <c r="BG336" s="132">
        <f t="shared" si="170"/>
        <v>-0.00352112676056338</v>
      </c>
      <c r="BH336" s="133">
        <f t="shared" si="186"/>
        <v>0</v>
      </c>
      <c r="BI336" s="132">
        <f t="shared" si="187"/>
        <v>0.00190476190476185</v>
      </c>
      <c r="BJ336" s="132">
        <f t="shared" si="188"/>
        <v>0.00381679389312972</v>
      </c>
      <c r="BK336" s="133">
        <f t="shared" si="189"/>
        <v>-0.00183992640294384</v>
      </c>
      <c r="BL336" s="132">
        <f t="shared" si="190"/>
        <v>0</v>
      </c>
      <c r="BM336" s="132">
        <f t="shared" si="191"/>
        <v>0.00836431226765799</v>
      </c>
      <c r="FV336" s="104">
        <f t="shared" si="174"/>
        <v>2011</v>
      </c>
      <c r="FW336" s="104">
        <f t="shared" si="175"/>
        <v>51</v>
      </c>
      <c r="FX336" s="35">
        <v>40892</v>
      </c>
      <c r="FY336" s="26">
        <v>0.85</v>
      </c>
      <c r="FZ336" s="94">
        <f t="shared" si="176"/>
        <v>3.4</v>
      </c>
      <c r="GA336" s="104"/>
      <c r="GB336" s="104"/>
      <c r="GE336" s="94"/>
      <c r="GF336" s="104">
        <f t="shared" si="177"/>
        <v>2014</v>
      </c>
      <c r="GG336" s="104">
        <f t="shared" si="178"/>
        <v>14</v>
      </c>
      <c r="GH336" s="35">
        <v>41729</v>
      </c>
      <c r="GI336" s="26">
        <v>3.714</v>
      </c>
      <c r="GJ336" s="94">
        <f t="shared" si="179"/>
        <v>7.428</v>
      </c>
      <c r="GK336" s="104"/>
      <c r="GL336" s="104"/>
      <c r="GO336" s="94"/>
    </row>
    <row r="337" spans="3:197">
      <c r="C337" s="80" t="str" cm="1">
        <f t="array" ref="C337">_xlfn.IFS(MONTH(D337)&lt;4,1,MONTH(D337)&lt;7,2,MONTH(D337)&lt;10,3,MONTH(D337)&gt;9,4)&amp;"Q"&amp;RIGHT(YEAR(D337),2)</f>
        <v>2Q17</v>
      </c>
      <c r="D337" s="81">
        <f t="shared" si="160"/>
        <v>42886</v>
      </c>
      <c r="E337" s="82">
        <v>42878</v>
      </c>
      <c r="F337" s="83">
        <f t="shared" si="158"/>
        <v>0.79825</v>
      </c>
      <c r="G337" s="83">
        <f t="shared" si="158"/>
        <v>0.8125</v>
      </c>
      <c r="H337" s="81"/>
      <c r="I337" s="146">
        <v>42878</v>
      </c>
      <c r="J337" s="147">
        <v>7.2</v>
      </c>
      <c r="K337" s="147">
        <v>6.31</v>
      </c>
      <c r="L337" s="147">
        <v>6.386</v>
      </c>
      <c r="M337" s="94" cm="1">
        <f t="array" ref="M337">INDEX($BV$29:$BV$1449,MATCH($D337,$BR$29:$BR$1449,0),)</f>
        <v>6.5</v>
      </c>
      <c r="N337" s="150">
        <f t="shared" si="181"/>
        <v>0</v>
      </c>
      <c r="O337" s="150">
        <f t="shared" si="182"/>
        <v>0.000626762770291611</v>
      </c>
      <c r="P337" s="150">
        <f t="shared" si="180"/>
        <v>0.00172549019607837</v>
      </c>
      <c r="Q337" s="89">
        <f t="shared" si="183"/>
        <v>-0.0175384615384615</v>
      </c>
      <c r="AH337" s="105">
        <f t="shared" si="184"/>
        <v>44942</v>
      </c>
      <c r="AI337" s="91">
        <f t="shared" si="185"/>
        <v>1.924</v>
      </c>
      <c r="AJ337" s="36">
        <f t="shared" si="161"/>
        <v>-0.0317060895822849</v>
      </c>
      <c r="AK337" s="36">
        <f t="shared" si="163"/>
        <v>-0.0399201596806388</v>
      </c>
      <c r="AL337" s="105">
        <f t="shared" ref="AL337:AL386" si="193">AL336+7</f>
        <v>44942</v>
      </c>
      <c r="AM337" s="91">
        <f t="shared" si="192"/>
        <v>5.217</v>
      </c>
      <c r="AN337" s="36">
        <f t="shared" ref="AN337:AN373" si="194">AM337/AM336-1</f>
        <v>-0.0235822571588996</v>
      </c>
      <c r="AO337" s="36"/>
      <c r="AP337" s="36"/>
      <c r="AQ337" s="128" t="str" cm="1">
        <f t="array" ref="AQ337">_xlfn.IFS(MONTH(AR337)&lt;4,1,MONTH(AR337)&lt;7,2,MONTH(AR337)&lt;10,3,MONTH(AR337)&gt;9,4)&amp;"Q"&amp;RIGHT(YEAR(AR337),2)</f>
        <v>1Q25</v>
      </c>
      <c r="AR337" s="128">
        <f t="shared" si="162"/>
        <v>45688</v>
      </c>
      <c r="AS337" s="129">
        <f t="shared" si="173"/>
        <v>45670</v>
      </c>
      <c r="AT337" s="135">
        <v>64.5</v>
      </c>
      <c r="AU337" s="134" cm="1">
        <f t="array" ref="AU337">INDEX($CE$29:$CE$1449,MATCH($AR337,$CA$29:$CA$1449,0),)</f>
        <v>73</v>
      </c>
      <c r="AV337" s="135">
        <v>142</v>
      </c>
      <c r="AW337" s="134" cm="1">
        <f t="array" ref="AW337">INDEX($CF$29:$CF$1449,MATCH($AR337,$CA$29:$CA$1449,0),)</f>
        <v>145</v>
      </c>
      <c r="AX337" s="135">
        <v>131.4</v>
      </c>
      <c r="AY337" s="134" cm="1">
        <f t="array" ref="AY337">INDEX($CO$29:$CO$1449,MATCH($AR337,$CA$29:$CA$1449,0),)</f>
        <v>136.68</v>
      </c>
      <c r="AZ337" s="135">
        <v>271.25</v>
      </c>
      <c r="BA337" s="134" cm="1">
        <f t="array" ref="BA337">INDEX($CP$29:$CP$1449,MATCH($AR337,$CA$29:$CA$1449,0),)</f>
        <v>273</v>
      </c>
      <c r="BB337" s="133">
        <f t="shared" si="165"/>
        <v>0</v>
      </c>
      <c r="BC337" s="132">
        <f t="shared" si="167"/>
        <v>0</v>
      </c>
      <c r="BD337" s="132">
        <f t="shared" si="169"/>
        <v>0.0141509433962264</v>
      </c>
      <c r="BE337" s="133">
        <f t="shared" si="166"/>
        <v>0.00353356890459366</v>
      </c>
      <c r="BF337" s="132">
        <f t="shared" si="168"/>
        <v>0.00353356890459366</v>
      </c>
      <c r="BG337" s="132">
        <f t="shared" si="170"/>
        <v>0</v>
      </c>
      <c r="BH337" s="133">
        <f t="shared" si="186"/>
        <v>-0.000760456273764198</v>
      </c>
      <c r="BI337" s="132">
        <f t="shared" si="187"/>
        <v>-0.000760456273764198</v>
      </c>
      <c r="BJ337" s="132">
        <f t="shared" si="188"/>
        <v>0.00114285714285711</v>
      </c>
      <c r="BK337" s="133">
        <f t="shared" si="189"/>
        <v>0</v>
      </c>
      <c r="BL337" s="132">
        <f t="shared" si="190"/>
        <v>-0.00183992640294384</v>
      </c>
      <c r="BM337" s="132">
        <f t="shared" si="191"/>
        <v>0</v>
      </c>
      <c r="FV337" s="104">
        <f t="shared" si="174"/>
        <v>2011</v>
      </c>
      <c r="FW337" s="104">
        <f t="shared" si="175"/>
        <v>51</v>
      </c>
      <c r="FX337" s="35">
        <v>40893</v>
      </c>
      <c r="FY337" s="26">
        <v>0.84</v>
      </c>
      <c r="FZ337" s="94">
        <f t="shared" si="176"/>
        <v>3.36</v>
      </c>
      <c r="GA337" s="104"/>
      <c r="GB337" s="104"/>
      <c r="GE337" s="94"/>
      <c r="GF337" s="104">
        <f t="shared" si="177"/>
        <v>2014</v>
      </c>
      <c r="GG337" s="104">
        <f t="shared" si="178"/>
        <v>14</v>
      </c>
      <c r="GH337" s="35">
        <v>41730</v>
      </c>
      <c r="GI337" s="26">
        <v>3.71</v>
      </c>
      <c r="GJ337" s="94">
        <f t="shared" si="179"/>
        <v>7.42</v>
      </c>
      <c r="GK337" s="104"/>
      <c r="GL337" s="104"/>
      <c r="GO337" s="94"/>
    </row>
    <row r="338" spans="3:197">
      <c r="C338" s="80" t="str" cm="1">
        <f t="array" ref="C338">_xlfn.IFS(MONTH(D338)&lt;4,1,MONTH(D338)&lt;7,2,MONTH(D338)&lt;10,3,MONTH(D338)&gt;9,4)&amp;"Q"&amp;RIGHT(YEAR(D338),2)</f>
        <v>2Q17</v>
      </c>
      <c r="D338" s="81">
        <f t="shared" si="160"/>
        <v>42886</v>
      </c>
      <c r="E338" s="82">
        <v>42879</v>
      </c>
      <c r="F338" s="83">
        <f t="shared" si="158"/>
        <v>0.79825</v>
      </c>
      <c r="G338" s="83">
        <f t="shared" si="158"/>
        <v>0.8125</v>
      </c>
      <c r="H338" s="81"/>
      <c r="I338" s="146">
        <v>42879</v>
      </c>
      <c r="J338" s="147">
        <v>7.2</v>
      </c>
      <c r="K338" s="147">
        <v>6.31</v>
      </c>
      <c r="L338" s="147">
        <v>6.386</v>
      </c>
      <c r="M338" s="94" cm="1">
        <f t="array" ref="M338">INDEX($BV$29:$BV$1449,MATCH($D338,$BR$29:$BR$1449,0),)</f>
        <v>6.5</v>
      </c>
      <c r="N338" s="150">
        <f t="shared" si="181"/>
        <v>0</v>
      </c>
      <c r="O338" s="150">
        <f t="shared" si="182"/>
        <v>0</v>
      </c>
      <c r="P338" s="150">
        <f t="shared" si="180"/>
        <v>0.00125431169645651</v>
      </c>
      <c r="Q338" s="89">
        <f t="shared" si="183"/>
        <v>-0.0175384615384615</v>
      </c>
      <c r="AH338" s="105">
        <f t="shared" si="184"/>
        <v>44949</v>
      </c>
      <c r="AI338" s="91">
        <f t="shared" si="185"/>
        <v>1.881</v>
      </c>
      <c r="AJ338" s="36">
        <f t="shared" si="161"/>
        <v>-0.0223492723492723</v>
      </c>
      <c r="AK338" s="36">
        <f t="shared" si="163"/>
        <v>-0.0533467539003524</v>
      </c>
      <c r="AL338" s="105">
        <f t="shared" si="193"/>
        <v>44949</v>
      </c>
      <c r="AM338" s="91">
        <f t="shared" si="192"/>
        <v>5.127</v>
      </c>
      <c r="AN338" s="36">
        <f t="shared" si="194"/>
        <v>-0.0172512938470385</v>
      </c>
      <c r="AO338" s="36">
        <f t="shared" ref="AO338:AO401" si="195">AM338/AM336-1</f>
        <v>-0.0404267265581134</v>
      </c>
      <c r="AP338" s="36"/>
      <c r="AQ338" s="128" t="str" cm="1">
        <f t="array" ref="AQ338">_xlfn.IFS(MONTH(AR338)&lt;4,1,MONTH(AR338)&lt;7,2,MONTH(AR338)&lt;10,3,MONTH(AR338)&gt;9,4)&amp;"Q"&amp;RIGHT(YEAR(AR338),2)</f>
        <v>1Q25</v>
      </c>
      <c r="AR338" s="128">
        <f t="shared" si="162"/>
        <v>45688</v>
      </c>
      <c r="AS338" s="129">
        <f t="shared" si="173"/>
        <v>45677</v>
      </c>
      <c r="AT338" s="135">
        <v>64.5</v>
      </c>
      <c r="AU338" s="134" cm="1">
        <f t="array" ref="AU338">INDEX($CE$29:$CE$1449,MATCH($AR338,$CA$29:$CA$1449,0),)</f>
        <v>73</v>
      </c>
      <c r="AV338" s="135">
        <v>141.8</v>
      </c>
      <c r="AW338" s="134" cm="1">
        <f t="array" ref="AW338">INDEX($CF$29:$CF$1449,MATCH($AR338,$CA$29:$CA$1449,0),)</f>
        <v>145</v>
      </c>
      <c r="AX338" s="135">
        <v>131.5</v>
      </c>
      <c r="AY338" s="134" cm="1">
        <f t="array" ref="AY338">INDEX($CO$29:$CO$1449,MATCH($AR338,$CA$29:$CA$1449,0),)</f>
        <v>136.68</v>
      </c>
      <c r="AZ338" s="135">
        <v>271.5</v>
      </c>
      <c r="BA338" s="134" cm="1">
        <f t="array" ref="BA338">INDEX($CP$29:$CP$1449,MATCH($AR338,$CA$29:$CA$1449,0),)</f>
        <v>273</v>
      </c>
      <c r="BB338" s="133">
        <f t="shared" si="165"/>
        <v>0</v>
      </c>
      <c r="BC338" s="132">
        <f t="shared" si="167"/>
        <v>0</v>
      </c>
      <c r="BD338" s="132">
        <f t="shared" si="169"/>
        <v>0</v>
      </c>
      <c r="BE338" s="133">
        <f t="shared" si="166"/>
        <v>-0.00140845070422524</v>
      </c>
      <c r="BF338" s="132">
        <f t="shared" si="168"/>
        <v>0.00212014134275629</v>
      </c>
      <c r="BG338" s="132">
        <f t="shared" si="170"/>
        <v>0.00212014134275629</v>
      </c>
      <c r="BH338" s="133">
        <f t="shared" si="186"/>
        <v>0.000761035007610378</v>
      </c>
      <c r="BI338" s="132">
        <f t="shared" si="187"/>
        <v>0</v>
      </c>
      <c r="BJ338" s="132">
        <f t="shared" si="188"/>
        <v>0</v>
      </c>
      <c r="BK338" s="133">
        <f t="shared" si="189"/>
        <v>0.000921658986175133</v>
      </c>
      <c r="BL338" s="132">
        <f t="shared" si="190"/>
        <v>0.000921658986175133</v>
      </c>
      <c r="BM338" s="132">
        <f t="shared" si="191"/>
        <v>-0.000919963201471918</v>
      </c>
      <c r="FV338" s="104">
        <f t="shared" si="174"/>
        <v>2011</v>
      </c>
      <c r="FW338" s="104">
        <f t="shared" si="175"/>
        <v>52</v>
      </c>
      <c r="FX338" s="35">
        <v>40896</v>
      </c>
      <c r="FY338" s="26">
        <v>0.83</v>
      </c>
      <c r="FZ338" s="94">
        <f t="shared" si="176"/>
        <v>3.32</v>
      </c>
      <c r="GA338" s="104"/>
      <c r="GB338" s="104"/>
      <c r="GE338" s="94"/>
      <c r="GF338" s="104">
        <f t="shared" si="177"/>
        <v>2014</v>
      </c>
      <c r="GG338" s="104">
        <f t="shared" si="178"/>
        <v>14</v>
      </c>
      <c r="GH338" s="35">
        <v>41731</v>
      </c>
      <c r="GI338" s="26">
        <v>3.698</v>
      </c>
      <c r="GJ338" s="94">
        <f t="shared" si="179"/>
        <v>7.396</v>
      </c>
      <c r="GK338" s="104"/>
      <c r="GL338" s="104"/>
      <c r="GO338" s="94"/>
    </row>
    <row r="339" spans="3:197">
      <c r="C339" s="80" t="str" cm="1">
        <f t="array" ref="C339">_xlfn.IFS(MONTH(D339)&lt;4,1,MONTH(D339)&lt;7,2,MONTH(D339)&lt;10,3,MONTH(D339)&gt;9,4)&amp;"Q"&amp;RIGHT(YEAR(D339),2)</f>
        <v>2Q17</v>
      </c>
      <c r="D339" s="81">
        <f t="shared" si="160"/>
        <v>42886</v>
      </c>
      <c r="E339" s="82">
        <v>42880</v>
      </c>
      <c r="F339" s="83">
        <f t="shared" si="158"/>
        <v>0.798875</v>
      </c>
      <c r="G339" s="83">
        <f t="shared" si="158"/>
        <v>0.8125</v>
      </c>
      <c r="H339" s="81"/>
      <c r="I339" s="146">
        <v>42880</v>
      </c>
      <c r="J339" s="147">
        <v>7.2</v>
      </c>
      <c r="K339" s="147">
        <v>6.3</v>
      </c>
      <c r="L339" s="147">
        <v>6.391</v>
      </c>
      <c r="M339" s="94" cm="1">
        <f t="array" ref="M339">INDEX($BV$29:$BV$1449,MATCH($D339,$BR$29:$BR$1449,0),)</f>
        <v>6.5</v>
      </c>
      <c r="N339" s="150">
        <f t="shared" si="181"/>
        <v>0.000782962730973891</v>
      </c>
      <c r="O339" s="150">
        <f t="shared" si="182"/>
        <v>0.000782962730973891</v>
      </c>
      <c r="P339" s="150">
        <f t="shared" si="180"/>
        <v>0.00203825650674183</v>
      </c>
      <c r="Q339" s="89">
        <f t="shared" si="183"/>
        <v>-0.0167692307692308</v>
      </c>
      <c r="AH339" s="105">
        <f t="shared" si="184"/>
        <v>44956</v>
      </c>
      <c r="AI339" s="91">
        <f t="shared" si="185"/>
        <v>1.866</v>
      </c>
      <c r="AJ339" s="36">
        <f t="shared" si="161"/>
        <v>-0.00797448165869208</v>
      </c>
      <c r="AK339" s="36">
        <f t="shared" si="163"/>
        <v>-0.03014553014553</v>
      </c>
      <c r="AL339" s="105">
        <f t="shared" si="193"/>
        <v>44956</v>
      </c>
      <c r="AM339" s="91">
        <f t="shared" si="192"/>
        <v>5.113</v>
      </c>
      <c r="AN339" s="36">
        <f t="shared" si="194"/>
        <v>-0.00273064170079951</v>
      </c>
      <c r="AO339" s="36">
        <f t="shared" si="195"/>
        <v>-0.0199348284454666</v>
      </c>
      <c r="AP339" s="36"/>
      <c r="AQ339" s="128" t="str" cm="1">
        <f t="array" ref="AQ339">_xlfn.IFS(MONTH(AR339)&lt;4,1,MONTH(AR339)&lt;7,2,MONTH(AR339)&lt;10,3,MONTH(AR339)&gt;9,4)&amp;"Q"&amp;RIGHT(YEAR(AR339),2)</f>
        <v>1Q25</v>
      </c>
      <c r="AR339" s="128">
        <f t="shared" si="162"/>
        <v>45688</v>
      </c>
      <c r="AS339" s="129">
        <f t="shared" si="173"/>
        <v>45684</v>
      </c>
      <c r="AT339" s="135">
        <v>65</v>
      </c>
      <c r="AU339" s="134" cm="1">
        <f t="array" ref="AU339">INDEX($CE$29:$CE$1449,MATCH($AR339,$CA$29:$CA$1449,0),)</f>
        <v>73</v>
      </c>
      <c r="AV339" s="135">
        <v>141.8</v>
      </c>
      <c r="AW339" s="134" cm="1">
        <f t="array" ref="AW339">INDEX($CF$29:$CF$1449,MATCH($AR339,$CA$29:$CA$1449,0),)</f>
        <v>145</v>
      </c>
      <c r="AX339" s="135">
        <v>131</v>
      </c>
      <c r="AY339" s="134" cm="1">
        <f t="array" ref="AY339">INDEX($CO$29:$CO$1449,MATCH($AR339,$CA$29:$CA$1449,0),)</f>
        <v>136.68</v>
      </c>
      <c r="AZ339" s="135">
        <v>271.25</v>
      </c>
      <c r="BA339" s="134" cm="1">
        <f t="array" ref="BA339">INDEX($CP$29:$CP$1449,MATCH($AR339,$CA$29:$CA$1449,0),)</f>
        <v>273</v>
      </c>
      <c r="BB339" s="133">
        <f t="shared" si="165"/>
        <v>0.00775193798449614</v>
      </c>
      <c r="BC339" s="132">
        <f t="shared" si="167"/>
        <v>0.00775193798449614</v>
      </c>
      <c r="BD339" s="132">
        <f t="shared" si="169"/>
        <v>0.00775193798449614</v>
      </c>
      <c r="BE339" s="133">
        <f t="shared" si="166"/>
        <v>0</v>
      </c>
      <c r="BF339" s="132">
        <f t="shared" si="168"/>
        <v>-0.00140845070422524</v>
      </c>
      <c r="BG339" s="132">
        <f t="shared" si="170"/>
        <v>0.00212014134275629</v>
      </c>
      <c r="BH339" s="133">
        <f t="shared" si="186"/>
        <v>-0.00380228136882133</v>
      </c>
      <c r="BI339" s="132">
        <f t="shared" si="187"/>
        <v>-0.0030441400304414</v>
      </c>
      <c r="BJ339" s="132">
        <f t="shared" si="188"/>
        <v>-0.00380228136882133</v>
      </c>
      <c r="BK339" s="133">
        <f t="shared" si="189"/>
        <v>-0.00092081031307556</v>
      </c>
      <c r="BL339" s="132">
        <f t="shared" si="190"/>
        <v>0</v>
      </c>
      <c r="BM339" s="132">
        <f t="shared" si="191"/>
        <v>0</v>
      </c>
      <c r="FV339" s="104">
        <f t="shared" si="174"/>
        <v>2011</v>
      </c>
      <c r="FW339" s="104">
        <f t="shared" si="175"/>
        <v>52</v>
      </c>
      <c r="FX339" s="35">
        <v>40897</v>
      </c>
      <c r="FY339" s="26">
        <v>0.82</v>
      </c>
      <c r="FZ339" s="94">
        <f t="shared" si="176"/>
        <v>3.28</v>
      </c>
      <c r="GA339" s="104"/>
      <c r="GB339" s="104"/>
      <c r="GE339" s="94"/>
      <c r="GF339" s="104">
        <f t="shared" si="177"/>
        <v>2014</v>
      </c>
      <c r="GG339" s="104">
        <f t="shared" si="178"/>
        <v>14</v>
      </c>
      <c r="GH339" s="35">
        <v>41732</v>
      </c>
      <c r="GI339" s="26">
        <v>3.698</v>
      </c>
      <c r="GJ339" s="94">
        <f t="shared" si="179"/>
        <v>7.396</v>
      </c>
      <c r="GK339" s="104"/>
      <c r="GL339" s="104"/>
      <c r="GO339" s="94"/>
    </row>
    <row r="340" spans="3:197">
      <c r="C340" s="80" t="str" cm="1">
        <f t="array" ref="C340">_xlfn.IFS(MONTH(D340)&lt;4,1,MONTH(D340)&lt;7,2,MONTH(D340)&lt;10,3,MONTH(D340)&gt;9,4)&amp;"Q"&amp;RIGHT(YEAR(D340),2)</f>
        <v>2Q17</v>
      </c>
      <c r="D340" s="81">
        <f t="shared" si="160"/>
        <v>42886</v>
      </c>
      <c r="E340" s="82">
        <v>42881</v>
      </c>
      <c r="F340" s="83">
        <f t="shared" si="158"/>
        <v>0.798875</v>
      </c>
      <c r="G340" s="83">
        <f t="shared" si="158"/>
        <v>0.8125</v>
      </c>
      <c r="H340" s="81"/>
      <c r="I340" s="146">
        <v>42881</v>
      </c>
      <c r="J340" s="147">
        <v>7.2</v>
      </c>
      <c r="K340" s="147">
        <v>6.3</v>
      </c>
      <c r="L340" s="147">
        <v>6.391</v>
      </c>
      <c r="M340" s="94" cm="1">
        <f t="array" ref="M340">INDEX($BV$29:$BV$1449,MATCH($D340,$BR$29:$BR$1449,0),)</f>
        <v>6.5</v>
      </c>
      <c r="N340" s="150">
        <f t="shared" si="181"/>
        <v>0</v>
      </c>
      <c r="O340" s="150">
        <f t="shared" si="182"/>
        <v>0.000782962730973891</v>
      </c>
      <c r="P340" s="150">
        <f t="shared" si="180"/>
        <v>0.00203825650674183</v>
      </c>
      <c r="Q340" s="89">
        <f t="shared" si="183"/>
        <v>-0.0167692307692308</v>
      </c>
      <c r="AH340" s="105">
        <f t="shared" si="184"/>
        <v>44963</v>
      </c>
      <c r="AI340" s="91">
        <f t="shared" si="185"/>
        <v>1.849</v>
      </c>
      <c r="AJ340" s="36">
        <f t="shared" si="161"/>
        <v>-0.00911039657020374</v>
      </c>
      <c r="AK340" s="36">
        <f t="shared" si="163"/>
        <v>-0.0170122275385434</v>
      </c>
      <c r="AL340" s="105">
        <f t="shared" si="193"/>
        <v>44963</v>
      </c>
      <c r="AM340" s="91">
        <f t="shared" si="192"/>
        <v>5</v>
      </c>
      <c r="AN340" s="36">
        <f t="shared" si="194"/>
        <v>-0.0221005280657149</v>
      </c>
      <c r="AO340" s="36">
        <f t="shared" si="195"/>
        <v>-0.0247708211429686</v>
      </c>
      <c r="AP340" s="36"/>
      <c r="AQ340" s="128" t="str" cm="1">
        <f t="array" ref="AQ340">_xlfn.IFS(MONTH(AR340)&lt;4,1,MONTH(AR340)&lt;7,2,MONTH(AR340)&lt;10,3,MONTH(AR340)&gt;9,4)&amp;"Q"&amp;RIGHT(YEAR(AR340),2)</f>
        <v>1Q25</v>
      </c>
      <c r="AR340" s="128">
        <f t="shared" si="162"/>
        <v>45716</v>
      </c>
      <c r="AS340" s="129">
        <f t="shared" si="173"/>
        <v>45691</v>
      </c>
      <c r="AT340" s="135">
        <v>65</v>
      </c>
      <c r="AU340" s="134" cm="1">
        <f t="array" ref="AU340">INDEX($CE$29:$CE$1449,MATCH($AR340,$CA$29:$CA$1449,0),)</f>
        <v>69</v>
      </c>
      <c r="AV340" s="135">
        <v>141.8</v>
      </c>
      <c r="AW340" s="134" cm="1">
        <f t="array" ref="AW340">INDEX($CF$29:$CF$1449,MATCH($AR340,$CA$29:$CA$1449,0),)</f>
        <v>140</v>
      </c>
      <c r="AX340" s="135">
        <v>130.9</v>
      </c>
      <c r="AY340" s="134" cm="1">
        <f t="array" ref="AY340">INDEX($CO$29:$CO$1449,MATCH($AR340,$CA$29:$CA$1449,0),)</f>
        <v>130</v>
      </c>
      <c r="AZ340" s="135">
        <v>271.15</v>
      </c>
      <c r="BA340" s="134" cm="1">
        <f t="array" ref="BA340">INDEX($CP$29:$CP$1449,MATCH($AR340,$CA$29:$CA$1449,0),)</f>
        <v>265</v>
      </c>
      <c r="BB340" s="133">
        <f t="shared" si="165"/>
        <v>0</v>
      </c>
      <c r="BC340" s="132">
        <f t="shared" si="167"/>
        <v>0.00775193798449614</v>
      </c>
      <c r="BD340" s="132">
        <f t="shared" si="169"/>
        <v>0.00775193798449614</v>
      </c>
      <c r="BE340" s="133">
        <f t="shared" si="166"/>
        <v>0</v>
      </c>
      <c r="BF340" s="132">
        <f t="shared" si="168"/>
        <v>0</v>
      </c>
      <c r="BG340" s="132">
        <f t="shared" si="170"/>
        <v>-0.00140845070422524</v>
      </c>
      <c r="BH340" s="133">
        <f t="shared" si="186"/>
        <v>-0.000763358778625878</v>
      </c>
      <c r="BI340" s="132">
        <f t="shared" si="187"/>
        <v>-0.00456273764258552</v>
      </c>
      <c r="BJ340" s="132">
        <f t="shared" si="188"/>
        <v>-0.00380517503805178</v>
      </c>
      <c r="BK340" s="133">
        <f t="shared" si="189"/>
        <v>-0.000368663594470076</v>
      </c>
      <c r="BL340" s="132">
        <f t="shared" si="190"/>
        <v>-0.00128913443830581</v>
      </c>
      <c r="BM340" s="132">
        <f t="shared" si="191"/>
        <v>-0.000368663594470076</v>
      </c>
      <c r="FV340" s="104">
        <f t="shared" si="174"/>
        <v>2011</v>
      </c>
      <c r="FW340" s="104">
        <f t="shared" si="175"/>
        <v>52</v>
      </c>
      <c r="FX340" s="35">
        <v>40898</v>
      </c>
      <c r="FY340" s="26">
        <v>0.82</v>
      </c>
      <c r="FZ340" s="94">
        <f t="shared" si="176"/>
        <v>3.28</v>
      </c>
      <c r="GA340" s="104"/>
      <c r="GB340" s="104"/>
      <c r="GE340" s="94"/>
      <c r="GF340" s="104">
        <f t="shared" si="177"/>
        <v>2014</v>
      </c>
      <c r="GG340" s="104">
        <f t="shared" si="178"/>
        <v>14</v>
      </c>
      <c r="GH340" s="35">
        <v>41733</v>
      </c>
      <c r="GI340" s="26">
        <v>3.697</v>
      </c>
      <c r="GJ340" s="94">
        <f t="shared" si="179"/>
        <v>7.394</v>
      </c>
      <c r="GK340" s="104"/>
      <c r="GL340" s="104"/>
      <c r="GO340" s="94"/>
    </row>
    <row r="341" spans="3:197">
      <c r="C341" s="80" t="str" cm="1">
        <f t="array" ref="C341">_xlfn.IFS(MONTH(D341)&lt;4,1,MONTH(D341)&lt;7,2,MONTH(D341)&lt;10,3,MONTH(D341)&gt;9,4)&amp;"Q"&amp;RIGHT(YEAR(D341),2)</f>
        <v>2Q17</v>
      </c>
      <c r="D341" s="81">
        <f t="shared" si="160"/>
        <v>42886</v>
      </c>
      <c r="E341" s="82">
        <f t="shared" ref="E341:E404" si="196">I341</f>
        <v>42886</v>
      </c>
      <c r="F341" s="83">
        <f t="shared" si="158"/>
        <v>0.798875</v>
      </c>
      <c r="G341" s="83">
        <f t="shared" si="158"/>
        <v>0.8125</v>
      </c>
      <c r="H341" s="81"/>
      <c r="I341" s="146">
        <v>42886</v>
      </c>
      <c r="J341" s="147">
        <v>7.2</v>
      </c>
      <c r="K341" s="147">
        <v>6.3</v>
      </c>
      <c r="L341" s="147">
        <v>6.391</v>
      </c>
      <c r="M341" s="94" cm="1">
        <f t="array" ref="M341">INDEX($BV$29:$BV$1449,MATCH($D341,$BR$29:$BR$1449,0),)</f>
        <v>6.5</v>
      </c>
      <c r="N341" s="150">
        <f t="shared" si="181"/>
        <v>0</v>
      </c>
      <c r="O341" s="150">
        <f t="shared" si="182"/>
        <v>0.000782962730973891</v>
      </c>
      <c r="P341" s="150">
        <f t="shared" si="180"/>
        <v>0.00203825650674183</v>
      </c>
      <c r="Q341" s="89">
        <f t="shared" si="183"/>
        <v>-0.0167692307692308</v>
      </c>
      <c r="AH341" s="105">
        <f t="shared" si="184"/>
        <v>44970</v>
      </c>
      <c r="AI341" s="91">
        <f t="shared" si="185"/>
        <v>1.819</v>
      </c>
      <c r="AJ341" s="36">
        <f t="shared" si="161"/>
        <v>-0.0162249864791779</v>
      </c>
      <c r="AK341" s="36">
        <f t="shared" si="163"/>
        <v>-0.0251875669882101</v>
      </c>
      <c r="AL341" s="105">
        <f t="shared" si="193"/>
        <v>44970</v>
      </c>
      <c r="AM341" s="91">
        <f t="shared" si="192"/>
        <v>4.717</v>
      </c>
      <c r="AN341" s="36">
        <f t="shared" si="194"/>
        <v>-0.0566000000000001</v>
      </c>
      <c r="AO341" s="36">
        <f t="shared" si="195"/>
        <v>-0.0774496381771955</v>
      </c>
      <c r="AP341" s="36"/>
      <c r="AQ341" s="128" t="str" cm="1">
        <f t="array" ref="AQ341">_xlfn.IFS(MONTH(AR341)&lt;4,1,MONTH(AR341)&lt;7,2,MONTH(AR341)&lt;10,3,MONTH(AR341)&gt;9,4)&amp;"Q"&amp;RIGHT(YEAR(AR341),2)</f>
        <v>1Q25</v>
      </c>
      <c r="AR341" s="128">
        <f t="shared" si="162"/>
        <v>45716</v>
      </c>
      <c r="AS341" s="129">
        <f t="shared" si="173"/>
        <v>45698</v>
      </c>
      <c r="AT341" s="135">
        <v>65</v>
      </c>
      <c r="AU341" s="134" cm="1">
        <f t="array" ref="AU341">INDEX($CE$29:$CE$1449,MATCH($AR341,$CA$29:$CA$1449,0),)</f>
        <v>69</v>
      </c>
      <c r="AV341" s="135">
        <v>141.5</v>
      </c>
      <c r="AW341" s="134" cm="1">
        <f t="array" ref="AW341">INDEX($CF$29:$CF$1449,MATCH($AR341,$CA$29:$CA$1449,0),)</f>
        <v>140</v>
      </c>
      <c r="AX341" s="135">
        <v>132.25</v>
      </c>
      <c r="AY341" s="134" cm="1">
        <f t="array" ref="AY341">INDEX($CO$29:$CO$1449,MATCH($AR341,$CA$29:$CA$1449,0),)</f>
        <v>130</v>
      </c>
      <c r="AZ341" s="135">
        <v>270.25</v>
      </c>
      <c r="BA341" s="134" cm="1">
        <f t="array" ref="BA341">INDEX($CP$29:$CP$1449,MATCH($AR341,$CA$29:$CA$1449,0),)</f>
        <v>265</v>
      </c>
      <c r="BB341" s="133">
        <f t="shared" si="165"/>
        <v>0</v>
      </c>
      <c r="BC341" s="132">
        <f t="shared" si="167"/>
        <v>0</v>
      </c>
      <c r="BD341" s="132">
        <f t="shared" si="169"/>
        <v>0.00775193798449614</v>
      </c>
      <c r="BE341" s="133">
        <f t="shared" si="166"/>
        <v>-0.00211565585331464</v>
      </c>
      <c r="BF341" s="132">
        <f t="shared" si="168"/>
        <v>-0.00211565585331464</v>
      </c>
      <c r="BG341" s="132">
        <f t="shared" si="170"/>
        <v>-0.00211565585331464</v>
      </c>
      <c r="BH341" s="133">
        <f t="shared" si="186"/>
        <v>0.010313216195569</v>
      </c>
      <c r="BI341" s="132">
        <f t="shared" si="187"/>
        <v>0.00954198473282442</v>
      </c>
      <c r="BJ341" s="132">
        <f t="shared" si="188"/>
        <v>0.00570342205323193</v>
      </c>
      <c r="BK341" s="133">
        <f t="shared" si="189"/>
        <v>-0.00331919601696473</v>
      </c>
      <c r="BL341" s="132">
        <f t="shared" si="190"/>
        <v>-0.00368663594470042</v>
      </c>
      <c r="BM341" s="132">
        <f t="shared" si="191"/>
        <v>-0.00460405156537758</v>
      </c>
      <c r="FV341" s="104">
        <f t="shared" si="174"/>
        <v>2011</v>
      </c>
      <c r="FW341" s="104">
        <f t="shared" si="175"/>
        <v>52</v>
      </c>
      <c r="FX341" s="35">
        <v>40899</v>
      </c>
      <c r="FY341" s="26">
        <v>0.82</v>
      </c>
      <c r="FZ341" s="94">
        <f t="shared" si="176"/>
        <v>3.28</v>
      </c>
      <c r="GA341" s="104"/>
      <c r="GB341" s="104"/>
      <c r="GE341" s="94"/>
      <c r="GF341" s="104">
        <f t="shared" si="177"/>
        <v>2014</v>
      </c>
      <c r="GG341" s="104">
        <f t="shared" si="178"/>
        <v>15</v>
      </c>
      <c r="GH341" s="35">
        <v>41736</v>
      </c>
      <c r="GI341" s="26">
        <v>3.697</v>
      </c>
      <c r="GJ341" s="94">
        <f t="shared" si="179"/>
        <v>7.394</v>
      </c>
      <c r="GK341" s="104"/>
      <c r="GL341" s="104"/>
      <c r="GO341" s="94"/>
    </row>
    <row r="342" spans="3:197">
      <c r="C342" s="80" t="str" cm="1">
        <f t="array" ref="C342">_xlfn.IFS(MONTH(D342)&lt;4,1,MONTH(D342)&lt;7,2,MONTH(D342)&lt;10,3,MONTH(D342)&gt;9,4)&amp;"Q"&amp;RIGHT(YEAR(D342),2)</f>
        <v>2Q17</v>
      </c>
      <c r="D342" s="81">
        <f t="shared" si="160"/>
        <v>42916</v>
      </c>
      <c r="E342" s="82">
        <f t="shared" si="196"/>
        <v>42887</v>
      </c>
      <c r="F342" s="83">
        <f t="shared" si="158"/>
        <v>0.798875</v>
      </c>
      <c r="G342" s="83">
        <f t="shared" si="158"/>
        <v>0.8125</v>
      </c>
      <c r="H342" s="81"/>
      <c r="I342" s="146">
        <v>42887</v>
      </c>
      <c r="J342" s="147">
        <v>7.2</v>
      </c>
      <c r="K342" s="147">
        <v>6.3</v>
      </c>
      <c r="L342" s="147">
        <v>6.391</v>
      </c>
      <c r="M342" s="94" cm="1">
        <f t="array" ref="M342">INDEX($BV$29:$BV$1449,MATCH($D342,$BR$29:$BR$1449,0),)</f>
        <v>6.5</v>
      </c>
      <c r="N342" s="150">
        <f t="shared" si="181"/>
        <v>0</v>
      </c>
      <c r="O342" s="150">
        <f t="shared" si="182"/>
        <v>0.000782962730973891</v>
      </c>
      <c r="P342" s="150">
        <f t="shared" si="180"/>
        <v>0.00141021623315574</v>
      </c>
      <c r="Q342" s="89">
        <f t="shared" si="183"/>
        <v>-0.0167692307692308</v>
      </c>
      <c r="AH342" s="105">
        <f t="shared" si="184"/>
        <v>44977</v>
      </c>
      <c r="AI342" s="91">
        <f t="shared" si="185"/>
        <v>1.819</v>
      </c>
      <c r="AJ342" s="36">
        <f t="shared" si="161"/>
        <v>0</v>
      </c>
      <c r="AK342" s="36">
        <f t="shared" si="163"/>
        <v>-0.0162249864791779</v>
      </c>
      <c r="AL342" s="105">
        <f t="shared" si="193"/>
        <v>44977</v>
      </c>
      <c r="AM342" s="91">
        <f t="shared" si="192"/>
        <v>4.621</v>
      </c>
      <c r="AN342" s="36">
        <f t="shared" si="194"/>
        <v>-0.0203519185923254</v>
      </c>
      <c r="AO342" s="36">
        <f t="shared" si="195"/>
        <v>-0.0757999999999999</v>
      </c>
      <c r="AP342" s="36"/>
      <c r="AQ342" s="128" t="str" cm="1">
        <f t="array" ref="AQ342">_xlfn.IFS(MONTH(AR342)&lt;4,1,MONTH(AR342)&lt;7,2,MONTH(AR342)&lt;10,3,MONTH(AR342)&gt;9,4)&amp;"Q"&amp;RIGHT(YEAR(AR342),2)</f>
        <v>1Q25</v>
      </c>
      <c r="AR342" s="128">
        <f t="shared" si="162"/>
        <v>45716</v>
      </c>
      <c r="AS342" s="129">
        <f t="shared" si="173"/>
        <v>45705</v>
      </c>
      <c r="AT342" s="135">
        <v>65</v>
      </c>
      <c r="AU342" s="134" cm="1">
        <f t="array" ref="AU342">INDEX($CE$29:$CE$1449,MATCH($AR342,$CA$29:$CA$1449,0),)</f>
        <v>69</v>
      </c>
      <c r="AV342" s="135">
        <v>140</v>
      </c>
      <c r="AW342" s="134" cm="1">
        <f t="array" ref="AW342">INDEX($CF$29:$CF$1449,MATCH($AR342,$CA$29:$CA$1449,0),)</f>
        <v>140</v>
      </c>
      <c r="AX342" s="135">
        <v>132</v>
      </c>
      <c r="AY342" s="134" cm="1">
        <f t="array" ref="AY342">INDEX($CO$29:$CO$1449,MATCH($AR342,$CA$29:$CA$1449,0),)</f>
        <v>130</v>
      </c>
      <c r="AZ342" s="135">
        <v>269.25</v>
      </c>
      <c r="BA342" s="134" cm="1">
        <f t="array" ref="BA342">INDEX($CP$29:$CP$1449,MATCH($AR342,$CA$29:$CA$1449,0),)</f>
        <v>265</v>
      </c>
      <c r="BB342" s="133">
        <f t="shared" si="165"/>
        <v>0</v>
      </c>
      <c r="BC342" s="132">
        <f t="shared" si="167"/>
        <v>0</v>
      </c>
      <c r="BD342" s="132">
        <f t="shared" si="169"/>
        <v>0</v>
      </c>
      <c r="BE342" s="133">
        <f t="shared" si="166"/>
        <v>-0.0106007067137809</v>
      </c>
      <c r="BF342" s="132">
        <f t="shared" si="168"/>
        <v>-0.0126939351198873</v>
      </c>
      <c r="BG342" s="132">
        <f t="shared" si="170"/>
        <v>-0.0126939351198873</v>
      </c>
      <c r="BH342" s="133">
        <f t="shared" si="186"/>
        <v>-0.00189035916824198</v>
      </c>
      <c r="BI342" s="132">
        <f t="shared" si="187"/>
        <v>0.00840336134453779</v>
      </c>
      <c r="BJ342" s="132">
        <f t="shared" si="188"/>
        <v>0.00763358778625944</v>
      </c>
      <c r="BK342" s="133">
        <f t="shared" si="189"/>
        <v>-0.00370027752081403</v>
      </c>
      <c r="BL342" s="132">
        <f t="shared" si="190"/>
        <v>-0.00700719159136998</v>
      </c>
      <c r="BM342" s="132">
        <f t="shared" si="191"/>
        <v>-0.00737327188940096</v>
      </c>
      <c r="FV342" s="104">
        <f t="shared" si="174"/>
        <v>2011</v>
      </c>
      <c r="FW342" s="104">
        <f t="shared" si="175"/>
        <v>52</v>
      </c>
      <c r="FX342" s="35">
        <v>40900</v>
      </c>
      <c r="FY342" s="26">
        <v>0.82</v>
      </c>
      <c r="FZ342" s="94">
        <f t="shared" si="176"/>
        <v>3.28</v>
      </c>
      <c r="GA342" s="104"/>
      <c r="GB342" s="104"/>
      <c r="GE342" s="94"/>
      <c r="GF342" s="104">
        <f t="shared" si="177"/>
        <v>2014</v>
      </c>
      <c r="GG342" s="104">
        <f t="shared" si="178"/>
        <v>15</v>
      </c>
      <c r="GH342" s="35">
        <v>41737</v>
      </c>
      <c r="GI342" s="26">
        <v>3.69</v>
      </c>
      <c r="GJ342" s="94">
        <f t="shared" si="179"/>
        <v>7.38</v>
      </c>
      <c r="GK342" s="104"/>
      <c r="GL342" s="104"/>
      <c r="GO342" s="94"/>
    </row>
    <row r="343" spans="3:197">
      <c r="C343" s="80" t="str" cm="1">
        <f t="array" ref="C343">_xlfn.IFS(MONTH(D343)&lt;4,1,MONTH(D343)&lt;7,2,MONTH(D343)&lt;10,3,MONTH(D343)&gt;9,4)&amp;"Q"&amp;RIGHT(YEAR(D343),2)</f>
        <v>2Q17</v>
      </c>
      <c r="D343" s="81">
        <f t="shared" si="160"/>
        <v>42916</v>
      </c>
      <c r="E343" s="82">
        <f t="shared" si="196"/>
        <v>42888</v>
      </c>
      <c r="F343" s="83">
        <f t="shared" si="158"/>
        <v>0.798875</v>
      </c>
      <c r="G343" s="83">
        <f t="shared" si="158"/>
        <v>0.8125</v>
      </c>
      <c r="H343" s="81"/>
      <c r="I343" s="146">
        <v>42888</v>
      </c>
      <c r="J343" s="147">
        <v>7.22</v>
      </c>
      <c r="K343" s="147">
        <v>6.3</v>
      </c>
      <c r="L343" s="147">
        <v>6.391</v>
      </c>
      <c r="M343" s="94" cm="1">
        <f t="array" ref="M343">INDEX($BV$29:$BV$1449,MATCH($D343,$BR$29:$BR$1449,0),)</f>
        <v>6.5</v>
      </c>
      <c r="N343" s="150">
        <f t="shared" si="181"/>
        <v>0</v>
      </c>
      <c r="O343" s="150">
        <f t="shared" si="182"/>
        <v>0.000782962730973891</v>
      </c>
      <c r="P343" s="150">
        <f t="shared" si="180"/>
        <v>0.000782962730973891</v>
      </c>
      <c r="Q343" s="89">
        <f t="shared" si="183"/>
        <v>-0.0167692307692308</v>
      </c>
      <c r="AH343" s="105">
        <f t="shared" si="184"/>
        <v>44984</v>
      </c>
      <c r="AI343" s="91">
        <f t="shared" si="185"/>
        <v>1.806</v>
      </c>
      <c r="AJ343" s="36">
        <f t="shared" si="161"/>
        <v>-0.00714678394722368</v>
      </c>
      <c r="AK343" s="36">
        <f t="shared" si="163"/>
        <v>-0.00714678394722368</v>
      </c>
      <c r="AL343" s="105">
        <f t="shared" si="193"/>
        <v>44984</v>
      </c>
      <c r="AM343" s="91">
        <f t="shared" si="192"/>
        <v>4.459</v>
      </c>
      <c r="AN343" s="36">
        <f t="shared" si="194"/>
        <v>-0.0350573468946117</v>
      </c>
      <c r="AO343" s="36">
        <f t="shared" si="195"/>
        <v>-0.0546957812168751</v>
      </c>
      <c r="AP343" s="36"/>
      <c r="AQ343" s="128" t="str" cm="1">
        <f t="array" ref="AQ343">_xlfn.IFS(MONTH(AR343)&lt;4,1,MONTH(AR343)&lt;7,2,MONTH(AR343)&lt;10,3,MONTH(AR343)&gt;9,4)&amp;"Q"&amp;RIGHT(YEAR(AR343),2)</f>
        <v>1Q25</v>
      </c>
      <c r="AR343" s="128">
        <f t="shared" si="162"/>
        <v>45716</v>
      </c>
      <c r="AS343" s="129">
        <f t="shared" si="173"/>
        <v>45712</v>
      </c>
      <c r="AT343" s="135">
        <v>65</v>
      </c>
      <c r="AU343" s="134" cm="1">
        <f t="array" ref="AU343">INDEX($CE$29:$CE$1449,MATCH($AR343,$CA$29:$CA$1449,0),)</f>
        <v>69</v>
      </c>
      <c r="AV343" s="135">
        <v>138.8</v>
      </c>
      <c r="AW343" s="134" cm="1">
        <f t="array" ref="AW343">INDEX($CF$29:$CF$1449,MATCH($AR343,$CA$29:$CA$1449,0),)</f>
        <v>140</v>
      </c>
      <c r="AX343" s="135">
        <v>132</v>
      </c>
      <c r="AY343" s="134" cm="1">
        <f t="array" ref="AY343">INDEX($CO$29:$CO$1449,MATCH($AR343,$CA$29:$CA$1449,0),)</f>
        <v>130</v>
      </c>
      <c r="AZ343" s="135">
        <v>265</v>
      </c>
      <c r="BA343" s="134" cm="1">
        <f t="array" ref="BA343">INDEX($CP$29:$CP$1449,MATCH($AR343,$CA$29:$CA$1449,0),)</f>
        <v>265</v>
      </c>
      <c r="BB343" s="133">
        <f t="shared" si="165"/>
        <v>0</v>
      </c>
      <c r="BC343" s="132">
        <f t="shared" si="167"/>
        <v>0</v>
      </c>
      <c r="BD343" s="132">
        <f t="shared" si="169"/>
        <v>0</v>
      </c>
      <c r="BE343" s="133">
        <f t="shared" si="166"/>
        <v>-0.00857142857142845</v>
      </c>
      <c r="BF343" s="132">
        <f t="shared" si="168"/>
        <v>-0.0190812720848056</v>
      </c>
      <c r="BG343" s="132">
        <f t="shared" si="170"/>
        <v>-0.0211565585331452</v>
      </c>
      <c r="BH343" s="133">
        <f t="shared" si="186"/>
        <v>0</v>
      </c>
      <c r="BI343" s="132">
        <f t="shared" si="187"/>
        <v>-0.00189035916824198</v>
      </c>
      <c r="BJ343" s="132">
        <f t="shared" si="188"/>
        <v>0.00840336134453779</v>
      </c>
      <c r="BK343" s="133">
        <f t="shared" si="189"/>
        <v>-0.0157845868152274</v>
      </c>
      <c r="BL343" s="132">
        <f t="shared" si="190"/>
        <v>-0.0194264569842738</v>
      </c>
      <c r="BM343" s="132">
        <f t="shared" si="191"/>
        <v>-0.0226811727825926</v>
      </c>
      <c r="FV343" s="104">
        <f t="shared" si="174"/>
        <v>2011</v>
      </c>
      <c r="FW343" s="104">
        <f t="shared" si="175"/>
        <v>53</v>
      </c>
      <c r="FX343" s="35">
        <v>40903</v>
      </c>
      <c r="FY343" s="26">
        <v>0.82</v>
      </c>
      <c r="FZ343" s="94">
        <f t="shared" si="176"/>
        <v>3.28</v>
      </c>
      <c r="GA343" s="104"/>
      <c r="GB343" s="104"/>
      <c r="GE343" s="94"/>
      <c r="GF343" s="104">
        <f t="shared" si="177"/>
        <v>2014</v>
      </c>
      <c r="GG343" s="104">
        <f t="shared" si="178"/>
        <v>15</v>
      </c>
      <c r="GH343" s="35">
        <v>41738</v>
      </c>
      <c r="GI343" s="26">
        <v>3.688</v>
      </c>
      <c r="GJ343" s="94">
        <f t="shared" si="179"/>
        <v>7.376</v>
      </c>
      <c r="GK343" s="104"/>
      <c r="GL343" s="104"/>
      <c r="GO343" s="94"/>
    </row>
    <row r="344" spans="3:197">
      <c r="C344" s="80" t="str" cm="1">
        <f t="array" ref="C344">_xlfn.IFS(MONTH(D344)&lt;4,1,MONTH(D344)&lt;7,2,MONTH(D344)&lt;10,3,MONTH(D344)&gt;9,4)&amp;"Q"&amp;RIGHT(YEAR(D344),2)</f>
        <v>2Q17</v>
      </c>
      <c r="D344" s="81">
        <f t="shared" si="160"/>
        <v>42916</v>
      </c>
      <c r="E344" s="82">
        <f t="shared" si="196"/>
        <v>42891</v>
      </c>
      <c r="F344" s="83">
        <f t="shared" si="158"/>
        <v>0.798875</v>
      </c>
      <c r="G344" s="83">
        <f t="shared" si="158"/>
        <v>0.8125</v>
      </c>
      <c r="H344" s="81"/>
      <c r="I344" s="146">
        <v>42891</v>
      </c>
      <c r="J344" s="147">
        <v>7.2</v>
      </c>
      <c r="K344" s="147">
        <v>6.3</v>
      </c>
      <c r="L344" s="147">
        <v>6.391</v>
      </c>
      <c r="M344" s="94" cm="1">
        <f t="array" ref="M344">INDEX($BV$29:$BV$1449,MATCH($D344,$BR$29:$BR$1449,0),)</f>
        <v>6.5</v>
      </c>
      <c r="N344" s="150">
        <f t="shared" si="181"/>
        <v>0</v>
      </c>
      <c r="O344" s="150">
        <f t="shared" si="182"/>
        <v>0</v>
      </c>
      <c r="P344" s="150">
        <f t="shared" si="180"/>
        <v>0.000782962730973891</v>
      </c>
      <c r="Q344" s="89">
        <f t="shared" si="183"/>
        <v>-0.0167692307692308</v>
      </c>
      <c r="AH344" s="105">
        <f t="shared" si="184"/>
        <v>44991</v>
      </c>
      <c r="AI344" s="91">
        <f t="shared" si="185"/>
        <v>1.751</v>
      </c>
      <c r="AJ344" s="36">
        <f t="shared" si="161"/>
        <v>-0.0304540420819491</v>
      </c>
      <c r="AK344" s="36">
        <f t="shared" si="163"/>
        <v>-0.0373831775700935</v>
      </c>
      <c r="AL344" s="105">
        <f t="shared" si="193"/>
        <v>44991</v>
      </c>
      <c r="AM344" s="91">
        <f t="shared" si="192"/>
        <v>4.354</v>
      </c>
      <c r="AN344" s="36">
        <f t="shared" si="194"/>
        <v>-0.0235478806907378</v>
      </c>
      <c r="AO344" s="36">
        <f t="shared" si="195"/>
        <v>-0.0577797013633413</v>
      </c>
      <c r="AP344" s="36"/>
      <c r="AQ344" s="128" t="str" cm="1">
        <f t="array" ref="AQ344">_xlfn.IFS(MONTH(AR344)&lt;4,1,MONTH(AR344)&lt;7,2,MONTH(AR344)&lt;10,3,MONTH(AR344)&gt;9,4)&amp;"Q"&amp;RIGHT(YEAR(AR344),2)</f>
        <v>1Q25</v>
      </c>
      <c r="AR344" s="128">
        <f t="shared" si="162"/>
        <v>45747</v>
      </c>
      <c r="AS344" s="129">
        <f t="shared" si="173"/>
        <v>45719</v>
      </c>
      <c r="AT344" s="135">
        <v>65</v>
      </c>
      <c r="AU344" s="134" cm="1">
        <f t="array" ref="AU344">INDEX($CE$29:$CE$1449,MATCH($AR344,$CA$29:$CA$1449,0),)</f>
        <v>69</v>
      </c>
      <c r="AV344" s="135">
        <v>138.8</v>
      </c>
      <c r="AW344" s="134" cm="1">
        <f t="array" ref="AW344">INDEX($CF$29:$CF$1449,MATCH($AR344,$CA$29:$CA$1449,0),)</f>
        <v>140</v>
      </c>
      <c r="AX344" s="135">
        <v>131.5</v>
      </c>
      <c r="AY344" s="134" cm="1">
        <f t="array" ref="AY344">INDEX($CO$29:$CO$1449,MATCH($AR344,$CA$29:$CA$1449,0),)</f>
        <v>127</v>
      </c>
      <c r="AZ344" s="135">
        <v>263</v>
      </c>
      <c r="BA344" s="134" cm="1">
        <f t="array" ref="BA344">INDEX($CP$29:$CP$1449,MATCH($AR344,$CA$29:$CA$1449,0),)</f>
        <v>260</v>
      </c>
      <c r="BB344" s="133">
        <f t="shared" si="165"/>
        <v>0</v>
      </c>
      <c r="BC344" s="132">
        <f t="shared" si="167"/>
        <v>0</v>
      </c>
      <c r="BD344" s="132">
        <f t="shared" si="169"/>
        <v>0</v>
      </c>
      <c r="BE344" s="133">
        <f t="shared" si="166"/>
        <v>0</v>
      </c>
      <c r="BF344" s="132">
        <f t="shared" si="168"/>
        <v>-0.00857142857142845</v>
      </c>
      <c r="BG344" s="132">
        <f t="shared" si="170"/>
        <v>-0.0190812720848056</v>
      </c>
      <c r="BH344" s="133">
        <f t="shared" si="186"/>
        <v>-0.00378787878787878</v>
      </c>
      <c r="BI344" s="132">
        <f t="shared" si="187"/>
        <v>-0.00378787878787878</v>
      </c>
      <c r="BJ344" s="132">
        <f t="shared" si="188"/>
        <v>-0.00567107750472595</v>
      </c>
      <c r="BK344" s="133">
        <f t="shared" si="189"/>
        <v>-0.00754716981132075</v>
      </c>
      <c r="BL344" s="132">
        <f t="shared" si="190"/>
        <v>-0.0232126276694522</v>
      </c>
      <c r="BM344" s="132">
        <f t="shared" si="191"/>
        <v>-0.026827012025902</v>
      </c>
      <c r="FV344" s="104">
        <f t="shared" si="174"/>
        <v>2011</v>
      </c>
      <c r="FW344" s="104">
        <f t="shared" si="175"/>
        <v>53</v>
      </c>
      <c r="FX344" s="35">
        <v>40904</v>
      </c>
      <c r="FY344" s="26">
        <v>0.83</v>
      </c>
      <c r="FZ344" s="94">
        <f t="shared" si="176"/>
        <v>3.32</v>
      </c>
      <c r="GA344" s="104"/>
      <c r="GB344" s="104"/>
      <c r="GE344" s="94"/>
      <c r="GF344" s="104">
        <f t="shared" si="177"/>
        <v>2014</v>
      </c>
      <c r="GG344" s="104">
        <f t="shared" si="178"/>
        <v>15</v>
      </c>
      <c r="GH344" s="35">
        <v>41739</v>
      </c>
      <c r="GI344" s="26">
        <v>3.656</v>
      </c>
      <c r="GJ344" s="94">
        <f t="shared" si="179"/>
        <v>7.312</v>
      </c>
      <c r="GK344" s="104"/>
      <c r="GL344" s="104"/>
      <c r="GO344" s="94"/>
    </row>
    <row r="345" spans="3:197">
      <c r="C345" s="80" t="str" cm="1">
        <f t="array" ref="C345">_xlfn.IFS(MONTH(D345)&lt;4,1,MONTH(D345)&lt;7,2,MONTH(D345)&lt;10,3,MONTH(D345)&gt;9,4)&amp;"Q"&amp;RIGHT(YEAR(D345),2)</f>
        <v>2Q17</v>
      </c>
      <c r="D345" s="81">
        <f t="shared" si="160"/>
        <v>42916</v>
      </c>
      <c r="E345" s="82">
        <f t="shared" si="196"/>
        <v>42892</v>
      </c>
      <c r="F345" s="83">
        <f t="shared" si="158"/>
        <v>0.798875</v>
      </c>
      <c r="G345" s="83">
        <f t="shared" si="158"/>
        <v>0.8125</v>
      </c>
      <c r="H345" s="81"/>
      <c r="I345" s="146">
        <v>42892</v>
      </c>
      <c r="J345" s="147">
        <v>7.2</v>
      </c>
      <c r="K345" s="147">
        <v>6.31</v>
      </c>
      <c r="L345" s="147">
        <v>6.391</v>
      </c>
      <c r="M345" s="94" cm="1">
        <f t="array" ref="M345">INDEX($BV$29:$BV$1449,MATCH($D345,$BR$29:$BR$1449,0),)</f>
        <v>6.5</v>
      </c>
      <c r="N345" s="150">
        <f t="shared" si="181"/>
        <v>0</v>
      </c>
      <c r="O345" s="150">
        <f t="shared" si="182"/>
        <v>0</v>
      </c>
      <c r="P345" s="150">
        <f t="shared" si="180"/>
        <v>0.000782962730973891</v>
      </c>
      <c r="Q345" s="89">
        <f t="shared" si="183"/>
        <v>-0.0167692307692308</v>
      </c>
      <c r="AH345" s="105">
        <f t="shared" si="184"/>
        <v>44998</v>
      </c>
      <c r="AI345" s="91">
        <f t="shared" si="185"/>
        <v>1.717</v>
      </c>
      <c r="AJ345" s="36">
        <f t="shared" si="161"/>
        <v>-0.0194174757281552</v>
      </c>
      <c r="AK345" s="36">
        <f t="shared" si="163"/>
        <v>-0.0492801771871539</v>
      </c>
      <c r="AL345" s="105">
        <f t="shared" si="193"/>
        <v>44998</v>
      </c>
      <c r="AM345" s="91">
        <f t="shared" si="192"/>
        <v>4.204</v>
      </c>
      <c r="AN345" s="36">
        <f t="shared" si="194"/>
        <v>-0.0344510794671568</v>
      </c>
      <c r="AO345" s="36">
        <f t="shared" si="195"/>
        <v>-0.0571877102489348</v>
      </c>
      <c r="AP345" s="36"/>
      <c r="AQ345" s="128" t="str" cm="1">
        <f t="array" ref="AQ345">_xlfn.IFS(MONTH(AR345)&lt;4,1,MONTH(AR345)&lt;7,2,MONTH(AR345)&lt;10,3,MONTH(AR345)&gt;9,4)&amp;"Q"&amp;RIGHT(YEAR(AR345),2)</f>
        <v>1Q25</v>
      </c>
      <c r="AR345" s="128">
        <f t="shared" si="162"/>
        <v>45747</v>
      </c>
      <c r="AS345" s="129">
        <f t="shared" si="173"/>
        <v>45726</v>
      </c>
      <c r="AT345" s="135">
        <v>66</v>
      </c>
      <c r="AU345" s="134" cm="1">
        <f t="array" ref="AU345">INDEX($CE$29:$CE$1449,MATCH($AR345,$CA$29:$CA$1449,0),)</f>
        <v>69</v>
      </c>
      <c r="AV345" s="135">
        <v>138</v>
      </c>
      <c r="AW345" s="134" cm="1">
        <f t="array" ref="AW345">INDEX($CF$29:$CF$1449,MATCH($AR345,$CA$29:$CA$1449,0),)</f>
        <v>140</v>
      </c>
      <c r="AX345" s="135">
        <v>131</v>
      </c>
      <c r="AY345" s="134" cm="1">
        <f t="array" ref="AY345">INDEX($CO$29:$CO$1449,MATCH($AR345,$CA$29:$CA$1449,0),)</f>
        <v>127</v>
      </c>
      <c r="AZ345" s="135">
        <v>259.5</v>
      </c>
      <c r="BA345" s="134" cm="1">
        <f t="array" ref="BA345">INDEX($CP$29:$CP$1449,MATCH($AR345,$CA$29:$CA$1449,0),)</f>
        <v>260</v>
      </c>
      <c r="BB345" s="133">
        <f t="shared" si="165"/>
        <v>0.0153846153846153</v>
      </c>
      <c r="BC345" s="132">
        <f t="shared" si="167"/>
        <v>0.0153846153846153</v>
      </c>
      <c r="BD345" s="132">
        <f t="shared" si="169"/>
        <v>0.0153846153846153</v>
      </c>
      <c r="BE345" s="133">
        <f t="shared" si="166"/>
        <v>-0.00576368876080702</v>
      </c>
      <c r="BF345" s="132">
        <f t="shared" si="168"/>
        <v>-0.00576368876080702</v>
      </c>
      <c r="BG345" s="132">
        <f t="shared" si="170"/>
        <v>-0.0142857142857142</v>
      </c>
      <c r="BH345" s="133">
        <f t="shared" si="186"/>
        <v>-0.00380228136882133</v>
      </c>
      <c r="BI345" s="132">
        <f t="shared" si="187"/>
        <v>-0.00757575757575757</v>
      </c>
      <c r="BJ345" s="132">
        <f t="shared" si="188"/>
        <v>-0.00757575757575757</v>
      </c>
      <c r="BK345" s="133">
        <f t="shared" si="189"/>
        <v>-0.0133079847908745</v>
      </c>
      <c r="BL345" s="132">
        <f t="shared" si="190"/>
        <v>-0.0207547169811321</v>
      </c>
      <c r="BM345" s="132">
        <f t="shared" si="191"/>
        <v>-0.0362116991643454</v>
      </c>
      <c r="FV345" s="104">
        <f t="shared" si="174"/>
        <v>2011</v>
      </c>
      <c r="FW345" s="104">
        <f t="shared" si="175"/>
        <v>53</v>
      </c>
      <c r="FX345" s="35">
        <v>40905</v>
      </c>
      <c r="FY345" s="26">
        <v>0.87</v>
      </c>
      <c r="FZ345" s="94">
        <f t="shared" si="176"/>
        <v>3.48</v>
      </c>
      <c r="GA345" s="104"/>
      <c r="GB345" s="104"/>
      <c r="GE345" s="94"/>
      <c r="GF345" s="104">
        <f t="shared" si="177"/>
        <v>2014</v>
      </c>
      <c r="GG345" s="104">
        <f t="shared" si="178"/>
        <v>15</v>
      </c>
      <c r="GH345" s="35">
        <v>41740</v>
      </c>
      <c r="GI345" s="26">
        <v>3.667</v>
      </c>
      <c r="GJ345" s="94">
        <f t="shared" si="179"/>
        <v>7.334</v>
      </c>
      <c r="GK345" s="104"/>
      <c r="GL345" s="104"/>
      <c r="GO345" s="94"/>
    </row>
    <row r="346" spans="3:197">
      <c r="C346" s="80" t="str" cm="1">
        <f t="array" ref="C346">_xlfn.IFS(MONTH(D346)&lt;4,1,MONTH(D346)&lt;7,2,MONTH(D346)&lt;10,3,MONTH(D346)&gt;9,4)&amp;"Q"&amp;RIGHT(YEAR(D346),2)</f>
        <v>2Q17</v>
      </c>
      <c r="D346" s="81">
        <f t="shared" si="160"/>
        <v>42916</v>
      </c>
      <c r="E346" s="82">
        <f t="shared" si="196"/>
        <v>42893</v>
      </c>
      <c r="F346" s="83">
        <f t="shared" si="158"/>
        <v>0.798875</v>
      </c>
      <c r="G346" s="83">
        <f t="shared" si="158"/>
        <v>0.8125</v>
      </c>
      <c r="H346" s="81"/>
      <c r="I346" s="146">
        <v>42893</v>
      </c>
      <c r="J346" s="147">
        <v>7.2</v>
      </c>
      <c r="K346" s="147">
        <v>6.31</v>
      </c>
      <c r="L346" s="147">
        <v>6.391</v>
      </c>
      <c r="M346" s="94" cm="1">
        <f t="array" ref="M346">INDEX($BV$29:$BV$1449,MATCH($D346,$BR$29:$BR$1449,0),)</f>
        <v>6.5</v>
      </c>
      <c r="N346" s="150">
        <f t="shared" si="181"/>
        <v>0</v>
      </c>
      <c r="O346" s="150">
        <f t="shared" si="182"/>
        <v>0</v>
      </c>
      <c r="P346" s="150">
        <f t="shared" si="180"/>
        <v>0.000782962730973891</v>
      </c>
      <c r="Q346" s="89">
        <f t="shared" si="183"/>
        <v>-0.0167692307692308</v>
      </c>
      <c r="AH346" s="105">
        <f t="shared" si="184"/>
        <v>45005</v>
      </c>
      <c r="AI346" s="91">
        <f t="shared" si="185"/>
        <v>1.699</v>
      </c>
      <c r="AJ346" s="36">
        <f t="shared" si="161"/>
        <v>-0.0104834012813046</v>
      </c>
      <c r="AK346" s="36">
        <f t="shared" si="163"/>
        <v>-0.0296973158195316</v>
      </c>
      <c r="AL346" s="105">
        <f t="shared" si="193"/>
        <v>45005</v>
      </c>
      <c r="AM346" s="91">
        <f t="shared" si="192"/>
        <v>4.148</v>
      </c>
      <c r="AN346" s="36">
        <f t="shared" si="194"/>
        <v>-0.0133206470028544</v>
      </c>
      <c r="AO346" s="36">
        <f t="shared" si="195"/>
        <v>-0.0473128158015619</v>
      </c>
      <c r="AP346" s="36"/>
      <c r="AQ346" s="128" t="str" cm="1">
        <f t="array" ref="AQ346">_xlfn.IFS(MONTH(AR346)&lt;4,1,MONTH(AR346)&lt;7,2,MONTH(AR346)&lt;10,3,MONTH(AR346)&gt;9,4)&amp;"Q"&amp;RIGHT(YEAR(AR346),2)</f>
        <v>1Q25</v>
      </c>
      <c r="AR346" s="128">
        <f t="shared" si="162"/>
        <v>45747</v>
      </c>
      <c r="AS346" s="129">
        <f t="shared" si="173"/>
        <v>45733</v>
      </c>
      <c r="AT346" s="135">
        <v>67</v>
      </c>
      <c r="AU346" s="134" cm="1">
        <f t="array" ref="AU346">INDEX($CE$29:$CE$1449,MATCH($AR346,$CA$29:$CA$1449,0),)</f>
        <v>69</v>
      </c>
      <c r="AV346" s="135">
        <v>138.5</v>
      </c>
      <c r="AW346" s="134" cm="1">
        <f t="array" ref="AW346">INDEX($CF$29:$CF$1449,MATCH($AR346,$CA$29:$CA$1449,0),)</f>
        <v>140</v>
      </c>
      <c r="AX346" s="135">
        <v>130</v>
      </c>
      <c r="AY346" s="134" cm="1">
        <f t="array" ref="AY346">INDEX($CO$29:$CO$1449,MATCH($AR346,$CA$29:$CA$1449,0),)</f>
        <v>127</v>
      </c>
      <c r="AZ346" s="135">
        <v>260.5</v>
      </c>
      <c r="BA346" s="134" cm="1">
        <f t="array" ref="BA346">INDEX($CP$29:$CP$1449,MATCH($AR346,$CA$29:$CA$1449,0),)</f>
        <v>260</v>
      </c>
      <c r="BB346" s="133">
        <f t="shared" si="165"/>
        <v>0.0151515151515151</v>
      </c>
      <c r="BC346" s="132">
        <f t="shared" si="167"/>
        <v>0.0307692307692307</v>
      </c>
      <c r="BD346" s="132">
        <f t="shared" si="169"/>
        <v>0.0307692307692307</v>
      </c>
      <c r="BE346" s="133">
        <f t="shared" si="166"/>
        <v>0.00362318840579712</v>
      </c>
      <c r="BF346" s="132">
        <f t="shared" si="168"/>
        <v>-0.00216138328530269</v>
      </c>
      <c r="BG346" s="132">
        <f t="shared" si="170"/>
        <v>-0.00216138328530269</v>
      </c>
      <c r="BH346" s="133">
        <f t="shared" si="186"/>
        <v>-0.00763358778625955</v>
      </c>
      <c r="BI346" s="132">
        <f t="shared" si="187"/>
        <v>-0.0114068441064639</v>
      </c>
      <c r="BJ346" s="132">
        <f t="shared" si="188"/>
        <v>-0.0151515151515151</v>
      </c>
      <c r="BK346" s="133">
        <f t="shared" si="189"/>
        <v>0.0038535645472062</v>
      </c>
      <c r="BL346" s="132">
        <f t="shared" si="190"/>
        <v>-0.00950570342205326</v>
      </c>
      <c r="BM346" s="132">
        <f t="shared" si="191"/>
        <v>-0.0169811320754717</v>
      </c>
      <c r="FV346" s="104">
        <f t="shared" si="174"/>
        <v>2011</v>
      </c>
      <c r="FW346" s="104">
        <f t="shared" si="175"/>
        <v>53</v>
      </c>
      <c r="FX346" s="35">
        <v>40906</v>
      </c>
      <c r="FY346" s="26">
        <v>0.9</v>
      </c>
      <c r="FZ346" s="94">
        <f t="shared" si="176"/>
        <v>3.6</v>
      </c>
      <c r="GA346" s="104"/>
      <c r="GB346" s="104"/>
      <c r="GE346" s="94"/>
      <c r="GF346" s="104">
        <f t="shared" si="177"/>
        <v>2014</v>
      </c>
      <c r="GG346" s="104">
        <f t="shared" si="178"/>
        <v>16</v>
      </c>
      <c r="GH346" s="35">
        <v>41743</v>
      </c>
      <c r="GI346" s="26">
        <v>3.669</v>
      </c>
      <c r="GJ346" s="94">
        <f t="shared" si="179"/>
        <v>7.338</v>
      </c>
      <c r="GK346" s="104"/>
      <c r="GL346" s="104"/>
      <c r="GO346" s="94"/>
    </row>
    <row r="347" spans="3:197">
      <c r="C347" s="80" t="str" cm="1">
        <f t="array" ref="C347">_xlfn.IFS(MONTH(D347)&lt;4,1,MONTH(D347)&lt;7,2,MONTH(D347)&lt;10,3,MONTH(D347)&gt;9,4)&amp;"Q"&amp;RIGHT(YEAR(D347),2)</f>
        <v>2Q17</v>
      </c>
      <c r="D347" s="81">
        <f t="shared" si="160"/>
        <v>42916</v>
      </c>
      <c r="E347" s="82">
        <f t="shared" si="196"/>
        <v>42894</v>
      </c>
      <c r="F347" s="83">
        <f t="shared" si="158"/>
        <v>0.79825</v>
      </c>
      <c r="G347" s="83">
        <f t="shared" si="158"/>
        <v>0.8125</v>
      </c>
      <c r="H347" s="81"/>
      <c r="I347" s="146">
        <v>42894</v>
      </c>
      <c r="J347" s="147">
        <v>7.2</v>
      </c>
      <c r="K347" s="147">
        <v>6.3</v>
      </c>
      <c r="L347" s="147">
        <v>6.386</v>
      </c>
      <c r="M347" s="94" cm="1">
        <f t="array" ref="M347">INDEX($BV$29:$BV$1449,MATCH($D347,$BR$29:$BR$1449,0),)</f>
        <v>6.5</v>
      </c>
      <c r="N347" s="150">
        <f t="shared" si="181"/>
        <v>-0.00078235017994055</v>
      </c>
      <c r="O347" s="150">
        <f t="shared" si="182"/>
        <v>-0.00078235017994055</v>
      </c>
      <c r="P347" s="150">
        <f t="shared" si="180"/>
        <v>0</v>
      </c>
      <c r="Q347" s="89">
        <f t="shared" si="183"/>
        <v>-0.0175384615384615</v>
      </c>
      <c r="AH347" s="105">
        <f t="shared" si="184"/>
        <v>45012</v>
      </c>
      <c r="AI347" s="91">
        <f t="shared" si="185"/>
        <v>1.677</v>
      </c>
      <c r="AJ347" s="36">
        <f t="shared" si="161"/>
        <v>-0.012948793407887</v>
      </c>
      <c r="AK347" s="36">
        <f t="shared" si="163"/>
        <v>-0.023296447291788</v>
      </c>
      <c r="AL347" s="105">
        <f t="shared" si="193"/>
        <v>45012</v>
      </c>
      <c r="AM347" s="91">
        <f t="shared" si="192"/>
        <v>4.114</v>
      </c>
      <c r="AN347" s="36">
        <f t="shared" si="194"/>
        <v>-0.00819672131147542</v>
      </c>
      <c r="AO347" s="36">
        <f t="shared" si="195"/>
        <v>-0.0214081826831589</v>
      </c>
      <c r="AP347" s="36"/>
      <c r="AQ347" s="128" t="str" cm="1">
        <f t="array" ref="AQ347">_xlfn.IFS(MONTH(AR347)&lt;4,1,MONTH(AR347)&lt;7,2,MONTH(AR347)&lt;10,3,MONTH(AR347)&gt;9,4)&amp;"Q"&amp;RIGHT(YEAR(AR347),2)</f>
        <v>1Q25</v>
      </c>
      <c r="AR347" s="128">
        <f t="shared" si="162"/>
        <v>45747</v>
      </c>
      <c r="AS347" s="129">
        <f t="shared" si="173"/>
        <v>45740</v>
      </c>
      <c r="AT347" s="135">
        <v>70</v>
      </c>
      <c r="AU347" s="134" cm="1">
        <f t="array" ref="AU347">INDEX($CE$29:$CE$1449,MATCH($AR347,$CA$29:$CA$1449,0),)</f>
        <v>69</v>
      </c>
      <c r="AV347" s="135">
        <v>138.5</v>
      </c>
      <c r="AW347" s="134" cm="1">
        <f t="array" ref="AW347">INDEX($CF$29:$CF$1449,MATCH($AR347,$CA$29:$CA$1449,0),)</f>
        <v>140</v>
      </c>
      <c r="AX347" s="135">
        <v>131</v>
      </c>
      <c r="AY347" s="134" cm="1">
        <f t="array" ref="AY347">INDEX($CO$29:$CO$1449,MATCH($AR347,$CA$29:$CA$1449,0),)</f>
        <v>127</v>
      </c>
      <c r="AZ347" s="135">
        <v>260</v>
      </c>
      <c r="BA347" s="134" cm="1">
        <f t="array" ref="BA347">INDEX($CP$29:$CP$1449,MATCH($AR347,$CA$29:$CA$1449,0),)</f>
        <v>260</v>
      </c>
      <c r="BB347" s="133">
        <f t="shared" si="165"/>
        <v>0.044776119402985</v>
      </c>
      <c r="BC347" s="132">
        <f t="shared" si="167"/>
        <v>0.0606060606060606</v>
      </c>
      <c r="BD347" s="132">
        <f t="shared" si="169"/>
        <v>0.0769230769230769</v>
      </c>
      <c r="BE347" s="133">
        <f t="shared" si="166"/>
        <v>0</v>
      </c>
      <c r="BF347" s="132">
        <f t="shared" si="168"/>
        <v>0.00362318840579712</v>
      </c>
      <c r="BG347" s="132">
        <f t="shared" si="170"/>
        <v>-0.00216138328530269</v>
      </c>
      <c r="BH347" s="133">
        <f t="shared" si="186"/>
        <v>0.00769230769230766</v>
      </c>
      <c r="BI347" s="132">
        <f t="shared" si="187"/>
        <v>0</v>
      </c>
      <c r="BJ347" s="132">
        <f t="shared" si="188"/>
        <v>-0.00380228136882133</v>
      </c>
      <c r="BK347" s="133">
        <f t="shared" si="189"/>
        <v>-0.00191938579654516</v>
      </c>
      <c r="BL347" s="132">
        <f t="shared" si="190"/>
        <v>0.0019267822736031</v>
      </c>
      <c r="BM347" s="132">
        <f t="shared" si="191"/>
        <v>-0.0114068441064639</v>
      </c>
      <c r="FV347" s="104">
        <f t="shared" si="174"/>
        <v>2011</v>
      </c>
      <c r="FW347" s="104">
        <f t="shared" si="175"/>
        <v>53</v>
      </c>
      <c r="FX347" s="35">
        <v>40907</v>
      </c>
      <c r="FY347" s="26">
        <v>0.9</v>
      </c>
      <c r="FZ347" s="94">
        <f t="shared" si="176"/>
        <v>3.6</v>
      </c>
      <c r="GA347" s="104"/>
      <c r="GB347" s="104"/>
      <c r="GE347" s="94"/>
      <c r="GF347" s="104">
        <f t="shared" si="177"/>
        <v>2014</v>
      </c>
      <c r="GG347" s="104">
        <f t="shared" si="178"/>
        <v>16</v>
      </c>
      <c r="GH347" s="35">
        <v>41744</v>
      </c>
      <c r="GI347" s="26">
        <v>3.669</v>
      </c>
      <c r="GJ347" s="94">
        <f t="shared" si="179"/>
        <v>7.338</v>
      </c>
      <c r="GK347" s="104"/>
      <c r="GL347" s="104"/>
      <c r="GO347" s="94"/>
    </row>
    <row r="348" spans="3:197">
      <c r="C348" s="80" t="str" cm="1">
        <f t="array" ref="C348">_xlfn.IFS(MONTH(D348)&lt;4,1,MONTH(D348)&lt;7,2,MONTH(D348)&lt;10,3,MONTH(D348)&gt;9,4)&amp;"Q"&amp;RIGHT(YEAR(D348),2)</f>
        <v>2Q17</v>
      </c>
      <c r="D348" s="81">
        <f t="shared" si="160"/>
        <v>42916</v>
      </c>
      <c r="E348" s="82">
        <f t="shared" si="196"/>
        <v>42895</v>
      </c>
      <c r="F348" s="83">
        <f t="shared" si="158"/>
        <v>0.79825</v>
      </c>
      <c r="G348" s="83">
        <f t="shared" si="158"/>
        <v>0.8125</v>
      </c>
      <c r="H348" s="81"/>
      <c r="I348" s="146">
        <v>42895</v>
      </c>
      <c r="J348" s="147">
        <v>7.2</v>
      </c>
      <c r="K348" s="147">
        <v>6.3</v>
      </c>
      <c r="L348" s="147">
        <v>6.386</v>
      </c>
      <c r="M348" s="94" cm="1">
        <f t="array" ref="M348">INDEX($BV$29:$BV$1449,MATCH($D348,$BR$29:$BR$1449,0),)</f>
        <v>6.5</v>
      </c>
      <c r="N348" s="150">
        <f t="shared" si="181"/>
        <v>0</v>
      </c>
      <c r="O348" s="150">
        <f t="shared" si="182"/>
        <v>-0.00078235017994055</v>
      </c>
      <c r="P348" s="150">
        <f t="shared" si="180"/>
        <v>0</v>
      </c>
      <c r="Q348" s="89">
        <f t="shared" si="183"/>
        <v>-0.0175384615384615</v>
      </c>
      <c r="AH348" s="105">
        <f t="shared" si="184"/>
        <v>45019</v>
      </c>
      <c r="AI348" s="91">
        <f t="shared" si="185"/>
        <v>1.656</v>
      </c>
      <c r="AJ348" s="36">
        <f t="shared" si="161"/>
        <v>-0.0125223613595707</v>
      </c>
      <c r="AK348" s="36">
        <f t="shared" si="163"/>
        <v>-0.0253090052972338</v>
      </c>
      <c r="AL348" s="105">
        <f t="shared" si="193"/>
        <v>45019</v>
      </c>
      <c r="AM348" s="91">
        <f t="shared" si="192"/>
        <v>3.96</v>
      </c>
      <c r="AN348" s="36">
        <f t="shared" si="194"/>
        <v>-0.0374331550802138</v>
      </c>
      <c r="AO348" s="36">
        <f t="shared" si="195"/>
        <v>-0.0453230472516875</v>
      </c>
      <c r="AP348" s="36"/>
      <c r="AQ348" s="128" t="str" cm="1">
        <f t="array" ref="AQ348">_xlfn.IFS(MONTH(AR348)&lt;4,1,MONTH(AR348)&lt;7,2,MONTH(AR348)&lt;10,3,MONTH(AR348)&gt;9,4)&amp;"Q"&amp;RIGHT(YEAR(AR348),2)</f>
        <v>1Q25</v>
      </c>
      <c r="AR348" s="128">
        <f t="shared" si="162"/>
        <v>45747</v>
      </c>
      <c r="AS348" s="129">
        <f t="shared" si="173"/>
        <v>45747</v>
      </c>
      <c r="AT348" s="135">
        <v>75</v>
      </c>
      <c r="AU348" s="134" cm="1">
        <f t="array" ref="AU348">INDEX($CE$29:$CE$1449,MATCH($AR348,$CA$29:$CA$1449,0),)</f>
        <v>69</v>
      </c>
      <c r="AV348" s="135">
        <v>141</v>
      </c>
      <c r="AW348" s="134" cm="1">
        <f t="array" ref="AW348">INDEX($CF$29:$CF$1449,MATCH($AR348,$CA$29:$CA$1449,0),)</f>
        <v>140</v>
      </c>
      <c r="AX348" s="135">
        <v>132.25</v>
      </c>
      <c r="AY348" s="134" cm="1">
        <f t="array" ref="AY348">INDEX($CO$29:$CO$1449,MATCH($AR348,$CA$29:$CA$1449,0),)</f>
        <v>127</v>
      </c>
      <c r="AZ348" s="135">
        <v>259</v>
      </c>
      <c r="BA348" s="134" cm="1">
        <f t="array" ref="BA348">INDEX($CP$29:$CP$1449,MATCH($AR348,$CA$29:$CA$1449,0),)</f>
        <v>260</v>
      </c>
      <c r="BB348" s="133">
        <f t="shared" si="165"/>
        <v>0.0714285714285714</v>
      </c>
      <c r="BC348" s="132">
        <f t="shared" si="167"/>
        <v>0.119402985074627</v>
      </c>
      <c r="BD348" s="132">
        <f t="shared" si="169"/>
        <v>0.136363636363636</v>
      </c>
      <c r="BE348" s="133">
        <f t="shared" si="166"/>
        <v>0.0180505415162455</v>
      </c>
      <c r="BF348" s="132">
        <f t="shared" si="168"/>
        <v>0.0180505415162455</v>
      </c>
      <c r="BG348" s="132">
        <f t="shared" si="170"/>
        <v>0.0217391304347827</v>
      </c>
      <c r="BH348" s="133">
        <f t="shared" si="186"/>
        <v>0.00954198473282442</v>
      </c>
      <c r="BI348" s="132">
        <f t="shared" si="187"/>
        <v>0.0173076923076922</v>
      </c>
      <c r="BJ348" s="132">
        <f t="shared" si="188"/>
        <v>0.00954198473282442</v>
      </c>
      <c r="BK348" s="133">
        <f t="shared" si="189"/>
        <v>-0.00384615384615383</v>
      </c>
      <c r="BL348" s="132">
        <f t="shared" si="190"/>
        <v>-0.00575815738963537</v>
      </c>
      <c r="BM348" s="132">
        <f t="shared" si="191"/>
        <v>-0.0019267822736031</v>
      </c>
      <c r="FV348" s="104">
        <f t="shared" si="174"/>
        <v>2012</v>
      </c>
      <c r="FW348" s="104">
        <f t="shared" si="175"/>
        <v>1</v>
      </c>
      <c r="FX348" s="35">
        <v>40910</v>
      </c>
      <c r="FY348" s="26">
        <v>0.92</v>
      </c>
      <c r="FZ348" s="94">
        <f t="shared" si="176"/>
        <v>3.68</v>
      </c>
      <c r="GA348" s="104"/>
      <c r="GB348" s="104"/>
      <c r="GE348" s="94"/>
      <c r="GF348" s="104">
        <f t="shared" si="177"/>
        <v>2014</v>
      </c>
      <c r="GG348" s="104">
        <f t="shared" si="178"/>
        <v>16</v>
      </c>
      <c r="GH348" s="35">
        <v>41745</v>
      </c>
      <c r="GI348" s="26">
        <v>3.707</v>
      </c>
      <c r="GJ348" s="94">
        <f t="shared" si="179"/>
        <v>7.414</v>
      </c>
      <c r="GK348" s="104"/>
      <c r="GL348" s="104"/>
      <c r="GO348" s="94"/>
    </row>
    <row r="349" spans="3:197">
      <c r="C349" s="80" t="str" cm="1">
        <f t="array" ref="C349">_xlfn.IFS(MONTH(D349)&lt;4,1,MONTH(D349)&lt;7,2,MONTH(D349)&lt;10,3,MONTH(D349)&gt;9,4)&amp;"Q"&amp;RIGHT(YEAR(D349),2)</f>
        <v>2Q17</v>
      </c>
      <c r="D349" s="81">
        <f t="shared" si="160"/>
        <v>42916</v>
      </c>
      <c r="E349" s="82">
        <f t="shared" si="196"/>
        <v>42898</v>
      </c>
      <c r="F349" s="83">
        <f t="shared" ref="F349:G412" si="197">+L349/8</f>
        <v>0.79825</v>
      </c>
      <c r="G349" s="83">
        <f t="shared" si="197"/>
        <v>0.8125</v>
      </c>
      <c r="H349" s="81"/>
      <c r="I349" s="146">
        <v>42898</v>
      </c>
      <c r="J349" s="147">
        <v>7.2</v>
      </c>
      <c r="K349" s="147">
        <v>6.3</v>
      </c>
      <c r="L349" s="147">
        <v>6.386</v>
      </c>
      <c r="M349" s="94" cm="1">
        <f t="array" ref="M349">INDEX($BV$29:$BV$1449,MATCH($D349,$BR$29:$BR$1449,0),)</f>
        <v>6.5</v>
      </c>
      <c r="N349" s="150">
        <f t="shared" si="181"/>
        <v>0</v>
      </c>
      <c r="O349" s="150">
        <f t="shared" si="182"/>
        <v>-0.00078235017994055</v>
      </c>
      <c r="P349" s="150">
        <f t="shared" si="180"/>
        <v>-0.00078235017994055</v>
      </c>
      <c r="Q349" s="89">
        <f t="shared" si="183"/>
        <v>-0.0175384615384615</v>
      </c>
      <c r="AH349" s="105">
        <f t="shared" si="184"/>
        <v>45026</v>
      </c>
      <c r="AI349" s="91">
        <f t="shared" si="185"/>
        <v>1.64</v>
      </c>
      <c r="AJ349" s="36">
        <f t="shared" si="161"/>
        <v>-0.00966183574879231</v>
      </c>
      <c r="AK349" s="36">
        <f t="shared" si="163"/>
        <v>-0.0220632081097198</v>
      </c>
      <c r="AL349" s="105">
        <f t="shared" si="193"/>
        <v>45026</v>
      </c>
      <c r="AM349" s="91">
        <f t="shared" si="192"/>
        <v>3.921</v>
      </c>
      <c r="AN349" s="36">
        <f t="shared" si="194"/>
        <v>-0.00984848484848488</v>
      </c>
      <c r="AO349" s="36">
        <f t="shared" si="195"/>
        <v>-0.0469129800680603</v>
      </c>
      <c r="AP349" s="36"/>
      <c r="AQ349" s="128" t="str" cm="1">
        <f t="array" ref="AQ349">_xlfn.IFS(MONTH(AR349)&lt;4,1,MONTH(AR349)&lt;7,2,MONTH(AR349)&lt;10,3,MONTH(AR349)&gt;9,4)&amp;"Q"&amp;RIGHT(YEAR(AR349),2)</f>
        <v>2Q25</v>
      </c>
      <c r="AR349" s="128">
        <f t="shared" si="162"/>
        <v>45777</v>
      </c>
      <c r="AS349" s="129">
        <f t="shared" si="173"/>
        <v>45754</v>
      </c>
      <c r="AT349" s="135">
        <v>79</v>
      </c>
      <c r="AU349" s="134" cm="1">
        <f t="array" ref="AU349">INDEX($CE$29:$CE$1449,MATCH($AR349,$CA$29:$CA$1449,0),)</f>
        <v>74</v>
      </c>
      <c r="AV349" s="135">
        <v>145</v>
      </c>
      <c r="AW349" s="134" cm="1">
        <f t="array" ref="AW349">INDEX($CF$29:$CF$1449,MATCH($AR349,$CA$29:$CA$1449,0),)</f>
        <v>145</v>
      </c>
      <c r="AX349" s="135">
        <v>134.5</v>
      </c>
      <c r="AY349" s="134" cm="1">
        <f t="array" ref="AY349">INDEX($CO$29:$CO$1449,MATCH($AR349,$CA$29:$CA$1449,0),)</f>
        <v>127</v>
      </c>
      <c r="AZ349" s="135">
        <v>261</v>
      </c>
      <c r="BA349" s="134" cm="1">
        <f t="array" ref="BA349">INDEX($CP$29:$CP$1449,MATCH($AR349,$CA$29:$CA$1449,0),)</f>
        <v>260</v>
      </c>
      <c r="BB349" s="133">
        <f t="shared" si="165"/>
        <v>0.0533333333333332</v>
      </c>
      <c r="BC349" s="132">
        <f t="shared" si="167"/>
        <v>0.128571428571429</v>
      </c>
      <c r="BD349" s="132">
        <f t="shared" si="169"/>
        <v>0.17910447761194</v>
      </c>
      <c r="BE349" s="133">
        <f t="shared" si="166"/>
        <v>0.0283687943262412</v>
      </c>
      <c r="BF349" s="132">
        <f t="shared" si="168"/>
        <v>0.0469314079422383</v>
      </c>
      <c r="BG349" s="132">
        <f t="shared" si="170"/>
        <v>0.0469314079422383</v>
      </c>
      <c r="BH349" s="133">
        <f t="shared" si="186"/>
        <v>0.0170132325141776</v>
      </c>
      <c r="BI349" s="132">
        <f t="shared" si="187"/>
        <v>0.0267175572519085</v>
      </c>
      <c r="BJ349" s="132">
        <f t="shared" si="188"/>
        <v>0.0346153846153847</v>
      </c>
      <c r="BK349" s="133">
        <f t="shared" si="189"/>
        <v>0.00772200772200771</v>
      </c>
      <c r="BL349" s="132">
        <f t="shared" si="190"/>
        <v>0.00384615384615383</v>
      </c>
      <c r="BM349" s="132">
        <f t="shared" si="191"/>
        <v>0.00191938579654516</v>
      </c>
      <c r="FV349" s="104">
        <f t="shared" si="174"/>
        <v>2012</v>
      </c>
      <c r="FW349" s="104">
        <f t="shared" si="175"/>
        <v>1</v>
      </c>
      <c r="FX349" s="35">
        <v>40911</v>
      </c>
      <c r="FY349" s="26">
        <v>0.94</v>
      </c>
      <c r="FZ349" s="94">
        <f t="shared" si="176"/>
        <v>3.76</v>
      </c>
      <c r="GA349" s="104"/>
      <c r="GB349" s="104"/>
      <c r="GE349" s="94"/>
      <c r="GF349" s="104">
        <f t="shared" si="177"/>
        <v>2014</v>
      </c>
      <c r="GG349" s="104">
        <f t="shared" si="178"/>
        <v>16</v>
      </c>
      <c r="GH349" s="35">
        <v>41746</v>
      </c>
      <c r="GI349" s="26">
        <v>3.762</v>
      </c>
      <c r="GJ349" s="94">
        <f t="shared" si="179"/>
        <v>7.524</v>
      </c>
      <c r="GK349" s="104"/>
      <c r="GL349" s="104"/>
      <c r="GO349" s="94"/>
    </row>
    <row r="350" spans="3:197">
      <c r="C350" s="80" t="str" cm="1">
        <f t="array" ref="C350">_xlfn.IFS(MONTH(D350)&lt;4,1,MONTH(D350)&lt;7,2,MONTH(D350)&lt;10,3,MONTH(D350)&gt;9,4)&amp;"Q"&amp;RIGHT(YEAR(D350),2)</f>
        <v>2Q17</v>
      </c>
      <c r="D350" s="81">
        <f t="shared" ref="D350:D413" si="198">EOMONTH(E350,0)</f>
        <v>42916</v>
      </c>
      <c r="E350" s="82">
        <f t="shared" si="196"/>
        <v>42899</v>
      </c>
      <c r="F350" s="83">
        <f t="shared" si="197"/>
        <v>0.79825</v>
      </c>
      <c r="G350" s="83">
        <f t="shared" si="197"/>
        <v>0.8125</v>
      </c>
      <c r="H350" s="81"/>
      <c r="I350" s="146">
        <v>42899</v>
      </c>
      <c r="J350" s="147">
        <v>7.2</v>
      </c>
      <c r="K350" s="147">
        <v>6.3</v>
      </c>
      <c r="L350" s="147">
        <v>6.386</v>
      </c>
      <c r="M350" s="94" cm="1">
        <f t="array" ref="M350">INDEX($BV$29:$BV$1449,MATCH($D350,$BR$29:$BR$1449,0),)</f>
        <v>6.5</v>
      </c>
      <c r="N350" s="150">
        <f t="shared" si="181"/>
        <v>0</v>
      </c>
      <c r="O350" s="150">
        <f t="shared" si="182"/>
        <v>-0.00078235017994055</v>
      </c>
      <c r="P350" s="150">
        <f t="shared" si="180"/>
        <v>-0.00078235017994055</v>
      </c>
      <c r="Q350" s="89">
        <f t="shared" si="183"/>
        <v>-0.0175384615384615</v>
      </c>
      <c r="AH350" s="105">
        <f t="shared" si="184"/>
        <v>45033</v>
      </c>
      <c r="AI350" s="91">
        <f t="shared" si="185"/>
        <v>1.63</v>
      </c>
      <c r="AJ350" s="36">
        <f t="shared" ref="AJ350:AJ373" si="199">AI350/AI349-1</f>
        <v>-0.00609756097560976</v>
      </c>
      <c r="AK350" s="36">
        <f t="shared" si="163"/>
        <v>-0.0157004830917875</v>
      </c>
      <c r="AL350" s="105">
        <f t="shared" si="193"/>
        <v>45033</v>
      </c>
      <c r="AM350" s="91">
        <f t="shared" si="192"/>
        <v>3.918</v>
      </c>
      <c r="AN350" s="36">
        <f t="shared" si="194"/>
        <v>-0.000765110941086333</v>
      </c>
      <c r="AO350" s="36">
        <f t="shared" si="195"/>
        <v>-0.0106060606060605</v>
      </c>
      <c r="AP350" s="36"/>
      <c r="AQ350" s="128" t="str" cm="1">
        <f t="array" ref="AQ350">_xlfn.IFS(MONTH(AR350)&lt;4,1,MONTH(AR350)&lt;7,2,MONTH(AR350)&lt;10,3,MONTH(AR350)&gt;9,4)&amp;"Q"&amp;RIGHT(YEAR(AR350),2)</f>
        <v>2Q25</v>
      </c>
      <c r="AR350" s="128">
        <f t="shared" ref="AR350:AR408" si="200">EOMONTH(AS350,0)</f>
        <v>45777</v>
      </c>
      <c r="AS350" s="129">
        <f t="shared" si="173"/>
        <v>45761</v>
      </c>
      <c r="AT350" s="135">
        <v>79.5</v>
      </c>
      <c r="AU350" s="134" cm="1">
        <f t="array" ref="AU350">INDEX($CE$29:$CE$1449,MATCH($AR350,$CA$29:$CA$1449,0),)</f>
        <v>74</v>
      </c>
      <c r="AV350" s="135">
        <v>146.5</v>
      </c>
      <c r="AW350" s="134" cm="1">
        <f t="array" ref="AW350">INDEX($CF$29:$CF$1449,MATCH($AR350,$CA$29:$CA$1449,0),)</f>
        <v>145</v>
      </c>
      <c r="AX350" s="135">
        <v>135</v>
      </c>
      <c r="AY350" s="134" cm="1">
        <f t="array" ref="AY350">INDEX($CO$29:$CO$1449,MATCH($AR350,$CA$29:$CA$1449,0),)</f>
        <v>127</v>
      </c>
      <c r="AZ350" s="135">
        <v>260.4</v>
      </c>
      <c r="BA350" s="134" cm="1">
        <f t="array" ref="BA350">INDEX($CP$29:$CP$1449,MATCH($AR350,$CA$29:$CA$1449,0),)</f>
        <v>260</v>
      </c>
      <c r="BB350" s="133">
        <f t="shared" si="165"/>
        <v>0.00632911392405067</v>
      </c>
      <c r="BC350" s="132">
        <f t="shared" si="167"/>
        <v>0.0600000000000001</v>
      </c>
      <c r="BD350" s="132">
        <f t="shared" si="169"/>
        <v>0.135714285714286</v>
      </c>
      <c r="BE350" s="133">
        <f t="shared" si="166"/>
        <v>0.0103448275862068</v>
      </c>
      <c r="BF350" s="132">
        <f t="shared" si="168"/>
        <v>0.0390070921985815</v>
      </c>
      <c r="BG350" s="132">
        <f t="shared" si="170"/>
        <v>0.0577617328519855</v>
      </c>
      <c r="BH350" s="133">
        <f t="shared" si="186"/>
        <v>0.00371747211895901</v>
      </c>
      <c r="BI350" s="132">
        <f t="shared" si="187"/>
        <v>0.0207939508506616</v>
      </c>
      <c r="BJ350" s="132">
        <f t="shared" si="188"/>
        <v>0.0305343511450382</v>
      </c>
      <c r="BK350" s="133">
        <f t="shared" si="189"/>
        <v>-0.00229885057471269</v>
      </c>
      <c r="BL350" s="132">
        <f t="shared" si="190"/>
        <v>0.00540540540540535</v>
      </c>
      <c r="BM350" s="132">
        <f t="shared" si="191"/>
        <v>0.00153846153846149</v>
      </c>
      <c r="FV350" s="104">
        <f t="shared" si="174"/>
        <v>2012</v>
      </c>
      <c r="FW350" s="104">
        <f t="shared" si="175"/>
        <v>1</v>
      </c>
      <c r="FX350" s="35">
        <v>40912</v>
      </c>
      <c r="FY350" s="26">
        <v>0.96</v>
      </c>
      <c r="FZ350" s="94">
        <f t="shared" si="176"/>
        <v>3.84</v>
      </c>
      <c r="GA350" s="104"/>
      <c r="GB350" s="104"/>
      <c r="GE350" s="94"/>
      <c r="GF350" s="104">
        <f t="shared" si="177"/>
        <v>2014</v>
      </c>
      <c r="GG350" s="104">
        <f t="shared" si="178"/>
        <v>16</v>
      </c>
      <c r="GH350" s="35">
        <v>41747</v>
      </c>
      <c r="GI350" s="26">
        <v>3.781</v>
      </c>
      <c r="GJ350" s="94">
        <f t="shared" si="179"/>
        <v>7.562</v>
      </c>
      <c r="GK350" s="104"/>
      <c r="GL350" s="104"/>
      <c r="GO350" s="94"/>
    </row>
    <row r="351" spans="3:197">
      <c r="C351" s="80" t="str" cm="1">
        <f t="array" ref="C351">_xlfn.IFS(MONTH(D351)&lt;4,1,MONTH(D351)&lt;7,2,MONTH(D351)&lt;10,3,MONTH(D351)&gt;9,4)&amp;"Q"&amp;RIGHT(YEAR(D351),2)</f>
        <v>2Q17</v>
      </c>
      <c r="D351" s="81">
        <f t="shared" si="198"/>
        <v>42916</v>
      </c>
      <c r="E351" s="82">
        <f t="shared" si="196"/>
        <v>42900</v>
      </c>
      <c r="F351" s="83">
        <f t="shared" si="197"/>
        <v>0.800625</v>
      </c>
      <c r="G351" s="83">
        <f t="shared" si="197"/>
        <v>0.8125</v>
      </c>
      <c r="H351" s="81"/>
      <c r="I351" s="146">
        <v>42900</v>
      </c>
      <c r="J351" s="147">
        <v>7.2</v>
      </c>
      <c r="K351" s="147">
        <v>6.3</v>
      </c>
      <c r="L351" s="147">
        <v>6.405</v>
      </c>
      <c r="M351" s="94" cm="1">
        <f t="array" ref="M351">INDEX($BV$29:$BV$1449,MATCH($D351,$BR$29:$BR$1449,0),)</f>
        <v>6.5</v>
      </c>
      <c r="N351" s="150">
        <f t="shared" si="181"/>
        <v>0.00297525837770118</v>
      </c>
      <c r="O351" s="150">
        <f t="shared" si="182"/>
        <v>0.00219058050383358</v>
      </c>
      <c r="P351" s="150">
        <f t="shared" si="180"/>
        <v>0.00219058050383358</v>
      </c>
      <c r="Q351" s="89">
        <f t="shared" si="183"/>
        <v>-0.0146153846153846</v>
      </c>
      <c r="AH351" s="105">
        <f t="shared" si="184"/>
        <v>45040</v>
      </c>
      <c r="AI351" s="91">
        <f t="shared" si="185"/>
        <v>1.622</v>
      </c>
      <c r="AJ351" s="36">
        <f t="shared" si="199"/>
        <v>-0.00490797546012256</v>
      </c>
      <c r="AK351" s="36">
        <f t="shared" ref="AK351:AK414" si="201">AI351/AI349-1</f>
        <v>-0.0109756097560975</v>
      </c>
      <c r="AL351" s="105">
        <f t="shared" si="193"/>
        <v>45040</v>
      </c>
      <c r="AM351" s="91">
        <f t="shared" si="192"/>
        <v>3.934</v>
      </c>
      <c r="AN351" s="36">
        <f t="shared" si="194"/>
        <v>0.00408371618172532</v>
      </c>
      <c r="AO351" s="36">
        <f t="shared" si="195"/>
        <v>0.003315480744708</v>
      </c>
      <c r="AP351" s="36"/>
      <c r="AQ351" s="128" t="str" cm="1">
        <f t="array" ref="AQ351">_xlfn.IFS(MONTH(AR351)&lt;4,1,MONTH(AR351)&lt;7,2,MONTH(AR351)&lt;10,3,MONTH(AR351)&gt;9,4)&amp;"Q"&amp;RIGHT(YEAR(AR351),2)</f>
        <v>2Q25</v>
      </c>
      <c r="AR351" s="128">
        <f t="shared" si="200"/>
        <v>45777</v>
      </c>
      <c r="AS351" s="129">
        <f t="shared" si="173"/>
        <v>45768</v>
      </c>
      <c r="AT351" s="135">
        <v>81</v>
      </c>
      <c r="AU351" s="134" cm="1">
        <f t="array" ref="AU351">INDEX($CE$29:$CE$1449,MATCH($AR351,$CA$29:$CA$1449,0),)</f>
        <v>74</v>
      </c>
      <c r="AV351" s="135">
        <v>150</v>
      </c>
      <c r="AW351" s="134" cm="1">
        <f t="array" ref="AW351">INDEX($CF$29:$CF$1449,MATCH($AR351,$CA$29:$CA$1449,0),)</f>
        <v>145</v>
      </c>
      <c r="AX351" s="135">
        <v>137</v>
      </c>
      <c r="AY351" s="134" cm="1">
        <f t="array" ref="AY351">INDEX($CO$29:$CO$1449,MATCH($AR351,$CA$29:$CA$1449,0),)</f>
        <v>127</v>
      </c>
      <c r="AZ351" s="135">
        <v>263.5</v>
      </c>
      <c r="BA351" s="134" cm="1">
        <f t="array" ref="BA351">INDEX($CP$29:$CP$1449,MATCH($AR351,$CA$29:$CA$1449,0),)</f>
        <v>260</v>
      </c>
      <c r="BB351" s="133">
        <f t="shared" si="165"/>
        <v>0.0188679245283019</v>
      </c>
      <c r="BC351" s="132">
        <f t="shared" si="167"/>
        <v>0.0253164556962024</v>
      </c>
      <c r="BD351" s="132">
        <f t="shared" si="169"/>
        <v>0.0800000000000001</v>
      </c>
      <c r="BE351" s="133">
        <f t="shared" si="166"/>
        <v>0.0238907849829351</v>
      </c>
      <c r="BF351" s="132">
        <f t="shared" si="168"/>
        <v>0.0344827586206897</v>
      </c>
      <c r="BG351" s="132">
        <f t="shared" si="170"/>
        <v>0.0638297872340425</v>
      </c>
      <c r="BH351" s="133">
        <f t="shared" si="186"/>
        <v>0.0148148148148148</v>
      </c>
      <c r="BI351" s="132">
        <f t="shared" si="187"/>
        <v>0.0185873605947955</v>
      </c>
      <c r="BJ351" s="132">
        <f t="shared" si="188"/>
        <v>0.0359168241965973</v>
      </c>
      <c r="BK351" s="133">
        <f t="shared" si="189"/>
        <v>0.0119047619047621</v>
      </c>
      <c r="BL351" s="132">
        <f t="shared" si="190"/>
        <v>0.00957854406130276</v>
      </c>
      <c r="BM351" s="132">
        <f t="shared" si="191"/>
        <v>0.0173745173745175</v>
      </c>
      <c r="FV351" s="104">
        <f t="shared" si="174"/>
        <v>2012</v>
      </c>
      <c r="FW351" s="104">
        <f t="shared" si="175"/>
        <v>1</v>
      </c>
      <c r="FX351" s="35">
        <v>40913</v>
      </c>
      <c r="FY351" s="26">
        <v>0.97</v>
      </c>
      <c r="FZ351" s="94">
        <f t="shared" si="176"/>
        <v>3.88</v>
      </c>
      <c r="GA351" s="104"/>
      <c r="GB351" s="104"/>
      <c r="GE351" s="94"/>
      <c r="GF351" s="104">
        <f t="shared" si="177"/>
        <v>2014</v>
      </c>
      <c r="GG351" s="104">
        <f t="shared" si="178"/>
        <v>17</v>
      </c>
      <c r="GH351" s="35">
        <v>41750</v>
      </c>
      <c r="GI351" s="26">
        <v>3.786</v>
      </c>
      <c r="GJ351" s="94">
        <f t="shared" si="179"/>
        <v>7.572</v>
      </c>
      <c r="GK351" s="104"/>
      <c r="GL351" s="104"/>
      <c r="GO351" s="94"/>
    </row>
    <row r="352" spans="3:197">
      <c r="C352" s="80" t="str" cm="1">
        <f t="array" ref="C352">_xlfn.IFS(MONTH(D352)&lt;4,1,MONTH(D352)&lt;7,2,MONTH(D352)&lt;10,3,MONTH(D352)&gt;9,4)&amp;"Q"&amp;RIGHT(YEAR(D352),2)</f>
        <v>2Q17</v>
      </c>
      <c r="D352" s="81">
        <f t="shared" si="198"/>
        <v>42916</v>
      </c>
      <c r="E352" s="82">
        <f t="shared" si="196"/>
        <v>42901</v>
      </c>
      <c r="F352" s="83">
        <f t="shared" si="197"/>
        <v>0.8015</v>
      </c>
      <c r="G352" s="83">
        <f t="shared" si="197"/>
        <v>0.8125</v>
      </c>
      <c r="H352" s="81"/>
      <c r="I352" s="146">
        <v>42901</v>
      </c>
      <c r="J352" s="147">
        <v>7.2</v>
      </c>
      <c r="K352" s="147">
        <v>6.3</v>
      </c>
      <c r="L352" s="147">
        <v>6.412</v>
      </c>
      <c r="M352" s="94" cm="1">
        <f t="array" ref="M352">INDEX($BV$29:$BV$1449,MATCH($D352,$BR$29:$BR$1449,0),)</f>
        <v>6.5</v>
      </c>
      <c r="N352" s="150">
        <f t="shared" si="181"/>
        <v>0.0010928961748633</v>
      </c>
      <c r="O352" s="150">
        <f t="shared" si="182"/>
        <v>0.00407140620106472</v>
      </c>
      <c r="P352" s="150">
        <f t="shared" si="180"/>
        <v>0.00328587075575015</v>
      </c>
      <c r="Q352" s="89">
        <f t="shared" si="183"/>
        <v>-0.0135384615384615</v>
      </c>
      <c r="AH352" s="105">
        <f t="shared" si="184"/>
        <v>45047</v>
      </c>
      <c r="AI352" s="91">
        <f t="shared" si="185"/>
        <v>1.618</v>
      </c>
      <c r="AJ352" s="36">
        <f t="shared" si="199"/>
        <v>-0.00246609124537611</v>
      </c>
      <c r="AK352" s="36">
        <f t="shared" si="201"/>
        <v>-0.0073619631901839</v>
      </c>
      <c r="AL352" s="105">
        <f t="shared" si="193"/>
        <v>45047</v>
      </c>
      <c r="AM352" s="91">
        <f t="shared" si="192"/>
        <v>3.953</v>
      </c>
      <c r="AN352" s="36">
        <f t="shared" si="194"/>
        <v>0.00482968988307064</v>
      </c>
      <c r="AO352" s="36">
        <f t="shared" si="195"/>
        <v>0.00893312914752409</v>
      </c>
      <c r="AP352" s="36"/>
      <c r="AQ352" s="128" t="str" cm="1">
        <f t="array" ref="AQ352">_xlfn.IFS(MONTH(AR352)&lt;4,1,MONTH(AR352)&lt;7,2,MONTH(AR352)&lt;10,3,MONTH(AR352)&gt;9,4)&amp;"Q"&amp;RIGHT(YEAR(AR352),2)</f>
        <v>2Q25</v>
      </c>
      <c r="AR352" s="128">
        <f t="shared" si="200"/>
        <v>45777</v>
      </c>
      <c r="AS352" s="129">
        <f t="shared" si="173"/>
        <v>45775</v>
      </c>
      <c r="AT352" s="135">
        <v>83</v>
      </c>
      <c r="AU352" s="134" cm="1">
        <f t="array" ref="AU352">INDEX($CE$29:$CE$1449,MATCH($AR352,$CA$29:$CA$1449,0),)</f>
        <v>74</v>
      </c>
      <c r="AV352" s="135">
        <v>154</v>
      </c>
      <c r="AW352" s="134" cm="1">
        <f t="array" ref="AW352">INDEX($CF$29:$CF$1449,MATCH($AR352,$CA$29:$CA$1449,0),)</f>
        <v>145</v>
      </c>
      <c r="AX352" s="135">
        <v>139.5</v>
      </c>
      <c r="AY352" s="134" cm="1">
        <f t="array" ref="AY352">INDEX($CO$29:$CO$1449,MATCH($AR352,$CA$29:$CA$1449,0),)</f>
        <v>127</v>
      </c>
      <c r="AZ352" s="135">
        <v>265.5</v>
      </c>
      <c r="BA352" s="134" cm="1">
        <f t="array" ref="BA352">INDEX($CP$29:$CP$1449,MATCH($AR352,$CA$29:$CA$1449,0),)</f>
        <v>260</v>
      </c>
      <c r="BB352" s="133">
        <f t="shared" si="165"/>
        <v>0.0246913580246915</v>
      </c>
      <c r="BC352" s="132">
        <f t="shared" si="167"/>
        <v>0.0440251572327044</v>
      </c>
      <c r="BD352" s="132">
        <f t="shared" si="169"/>
        <v>0.0506329113924051</v>
      </c>
      <c r="BE352" s="133">
        <f t="shared" si="166"/>
        <v>0.0266666666666666</v>
      </c>
      <c r="BF352" s="132">
        <f t="shared" si="168"/>
        <v>0.0511945392491469</v>
      </c>
      <c r="BG352" s="132">
        <f t="shared" si="170"/>
        <v>0.0620689655172413</v>
      </c>
      <c r="BH352" s="133">
        <f t="shared" si="186"/>
        <v>0.0182481751824817</v>
      </c>
      <c r="BI352" s="132">
        <f t="shared" si="187"/>
        <v>0.0333333333333334</v>
      </c>
      <c r="BJ352" s="132">
        <f t="shared" si="188"/>
        <v>0.037174721189591</v>
      </c>
      <c r="BK352" s="133">
        <f t="shared" si="189"/>
        <v>0.00759013282732446</v>
      </c>
      <c r="BL352" s="132">
        <f t="shared" si="190"/>
        <v>0.0195852534562213</v>
      </c>
      <c r="BM352" s="132">
        <f t="shared" si="191"/>
        <v>0.0172413793103448</v>
      </c>
      <c r="FV352" s="104">
        <f t="shared" si="174"/>
        <v>2012</v>
      </c>
      <c r="FW352" s="104">
        <f t="shared" si="175"/>
        <v>1</v>
      </c>
      <c r="FX352" s="35">
        <v>40914</v>
      </c>
      <c r="FY352" s="26">
        <v>0.97</v>
      </c>
      <c r="FZ352" s="94">
        <f t="shared" si="176"/>
        <v>3.88</v>
      </c>
      <c r="GA352" s="104"/>
      <c r="GB352" s="104"/>
      <c r="GE352" s="94"/>
      <c r="GF352" s="104">
        <f t="shared" si="177"/>
        <v>2014</v>
      </c>
      <c r="GG352" s="104">
        <f t="shared" si="178"/>
        <v>17</v>
      </c>
      <c r="GH352" s="35">
        <v>41751</v>
      </c>
      <c r="GI352" s="26">
        <v>3.852</v>
      </c>
      <c r="GJ352" s="94">
        <f t="shared" si="179"/>
        <v>7.704</v>
      </c>
      <c r="GK352" s="104"/>
      <c r="GL352" s="104"/>
      <c r="GO352" s="94"/>
    </row>
    <row r="353" spans="3:197">
      <c r="C353" s="80" t="str" cm="1">
        <f t="array" ref="C353">_xlfn.IFS(MONTH(D353)&lt;4,1,MONTH(D353)&lt;7,2,MONTH(D353)&lt;10,3,MONTH(D353)&gt;9,4)&amp;"Q"&amp;RIGHT(YEAR(D353),2)</f>
        <v>2Q17</v>
      </c>
      <c r="D353" s="81">
        <f t="shared" si="198"/>
        <v>42916</v>
      </c>
      <c r="E353" s="82">
        <f t="shared" si="196"/>
        <v>42902</v>
      </c>
      <c r="F353" s="83">
        <f t="shared" si="197"/>
        <v>0.8015</v>
      </c>
      <c r="G353" s="83">
        <f t="shared" si="197"/>
        <v>0.8125</v>
      </c>
      <c r="H353" s="81"/>
      <c r="I353" s="146">
        <v>42902</v>
      </c>
      <c r="J353" s="147">
        <v>7.2</v>
      </c>
      <c r="K353" s="147">
        <v>6.3</v>
      </c>
      <c r="L353" s="147">
        <v>6.412</v>
      </c>
      <c r="M353" s="94" cm="1">
        <f t="array" ref="M353">INDEX($BV$29:$BV$1449,MATCH($D353,$BR$29:$BR$1449,0),)</f>
        <v>6.5</v>
      </c>
      <c r="N353" s="150">
        <f t="shared" si="181"/>
        <v>0</v>
      </c>
      <c r="O353" s="150">
        <f t="shared" si="182"/>
        <v>0.00407140620106472</v>
      </c>
      <c r="P353" s="150">
        <f t="shared" si="180"/>
        <v>0.00328587075575015</v>
      </c>
      <c r="Q353" s="89">
        <f t="shared" si="183"/>
        <v>-0.0135384615384615</v>
      </c>
      <c r="AH353" s="105">
        <f t="shared" si="184"/>
        <v>45054</v>
      </c>
      <c r="AI353" s="91">
        <f t="shared" si="185"/>
        <v>1.609</v>
      </c>
      <c r="AJ353" s="36">
        <f t="shared" si="199"/>
        <v>-0.00556242274412866</v>
      </c>
      <c r="AK353" s="36">
        <f t="shared" si="201"/>
        <v>-0.00801479654747228</v>
      </c>
      <c r="AL353" s="105">
        <f t="shared" si="193"/>
        <v>45054</v>
      </c>
      <c r="AM353" s="91">
        <f t="shared" si="192"/>
        <v>4.061</v>
      </c>
      <c r="AN353" s="36">
        <f t="shared" si="194"/>
        <v>0.0273210220086011</v>
      </c>
      <c r="AO353" s="36">
        <f t="shared" si="195"/>
        <v>0.0322826639552618</v>
      </c>
      <c r="AP353" s="36"/>
      <c r="AQ353" s="128" t="str" cm="1">
        <f t="array" ref="AQ353">_xlfn.IFS(MONTH(AR353)&lt;4,1,MONTH(AR353)&lt;7,2,MONTH(AR353)&lt;10,3,MONTH(AR353)&gt;9,4)&amp;"Q"&amp;RIGHT(YEAR(AR353),2)</f>
        <v>2Q25</v>
      </c>
      <c r="AR353" s="128">
        <f t="shared" si="200"/>
        <v>45808</v>
      </c>
      <c r="AS353" s="129">
        <f t="shared" si="173"/>
        <v>45782</v>
      </c>
      <c r="AT353" s="135">
        <v>85</v>
      </c>
      <c r="AU353" s="134" cm="1">
        <f t="array" ref="AU353">INDEX($CE$29:$CE$1449,MATCH($AR353,$CA$29:$CA$1449,0),)</f>
        <v>85</v>
      </c>
      <c r="AV353" s="135">
        <v>158</v>
      </c>
      <c r="AW353" s="134" cm="1">
        <f t="array" ref="AW353">INDEX($CF$29:$CF$1449,MATCH($AR353,$CA$29:$CA$1449,0),)</f>
        <v>170</v>
      </c>
      <c r="AX353" s="135">
        <v>141.5</v>
      </c>
      <c r="AY353" s="134" cm="1">
        <f t="array" ref="AY353">INDEX($CO$29:$CO$1449,MATCH($AR353,$CA$29:$CA$1449,0),)</f>
        <v>134</v>
      </c>
      <c r="AZ353" s="135">
        <v>266</v>
      </c>
      <c r="BA353" s="134" cm="1">
        <f t="array" ref="BA353">INDEX($CP$29:$CP$1449,MATCH($AR353,$CA$29:$CA$1449,0),)</f>
        <v>265</v>
      </c>
      <c r="BB353" s="133">
        <f t="shared" ref="BB353:BB408" si="202">AT353/AT352-1</f>
        <v>0.0240963855421688</v>
      </c>
      <c r="BC353" s="132">
        <f t="shared" si="167"/>
        <v>0.0493827160493827</v>
      </c>
      <c r="BD353" s="132">
        <f t="shared" si="169"/>
        <v>0.0691823899371069</v>
      </c>
      <c r="BE353" s="133">
        <f t="shared" ref="BE353:BE408" si="203">AV353/AV352-1</f>
        <v>0.025974025974026</v>
      </c>
      <c r="BF353" s="132">
        <f t="shared" si="168"/>
        <v>0.0533333333333332</v>
      </c>
      <c r="BG353" s="132">
        <f t="shared" si="170"/>
        <v>0.0784982935153584</v>
      </c>
      <c r="BH353" s="133">
        <f t="shared" si="186"/>
        <v>0.0143369175627239</v>
      </c>
      <c r="BI353" s="132">
        <f t="shared" si="187"/>
        <v>0.0328467153284671</v>
      </c>
      <c r="BJ353" s="132">
        <f t="shared" si="188"/>
        <v>0.0481481481481481</v>
      </c>
      <c r="BK353" s="133">
        <f t="shared" si="189"/>
        <v>0.00188323917137478</v>
      </c>
      <c r="BL353" s="132">
        <f t="shared" si="190"/>
        <v>0.00948766603415563</v>
      </c>
      <c r="BM353" s="132">
        <f t="shared" si="191"/>
        <v>0.021505376344086</v>
      </c>
      <c r="FV353" s="104">
        <f t="shared" si="174"/>
        <v>2012</v>
      </c>
      <c r="FW353" s="104">
        <f t="shared" si="175"/>
        <v>2</v>
      </c>
      <c r="FX353" s="35">
        <v>40917</v>
      </c>
      <c r="FY353" s="26">
        <v>0.98</v>
      </c>
      <c r="FZ353" s="94">
        <f t="shared" si="176"/>
        <v>3.92</v>
      </c>
      <c r="GA353" s="104"/>
      <c r="GB353" s="104"/>
      <c r="GE353" s="94"/>
      <c r="GF353" s="104">
        <f t="shared" si="177"/>
        <v>2014</v>
      </c>
      <c r="GG353" s="104">
        <f t="shared" si="178"/>
        <v>17</v>
      </c>
      <c r="GH353" s="35">
        <v>41752</v>
      </c>
      <c r="GI353" s="26">
        <v>3.851</v>
      </c>
      <c r="GJ353" s="94">
        <f t="shared" si="179"/>
        <v>7.702</v>
      </c>
      <c r="GK353" s="104"/>
      <c r="GL353" s="104"/>
      <c r="GO353" s="94"/>
    </row>
    <row r="354" spans="3:197">
      <c r="C354" s="80" t="str" cm="1">
        <f t="array" ref="C354">_xlfn.IFS(MONTH(D354)&lt;4,1,MONTH(D354)&lt;7,2,MONTH(D354)&lt;10,3,MONTH(D354)&gt;9,4)&amp;"Q"&amp;RIGHT(YEAR(D354),2)</f>
        <v>2Q17</v>
      </c>
      <c r="D354" s="81">
        <f t="shared" si="198"/>
        <v>42916</v>
      </c>
      <c r="E354" s="82">
        <f t="shared" si="196"/>
        <v>42905</v>
      </c>
      <c r="F354" s="83">
        <f t="shared" si="197"/>
        <v>0.80375</v>
      </c>
      <c r="G354" s="83">
        <f t="shared" si="197"/>
        <v>0.8125</v>
      </c>
      <c r="H354" s="81"/>
      <c r="I354" s="146">
        <v>42905</v>
      </c>
      <c r="J354" s="147">
        <v>7.2</v>
      </c>
      <c r="K354" s="147">
        <v>6.3</v>
      </c>
      <c r="L354" s="147">
        <v>6.43</v>
      </c>
      <c r="M354" s="94" cm="1">
        <f t="array" ref="M354">INDEX($BV$29:$BV$1449,MATCH($D354,$BR$29:$BR$1449,0),)</f>
        <v>6.5</v>
      </c>
      <c r="N354" s="150">
        <f t="shared" si="181"/>
        <v>0.00280723643169045</v>
      </c>
      <c r="O354" s="150">
        <f t="shared" si="182"/>
        <v>0.00689007203257108</v>
      </c>
      <c r="P354" s="150">
        <f t="shared" si="180"/>
        <v>0.00610233140353622</v>
      </c>
      <c r="Q354" s="89">
        <f t="shared" si="183"/>
        <v>-0.0107692307692309</v>
      </c>
      <c r="AH354" s="105">
        <f t="shared" si="184"/>
        <v>45061</v>
      </c>
      <c r="AI354" s="91">
        <f t="shared" si="185"/>
        <v>1.58</v>
      </c>
      <c r="AJ354" s="36">
        <f t="shared" si="199"/>
        <v>-0.0180236171535114</v>
      </c>
      <c r="AK354" s="36">
        <f t="shared" si="201"/>
        <v>-0.0234857849196539</v>
      </c>
      <c r="AL354" s="105">
        <f t="shared" si="193"/>
        <v>45061</v>
      </c>
      <c r="AM354" s="91">
        <f t="shared" si="192"/>
        <v>4.213</v>
      </c>
      <c r="AN354" s="36">
        <f t="shared" si="194"/>
        <v>0.0374292046294016</v>
      </c>
      <c r="AO354" s="36">
        <f t="shared" si="195"/>
        <v>0.0657728307614471</v>
      </c>
      <c r="AP354" s="36"/>
      <c r="AQ354" s="128" t="str" cm="1">
        <f t="array" ref="AQ354">_xlfn.IFS(MONTH(AR354)&lt;4,1,MONTH(AR354)&lt;7,2,MONTH(AR354)&lt;10,3,MONTH(AR354)&gt;9,4)&amp;"Q"&amp;RIGHT(YEAR(AR354),2)</f>
        <v>2Q25</v>
      </c>
      <c r="AR354" s="128">
        <f t="shared" si="200"/>
        <v>45808</v>
      </c>
      <c r="AS354" s="129">
        <f t="shared" si="173"/>
        <v>45789</v>
      </c>
      <c r="AT354" s="135">
        <v>86</v>
      </c>
      <c r="AU354" s="134" cm="1">
        <f t="array" ref="AU354">INDEX($CE$29:$CE$1449,MATCH($AR354,$CA$29:$CA$1449,0),)</f>
        <v>85</v>
      </c>
      <c r="AV354" s="135">
        <v>163</v>
      </c>
      <c r="AW354" s="134" cm="1">
        <f t="array" ref="AW354">INDEX($CF$29:$CF$1449,MATCH($AR354,$CA$29:$CA$1449,0),)</f>
        <v>170</v>
      </c>
      <c r="AX354" s="135">
        <v>142.5</v>
      </c>
      <c r="AY354" s="134" cm="1">
        <f t="array" ref="AY354">INDEX($CO$29:$CO$1449,MATCH($AR354,$CA$29:$CA$1449,0),)</f>
        <v>134</v>
      </c>
      <c r="AZ354" s="135">
        <v>266.5</v>
      </c>
      <c r="BA354" s="134" cm="1">
        <f t="array" ref="BA354">INDEX($CP$29:$CP$1449,MATCH($AR354,$CA$29:$CA$1449,0),)</f>
        <v>265</v>
      </c>
      <c r="BB354" s="133">
        <f t="shared" si="202"/>
        <v>0.0117647058823529</v>
      </c>
      <c r="BC354" s="132">
        <f t="shared" ref="BC354:BC408" si="204">AT354/AT352-1</f>
        <v>0.036144578313253</v>
      </c>
      <c r="BD354" s="132">
        <f t="shared" si="169"/>
        <v>0.0617283950617284</v>
      </c>
      <c r="BE354" s="133">
        <f t="shared" si="203"/>
        <v>0.0316455696202531</v>
      </c>
      <c r="BF354" s="132">
        <f t="shared" ref="BF354:BF408" si="205">AV354/AV352-1</f>
        <v>0.0584415584415585</v>
      </c>
      <c r="BG354" s="132">
        <f t="shared" si="170"/>
        <v>0.0866666666666667</v>
      </c>
      <c r="BH354" s="133">
        <f t="shared" si="186"/>
        <v>0.00706713780918733</v>
      </c>
      <c r="BI354" s="132">
        <f t="shared" si="187"/>
        <v>0.021505376344086</v>
      </c>
      <c r="BJ354" s="132">
        <f t="shared" si="188"/>
        <v>0.0401459854014599</v>
      </c>
      <c r="BK354" s="133">
        <f t="shared" si="189"/>
        <v>0.00187969924812026</v>
      </c>
      <c r="BL354" s="132">
        <f t="shared" si="190"/>
        <v>0.00376647834274957</v>
      </c>
      <c r="BM354" s="132">
        <f t="shared" si="191"/>
        <v>0.0113851992409868</v>
      </c>
      <c r="FV354" s="104">
        <f t="shared" si="174"/>
        <v>2012</v>
      </c>
      <c r="FW354" s="104">
        <f t="shared" si="175"/>
        <v>2</v>
      </c>
      <c r="FX354" s="35">
        <v>40918</v>
      </c>
      <c r="FY354" s="26">
        <v>0.98</v>
      </c>
      <c r="FZ354" s="94">
        <f t="shared" si="176"/>
        <v>3.92</v>
      </c>
      <c r="GA354" s="104"/>
      <c r="GB354" s="104"/>
      <c r="GE354" s="94"/>
      <c r="GF354" s="104">
        <f t="shared" si="177"/>
        <v>2014</v>
      </c>
      <c r="GG354" s="104">
        <f t="shared" si="178"/>
        <v>17</v>
      </c>
      <c r="GH354" s="35">
        <v>41753</v>
      </c>
      <c r="GI354" s="26">
        <v>3.849</v>
      </c>
      <c r="GJ354" s="94">
        <f t="shared" si="179"/>
        <v>7.698</v>
      </c>
      <c r="GK354" s="104"/>
      <c r="GL354" s="104"/>
      <c r="GO354" s="94"/>
    </row>
    <row r="355" spans="3:197">
      <c r="C355" s="80" t="str" cm="1">
        <f t="array" ref="C355">_xlfn.IFS(MONTH(D355)&lt;4,1,MONTH(D355)&lt;7,2,MONTH(D355)&lt;10,3,MONTH(D355)&gt;9,4)&amp;"Q"&amp;RIGHT(YEAR(D355),2)</f>
        <v>2Q17</v>
      </c>
      <c r="D355" s="81">
        <f t="shared" si="198"/>
        <v>42916</v>
      </c>
      <c r="E355" s="82">
        <f t="shared" si="196"/>
        <v>42906</v>
      </c>
      <c r="F355" s="83">
        <f t="shared" si="197"/>
        <v>0.8055</v>
      </c>
      <c r="G355" s="83">
        <f t="shared" si="197"/>
        <v>0.8125</v>
      </c>
      <c r="H355" s="81"/>
      <c r="I355" s="146">
        <v>42906</v>
      </c>
      <c r="J355" s="147">
        <v>7.2</v>
      </c>
      <c r="K355" s="147">
        <v>6.3</v>
      </c>
      <c r="L355" s="147">
        <v>6.444</v>
      </c>
      <c r="M355" s="94" cm="1">
        <f t="array" ref="M355">INDEX($BV$29:$BV$1449,MATCH($D355,$BR$29:$BR$1449,0),)</f>
        <v>6.5</v>
      </c>
      <c r="N355" s="150">
        <f t="shared" si="181"/>
        <v>0.00217729393468113</v>
      </c>
      <c r="O355" s="150">
        <f t="shared" si="182"/>
        <v>0.00908236767929838</v>
      </c>
      <c r="P355" s="150">
        <f t="shared" si="180"/>
        <v>0.0082929119073698</v>
      </c>
      <c r="Q355" s="89">
        <f t="shared" si="183"/>
        <v>-0.00861538461538458</v>
      </c>
      <c r="AH355" s="105">
        <f t="shared" si="184"/>
        <v>45068</v>
      </c>
      <c r="AI355" s="91">
        <f t="shared" si="185"/>
        <v>1.567</v>
      </c>
      <c r="AJ355" s="36">
        <f t="shared" si="199"/>
        <v>-0.00822784810126587</v>
      </c>
      <c r="AK355" s="36">
        <f t="shared" si="201"/>
        <v>-0.0261031696706029</v>
      </c>
      <c r="AL355" s="105">
        <f t="shared" si="193"/>
        <v>45068</v>
      </c>
      <c r="AM355" s="91">
        <f t="shared" si="192"/>
        <v>4.239</v>
      </c>
      <c r="AN355" s="36">
        <f t="shared" si="194"/>
        <v>0.00617137431758841</v>
      </c>
      <c r="AO355" s="36">
        <f t="shared" si="195"/>
        <v>0.0438315685791677</v>
      </c>
      <c r="AP355" s="36"/>
      <c r="AQ355" s="128" t="str" cm="1">
        <f t="array" ref="AQ355">_xlfn.IFS(MONTH(AR355)&lt;4,1,MONTH(AR355)&lt;7,2,MONTH(AR355)&lt;10,3,MONTH(AR355)&gt;9,4)&amp;"Q"&amp;RIGHT(YEAR(AR355),2)</f>
        <v>2Q25</v>
      </c>
      <c r="AR355" s="128">
        <f t="shared" si="200"/>
        <v>45808</v>
      </c>
      <c r="AS355" s="129">
        <f t="shared" si="173"/>
        <v>45796</v>
      </c>
      <c r="AT355" s="135">
        <v>86</v>
      </c>
      <c r="AU355" s="134" cm="1">
        <f t="array" ref="AU355">INDEX($CE$29:$CE$1449,MATCH($AR355,$CA$29:$CA$1449,0),)</f>
        <v>85</v>
      </c>
      <c r="AV355" s="135">
        <v>164</v>
      </c>
      <c r="AW355" s="134" cm="1">
        <f t="array" ref="AW355">INDEX($CF$29:$CF$1449,MATCH($AR355,$CA$29:$CA$1449,0),)</f>
        <v>170</v>
      </c>
      <c r="AX355" s="135">
        <v>142.75</v>
      </c>
      <c r="AY355" s="134" cm="1">
        <f t="array" ref="AY355">INDEX($CO$29:$CO$1449,MATCH($AR355,$CA$29:$CA$1449,0),)</f>
        <v>134</v>
      </c>
      <c r="AZ355" s="135">
        <v>267</v>
      </c>
      <c r="BA355" s="134" cm="1">
        <f t="array" ref="BA355">INDEX($CP$29:$CP$1449,MATCH($AR355,$CA$29:$CA$1449,0),)</f>
        <v>265</v>
      </c>
      <c r="BB355" s="133">
        <f t="shared" si="202"/>
        <v>0</v>
      </c>
      <c r="BC355" s="132">
        <f t="shared" si="204"/>
        <v>0.0117647058823529</v>
      </c>
      <c r="BD355" s="132">
        <f t="shared" ref="BD355:BD408" si="206">AT355/AT352-1</f>
        <v>0.036144578313253</v>
      </c>
      <c r="BE355" s="133">
        <f t="shared" si="203"/>
        <v>0.00613496932515334</v>
      </c>
      <c r="BF355" s="132">
        <f t="shared" si="205"/>
        <v>0.0379746835443038</v>
      </c>
      <c r="BG355" s="132">
        <f t="shared" ref="BG355:BG408" si="207">AV355/AV352-1</f>
        <v>0.0649350649350648</v>
      </c>
      <c r="BH355" s="133">
        <f t="shared" si="186"/>
        <v>0.00175438596491229</v>
      </c>
      <c r="BI355" s="132">
        <f t="shared" si="187"/>
        <v>0.00883392226148416</v>
      </c>
      <c r="BJ355" s="132">
        <f t="shared" si="188"/>
        <v>0.0232974910394266</v>
      </c>
      <c r="BK355" s="133">
        <f t="shared" si="189"/>
        <v>0.00187617260787998</v>
      </c>
      <c r="BL355" s="132">
        <f t="shared" si="190"/>
        <v>0.00375939849624052</v>
      </c>
      <c r="BM355" s="132">
        <f t="shared" si="191"/>
        <v>0.00564971751412435</v>
      </c>
      <c r="FV355" s="104">
        <f t="shared" si="174"/>
        <v>2012</v>
      </c>
      <c r="FW355" s="104">
        <f t="shared" si="175"/>
        <v>2</v>
      </c>
      <c r="FX355" s="35">
        <v>40919</v>
      </c>
      <c r="FY355" s="26">
        <v>0.96</v>
      </c>
      <c r="FZ355" s="94">
        <f t="shared" si="176"/>
        <v>3.84</v>
      </c>
      <c r="GA355" s="104"/>
      <c r="GB355" s="104"/>
      <c r="GE355" s="94"/>
      <c r="GF355" s="104">
        <f t="shared" si="177"/>
        <v>2014</v>
      </c>
      <c r="GG355" s="104">
        <f t="shared" si="178"/>
        <v>17</v>
      </c>
      <c r="GH355" s="35">
        <v>41754</v>
      </c>
      <c r="GI355" s="26">
        <v>3.849</v>
      </c>
      <c r="GJ355" s="94">
        <f t="shared" si="179"/>
        <v>7.698</v>
      </c>
      <c r="GK355" s="104"/>
      <c r="GL355" s="104"/>
      <c r="GO355" s="94"/>
    </row>
    <row r="356" spans="3:197">
      <c r="C356" s="80" t="str" cm="1">
        <f t="array" ref="C356">_xlfn.IFS(MONTH(D356)&lt;4,1,MONTH(D356)&lt;7,2,MONTH(D356)&lt;10,3,MONTH(D356)&gt;9,4)&amp;"Q"&amp;RIGHT(YEAR(D356),2)</f>
        <v>2Q17</v>
      </c>
      <c r="D356" s="81">
        <f t="shared" si="198"/>
        <v>42916</v>
      </c>
      <c r="E356" s="82">
        <f t="shared" si="196"/>
        <v>42907</v>
      </c>
      <c r="F356" s="83">
        <f t="shared" si="197"/>
        <v>0.806125</v>
      </c>
      <c r="G356" s="83">
        <f t="shared" si="197"/>
        <v>0.8125</v>
      </c>
      <c r="H356" s="81"/>
      <c r="I356" s="146">
        <v>42907</v>
      </c>
      <c r="J356" s="147">
        <v>7.2</v>
      </c>
      <c r="K356" s="147">
        <v>6.3</v>
      </c>
      <c r="L356" s="147">
        <v>6.449</v>
      </c>
      <c r="M356" s="94" cm="1">
        <f t="array" ref="M356">INDEX($BV$29:$BV$1449,MATCH($D356,$BR$29:$BR$1449,0),)</f>
        <v>6.5</v>
      </c>
      <c r="N356" s="150">
        <f t="shared" si="181"/>
        <v>0.000775915580384812</v>
      </c>
      <c r="O356" s="150">
        <f t="shared" si="182"/>
        <v>0.00686963309914113</v>
      </c>
      <c r="P356" s="150">
        <f t="shared" si="180"/>
        <v>0.00907526208731024</v>
      </c>
      <c r="Q356" s="89">
        <f t="shared" si="183"/>
        <v>-0.00784615384615384</v>
      </c>
      <c r="AH356" s="105">
        <f t="shared" si="184"/>
        <v>45075</v>
      </c>
      <c r="AI356" s="91">
        <f t="shared" si="185"/>
        <v>1.53</v>
      </c>
      <c r="AJ356" s="36">
        <f t="shared" si="199"/>
        <v>-0.0236119974473515</v>
      </c>
      <c r="AK356" s="36">
        <f t="shared" si="201"/>
        <v>-0.0316455696202532</v>
      </c>
      <c r="AL356" s="105">
        <f t="shared" si="193"/>
        <v>45075</v>
      </c>
      <c r="AM356" s="91">
        <f t="shared" si="192"/>
        <v>4.2</v>
      </c>
      <c r="AN356" s="36">
        <f t="shared" si="194"/>
        <v>-0.00920028308563337</v>
      </c>
      <c r="AO356" s="36">
        <f t="shared" si="195"/>
        <v>-0.0030856871587942</v>
      </c>
      <c r="AP356" s="36"/>
      <c r="AQ356" s="128" t="str" cm="1">
        <f t="array" ref="AQ356">_xlfn.IFS(MONTH(AR356)&lt;4,1,MONTH(AR356)&lt;7,2,MONTH(AR356)&lt;10,3,MONTH(AR356)&gt;9,4)&amp;"Q"&amp;RIGHT(YEAR(AR356),2)</f>
        <v>2Q25</v>
      </c>
      <c r="AR356" s="128">
        <f t="shared" si="200"/>
        <v>45808</v>
      </c>
      <c r="AS356" s="129">
        <f t="shared" si="173"/>
        <v>45803</v>
      </c>
      <c r="AT356" s="135">
        <v>92</v>
      </c>
      <c r="AU356" s="134" cm="1">
        <f t="array" ref="AU356">INDEX($CE$29:$CE$1449,MATCH($AR356,$CA$29:$CA$1449,0),)</f>
        <v>85</v>
      </c>
      <c r="AV356" s="135">
        <v>173</v>
      </c>
      <c r="AW356" s="134" cm="1">
        <f t="array" ref="AW356">INDEX($CF$29:$CF$1449,MATCH($AR356,$CA$29:$CA$1449,0),)</f>
        <v>170</v>
      </c>
      <c r="AX356" s="135">
        <v>144.75</v>
      </c>
      <c r="AY356" s="134" cm="1">
        <f t="array" ref="AY356">INDEX($CO$29:$CO$1449,MATCH($AR356,$CA$29:$CA$1449,0),)</f>
        <v>134</v>
      </c>
      <c r="AZ356" s="135">
        <v>265</v>
      </c>
      <c r="BA356" s="134" cm="1">
        <f t="array" ref="BA356">INDEX($CP$29:$CP$1449,MATCH($AR356,$CA$29:$CA$1449,0),)</f>
        <v>265</v>
      </c>
      <c r="BB356" s="133">
        <f t="shared" si="202"/>
        <v>0.069767441860465</v>
      </c>
      <c r="BC356" s="132">
        <f t="shared" si="204"/>
        <v>0.069767441860465</v>
      </c>
      <c r="BD356" s="132">
        <f t="shared" si="206"/>
        <v>0.0823529411764705</v>
      </c>
      <c r="BE356" s="133">
        <f t="shared" si="203"/>
        <v>0.0548780487804879</v>
      </c>
      <c r="BF356" s="132">
        <f t="shared" si="205"/>
        <v>0.0613496932515338</v>
      </c>
      <c r="BG356" s="132">
        <f t="shared" si="207"/>
        <v>0.0949367088607596</v>
      </c>
      <c r="BH356" s="133">
        <f t="shared" si="186"/>
        <v>0.0140105078809107</v>
      </c>
      <c r="BI356" s="132">
        <f t="shared" si="187"/>
        <v>0.0157894736842106</v>
      </c>
      <c r="BJ356" s="132">
        <f t="shared" si="188"/>
        <v>0.0229681978798586</v>
      </c>
      <c r="BK356" s="133">
        <f t="shared" si="189"/>
        <v>-0.00749063670411987</v>
      </c>
      <c r="BL356" s="132">
        <f t="shared" si="190"/>
        <v>-0.00562851782363982</v>
      </c>
      <c r="BM356" s="132">
        <f t="shared" si="191"/>
        <v>-0.00375939849624063</v>
      </c>
      <c r="FV356" s="104">
        <f t="shared" si="174"/>
        <v>2012</v>
      </c>
      <c r="FW356" s="104">
        <f t="shared" si="175"/>
        <v>2</v>
      </c>
      <c r="FX356" s="35">
        <v>40920</v>
      </c>
      <c r="FY356" s="26">
        <v>0.96</v>
      </c>
      <c r="FZ356" s="94">
        <f t="shared" si="176"/>
        <v>3.84</v>
      </c>
      <c r="GA356" s="104"/>
      <c r="GB356" s="104"/>
      <c r="GE356" s="94"/>
      <c r="GF356" s="104">
        <f t="shared" si="177"/>
        <v>2014</v>
      </c>
      <c r="GG356" s="104">
        <f t="shared" si="178"/>
        <v>18</v>
      </c>
      <c r="GH356" s="35">
        <v>41757</v>
      </c>
      <c r="GI356" s="26">
        <v>3.859</v>
      </c>
      <c r="GJ356" s="94">
        <f t="shared" si="179"/>
        <v>7.718</v>
      </c>
      <c r="GK356" s="104"/>
      <c r="GL356" s="104"/>
      <c r="GO356" s="94"/>
    </row>
    <row r="357" spans="3:197">
      <c r="C357" s="80" t="str" cm="1">
        <f t="array" ref="C357">_xlfn.IFS(MONTH(D357)&lt;4,1,MONTH(D357)&lt;7,2,MONTH(D357)&lt;10,3,MONTH(D357)&gt;9,4)&amp;"Q"&amp;RIGHT(YEAR(D357),2)</f>
        <v>2Q17</v>
      </c>
      <c r="D357" s="81">
        <f t="shared" si="198"/>
        <v>42916</v>
      </c>
      <c r="E357" s="82">
        <f t="shared" si="196"/>
        <v>42908</v>
      </c>
      <c r="F357" s="83">
        <f t="shared" si="197"/>
        <v>0.80725</v>
      </c>
      <c r="G357" s="83">
        <f t="shared" si="197"/>
        <v>0.8125</v>
      </c>
      <c r="H357" s="81"/>
      <c r="I357" s="146">
        <v>42908</v>
      </c>
      <c r="J357" s="147">
        <v>7.2</v>
      </c>
      <c r="K357" s="147">
        <v>6.3</v>
      </c>
      <c r="L357" s="147">
        <v>6.458</v>
      </c>
      <c r="M357" s="94" cm="1">
        <f t="array" ref="M357">INDEX($BV$29:$BV$1449,MATCH($D357,$BR$29:$BR$1449,0),)</f>
        <v>6.5</v>
      </c>
      <c r="N357" s="150">
        <f t="shared" si="181"/>
        <v>0.00139556520390771</v>
      </c>
      <c r="O357" s="150">
        <f t="shared" si="182"/>
        <v>0.00717404865876481</v>
      </c>
      <c r="P357" s="150">
        <f t="shared" si="180"/>
        <v>0.0112746633260257</v>
      </c>
      <c r="Q357" s="89">
        <f t="shared" si="183"/>
        <v>-0.00646153846153841</v>
      </c>
      <c r="AH357" s="105">
        <f t="shared" si="184"/>
        <v>45082</v>
      </c>
      <c r="AI357" s="91">
        <f t="shared" si="185"/>
        <v>1.52</v>
      </c>
      <c r="AJ357" s="57">
        <f t="shared" si="199"/>
        <v>-0.00653594771241828</v>
      </c>
      <c r="AK357" s="36">
        <f t="shared" si="201"/>
        <v>-0.0299936183790682</v>
      </c>
      <c r="AL357" s="105">
        <f t="shared" si="193"/>
        <v>45082</v>
      </c>
      <c r="AM357" s="91">
        <f t="shared" si="192"/>
        <v>4.186</v>
      </c>
      <c r="AN357" s="57">
        <f t="shared" si="194"/>
        <v>-0.00333333333333341</v>
      </c>
      <c r="AO357" s="36">
        <f t="shared" si="195"/>
        <v>-0.0125029488086813</v>
      </c>
      <c r="AP357" s="36"/>
      <c r="AQ357" s="128" t="str" cm="1">
        <f t="array" ref="AQ357">_xlfn.IFS(MONTH(AR357)&lt;4,1,MONTH(AR357)&lt;7,2,MONTH(AR357)&lt;10,3,MONTH(AR357)&gt;9,4)&amp;"Q"&amp;RIGHT(YEAR(AR357),2)</f>
        <v>2Q25</v>
      </c>
      <c r="AR357" s="128">
        <f t="shared" si="200"/>
        <v>45838</v>
      </c>
      <c r="AS357" s="129">
        <f t="shared" si="173"/>
        <v>45810</v>
      </c>
      <c r="AT357" s="135">
        <v>98</v>
      </c>
      <c r="AU357" s="134" cm="1">
        <f t="array" ref="AU357">INDEX($CE$29:$CE$1449,MATCH($AR357,$CA$29:$CA$1449,0),)</f>
        <v>130</v>
      </c>
      <c r="AV357" s="135">
        <v>182</v>
      </c>
      <c r="AW357" s="134" cm="1">
        <f t="array" ref="AW357">INDEX($CF$29:$CF$1449,MATCH($AR357,$CA$29:$CA$1449,0),)</f>
        <v>210</v>
      </c>
      <c r="AX357" s="135">
        <v>144.5</v>
      </c>
      <c r="AY357" s="134" cm="1">
        <f t="array" ref="AY357">INDEX($CO$29:$CO$1449,MATCH($AR357,$CA$29:$CA$1449,0),)</f>
        <v>134</v>
      </c>
      <c r="AZ357" s="135">
        <v>264</v>
      </c>
      <c r="BA357" s="134" cm="1">
        <f t="array" ref="BA357">INDEX($CP$29:$CP$1449,MATCH($AR357,$CA$29:$CA$1449,0),)</f>
        <v>265</v>
      </c>
      <c r="BB357" s="133">
        <f t="shared" si="202"/>
        <v>0.0652173913043479</v>
      </c>
      <c r="BC357" s="132">
        <f t="shared" si="204"/>
        <v>0.13953488372093</v>
      </c>
      <c r="BD357" s="132">
        <f t="shared" si="206"/>
        <v>0.13953488372093</v>
      </c>
      <c r="BE357" s="133">
        <f t="shared" si="203"/>
        <v>0.0520231213872833</v>
      </c>
      <c r="BF357" s="132">
        <f t="shared" si="205"/>
        <v>0.109756097560976</v>
      </c>
      <c r="BG357" s="132">
        <f t="shared" si="207"/>
        <v>0.116564417177914</v>
      </c>
      <c r="BH357" s="133">
        <f t="shared" si="186"/>
        <v>-0.00172711571675299</v>
      </c>
      <c r="BI357" s="132">
        <f t="shared" si="187"/>
        <v>0.0122591943957968</v>
      </c>
      <c r="BJ357" s="132">
        <f t="shared" si="188"/>
        <v>0.0140350877192983</v>
      </c>
      <c r="BK357" s="133">
        <f t="shared" si="189"/>
        <v>-0.00377358490566038</v>
      </c>
      <c r="BL357" s="132">
        <f t="shared" si="190"/>
        <v>-0.0112359550561798</v>
      </c>
      <c r="BM357" s="132">
        <f t="shared" si="191"/>
        <v>-0.00938086303939967</v>
      </c>
      <c r="FV357" s="104">
        <f t="shared" si="174"/>
        <v>2012</v>
      </c>
      <c r="FW357" s="104">
        <f t="shared" si="175"/>
        <v>2</v>
      </c>
      <c r="FX357" s="35">
        <v>40921</v>
      </c>
      <c r="FY357" s="26">
        <v>0.95</v>
      </c>
      <c r="FZ357" s="94">
        <f t="shared" si="176"/>
        <v>3.8</v>
      </c>
      <c r="GA357" s="104"/>
      <c r="GB357" s="104"/>
      <c r="GE357" s="94"/>
      <c r="GF357" s="104">
        <f t="shared" si="177"/>
        <v>2014</v>
      </c>
      <c r="GG357" s="104">
        <f t="shared" si="178"/>
        <v>18</v>
      </c>
      <c r="GH357" s="35">
        <v>41758</v>
      </c>
      <c r="GI357" s="26">
        <v>3.87</v>
      </c>
      <c r="GJ357" s="94">
        <f t="shared" si="179"/>
        <v>7.74</v>
      </c>
      <c r="GK357" s="104"/>
      <c r="GL357" s="104"/>
      <c r="GO357" s="94"/>
    </row>
    <row r="358" spans="3:197">
      <c r="C358" s="80" t="str" cm="1">
        <f t="array" ref="C358">_xlfn.IFS(MONTH(D358)&lt;4,1,MONTH(D358)&lt;7,2,MONTH(D358)&lt;10,3,MONTH(D358)&gt;9,4)&amp;"Q"&amp;RIGHT(YEAR(D358),2)</f>
        <v>2Q17</v>
      </c>
      <c r="D358" s="81">
        <f t="shared" si="198"/>
        <v>42916</v>
      </c>
      <c r="E358" s="82">
        <f t="shared" si="196"/>
        <v>42909</v>
      </c>
      <c r="F358" s="83">
        <f t="shared" si="197"/>
        <v>0.814</v>
      </c>
      <c r="G358" s="83">
        <f t="shared" si="197"/>
        <v>0.8125</v>
      </c>
      <c r="H358" s="81"/>
      <c r="I358" s="146">
        <v>42909</v>
      </c>
      <c r="J358" s="147">
        <v>7.2</v>
      </c>
      <c r="K358" s="147">
        <v>6.3</v>
      </c>
      <c r="L358" s="147">
        <v>6.512</v>
      </c>
      <c r="M358" s="94" cm="1">
        <f t="array" ref="M358">INDEX($BV$29:$BV$1449,MATCH($D358,$BR$29:$BR$1449,0),)</f>
        <v>6.5</v>
      </c>
      <c r="N358" s="150">
        <f t="shared" si="181"/>
        <v>0.00836172189532358</v>
      </c>
      <c r="O358" s="150">
        <f t="shared" si="182"/>
        <v>0.0155957579538366</v>
      </c>
      <c r="P358" s="150">
        <f t="shared" si="180"/>
        <v>0.0197306608205448</v>
      </c>
      <c r="Q358" s="89">
        <f t="shared" si="183"/>
        <v>0.00184615384615383</v>
      </c>
      <c r="AH358" s="105">
        <f t="shared" si="184"/>
        <v>45089</v>
      </c>
      <c r="AI358" s="91">
        <f t="shared" si="185"/>
        <v>1.52</v>
      </c>
      <c r="AJ358" s="57">
        <f t="shared" si="199"/>
        <v>0</v>
      </c>
      <c r="AK358" s="36">
        <f t="shared" si="201"/>
        <v>-0.00653594771241828</v>
      </c>
      <c r="AL358" s="105">
        <f t="shared" si="193"/>
        <v>45089</v>
      </c>
      <c r="AM358" s="91">
        <f t="shared" si="192"/>
        <v>4.153</v>
      </c>
      <c r="AN358" s="57">
        <f t="shared" si="194"/>
        <v>-0.00788342092689931</v>
      </c>
      <c r="AO358" s="36">
        <f t="shared" si="195"/>
        <v>-0.0111904761904763</v>
      </c>
      <c r="AP358" s="36"/>
      <c r="AQ358" s="128" t="str" cm="1">
        <f t="array" ref="AQ358">_xlfn.IFS(MONTH(AR358)&lt;4,1,MONTH(AR358)&lt;7,2,MONTH(AR358)&lt;10,3,MONTH(AR358)&gt;9,4)&amp;"Q"&amp;RIGHT(YEAR(AR358),2)</f>
        <v>2Q25</v>
      </c>
      <c r="AR358" s="128">
        <f t="shared" si="200"/>
        <v>45838</v>
      </c>
      <c r="AS358" s="129">
        <f t="shared" si="173"/>
        <v>45817</v>
      </c>
      <c r="AT358" s="135">
        <v>108</v>
      </c>
      <c r="AU358" s="134" cm="1">
        <f t="array" ref="AU358">INDEX($CE$29:$CE$1449,MATCH($AR358,$CA$29:$CA$1449,0),)</f>
        <v>130</v>
      </c>
      <c r="AV358" s="135">
        <v>200</v>
      </c>
      <c r="AW358" s="134" cm="1">
        <f t="array" ref="AW358">INDEX($CF$29:$CF$1449,MATCH($AR358,$CA$29:$CA$1449,0),)</f>
        <v>210</v>
      </c>
      <c r="AX358" s="135">
        <v>144</v>
      </c>
      <c r="AY358" s="134" cm="1">
        <f t="array" ref="AY358">INDEX($CO$29:$CO$1449,MATCH($AR358,$CA$29:$CA$1449,0),)</f>
        <v>134</v>
      </c>
      <c r="AZ358" s="135">
        <v>263</v>
      </c>
      <c r="BA358" s="134" cm="1">
        <f t="array" ref="BA358">INDEX($CP$29:$CP$1449,MATCH($AR358,$CA$29:$CA$1449,0),)</f>
        <v>265</v>
      </c>
      <c r="BB358" s="133">
        <f t="shared" si="202"/>
        <v>0.102040816326531</v>
      </c>
      <c r="BC358" s="132">
        <f t="shared" si="204"/>
        <v>0.173913043478261</v>
      </c>
      <c r="BD358" s="132">
        <f t="shared" si="206"/>
        <v>0.255813953488372</v>
      </c>
      <c r="BE358" s="133">
        <f t="shared" si="203"/>
        <v>0.098901098901099</v>
      </c>
      <c r="BF358" s="132">
        <f t="shared" si="205"/>
        <v>0.15606936416185</v>
      </c>
      <c r="BG358" s="132">
        <f t="shared" si="207"/>
        <v>0.219512195121951</v>
      </c>
      <c r="BH358" s="133">
        <f t="shared" si="186"/>
        <v>-0.0034602076124568</v>
      </c>
      <c r="BI358" s="132">
        <f t="shared" si="187"/>
        <v>-0.00518134715025909</v>
      </c>
      <c r="BJ358" s="132">
        <f t="shared" si="188"/>
        <v>0.00875656742556918</v>
      </c>
      <c r="BK358" s="133">
        <f t="shared" si="189"/>
        <v>-0.00378787878787878</v>
      </c>
      <c r="BL358" s="132">
        <f t="shared" si="190"/>
        <v>-0.00754716981132075</v>
      </c>
      <c r="BM358" s="132">
        <f t="shared" si="191"/>
        <v>-0.0149812734082397</v>
      </c>
      <c r="FV358" s="104">
        <f t="shared" si="174"/>
        <v>2012</v>
      </c>
      <c r="FW358" s="104">
        <f t="shared" si="175"/>
        <v>3</v>
      </c>
      <c r="FX358" s="35">
        <v>40924</v>
      </c>
      <c r="FY358" s="26">
        <v>0.94</v>
      </c>
      <c r="FZ358" s="94">
        <f t="shared" si="176"/>
        <v>3.76</v>
      </c>
      <c r="GA358" s="104"/>
      <c r="GB358" s="104"/>
      <c r="GE358" s="94"/>
      <c r="GF358" s="104">
        <f t="shared" si="177"/>
        <v>2014</v>
      </c>
      <c r="GG358" s="104">
        <f t="shared" si="178"/>
        <v>18</v>
      </c>
      <c r="GH358" s="35">
        <v>41759</v>
      </c>
      <c r="GI358" s="26">
        <v>3.931</v>
      </c>
      <c r="GJ358" s="94">
        <f t="shared" si="179"/>
        <v>7.862</v>
      </c>
      <c r="GK358" s="104"/>
      <c r="GL358" s="104"/>
      <c r="GO358" s="94"/>
    </row>
    <row r="359" spans="3:197">
      <c r="C359" s="80" t="str" cm="1">
        <f t="array" ref="C359">_xlfn.IFS(MONTH(D359)&lt;4,1,MONTH(D359)&lt;7,2,MONTH(D359)&lt;10,3,MONTH(D359)&gt;9,4)&amp;"Q"&amp;RIGHT(YEAR(D359),2)</f>
        <v>2Q17</v>
      </c>
      <c r="D359" s="81">
        <f t="shared" si="198"/>
        <v>42916</v>
      </c>
      <c r="E359" s="82">
        <f t="shared" si="196"/>
        <v>42912</v>
      </c>
      <c r="F359" s="83">
        <f t="shared" si="197"/>
        <v>0.81625</v>
      </c>
      <c r="G359" s="83">
        <f t="shared" si="197"/>
        <v>0.8125</v>
      </c>
      <c r="H359" s="81"/>
      <c r="I359" s="146">
        <v>42912</v>
      </c>
      <c r="J359" s="147">
        <v>7.2</v>
      </c>
      <c r="K359" s="147">
        <v>6.33</v>
      </c>
      <c r="L359" s="147">
        <v>6.53</v>
      </c>
      <c r="M359" s="94" cm="1">
        <f t="array" ref="M359">INDEX($BV$29:$BV$1449,MATCH($D359,$BR$29:$BR$1449,0),)</f>
        <v>6.5</v>
      </c>
      <c r="N359" s="150">
        <f t="shared" si="181"/>
        <v>0.00276412776412793</v>
      </c>
      <c r="O359" s="150">
        <f t="shared" si="182"/>
        <v>0.0155520995334371</v>
      </c>
      <c r="P359" s="150">
        <f t="shared" si="180"/>
        <v>0.0225493266520513</v>
      </c>
      <c r="Q359" s="89">
        <f t="shared" si="183"/>
        <v>0.00461538461538469</v>
      </c>
      <c r="AH359" s="105">
        <f t="shared" si="184"/>
        <v>45096</v>
      </c>
      <c r="AI359" s="91">
        <f t="shared" si="185"/>
        <v>1.516</v>
      </c>
      <c r="AJ359" s="57">
        <f t="shared" si="199"/>
        <v>-0.00263157894736843</v>
      </c>
      <c r="AK359" s="36">
        <f t="shared" si="201"/>
        <v>-0.00263157894736843</v>
      </c>
      <c r="AL359" s="105">
        <f t="shared" si="193"/>
        <v>45096</v>
      </c>
      <c r="AM359" s="91">
        <f t="shared" si="192"/>
        <v>4.143</v>
      </c>
      <c r="AN359" s="57">
        <f t="shared" si="194"/>
        <v>-0.00240789790512874</v>
      </c>
      <c r="AO359" s="36">
        <f t="shared" si="195"/>
        <v>-0.0102723363592929</v>
      </c>
      <c r="AP359" s="36"/>
      <c r="AQ359" s="128" t="str" cm="1">
        <f t="array" ref="AQ359">_xlfn.IFS(MONTH(AR359)&lt;4,1,MONTH(AR359)&lt;7,2,MONTH(AR359)&lt;10,3,MONTH(AR359)&gt;9,4)&amp;"Q"&amp;RIGHT(YEAR(AR359),2)</f>
        <v>2Q25</v>
      </c>
      <c r="AR359" s="128">
        <f t="shared" si="200"/>
        <v>45838</v>
      </c>
      <c r="AS359" s="129">
        <f t="shared" si="173"/>
        <v>45824</v>
      </c>
      <c r="AT359" s="135">
        <v>130</v>
      </c>
      <c r="AU359" s="134" cm="1">
        <f t="array" ref="AU359">INDEX($CE$29:$CE$1449,MATCH($AR359,$CA$29:$CA$1449,0),)</f>
        <v>130</v>
      </c>
      <c r="AV359" s="135">
        <v>220</v>
      </c>
      <c r="AW359" s="134" cm="1">
        <f t="array" ref="AW359">INDEX($CF$29:$CF$1449,MATCH($AR359,$CA$29:$CA$1449,0),)</f>
        <v>210</v>
      </c>
      <c r="AX359" s="135">
        <v>143.75</v>
      </c>
      <c r="AY359" s="134" cm="1">
        <f t="array" ref="AY359">INDEX($CO$29:$CO$1449,MATCH($AR359,$CA$29:$CA$1449,0),)</f>
        <v>134</v>
      </c>
      <c r="AZ359" s="135">
        <v>263</v>
      </c>
      <c r="BA359" s="134" cm="1">
        <f t="array" ref="BA359">INDEX($CP$29:$CP$1449,MATCH($AR359,$CA$29:$CA$1449,0),)</f>
        <v>265</v>
      </c>
      <c r="BB359" s="133">
        <f t="shared" si="202"/>
        <v>0.203703703703704</v>
      </c>
      <c r="BC359" s="132">
        <f t="shared" si="204"/>
        <v>0.326530612244898</v>
      </c>
      <c r="BD359" s="132">
        <f t="shared" si="206"/>
        <v>0.41304347826087</v>
      </c>
      <c r="BE359" s="133">
        <f t="shared" si="203"/>
        <v>0.1</v>
      </c>
      <c r="BF359" s="132">
        <f t="shared" si="205"/>
        <v>0.208791208791209</v>
      </c>
      <c r="BG359" s="132">
        <f t="shared" si="207"/>
        <v>0.271676300578035</v>
      </c>
      <c r="BH359" s="133">
        <f t="shared" si="186"/>
        <v>-0.00173611111111116</v>
      </c>
      <c r="BI359" s="132">
        <f t="shared" si="187"/>
        <v>-0.00519031141868509</v>
      </c>
      <c r="BJ359" s="132">
        <f t="shared" si="188"/>
        <v>-0.00690846286701208</v>
      </c>
      <c r="BK359" s="133">
        <f t="shared" si="189"/>
        <v>0</v>
      </c>
      <c r="BL359" s="132">
        <f t="shared" si="190"/>
        <v>-0.00378787878787878</v>
      </c>
      <c r="BM359" s="132">
        <f t="shared" si="191"/>
        <v>-0.00754716981132075</v>
      </c>
      <c r="FV359" s="104">
        <f t="shared" si="174"/>
        <v>2012</v>
      </c>
      <c r="FW359" s="104">
        <f t="shared" si="175"/>
        <v>3</v>
      </c>
      <c r="FX359" s="35">
        <v>40925</v>
      </c>
      <c r="FY359" s="26">
        <v>0.94</v>
      </c>
      <c r="FZ359" s="94">
        <f t="shared" si="176"/>
        <v>3.76</v>
      </c>
      <c r="GA359" s="104"/>
      <c r="GB359" s="104"/>
      <c r="GE359" s="94"/>
      <c r="GF359" s="104">
        <f t="shared" si="177"/>
        <v>2014</v>
      </c>
      <c r="GG359" s="104">
        <f t="shared" si="178"/>
        <v>18</v>
      </c>
      <c r="GH359" s="35">
        <v>41761</v>
      </c>
      <c r="GI359" s="26">
        <v>3.963</v>
      </c>
      <c r="GJ359" s="94">
        <f t="shared" si="179"/>
        <v>7.926</v>
      </c>
      <c r="GK359" s="104"/>
      <c r="GL359" s="104"/>
      <c r="GO359" s="94"/>
    </row>
    <row r="360" spans="3:197">
      <c r="C360" s="80" t="str" cm="1">
        <f t="array" ref="C360">_xlfn.IFS(MONTH(D360)&lt;4,1,MONTH(D360)&lt;7,2,MONTH(D360)&lt;10,3,MONTH(D360)&gt;9,4)&amp;"Q"&amp;RIGHT(YEAR(D360),2)</f>
        <v>2Q17</v>
      </c>
      <c r="D360" s="81">
        <f t="shared" si="198"/>
        <v>42916</v>
      </c>
      <c r="E360" s="82">
        <f t="shared" si="196"/>
        <v>42913</v>
      </c>
      <c r="F360" s="83">
        <f t="shared" si="197"/>
        <v>0.8165</v>
      </c>
      <c r="G360" s="83">
        <f t="shared" si="197"/>
        <v>0.8125</v>
      </c>
      <c r="H360" s="81"/>
      <c r="I360" s="146">
        <v>42913</v>
      </c>
      <c r="J360" s="147">
        <v>7.2</v>
      </c>
      <c r="K360" s="147">
        <v>6.35</v>
      </c>
      <c r="L360" s="147">
        <v>6.532</v>
      </c>
      <c r="M360" s="94" cm="1">
        <f t="array" ref="M360">INDEX($BV$29:$BV$1449,MATCH($D360,$BR$29:$BR$1449,0),)</f>
        <v>6.5</v>
      </c>
      <c r="N360" s="150">
        <f t="shared" si="181"/>
        <v>0.000306278713629426</v>
      </c>
      <c r="O360" s="150">
        <f t="shared" si="182"/>
        <v>0.0136561142147735</v>
      </c>
      <c r="P360" s="150">
        <f t="shared" si="180"/>
        <v>0.022862511744441</v>
      </c>
      <c r="Q360" s="89">
        <f t="shared" si="183"/>
        <v>0.00492307692307703</v>
      </c>
      <c r="AH360" s="105">
        <f t="shared" si="184"/>
        <v>45103</v>
      </c>
      <c r="AI360" s="91">
        <f t="shared" si="185"/>
        <v>1.511</v>
      </c>
      <c r="AJ360" s="57">
        <f t="shared" si="199"/>
        <v>-0.00329815303430092</v>
      </c>
      <c r="AK360" s="36">
        <f t="shared" si="201"/>
        <v>-0.00592105263157905</v>
      </c>
      <c r="AL360" s="105">
        <f t="shared" si="193"/>
        <v>45103</v>
      </c>
      <c r="AM360" s="91">
        <f t="shared" si="192"/>
        <v>4.141</v>
      </c>
      <c r="AN360" s="57">
        <f t="shared" si="194"/>
        <v>-0.000482741974414669</v>
      </c>
      <c r="AO360" s="36">
        <f t="shared" si="195"/>
        <v>-0.00288947748615453</v>
      </c>
      <c r="AP360" s="36"/>
      <c r="AQ360" s="128" t="str" cm="1">
        <f t="array" ref="AQ360">_xlfn.IFS(MONTH(AR360)&lt;4,1,MONTH(AR360)&lt;7,2,MONTH(AR360)&lt;10,3,MONTH(AR360)&gt;9,4)&amp;"Q"&amp;RIGHT(YEAR(AR360),2)</f>
        <v>2Q25</v>
      </c>
      <c r="AR360" s="128">
        <f t="shared" si="200"/>
        <v>45838</v>
      </c>
      <c r="AS360" s="129">
        <f t="shared" si="173"/>
        <v>45831</v>
      </c>
      <c r="AT360" s="135">
        <v>150</v>
      </c>
      <c r="AU360" s="134" cm="1">
        <f t="array" ref="AU360">INDEX($CE$29:$CE$1449,MATCH($AR360,$CA$29:$CA$1449,0),)</f>
        <v>130</v>
      </c>
      <c r="AV360" s="135">
        <v>240</v>
      </c>
      <c r="AW360" s="134" cm="1">
        <f t="array" ref="AW360">INDEX($CF$29:$CF$1449,MATCH($AR360,$CA$29:$CA$1449,0),)</f>
        <v>210</v>
      </c>
      <c r="AX360" s="135">
        <v>143.5</v>
      </c>
      <c r="AY360" s="134" cm="1">
        <f t="array" ref="AY360">INDEX($CO$29:$CO$1449,MATCH($AR360,$CA$29:$CA$1449,0),)</f>
        <v>134</v>
      </c>
      <c r="AZ360" s="135">
        <v>261.4</v>
      </c>
      <c r="BA360" s="134" cm="1">
        <f t="array" ref="BA360">INDEX($CP$29:$CP$1449,MATCH($AR360,$CA$29:$CA$1449,0),)</f>
        <v>265</v>
      </c>
      <c r="BB360" s="133">
        <f t="shared" si="202"/>
        <v>0.153846153846154</v>
      </c>
      <c r="BC360" s="132">
        <f t="shared" si="204"/>
        <v>0.388888888888889</v>
      </c>
      <c r="BD360" s="132">
        <f t="shared" si="206"/>
        <v>0.530612244897959</v>
      </c>
      <c r="BE360" s="133">
        <f t="shared" si="203"/>
        <v>0.0909090909090908</v>
      </c>
      <c r="BF360" s="132">
        <f t="shared" si="205"/>
        <v>0.2</v>
      </c>
      <c r="BG360" s="132">
        <f t="shared" si="207"/>
        <v>0.318681318681319</v>
      </c>
      <c r="BH360" s="133">
        <f t="shared" si="186"/>
        <v>-0.00173913043478258</v>
      </c>
      <c r="BI360" s="132">
        <f t="shared" si="187"/>
        <v>-0.00347222222222221</v>
      </c>
      <c r="BJ360" s="132">
        <f t="shared" si="188"/>
        <v>-0.00692041522491349</v>
      </c>
      <c r="BK360" s="133">
        <f t="shared" si="189"/>
        <v>-0.00608365019011414</v>
      </c>
      <c r="BL360" s="132">
        <f t="shared" si="190"/>
        <v>-0.00608365019011414</v>
      </c>
      <c r="BM360" s="132">
        <f t="shared" si="191"/>
        <v>-0.00984848484848488</v>
      </c>
      <c r="FV360" s="104">
        <f t="shared" si="174"/>
        <v>2012</v>
      </c>
      <c r="FW360" s="104">
        <f t="shared" si="175"/>
        <v>3</v>
      </c>
      <c r="FX360" s="35">
        <v>40926</v>
      </c>
      <c r="FY360" s="26">
        <v>0.94</v>
      </c>
      <c r="FZ360" s="94">
        <f t="shared" si="176"/>
        <v>3.76</v>
      </c>
      <c r="GA360" s="104"/>
      <c r="GB360" s="104"/>
      <c r="GE360" s="94"/>
      <c r="GF360" s="104">
        <f t="shared" si="177"/>
        <v>2014</v>
      </c>
      <c r="GG360" s="104">
        <f t="shared" si="178"/>
        <v>19</v>
      </c>
      <c r="GH360" s="35">
        <v>41764</v>
      </c>
      <c r="GI360" s="26">
        <v>3.984</v>
      </c>
      <c r="GJ360" s="94">
        <f t="shared" si="179"/>
        <v>7.968</v>
      </c>
      <c r="GK360" s="104"/>
      <c r="GL360" s="104"/>
      <c r="GO360" s="94"/>
    </row>
    <row r="361" spans="3:197">
      <c r="C361" s="80" t="str" cm="1">
        <f t="array" ref="C361">_xlfn.IFS(MONTH(D361)&lt;4,1,MONTH(D361)&lt;7,2,MONTH(D361)&lt;10,3,MONTH(D361)&gt;9,4)&amp;"Q"&amp;RIGHT(YEAR(D361),2)</f>
        <v>2Q17</v>
      </c>
      <c r="D361" s="81">
        <f t="shared" si="198"/>
        <v>42916</v>
      </c>
      <c r="E361" s="82">
        <f t="shared" si="196"/>
        <v>42914</v>
      </c>
      <c r="F361" s="83">
        <f t="shared" si="197"/>
        <v>0.817875</v>
      </c>
      <c r="G361" s="83">
        <f t="shared" si="197"/>
        <v>0.8125</v>
      </c>
      <c r="H361" s="81"/>
      <c r="I361" s="146">
        <v>42914</v>
      </c>
      <c r="J361" s="147">
        <v>7.2</v>
      </c>
      <c r="K361" s="147">
        <v>6.35</v>
      </c>
      <c r="L361" s="147">
        <v>6.543</v>
      </c>
      <c r="M361" s="94" cm="1">
        <f t="array" ref="M361">INDEX($BV$29:$BV$1449,MATCH($D361,$BR$29:$BR$1449,0),)</f>
        <v>6.5</v>
      </c>
      <c r="N361" s="150">
        <f t="shared" si="181"/>
        <v>0.00168401714635635</v>
      </c>
      <c r="O361" s="150">
        <f t="shared" si="182"/>
        <v>0.0145759032408126</v>
      </c>
      <c r="P361" s="150">
        <f t="shared" si="180"/>
        <v>0.0215456674473067</v>
      </c>
      <c r="Q361" s="89">
        <f t="shared" si="183"/>
        <v>0.00661538461538469</v>
      </c>
      <c r="AH361" s="105">
        <f t="shared" si="184"/>
        <v>45110</v>
      </c>
      <c r="AI361" s="91">
        <f t="shared" si="185"/>
        <v>1.5</v>
      </c>
      <c r="AJ361" s="57">
        <f t="shared" si="199"/>
        <v>-0.0072799470549304</v>
      </c>
      <c r="AK361" s="36">
        <f t="shared" si="201"/>
        <v>-0.0105540897097626</v>
      </c>
      <c r="AL361" s="105">
        <f t="shared" si="193"/>
        <v>45110</v>
      </c>
      <c r="AM361" s="91">
        <f t="shared" si="192"/>
        <v>4.13</v>
      </c>
      <c r="AN361" s="57">
        <f t="shared" si="194"/>
        <v>-0.00265636319729534</v>
      </c>
      <c r="AO361" s="36">
        <f t="shared" si="195"/>
        <v>-0.00313782283369535</v>
      </c>
      <c r="AP361" s="36"/>
      <c r="AQ361" s="128" t="str" cm="1">
        <f t="array" ref="AQ361">_xlfn.IFS(MONTH(AR361)&lt;4,1,MONTH(AR361)&lt;7,2,MONTH(AR361)&lt;10,3,MONTH(AR361)&gt;9,4)&amp;"Q"&amp;RIGHT(YEAR(AR361),2)</f>
        <v>2Q25</v>
      </c>
      <c r="AR361" s="128">
        <f t="shared" si="200"/>
        <v>45838</v>
      </c>
      <c r="AS361" s="129">
        <f t="shared" si="173"/>
        <v>45838</v>
      </c>
      <c r="AT361" s="135">
        <v>156</v>
      </c>
      <c r="AU361" s="134" cm="1">
        <f t="array" ref="AU361">INDEX($CE$29:$CE$1449,MATCH($AR361,$CA$29:$CA$1449,0),)</f>
        <v>130</v>
      </c>
      <c r="AV361" s="135">
        <v>247</v>
      </c>
      <c r="AW361" s="134" cm="1">
        <f t="array" ref="AW361">INDEX($CF$29:$CF$1449,MATCH($AR361,$CA$29:$CA$1449,0),)</f>
        <v>210</v>
      </c>
      <c r="AX361" s="135">
        <v>142.5</v>
      </c>
      <c r="AY361" s="134" cm="1">
        <f t="array" ref="AY361">INDEX($CO$29:$CO$1449,MATCH($AR361,$CA$29:$CA$1449,0),)</f>
        <v>134</v>
      </c>
      <c r="AZ361" s="135">
        <v>261.25</v>
      </c>
      <c r="BA361" s="134" cm="1">
        <f t="array" ref="BA361">INDEX($CP$29:$CP$1449,MATCH($AR361,$CA$29:$CA$1449,0),)</f>
        <v>265</v>
      </c>
      <c r="BB361" s="133">
        <f t="shared" si="202"/>
        <v>0.04</v>
      </c>
      <c r="BC361" s="132">
        <f t="shared" si="204"/>
        <v>0.2</v>
      </c>
      <c r="BD361" s="132">
        <f t="shared" si="206"/>
        <v>0.444444444444444</v>
      </c>
      <c r="BE361" s="133">
        <f t="shared" si="203"/>
        <v>0.0291666666666666</v>
      </c>
      <c r="BF361" s="132">
        <f t="shared" si="205"/>
        <v>0.122727272727273</v>
      </c>
      <c r="BG361" s="132">
        <f t="shared" si="207"/>
        <v>0.235</v>
      </c>
      <c r="BH361" s="133">
        <f t="shared" si="186"/>
        <v>-0.00696864111498263</v>
      </c>
      <c r="BI361" s="132">
        <f t="shared" si="187"/>
        <v>-0.00869565217391299</v>
      </c>
      <c r="BJ361" s="132">
        <f t="shared" si="188"/>
        <v>-0.0104166666666666</v>
      </c>
      <c r="BK361" s="133">
        <f t="shared" si="189"/>
        <v>-0.000573833205814722</v>
      </c>
      <c r="BL361" s="132">
        <f t="shared" si="190"/>
        <v>-0.00665399239543729</v>
      </c>
      <c r="BM361" s="132">
        <f t="shared" si="191"/>
        <v>-0.00665399239543729</v>
      </c>
      <c r="FV361" s="104">
        <f t="shared" si="174"/>
        <v>2012</v>
      </c>
      <c r="FW361" s="104">
        <f t="shared" si="175"/>
        <v>3</v>
      </c>
      <c r="FX361" s="35">
        <v>40927</v>
      </c>
      <c r="FY361" s="26">
        <v>0.94</v>
      </c>
      <c r="FZ361" s="94">
        <f t="shared" si="176"/>
        <v>3.76</v>
      </c>
      <c r="GA361" s="104"/>
      <c r="GB361" s="104"/>
      <c r="GE361" s="94"/>
      <c r="GF361" s="104">
        <f t="shared" si="177"/>
        <v>2014</v>
      </c>
      <c r="GG361" s="104">
        <f t="shared" si="178"/>
        <v>19</v>
      </c>
      <c r="GH361" s="35">
        <v>41765</v>
      </c>
      <c r="GI361" s="26">
        <v>4.078</v>
      </c>
      <c r="GJ361" s="94">
        <f t="shared" si="179"/>
        <v>8.156</v>
      </c>
      <c r="GK361" s="104"/>
      <c r="GL361" s="104"/>
      <c r="GO361" s="94"/>
    </row>
    <row r="362" spans="3:197">
      <c r="C362" s="80" t="str" cm="1">
        <f t="array" ref="C362">_xlfn.IFS(MONTH(D362)&lt;4,1,MONTH(D362)&lt;7,2,MONTH(D362)&lt;10,3,MONTH(D362)&gt;9,4)&amp;"Q"&amp;RIGHT(YEAR(D362),2)</f>
        <v>2Q17</v>
      </c>
      <c r="D362" s="81">
        <f t="shared" si="198"/>
        <v>42916</v>
      </c>
      <c r="E362" s="82">
        <f t="shared" si="196"/>
        <v>42915</v>
      </c>
      <c r="F362" s="83">
        <f t="shared" si="197"/>
        <v>0.818</v>
      </c>
      <c r="G362" s="83">
        <f t="shared" si="197"/>
        <v>0.8125</v>
      </c>
      <c r="H362" s="81"/>
      <c r="I362" s="146">
        <v>42915</v>
      </c>
      <c r="J362" s="147">
        <v>7.2</v>
      </c>
      <c r="K362" s="147">
        <v>6.35</v>
      </c>
      <c r="L362" s="147">
        <v>6.544</v>
      </c>
      <c r="M362" s="94" cm="1">
        <f t="array" ref="M362">INDEX($BV$29:$BV$1449,MATCH($D362,$BR$29:$BR$1449,0),)</f>
        <v>6.5</v>
      </c>
      <c r="N362" s="150">
        <f t="shared" si="181"/>
        <v>0.000152835090936776</v>
      </c>
      <c r="O362" s="150">
        <f t="shared" si="182"/>
        <v>0.0133168163518116</v>
      </c>
      <c r="P362" s="150">
        <f t="shared" si="180"/>
        <v>0.0205864004990641</v>
      </c>
      <c r="Q362" s="89">
        <f t="shared" si="183"/>
        <v>0.00676923076923064</v>
      </c>
      <c r="AH362" s="105">
        <f t="shared" si="184"/>
        <v>45117</v>
      </c>
      <c r="AI362" s="91">
        <f t="shared" si="185"/>
        <v>1.491</v>
      </c>
      <c r="AJ362" s="57">
        <f t="shared" si="199"/>
        <v>-0.00599999999999989</v>
      </c>
      <c r="AK362" s="36">
        <f t="shared" si="201"/>
        <v>-0.0132362673726008</v>
      </c>
      <c r="AL362" s="105">
        <f t="shared" si="193"/>
        <v>45117</v>
      </c>
      <c r="AM362" s="91">
        <f t="shared" si="192"/>
        <v>4.093</v>
      </c>
      <c r="AN362" s="57">
        <f t="shared" si="194"/>
        <v>-0.00895883777239703</v>
      </c>
      <c r="AO362" s="36">
        <f t="shared" si="195"/>
        <v>-0.0115914030427433</v>
      </c>
      <c r="AP362" s="36"/>
      <c r="AQ362" s="128" t="str" cm="1">
        <f t="array" ref="AQ362">_xlfn.IFS(MONTH(AR362)&lt;4,1,MONTH(AR362)&lt;7,2,MONTH(AR362)&lt;10,3,MONTH(AR362)&gt;9,4)&amp;"Q"&amp;RIGHT(YEAR(AR362),2)</f>
        <v>3Q25</v>
      </c>
      <c r="AR362" s="128">
        <f t="shared" si="200"/>
        <v>45869</v>
      </c>
      <c r="AS362" s="129">
        <f t="shared" si="173"/>
        <v>45845</v>
      </c>
      <c r="AT362" s="135">
        <v>156</v>
      </c>
      <c r="AU362" s="134" cm="1">
        <f t="array" ref="AU362">INDEX($CE$29:$CE$1449,MATCH($AR362,$CA$29:$CA$1449,0),)</f>
        <v>132</v>
      </c>
      <c r="AV362" s="135">
        <v>255</v>
      </c>
      <c r="AW362" s="134" cm="1">
        <f t="array" ref="AW362">INDEX($CF$29:$CF$1449,MATCH($AR362,$CA$29:$CA$1449,0),)</f>
        <v>225</v>
      </c>
      <c r="AX362" s="135">
        <v>141.5</v>
      </c>
      <c r="AY362" s="134" cm="1">
        <f t="array" ref="AY362">INDEX($CO$29:$CO$1449,MATCH($AR362,$CA$29:$CA$1449,0),)</f>
        <v>140</v>
      </c>
      <c r="AZ362" s="135">
        <v>258.75</v>
      </c>
      <c r="BA362" s="134" cm="1">
        <f t="array" ref="BA362">INDEX($CP$29:$CP$1449,MATCH($AR362,$CA$29:$CA$1449,0),)</f>
        <v>268</v>
      </c>
      <c r="BB362" s="133">
        <f t="shared" si="202"/>
        <v>0</v>
      </c>
      <c r="BC362" s="132">
        <f t="shared" si="204"/>
        <v>0.04</v>
      </c>
      <c r="BD362" s="132">
        <f t="shared" si="206"/>
        <v>0.2</v>
      </c>
      <c r="BE362" s="133">
        <f t="shared" si="203"/>
        <v>0.0323886639676114</v>
      </c>
      <c r="BF362" s="132">
        <f t="shared" si="205"/>
        <v>0.0625</v>
      </c>
      <c r="BG362" s="132">
        <f t="shared" si="207"/>
        <v>0.159090909090909</v>
      </c>
      <c r="BH362" s="133">
        <f t="shared" si="186"/>
        <v>-0.00701754385964914</v>
      </c>
      <c r="BI362" s="132">
        <f t="shared" si="187"/>
        <v>-0.0139372822299652</v>
      </c>
      <c r="BJ362" s="132">
        <f t="shared" si="188"/>
        <v>-0.0156521739130435</v>
      </c>
      <c r="BK362" s="133">
        <f t="shared" si="189"/>
        <v>-0.00956937799043067</v>
      </c>
      <c r="BL362" s="132">
        <f t="shared" si="190"/>
        <v>-0.0101377199693955</v>
      </c>
      <c r="BM362" s="132">
        <f t="shared" si="191"/>
        <v>-0.0161596958174905</v>
      </c>
      <c r="FV362" s="104">
        <f t="shared" si="174"/>
        <v>2012</v>
      </c>
      <c r="FW362" s="104">
        <f t="shared" si="175"/>
        <v>3</v>
      </c>
      <c r="FX362" s="35">
        <v>40928</v>
      </c>
      <c r="FY362" s="26">
        <v>0.94</v>
      </c>
      <c r="FZ362" s="94">
        <f t="shared" si="176"/>
        <v>3.76</v>
      </c>
      <c r="GA362" s="104"/>
      <c r="GB362" s="104"/>
      <c r="GE362" s="94"/>
      <c r="GF362" s="104">
        <f t="shared" si="177"/>
        <v>2014</v>
      </c>
      <c r="GG362" s="104">
        <f t="shared" si="178"/>
        <v>19</v>
      </c>
      <c r="GH362" s="35">
        <v>41766</v>
      </c>
      <c r="GI362" s="26">
        <v>4.106</v>
      </c>
      <c r="GJ362" s="94">
        <f t="shared" si="179"/>
        <v>8.212</v>
      </c>
      <c r="GK362" s="104"/>
      <c r="GL362" s="104"/>
      <c r="GO362" s="94"/>
    </row>
    <row r="363" spans="3:197">
      <c r="C363" s="80" t="str" cm="1">
        <f t="array" ref="C363">_xlfn.IFS(MONTH(D363)&lt;4,1,MONTH(D363)&lt;7,2,MONTH(D363)&lt;10,3,MONTH(D363)&gt;9,4)&amp;"Q"&amp;RIGHT(YEAR(D363),2)</f>
        <v>2Q17</v>
      </c>
      <c r="D363" s="81">
        <f t="shared" si="198"/>
        <v>42916</v>
      </c>
      <c r="E363" s="82">
        <f t="shared" si="196"/>
        <v>42916</v>
      </c>
      <c r="F363" s="83">
        <f t="shared" si="197"/>
        <v>0.81825</v>
      </c>
      <c r="G363" s="83">
        <f t="shared" si="197"/>
        <v>0.8125</v>
      </c>
      <c r="H363" s="81"/>
      <c r="I363" s="146">
        <v>42916</v>
      </c>
      <c r="J363" s="147">
        <v>7.2</v>
      </c>
      <c r="K363" s="147">
        <v>6.35</v>
      </c>
      <c r="L363" s="147">
        <v>6.546</v>
      </c>
      <c r="M363" s="94" cm="1">
        <f t="array" ref="M363">INDEX($BV$29:$BV$1449,MATCH($D363,$BR$29:$BR$1449,0),)</f>
        <v>6.5</v>
      </c>
      <c r="N363" s="150">
        <f t="shared" si="181"/>
        <v>0.000305623471882788</v>
      </c>
      <c r="O363" s="150">
        <f t="shared" si="182"/>
        <v>0.00522113022113024</v>
      </c>
      <c r="P363" s="150">
        <f t="shared" si="180"/>
        <v>0.020898315658141</v>
      </c>
      <c r="Q363" s="89">
        <f t="shared" si="183"/>
        <v>0.0070769230769232</v>
      </c>
      <c r="AH363" s="105">
        <f t="shared" si="184"/>
        <v>45124</v>
      </c>
      <c r="AI363" s="91">
        <f t="shared" si="185"/>
        <v>1.483</v>
      </c>
      <c r="AJ363" s="57">
        <f t="shared" si="199"/>
        <v>-0.00536552649228705</v>
      </c>
      <c r="AK363" s="36">
        <f t="shared" si="201"/>
        <v>-0.0113333333333333</v>
      </c>
      <c r="AL363" s="105">
        <f t="shared" si="193"/>
        <v>45124</v>
      </c>
      <c r="AM363" s="91">
        <f t="shared" si="192"/>
        <v>4.046</v>
      </c>
      <c r="AN363" s="57">
        <f t="shared" si="194"/>
        <v>-0.0114830197898851</v>
      </c>
      <c r="AO363" s="36">
        <f t="shared" si="195"/>
        <v>-0.0203389830508474</v>
      </c>
      <c r="AP363" s="36"/>
      <c r="AQ363" s="128" t="str" cm="1">
        <f t="array" ref="AQ363">_xlfn.IFS(MONTH(AR363)&lt;4,1,MONTH(AR363)&lt;7,2,MONTH(AR363)&lt;10,3,MONTH(AR363)&gt;9,4)&amp;"Q"&amp;RIGHT(YEAR(AR363),2)</f>
        <v>3Q25</v>
      </c>
      <c r="AR363" s="128">
        <f t="shared" si="200"/>
        <v>45869</v>
      </c>
      <c r="AS363" s="129">
        <f t="shared" si="173"/>
        <v>45852</v>
      </c>
      <c r="AT363" s="135">
        <v>165</v>
      </c>
      <c r="AU363" s="134" cm="1">
        <f t="array" ref="AU363">INDEX($CE$29:$CE$1449,MATCH($AR363,$CA$29:$CA$1449,0),)</f>
        <v>132</v>
      </c>
      <c r="AV363" s="135">
        <v>270</v>
      </c>
      <c r="AW363" s="134" cm="1">
        <f t="array" ref="AW363">INDEX($CF$29:$CF$1449,MATCH($AR363,$CA$29:$CA$1449,0),)</f>
        <v>225</v>
      </c>
      <c r="AX363" s="135">
        <v>142</v>
      </c>
      <c r="AY363" s="134" cm="1">
        <f t="array" ref="AY363">INDEX($CO$29:$CO$1449,MATCH($AR363,$CA$29:$CA$1449,0),)</f>
        <v>140</v>
      </c>
      <c r="AZ363" s="135">
        <v>258.5</v>
      </c>
      <c r="BA363" s="134" cm="1">
        <f t="array" ref="BA363">INDEX($CP$29:$CP$1449,MATCH($AR363,$CA$29:$CA$1449,0),)</f>
        <v>268</v>
      </c>
      <c r="BB363" s="133">
        <f t="shared" si="202"/>
        <v>0.0576923076923077</v>
      </c>
      <c r="BC363" s="132">
        <f t="shared" si="204"/>
        <v>0.0576923076923077</v>
      </c>
      <c r="BD363" s="132">
        <f t="shared" si="206"/>
        <v>0.1</v>
      </c>
      <c r="BE363" s="133">
        <f t="shared" si="203"/>
        <v>0.0588235294117647</v>
      </c>
      <c r="BF363" s="132">
        <f t="shared" si="205"/>
        <v>0.0931174089068827</v>
      </c>
      <c r="BG363" s="132">
        <f t="shared" si="207"/>
        <v>0.125</v>
      </c>
      <c r="BH363" s="133">
        <f t="shared" si="186"/>
        <v>0.00353356890459366</v>
      </c>
      <c r="BI363" s="132">
        <f t="shared" si="187"/>
        <v>-0.00350877192982457</v>
      </c>
      <c r="BJ363" s="132">
        <f t="shared" si="188"/>
        <v>-0.0104529616724739</v>
      </c>
      <c r="BK363" s="133">
        <f t="shared" si="189"/>
        <v>-0.000966183574879209</v>
      </c>
      <c r="BL363" s="132">
        <f t="shared" si="190"/>
        <v>-0.0105263157894737</v>
      </c>
      <c r="BM363" s="132">
        <f t="shared" si="191"/>
        <v>-0.0110941086457536</v>
      </c>
      <c r="FV363" s="104">
        <f t="shared" si="174"/>
        <v>2012</v>
      </c>
      <c r="FW363" s="104">
        <f t="shared" si="175"/>
        <v>5</v>
      </c>
      <c r="FX363" s="35">
        <v>40938</v>
      </c>
      <c r="FY363" s="26">
        <v>0.94</v>
      </c>
      <c r="FZ363" s="94">
        <f t="shared" si="176"/>
        <v>3.76</v>
      </c>
      <c r="GA363" s="104"/>
      <c r="GB363" s="104"/>
      <c r="GE363" s="94"/>
      <c r="GF363" s="104">
        <f t="shared" si="177"/>
        <v>2014</v>
      </c>
      <c r="GG363" s="104">
        <f t="shared" si="178"/>
        <v>19</v>
      </c>
      <c r="GH363" s="35">
        <v>41767</v>
      </c>
      <c r="GI363" s="26">
        <v>4.106</v>
      </c>
      <c r="GJ363" s="94">
        <f t="shared" si="179"/>
        <v>8.212</v>
      </c>
      <c r="GK363" s="104"/>
      <c r="GL363" s="104"/>
      <c r="GO363" s="94"/>
    </row>
    <row r="364" spans="3:197">
      <c r="C364" s="80" t="str" cm="1">
        <f t="array" ref="C364">_xlfn.IFS(MONTH(D364)&lt;4,1,MONTH(D364)&lt;7,2,MONTH(D364)&lt;10,3,MONTH(D364)&gt;9,4)&amp;"Q"&amp;RIGHT(YEAR(D364),2)</f>
        <v>3Q17</v>
      </c>
      <c r="D364" s="81">
        <f t="shared" si="198"/>
        <v>42947</v>
      </c>
      <c r="E364" s="82">
        <f t="shared" si="196"/>
        <v>42919</v>
      </c>
      <c r="F364" s="83">
        <f t="shared" si="197"/>
        <v>0.81825</v>
      </c>
      <c r="G364" s="83">
        <f t="shared" si="197"/>
        <v>0.85125</v>
      </c>
      <c r="H364" s="81"/>
      <c r="I364" s="146">
        <v>42919</v>
      </c>
      <c r="J364" s="147">
        <v>7.2</v>
      </c>
      <c r="K364" s="147">
        <v>6.35</v>
      </c>
      <c r="L364" s="147">
        <v>6.546</v>
      </c>
      <c r="M364" s="94" cm="1">
        <f t="array" ref="M364">INDEX($BV$29:$BV$1449,MATCH($D364,$BR$29:$BR$1449,0),)</f>
        <v>6.81</v>
      </c>
      <c r="N364" s="150">
        <f t="shared" si="181"/>
        <v>0</v>
      </c>
      <c r="O364" s="150">
        <f t="shared" si="182"/>
        <v>0.00245022970903519</v>
      </c>
      <c r="P364" s="150">
        <f t="shared" si="180"/>
        <v>0.0180404354587871</v>
      </c>
      <c r="Q364" s="89">
        <f t="shared" si="183"/>
        <v>-0.0387665198237884</v>
      </c>
      <c r="AH364" s="105">
        <f t="shared" si="184"/>
        <v>45131</v>
      </c>
      <c r="AI364" s="91">
        <f t="shared" si="185"/>
        <v>1.475</v>
      </c>
      <c r="AJ364" s="57">
        <f t="shared" si="199"/>
        <v>-0.00539447066756571</v>
      </c>
      <c r="AK364" s="36">
        <f t="shared" si="201"/>
        <v>-0.0107310529845741</v>
      </c>
      <c r="AL364" s="105">
        <f t="shared" si="193"/>
        <v>45131</v>
      </c>
      <c r="AM364" s="91">
        <f t="shared" si="192"/>
        <v>4.043</v>
      </c>
      <c r="AN364" s="57">
        <f t="shared" si="194"/>
        <v>-0.000741473059812203</v>
      </c>
      <c r="AO364" s="36">
        <f t="shared" si="195"/>
        <v>-0.0122159784998778</v>
      </c>
      <c r="AP364" s="36"/>
      <c r="AQ364" s="128" t="str" cm="1">
        <f t="array" ref="AQ364">_xlfn.IFS(MONTH(AR364)&lt;4,1,MONTH(AR364)&lt;7,2,MONTH(AR364)&lt;10,3,MONTH(AR364)&gt;9,4)&amp;"Q"&amp;RIGHT(YEAR(AR364),2)</f>
        <v>3Q25</v>
      </c>
      <c r="AR364" s="128">
        <f t="shared" si="200"/>
        <v>45869</v>
      </c>
      <c r="AS364" s="129">
        <f t="shared" si="173"/>
        <v>45859</v>
      </c>
      <c r="AT364" s="135">
        <v>178</v>
      </c>
      <c r="AU364" s="134" cm="1">
        <f t="array" ref="AU364">INDEX($CE$29:$CE$1449,MATCH($AR364,$CA$29:$CA$1449,0),)</f>
        <v>132</v>
      </c>
      <c r="AV364" s="135">
        <v>280</v>
      </c>
      <c r="AW364" s="134" cm="1">
        <f t="array" ref="AW364">INDEX($CF$29:$CF$1449,MATCH($AR364,$CA$29:$CA$1449,0),)</f>
        <v>225</v>
      </c>
      <c r="AX364" s="135">
        <v>142.5</v>
      </c>
      <c r="AY364" s="134" cm="1">
        <f t="array" ref="AY364">INDEX($CO$29:$CO$1449,MATCH($AR364,$CA$29:$CA$1449,0),)</f>
        <v>140</v>
      </c>
      <c r="AZ364" s="135">
        <v>258.5</v>
      </c>
      <c r="BA364" s="134" cm="1">
        <f t="array" ref="BA364">INDEX($CP$29:$CP$1449,MATCH($AR364,$CA$29:$CA$1449,0),)</f>
        <v>268</v>
      </c>
      <c r="BB364" s="133">
        <f t="shared" si="202"/>
        <v>0.0787878787878789</v>
      </c>
      <c r="BC364" s="132">
        <f t="shared" si="204"/>
        <v>0.141025641025641</v>
      </c>
      <c r="BD364" s="132">
        <f t="shared" si="206"/>
        <v>0.141025641025641</v>
      </c>
      <c r="BE364" s="133">
        <f t="shared" si="203"/>
        <v>0.037037037037037</v>
      </c>
      <c r="BF364" s="132">
        <f t="shared" si="205"/>
        <v>0.0980392156862746</v>
      </c>
      <c r="BG364" s="132">
        <f t="shared" si="207"/>
        <v>0.133603238866397</v>
      </c>
      <c r="BH364" s="133">
        <f t="shared" si="186"/>
        <v>0.00352112676056349</v>
      </c>
      <c r="BI364" s="132">
        <f t="shared" si="187"/>
        <v>0.00706713780918733</v>
      </c>
      <c r="BJ364" s="132">
        <f t="shared" si="188"/>
        <v>0</v>
      </c>
      <c r="BK364" s="133">
        <f t="shared" si="189"/>
        <v>0</v>
      </c>
      <c r="BL364" s="132">
        <f t="shared" si="190"/>
        <v>-0.000966183574879209</v>
      </c>
      <c r="BM364" s="132">
        <f t="shared" si="191"/>
        <v>-0.0105263157894737</v>
      </c>
      <c r="FV364" s="104">
        <f t="shared" si="174"/>
        <v>2012</v>
      </c>
      <c r="FW364" s="104">
        <f t="shared" si="175"/>
        <v>5</v>
      </c>
      <c r="FX364" s="35">
        <v>40939</v>
      </c>
      <c r="FY364" s="26">
        <v>0.94</v>
      </c>
      <c r="FZ364" s="94">
        <f t="shared" si="176"/>
        <v>3.76</v>
      </c>
      <c r="GA364" s="104"/>
      <c r="GB364" s="104"/>
      <c r="GE364" s="94"/>
      <c r="GF364" s="104">
        <f t="shared" si="177"/>
        <v>2014</v>
      </c>
      <c r="GG364" s="104">
        <f t="shared" si="178"/>
        <v>19</v>
      </c>
      <c r="GH364" s="35">
        <v>41768</v>
      </c>
      <c r="GI364" s="26">
        <v>4.123</v>
      </c>
      <c r="GJ364" s="94">
        <f t="shared" si="179"/>
        <v>8.246</v>
      </c>
      <c r="GK364" s="104"/>
      <c r="GL364" s="104"/>
      <c r="GO364" s="94"/>
    </row>
    <row r="365" spans="3:197">
      <c r="C365" s="80" t="str" cm="1">
        <f t="array" ref="C365">_xlfn.IFS(MONTH(D365)&lt;4,1,MONTH(D365)&lt;7,2,MONTH(D365)&lt;10,3,MONTH(D365)&gt;9,4)&amp;"Q"&amp;RIGHT(YEAR(D365),2)</f>
        <v>3Q17</v>
      </c>
      <c r="D365" s="81">
        <f t="shared" si="198"/>
        <v>42947</v>
      </c>
      <c r="E365" s="82">
        <f t="shared" si="196"/>
        <v>42920</v>
      </c>
      <c r="F365" s="83">
        <f t="shared" si="197"/>
        <v>0.819875</v>
      </c>
      <c r="G365" s="83">
        <f t="shared" si="197"/>
        <v>0.85125</v>
      </c>
      <c r="H365" s="81"/>
      <c r="I365" s="146">
        <v>42920</v>
      </c>
      <c r="J365" s="147">
        <v>7.2</v>
      </c>
      <c r="K365" s="147">
        <v>6.3</v>
      </c>
      <c r="L365" s="147">
        <v>6.559</v>
      </c>
      <c r="M365" s="94" cm="1">
        <f t="array" ref="M365">INDEX($BV$29:$BV$1449,MATCH($D365,$BR$29:$BR$1449,0),)</f>
        <v>6.81</v>
      </c>
      <c r="N365" s="150">
        <f t="shared" si="181"/>
        <v>0.00198594561564303</v>
      </c>
      <c r="O365" s="150">
        <f t="shared" si="182"/>
        <v>0.00413349663196572</v>
      </c>
      <c r="P365" s="150">
        <f t="shared" si="180"/>
        <v>0.0178460583488518</v>
      </c>
      <c r="Q365" s="89">
        <f t="shared" si="183"/>
        <v>-0.0368575624082231</v>
      </c>
      <c r="AH365" s="105">
        <f t="shared" si="184"/>
        <v>45138</v>
      </c>
      <c r="AI365" s="91">
        <f t="shared" si="185"/>
        <v>1.46</v>
      </c>
      <c r="AJ365" s="57">
        <f t="shared" si="199"/>
        <v>-0.0101694915254238</v>
      </c>
      <c r="AK365" s="36">
        <f t="shared" si="201"/>
        <v>-0.0155091031692516</v>
      </c>
      <c r="AL365" s="105">
        <f t="shared" si="193"/>
        <v>45138</v>
      </c>
      <c r="AM365" s="91">
        <f t="shared" si="192"/>
        <v>4.04</v>
      </c>
      <c r="AN365" s="57">
        <f t="shared" si="194"/>
        <v>-0.000742023250061896</v>
      </c>
      <c r="AO365" s="36">
        <f t="shared" si="195"/>
        <v>-0.00148294611962441</v>
      </c>
      <c r="AP365" s="36"/>
      <c r="AQ365" s="128" t="str" cm="1">
        <f t="array" ref="AQ365">_xlfn.IFS(MONTH(AR365)&lt;4,1,MONTH(AR365)&lt;7,2,MONTH(AR365)&lt;10,3,MONTH(AR365)&gt;9,4)&amp;"Q"&amp;RIGHT(YEAR(AR365),2)</f>
        <v>3Q25</v>
      </c>
      <c r="AR365" s="128">
        <f t="shared" si="200"/>
        <v>45869</v>
      </c>
      <c r="AS365" s="129">
        <f t="shared" si="173"/>
        <v>45866</v>
      </c>
      <c r="AT365" s="135">
        <v>182</v>
      </c>
      <c r="AU365" s="134" cm="1">
        <f t="array" ref="AU365">INDEX($CE$29:$CE$1449,MATCH($AR365,$CA$29:$CA$1449,0),)</f>
        <v>132</v>
      </c>
      <c r="AV365" s="135">
        <v>290</v>
      </c>
      <c r="AW365" s="134" cm="1">
        <f t="array" ref="AW365">INDEX($CF$29:$CF$1449,MATCH($AR365,$CA$29:$CA$1449,0),)</f>
        <v>225</v>
      </c>
      <c r="AX365" s="135">
        <v>143</v>
      </c>
      <c r="AY365" s="134" cm="1">
        <f t="array" ref="AY365">INDEX($CO$29:$CO$1449,MATCH($AR365,$CA$29:$CA$1449,0),)</f>
        <v>140</v>
      </c>
      <c r="AZ365" s="135">
        <v>258</v>
      </c>
      <c r="BA365" s="134" cm="1">
        <f t="array" ref="BA365">INDEX($CP$29:$CP$1449,MATCH($AR365,$CA$29:$CA$1449,0),)</f>
        <v>268</v>
      </c>
      <c r="BB365" s="133">
        <f t="shared" si="202"/>
        <v>0.0224719101123596</v>
      </c>
      <c r="BC365" s="132">
        <f t="shared" si="204"/>
        <v>0.103030303030303</v>
      </c>
      <c r="BD365" s="132">
        <f t="shared" si="206"/>
        <v>0.166666666666667</v>
      </c>
      <c r="BE365" s="133">
        <f t="shared" si="203"/>
        <v>0.0357142857142858</v>
      </c>
      <c r="BF365" s="132">
        <f t="shared" si="205"/>
        <v>0.0740740740740742</v>
      </c>
      <c r="BG365" s="132">
        <f t="shared" si="207"/>
        <v>0.137254901960784</v>
      </c>
      <c r="BH365" s="133">
        <f t="shared" si="186"/>
        <v>0.00350877192982457</v>
      </c>
      <c r="BI365" s="132">
        <f t="shared" si="187"/>
        <v>0.00704225352112675</v>
      </c>
      <c r="BJ365" s="132">
        <f t="shared" si="188"/>
        <v>0.010600706713781</v>
      </c>
      <c r="BK365" s="133">
        <f t="shared" si="189"/>
        <v>-0.00193423597678921</v>
      </c>
      <c r="BL365" s="132">
        <f t="shared" si="190"/>
        <v>-0.00193423597678921</v>
      </c>
      <c r="BM365" s="132">
        <f t="shared" si="191"/>
        <v>-0.00289855072463763</v>
      </c>
      <c r="FV365" s="104">
        <f t="shared" si="174"/>
        <v>2012</v>
      </c>
      <c r="FW365" s="104">
        <f t="shared" si="175"/>
        <v>5</v>
      </c>
      <c r="FX365" s="35">
        <v>40940</v>
      </c>
      <c r="FY365" s="26">
        <v>0.93</v>
      </c>
      <c r="FZ365" s="94">
        <f t="shared" si="176"/>
        <v>3.72</v>
      </c>
      <c r="GA365" s="104"/>
      <c r="GB365" s="104"/>
      <c r="GE365" s="94"/>
      <c r="GF365" s="104">
        <f t="shared" si="177"/>
        <v>2014</v>
      </c>
      <c r="GG365" s="104">
        <f t="shared" si="178"/>
        <v>20</v>
      </c>
      <c r="GH365" s="35">
        <v>41771</v>
      </c>
      <c r="GI365" s="26">
        <v>4.117</v>
      </c>
      <c r="GJ365" s="94">
        <f t="shared" si="179"/>
        <v>8.234</v>
      </c>
      <c r="GK365" s="104"/>
      <c r="GL365" s="104"/>
      <c r="GO365" s="94"/>
    </row>
    <row r="366" spans="3:197">
      <c r="C366" s="80" t="str" cm="1">
        <f t="array" ref="C366">_xlfn.IFS(MONTH(D366)&lt;4,1,MONTH(D366)&lt;7,2,MONTH(D366)&lt;10,3,MONTH(D366)&gt;9,4)&amp;"Q"&amp;RIGHT(YEAR(D366),2)</f>
        <v>3Q17</v>
      </c>
      <c r="D366" s="81">
        <f t="shared" si="198"/>
        <v>42947</v>
      </c>
      <c r="E366" s="82">
        <f t="shared" si="196"/>
        <v>42921</v>
      </c>
      <c r="F366" s="83">
        <f t="shared" si="197"/>
        <v>0.84575</v>
      </c>
      <c r="G366" s="83">
        <f t="shared" si="197"/>
        <v>0.85125</v>
      </c>
      <c r="H366" s="81"/>
      <c r="I366" s="146">
        <v>42921</v>
      </c>
      <c r="J366" s="147">
        <v>7.2</v>
      </c>
      <c r="K366" s="147">
        <v>6.36</v>
      </c>
      <c r="L366" s="147">
        <v>6.766</v>
      </c>
      <c r="M366" s="94" cm="1">
        <f t="array" ref="M366">INDEX($BV$29:$BV$1449,MATCH($D366,$BR$29:$BR$1449,0),)</f>
        <v>6.81</v>
      </c>
      <c r="N366" s="150">
        <f t="shared" si="181"/>
        <v>0.0315596889769783</v>
      </c>
      <c r="O366" s="150">
        <f t="shared" si="182"/>
        <v>0.0340822252789241</v>
      </c>
      <c r="P366" s="150">
        <f t="shared" si="180"/>
        <v>0.0491549077376339</v>
      </c>
      <c r="Q366" s="89">
        <f t="shared" si="183"/>
        <v>-0.00646108663729805</v>
      </c>
      <c r="AH366" s="105">
        <f t="shared" si="184"/>
        <v>45145</v>
      </c>
      <c r="AI366" s="91">
        <f t="shared" si="185"/>
        <v>1.445</v>
      </c>
      <c r="AJ366" s="57">
        <f t="shared" si="199"/>
        <v>-0.0102739726027397</v>
      </c>
      <c r="AK366" s="36">
        <f t="shared" si="201"/>
        <v>-0.0203389830508475</v>
      </c>
      <c r="AL366" s="105">
        <f t="shared" si="193"/>
        <v>45145</v>
      </c>
      <c r="AM366" s="91">
        <f t="shared" si="192"/>
        <v>4.055</v>
      </c>
      <c r="AN366" s="57">
        <f t="shared" si="194"/>
        <v>0.00371287128712861</v>
      </c>
      <c r="AO366" s="36">
        <f t="shared" si="195"/>
        <v>0.00296809300024714</v>
      </c>
      <c r="AP366" s="36"/>
      <c r="AQ366" s="128" t="str" cm="1">
        <f t="array" ref="AQ366">_xlfn.IFS(MONTH(AR366)&lt;4,1,MONTH(AR366)&lt;7,2,MONTH(AR366)&lt;10,3,MONTH(AR366)&gt;9,4)&amp;"Q"&amp;RIGHT(YEAR(AR366),2)</f>
        <v>3Q25</v>
      </c>
      <c r="AR366" s="128">
        <f t="shared" si="200"/>
        <v>45900</v>
      </c>
      <c r="AS366" s="129">
        <f t="shared" si="173"/>
        <v>45873</v>
      </c>
      <c r="AT366" s="135">
        <v>186</v>
      </c>
      <c r="AU366" s="134" cm="1">
        <f t="array" ref="AU366">INDEX($CE$29:$CE$1449,MATCH($AR366,$CA$29:$CA$1449,0),)</f>
        <v>135</v>
      </c>
      <c r="AV366" s="135">
        <v>295</v>
      </c>
      <c r="AW366" s="134" cm="1">
        <f t="array" ref="AW366">INDEX($CF$29:$CF$1449,MATCH($AR366,$CA$29:$CA$1449,0),)</f>
        <v>230</v>
      </c>
      <c r="AX366" s="135">
        <v>144</v>
      </c>
      <c r="AY366" s="134" cm="1">
        <f t="array" ref="AY366">INDEX($CO$29:$CO$1449,MATCH($AR366,$CA$29:$CA$1449,0),)</f>
        <v>143</v>
      </c>
      <c r="AZ366" s="135">
        <v>258.25</v>
      </c>
      <c r="BA366" s="134" cm="1">
        <f t="array" ref="BA366">INDEX($CP$29:$CP$1449,MATCH($AR366,$CA$29:$CA$1449,0),)</f>
        <v>270</v>
      </c>
      <c r="BB366" s="133">
        <f t="shared" si="202"/>
        <v>0.0219780219780219</v>
      </c>
      <c r="BC366" s="132">
        <f t="shared" si="204"/>
        <v>0.0449438202247192</v>
      </c>
      <c r="BD366" s="132">
        <f t="shared" si="206"/>
        <v>0.127272727272727</v>
      </c>
      <c r="BE366" s="133">
        <f t="shared" si="203"/>
        <v>0.0172413793103448</v>
      </c>
      <c r="BF366" s="132">
        <f t="shared" si="205"/>
        <v>0.0535714285714286</v>
      </c>
      <c r="BG366" s="132">
        <f t="shared" si="207"/>
        <v>0.0925925925925926</v>
      </c>
      <c r="BH366" s="133">
        <f t="shared" si="186"/>
        <v>0.00699300699300709</v>
      </c>
      <c r="BI366" s="132">
        <f t="shared" si="187"/>
        <v>0.0105263157894737</v>
      </c>
      <c r="BJ366" s="132">
        <f t="shared" si="188"/>
        <v>0.0140845070422535</v>
      </c>
      <c r="BK366" s="133">
        <f t="shared" si="189"/>
        <v>0.000968992248062017</v>
      </c>
      <c r="BL366" s="132">
        <f t="shared" si="190"/>
        <v>-0.00096711798839455</v>
      </c>
      <c r="BM366" s="132">
        <f t="shared" si="191"/>
        <v>-0.00096711798839455</v>
      </c>
      <c r="FV366" s="104">
        <f t="shared" si="174"/>
        <v>2012</v>
      </c>
      <c r="FW366" s="104">
        <f t="shared" si="175"/>
        <v>5</v>
      </c>
      <c r="FX366" s="35">
        <v>40941</v>
      </c>
      <c r="FY366" s="26">
        <v>0.93</v>
      </c>
      <c r="FZ366" s="94">
        <f t="shared" si="176"/>
        <v>3.72</v>
      </c>
      <c r="GA366" s="104"/>
      <c r="GB366" s="104"/>
      <c r="GE366" s="94"/>
      <c r="GF366" s="104">
        <f t="shared" si="177"/>
        <v>2014</v>
      </c>
      <c r="GG366" s="104">
        <f t="shared" si="178"/>
        <v>20</v>
      </c>
      <c r="GH366" s="35">
        <v>41772</v>
      </c>
      <c r="GI366" s="26">
        <v>4.11</v>
      </c>
      <c r="GJ366" s="94">
        <f t="shared" si="179"/>
        <v>8.22</v>
      </c>
      <c r="GK366" s="104"/>
      <c r="GL366" s="104"/>
      <c r="GO366" s="94"/>
    </row>
    <row r="367" spans="3:197">
      <c r="C367" s="80" t="str" cm="1">
        <f t="array" ref="C367">_xlfn.IFS(MONTH(D367)&lt;4,1,MONTH(D367)&lt;7,2,MONTH(D367)&lt;10,3,MONTH(D367)&gt;9,4)&amp;"Q"&amp;RIGHT(YEAR(D367),2)</f>
        <v>3Q17</v>
      </c>
      <c r="D367" s="81">
        <f t="shared" si="198"/>
        <v>42947</v>
      </c>
      <c r="E367" s="82">
        <f t="shared" si="196"/>
        <v>42922</v>
      </c>
      <c r="F367" s="83">
        <f t="shared" si="197"/>
        <v>0.84625</v>
      </c>
      <c r="G367" s="83">
        <f t="shared" si="197"/>
        <v>0.85125</v>
      </c>
      <c r="H367" s="81"/>
      <c r="I367" s="146">
        <v>42922</v>
      </c>
      <c r="J367" s="147">
        <v>7.2</v>
      </c>
      <c r="K367" s="147">
        <v>6.36</v>
      </c>
      <c r="L367" s="147">
        <v>6.77</v>
      </c>
      <c r="M367" s="94" cm="1">
        <f t="array" ref="M367">INDEX($BV$29:$BV$1449,MATCH($D367,$BR$29:$BR$1449,0),)</f>
        <v>6.81</v>
      </c>
      <c r="N367" s="150">
        <f t="shared" si="181"/>
        <v>0.000591191250369327</v>
      </c>
      <c r="O367" s="150">
        <f t="shared" si="182"/>
        <v>0.0345354523227384</v>
      </c>
      <c r="P367" s="150">
        <f t="shared" si="180"/>
        <v>0.0483121709507586</v>
      </c>
      <c r="Q367" s="89">
        <f t="shared" si="183"/>
        <v>-0.00587371512481649</v>
      </c>
      <c r="AH367" s="105">
        <f t="shared" si="184"/>
        <v>45152</v>
      </c>
      <c r="AI367" s="91">
        <f t="shared" si="185"/>
        <v>1.443</v>
      </c>
      <c r="AJ367" s="57">
        <f t="shared" si="199"/>
        <v>-0.00138408304498272</v>
      </c>
      <c r="AK367" s="36">
        <f t="shared" si="201"/>
        <v>-0.0116438356164383</v>
      </c>
      <c r="AL367" s="105">
        <f t="shared" si="193"/>
        <v>45152</v>
      </c>
      <c r="AM367" s="91">
        <f t="shared" si="192"/>
        <v>3.957</v>
      </c>
      <c r="AN367" s="57">
        <f t="shared" si="194"/>
        <v>-0.0241676942046856</v>
      </c>
      <c r="AO367" s="36">
        <f t="shared" si="195"/>
        <v>-0.0205445544554456</v>
      </c>
      <c r="AP367" s="36"/>
      <c r="AQ367" s="128" t="str" cm="1">
        <f t="array" ref="AQ367">_xlfn.IFS(MONTH(AR367)&lt;4,1,MONTH(AR367)&lt;7,2,MONTH(AR367)&lt;10,3,MONTH(AR367)&gt;9,4)&amp;"Q"&amp;RIGHT(YEAR(AR367),2)</f>
        <v>3Q25</v>
      </c>
      <c r="AR367" s="128">
        <f t="shared" si="200"/>
        <v>45900</v>
      </c>
      <c r="AS367" s="129">
        <f t="shared" si="173"/>
        <v>45880</v>
      </c>
      <c r="AT367" s="135">
        <v>203</v>
      </c>
      <c r="AU367" s="134" cm="1">
        <f t="array" ref="AU367">INDEX($CE$29:$CE$1449,MATCH($AR367,$CA$29:$CA$1449,0),)</f>
        <v>135</v>
      </c>
      <c r="AV367" s="135">
        <v>330</v>
      </c>
      <c r="AW367" s="134" cm="1">
        <f t="array" ref="AW367">INDEX($CF$29:$CF$1449,MATCH($AR367,$CA$29:$CA$1449,0),)</f>
        <v>230</v>
      </c>
      <c r="AX367" s="135">
        <v>146</v>
      </c>
      <c r="AY367" s="134" cm="1">
        <f t="array" ref="AY367">INDEX($CO$29:$CO$1449,MATCH($AR367,$CA$29:$CA$1449,0),)</f>
        <v>143</v>
      </c>
      <c r="AZ367" s="135">
        <v>258.5</v>
      </c>
      <c r="BA367" s="134" cm="1">
        <f t="array" ref="BA367">INDEX($CP$29:$CP$1449,MATCH($AR367,$CA$29:$CA$1449,0),)</f>
        <v>270</v>
      </c>
      <c r="BB367" s="133">
        <f t="shared" si="202"/>
        <v>0.0913978494623655</v>
      </c>
      <c r="BC367" s="132">
        <f t="shared" si="204"/>
        <v>0.115384615384615</v>
      </c>
      <c r="BD367" s="132">
        <f t="shared" si="206"/>
        <v>0.140449438202247</v>
      </c>
      <c r="BE367" s="133">
        <f t="shared" si="203"/>
        <v>0.11864406779661</v>
      </c>
      <c r="BF367" s="132">
        <f t="shared" si="205"/>
        <v>0.137931034482759</v>
      </c>
      <c r="BG367" s="132">
        <f t="shared" si="207"/>
        <v>0.178571428571429</v>
      </c>
      <c r="BH367" s="133">
        <f t="shared" si="186"/>
        <v>0.0138888888888888</v>
      </c>
      <c r="BI367" s="132">
        <f t="shared" si="187"/>
        <v>0.020979020979021</v>
      </c>
      <c r="BJ367" s="132">
        <f t="shared" si="188"/>
        <v>0.024561403508772</v>
      </c>
      <c r="BK367" s="133">
        <f t="shared" si="189"/>
        <v>0.00096805421103574</v>
      </c>
      <c r="BL367" s="132">
        <f t="shared" si="190"/>
        <v>0.00193798449612403</v>
      </c>
      <c r="BM367" s="132">
        <f t="shared" si="191"/>
        <v>0</v>
      </c>
      <c r="FV367" s="104">
        <f t="shared" si="174"/>
        <v>2012</v>
      </c>
      <c r="FW367" s="104">
        <f t="shared" si="175"/>
        <v>5</v>
      </c>
      <c r="FX367" s="35">
        <v>40942</v>
      </c>
      <c r="FY367" s="26">
        <v>0.92</v>
      </c>
      <c r="FZ367" s="94">
        <f t="shared" si="176"/>
        <v>3.68</v>
      </c>
      <c r="GA367" s="104"/>
      <c r="GB367" s="104"/>
      <c r="GE367" s="94"/>
      <c r="GF367" s="104">
        <f t="shared" si="177"/>
        <v>2014</v>
      </c>
      <c r="GG367" s="104">
        <f t="shared" si="178"/>
        <v>20</v>
      </c>
      <c r="GH367" s="35">
        <v>41773</v>
      </c>
      <c r="GI367" s="26">
        <v>4.126</v>
      </c>
      <c r="GJ367" s="94">
        <f t="shared" si="179"/>
        <v>8.252</v>
      </c>
      <c r="GK367" s="104"/>
      <c r="GL367" s="104"/>
      <c r="GO367" s="94"/>
    </row>
    <row r="368" spans="3:197">
      <c r="C368" s="80" t="str" cm="1">
        <f t="array" ref="C368">_xlfn.IFS(MONTH(D368)&lt;4,1,MONTH(D368)&lt;7,2,MONTH(D368)&lt;10,3,MONTH(D368)&gt;9,4)&amp;"Q"&amp;RIGHT(YEAR(D368),2)</f>
        <v>3Q17</v>
      </c>
      <c r="D368" s="81">
        <f t="shared" si="198"/>
        <v>42947</v>
      </c>
      <c r="E368" s="82">
        <f t="shared" si="196"/>
        <v>42923</v>
      </c>
      <c r="F368" s="83">
        <f t="shared" si="197"/>
        <v>0.8485</v>
      </c>
      <c r="G368" s="83">
        <f t="shared" si="197"/>
        <v>0.85125</v>
      </c>
      <c r="H368" s="81"/>
      <c r="I368" s="146">
        <v>42923</v>
      </c>
      <c r="J368" s="147">
        <v>7.2</v>
      </c>
      <c r="K368" s="147">
        <v>6.4</v>
      </c>
      <c r="L368" s="147">
        <v>6.788</v>
      </c>
      <c r="M368" s="94" cm="1">
        <f t="array" ref="M368">INDEX($BV$29:$BV$1449,MATCH($D368,$BR$29:$BR$1449,0),)</f>
        <v>6.81</v>
      </c>
      <c r="N368" s="150">
        <f t="shared" si="181"/>
        <v>0.00265878877400305</v>
      </c>
      <c r="O368" s="150">
        <f t="shared" si="182"/>
        <v>0.0369691414604338</v>
      </c>
      <c r="P368" s="150">
        <f t="shared" si="180"/>
        <v>0.0423832923832925</v>
      </c>
      <c r="Q368" s="89">
        <f t="shared" si="183"/>
        <v>-0.00323054331864892</v>
      </c>
      <c r="AH368" s="105">
        <f t="shared" si="184"/>
        <v>45159</v>
      </c>
      <c r="AI368" s="91">
        <f t="shared" si="185"/>
        <v>1.423</v>
      </c>
      <c r="AJ368" s="57">
        <f t="shared" si="199"/>
        <v>-0.0138600138600139</v>
      </c>
      <c r="AK368" s="36">
        <f t="shared" si="201"/>
        <v>-0.0152249134948097</v>
      </c>
      <c r="AL368" s="105">
        <f t="shared" si="193"/>
        <v>45159</v>
      </c>
      <c r="AM368" s="91">
        <f t="shared" si="192"/>
        <v>3.88</v>
      </c>
      <c r="AN368" s="57">
        <f t="shared" si="194"/>
        <v>-0.0194591862522112</v>
      </c>
      <c r="AO368" s="36">
        <f t="shared" si="195"/>
        <v>-0.0431565967940813</v>
      </c>
      <c r="AP368" s="36"/>
      <c r="AQ368" s="128" t="str" cm="1">
        <f t="array" ref="AQ368">_xlfn.IFS(MONTH(AR368)&lt;4,1,MONTH(AR368)&lt;7,2,MONTH(AR368)&lt;10,3,MONTH(AR368)&gt;9,4)&amp;"Q"&amp;RIGHT(YEAR(AR368),2)</f>
        <v>3Q25</v>
      </c>
      <c r="AR368" s="128">
        <f t="shared" si="200"/>
        <v>45900</v>
      </c>
      <c r="AS368" s="129">
        <f t="shared" si="173"/>
        <v>45887</v>
      </c>
      <c r="AT368" s="135">
        <v>251</v>
      </c>
      <c r="AU368" s="134" cm="1">
        <f t="array" ref="AU368">INDEX($CE$29:$CE$1449,MATCH($AR368,$CA$29:$CA$1449,0),)</f>
        <v>135</v>
      </c>
      <c r="AV368" s="135">
        <v>408</v>
      </c>
      <c r="AW368" s="134" cm="1">
        <f t="array" ref="AW368">INDEX($CF$29:$CF$1449,MATCH($AR368,$CA$29:$CA$1449,0),)</f>
        <v>230</v>
      </c>
      <c r="AX368" s="135">
        <v>147</v>
      </c>
      <c r="AY368" s="134" cm="1">
        <f t="array" ref="AY368">INDEX($CO$29:$CO$1449,MATCH($AR368,$CA$29:$CA$1449,0),)</f>
        <v>143</v>
      </c>
      <c r="AZ368" s="135">
        <v>258.5</v>
      </c>
      <c r="BA368" s="134" cm="1">
        <f t="array" ref="BA368">INDEX($CP$29:$CP$1449,MATCH($AR368,$CA$29:$CA$1449,0),)</f>
        <v>270</v>
      </c>
      <c r="BB368" s="133">
        <f t="shared" si="202"/>
        <v>0.236453201970443</v>
      </c>
      <c r="BC368" s="132">
        <f t="shared" si="204"/>
        <v>0.349462365591398</v>
      </c>
      <c r="BD368" s="132">
        <f t="shared" si="206"/>
        <v>0.379120879120879</v>
      </c>
      <c r="BE368" s="133">
        <f t="shared" si="203"/>
        <v>0.236363636363636</v>
      </c>
      <c r="BF368" s="132">
        <f t="shared" si="205"/>
        <v>0.383050847457627</v>
      </c>
      <c r="BG368" s="132">
        <f t="shared" si="207"/>
        <v>0.406896551724138</v>
      </c>
      <c r="BH368" s="133">
        <f t="shared" si="186"/>
        <v>0.00684931506849318</v>
      </c>
      <c r="BI368" s="132">
        <f t="shared" si="187"/>
        <v>0.0208333333333333</v>
      </c>
      <c r="BJ368" s="132">
        <f t="shared" si="188"/>
        <v>0.0279720279720279</v>
      </c>
      <c r="BK368" s="133">
        <f t="shared" si="189"/>
        <v>0</v>
      </c>
      <c r="BL368" s="132">
        <f t="shared" si="190"/>
        <v>0.00096805421103574</v>
      </c>
      <c r="BM368" s="132">
        <f t="shared" si="191"/>
        <v>0.00193798449612403</v>
      </c>
      <c r="FV368" s="104">
        <f t="shared" si="174"/>
        <v>2012</v>
      </c>
      <c r="FW368" s="104">
        <f t="shared" si="175"/>
        <v>6</v>
      </c>
      <c r="FX368" s="35">
        <v>40945</v>
      </c>
      <c r="FY368" s="26">
        <v>0.92</v>
      </c>
      <c r="FZ368" s="94">
        <f t="shared" si="176"/>
        <v>3.68</v>
      </c>
      <c r="GA368" s="104"/>
      <c r="GB368" s="104"/>
      <c r="GE368" s="94"/>
      <c r="GF368" s="104">
        <f t="shared" si="177"/>
        <v>2014</v>
      </c>
      <c r="GG368" s="104">
        <f t="shared" si="178"/>
        <v>20</v>
      </c>
      <c r="GH368" s="35">
        <v>41774</v>
      </c>
      <c r="GI368" s="26">
        <v>4.145</v>
      </c>
      <c r="GJ368" s="94">
        <f t="shared" si="179"/>
        <v>8.29</v>
      </c>
      <c r="GK368" s="104"/>
      <c r="GL368" s="104"/>
      <c r="GO368" s="94"/>
    </row>
    <row r="369" spans="3:197">
      <c r="C369" s="80" t="str" cm="1">
        <f t="array" ref="C369">_xlfn.IFS(MONTH(D369)&lt;4,1,MONTH(D369)&lt;7,2,MONTH(D369)&lt;10,3,MONTH(D369)&gt;9,4)&amp;"Q"&amp;RIGHT(YEAR(D369),2)</f>
        <v>3Q17</v>
      </c>
      <c r="D369" s="81">
        <f t="shared" si="198"/>
        <v>42947</v>
      </c>
      <c r="E369" s="82">
        <f t="shared" si="196"/>
        <v>42926</v>
      </c>
      <c r="F369" s="83">
        <f t="shared" si="197"/>
        <v>0.849375</v>
      </c>
      <c r="G369" s="83">
        <f t="shared" si="197"/>
        <v>0.85125</v>
      </c>
      <c r="H369" s="81"/>
      <c r="I369" s="146">
        <v>42926</v>
      </c>
      <c r="J369" s="147">
        <v>7.2</v>
      </c>
      <c r="K369" s="147">
        <v>6.4</v>
      </c>
      <c r="L369" s="147">
        <v>6.795</v>
      </c>
      <c r="M369" s="94" cm="1">
        <f t="array" ref="M369">INDEX($BV$29:$BV$1449,MATCH($D369,$BR$29:$BR$1449,0),)</f>
        <v>6.81</v>
      </c>
      <c r="N369" s="150">
        <f t="shared" si="181"/>
        <v>0.00103123158515017</v>
      </c>
      <c r="O369" s="150">
        <f t="shared" si="182"/>
        <v>0.0380384967919341</v>
      </c>
      <c r="P369" s="150">
        <f t="shared" si="180"/>
        <v>0.0405819295558958</v>
      </c>
      <c r="Q369" s="89">
        <f t="shared" si="183"/>
        <v>-0.00220264317180607</v>
      </c>
      <c r="AH369" s="105">
        <f t="shared" si="184"/>
        <v>45166</v>
      </c>
      <c r="AI369" s="91">
        <f t="shared" si="185"/>
        <v>1.408</v>
      </c>
      <c r="AJ369" s="57">
        <f t="shared" si="199"/>
        <v>-0.0105411103302883</v>
      </c>
      <c r="AK369" s="36">
        <f t="shared" si="201"/>
        <v>-0.0242550242550243</v>
      </c>
      <c r="AL369" s="105">
        <f t="shared" si="193"/>
        <v>45166</v>
      </c>
      <c r="AM369" s="91">
        <f t="shared" si="192"/>
        <v>3.95</v>
      </c>
      <c r="AN369" s="57">
        <f t="shared" si="194"/>
        <v>0.0180412371134022</v>
      </c>
      <c r="AO369" s="36">
        <f t="shared" si="195"/>
        <v>-0.00176901693201914</v>
      </c>
      <c r="AP369" s="36"/>
      <c r="AQ369" s="128" t="str" cm="1">
        <f t="array" ref="AQ369">_xlfn.IFS(MONTH(AR369)&lt;4,1,MONTH(AR369)&lt;7,2,MONTH(AR369)&lt;10,3,MONTH(AR369)&gt;9,4)&amp;"Q"&amp;RIGHT(YEAR(AR369),2)</f>
        <v>3Q25</v>
      </c>
      <c r="AR369" s="128">
        <f t="shared" si="200"/>
        <v>45900</v>
      </c>
      <c r="AS369" s="129">
        <f t="shared" si="173"/>
        <v>45894</v>
      </c>
      <c r="AT369" s="135">
        <v>310</v>
      </c>
      <c r="AU369" s="134" cm="1">
        <f t="array" ref="AU369">INDEX($CE$29:$CE$1449,MATCH($AR369,$CA$29:$CA$1449,0),)</f>
        <v>135</v>
      </c>
      <c r="AV369" s="135">
        <v>500</v>
      </c>
      <c r="AW369" s="134" cm="1">
        <f t="array" ref="AW369">INDEX($CF$29:$CF$1449,MATCH($AR369,$CA$29:$CA$1449,0),)</f>
        <v>230</v>
      </c>
      <c r="AX369" s="135">
        <v>147.5</v>
      </c>
      <c r="AY369" s="134" cm="1">
        <f t="array" ref="AY369">INDEX($CO$29:$CO$1449,MATCH($AR369,$CA$29:$CA$1449,0),)</f>
        <v>143</v>
      </c>
      <c r="AZ369" s="135">
        <v>258.5</v>
      </c>
      <c r="BA369" s="134" cm="1">
        <f t="array" ref="BA369">INDEX($CP$29:$CP$1449,MATCH($AR369,$CA$29:$CA$1449,0),)</f>
        <v>270</v>
      </c>
      <c r="BB369" s="133">
        <f t="shared" si="202"/>
        <v>0.235059760956175</v>
      </c>
      <c r="BC369" s="132">
        <f t="shared" si="204"/>
        <v>0.527093596059113</v>
      </c>
      <c r="BD369" s="132">
        <f t="shared" si="206"/>
        <v>0.666666666666667</v>
      </c>
      <c r="BE369" s="133">
        <f t="shared" si="203"/>
        <v>0.225490196078431</v>
      </c>
      <c r="BF369" s="132">
        <f t="shared" si="205"/>
        <v>0.515151515151515</v>
      </c>
      <c r="BG369" s="132">
        <f t="shared" si="207"/>
        <v>0.694915254237288</v>
      </c>
      <c r="BH369" s="133">
        <f t="shared" si="186"/>
        <v>0.00340136054421758</v>
      </c>
      <c r="BI369" s="132">
        <f t="shared" si="187"/>
        <v>0.0102739726027397</v>
      </c>
      <c r="BJ369" s="132">
        <f t="shared" si="188"/>
        <v>0.0243055555555556</v>
      </c>
      <c r="BK369" s="133">
        <f t="shared" si="189"/>
        <v>0</v>
      </c>
      <c r="BL369" s="132">
        <f t="shared" si="190"/>
        <v>0</v>
      </c>
      <c r="BM369" s="132">
        <f t="shared" si="191"/>
        <v>0.00096805421103574</v>
      </c>
      <c r="FV369" s="104">
        <f t="shared" si="174"/>
        <v>2012</v>
      </c>
      <c r="FW369" s="104">
        <f t="shared" si="175"/>
        <v>6</v>
      </c>
      <c r="FX369" s="35">
        <v>40946</v>
      </c>
      <c r="FY369" s="26">
        <v>0.91</v>
      </c>
      <c r="FZ369" s="94">
        <f t="shared" si="176"/>
        <v>3.64</v>
      </c>
      <c r="GA369" s="104"/>
      <c r="GB369" s="104"/>
      <c r="GE369" s="94"/>
      <c r="GF369" s="104">
        <f t="shared" si="177"/>
        <v>2014</v>
      </c>
      <c r="GG369" s="104">
        <f t="shared" si="178"/>
        <v>20</v>
      </c>
      <c r="GH369" s="35">
        <v>41775</v>
      </c>
      <c r="GI369" s="26">
        <v>4.151</v>
      </c>
      <c r="GJ369" s="94">
        <f t="shared" si="179"/>
        <v>8.302</v>
      </c>
      <c r="GK369" s="104"/>
      <c r="GL369" s="104"/>
      <c r="GO369" s="94"/>
    </row>
    <row r="370" spans="3:197">
      <c r="C370" s="80" t="str" cm="1">
        <f t="array" ref="C370">_xlfn.IFS(MONTH(D370)&lt;4,1,MONTH(D370)&lt;7,2,MONTH(D370)&lt;10,3,MONTH(D370)&gt;9,4)&amp;"Q"&amp;RIGHT(YEAR(D370),2)</f>
        <v>3Q17</v>
      </c>
      <c r="D370" s="81">
        <f t="shared" si="198"/>
        <v>42947</v>
      </c>
      <c r="E370" s="82">
        <f t="shared" si="196"/>
        <v>42927</v>
      </c>
      <c r="F370" s="83">
        <f t="shared" si="197"/>
        <v>0.849375</v>
      </c>
      <c r="G370" s="83">
        <f t="shared" si="197"/>
        <v>0.85125</v>
      </c>
      <c r="H370" s="81"/>
      <c r="I370" s="146">
        <v>42927</v>
      </c>
      <c r="J370" s="147">
        <v>7.2</v>
      </c>
      <c r="K370" s="147">
        <v>6.4</v>
      </c>
      <c r="L370" s="147">
        <v>6.795</v>
      </c>
      <c r="M370" s="94" cm="1">
        <f t="array" ref="M370">INDEX($BV$29:$BV$1449,MATCH($D370,$BR$29:$BR$1449,0),)</f>
        <v>6.81</v>
      </c>
      <c r="N370" s="150">
        <f t="shared" si="181"/>
        <v>0</v>
      </c>
      <c r="O370" s="150">
        <f t="shared" si="182"/>
        <v>0.0359810946790668</v>
      </c>
      <c r="P370" s="150">
        <f t="shared" si="180"/>
        <v>0.040263319044703</v>
      </c>
      <c r="Q370" s="89">
        <f t="shared" si="183"/>
        <v>-0.00220264317180607</v>
      </c>
      <c r="AH370" s="105">
        <f t="shared" si="184"/>
        <v>45173</v>
      </c>
      <c r="AI370" s="91">
        <f t="shared" si="185"/>
        <v>1.402</v>
      </c>
      <c r="AJ370" s="57">
        <f t="shared" si="199"/>
        <v>-0.00426136363636365</v>
      </c>
      <c r="AK370" s="36">
        <f t="shared" si="201"/>
        <v>-0.0147575544624035</v>
      </c>
      <c r="AL370" s="105">
        <f t="shared" si="193"/>
        <v>45173</v>
      </c>
      <c r="AM370" s="91">
        <f t="shared" si="192"/>
        <v>3.97</v>
      </c>
      <c r="AN370" s="57">
        <f t="shared" si="194"/>
        <v>0.00506329113924053</v>
      </c>
      <c r="AO370" s="36">
        <f t="shared" si="195"/>
        <v>0.0231958762886599</v>
      </c>
      <c r="AP370" s="36"/>
      <c r="AQ370" s="128" t="str" cm="1">
        <f t="array" ref="AQ370">_xlfn.IFS(MONTH(AR370)&lt;4,1,MONTH(AR370)&lt;7,2,MONTH(AR370)&lt;10,3,MONTH(AR370)&gt;9,4)&amp;"Q"&amp;RIGHT(YEAR(AR370),2)</f>
        <v>3Q25</v>
      </c>
      <c r="AR370" s="128">
        <f t="shared" si="200"/>
        <v>45930</v>
      </c>
      <c r="AS370" s="129">
        <f t="shared" si="173"/>
        <v>45901</v>
      </c>
      <c r="AT370" s="135">
        <v>315</v>
      </c>
      <c r="AU370" s="134" cm="1">
        <f t="array" ref="AU370">INDEX($CE$29:$CE$1449,MATCH($AR370,$CA$29:$CA$1449,0),)</f>
        <v>138</v>
      </c>
      <c r="AV370" s="135">
        <v>550</v>
      </c>
      <c r="AW370" s="134" cm="1">
        <f t="array" ref="AW370">INDEX($CF$29:$CF$1449,MATCH($AR370,$CA$29:$CA$1449,0),)</f>
        <v>235</v>
      </c>
      <c r="AX370" s="135">
        <v>149</v>
      </c>
      <c r="AY370" s="134" cm="1">
        <f t="array" ref="AY370">INDEX($CO$29:$CO$1449,MATCH($AR370,$CA$29:$CA$1449,0),)</f>
        <v>146</v>
      </c>
      <c r="AZ370" s="135">
        <v>261.25</v>
      </c>
      <c r="BA370" s="134" cm="1">
        <f t="array" ref="BA370">INDEX($CP$29:$CP$1449,MATCH($AR370,$CA$29:$CA$1449,0),)</f>
        <v>272</v>
      </c>
      <c r="BB370" s="133">
        <f t="shared" si="202"/>
        <v>0.0161290322580645</v>
      </c>
      <c r="BC370" s="132">
        <f t="shared" si="204"/>
        <v>0.254980079681275</v>
      </c>
      <c r="BD370" s="132">
        <f t="shared" si="206"/>
        <v>0.551724137931034</v>
      </c>
      <c r="BE370" s="133">
        <f t="shared" si="203"/>
        <v>0.1</v>
      </c>
      <c r="BF370" s="132">
        <f t="shared" si="205"/>
        <v>0.348039215686275</v>
      </c>
      <c r="BG370" s="132">
        <f t="shared" si="207"/>
        <v>0.666666666666667</v>
      </c>
      <c r="BH370" s="133">
        <f t="shared" si="186"/>
        <v>0.0101694915254238</v>
      </c>
      <c r="BI370" s="132">
        <f t="shared" si="187"/>
        <v>0.0136054421768708</v>
      </c>
      <c r="BJ370" s="132">
        <f t="shared" si="188"/>
        <v>0.0205479452054795</v>
      </c>
      <c r="BK370" s="133">
        <f t="shared" si="189"/>
        <v>0.0106382978723405</v>
      </c>
      <c r="BL370" s="132">
        <f t="shared" si="190"/>
        <v>0.0106382978723405</v>
      </c>
      <c r="BM370" s="132">
        <f t="shared" si="191"/>
        <v>0.0106382978723405</v>
      </c>
      <c r="FV370" s="104">
        <f t="shared" si="174"/>
        <v>2012</v>
      </c>
      <c r="FW370" s="104">
        <f t="shared" si="175"/>
        <v>6</v>
      </c>
      <c r="FX370" s="35">
        <v>40947</v>
      </c>
      <c r="FY370" s="26">
        <v>0.91</v>
      </c>
      <c r="FZ370" s="94">
        <f t="shared" si="176"/>
        <v>3.64</v>
      </c>
      <c r="GA370" s="104"/>
      <c r="GB370" s="104"/>
      <c r="GE370" s="94"/>
      <c r="GF370" s="104">
        <f t="shared" si="177"/>
        <v>2014</v>
      </c>
      <c r="GG370" s="104">
        <f t="shared" si="178"/>
        <v>21</v>
      </c>
      <c r="GH370" s="35">
        <v>41778</v>
      </c>
      <c r="GI370" s="26">
        <v>4.151</v>
      </c>
      <c r="GJ370" s="94">
        <f t="shared" si="179"/>
        <v>8.302</v>
      </c>
      <c r="GK370" s="104"/>
      <c r="GL370" s="104"/>
      <c r="GO370" s="94"/>
    </row>
    <row r="371" spans="3:197">
      <c r="C371" s="80" t="str" cm="1">
        <f t="array" ref="C371">_xlfn.IFS(MONTH(D371)&lt;4,1,MONTH(D371)&lt;7,2,MONTH(D371)&lt;10,3,MONTH(D371)&gt;9,4)&amp;"Q"&amp;RIGHT(YEAR(D371),2)</f>
        <v>3Q17</v>
      </c>
      <c r="D371" s="81">
        <f t="shared" si="198"/>
        <v>42947</v>
      </c>
      <c r="E371" s="82">
        <f t="shared" si="196"/>
        <v>42928</v>
      </c>
      <c r="F371" s="83">
        <f t="shared" si="197"/>
        <v>0.849375</v>
      </c>
      <c r="G371" s="83">
        <f t="shared" si="197"/>
        <v>0.85125</v>
      </c>
      <c r="H371" s="81"/>
      <c r="I371" s="146">
        <v>42928</v>
      </c>
      <c r="J371" s="147">
        <v>7.2</v>
      </c>
      <c r="K371" s="147">
        <v>6.4</v>
      </c>
      <c r="L371" s="147">
        <v>6.795</v>
      </c>
      <c r="M371" s="94" cm="1">
        <f t="array" ref="M371">INDEX($BV$29:$BV$1449,MATCH($D371,$BR$29:$BR$1449,0),)</f>
        <v>6.81</v>
      </c>
      <c r="N371" s="150">
        <f t="shared" si="181"/>
        <v>0</v>
      </c>
      <c r="O371" s="150">
        <f t="shared" si="182"/>
        <v>0.00428613656517873</v>
      </c>
      <c r="P371" s="150">
        <f t="shared" si="180"/>
        <v>0.0385144429160935</v>
      </c>
      <c r="Q371" s="89">
        <f t="shared" si="183"/>
        <v>-0.00220264317180607</v>
      </c>
      <c r="AH371" s="105">
        <f t="shared" si="184"/>
        <v>45180</v>
      </c>
      <c r="AI371" s="91">
        <f t="shared" si="185"/>
        <v>1.396</v>
      </c>
      <c r="AJ371" s="57">
        <f t="shared" si="199"/>
        <v>-0.00427960057061338</v>
      </c>
      <c r="AK371" s="36">
        <f t="shared" si="201"/>
        <v>-0.00852272727272729</v>
      </c>
      <c r="AL371" s="105">
        <f t="shared" si="193"/>
        <v>45180</v>
      </c>
      <c r="AM371" s="91">
        <f t="shared" si="192"/>
        <v>3.993</v>
      </c>
      <c r="AN371" s="57">
        <f t="shared" si="194"/>
        <v>0.00579345088161198</v>
      </c>
      <c r="AO371" s="36">
        <f t="shared" si="195"/>
        <v>0.010886075949367</v>
      </c>
      <c r="AP371" s="36"/>
      <c r="AQ371" s="128" t="str" cm="1">
        <f t="array" ref="AQ371">_xlfn.IFS(MONTH(AR371)&lt;4,1,MONTH(AR371)&lt;7,2,MONTH(AR371)&lt;10,3,MONTH(AR371)&gt;9,4)&amp;"Q"&amp;RIGHT(YEAR(AR371),2)</f>
        <v>3Q25</v>
      </c>
      <c r="AR371" s="128">
        <f t="shared" si="200"/>
        <v>45930</v>
      </c>
      <c r="AS371" s="129">
        <f t="shared" si="173"/>
        <v>45908</v>
      </c>
      <c r="AT371" s="135">
        <v>285</v>
      </c>
      <c r="AU371" s="134" cm="1">
        <f t="array" ref="AU371">INDEX($CE$29:$CE$1449,MATCH($AR371,$CA$29:$CA$1449,0),)</f>
        <v>138</v>
      </c>
      <c r="AV371" s="135">
        <v>575</v>
      </c>
      <c r="AW371" s="134" cm="1">
        <f t="array" ref="AW371">INDEX($CF$29:$CF$1449,MATCH($AR371,$CA$29:$CA$1449,0),)</f>
        <v>235</v>
      </c>
      <c r="AX371" s="135">
        <v>149.5</v>
      </c>
      <c r="AY371" s="134" cm="1">
        <f t="array" ref="AY371">INDEX($CO$29:$CO$1449,MATCH($AR371,$CA$29:$CA$1449,0),)</f>
        <v>146</v>
      </c>
      <c r="AZ371" s="135">
        <v>263</v>
      </c>
      <c r="BA371" s="134" cm="1">
        <f t="array" ref="BA371">INDEX($CP$29:$CP$1449,MATCH($AR371,$CA$29:$CA$1449,0),)</f>
        <v>272</v>
      </c>
      <c r="BB371" s="133">
        <f t="shared" si="202"/>
        <v>-0.0952380952380952</v>
      </c>
      <c r="BC371" s="132">
        <f t="shared" si="204"/>
        <v>-0.0806451612903226</v>
      </c>
      <c r="BD371" s="132">
        <f t="shared" si="206"/>
        <v>0.135458167330677</v>
      </c>
      <c r="BE371" s="133">
        <f t="shared" si="203"/>
        <v>0.0454545454545454</v>
      </c>
      <c r="BF371" s="132">
        <f t="shared" si="205"/>
        <v>0.15</v>
      </c>
      <c r="BG371" s="132">
        <f t="shared" si="207"/>
        <v>0.409313725490196</v>
      </c>
      <c r="BH371" s="133">
        <f t="shared" si="186"/>
        <v>0.00335570469798663</v>
      </c>
      <c r="BI371" s="132">
        <f t="shared" si="187"/>
        <v>0.0135593220338983</v>
      </c>
      <c r="BJ371" s="132">
        <f t="shared" si="188"/>
        <v>0.0170068027210883</v>
      </c>
      <c r="BK371" s="133">
        <f t="shared" si="189"/>
        <v>0.00669856459330154</v>
      </c>
      <c r="BL371" s="132">
        <f t="shared" si="190"/>
        <v>0.0174081237911026</v>
      </c>
      <c r="BM371" s="132">
        <f t="shared" si="191"/>
        <v>0.0174081237911026</v>
      </c>
      <c r="FV371" s="104">
        <f t="shared" si="174"/>
        <v>2012</v>
      </c>
      <c r="FW371" s="104">
        <f t="shared" si="175"/>
        <v>6</v>
      </c>
      <c r="FX371" s="35">
        <v>40948</v>
      </c>
      <c r="FY371" s="26">
        <v>0.9</v>
      </c>
      <c r="FZ371" s="94">
        <f t="shared" si="176"/>
        <v>3.6</v>
      </c>
      <c r="GA371" s="104"/>
      <c r="GB371" s="104"/>
      <c r="GE371" s="94"/>
      <c r="GF371" s="104">
        <f t="shared" si="177"/>
        <v>2014</v>
      </c>
      <c r="GG371" s="104">
        <f t="shared" si="178"/>
        <v>21</v>
      </c>
      <c r="GH371" s="35">
        <v>41779</v>
      </c>
      <c r="GI371" s="26">
        <v>4.161</v>
      </c>
      <c r="GJ371" s="94">
        <f t="shared" si="179"/>
        <v>8.322</v>
      </c>
      <c r="GK371" s="104"/>
      <c r="GL371" s="104"/>
      <c r="GO371" s="94"/>
    </row>
    <row r="372" spans="3:197">
      <c r="C372" s="80" t="str" cm="1">
        <f t="array" ref="C372">_xlfn.IFS(MONTH(D372)&lt;4,1,MONTH(D372)&lt;7,2,MONTH(D372)&lt;10,3,MONTH(D372)&gt;9,4)&amp;"Q"&amp;RIGHT(YEAR(D372),2)</f>
        <v>3Q17</v>
      </c>
      <c r="D372" s="81">
        <f t="shared" si="198"/>
        <v>42947</v>
      </c>
      <c r="E372" s="82">
        <f t="shared" si="196"/>
        <v>42929</v>
      </c>
      <c r="F372" s="83">
        <f t="shared" si="197"/>
        <v>0.868125</v>
      </c>
      <c r="G372" s="83">
        <f t="shared" si="197"/>
        <v>0.85125</v>
      </c>
      <c r="H372" s="81"/>
      <c r="I372" s="146">
        <v>42929</v>
      </c>
      <c r="J372" s="147">
        <v>7.2</v>
      </c>
      <c r="K372" s="147">
        <v>6.55</v>
      </c>
      <c r="L372" s="147">
        <v>6.945</v>
      </c>
      <c r="M372" s="94" cm="1">
        <f t="array" ref="M372">INDEX($BV$29:$BV$1449,MATCH($D372,$BR$29:$BR$1449,0),)</f>
        <v>6.81</v>
      </c>
      <c r="N372" s="150">
        <f t="shared" si="181"/>
        <v>0.0220750551876381</v>
      </c>
      <c r="O372" s="150">
        <f t="shared" si="182"/>
        <v>0.0258493353028066</v>
      </c>
      <c r="P372" s="150">
        <f t="shared" si="180"/>
        <v>0.0612775061124695</v>
      </c>
      <c r="Q372" s="89">
        <f t="shared" si="183"/>
        <v>0.0198237885462555</v>
      </c>
      <c r="AH372" s="105">
        <f t="shared" si="184"/>
        <v>45187</v>
      </c>
      <c r="AI372" s="91">
        <f t="shared" si="185"/>
        <v>1.438</v>
      </c>
      <c r="AJ372" s="57">
        <f t="shared" si="199"/>
        <v>0.0300859598853869</v>
      </c>
      <c r="AK372" s="36">
        <f t="shared" si="201"/>
        <v>0.0256776034236805</v>
      </c>
      <c r="AL372" s="105">
        <f t="shared" si="193"/>
        <v>45187</v>
      </c>
      <c r="AM372" s="91">
        <f t="shared" si="192"/>
        <v>4.083</v>
      </c>
      <c r="AN372" s="57">
        <f t="shared" si="194"/>
        <v>0.0225394440270474</v>
      </c>
      <c r="AO372" s="36">
        <f t="shared" si="195"/>
        <v>0.0284634760705289</v>
      </c>
      <c r="AP372" s="36"/>
      <c r="AQ372" s="128" t="str" cm="1">
        <f t="array" ref="AQ372">_xlfn.IFS(MONTH(AR372)&lt;4,1,MONTH(AR372)&lt;7,2,MONTH(AR372)&lt;10,3,MONTH(AR372)&gt;9,4)&amp;"Q"&amp;RIGHT(YEAR(AR372),2)</f>
        <v>3Q25</v>
      </c>
      <c r="AR372" s="128">
        <f t="shared" si="200"/>
        <v>45930</v>
      </c>
      <c r="AS372" s="129">
        <f t="shared" ref="AS372:AS393" si="208">AS371+7</f>
        <v>45915</v>
      </c>
      <c r="AT372" s="135">
        <v>285</v>
      </c>
      <c r="AU372" s="134" cm="1">
        <f t="array" ref="AU372">INDEX($CE$29:$CE$1449,MATCH($AR372,$CA$29:$CA$1449,0),)</f>
        <v>138</v>
      </c>
      <c r="AV372" s="135">
        <v>600</v>
      </c>
      <c r="AW372" s="134" cm="1">
        <f t="array" ref="AW372">INDEX($CF$29:$CF$1449,MATCH($AR372,$CA$29:$CA$1449,0),)</f>
        <v>235</v>
      </c>
      <c r="AX372" s="135">
        <v>151</v>
      </c>
      <c r="AY372" s="134" cm="1">
        <f t="array" ref="AY372">INDEX($CO$29:$CO$1449,MATCH($AR372,$CA$29:$CA$1449,0),)</f>
        <v>146</v>
      </c>
      <c r="AZ372" s="135">
        <v>265.5</v>
      </c>
      <c r="BA372" s="134" cm="1">
        <f t="array" ref="BA372">INDEX($CP$29:$CP$1449,MATCH($AR372,$CA$29:$CA$1449,0),)</f>
        <v>272</v>
      </c>
      <c r="BB372" s="133">
        <f t="shared" si="202"/>
        <v>0</v>
      </c>
      <c r="BC372" s="132">
        <f t="shared" si="204"/>
        <v>-0.0952380952380952</v>
      </c>
      <c r="BD372" s="132">
        <f t="shared" si="206"/>
        <v>-0.0806451612903226</v>
      </c>
      <c r="BE372" s="133">
        <f t="shared" si="203"/>
        <v>0.0434782608695652</v>
      </c>
      <c r="BF372" s="132">
        <f t="shared" si="205"/>
        <v>0.0909090909090908</v>
      </c>
      <c r="BG372" s="132">
        <f t="shared" si="207"/>
        <v>0.2</v>
      </c>
      <c r="BH372" s="133">
        <f t="shared" si="186"/>
        <v>0.0100334448160535</v>
      </c>
      <c r="BI372" s="132">
        <f t="shared" si="187"/>
        <v>0.0134228187919463</v>
      </c>
      <c r="BJ372" s="132">
        <f t="shared" si="188"/>
        <v>0.0237288135593221</v>
      </c>
      <c r="BK372" s="133">
        <f t="shared" si="189"/>
        <v>0.00950570342205315</v>
      </c>
      <c r="BL372" s="132">
        <f t="shared" si="190"/>
        <v>0.016267942583732</v>
      </c>
      <c r="BM372" s="132">
        <f t="shared" si="191"/>
        <v>0.0270793036750483</v>
      </c>
      <c r="FV372" s="104">
        <f t="shared" ref="FV372:FV435" si="209">YEAR(FX372)</f>
        <v>2012</v>
      </c>
      <c r="FW372" s="104">
        <f t="shared" ref="FW372:FW435" si="210">WEEKNUM(FX372)</f>
        <v>6</v>
      </c>
      <c r="FX372" s="35">
        <v>40949</v>
      </c>
      <c r="FY372" s="26">
        <v>0.9</v>
      </c>
      <c r="FZ372" s="94">
        <f t="shared" ref="FZ372:FZ435" si="211">FY372*4</f>
        <v>3.6</v>
      </c>
      <c r="GA372" s="104"/>
      <c r="GB372" s="104"/>
      <c r="GE372" s="94"/>
      <c r="GF372" s="104">
        <f t="shared" ref="GF372:GF435" si="212">YEAR(GH372)</f>
        <v>2014</v>
      </c>
      <c r="GG372" s="104">
        <f t="shared" ref="GG372:GG435" si="213">WEEKNUM(GH372)</f>
        <v>21</v>
      </c>
      <c r="GH372" s="35">
        <v>41780</v>
      </c>
      <c r="GI372" s="26">
        <v>4.178</v>
      </c>
      <c r="GJ372" s="94">
        <f t="shared" ref="GJ372:GJ435" si="214">GI372*2</f>
        <v>8.356</v>
      </c>
      <c r="GK372" s="104"/>
      <c r="GL372" s="104"/>
      <c r="GO372" s="94"/>
    </row>
    <row r="373" spans="3:197">
      <c r="C373" s="80" t="str" cm="1">
        <f t="array" ref="C373">_xlfn.IFS(MONTH(D373)&lt;4,1,MONTH(D373)&lt;7,2,MONTH(D373)&lt;10,3,MONTH(D373)&gt;9,4)&amp;"Q"&amp;RIGHT(YEAR(D373),2)</f>
        <v>3Q17</v>
      </c>
      <c r="D373" s="81">
        <f t="shared" si="198"/>
        <v>42947</v>
      </c>
      <c r="E373" s="82">
        <f t="shared" si="196"/>
        <v>42930</v>
      </c>
      <c r="F373" s="83">
        <f t="shared" si="197"/>
        <v>0.876</v>
      </c>
      <c r="G373" s="83">
        <f t="shared" si="197"/>
        <v>0.85125</v>
      </c>
      <c r="H373" s="81"/>
      <c r="I373" s="146">
        <v>42930</v>
      </c>
      <c r="J373" s="147">
        <v>7.35</v>
      </c>
      <c r="K373" s="147">
        <v>6.6</v>
      </c>
      <c r="L373" s="147">
        <v>7.008</v>
      </c>
      <c r="M373" s="94" cm="1">
        <f t="array" ref="M373">INDEX($BV$29:$BV$1449,MATCH($D373,$BR$29:$BR$1449,0),)</f>
        <v>6.81</v>
      </c>
      <c r="N373" s="150">
        <f t="shared" si="181"/>
        <v>0.0090712742980561</v>
      </c>
      <c r="O373" s="150">
        <f t="shared" si="182"/>
        <v>0.032410135533294</v>
      </c>
      <c r="P373" s="150">
        <f t="shared" si="180"/>
        <v>0.0705774518790101</v>
      </c>
      <c r="Q373" s="89">
        <f t="shared" si="183"/>
        <v>0.0290748898678415</v>
      </c>
      <c r="AH373" s="105">
        <f t="shared" si="184"/>
        <v>45194</v>
      </c>
      <c r="AI373" s="91">
        <f t="shared" si="185"/>
        <v>1.44</v>
      </c>
      <c r="AJ373" s="57">
        <f t="shared" si="199"/>
        <v>0.00139082058414464</v>
      </c>
      <c r="AK373" s="36">
        <f t="shared" si="201"/>
        <v>0.0315186246418337</v>
      </c>
      <c r="AL373" s="105">
        <f t="shared" si="193"/>
        <v>45194</v>
      </c>
      <c r="AM373" s="91">
        <f t="shared" si="192"/>
        <v>4.13</v>
      </c>
      <c r="AN373" s="57">
        <f t="shared" si="194"/>
        <v>0.011511143766838</v>
      </c>
      <c r="AO373" s="36">
        <f t="shared" si="195"/>
        <v>0.0343100425745053</v>
      </c>
      <c r="AP373" s="36"/>
      <c r="AQ373" s="128" t="str" cm="1">
        <f t="array" ref="AQ373">_xlfn.IFS(MONTH(AR373)&lt;4,1,MONTH(AR373)&lt;7,2,MONTH(AR373)&lt;10,3,MONTH(AR373)&gt;9,4)&amp;"Q"&amp;RIGHT(YEAR(AR373),2)</f>
        <v>3Q25</v>
      </c>
      <c r="AR373" s="128">
        <f t="shared" si="200"/>
        <v>45930</v>
      </c>
      <c r="AS373" s="129">
        <f t="shared" si="208"/>
        <v>45922</v>
      </c>
      <c r="AT373" s="135">
        <v>300</v>
      </c>
      <c r="AU373" s="134" cm="1">
        <f t="array" ref="AU373">INDEX($CE$29:$CE$1449,MATCH($AR373,$CA$29:$CA$1449,0),)</f>
        <v>138</v>
      </c>
      <c r="AV373" s="135">
        <v>592</v>
      </c>
      <c r="AW373" s="134" cm="1">
        <f t="array" ref="AW373">INDEX($CF$29:$CF$1449,MATCH($AR373,$CA$29:$CA$1449,0),)</f>
        <v>235</v>
      </c>
      <c r="AX373" s="135">
        <v>162.5</v>
      </c>
      <c r="AY373" s="134" cm="1">
        <f t="array" ref="AY373">INDEX($CO$29:$CO$1449,MATCH($AR373,$CA$29:$CA$1449,0),)</f>
        <v>146</v>
      </c>
      <c r="AZ373" s="135">
        <v>288.89</v>
      </c>
      <c r="BA373" s="134" cm="1">
        <f t="array" ref="BA373">INDEX($CP$29:$CP$1449,MATCH($AR373,$CA$29:$CA$1449,0),)</f>
        <v>272</v>
      </c>
      <c r="BB373" s="133">
        <f t="shared" si="202"/>
        <v>0.0526315789473684</v>
      </c>
      <c r="BC373" s="132">
        <f t="shared" si="204"/>
        <v>0.0526315789473684</v>
      </c>
      <c r="BD373" s="132">
        <f t="shared" si="206"/>
        <v>-0.0476190476190477</v>
      </c>
      <c r="BE373" s="133">
        <f t="shared" si="203"/>
        <v>-0.0133333333333333</v>
      </c>
      <c r="BF373" s="132">
        <f t="shared" si="205"/>
        <v>0.0295652173913044</v>
      </c>
      <c r="BG373" s="132">
        <f t="shared" si="207"/>
        <v>0.0763636363636364</v>
      </c>
      <c r="BH373" s="133">
        <f t="shared" si="186"/>
        <v>0.076158940397351</v>
      </c>
      <c r="BI373" s="132">
        <f t="shared" si="187"/>
        <v>0.0869565217391304</v>
      </c>
      <c r="BJ373" s="132">
        <f t="shared" si="188"/>
        <v>0.0906040268456376</v>
      </c>
      <c r="BK373" s="133">
        <f t="shared" si="189"/>
        <v>0.0880979284369114</v>
      </c>
      <c r="BL373" s="132">
        <f t="shared" si="190"/>
        <v>0.0984410646387832</v>
      </c>
      <c r="BM373" s="132">
        <f t="shared" si="191"/>
        <v>0.105799043062201</v>
      </c>
      <c r="FV373" s="104">
        <f t="shared" si="209"/>
        <v>2012</v>
      </c>
      <c r="FW373" s="104">
        <f t="shared" si="210"/>
        <v>7</v>
      </c>
      <c r="FX373" s="35">
        <v>40952</v>
      </c>
      <c r="FY373" s="26">
        <v>0.89</v>
      </c>
      <c r="FZ373" s="94">
        <f t="shared" si="211"/>
        <v>3.56</v>
      </c>
      <c r="GA373" s="104"/>
      <c r="GB373" s="104"/>
      <c r="GE373" s="94"/>
      <c r="GF373" s="104">
        <f t="shared" si="212"/>
        <v>2014</v>
      </c>
      <c r="GG373" s="104">
        <f t="shared" si="213"/>
        <v>21</v>
      </c>
      <c r="GH373" s="35">
        <v>41781</v>
      </c>
      <c r="GI373" s="26">
        <v>4.187</v>
      </c>
      <c r="GJ373" s="94">
        <f t="shared" si="214"/>
        <v>8.374</v>
      </c>
      <c r="GK373" s="104"/>
      <c r="GL373" s="104"/>
      <c r="GO373" s="94"/>
    </row>
    <row r="374" spans="3:197">
      <c r="C374" s="80" t="str" cm="1">
        <f t="array" ref="C374">_xlfn.IFS(MONTH(D374)&lt;4,1,MONTH(D374)&lt;7,2,MONTH(D374)&lt;10,3,MONTH(D374)&gt;9,4)&amp;"Q"&amp;RIGHT(YEAR(D374),2)</f>
        <v>3Q17</v>
      </c>
      <c r="D374" s="81">
        <f t="shared" si="198"/>
        <v>42947</v>
      </c>
      <c r="E374" s="82">
        <f t="shared" si="196"/>
        <v>42933</v>
      </c>
      <c r="F374" s="83">
        <f t="shared" si="197"/>
        <v>0.880875</v>
      </c>
      <c r="G374" s="83">
        <f t="shared" si="197"/>
        <v>0.85125</v>
      </c>
      <c r="H374" s="81"/>
      <c r="I374" s="146">
        <v>42933</v>
      </c>
      <c r="J374" s="147">
        <v>7.4</v>
      </c>
      <c r="K374" s="147">
        <v>6.65</v>
      </c>
      <c r="L374" s="147">
        <v>7.047</v>
      </c>
      <c r="M374" s="94" cm="1">
        <f t="array" ref="M374">INDEX($BV$29:$BV$1449,MATCH($D374,$BR$29:$BR$1449,0),)</f>
        <v>6.81</v>
      </c>
      <c r="N374" s="150">
        <f t="shared" si="181"/>
        <v>0.00556506849315075</v>
      </c>
      <c r="O374" s="150">
        <f t="shared" si="182"/>
        <v>0.0370860927152317</v>
      </c>
      <c r="P374" s="150">
        <f t="shared" si="180"/>
        <v>0.0765352887259394</v>
      </c>
      <c r="Q374" s="89">
        <f t="shared" si="183"/>
        <v>0.0348017621145376</v>
      </c>
      <c r="AH374" s="105">
        <f t="shared" si="184"/>
        <v>45201</v>
      </c>
      <c r="AI374" s="91">
        <f t="shared" si="185"/>
        <v>1.455</v>
      </c>
      <c r="AJ374" s="57">
        <f t="shared" ref="AJ374:AJ437" si="215">AI374/AI373-1</f>
        <v>0.0104166666666667</v>
      </c>
      <c r="AK374" s="36">
        <f t="shared" si="201"/>
        <v>0.0118219749652295</v>
      </c>
      <c r="AL374" s="105">
        <f t="shared" si="193"/>
        <v>45201</v>
      </c>
      <c r="AM374" s="91">
        <f t="shared" si="192"/>
        <v>4.123</v>
      </c>
      <c r="AN374" s="57">
        <f t="shared" ref="AN374:AN437" si="216">AM374/AM373-1</f>
        <v>-0.00169491525423726</v>
      </c>
      <c r="AO374" s="36">
        <f t="shared" si="195"/>
        <v>0.00979671809943672</v>
      </c>
      <c r="AP374" s="36"/>
      <c r="AQ374" s="128" t="str" cm="1">
        <f t="array" ref="AQ374">_xlfn.IFS(MONTH(AR374)&lt;4,1,MONTH(AR374)&lt;7,2,MONTH(AR374)&lt;10,3,MONTH(AR374)&gt;9,4)&amp;"Q"&amp;RIGHT(YEAR(AR374),2)</f>
        <v>3Q25</v>
      </c>
      <c r="AR374" s="128">
        <f t="shared" si="200"/>
        <v>45930</v>
      </c>
      <c r="AS374" s="129">
        <f t="shared" si="208"/>
        <v>45929</v>
      </c>
      <c r="AT374" s="135">
        <v>305</v>
      </c>
      <c r="AU374" s="134" cm="1">
        <f t="array" ref="AU374">INDEX($CE$29:$CE$1449,MATCH($AR374,$CA$29:$CA$1449,0),)</f>
        <v>138</v>
      </c>
      <c r="AV374" s="135">
        <v>593</v>
      </c>
      <c r="AW374" s="134" cm="1">
        <f t="array" ref="AW374">INDEX($CF$29:$CF$1449,MATCH($AR374,$CA$29:$CA$1449,0),)</f>
        <v>235</v>
      </c>
      <c r="AX374" s="135">
        <v>169</v>
      </c>
      <c r="AY374" s="134" cm="1">
        <f t="array" ref="AY374">INDEX($CO$29:$CO$1449,MATCH($AR374,$CA$29:$CA$1449,0),)</f>
        <v>146</v>
      </c>
      <c r="AZ374" s="135">
        <v>302.78</v>
      </c>
      <c r="BA374" s="134" cm="1">
        <f t="array" ref="BA374">INDEX($CP$29:$CP$1449,MATCH($AR374,$CA$29:$CA$1449,0),)</f>
        <v>272</v>
      </c>
      <c r="BB374" s="133">
        <f t="shared" si="202"/>
        <v>0.0166666666666666</v>
      </c>
      <c r="BC374" s="132">
        <f t="shared" si="204"/>
        <v>0.0701754385964912</v>
      </c>
      <c r="BD374" s="132">
        <f t="shared" si="206"/>
        <v>0.0701754385964912</v>
      </c>
      <c r="BE374" s="133">
        <f t="shared" si="203"/>
        <v>0.00168918918918926</v>
      </c>
      <c r="BF374" s="132">
        <f t="shared" si="205"/>
        <v>-0.0116666666666667</v>
      </c>
      <c r="BG374" s="132">
        <f t="shared" si="207"/>
        <v>0.031304347826087</v>
      </c>
      <c r="BH374" s="133">
        <f t="shared" si="186"/>
        <v>0.04</v>
      </c>
      <c r="BI374" s="132">
        <f t="shared" si="187"/>
        <v>0.119205298013245</v>
      </c>
      <c r="BJ374" s="132">
        <f t="shared" si="188"/>
        <v>0.130434782608696</v>
      </c>
      <c r="BK374" s="133">
        <f t="shared" si="189"/>
        <v>0.048080584305445</v>
      </c>
      <c r="BL374" s="132">
        <f t="shared" si="190"/>
        <v>0.140414312617702</v>
      </c>
      <c r="BM374" s="132">
        <f t="shared" si="191"/>
        <v>0.151254752851711</v>
      </c>
      <c r="FV374" s="104">
        <f t="shared" si="209"/>
        <v>2012</v>
      </c>
      <c r="FW374" s="104">
        <f t="shared" si="210"/>
        <v>7</v>
      </c>
      <c r="FX374" s="35">
        <v>40953</v>
      </c>
      <c r="FY374" s="26">
        <v>0.88</v>
      </c>
      <c r="FZ374" s="94">
        <f t="shared" si="211"/>
        <v>3.52</v>
      </c>
      <c r="GA374" s="104"/>
      <c r="GB374" s="104"/>
      <c r="GE374" s="94"/>
      <c r="GF374" s="104">
        <f t="shared" si="212"/>
        <v>2014</v>
      </c>
      <c r="GG374" s="104">
        <f t="shared" si="213"/>
        <v>21</v>
      </c>
      <c r="GH374" s="35">
        <v>41782</v>
      </c>
      <c r="GI374" s="26">
        <v>4.186</v>
      </c>
      <c r="GJ374" s="94">
        <f t="shared" si="214"/>
        <v>8.372</v>
      </c>
      <c r="GK374" s="104"/>
      <c r="GL374" s="104"/>
      <c r="GO374" s="94"/>
    </row>
    <row r="375" spans="3:197">
      <c r="C375" s="80" t="str" cm="1">
        <f t="array" ref="C375">_xlfn.IFS(MONTH(D375)&lt;4,1,MONTH(D375)&lt;7,2,MONTH(D375)&lt;10,3,MONTH(D375)&gt;9,4)&amp;"Q"&amp;RIGHT(YEAR(D375),2)</f>
        <v>3Q17</v>
      </c>
      <c r="D375" s="81">
        <f t="shared" si="198"/>
        <v>42947</v>
      </c>
      <c r="E375" s="82">
        <f t="shared" si="196"/>
        <v>42934</v>
      </c>
      <c r="F375" s="83">
        <f t="shared" si="197"/>
        <v>0.8855</v>
      </c>
      <c r="G375" s="83">
        <f t="shared" si="197"/>
        <v>0.85125</v>
      </c>
      <c r="H375" s="81"/>
      <c r="I375" s="146">
        <v>42934</v>
      </c>
      <c r="J375" s="147">
        <v>7.5</v>
      </c>
      <c r="K375" s="147">
        <v>6.75</v>
      </c>
      <c r="L375" s="147">
        <v>7.084</v>
      </c>
      <c r="M375" s="94" cm="1">
        <f t="array" ref="M375">INDEX($BV$29:$BV$1449,MATCH($D375,$BR$29:$BR$1449,0),)</f>
        <v>6.81</v>
      </c>
      <c r="N375" s="150">
        <f t="shared" si="181"/>
        <v>0.0052504611891584</v>
      </c>
      <c r="O375" s="150">
        <f t="shared" si="182"/>
        <v>0.042531272994849</v>
      </c>
      <c r="P375" s="150">
        <f t="shared" si="180"/>
        <v>0.0800426894343649</v>
      </c>
      <c r="Q375" s="89">
        <f t="shared" si="183"/>
        <v>0.0402349486049927</v>
      </c>
      <c r="AH375" s="105">
        <f t="shared" si="184"/>
        <v>45208</v>
      </c>
      <c r="AI375" s="91">
        <f t="shared" si="185"/>
        <v>1.47</v>
      </c>
      <c r="AJ375" s="57">
        <f t="shared" si="215"/>
        <v>0.0103092783505154</v>
      </c>
      <c r="AK375" s="36">
        <f t="shared" si="201"/>
        <v>0.0208333333333333</v>
      </c>
      <c r="AL375" s="105">
        <f t="shared" si="193"/>
        <v>45208</v>
      </c>
      <c r="AM375" s="91">
        <f t="shared" si="192"/>
        <v>4.16</v>
      </c>
      <c r="AN375" s="57">
        <f t="shared" si="216"/>
        <v>0.00897404802328405</v>
      </c>
      <c r="AO375" s="36">
        <f t="shared" si="195"/>
        <v>0.00726392251815988</v>
      </c>
      <c r="AP375" s="36"/>
      <c r="AQ375" s="128" t="str" cm="1">
        <f t="array" ref="AQ375">_xlfn.IFS(MONTH(AR375)&lt;4,1,MONTH(AR375)&lt;7,2,MONTH(AR375)&lt;10,3,MONTH(AR375)&gt;9,4)&amp;"Q"&amp;RIGHT(YEAR(AR375),2)</f>
        <v>4Q25</v>
      </c>
      <c r="AR375" s="128">
        <f t="shared" si="200"/>
        <v>45961</v>
      </c>
      <c r="AS375" s="129">
        <f t="shared" si="208"/>
        <v>45936</v>
      </c>
      <c r="AT375" s="135">
        <v>300</v>
      </c>
      <c r="AU375" s="134" cm="1">
        <f t="array" ref="AU375">INDEX($CE$29:$CE$1449,MATCH($AR375,$CA$29:$CA$1449,0),)</f>
        <v>175</v>
      </c>
      <c r="AV375" s="135">
        <v>590</v>
      </c>
      <c r="AW375" s="134" cm="1">
        <f t="array" ref="AW375">INDEX($CF$29:$CF$1449,MATCH($AR375,$CA$29:$CA$1449,0),)</f>
        <v>300</v>
      </c>
      <c r="AX375" s="135">
        <v>180</v>
      </c>
      <c r="AY375" s="134" cm="1">
        <f t="array" ref="AY375">INDEX($CO$29:$CO$1449,MATCH($AR375,$CA$29:$CA$1449,0),)</f>
        <v>180</v>
      </c>
      <c r="AZ375" s="135">
        <v>322.78</v>
      </c>
      <c r="BA375" s="134" cm="1">
        <f t="array" ref="BA375">INDEX($CP$29:$CP$1449,MATCH($AR375,$CA$29:$CA$1449,0),)</f>
        <v>338</v>
      </c>
      <c r="BB375" s="133">
        <f t="shared" si="202"/>
        <v>-0.0163934426229508</v>
      </c>
      <c r="BC375" s="132">
        <f t="shared" si="204"/>
        <v>0</v>
      </c>
      <c r="BD375" s="132">
        <f t="shared" si="206"/>
        <v>0.0526315789473684</v>
      </c>
      <c r="BE375" s="133">
        <f t="shared" si="203"/>
        <v>-0.00505902192242835</v>
      </c>
      <c r="BF375" s="132">
        <f t="shared" si="205"/>
        <v>-0.0033783783783784</v>
      </c>
      <c r="BG375" s="132">
        <f t="shared" si="207"/>
        <v>-0.0166666666666667</v>
      </c>
      <c r="BH375" s="133">
        <f t="shared" si="186"/>
        <v>0.0650887573964498</v>
      </c>
      <c r="BI375" s="132">
        <f t="shared" si="187"/>
        <v>0.107692307692308</v>
      </c>
      <c r="BJ375" s="132">
        <f t="shared" si="188"/>
        <v>0.19205298013245</v>
      </c>
      <c r="BK375" s="133">
        <f t="shared" si="189"/>
        <v>0.0660545610674417</v>
      </c>
      <c r="BL375" s="132">
        <f t="shared" si="190"/>
        <v>0.117311087265049</v>
      </c>
      <c r="BM375" s="132">
        <f t="shared" si="191"/>
        <v>0.215743879472693</v>
      </c>
      <c r="FV375" s="104">
        <f t="shared" si="209"/>
        <v>2012</v>
      </c>
      <c r="FW375" s="104">
        <f t="shared" si="210"/>
        <v>7</v>
      </c>
      <c r="FX375" s="35">
        <v>40954</v>
      </c>
      <c r="FY375" s="26">
        <v>0.88</v>
      </c>
      <c r="FZ375" s="94">
        <f t="shared" si="211"/>
        <v>3.52</v>
      </c>
      <c r="GA375" s="104"/>
      <c r="GB375" s="104"/>
      <c r="GE375" s="94"/>
      <c r="GF375" s="104">
        <f t="shared" si="212"/>
        <v>2014</v>
      </c>
      <c r="GG375" s="104">
        <f t="shared" si="213"/>
        <v>22</v>
      </c>
      <c r="GH375" s="35">
        <v>41785</v>
      </c>
      <c r="GI375" s="26">
        <v>4.184</v>
      </c>
      <c r="GJ375" s="94">
        <f t="shared" si="214"/>
        <v>8.368</v>
      </c>
      <c r="GK375" s="104"/>
      <c r="GL375" s="104"/>
      <c r="GO375" s="94"/>
    </row>
    <row r="376" spans="3:197">
      <c r="C376" s="80" t="str" cm="1">
        <f t="array" ref="C376">_xlfn.IFS(MONTH(D376)&lt;4,1,MONTH(D376)&lt;7,2,MONTH(D376)&lt;10,3,MONTH(D376)&gt;9,4)&amp;"Q"&amp;RIGHT(YEAR(D376),2)</f>
        <v>3Q17</v>
      </c>
      <c r="D376" s="81">
        <f t="shared" si="198"/>
        <v>42947</v>
      </c>
      <c r="E376" s="82">
        <f t="shared" si="196"/>
        <v>42935</v>
      </c>
      <c r="F376" s="83">
        <f t="shared" si="197"/>
        <v>0.888875</v>
      </c>
      <c r="G376" s="83">
        <f t="shared" si="197"/>
        <v>0.85125</v>
      </c>
      <c r="H376" s="81"/>
      <c r="I376" s="146">
        <v>42935</v>
      </c>
      <c r="J376" s="147">
        <v>7.55</v>
      </c>
      <c r="K376" s="147">
        <v>6.8</v>
      </c>
      <c r="L376" s="147">
        <v>7.111</v>
      </c>
      <c r="M376" s="94" cm="1">
        <f t="array" ref="M376">INDEX($BV$29:$BV$1449,MATCH($D376,$BR$29:$BR$1449,0),)</f>
        <v>6.81</v>
      </c>
      <c r="N376" s="150">
        <f t="shared" si="181"/>
        <v>0.00381140598531915</v>
      </c>
      <c r="O376" s="150">
        <f t="shared" si="182"/>
        <v>0.046504782928624</v>
      </c>
      <c r="P376" s="150">
        <f t="shared" si="180"/>
        <v>0.0509902453443689</v>
      </c>
      <c r="Q376" s="89">
        <f t="shared" si="183"/>
        <v>0.0441997063142439</v>
      </c>
      <c r="AH376" s="105">
        <f t="shared" si="184"/>
        <v>45215</v>
      </c>
      <c r="AI376" s="91">
        <f t="shared" si="185"/>
        <v>1.505</v>
      </c>
      <c r="AJ376" s="57">
        <f t="shared" si="215"/>
        <v>0.0238095238095237</v>
      </c>
      <c r="AK376" s="36">
        <f t="shared" si="201"/>
        <v>0.0343642611683848</v>
      </c>
      <c r="AL376" s="105">
        <f t="shared" si="193"/>
        <v>45215</v>
      </c>
      <c r="AM376" s="91">
        <f t="shared" si="192"/>
        <v>4.16</v>
      </c>
      <c r="AN376" s="57">
        <f t="shared" si="216"/>
        <v>0</v>
      </c>
      <c r="AO376" s="36">
        <f t="shared" si="195"/>
        <v>0.00897404802328405</v>
      </c>
      <c r="AP376" s="36"/>
      <c r="AQ376" s="128" t="str" cm="1">
        <f t="array" ref="AQ376">_xlfn.IFS(MONTH(AR376)&lt;4,1,MONTH(AR376)&lt;7,2,MONTH(AR376)&lt;10,3,MONTH(AR376)&gt;9,4)&amp;"Q"&amp;RIGHT(YEAR(AR376),2)</f>
        <v>4Q25</v>
      </c>
      <c r="AR376" s="128">
        <f t="shared" si="200"/>
        <v>45961</v>
      </c>
      <c r="AS376" s="129">
        <f t="shared" si="208"/>
        <v>45943</v>
      </c>
      <c r="AT376" s="135">
        <v>313</v>
      </c>
      <c r="AU376" s="134" cm="1">
        <f t="array" ref="AU376">INDEX($CE$29:$CE$1449,MATCH($AR376,$CA$29:$CA$1449,0),)</f>
        <v>175</v>
      </c>
      <c r="AV376" s="135">
        <v>550</v>
      </c>
      <c r="AW376" s="134" cm="1">
        <f t="array" ref="AW376">INDEX($CF$29:$CF$1449,MATCH($AR376,$CA$29:$CA$1449,0),)</f>
        <v>300</v>
      </c>
      <c r="AX376" s="135">
        <v>189</v>
      </c>
      <c r="AY376" s="134" cm="1">
        <f t="array" ref="AY376">INDEX($CO$29:$CO$1449,MATCH($AR376,$CA$29:$CA$1449,0),)</f>
        <v>180</v>
      </c>
      <c r="AZ376" s="135">
        <v>349.44</v>
      </c>
      <c r="BA376" s="134" cm="1">
        <f t="array" ref="BA376">INDEX($CP$29:$CP$1449,MATCH($AR376,$CA$29:$CA$1449,0),)</f>
        <v>338</v>
      </c>
      <c r="BB376" s="133">
        <f t="shared" si="202"/>
        <v>0.0433333333333332</v>
      </c>
      <c r="BC376" s="132">
        <f t="shared" si="204"/>
        <v>0.0262295081967212</v>
      </c>
      <c r="BD376" s="132">
        <f t="shared" si="206"/>
        <v>0.0433333333333332</v>
      </c>
      <c r="BE376" s="133">
        <f t="shared" si="203"/>
        <v>-0.0677966101694916</v>
      </c>
      <c r="BF376" s="132">
        <f t="shared" si="205"/>
        <v>-0.072512647554806</v>
      </c>
      <c r="BG376" s="132">
        <f t="shared" si="207"/>
        <v>-0.0709459459459459</v>
      </c>
      <c r="BH376" s="133">
        <f t="shared" si="186"/>
        <v>0.05</v>
      </c>
      <c r="BI376" s="132">
        <f t="shared" si="187"/>
        <v>0.118343195266272</v>
      </c>
      <c r="BJ376" s="132">
        <f t="shared" si="188"/>
        <v>0.163076923076923</v>
      </c>
      <c r="BK376" s="133">
        <f t="shared" si="189"/>
        <v>0.0825949563169961</v>
      </c>
      <c r="BL376" s="132">
        <f t="shared" si="190"/>
        <v>0.154105290970342</v>
      </c>
      <c r="BM376" s="132">
        <f t="shared" si="191"/>
        <v>0.209595347710201</v>
      </c>
      <c r="FV376" s="104">
        <f t="shared" si="209"/>
        <v>2012</v>
      </c>
      <c r="FW376" s="104">
        <f t="shared" si="210"/>
        <v>7</v>
      </c>
      <c r="FX376" s="35">
        <v>40955</v>
      </c>
      <c r="FY376" s="26">
        <v>0.89</v>
      </c>
      <c r="FZ376" s="94">
        <f t="shared" si="211"/>
        <v>3.56</v>
      </c>
      <c r="GA376" s="104"/>
      <c r="GB376" s="104"/>
      <c r="GE376" s="94"/>
      <c r="GF376" s="104">
        <f t="shared" si="212"/>
        <v>2014</v>
      </c>
      <c r="GG376" s="104">
        <f t="shared" si="213"/>
        <v>22</v>
      </c>
      <c r="GH376" s="35">
        <v>41786</v>
      </c>
      <c r="GI376" s="26">
        <v>4.187</v>
      </c>
      <c r="GJ376" s="94">
        <f t="shared" si="214"/>
        <v>8.374</v>
      </c>
      <c r="GK376" s="104"/>
      <c r="GL376" s="104"/>
      <c r="GO376" s="94"/>
    </row>
    <row r="377" spans="3:197">
      <c r="C377" s="80" t="str" cm="1">
        <f t="array" ref="C377">_xlfn.IFS(MONTH(D377)&lt;4,1,MONTH(D377)&lt;7,2,MONTH(D377)&lt;10,3,MONTH(D377)&gt;9,4)&amp;"Q"&amp;RIGHT(YEAR(D377),2)</f>
        <v>3Q17</v>
      </c>
      <c r="D377" s="81">
        <f t="shared" si="198"/>
        <v>42947</v>
      </c>
      <c r="E377" s="82">
        <f t="shared" si="196"/>
        <v>42936</v>
      </c>
      <c r="F377" s="83">
        <f t="shared" si="197"/>
        <v>0.9</v>
      </c>
      <c r="G377" s="83">
        <f t="shared" si="197"/>
        <v>0.85125</v>
      </c>
      <c r="H377" s="81"/>
      <c r="I377" s="146">
        <v>42936</v>
      </c>
      <c r="J377" s="147">
        <v>7.55</v>
      </c>
      <c r="K377" s="147">
        <v>6.8</v>
      </c>
      <c r="L377" s="147">
        <v>7.2</v>
      </c>
      <c r="M377" s="94" cm="1">
        <f t="array" ref="M377">INDEX($BV$29:$BV$1449,MATCH($D377,$BR$29:$BR$1449,0),)</f>
        <v>6.81</v>
      </c>
      <c r="N377" s="150">
        <f t="shared" si="181"/>
        <v>0.0125158205596962</v>
      </c>
      <c r="O377" s="150">
        <f t="shared" si="182"/>
        <v>0.0367170626349891</v>
      </c>
      <c r="P377" s="150">
        <f t="shared" si="180"/>
        <v>0.0635155096011817</v>
      </c>
      <c r="Q377" s="89">
        <f t="shared" si="183"/>
        <v>0.0572687224669604</v>
      </c>
      <c r="AH377" s="105">
        <f t="shared" si="184"/>
        <v>45222</v>
      </c>
      <c r="AI377" s="91">
        <f t="shared" si="185"/>
        <v>1.51</v>
      </c>
      <c r="AJ377" s="57">
        <f t="shared" si="215"/>
        <v>0.00332225913621276</v>
      </c>
      <c r="AK377" s="36">
        <f t="shared" si="201"/>
        <v>0.0272108843537415</v>
      </c>
      <c r="AL377" s="105">
        <f t="shared" si="193"/>
        <v>45222</v>
      </c>
      <c r="AM377" s="91">
        <f t="shared" si="192"/>
        <v>4.14</v>
      </c>
      <c r="AN377" s="57">
        <f t="shared" si="216"/>
        <v>-0.0048076923076924</v>
      </c>
      <c r="AO377" s="36">
        <f t="shared" si="195"/>
        <v>-0.0048076923076924</v>
      </c>
      <c r="AP377" s="36"/>
      <c r="AQ377" s="128" t="str" cm="1">
        <f t="array" ref="AQ377">_xlfn.IFS(MONTH(AR377)&lt;4,1,MONTH(AR377)&lt;7,2,MONTH(AR377)&lt;10,3,MONTH(AR377)&gt;9,4)&amp;"Q"&amp;RIGHT(YEAR(AR377),2)</f>
        <v>4Q25</v>
      </c>
      <c r="AR377" s="128">
        <f t="shared" si="200"/>
        <v>45961</v>
      </c>
      <c r="AS377" s="129">
        <f t="shared" si="208"/>
        <v>45950</v>
      </c>
      <c r="AT377" s="135">
        <v>350</v>
      </c>
      <c r="AU377" s="134" cm="1">
        <f t="array" ref="AU377">INDEX($CE$29:$CE$1449,MATCH($AR377,$CA$29:$CA$1449,0),)</f>
        <v>175</v>
      </c>
      <c r="AV377" s="135">
        <v>550</v>
      </c>
      <c r="AW377" s="134" cm="1">
        <f t="array" ref="AW377">INDEX($CF$29:$CF$1449,MATCH($AR377,$CA$29:$CA$1449,0),)</f>
        <v>300</v>
      </c>
      <c r="AX377" s="135">
        <v>211.5</v>
      </c>
      <c r="AY377" s="134" cm="1">
        <f t="array" ref="AY377">INDEX($CO$29:$CO$1449,MATCH($AR377,$CA$29:$CA$1449,0),)</f>
        <v>180</v>
      </c>
      <c r="AZ377" s="135">
        <v>389.11</v>
      </c>
      <c r="BA377" s="134" cm="1">
        <f t="array" ref="BA377">INDEX($CP$29:$CP$1449,MATCH($AR377,$CA$29:$CA$1449,0),)</f>
        <v>338</v>
      </c>
      <c r="BB377" s="133">
        <f t="shared" si="202"/>
        <v>0.118210862619808</v>
      </c>
      <c r="BC377" s="132">
        <f t="shared" si="204"/>
        <v>0.166666666666667</v>
      </c>
      <c r="BD377" s="132">
        <f t="shared" si="206"/>
        <v>0.147540983606557</v>
      </c>
      <c r="BE377" s="133">
        <f t="shared" si="203"/>
        <v>0</v>
      </c>
      <c r="BF377" s="132">
        <f t="shared" si="205"/>
        <v>-0.0677966101694916</v>
      </c>
      <c r="BG377" s="132">
        <f t="shared" si="207"/>
        <v>-0.072512647554806</v>
      </c>
      <c r="BH377" s="133">
        <f t="shared" si="186"/>
        <v>0.119047619047619</v>
      </c>
      <c r="BI377" s="132">
        <f t="shared" si="187"/>
        <v>0.175</v>
      </c>
      <c r="BJ377" s="132">
        <f t="shared" si="188"/>
        <v>0.251479289940828</v>
      </c>
      <c r="BK377" s="133">
        <f t="shared" si="189"/>
        <v>0.113524496336996</v>
      </c>
      <c r="BL377" s="132">
        <f t="shared" si="190"/>
        <v>0.205496003469856</v>
      </c>
      <c r="BM377" s="132">
        <f t="shared" si="191"/>
        <v>0.285124512847612</v>
      </c>
      <c r="FV377" s="104">
        <f t="shared" si="209"/>
        <v>2012</v>
      </c>
      <c r="FW377" s="104">
        <f t="shared" si="210"/>
        <v>7</v>
      </c>
      <c r="FX377" s="35">
        <v>40956</v>
      </c>
      <c r="FY377" s="26">
        <v>0.89</v>
      </c>
      <c r="FZ377" s="94">
        <f t="shared" si="211"/>
        <v>3.56</v>
      </c>
      <c r="GA377" s="104"/>
      <c r="GB377" s="104"/>
      <c r="GE377" s="94"/>
      <c r="GF377" s="104">
        <f t="shared" si="212"/>
        <v>2014</v>
      </c>
      <c r="GG377" s="104">
        <f t="shared" si="213"/>
        <v>22</v>
      </c>
      <c r="GH377" s="35">
        <v>41787</v>
      </c>
      <c r="GI377" s="26">
        <v>4.188</v>
      </c>
      <c r="GJ377" s="94">
        <f t="shared" si="214"/>
        <v>8.376</v>
      </c>
      <c r="GK377" s="104"/>
      <c r="GL377" s="104"/>
      <c r="GO377" s="94"/>
    </row>
    <row r="378" spans="3:197">
      <c r="C378" s="80" t="str" cm="1">
        <f t="array" ref="C378">_xlfn.IFS(MONTH(D378)&lt;4,1,MONTH(D378)&lt;7,2,MONTH(D378)&lt;10,3,MONTH(D378)&gt;9,4)&amp;"Q"&amp;RIGHT(YEAR(D378),2)</f>
        <v>3Q17</v>
      </c>
      <c r="D378" s="81">
        <f t="shared" si="198"/>
        <v>42947</v>
      </c>
      <c r="E378" s="82">
        <f t="shared" si="196"/>
        <v>42937</v>
      </c>
      <c r="F378" s="83">
        <f t="shared" si="197"/>
        <v>0.9025</v>
      </c>
      <c r="G378" s="83">
        <f t="shared" si="197"/>
        <v>0.85125</v>
      </c>
      <c r="H378" s="81"/>
      <c r="I378" s="146">
        <v>42937</v>
      </c>
      <c r="J378" s="147">
        <v>7.55</v>
      </c>
      <c r="K378" s="147">
        <v>6.85</v>
      </c>
      <c r="L378" s="147">
        <v>7.22</v>
      </c>
      <c r="M378" s="94" cm="1">
        <f t="array" ref="M378">INDEX($BV$29:$BV$1449,MATCH($D378,$BR$29:$BR$1449,0),)</f>
        <v>6.81</v>
      </c>
      <c r="N378" s="150">
        <f t="shared" si="181"/>
        <v>0.00277777777777777</v>
      </c>
      <c r="O378" s="150">
        <f t="shared" si="182"/>
        <v>0.0302511415525113</v>
      </c>
      <c r="P378" s="150">
        <f t="shared" si="180"/>
        <v>0.0636417206835591</v>
      </c>
      <c r="Q378" s="89">
        <f t="shared" si="183"/>
        <v>0.0602055800293686</v>
      </c>
      <c r="AH378" s="105">
        <f t="shared" si="184"/>
        <v>45229</v>
      </c>
      <c r="AI378" s="91">
        <f t="shared" si="185"/>
        <v>1.542</v>
      </c>
      <c r="AJ378" s="57">
        <f t="shared" si="215"/>
        <v>0.0211920529801324</v>
      </c>
      <c r="AK378" s="36">
        <f t="shared" si="201"/>
        <v>0.0245847176079734</v>
      </c>
      <c r="AL378" s="105">
        <f t="shared" si="193"/>
        <v>45229</v>
      </c>
      <c r="AM378" s="91">
        <f t="shared" si="192"/>
        <v>4.143</v>
      </c>
      <c r="AN378" s="57">
        <f t="shared" si="216"/>
        <v>0.000724637681159379</v>
      </c>
      <c r="AO378" s="36">
        <f t="shared" si="195"/>
        <v>-0.0040865384615385</v>
      </c>
      <c r="AP378" s="36"/>
      <c r="AQ378" s="128" t="str" cm="1">
        <f t="array" ref="AQ378">_xlfn.IFS(MONTH(AR378)&lt;4,1,MONTH(AR378)&lt;7,2,MONTH(AR378)&lt;10,3,MONTH(AR378)&gt;9,4)&amp;"Q"&amp;RIGHT(YEAR(AR378),2)</f>
        <v>4Q25</v>
      </c>
      <c r="AR378" s="128">
        <f t="shared" si="200"/>
        <v>45961</v>
      </c>
      <c r="AS378" s="129">
        <f t="shared" si="208"/>
        <v>45957</v>
      </c>
      <c r="AT378" s="135">
        <v>390</v>
      </c>
      <c r="AU378" s="134" cm="1">
        <f t="array" ref="AU378">INDEX($CE$29:$CE$1449,MATCH($AR378,$CA$29:$CA$1449,0),)</f>
        <v>175</v>
      </c>
      <c r="AV378" s="135">
        <v>570</v>
      </c>
      <c r="AW378" s="134" cm="1">
        <f t="array" ref="AW378">INDEX($CF$29:$CF$1449,MATCH($AR378,$CA$29:$CA$1449,0),)</f>
        <v>300</v>
      </c>
      <c r="AX378" s="135">
        <v>230</v>
      </c>
      <c r="AY378" s="134" cm="1">
        <f t="array" ref="AY378">INDEX($CO$29:$CO$1449,MATCH($AR378,$CA$29:$CA$1449,0),)</f>
        <v>180</v>
      </c>
      <c r="AZ378" s="135">
        <v>431.11</v>
      </c>
      <c r="BA378" s="134" cm="1">
        <f t="array" ref="BA378">INDEX($CP$29:$CP$1449,MATCH($AR378,$CA$29:$CA$1449,0),)</f>
        <v>338</v>
      </c>
      <c r="BB378" s="133">
        <f t="shared" si="202"/>
        <v>0.114285714285714</v>
      </c>
      <c r="BC378" s="132">
        <f t="shared" si="204"/>
        <v>0.246006389776358</v>
      </c>
      <c r="BD378" s="132">
        <f t="shared" si="206"/>
        <v>0.3</v>
      </c>
      <c r="BE378" s="133">
        <f t="shared" si="203"/>
        <v>0.0363636363636364</v>
      </c>
      <c r="BF378" s="132">
        <f t="shared" si="205"/>
        <v>0.0363636363636364</v>
      </c>
      <c r="BG378" s="132">
        <f t="shared" si="207"/>
        <v>-0.0338983050847458</v>
      </c>
      <c r="BH378" s="133">
        <f t="shared" si="186"/>
        <v>0.0874704491725768</v>
      </c>
      <c r="BI378" s="132">
        <f t="shared" si="187"/>
        <v>0.216931216931217</v>
      </c>
      <c r="BJ378" s="132">
        <f t="shared" si="188"/>
        <v>0.277777777777778</v>
      </c>
      <c r="BK378" s="133">
        <f t="shared" si="189"/>
        <v>0.107938629179409</v>
      </c>
      <c r="BL378" s="132">
        <f t="shared" si="190"/>
        <v>0.233716804029304</v>
      </c>
      <c r="BM378" s="132">
        <f t="shared" si="191"/>
        <v>0.335615589565649</v>
      </c>
      <c r="FV378" s="104">
        <f t="shared" si="209"/>
        <v>2012</v>
      </c>
      <c r="FW378" s="104">
        <f t="shared" si="210"/>
        <v>8</v>
      </c>
      <c r="FX378" s="35">
        <v>40959</v>
      </c>
      <c r="FY378" s="26">
        <v>0.9</v>
      </c>
      <c r="FZ378" s="94">
        <f t="shared" si="211"/>
        <v>3.6</v>
      </c>
      <c r="GA378" s="104"/>
      <c r="GB378" s="104"/>
      <c r="GE378" s="94"/>
      <c r="GF378" s="104">
        <f t="shared" si="212"/>
        <v>2014</v>
      </c>
      <c r="GG378" s="104">
        <f t="shared" si="213"/>
        <v>22</v>
      </c>
      <c r="GH378" s="35">
        <v>41788</v>
      </c>
      <c r="GI378" s="26">
        <v>4.195</v>
      </c>
      <c r="GJ378" s="94">
        <f t="shared" si="214"/>
        <v>8.39</v>
      </c>
      <c r="GK378" s="104"/>
      <c r="GL378" s="104"/>
      <c r="GO378" s="94"/>
    </row>
    <row r="379" spans="3:197">
      <c r="C379" s="80" t="str" cm="1">
        <f t="array" ref="C379">_xlfn.IFS(MONTH(D379)&lt;4,1,MONTH(D379)&lt;7,2,MONTH(D379)&lt;10,3,MONTH(D379)&gt;9,4)&amp;"Q"&amp;RIGHT(YEAR(D379),2)</f>
        <v>3Q17</v>
      </c>
      <c r="D379" s="81">
        <f t="shared" si="198"/>
        <v>42947</v>
      </c>
      <c r="E379" s="82">
        <f t="shared" si="196"/>
        <v>42940</v>
      </c>
      <c r="F379" s="83">
        <f t="shared" si="197"/>
        <v>0.9025</v>
      </c>
      <c r="G379" s="83">
        <f t="shared" si="197"/>
        <v>0.85125</v>
      </c>
      <c r="H379" s="81"/>
      <c r="I379" s="146">
        <v>42940</v>
      </c>
      <c r="J379" s="147">
        <v>7.55</v>
      </c>
      <c r="K379" s="147">
        <v>6.9</v>
      </c>
      <c r="L379" s="147">
        <v>7.22</v>
      </c>
      <c r="M379" s="94" cm="1">
        <f t="array" ref="M379">INDEX($BV$29:$BV$1449,MATCH($D379,$BR$29:$BR$1449,0),)</f>
        <v>6.81</v>
      </c>
      <c r="N379" s="150">
        <f t="shared" si="181"/>
        <v>0</v>
      </c>
      <c r="O379" s="150">
        <f t="shared" si="182"/>
        <v>0.0245494536682276</v>
      </c>
      <c r="P379" s="150">
        <f t="shared" si="180"/>
        <v>0.0625459896983076</v>
      </c>
      <c r="Q379" s="89">
        <f t="shared" si="183"/>
        <v>0.0602055800293686</v>
      </c>
      <c r="AH379" s="105">
        <f t="shared" si="184"/>
        <v>45236</v>
      </c>
      <c r="AI379" s="91">
        <f t="shared" si="185"/>
        <v>1.547</v>
      </c>
      <c r="AJ379" s="57">
        <f t="shared" si="215"/>
        <v>0.00324254215304798</v>
      </c>
      <c r="AK379" s="36">
        <f t="shared" si="201"/>
        <v>0.0245033112582782</v>
      </c>
      <c r="AL379" s="105">
        <f t="shared" si="193"/>
        <v>45236</v>
      </c>
      <c r="AM379" s="91">
        <f t="shared" si="192"/>
        <v>4.133</v>
      </c>
      <c r="AN379" s="57">
        <f t="shared" si="216"/>
        <v>-0.00241370987207334</v>
      </c>
      <c r="AO379" s="36">
        <f t="shared" si="195"/>
        <v>-0.00169082125603859</v>
      </c>
      <c r="AP379" s="36"/>
      <c r="AQ379" s="128" t="str" cm="1">
        <f t="array" ref="AQ379">_xlfn.IFS(MONTH(AR379)&lt;4,1,MONTH(AR379)&lt;7,2,MONTH(AR379)&lt;10,3,MONTH(AR379)&gt;9,4)&amp;"Q"&amp;RIGHT(YEAR(AR379),2)</f>
        <v>4Q25</v>
      </c>
      <c r="AR379" s="128">
        <f t="shared" si="200"/>
        <v>45991</v>
      </c>
      <c r="AS379" s="129">
        <f t="shared" si="208"/>
        <v>45964</v>
      </c>
      <c r="AT379" s="135">
        <v>420</v>
      </c>
      <c r="AU379" s="134" cm="1">
        <f t="array" ref="AU379">INDEX($CE$29:$CE$1449,MATCH($AR379,$CA$29:$CA$1449,0),)</f>
        <v>219</v>
      </c>
      <c r="AV379" s="135">
        <v>580</v>
      </c>
      <c r="AW379" s="134" cm="1">
        <f t="array" ref="AW379">INDEX($CF$29:$CF$1449,MATCH($AR379,$CA$29:$CA$1449,0),)</f>
        <v>374</v>
      </c>
      <c r="AX379" s="135">
        <v>255</v>
      </c>
      <c r="AY379" s="134" cm="1">
        <f t="array" ref="AY379">INDEX($CO$29:$CO$1449,MATCH($AR379,$CA$29:$CA$1449,0),)</f>
        <v>225</v>
      </c>
      <c r="AZ379" s="135">
        <v>476.67</v>
      </c>
      <c r="BA379" s="134" cm="1">
        <f t="array" ref="BA379">INDEX($CP$29:$CP$1449,MATCH($AR379,$CA$29:$CA$1449,0),)</f>
        <v>425</v>
      </c>
      <c r="BB379" s="133">
        <f t="shared" si="202"/>
        <v>0.0769230769230769</v>
      </c>
      <c r="BC379" s="132">
        <f t="shared" si="204"/>
        <v>0.2</v>
      </c>
      <c r="BD379" s="132">
        <f t="shared" si="206"/>
        <v>0.34185303514377</v>
      </c>
      <c r="BE379" s="133">
        <f t="shared" si="203"/>
        <v>0.0175438596491229</v>
      </c>
      <c r="BF379" s="132">
        <f t="shared" si="205"/>
        <v>0.0545454545454545</v>
      </c>
      <c r="BG379" s="132">
        <f t="shared" si="207"/>
        <v>0.0545454545454545</v>
      </c>
      <c r="BH379" s="133">
        <f t="shared" si="186"/>
        <v>0.108695652173913</v>
      </c>
      <c r="BI379" s="132">
        <f t="shared" si="187"/>
        <v>0.205673758865248</v>
      </c>
      <c r="BJ379" s="132">
        <f t="shared" si="188"/>
        <v>0.349206349206349</v>
      </c>
      <c r="BK379" s="133">
        <f t="shared" si="189"/>
        <v>0.105680684744033</v>
      </c>
      <c r="BL379" s="132">
        <f t="shared" si="190"/>
        <v>0.225026342165455</v>
      </c>
      <c r="BM379" s="132">
        <f t="shared" si="191"/>
        <v>0.364096840659341</v>
      </c>
      <c r="FV379" s="104">
        <f t="shared" si="209"/>
        <v>2012</v>
      </c>
      <c r="FW379" s="104">
        <f t="shared" si="210"/>
        <v>8</v>
      </c>
      <c r="FX379" s="35">
        <v>40960</v>
      </c>
      <c r="FY379" s="26">
        <v>0.9</v>
      </c>
      <c r="FZ379" s="94">
        <f t="shared" si="211"/>
        <v>3.6</v>
      </c>
      <c r="GA379" s="104"/>
      <c r="GB379" s="104"/>
      <c r="GE379" s="94"/>
      <c r="GF379" s="104">
        <f t="shared" si="212"/>
        <v>2014</v>
      </c>
      <c r="GG379" s="104">
        <f t="shared" si="213"/>
        <v>22</v>
      </c>
      <c r="GH379" s="35">
        <v>41789</v>
      </c>
      <c r="GI379" s="26">
        <v>4.189</v>
      </c>
      <c r="GJ379" s="94">
        <f t="shared" si="214"/>
        <v>8.378</v>
      </c>
      <c r="GK379" s="104"/>
      <c r="GL379" s="104"/>
      <c r="GO379" s="94"/>
    </row>
    <row r="380" spans="3:197">
      <c r="C380" s="80" t="str" cm="1">
        <f t="array" ref="C380">_xlfn.IFS(MONTH(D380)&lt;4,1,MONTH(D380)&lt;7,2,MONTH(D380)&lt;10,3,MONTH(D380)&gt;9,4)&amp;"Q"&amp;RIGHT(YEAR(D380),2)</f>
        <v>3Q17</v>
      </c>
      <c r="D380" s="81">
        <f t="shared" si="198"/>
        <v>42947</v>
      </c>
      <c r="E380" s="82">
        <f t="shared" si="196"/>
        <v>42941</v>
      </c>
      <c r="F380" s="83">
        <f t="shared" si="197"/>
        <v>0.9025</v>
      </c>
      <c r="G380" s="83">
        <f t="shared" si="197"/>
        <v>0.85125</v>
      </c>
      <c r="H380" s="81"/>
      <c r="I380" s="146">
        <v>42941</v>
      </c>
      <c r="J380" s="147">
        <v>7.55</v>
      </c>
      <c r="K380" s="147">
        <v>6.9</v>
      </c>
      <c r="L380" s="147">
        <v>7.22</v>
      </c>
      <c r="M380" s="94" cm="1">
        <f t="array" ref="M380">INDEX($BV$29:$BV$1449,MATCH($D380,$BR$29:$BR$1449,0),)</f>
        <v>6.81</v>
      </c>
      <c r="N380" s="150">
        <f t="shared" si="181"/>
        <v>0</v>
      </c>
      <c r="O380" s="150">
        <f t="shared" si="182"/>
        <v>0.0191981931112366</v>
      </c>
      <c r="P380" s="150">
        <f t="shared" si="180"/>
        <v>0.0625459896983076</v>
      </c>
      <c r="Q380" s="89">
        <f t="shared" si="183"/>
        <v>0.0602055800293686</v>
      </c>
      <c r="AH380" s="105">
        <f t="shared" si="184"/>
        <v>45243</v>
      </c>
      <c r="AI380" s="91">
        <f t="shared" si="185"/>
        <v>1.557</v>
      </c>
      <c r="AJ380" s="57">
        <f t="shared" si="215"/>
        <v>0.00646412411118291</v>
      </c>
      <c r="AK380" s="36">
        <f t="shared" si="201"/>
        <v>0.00972762645914393</v>
      </c>
      <c r="AL380" s="105">
        <f t="shared" si="193"/>
        <v>45243</v>
      </c>
      <c r="AM380" s="91">
        <f t="shared" si="192"/>
        <v>4.117</v>
      </c>
      <c r="AN380" s="57">
        <f t="shared" si="216"/>
        <v>-0.00387127994193082</v>
      </c>
      <c r="AO380" s="36">
        <f t="shared" si="195"/>
        <v>-0.00627564566739069</v>
      </c>
      <c r="AP380" s="36"/>
      <c r="AQ380" s="128" t="str" cm="1">
        <f t="array" ref="AQ380">_xlfn.IFS(MONTH(AR380)&lt;4,1,MONTH(AR380)&lt;7,2,MONTH(AR380)&lt;10,3,MONTH(AR380)&gt;9,4)&amp;"Q"&amp;RIGHT(YEAR(AR380),2)</f>
        <v>4Q25</v>
      </c>
      <c r="AR380" s="128">
        <f t="shared" si="200"/>
        <v>45991</v>
      </c>
      <c r="AS380" s="129">
        <f t="shared" si="208"/>
        <v>45971</v>
      </c>
      <c r="AT380" s="135">
        <v>450</v>
      </c>
      <c r="AU380" s="134" cm="1">
        <f t="array" ref="AU380">INDEX($CE$29:$CE$1449,MATCH($AR380,$CA$29:$CA$1449,0),)</f>
        <v>219</v>
      </c>
      <c r="AV380" s="135">
        <v>620</v>
      </c>
      <c r="AW380" s="134" cm="1">
        <f t="array" ref="AW380">INDEX($CF$29:$CF$1449,MATCH($AR380,$CA$29:$CA$1449,0),)</f>
        <v>374</v>
      </c>
      <c r="AX380" s="135">
        <v>290</v>
      </c>
      <c r="AY380" s="134" cm="1">
        <f t="array" ref="AY380">INDEX($CO$29:$CO$1449,MATCH($AR380,$CA$29:$CA$1449,0),)</f>
        <v>225</v>
      </c>
      <c r="AZ380" s="135">
        <v>512.22</v>
      </c>
      <c r="BA380" s="134" cm="1">
        <f t="array" ref="BA380">INDEX($CP$29:$CP$1449,MATCH($AR380,$CA$29:$CA$1449,0),)</f>
        <v>425</v>
      </c>
      <c r="BB380" s="133">
        <f t="shared" si="202"/>
        <v>0.0714285714285714</v>
      </c>
      <c r="BC380" s="132">
        <f t="shared" si="204"/>
        <v>0.153846153846154</v>
      </c>
      <c r="BD380" s="132">
        <f t="shared" si="206"/>
        <v>0.285714285714286</v>
      </c>
      <c r="BE380" s="133">
        <f t="shared" si="203"/>
        <v>0.0689655172413792</v>
      </c>
      <c r="BF380" s="132">
        <f t="shared" si="205"/>
        <v>0.0877192982456141</v>
      </c>
      <c r="BG380" s="132">
        <f t="shared" si="207"/>
        <v>0.127272727272727</v>
      </c>
      <c r="BH380" s="133">
        <f t="shared" si="186"/>
        <v>0.137254901960784</v>
      </c>
      <c r="BI380" s="132">
        <f t="shared" si="187"/>
        <v>0.260869565217391</v>
      </c>
      <c r="BJ380" s="132">
        <f t="shared" si="188"/>
        <v>0.371158392434988</v>
      </c>
      <c r="BK380" s="133">
        <f t="shared" si="189"/>
        <v>0.0745798980426711</v>
      </c>
      <c r="BL380" s="132">
        <f t="shared" si="190"/>
        <v>0.188142237479993</v>
      </c>
      <c r="BM380" s="132">
        <f t="shared" si="191"/>
        <v>0.31638868186374</v>
      </c>
      <c r="FV380" s="104">
        <f t="shared" si="209"/>
        <v>2012</v>
      </c>
      <c r="FW380" s="104">
        <f t="shared" si="210"/>
        <v>8</v>
      </c>
      <c r="FX380" s="35">
        <v>40961</v>
      </c>
      <c r="FY380" s="26">
        <v>0.91</v>
      </c>
      <c r="FZ380" s="94">
        <f t="shared" si="211"/>
        <v>3.64</v>
      </c>
      <c r="GA380" s="104"/>
      <c r="GB380" s="104"/>
      <c r="GE380" s="94"/>
      <c r="GF380" s="104">
        <f t="shared" si="212"/>
        <v>2014</v>
      </c>
      <c r="GG380" s="104">
        <f t="shared" si="213"/>
        <v>23</v>
      </c>
      <c r="GH380" s="35">
        <v>41793</v>
      </c>
      <c r="GI380" s="26">
        <v>4.195</v>
      </c>
      <c r="GJ380" s="94">
        <f t="shared" si="214"/>
        <v>8.39</v>
      </c>
      <c r="GK380" s="104"/>
      <c r="GL380" s="104"/>
      <c r="GO380" s="94"/>
    </row>
    <row r="381" spans="3:197">
      <c r="C381" s="80" t="str" cm="1">
        <f t="array" ref="C381">_xlfn.IFS(MONTH(D381)&lt;4,1,MONTH(D381)&lt;7,2,MONTH(D381)&lt;10,3,MONTH(D381)&gt;9,4)&amp;"Q"&amp;RIGHT(YEAR(D381),2)</f>
        <v>3Q17</v>
      </c>
      <c r="D381" s="81">
        <f t="shared" si="198"/>
        <v>42947</v>
      </c>
      <c r="E381" s="82">
        <f t="shared" si="196"/>
        <v>42942</v>
      </c>
      <c r="F381" s="83">
        <f t="shared" si="197"/>
        <v>0.90625</v>
      </c>
      <c r="G381" s="83">
        <f t="shared" si="197"/>
        <v>0.85125</v>
      </c>
      <c r="H381" s="81"/>
      <c r="I381" s="146">
        <v>42942</v>
      </c>
      <c r="J381" s="147">
        <v>7.55</v>
      </c>
      <c r="K381" s="147">
        <v>6.9</v>
      </c>
      <c r="L381" s="147">
        <v>7.25</v>
      </c>
      <c r="M381" s="94" cm="1">
        <f t="array" ref="M381">INDEX($BV$29:$BV$1449,MATCH($D381,$BR$29:$BR$1449,0),)</f>
        <v>6.81</v>
      </c>
      <c r="N381" s="150">
        <f t="shared" si="181"/>
        <v>0.00415512465373968</v>
      </c>
      <c r="O381" s="150">
        <f t="shared" si="182"/>
        <v>0.0195471804246943</v>
      </c>
      <c r="P381" s="150">
        <f t="shared" si="180"/>
        <v>0.0669610007358352</v>
      </c>
      <c r="Q381" s="89">
        <f t="shared" si="183"/>
        <v>0.064610866372981</v>
      </c>
      <c r="AH381" s="105">
        <f t="shared" si="184"/>
        <v>45250</v>
      </c>
      <c r="AI381" s="91">
        <f t="shared" si="185"/>
        <v>1.553</v>
      </c>
      <c r="AJ381" s="57">
        <f t="shared" si="215"/>
        <v>-0.00256904303147076</v>
      </c>
      <c r="AK381" s="36">
        <f t="shared" si="201"/>
        <v>0.00387847446670975</v>
      </c>
      <c r="AL381" s="105">
        <f t="shared" si="193"/>
        <v>45250</v>
      </c>
      <c r="AM381" s="91">
        <f t="shared" si="192"/>
        <v>4.153</v>
      </c>
      <c r="AN381" s="57">
        <f t="shared" si="216"/>
        <v>0.00874423123633705</v>
      </c>
      <c r="AO381" s="36">
        <f t="shared" si="195"/>
        <v>0.00483909992741349</v>
      </c>
      <c r="AP381" s="36"/>
      <c r="AQ381" s="128" t="str" cm="1">
        <f t="array" ref="AQ381">_xlfn.IFS(MONTH(AR381)&lt;4,1,MONTH(AR381)&lt;7,2,MONTH(AR381)&lt;10,3,MONTH(AR381)&gt;9,4)&amp;"Q"&amp;RIGHT(YEAR(AR381),2)</f>
        <v>4Q25</v>
      </c>
      <c r="AR381" s="128">
        <f t="shared" si="200"/>
        <v>45991</v>
      </c>
      <c r="AS381" s="129">
        <f t="shared" si="208"/>
        <v>45978</v>
      </c>
      <c r="AT381" s="135">
        <v>480</v>
      </c>
      <c r="AU381" s="134" cm="1">
        <f t="array" ref="AU381">INDEX($CE$29:$CE$1449,MATCH($AR381,$CA$29:$CA$1449,0),)</f>
        <v>219</v>
      </c>
      <c r="AV381" s="135">
        <v>650</v>
      </c>
      <c r="AW381" s="134" cm="1">
        <f t="array" ref="AW381">INDEX($CF$29:$CF$1449,MATCH($AR381,$CA$29:$CA$1449,0),)</f>
        <v>374</v>
      </c>
      <c r="AX381" s="135">
        <v>380</v>
      </c>
      <c r="AY381" s="134" cm="1">
        <f t="array" ref="AY381">INDEX($CO$29:$CO$1449,MATCH($AR381,$CA$29:$CA$1449,0),)</f>
        <v>225</v>
      </c>
      <c r="AZ381" s="135">
        <v>661.67</v>
      </c>
      <c r="BA381" s="134" cm="1">
        <f t="array" ref="BA381">INDEX($CP$29:$CP$1449,MATCH($AR381,$CA$29:$CA$1449,0),)</f>
        <v>425</v>
      </c>
      <c r="BB381" s="133">
        <f t="shared" si="202"/>
        <v>0.0666666666666667</v>
      </c>
      <c r="BC381" s="132">
        <f t="shared" si="204"/>
        <v>0.142857142857143</v>
      </c>
      <c r="BD381" s="132">
        <f t="shared" si="206"/>
        <v>0.230769230769231</v>
      </c>
      <c r="BE381" s="133">
        <f t="shared" si="203"/>
        <v>0.0483870967741935</v>
      </c>
      <c r="BF381" s="132">
        <f t="shared" si="205"/>
        <v>0.120689655172414</v>
      </c>
      <c r="BG381" s="132">
        <f t="shared" si="207"/>
        <v>0.140350877192982</v>
      </c>
      <c r="BH381" s="133">
        <f t="shared" si="186"/>
        <v>0.310344827586207</v>
      </c>
      <c r="BI381" s="132">
        <f t="shared" si="187"/>
        <v>0.490196078431373</v>
      </c>
      <c r="BJ381" s="132">
        <f t="shared" si="188"/>
        <v>0.652173913043478</v>
      </c>
      <c r="BK381" s="133">
        <f t="shared" si="189"/>
        <v>0.291769161688337</v>
      </c>
      <c r="BL381" s="132">
        <f t="shared" si="190"/>
        <v>0.38810917406172</v>
      </c>
      <c r="BM381" s="132">
        <f t="shared" si="191"/>
        <v>0.534805502076036</v>
      </c>
      <c r="FV381" s="104">
        <f t="shared" si="209"/>
        <v>2012</v>
      </c>
      <c r="FW381" s="104">
        <f t="shared" si="210"/>
        <v>8</v>
      </c>
      <c r="FX381" s="35">
        <v>40962</v>
      </c>
      <c r="FY381" s="26">
        <v>0.9</v>
      </c>
      <c r="FZ381" s="94">
        <f t="shared" si="211"/>
        <v>3.6</v>
      </c>
      <c r="GA381" s="104"/>
      <c r="GB381" s="104"/>
      <c r="GE381" s="94"/>
      <c r="GF381" s="104">
        <f t="shared" si="212"/>
        <v>2014</v>
      </c>
      <c r="GG381" s="104">
        <f t="shared" si="213"/>
        <v>23</v>
      </c>
      <c r="GH381" s="35">
        <v>41794</v>
      </c>
      <c r="GI381" s="26">
        <v>4.195</v>
      </c>
      <c r="GJ381" s="94">
        <f t="shared" si="214"/>
        <v>8.39</v>
      </c>
      <c r="GK381" s="104"/>
      <c r="GL381" s="104"/>
      <c r="GO381" s="94"/>
    </row>
    <row r="382" spans="3:197">
      <c r="C382" s="80" t="str" cm="1">
        <f t="array" ref="C382">_xlfn.IFS(MONTH(D382)&lt;4,1,MONTH(D382)&lt;7,2,MONTH(D382)&lt;10,3,MONTH(D382)&gt;9,4)&amp;"Q"&amp;RIGHT(YEAR(D382),2)</f>
        <v>3Q17</v>
      </c>
      <c r="D382" s="81">
        <f t="shared" si="198"/>
        <v>42947</v>
      </c>
      <c r="E382" s="82">
        <f t="shared" si="196"/>
        <v>42943</v>
      </c>
      <c r="F382" s="83">
        <f t="shared" si="197"/>
        <v>0.90625</v>
      </c>
      <c r="G382" s="83">
        <f t="shared" si="197"/>
        <v>0.85125</v>
      </c>
      <c r="H382" s="81"/>
      <c r="I382" s="146">
        <v>42943</v>
      </c>
      <c r="J382" s="147">
        <v>7.55</v>
      </c>
      <c r="K382" s="147">
        <v>6.9</v>
      </c>
      <c r="L382" s="147">
        <v>7.25</v>
      </c>
      <c r="M382" s="94" cm="1">
        <f t="array" ref="M382">INDEX($BV$29:$BV$1449,MATCH($D382,$BR$29:$BR$1449,0),)</f>
        <v>6.81</v>
      </c>
      <c r="N382" s="150">
        <f t="shared" si="181"/>
        <v>0</v>
      </c>
      <c r="O382" s="150">
        <f t="shared" si="182"/>
        <v>0.00694444444444442</v>
      </c>
      <c r="P382" s="150">
        <f t="shared" si="180"/>
        <v>0.0439164866810655</v>
      </c>
      <c r="Q382" s="89">
        <f t="shared" si="183"/>
        <v>0.064610866372981</v>
      </c>
      <c r="AH382" s="105">
        <f t="shared" si="184"/>
        <v>45257</v>
      </c>
      <c r="AI382" s="91">
        <f t="shared" si="185"/>
        <v>1.559</v>
      </c>
      <c r="AJ382" s="57">
        <f t="shared" si="215"/>
        <v>0.00386349001931752</v>
      </c>
      <c r="AK382" s="36">
        <f t="shared" si="201"/>
        <v>0.00128452151573533</v>
      </c>
      <c r="AL382" s="105">
        <f t="shared" si="193"/>
        <v>45257</v>
      </c>
      <c r="AM382" s="91">
        <f t="shared" si="192"/>
        <v>4.197</v>
      </c>
      <c r="AN382" s="57">
        <f t="shared" si="216"/>
        <v>0.010594750782567</v>
      </c>
      <c r="AO382" s="36">
        <f t="shared" si="195"/>
        <v>0.019431624969638</v>
      </c>
      <c r="AP382" s="36"/>
      <c r="AQ382" s="128" t="str" cm="1">
        <f t="array" ref="AQ382">_xlfn.IFS(MONTH(AR382)&lt;4,1,MONTH(AR382)&lt;7,2,MONTH(AR382)&lt;10,3,MONTH(AR382)&gt;9,4)&amp;"Q"&amp;RIGHT(YEAR(AR382),2)</f>
        <v>4Q25</v>
      </c>
      <c r="AR382" s="128">
        <f t="shared" si="200"/>
        <v>45991</v>
      </c>
      <c r="AS382" s="129">
        <f t="shared" si="208"/>
        <v>45985</v>
      </c>
      <c r="AT382" s="135">
        <v>495</v>
      </c>
      <c r="AU382" s="134" cm="1">
        <f t="array" ref="AU382">INDEX($CE$29:$CE$1449,MATCH($AR382,$CA$29:$CA$1449,0),)</f>
        <v>219</v>
      </c>
      <c r="AV382" s="135">
        <v>670</v>
      </c>
      <c r="AW382" s="134" cm="1">
        <f t="array" ref="AW382">INDEX($CF$29:$CF$1449,MATCH($AR382,$CA$29:$CA$1449,0),)</f>
        <v>374</v>
      </c>
      <c r="AX382" s="135">
        <v>395</v>
      </c>
      <c r="AY382" s="134" cm="1">
        <f t="array" ref="AY382">INDEX($CO$29:$CO$1449,MATCH($AR382,$CA$29:$CA$1449,0),)</f>
        <v>225</v>
      </c>
      <c r="AZ382" s="135">
        <v>760</v>
      </c>
      <c r="BA382" s="134" cm="1">
        <f t="array" ref="BA382">INDEX($CP$29:$CP$1449,MATCH($AR382,$CA$29:$CA$1449,0),)</f>
        <v>425</v>
      </c>
      <c r="BB382" s="133">
        <f t="shared" si="202"/>
        <v>0.03125</v>
      </c>
      <c r="BC382" s="132">
        <f t="shared" si="204"/>
        <v>0.1</v>
      </c>
      <c r="BD382" s="132">
        <f t="shared" si="206"/>
        <v>0.178571428571429</v>
      </c>
      <c r="BE382" s="133">
        <f t="shared" si="203"/>
        <v>0.0307692307692307</v>
      </c>
      <c r="BF382" s="132">
        <f t="shared" si="205"/>
        <v>0.0806451612903225</v>
      </c>
      <c r="BG382" s="132">
        <f t="shared" si="207"/>
        <v>0.155172413793103</v>
      </c>
      <c r="BH382" s="133">
        <f t="shared" si="186"/>
        <v>0.0394736842105263</v>
      </c>
      <c r="BI382" s="132">
        <f t="shared" si="187"/>
        <v>0.362068965517241</v>
      </c>
      <c r="BJ382" s="132">
        <f t="shared" si="188"/>
        <v>0.549019607843137</v>
      </c>
      <c r="BK382" s="133">
        <f t="shared" si="189"/>
        <v>0.148608823129355</v>
      </c>
      <c r="BL382" s="132">
        <f t="shared" si="190"/>
        <v>0.483737456561634</v>
      </c>
      <c r="BM382" s="132">
        <f t="shared" si="191"/>
        <v>0.594394444794092</v>
      </c>
      <c r="FV382" s="104">
        <f t="shared" si="209"/>
        <v>2012</v>
      </c>
      <c r="FW382" s="104">
        <f t="shared" si="210"/>
        <v>8</v>
      </c>
      <c r="FX382" s="35">
        <v>40963</v>
      </c>
      <c r="FY382" s="26">
        <v>0.9</v>
      </c>
      <c r="FZ382" s="94">
        <f t="shared" si="211"/>
        <v>3.6</v>
      </c>
      <c r="GA382" s="104"/>
      <c r="GB382" s="104"/>
      <c r="GE382" s="94"/>
      <c r="GF382" s="104">
        <f t="shared" si="212"/>
        <v>2014</v>
      </c>
      <c r="GG382" s="104">
        <f t="shared" si="213"/>
        <v>23</v>
      </c>
      <c r="GH382" s="35">
        <v>41795</v>
      </c>
      <c r="GI382" s="26">
        <v>4.165</v>
      </c>
      <c r="GJ382" s="94">
        <f t="shared" si="214"/>
        <v>8.33</v>
      </c>
      <c r="GK382" s="104"/>
      <c r="GL382" s="104"/>
      <c r="GO382" s="94"/>
    </row>
    <row r="383" spans="3:197">
      <c r="C383" s="80" t="str" cm="1">
        <f t="array" ref="C383">_xlfn.IFS(MONTH(D383)&lt;4,1,MONTH(D383)&lt;7,2,MONTH(D383)&lt;10,3,MONTH(D383)&gt;9,4)&amp;"Q"&amp;RIGHT(YEAR(D383),2)</f>
        <v>3Q17</v>
      </c>
      <c r="D383" s="81">
        <f t="shared" si="198"/>
        <v>42947</v>
      </c>
      <c r="E383" s="82">
        <f t="shared" si="196"/>
        <v>42944</v>
      </c>
      <c r="F383" s="83">
        <f t="shared" si="197"/>
        <v>0.917</v>
      </c>
      <c r="G383" s="83">
        <f t="shared" si="197"/>
        <v>0.85125</v>
      </c>
      <c r="H383" s="81"/>
      <c r="I383" s="146">
        <v>42944</v>
      </c>
      <c r="J383" s="147">
        <v>7.55</v>
      </c>
      <c r="K383" s="147">
        <v>6.95</v>
      </c>
      <c r="L383" s="147">
        <v>7.336</v>
      </c>
      <c r="M383" s="94" cm="1">
        <f t="array" ref="M383">INDEX($BV$29:$BV$1449,MATCH($D383,$BR$29:$BR$1449,0),)</f>
        <v>6.81</v>
      </c>
      <c r="N383" s="150">
        <f t="shared" si="181"/>
        <v>0.0118620689655173</v>
      </c>
      <c r="O383" s="150">
        <f t="shared" si="182"/>
        <v>0.0160664819944598</v>
      </c>
      <c r="P383" s="150">
        <f t="shared" si="180"/>
        <v>0.0468036529680367</v>
      </c>
      <c r="Q383" s="89">
        <f t="shared" si="183"/>
        <v>0.0772393538913363</v>
      </c>
      <c r="AH383" s="105">
        <f t="shared" si="184"/>
        <v>45264</v>
      </c>
      <c r="AI383" s="91">
        <f t="shared" si="185"/>
        <v>1.585</v>
      </c>
      <c r="AJ383" s="57">
        <f t="shared" si="215"/>
        <v>0.0166773572803078</v>
      </c>
      <c r="AK383" s="36">
        <f t="shared" si="201"/>
        <v>0.0206052801030263</v>
      </c>
      <c r="AL383" s="105">
        <f t="shared" si="193"/>
        <v>45264</v>
      </c>
      <c r="AM383" s="91">
        <f t="shared" si="192"/>
        <v>4.22</v>
      </c>
      <c r="AN383" s="57">
        <f t="shared" si="216"/>
        <v>0.00548010483678807</v>
      </c>
      <c r="AO383" s="36">
        <f t="shared" si="195"/>
        <v>0.0161329159643631</v>
      </c>
      <c r="AP383" s="36"/>
      <c r="AQ383" s="128" t="str" cm="1">
        <f t="array" ref="AQ383">_xlfn.IFS(MONTH(AR383)&lt;4,1,MONTH(AR383)&lt;7,2,MONTH(AR383)&lt;10,3,MONTH(AR383)&gt;9,4)&amp;"Q"&amp;RIGHT(YEAR(AR383),2)</f>
        <v>4Q25</v>
      </c>
      <c r="AR383" s="128">
        <f t="shared" si="200"/>
        <v>46022</v>
      </c>
      <c r="AS383" s="129">
        <f t="shared" si="208"/>
        <v>45992</v>
      </c>
      <c r="AT383" s="135">
        <v>505</v>
      </c>
      <c r="AU383" s="134" cm="1">
        <f t="array" ref="AU383">INDEX($CE$29:$CE$1449,MATCH($AR383,$CA$29:$CA$1449,0),)</f>
        <v>263</v>
      </c>
      <c r="AV383" s="135">
        <v>680</v>
      </c>
      <c r="AW383" s="134" cm="1">
        <f t="array" ref="AW383">INDEX($CF$29:$CF$1449,MATCH($AR383,$CA$29:$CA$1449,0),)</f>
        <v>448</v>
      </c>
      <c r="AX383" s="135">
        <v>404</v>
      </c>
      <c r="AY383" s="134" cm="1">
        <f t="array" ref="AY383">INDEX($CO$29:$CO$1449,MATCH($AR383,$CA$29:$CA$1449,0),)</f>
        <v>270</v>
      </c>
      <c r="AZ383" s="135">
        <v>783.56</v>
      </c>
      <c r="BA383" s="134" cm="1">
        <f t="array" ref="BA383">INDEX($CP$29:$CP$1449,MATCH($AR383,$CA$29:$CA$1449,0),)</f>
        <v>512</v>
      </c>
      <c r="BB383" s="133">
        <f t="shared" si="202"/>
        <v>0.0202020202020201</v>
      </c>
      <c r="BC383" s="132">
        <f t="shared" si="204"/>
        <v>0.0520833333333333</v>
      </c>
      <c r="BD383" s="132">
        <f t="shared" si="206"/>
        <v>0.122222222222222</v>
      </c>
      <c r="BE383" s="133">
        <f t="shared" si="203"/>
        <v>0.0149253731343284</v>
      </c>
      <c r="BF383" s="132">
        <f t="shared" si="205"/>
        <v>0.0461538461538462</v>
      </c>
      <c r="BG383" s="132">
        <f t="shared" si="207"/>
        <v>0.096774193548387</v>
      </c>
      <c r="BH383" s="133">
        <f t="shared" si="186"/>
        <v>0.0227848101265822</v>
      </c>
      <c r="BI383" s="132">
        <f t="shared" si="187"/>
        <v>0.0631578947368421</v>
      </c>
      <c r="BJ383" s="132">
        <f t="shared" si="188"/>
        <v>0.393103448275862</v>
      </c>
      <c r="BK383" s="133">
        <f t="shared" si="189"/>
        <v>0.0309999999999999</v>
      </c>
      <c r="BL383" s="132">
        <f t="shared" si="190"/>
        <v>0.184215696646364</v>
      </c>
      <c r="BM383" s="132">
        <f t="shared" si="191"/>
        <v>0.529733317715044</v>
      </c>
      <c r="FV383" s="104">
        <f t="shared" si="209"/>
        <v>2012</v>
      </c>
      <c r="FW383" s="104">
        <f t="shared" si="210"/>
        <v>9</v>
      </c>
      <c r="FX383" s="35">
        <v>40966</v>
      </c>
      <c r="FY383" s="26">
        <v>0.9</v>
      </c>
      <c r="FZ383" s="94">
        <f t="shared" si="211"/>
        <v>3.6</v>
      </c>
      <c r="GA383" s="104"/>
      <c r="GB383" s="104"/>
      <c r="GE383" s="94"/>
      <c r="GF383" s="104">
        <f t="shared" si="212"/>
        <v>2014</v>
      </c>
      <c r="GG383" s="104">
        <f t="shared" si="213"/>
        <v>23</v>
      </c>
      <c r="GH383" s="35">
        <v>41796</v>
      </c>
      <c r="GI383" s="26">
        <v>4.164</v>
      </c>
      <c r="GJ383" s="94">
        <f t="shared" si="214"/>
        <v>8.328</v>
      </c>
      <c r="GK383" s="104"/>
      <c r="GL383" s="104"/>
      <c r="GO383" s="94"/>
    </row>
    <row r="384" spans="3:197">
      <c r="C384" s="80" t="str" cm="1">
        <f t="array" ref="C384">_xlfn.IFS(MONTH(D384)&lt;4,1,MONTH(D384)&lt;7,2,MONTH(D384)&lt;10,3,MONTH(D384)&gt;9,4)&amp;"Q"&amp;RIGHT(YEAR(D384),2)</f>
        <v>3Q17</v>
      </c>
      <c r="D384" s="81">
        <f t="shared" si="198"/>
        <v>42947</v>
      </c>
      <c r="E384" s="82">
        <f t="shared" si="196"/>
        <v>42947</v>
      </c>
      <c r="F384" s="83">
        <f t="shared" si="197"/>
        <v>0.917</v>
      </c>
      <c r="G384" s="83">
        <f t="shared" si="197"/>
        <v>0.85125</v>
      </c>
      <c r="H384" s="81"/>
      <c r="I384" s="146">
        <v>42947</v>
      </c>
      <c r="J384" s="147">
        <v>7.55</v>
      </c>
      <c r="K384" s="147">
        <v>6.95</v>
      </c>
      <c r="L384" s="147">
        <v>7.336</v>
      </c>
      <c r="M384" s="94" cm="1">
        <f t="array" ref="M384">INDEX($BV$29:$BV$1449,MATCH($D384,$BR$29:$BR$1449,0),)</f>
        <v>6.81</v>
      </c>
      <c r="N384" s="150">
        <f t="shared" si="181"/>
        <v>0</v>
      </c>
      <c r="O384" s="150">
        <f t="shared" si="182"/>
        <v>0.0160664819944598</v>
      </c>
      <c r="P384" s="150">
        <f t="shared" ref="P384:P447" si="217">L384/L374-1</f>
        <v>0.041010359018022</v>
      </c>
      <c r="Q384" s="89">
        <f t="shared" si="183"/>
        <v>0.0772393538913363</v>
      </c>
      <c r="AH384" s="105">
        <f t="shared" si="184"/>
        <v>45271</v>
      </c>
      <c r="AI384" s="91">
        <f t="shared" si="185"/>
        <v>1.609</v>
      </c>
      <c r="AJ384" s="57">
        <f t="shared" si="215"/>
        <v>0.0151419558359622</v>
      </c>
      <c r="AK384" s="36">
        <f t="shared" si="201"/>
        <v>0.0320718409236691</v>
      </c>
      <c r="AL384" s="105">
        <f t="shared" si="193"/>
        <v>45271</v>
      </c>
      <c r="AM384" s="91">
        <f t="shared" si="192"/>
        <v>4.236</v>
      </c>
      <c r="AN384" s="57">
        <f t="shared" si="216"/>
        <v>0.00379146919431284</v>
      </c>
      <c r="AO384" s="36">
        <f t="shared" si="195"/>
        <v>0.00929235167977116</v>
      </c>
      <c r="AP384" s="36"/>
      <c r="AQ384" s="128" t="str" cm="1">
        <f t="array" ref="AQ384">_xlfn.IFS(MONTH(AR384)&lt;4,1,MONTH(AR384)&lt;7,2,MONTH(AR384)&lt;10,3,MONTH(AR384)&gt;9,4)&amp;"Q"&amp;RIGHT(YEAR(AR384),2)</f>
        <v>4Q25</v>
      </c>
      <c r="AR384" s="128">
        <f t="shared" si="200"/>
        <v>46022</v>
      </c>
      <c r="AS384" s="129">
        <f t="shared" si="208"/>
        <v>45999</v>
      </c>
      <c r="AT384" s="135">
        <v>525</v>
      </c>
      <c r="AU384" s="134" cm="1">
        <f t="array" ref="AU384">INDEX($CE$29:$CE$1449,MATCH($AR384,$CA$29:$CA$1449,0),)</f>
        <v>263</v>
      </c>
      <c r="AV384" s="135">
        <v>720</v>
      </c>
      <c r="AW384" s="134" cm="1">
        <f t="array" ref="AW384">INDEX($CF$29:$CF$1449,MATCH($AR384,$CA$29:$CA$1449,0),)</f>
        <v>448</v>
      </c>
      <c r="AX384" s="135">
        <v>410</v>
      </c>
      <c r="AY384" s="134" cm="1">
        <f t="array" ref="AY384">INDEX($CO$29:$CO$1449,MATCH($AR384,$CA$29:$CA$1449,0),)</f>
        <v>270</v>
      </c>
      <c r="AZ384" s="135">
        <v>794.44</v>
      </c>
      <c r="BA384" s="134" cm="1">
        <f t="array" ref="BA384">INDEX($CP$29:$CP$1449,MATCH($AR384,$CA$29:$CA$1449,0),)</f>
        <v>512</v>
      </c>
      <c r="BB384" s="133">
        <f t="shared" si="202"/>
        <v>0.0396039603960396</v>
      </c>
      <c r="BC384" s="132">
        <f t="shared" si="204"/>
        <v>0.0606060606060606</v>
      </c>
      <c r="BD384" s="132">
        <f t="shared" si="206"/>
        <v>0.09375</v>
      </c>
      <c r="BE384" s="133">
        <f t="shared" si="203"/>
        <v>0.0588235294117647</v>
      </c>
      <c r="BF384" s="132">
        <f t="shared" si="205"/>
        <v>0.0746268656716418</v>
      </c>
      <c r="BG384" s="132">
        <f t="shared" si="207"/>
        <v>0.107692307692308</v>
      </c>
      <c r="BH384" s="133">
        <f t="shared" si="186"/>
        <v>0.0148514851485149</v>
      </c>
      <c r="BI384" s="132">
        <f t="shared" si="187"/>
        <v>0.0379746835443038</v>
      </c>
      <c r="BJ384" s="132">
        <f t="shared" si="188"/>
        <v>0.0789473684210527</v>
      </c>
      <c r="BK384" s="133">
        <f t="shared" si="189"/>
        <v>0.0138853438154067</v>
      </c>
      <c r="BL384" s="132">
        <f t="shared" si="190"/>
        <v>0.0453157894736842</v>
      </c>
      <c r="BM384" s="132">
        <f t="shared" si="191"/>
        <v>0.200658938745901</v>
      </c>
      <c r="FV384" s="104">
        <f t="shared" si="209"/>
        <v>2012</v>
      </c>
      <c r="FW384" s="104">
        <f t="shared" si="210"/>
        <v>9</v>
      </c>
      <c r="FX384" s="35">
        <v>40967</v>
      </c>
      <c r="FY384" s="26">
        <v>1.06</v>
      </c>
      <c r="FZ384" s="94">
        <f t="shared" si="211"/>
        <v>4.24</v>
      </c>
      <c r="GA384" s="104"/>
      <c r="GB384" s="104"/>
      <c r="GE384" s="94"/>
      <c r="GF384" s="104">
        <f t="shared" si="212"/>
        <v>2014</v>
      </c>
      <c r="GG384" s="104">
        <f t="shared" si="213"/>
        <v>24</v>
      </c>
      <c r="GH384" s="35">
        <v>41799</v>
      </c>
      <c r="GI384" s="26">
        <v>4.151</v>
      </c>
      <c r="GJ384" s="94">
        <f t="shared" si="214"/>
        <v>8.302</v>
      </c>
      <c r="GK384" s="104"/>
      <c r="GL384" s="104"/>
      <c r="GO384" s="94"/>
    </row>
    <row r="385" spans="3:197">
      <c r="C385" s="80" t="str" cm="1">
        <f t="array" ref="C385">_xlfn.IFS(MONTH(D385)&lt;4,1,MONTH(D385)&lt;7,2,MONTH(D385)&lt;10,3,MONTH(D385)&gt;9,4)&amp;"Q"&amp;RIGHT(YEAR(D385),2)</f>
        <v>3Q17</v>
      </c>
      <c r="D385" s="81">
        <f t="shared" si="198"/>
        <v>42978</v>
      </c>
      <c r="E385" s="82">
        <f t="shared" si="196"/>
        <v>42948</v>
      </c>
      <c r="F385" s="83">
        <f t="shared" si="197"/>
        <v>0.917</v>
      </c>
      <c r="G385" s="83">
        <f t="shared" si="197"/>
        <v>0.85125</v>
      </c>
      <c r="H385" s="81"/>
      <c r="I385" s="146">
        <v>42948</v>
      </c>
      <c r="J385" s="147">
        <v>7.55</v>
      </c>
      <c r="K385" s="147">
        <v>6.95</v>
      </c>
      <c r="L385" s="147">
        <v>7.336</v>
      </c>
      <c r="M385" s="94" cm="1">
        <f t="array" ref="M385">INDEX($BV$29:$BV$1449,MATCH($D385,$BR$29:$BR$1449,0),)</f>
        <v>6.81</v>
      </c>
      <c r="N385" s="150">
        <f t="shared" ref="N385:N448" si="218">L385/L384-1</f>
        <v>0</v>
      </c>
      <c r="O385" s="150">
        <f t="shared" ref="O385:O448" si="219">L385/L380-1</f>
        <v>0.0160664819944598</v>
      </c>
      <c r="P385" s="150">
        <f t="shared" si="217"/>
        <v>0.0355731225296443</v>
      </c>
      <c r="Q385" s="89">
        <f t="shared" ref="Q385:Q448" si="220">L385/M385-1</f>
        <v>0.0772393538913363</v>
      </c>
      <c r="AH385" s="105">
        <f t="shared" si="184"/>
        <v>45278</v>
      </c>
      <c r="AI385" s="91">
        <f t="shared" si="185"/>
        <v>1.603</v>
      </c>
      <c r="AJ385" s="57">
        <f t="shared" si="215"/>
        <v>-0.00372902423865751</v>
      </c>
      <c r="AK385" s="36">
        <f t="shared" si="201"/>
        <v>0.0113564668769717</v>
      </c>
      <c r="AL385" s="105">
        <f t="shared" si="193"/>
        <v>45278</v>
      </c>
      <c r="AM385" s="91">
        <f t="shared" si="192"/>
        <v>4.233</v>
      </c>
      <c r="AN385" s="57">
        <f t="shared" si="216"/>
        <v>-0.000708215297450465</v>
      </c>
      <c r="AO385" s="36">
        <f t="shared" si="195"/>
        <v>0.00308056872037921</v>
      </c>
      <c r="AP385" s="36"/>
      <c r="AQ385" s="128" t="str" cm="1">
        <f t="array" ref="AQ385">_xlfn.IFS(MONTH(AR385)&lt;4,1,MONTH(AR385)&lt;7,2,MONTH(AR385)&lt;10,3,MONTH(AR385)&gt;9,4)&amp;"Q"&amp;RIGHT(YEAR(AR385),2)</f>
        <v>4Q25</v>
      </c>
      <c r="AR385" s="128">
        <f t="shared" si="200"/>
        <v>46022</v>
      </c>
      <c r="AS385" s="129">
        <f t="shared" si="208"/>
        <v>46006</v>
      </c>
      <c r="AT385" s="135">
        <v>550</v>
      </c>
      <c r="AU385" s="134" cm="1">
        <f t="array" ref="AU385">INDEX($CE$29:$CE$1449,MATCH($AR385,$CA$29:$CA$1449,0),)</f>
        <v>263</v>
      </c>
      <c r="AV385" s="135">
        <v>740</v>
      </c>
      <c r="AW385" s="134" cm="1">
        <f t="array" ref="AW385">INDEX($CF$29:$CF$1449,MATCH($AR385,$CA$29:$CA$1449,0),)</f>
        <v>448</v>
      </c>
      <c r="AX385" s="135">
        <v>437.5</v>
      </c>
      <c r="AY385" s="134" cm="1">
        <f t="array" ref="AY385">INDEX($CO$29:$CO$1449,MATCH($AR385,$CA$29:$CA$1449,0),)</f>
        <v>270</v>
      </c>
      <c r="AZ385" s="135">
        <v>838.89</v>
      </c>
      <c r="BA385" s="134" cm="1">
        <f t="array" ref="BA385">INDEX($CP$29:$CP$1449,MATCH($AR385,$CA$29:$CA$1449,0),)</f>
        <v>512</v>
      </c>
      <c r="BB385" s="133">
        <f t="shared" si="202"/>
        <v>0.0476190476190477</v>
      </c>
      <c r="BC385" s="132">
        <f t="shared" si="204"/>
        <v>0.0891089108910892</v>
      </c>
      <c r="BD385" s="132">
        <f t="shared" si="206"/>
        <v>0.111111111111111</v>
      </c>
      <c r="BE385" s="133">
        <f t="shared" si="203"/>
        <v>0.0277777777777777</v>
      </c>
      <c r="BF385" s="132">
        <f t="shared" si="205"/>
        <v>0.088235294117647</v>
      </c>
      <c r="BG385" s="132">
        <f t="shared" si="207"/>
        <v>0.104477611940299</v>
      </c>
      <c r="BH385" s="133">
        <f t="shared" si="186"/>
        <v>0.0670731707317074</v>
      </c>
      <c r="BI385" s="132">
        <f t="shared" si="187"/>
        <v>0.0829207920792079</v>
      </c>
      <c r="BJ385" s="132">
        <f t="shared" si="188"/>
        <v>0.107594936708861</v>
      </c>
      <c r="BK385" s="133">
        <f t="shared" si="189"/>
        <v>0.0559513619656613</v>
      </c>
      <c r="BL385" s="132">
        <f t="shared" si="190"/>
        <v>0.0706136096789014</v>
      </c>
      <c r="BM385" s="132">
        <f t="shared" si="191"/>
        <v>0.103802631578947</v>
      </c>
      <c r="FV385" s="104">
        <f t="shared" si="209"/>
        <v>2012</v>
      </c>
      <c r="FW385" s="104">
        <f t="shared" si="210"/>
        <v>9</v>
      </c>
      <c r="FX385" s="35">
        <v>40968</v>
      </c>
      <c r="FY385" s="26">
        <v>1.06</v>
      </c>
      <c r="FZ385" s="94">
        <f t="shared" si="211"/>
        <v>4.24</v>
      </c>
      <c r="GA385" s="104"/>
      <c r="GB385" s="104"/>
      <c r="GE385" s="94"/>
      <c r="GF385" s="104">
        <f t="shared" si="212"/>
        <v>2014</v>
      </c>
      <c r="GG385" s="104">
        <f t="shared" si="213"/>
        <v>24</v>
      </c>
      <c r="GH385" s="35">
        <v>41800</v>
      </c>
      <c r="GI385" s="26">
        <v>4.148</v>
      </c>
      <c r="GJ385" s="94">
        <f t="shared" si="214"/>
        <v>8.296</v>
      </c>
      <c r="GK385" s="104"/>
      <c r="GL385" s="104"/>
      <c r="GO385" s="94"/>
    </row>
    <row r="386" spans="3:197">
      <c r="C386" s="80" t="str" cm="1">
        <f t="array" ref="C386">_xlfn.IFS(MONTH(D386)&lt;4,1,MONTH(D386)&lt;7,2,MONTH(D386)&lt;10,3,MONTH(D386)&gt;9,4)&amp;"Q"&amp;RIGHT(YEAR(D386),2)</f>
        <v>3Q17</v>
      </c>
      <c r="D386" s="81">
        <f t="shared" si="198"/>
        <v>42978</v>
      </c>
      <c r="E386" s="82">
        <f t="shared" si="196"/>
        <v>42949</v>
      </c>
      <c r="F386" s="83">
        <f t="shared" si="197"/>
        <v>0.915875</v>
      </c>
      <c r="G386" s="83">
        <f t="shared" si="197"/>
        <v>0.85125</v>
      </c>
      <c r="H386" s="81"/>
      <c r="I386" s="146">
        <v>42949</v>
      </c>
      <c r="J386" s="147">
        <v>7.55</v>
      </c>
      <c r="K386" s="147">
        <v>6.95</v>
      </c>
      <c r="L386" s="147">
        <v>7.327</v>
      </c>
      <c r="M386" s="94" cm="1">
        <f t="array" ref="M386">INDEX($BV$29:$BV$1449,MATCH($D386,$BR$29:$BR$1449,0),)</f>
        <v>6.81</v>
      </c>
      <c r="N386" s="150">
        <f t="shared" si="218"/>
        <v>-0.00122682660850604</v>
      </c>
      <c r="O386" s="150">
        <f t="shared" si="219"/>
        <v>0.0106206896551724</v>
      </c>
      <c r="P386" s="150">
        <f t="shared" si="217"/>
        <v>0.030375474616791</v>
      </c>
      <c r="Q386" s="89">
        <f t="shared" si="220"/>
        <v>0.0759177679882526</v>
      </c>
      <c r="AH386" s="105">
        <f t="shared" si="184"/>
        <v>45285</v>
      </c>
      <c r="AI386" s="91">
        <f t="shared" si="185"/>
        <v>1.61</v>
      </c>
      <c r="AJ386" s="57">
        <f t="shared" si="215"/>
        <v>0.00436681222707436</v>
      </c>
      <c r="AK386" s="36">
        <f t="shared" si="201"/>
        <v>0.000621504039776344</v>
      </c>
      <c r="AL386" s="105">
        <f t="shared" si="193"/>
        <v>45285</v>
      </c>
      <c r="AM386" s="91">
        <f t="shared" si="192"/>
        <v>4.229</v>
      </c>
      <c r="AN386" s="57">
        <f t="shared" si="216"/>
        <v>-0.000944956295771182</v>
      </c>
      <c r="AO386" s="36">
        <f t="shared" si="195"/>
        <v>-0.00165250236071757</v>
      </c>
      <c r="AP386" s="36"/>
      <c r="AQ386" s="128" t="str" cm="1">
        <f t="array" ref="AQ386">_xlfn.IFS(MONTH(AR386)&lt;4,1,MONTH(AR386)&lt;7,2,MONTH(AR386)&lt;10,3,MONTH(AR386)&gt;9,4)&amp;"Q"&amp;RIGHT(YEAR(AR386),2)</f>
        <v>4Q25</v>
      </c>
      <c r="AR386" s="128">
        <f t="shared" si="200"/>
        <v>46022</v>
      </c>
      <c r="AS386" s="129">
        <f t="shared" si="208"/>
        <v>46013</v>
      </c>
      <c r="AT386" s="135">
        <v>580</v>
      </c>
      <c r="AU386" s="134" cm="1">
        <f t="array" ref="AU386">INDEX($CE$29:$CE$1449,MATCH($AR386,$CA$29:$CA$1449,0),)</f>
        <v>263</v>
      </c>
      <c r="AV386" s="135">
        <v>760</v>
      </c>
      <c r="AW386" s="134" cm="1">
        <f t="array" ref="AW386">INDEX($CF$29:$CF$1449,MATCH($AR386,$CA$29:$CA$1449,0),)</f>
        <v>448</v>
      </c>
      <c r="AX386" s="135">
        <v>447.5</v>
      </c>
      <c r="AY386" s="134" cm="1">
        <f t="array" ref="AY386">INDEX($CO$29:$CO$1449,MATCH($AR386,$CA$29:$CA$1449,0),)</f>
        <v>270</v>
      </c>
      <c r="AZ386" s="135">
        <v>865</v>
      </c>
      <c r="BA386" s="134" cm="1">
        <f t="array" ref="BA386">INDEX($CP$29:$CP$1449,MATCH($AR386,$CA$29:$CA$1449,0),)</f>
        <v>512</v>
      </c>
      <c r="BB386" s="133">
        <f t="shared" si="202"/>
        <v>0.0545454545454545</v>
      </c>
      <c r="BC386" s="132">
        <f t="shared" si="204"/>
        <v>0.104761904761905</v>
      </c>
      <c r="BD386" s="132">
        <f t="shared" si="206"/>
        <v>0.148514851485148</v>
      </c>
      <c r="BE386" s="133">
        <f t="shared" si="203"/>
        <v>0.027027027027027</v>
      </c>
      <c r="BF386" s="132">
        <f t="shared" si="205"/>
        <v>0.0555555555555556</v>
      </c>
      <c r="BG386" s="132">
        <f t="shared" si="207"/>
        <v>0.117647058823529</v>
      </c>
      <c r="BH386" s="133">
        <f t="shared" si="186"/>
        <v>0.0228571428571429</v>
      </c>
      <c r="BI386" s="132">
        <f t="shared" si="187"/>
        <v>0.0914634146341464</v>
      </c>
      <c r="BJ386" s="132">
        <f t="shared" si="188"/>
        <v>0.107673267326733</v>
      </c>
      <c r="BK386" s="133">
        <f t="shared" si="189"/>
        <v>0.0311244620868052</v>
      </c>
      <c r="BL386" s="132">
        <f t="shared" si="190"/>
        <v>0.0888172800966718</v>
      </c>
      <c r="BM386" s="132">
        <f t="shared" si="191"/>
        <v>0.10393588238297</v>
      </c>
      <c r="FV386" s="104">
        <f t="shared" si="209"/>
        <v>2012</v>
      </c>
      <c r="FW386" s="104">
        <f t="shared" si="210"/>
        <v>9</v>
      </c>
      <c r="FX386" s="35">
        <v>40969</v>
      </c>
      <c r="FY386" s="26">
        <v>1.06</v>
      </c>
      <c r="FZ386" s="94">
        <f t="shared" si="211"/>
        <v>4.24</v>
      </c>
      <c r="GA386" s="104"/>
      <c r="GB386" s="104"/>
      <c r="GE386" s="94"/>
      <c r="GF386" s="104">
        <f t="shared" si="212"/>
        <v>2014</v>
      </c>
      <c r="GG386" s="104">
        <f t="shared" si="213"/>
        <v>24</v>
      </c>
      <c r="GH386" s="35">
        <v>41801</v>
      </c>
      <c r="GI386" s="26">
        <v>4.152</v>
      </c>
      <c r="GJ386" s="94">
        <f t="shared" si="214"/>
        <v>8.304</v>
      </c>
      <c r="GK386" s="104"/>
      <c r="GL386" s="104"/>
      <c r="GO386" s="94"/>
    </row>
    <row r="387" spans="3:197">
      <c r="C387" s="80" t="str" cm="1">
        <f t="array" ref="C387">_xlfn.IFS(MONTH(D387)&lt;4,1,MONTH(D387)&lt;7,2,MONTH(D387)&lt;10,3,MONTH(D387)&gt;9,4)&amp;"Q"&amp;RIGHT(YEAR(D387),2)</f>
        <v>3Q17</v>
      </c>
      <c r="D387" s="81">
        <f t="shared" si="198"/>
        <v>42978</v>
      </c>
      <c r="E387" s="82">
        <f t="shared" si="196"/>
        <v>42950</v>
      </c>
      <c r="F387" s="83">
        <f t="shared" si="197"/>
        <v>0.915875</v>
      </c>
      <c r="G387" s="83">
        <f t="shared" si="197"/>
        <v>0.85125</v>
      </c>
      <c r="H387" s="81"/>
      <c r="I387" s="146">
        <v>42950</v>
      </c>
      <c r="J387" s="147">
        <v>7.55</v>
      </c>
      <c r="K387" s="147">
        <v>6.95</v>
      </c>
      <c r="L387" s="147">
        <v>7.327</v>
      </c>
      <c r="M387" s="94" cm="1">
        <f t="array" ref="M387">INDEX($BV$29:$BV$1449,MATCH($D387,$BR$29:$BR$1449,0),)</f>
        <v>6.81</v>
      </c>
      <c r="N387" s="150">
        <f t="shared" si="218"/>
        <v>0</v>
      </c>
      <c r="O387" s="150">
        <f t="shared" si="219"/>
        <v>0.0106206896551724</v>
      </c>
      <c r="P387" s="150">
        <f t="shared" si="217"/>
        <v>0.0176388888888888</v>
      </c>
      <c r="Q387" s="89">
        <f t="shared" si="220"/>
        <v>0.0759177679882526</v>
      </c>
      <c r="AH387" s="105">
        <f t="shared" ref="AH387:AH409" si="221">AH386+7</f>
        <v>45292</v>
      </c>
      <c r="AI387" s="91">
        <f t="shared" ref="AI387:AI450" si="222">IFERROR(VLOOKUP(AH387,$I:$L,4,FALSE),VLOOKUP(AH387,$I:$L,4,TRUE))</f>
        <v>1.613</v>
      </c>
      <c r="AJ387" s="57">
        <f t="shared" si="215"/>
        <v>0.00186335403726701</v>
      </c>
      <c r="AK387" s="36">
        <f t="shared" si="201"/>
        <v>0.00623830318153473</v>
      </c>
      <c r="AL387" s="105">
        <f t="shared" ref="AL387:AL409" si="223">AL386+7</f>
        <v>45292</v>
      </c>
      <c r="AM387" s="91">
        <f t="shared" si="192"/>
        <v>4.247</v>
      </c>
      <c r="AN387" s="57">
        <f t="shared" si="216"/>
        <v>0.00425632537242837</v>
      </c>
      <c r="AO387" s="36">
        <f t="shared" si="195"/>
        <v>0.00330734703519964</v>
      </c>
      <c r="AP387" s="36"/>
      <c r="AQ387" s="128" t="str" cm="1">
        <f t="array" ref="AQ387">_xlfn.IFS(MONTH(AR387)&lt;4,1,MONTH(AR387)&lt;7,2,MONTH(AR387)&lt;10,3,MONTH(AR387)&gt;9,4)&amp;"Q"&amp;RIGHT(YEAR(AR387),2)</f>
        <v>4Q25</v>
      </c>
      <c r="AR387" s="128">
        <f t="shared" si="200"/>
        <v>46022</v>
      </c>
      <c r="AS387" s="129">
        <f t="shared" si="208"/>
        <v>46020</v>
      </c>
      <c r="AT387" s="135">
        <v>620</v>
      </c>
      <c r="AU387" s="134" cm="1">
        <f t="array" ref="AU387">INDEX($CE$29:$CE$1449,MATCH($AR387,$CA$29:$CA$1449,0),)</f>
        <v>263</v>
      </c>
      <c r="AV387" s="135">
        <v>800</v>
      </c>
      <c r="AW387" s="134" cm="1">
        <f t="array" ref="AW387">INDEX($CF$29:$CF$1449,MATCH($AR387,$CA$29:$CA$1449,0),)</f>
        <v>448</v>
      </c>
      <c r="AX387" s="135">
        <v>460</v>
      </c>
      <c r="AY387" s="134" cm="1">
        <f t="array" ref="AY387">INDEX($CO$29:$CO$1449,MATCH($AR387,$CA$29:$CA$1449,0),)</f>
        <v>270</v>
      </c>
      <c r="AZ387" s="135">
        <v>895</v>
      </c>
      <c r="BA387" s="134" cm="1">
        <f t="array" ref="BA387">INDEX($CP$29:$CP$1449,MATCH($AR387,$CA$29:$CA$1449,0),)</f>
        <v>512</v>
      </c>
      <c r="BB387" s="133">
        <f t="shared" si="202"/>
        <v>0.0689655172413792</v>
      </c>
      <c r="BC387" s="132">
        <f t="shared" si="204"/>
        <v>0.127272727272727</v>
      </c>
      <c r="BD387" s="132">
        <f t="shared" si="206"/>
        <v>0.180952380952381</v>
      </c>
      <c r="BE387" s="133">
        <f t="shared" si="203"/>
        <v>0.0526315789473684</v>
      </c>
      <c r="BF387" s="132">
        <f t="shared" si="205"/>
        <v>0.0810810810810811</v>
      </c>
      <c r="BG387" s="132">
        <f t="shared" si="207"/>
        <v>0.111111111111111</v>
      </c>
      <c r="BH387" s="133">
        <f t="shared" si="186"/>
        <v>0.0279329608938548</v>
      </c>
      <c r="BI387" s="132">
        <f t="shared" si="187"/>
        <v>0.0514285714285714</v>
      </c>
      <c r="BJ387" s="132">
        <f t="shared" si="188"/>
        <v>0.121951219512195</v>
      </c>
      <c r="BK387" s="133">
        <f t="shared" si="189"/>
        <v>0.0346820809248556</v>
      </c>
      <c r="BL387" s="132">
        <f t="shared" si="190"/>
        <v>0.0668860041244979</v>
      </c>
      <c r="BM387" s="132">
        <f t="shared" si="191"/>
        <v>0.126579729117366</v>
      </c>
      <c r="FV387" s="104">
        <f t="shared" si="209"/>
        <v>2012</v>
      </c>
      <c r="FW387" s="104">
        <f t="shared" si="210"/>
        <v>9</v>
      </c>
      <c r="FX387" s="35">
        <v>40970</v>
      </c>
      <c r="FY387" s="26">
        <v>1.05</v>
      </c>
      <c r="FZ387" s="94">
        <f t="shared" si="211"/>
        <v>4.2</v>
      </c>
      <c r="GA387" s="104"/>
      <c r="GB387" s="104"/>
      <c r="GE387" s="94"/>
      <c r="GF387" s="104">
        <f t="shared" si="212"/>
        <v>2014</v>
      </c>
      <c r="GG387" s="104">
        <f t="shared" si="213"/>
        <v>24</v>
      </c>
      <c r="GH387" s="35">
        <v>41802</v>
      </c>
      <c r="GI387" s="26">
        <v>4.149</v>
      </c>
      <c r="GJ387" s="94">
        <f t="shared" si="214"/>
        <v>8.298</v>
      </c>
      <c r="GK387" s="104"/>
      <c r="GL387" s="104"/>
      <c r="GO387" s="94"/>
    </row>
    <row r="388" spans="3:197">
      <c r="C388" s="80" t="str" cm="1">
        <f t="array" ref="C388">_xlfn.IFS(MONTH(D388)&lt;4,1,MONTH(D388)&lt;7,2,MONTH(D388)&lt;10,3,MONTH(D388)&gt;9,4)&amp;"Q"&amp;RIGHT(YEAR(D388),2)</f>
        <v>3Q17</v>
      </c>
      <c r="D388" s="81">
        <f t="shared" si="198"/>
        <v>42978</v>
      </c>
      <c r="E388" s="82">
        <f t="shared" si="196"/>
        <v>42951</v>
      </c>
      <c r="F388" s="83">
        <f t="shared" si="197"/>
        <v>0.910125</v>
      </c>
      <c r="G388" s="83">
        <f t="shared" si="197"/>
        <v>0.85125</v>
      </c>
      <c r="H388" s="81"/>
      <c r="I388" s="146">
        <v>42951</v>
      </c>
      <c r="J388" s="147">
        <v>7.55</v>
      </c>
      <c r="K388" s="147">
        <v>6.95</v>
      </c>
      <c r="L388" s="147">
        <v>7.281</v>
      </c>
      <c r="M388" s="94" cm="1">
        <f t="array" ref="M388">INDEX($BV$29:$BV$1449,MATCH($D388,$BR$29:$BR$1449,0),)</f>
        <v>6.81</v>
      </c>
      <c r="N388" s="150">
        <f t="shared" si="218"/>
        <v>-0.00627814931076842</v>
      </c>
      <c r="O388" s="150">
        <f t="shared" si="219"/>
        <v>-0.00749727371864783</v>
      </c>
      <c r="P388" s="150">
        <f t="shared" si="217"/>
        <v>0.00844875346260388</v>
      </c>
      <c r="Q388" s="89">
        <f t="shared" si="220"/>
        <v>0.0691629955947137</v>
      </c>
      <c r="AH388" s="105">
        <f t="shared" si="221"/>
        <v>45299</v>
      </c>
      <c r="AI388" s="91">
        <f t="shared" si="222"/>
        <v>1.657</v>
      </c>
      <c r="AJ388" s="57">
        <f t="shared" si="215"/>
        <v>0.0272783632982021</v>
      </c>
      <c r="AK388" s="36">
        <f t="shared" si="201"/>
        <v>0.029192546583851</v>
      </c>
      <c r="AL388" s="105">
        <f t="shared" si="223"/>
        <v>45299</v>
      </c>
      <c r="AM388" s="91">
        <f t="shared" si="192"/>
        <v>4.281</v>
      </c>
      <c r="AN388" s="57">
        <f t="shared" si="216"/>
        <v>0.00800565104779838</v>
      </c>
      <c r="AO388" s="36">
        <f t="shared" si="195"/>
        <v>0.0122960510759045</v>
      </c>
      <c r="AP388" s="36"/>
      <c r="AQ388" s="128" t="str" cm="1">
        <f t="array" ref="AQ388">_xlfn.IFS(MONTH(AR388)&lt;4,1,MONTH(AR388)&lt;7,2,MONTH(AR388)&lt;10,3,MONTH(AR388)&gt;9,4)&amp;"Q"&amp;RIGHT(YEAR(AR388),2)</f>
        <v>1Q26</v>
      </c>
      <c r="AR388" s="128">
        <f t="shared" si="200"/>
        <v>46053</v>
      </c>
      <c r="AS388" s="129">
        <f t="shared" si="208"/>
        <v>46027</v>
      </c>
      <c r="AT388" s="135">
        <v>640</v>
      </c>
      <c r="AU388" s="134" cm="1">
        <f t="array" ref="AU388">INDEX($CE$29:$CE$1449,MATCH($AR388,$CA$29:$CA$1449,0),)</f>
        <v>432</v>
      </c>
      <c r="AV388" s="135">
        <v>825</v>
      </c>
      <c r="AW388" s="134" cm="1">
        <f t="array" ref="AW388">INDEX($CF$29:$CF$1449,MATCH($AR388,$CA$29:$CA$1449,0),)</f>
        <v>738</v>
      </c>
      <c r="AX388" s="135">
        <v>480</v>
      </c>
      <c r="AY388" s="134" cm="1">
        <f t="array" ref="AY388">INDEX($CO$29:$CO$1449,MATCH($AR388,$CA$29:$CA$1449,0),)</f>
        <v>427</v>
      </c>
      <c r="AZ388" s="135">
        <v>925</v>
      </c>
      <c r="BA388" s="134" cm="1">
        <f t="array" ref="BA388">INDEX($CP$29:$CP$1449,MATCH($AR388,$CA$29:$CA$1449,0),)</f>
        <v>807</v>
      </c>
      <c r="BB388" s="133">
        <f t="shared" si="202"/>
        <v>0.032258064516129</v>
      </c>
      <c r="BC388" s="132">
        <f t="shared" si="204"/>
        <v>0.103448275862069</v>
      </c>
      <c r="BD388" s="132">
        <f t="shared" si="206"/>
        <v>0.163636363636364</v>
      </c>
      <c r="BE388" s="133">
        <f t="shared" si="203"/>
        <v>0.03125</v>
      </c>
      <c r="BF388" s="132">
        <f t="shared" si="205"/>
        <v>0.0855263157894737</v>
      </c>
      <c r="BG388" s="132">
        <f t="shared" si="207"/>
        <v>0.114864864864865</v>
      </c>
      <c r="BH388" s="133">
        <f t="shared" si="186"/>
        <v>0.0434782608695652</v>
      </c>
      <c r="BI388" s="132">
        <f t="shared" si="187"/>
        <v>0.0726256983240223</v>
      </c>
      <c r="BJ388" s="132">
        <f t="shared" si="188"/>
        <v>0.0971428571428572</v>
      </c>
      <c r="BK388" s="133">
        <f t="shared" si="189"/>
        <v>0.0335195530726258</v>
      </c>
      <c r="BL388" s="132">
        <f t="shared" si="190"/>
        <v>0.0693641618497109</v>
      </c>
      <c r="BM388" s="132">
        <f t="shared" si="191"/>
        <v>0.102647546162191</v>
      </c>
      <c r="FV388" s="104">
        <f t="shared" si="209"/>
        <v>2012</v>
      </c>
      <c r="FW388" s="104">
        <f t="shared" si="210"/>
        <v>10</v>
      </c>
      <c r="FX388" s="35">
        <v>40973</v>
      </c>
      <c r="FY388" s="26">
        <v>1.04</v>
      </c>
      <c r="FZ388" s="94">
        <f t="shared" si="211"/>
        <v>4.16</v>
      </c>
      <c r="GA388" s="104"/>
      <c r="GB388" s="104"/>
      <c r="GE388" s="94"/>
      <c r="GF388" s="104">
        <f t="shared" si="212"/>
        <v>2014</v>
      </c>
      <c r="GG388" s="104">
        <f t="shared" si="213"/>
        <v>24</v>
      </c>
      <c r="GH388" s="35">
        <v>41803</v>
      </c>
      <c r="GI388" s="26">
        <v>4.147</v>
      </c>
      <c r="GJ388" s="94">
        <f t="shared" si="214"/>
        <v>8.294</v>
      </c>
      <c r="GK388" s="104"/>
      <c r="GL388" s="104"/>
      <c r="GO388" s="94"/>
    </row>
    <row r="389" spans="3:197">
      <c r="C389" s="80" t="str" cm="1">
        <f t="array" ref="C389">_xlfn.IFS(MONTH(D389)&lt;4,1,MONTH(D389)&lt;7,2,MONTH(D389)&lt;10,3,MONTH(D389)&gt;9,4)&amp;"Q"&amp;RIGHT(YEAR(D389),2)</f>
        <v>3Q17</v>
      </c>
      <c r="D389" s="81">
        <f t="shared" si="198"/>
        <v>42978</v>
      </c>
      <c r="E389" s="82">
        <f t="shared" si="196"/>
        <v>42954</v>
      </c>
      <c r="F389" s="83">
        <f t="shared" si="197"/>
        <v>0.910125</v>
      </c>
      <c r="G389" s="83">
        <f t="shared" si="197"/>
        <v>0.85125</v>
      </c>
      <c r="H389" s="81"/>
      <c r="I389" s="146">
        <v>42954</v>
      </c>
      <c r="J389" s="147">
        <v>7.55</v>
      </c>
      <c r="K389" s="147">
        <v>6.95</v>
      </c>
      <c r="L389" s="147">
        <v>7.281</v>
      </c>
      <c r="M389" s="94" cm="1">
        <f t="array" ref="M389">INDEX($BV$29:$BV$1449,MATCH($D389,$BR$29:$BR$1449,0),)</f>
        <v>6.81</v>
      </c>
      <c r="N389" s="150">
        <f t="shared" si="218"/>
        <v>0</v>
      </c>
      <c r="O389" s="150">
        <f t="shared" si="219"/>
        <v>-0.00749727371864783</v>
      </c>
      <c r="P389" s="150">
        <f t="shared" si="217"/>
        <v>0.00844875346260388</v>
      </c>
      <c r="Q389" s="89">
        <f t="shared" si="220"/>
        <v>0.0691629955947137</v>
      </c>
      <c r="AH389" s="105">
        <f t="shared" si="221"/>
        <v>45306</v>
      </c>
      <c r="AI389" s="91">
        <f t="shared" si="222"/>
        <v>1.685</v>
      </c>
      <c r="AJ389" s="57">
        <f t="shared" si="215"/>
        <v>0.0168980084490042</v>
      </c>
      <c r="AK389" s="36">
        <f t="shared" si="201"/>
        <v>0.0446373217606943</v>
      </c>
      <c r="AL389" s="105">
        <f t="shared" si="223"/>
        <v>45306</v>
      </c>
      <c r="AM389" s="91">
        <f t="shared" si="192"/>
        <v>4.291</v>
      </c>
      <c r="AN389" s="57">
        <f t="shared" si="216"/>
        <v>0.00233590282644247</v>
      </c>
      <c r="AO389" s="36">
        <f t="shared" si="195"/>
        <v>0.010360254297151</v>
      </c>
      <c r="AP389" s="36"/>
      <c r="AQ389" s="128" t="str" cm="1">
        <f t="array" ref="AQ389">_xlfn.IFS(MONTH(AR389)&lt;4,1,MONTH(AR389)&lt;7,2,MONTH(AR389)&lt;10,3,MONTH(AR389)&gt;9,4)&amp;"Q"&amp;RIGHT(YEAR(AR389),2)</f>
        <v>1Q26</v>
      </c>
      <c r="AR389" s="128">
        <f t="shared" si="200"/>
        <v>46053</v>
      </c>
      <c r="AS389" s="129">
        <f t="shared" si="208"/>
        <v>46034</v>
      </c>
      <c r="AT389" s="135">
        <v>650</v>
      </c>
      <c r="AU389" s="134" cm="1">
        <f t="array" ref="AU389">INDEX($CE$29:$CE$1449,MATCH($AR389,$CA$29:$CA$1449,0),)</f>
        <v>432</v>
      </c>
      <c r="AV389" s="135">
        <v>850</v>
      </c>
      <c r="AW389" s="134" cm="1">
        <f t="array" ref="AW389">INDEX($CF$29:$CF$1449,MATCH($AR389,$CA$29:$CA$1449,0),)</f>
        <v>738</v>
      </c>
      <c r="AX389" s="135">
        <v>545</v>
      </c>
      <c r="AY389" s="134" cm="1">
        <f t="array" ref="AY389">INDEX($CO$29:$CO$1449,MATCH($AR389,$CA$29:$CA$1449,0),)</f>
        <v>427</v>
      </c>
      <c r="AZ389" s="135">
        <v>1050</v>
      </c>
      <c r="BA389" s="134" cm="1">
        <f t="array" ref="BA389">INDEX($CP$29:$CP$1449,MATCH($AR389,$CA$29:$CA$1449,0),)</f>
        <v>807</v>
      </c>
      <c r="BB389" s="133">
        <f t="shared" si="202"/>
        <v>0.015625</v>
      </c>
      <c r="BC389" s="132">
        <f t="shared" si="204"/>
        <v>0.0483870967741935</v>
      </c>
      <c r="BD389" s="132">
        <f t="shared" si="206"/>
        <v>0.120689655172414</v>
      </c>
      <c r="BE389" s="133">
        <f t="shared" si="203"/>
        <v>0.0303030303030303</v>
      </c>
      <c r="BF389" s="132">
        <f t="shared" si="205"/>
        <v>0.0625</v>
      </c>
      <c r="BG389" s="132">
        <f t="shared" si="207"/>
        <v>0.118421052631579</v>
      </c>
      <c r="BH389" s="133">
        <f t="shared" si="186"/>
        <v>0.135416666666667</v>
      </c>
      <c r="BI389" s="132">
        <f t="shared" si="187"/>
        <v>0.184782608695652</v>
      </c>
      <c r="BJ389" s="132">
        <f t="shared" si="188"/>
        <v>0.217877094972067</v>
      </c>
      <c r="BK389" s="133">
        <f t="shared" si="189"/>
        <v>0.135135135135135</v>
      </c>
      <c r="BL389" s="132">
        <f t="shared" si="190"/>
        <v>0.173184357541899</v>
      </c>
      <c r="BM389" s="132">
        <f t="shared" si="191"/>
        <v>0.213872832369942</v>
      </c>
      <c r="FV389" s="104">
        <f t="shared" si="209"/>
        <v>2012</v>
      </c>
      <c r="FW389" s="104">
        <f t="shared" si="210"/>
        <v>10</v>
      </c>
      <c r="FX389" s="35">
        <v>40974</v>
      </c>
      <c r="FY389" s="26">
        <v>1.03</v>
      </c>
      <c r="FZ389" s="94">
        <f t="shared" si="211"/>
        <v>4.12</v>
      </c>
      <c r="GA389" s="104"/>
      <c r="GB389" s="104"/>
      <c r="GE389" s="94"/>
      <c r="GF389" s="104">
        <f t="shared" si="212"/>
        <v>2014</v>
      </c>
      <c r="GG389" s="104">
        <f t="shared" si="213"/>
        <v>25</v>
      </c>
      <c r="GH389" s="35">
        <v>41806</v>
      </c>
      <c r="GI389" s="26">
        <v>4.156</v>
      </c>
      <c r="GJ389" s="94">
        <f t="shared" si="214"/>
        <v>8.312</v>
      </c>
      <c r="GK389" s="104"/>
      <c r="GL389" s="104"/>
      <c r="GO389" s="94"/>
    </row>
    <row r="390" spans="3:197">
      <c r="C390" s="80" t="str" cm="1">
        <f t="array" ref="C390">_xlfn.IFS(MONTH(D390)&lt;4,1,MONTH(D390)&lt;7,2,MONTH(D390)&lt;10,3,MONTH(D390)&gt;9,4)&amp;"Q"&amp;RIGHT(YEAR(D390),2)</f>
        <v>3Q17</v>
      </c>
      <c r="D390" s="81">
        <f t="shared" si="198"/>
        <v>42978</v>
      </c>
      <c r="E390" s="82">
        <f t="shared" si="196"/>
        <v>42955</v>
      </c>
      <c r="F390" s="83">
        <f t="shared" si="197"/>
        <v>0.910125</v>
      </c>
      <c r="G390" s="83">
        <f t="shared" si="197"/>
        <v>0.85125</v>
      </c>
      <c r="H390" s="81"/>
      <c r="I390" s="146">
        <v>42955</v>
      </c>
      <c r="J390" s="147">
        <v>7.55</v>
      </c>
      <c r="K390" s="147">
        <v>6.95</v>
      </c>
      <c r="L390" s="147">
        <v>7.281</v>
      </c>
      <c r="M390" s="94" cm="1">
        <f t="array" ref="M390">INDEX($BV$29:$BV$1449,MATCH($D390,$BR$29:$BR$1449,0),)</f>
        <v>6.81</v>
      </c>
      <c r="N390" s="150">
        <f t="shared" si="218"/>
        <v>0</v>
      </c>
      <c r="O390" s="150">
        <f t="shared" si="219"/>
        <v>-0.00749727371864783</v>
      </c>
      <c r="P390" s="150">
        <f t="shared" si="217"/>
        <v>0.00844875346260388</v>
      </c>
      <c r="Q390" s="89">
        <f t="shared" si="220"/>
        <v>0.0691629955947137</v>
      </c>
      <c r="AH390" s="105">
        <f t="shared" si="221"/>
        <v>45313</v>
      </c>
      <c r="AI390" s="91">
        <f t="shared" si="222"/>
        <v>1.786</v>
      </c>
      <c r="AJ390" s="57">
        <f t="shared" si="215"/>
        <v>0.0599406528189912</v>
      </c>
      <c r="AK390" s="36">
        <f t="shared" si="201"/>
        <v>0.0778515389257695</v>
      </c>
      <c r="AL390" s="105">
        <f t="shared" si="223"/>
        <v>45313</v>
      </c>
      <c r="AM390" s="91">
        <f t="shared" si="192"/>
        <v>4.45</v>
      </c>
      <c r="AN390" s="57">
        <f t="shared" si="216"/>
        <v>0.0370542996970402</v>
      </c>
      <c r="AO390" s="36">
        <f t="shared" si="195"/>
        <v>0.0394767577668771</v>
      </c>
      <c r="AP390" s="36"/>
      <c r="AQ390" s="128" t="str" cm="1">
        <f t="array" ref="AQ390">_xlfn.IFS(MONTH(AR390)&lt;4,1,MONTH(AR390)&lt;7,2,MONTH(AR390)&lt;10,3,MONTH(AR390)&gt;9,4)&amp;"Q"&amp;RIGHT(YEAR(AR390),2)</f>
        <v>1Q26</v>
      </c>
      <c r="AR390" s="128">
        <f t="shared" si="200"/>
        <v>46053</v>
      </c>
      <c r="AS390" s="129">
        <f t="shared" si="208"/>
        <v>46041</v>
      </c>
      <c r="AT390" s="135">
        <v>670</v>
      </c>
      <c r="AU390" s="134" cm="1">
        <f t="array" ref="AU390">INDEX($CE$29:$CE$1449,MATCH($AR390,$CA$29:$CA$1449,0),)</f>
        <v>432</v>
      </c>
      <c r="AV390" s="135">
        <v>900</v>
      </c>
      <c r="AW390" s="134" cm="1">
        <f t="array" ref="AW390">INDEX($CF$29:$CF$1449,MATCH($AR390,$CA$29:$CA$1449,0),)</f>
        <v>738</v>
      </c>
      <c r="AX390" s="135">
        <v>715</v>
      </c>
      <c r="AY390" s="134" cm="1">
        <f t="array" ref="AY390">INDEX($CO$29:$CO$1449,MATCH($AR390,$CA$29:$CA$1449,0),)</f>
        <v>427</v>
      </c>
      <c r="AZ390" s="135">
        <v>1525</v>
      </c>
      <c r="BA390" s="134" cm="1">
        <f t="array" ref="BA390">INDEX($CP$29:$CP$1449,MATCH($AR390,$CA$29:$CA$1449,0),)</f>
        <v>807</v>
      </c>
      <c r="BB390" s="133">
        <f t="shared" si="202"/>
        <v>0.0307692307692307</v>
      </c>
      <c r="BC390" s="132">
        <f t="shared" si="204"/>
        <v>0.046875</v>
      </c>
      <c r="BD390" s="132">
        <f t="shared" si="206"/>
        <v>0.0806451612903225</v>
      </c>
      <c r="BE390" s="133">
        <f t="shared" si="203"/>
        <v>0.0588235294117647</v>
      </c>
      <c r="BF390" s="132">
        <f t="shared" si="205"/>
        <v>0.0909090909090908</v>
      </c>
      <c r="BG390" s="132">
        <f t="shared" si="207"/>
        <v>0.125</v>
      </c>
      <c r="BH390" s="133">
        <f t="shared" si="186"/>
        <v>0.311926605504587</v>
      </c>
      <c r="BI390" s="132">
        <f t="shared" si="187"/>
        <v>0.489583333333333</v>
      </c>
      <c r="BJ390" s="132">
        <f t="shared" si="188"/>
        <v>0.554347826086957</v>
      </c>
      <c r="BK390" s="133">
        <f t="shared" si="189"/>
        <v>0.452380952380952</v>
      </c>
      <c r="BL390" s="132">
        <f t="shared" si="190"/>
        <v>0.648648648648649</v>
      </c>
      <c r="BM390" s="132">
        <f t="shared" si="191"/>
        <v>0.70391061452514</v>
      </c>
      <c r="FV390" s="104">
        <f t="shared" si="209"/>
        <v>2012</v>
      </c>
      <c r="FW390" s="104">
        <f t="shared" si="210"/>
        <v>10</v>
      </c>
      <c r="FX390" s="35">
        <v>40975</v>
      </c>
      <c r="FY390" s="26">
        <v>1</v>
      </c>
      <c r="FZ390" s="94">
        <f t="shared" si="211"/>
        <v>4</v>
      </c>
      <c r="GA390" s="104"/>
      <c r="GB390" s="104"/>
      <c r="GE390" s="94"/>
      <c r="GF390" s="104">
        <f t="shared" si="212"/>
        <v>2014</v>
      </c>
      <c r="GG390" s="104">
        <f t="shared" si="213"/>
        <v>25</v>
      </c>
      <c r="GH390" s="35">
        <v>41807</v>
      </c>
      <c r="GI390" s="26">
        <v>4.153</v>
      </c>
      <c r="GJ390" s="94">
        <f t="shared" si="214"/>
        <v>8.306</v>
      </c>
      <c r="GK390" s="104"/>
      <c r="GL390" s="104"/>
      <c r="GO390" s="94"/>
    </row>
    <row r="391" spans="3:197">
      <c r="C391" s="80" t="str" cm="1">
        <f t="array" ref="C391">_xlfn.IFS(MONTH(D391)&lt;4,1,MONTH(D391)&lt;7,2,MONTH(D391)&lt;10,3,MONTH(D391)&gt;9,4)&amp;"Q"&amp;RIGHT(YEAR(D391),2)</f>
        <v>3Q17</v>
      </c>
      <c r="D391" s="81">
        <f t="shared" si="198"/>
        <v>42978</v>
      </c>
      <c r="E391" s="82">
        <f t="shared" si="196"/>
        <v>42956</v>
      </c>
      <c r="F391" s="83">
        <f t="shared" si="197"/>
        <v>0.910125</v>
      </c>
      <c r="G391" s="83">
        <f t="shared" si="197"/>
        <v>0.85125</v>
      </c>
      <c r="H391" s="81"/>
      <c r="I391" s="146">
        <v>42956</v>
      </c>
      <c r="J391" s="147">
        <v>7.55</v>
      </c>
      <c r="K391" s="147">
        <v>6.95</v>
      </c>
      <c r="L391" s="147">
        <v>7.281</v>
      </c>
      <c r="M391" s="94" cm="1">
        <f t="array" ref="M391">INDEX($BV$29:$BV$1449,MATCH($D391,$BR$29:$BR$1449,0),)</f>
        <v>6.81</v>
      </c>
      <c r="N391" s="150">
        <f t="shared" si="218"/>
        <v>0</v>
      </c>
      <c r="O391" s="150">
        <f t="shared" si="219"/>
        <v>-0.00627814931076842</v>
      </c>
      <c r="P391" s="150">
        <f t="shared" si="217"/>
        <v>0.00427586206896557</v>
      </c>
      <c r="Q391" s="89">
        <f t="shared" si="220"/>
        <v>0.0691629955947137</v>
      </c>
      <c r="AH391" s="105">
        <f t="shared" si="221"/>
        <v>45320</v>
      </c>
      <c r="AI391" s="91">
        <f t="shared" si="222"/>
        <v>1.795</v>
      </c>
      <c r="AJ391" s="57">
        <f t="shared" si="215"/>
        <v>0.0050391937290033</v>
      </c>
      <c r="AK391" s="36">
        <f t="shared" si="201"/>
        <v>0.0652818991097923</v>
      </c>
      <c r="AL391" s="105">
        <f t="shared" si="223"/>
        <v>45320</v>
      </c>
      <c r="AM391" s="91">
        <f t="shared" si="192"/>
        <v>4.55</v>
      </c>
      <c r="AN391" s="57">
        <f t="shared" si="216"/>
        <v>0.0224719101123594</v>
      </c>
      <c r="AO391" s="36">
        <f t="shared" si="195"/>
        <v>0.060358890701468</v>
      </c>
      <c r="AP391" s="36"/>
      <c r="AQ391" s="128" t="str" cm="1">
        <f t="array" ref="AQ391">_xlfn.IFS(MONTH(AR391)&lt;4,1,MONTH(AR391)&lt;7,2,MONTH(AR391)&lt;10,3,MONTH(AR391)&gt;9,4)&amp;"Q"&amp;RIGHT(YEAR(AR391),2)</f>
        <v>1Q26</v>
      </c>
      <c r="AR391" s="128">
        <f t="shared" si="200"/>
        <v>46053</v>
      </c>
      <c r="AS391" s="129">
        <f t="shared" si="208"/>
        <v>46048</v>
      </c>
      <c r="AT391" s="135">
        <v>680</v>
      </c>
      <c r="AU391" s="134" cm="1">
        <f t="array" ref="AU391">INDEX($CE$29:$CE$1449,MATCH($AR391,$CA$29:$CA$1449,0),)</f>
        <v>432</v>
      </c>
      <c r="AV391" s="135">
        <v>930</v>
      </c>
      <c r="AW391" s="134" cm="1">
        <f t="array" ref="AW391">INDEX($CF$29:$CF$1449,MATCH($AR391,$CA$29:$CA$1449,0),)</f>
        <v>738</v>
      </c>
      <c r="AX391" s="135">
        <v>850</v>
      </c>
      <c r="AY391" s="134" cm="1">
        <f t="array" ref="AY391">INDEX($CO$29:$CO$1449,MATCH($AR391,$CA$29:$CA$1449,0),)</f>
        <v>427</v>
      </c>
      <c r="AZ391" s="135">
        <v>1875</v>
      </c>
      <c r="BA391" s="134" cm="1">
        <f t="array" ref="BA391">INDEX($CP$29:$CP$1449,MATCH($AR391,$CA$29:$CA$1449,0),)</f>
        <v>807</v>
      </c>
      <c r="BB391" s="133">
        <f t="shared" si="202"/>
        <v>0.0149253731343284</v>
      </c>
      <c r="BC391" s="132">
        <f t="shared" si="204"/>
        <v>0.0461538461538462</v>
      </c>
      <c r="BD391" s="132">
        <f t="shared" si="206"/>
        <v>0.0625</v>
      </c>
      <c r="BE391" s="133">
        <f t="shared" si="203"/>
        <v>0.0333333333333334</v>
      </c>
      <c r="BF391" s="132">
        <f t="shared" si="205"/>
        <v>0.0941176470588236</v>
      </c>
      <c r="BG391" s="132">
        <f t="shared" si="207"/>
        <v>0.127272727272727</v>
      </c>
      <c r="BH391" s="133">
        <f t="shared" ref="BH391:BH408" si="224">AX391/AX390-1</f>
        <v>0.188811188811189</v>
      </c>
      <c r="BI391" s="132">
        <f t="shared" ref="BI391:BI408" si="225">AX391/AX389-1</f>
        <v>0.559633027522936</v>
      </c>
      <c r="BJ391" s="132">
        <f t="shared" ref="BJ391:BJ408" si="226">AX391/AX388-1</f>
        <v>0.770833333333333</v>
      </c>
      <c r="BK391" s="133">
        <f t="shared" ref="BK391:BK408" si="227">AZ391/AZ390-1</f>
        <v>0.229508196721312</v>
      </c>
      <c r="BL391" s="132">
        <f t="shared" ref="BL391:BL408" si="228">AZ391/AZ389-1</f>
        <v>0.785714285714286</v>
      </c>
      <c r="BM391" s="132">
        <f t="shared" ref="BM391:BM408" si="229">AZ391/AZ388-1</f>
        <v>1.02702702702703</v>
      </c>
      <c r="FV391" s="104">
        <f t="shared" si="209"/>
        <v>2012</v>
      </c>
      <c r="FW391" s="104">
        <f t="shared" si="210"/>
        <v>10</v>
      </c>
      <c r="FX391" s="35">
        <v>40976</v>
      </c>
      <c r="FY391" s="26">
        <v>1</v>
      </c>
      <c r="FZ391" s="94">
        <f t="shared" si="211"/>
        <v>4</v>
      </c>
      <c r="GA391" s="104"/>
      <c r="GB391" s="104"/>
      <c r="GE391" s="94"/>
      <c r="GF391" s="104">
        <f t="shared" si="212"/>
        <v>2014</v>
      </c>
      <c r="GG391" s="104">
        <f t="shared" si="213"/>
        <v>25</v>
      </c>
      <c r="GH391" s="35">
        <v>41808</v>
      </c>
      <c r="GI391" s="26">
        <v>4.186</v>
      </c>
      <c r="GJ391" s="94">
        <f t="shared" si="214"/>
        <v>8.372</v>
      </c>
      <c r="GK391" s="104"/>
      <c r="GL391" s="104"/>
      <c r="GO391" s="94"/>
    </row>
    <row r="392" spans="3:197">
      <c r="C392" s="80" t="str" cm="1">
        <f t="array" ref="C392">_xlfn.IFS(MONTH(D392)&lt;4,1,MONTH(D392)&lt;7,2,MONTH(D392)&lt;10,3,MONTH(D392)&gt;9,4)&amp;"Q"&amp;RIGHT(YEAR(D392),2)</f>
        <v>3Q17</v>
      </c>
      <c r="D392" s="81">
        <f t="shared" si="198"/>
        <v>42978</v>
      </c>
      <c r="E392" s="82">
        <f t="shared" si="196"/>
        <v>42957</v>
      </c>
      <c r="F392" s="83">
        <f t="shared" si="197"/>
        <v>0.910125</v>
      </c>
      <c r="G392" s="83">
        <f t="shared" si="197"/>
        <v>0.85125</v>
      </c>
      <c r="H392" s="81"/>
      <c r="I392" s="146">
        <v>42957</v>
      </c>
      <c r="J392" s="147">
        <v>7.5</v>
      </c>
      <c r="K392" s="147">
        <v>6.95</v>
      </c>
      <c r="L392" s="147">
        <v>7.281</v>
      </c>
      <c r="M392" s="94" cm="1">
        <f t="array" ref="M392">INDEX($BV$29:$BV$1449,MATCH($D392,$BR$29:$BR$1449,0),)</f>
        <v>6.81</v>
      </c>
      <c r="N392" s="150">
        <f t="shared" si="218"/>
        <v>0</v>
      </c>
      <c r="O392" s="150">
        <f t="shared" si="219"/>
        <v>-0.00627814931076842</v>
      </c>
      <c r="P392" s="150">
        <f t="shared" si="217"/>
        <v>0.00427586206896557</v>
      </c>
      <c r="Q392" s="89">
        <f t="shared" si="220"/>
        <v>0.0691629955947137</v>
      </c>
      <c r="AH392" s="105">
        <f t="shared" si="221"/>
        <v>45327</v>
      </c>
      <c r="AI392" s="91">
        <f t="shared" si="222"/>
        <v>1.814</v>
      </c>
      <c r="AJ392" s="57">
        <f t="shared" si="215"/>
        <v>0.0105849582172703</v>
      </c>
      <c r="AK392" s="36">
        <f t="shared" si="201"/>
        <v>0.0156774916013438</v>
      </c>
      <c r="AL392" s="105">
        <f t="shared" si="223"/>
        <v>45327</v>
      </c>
      <c r="AM392" s="91">
        <f t="shared" si="192"/>
        <v>4.63</v>
      </c>
      <c r="AN392" s="57">
        <f t="shared" si="216"/>
        <v>0.0175824175824175</v>
      </c>
      <c r="AO392" s="36">
        <f t="shared" si="195"/>
        <v>0.0404494382022471</v>
      </c>
      <c r="AP392" s="36"/>
      <c r="AQ392" s="128" t="str" cm="1">
        <f t="array" ref="AQ392">_xlfn.IFS(MONTH(AR392)&lt;4,1,MONTH(AR392)&lt;7,2,MONTH(AR392)&lt;10,3,MONTH(AR392)&gt;9,4)&amp;"Q"&amp;RIGHT(YEAR(AR392),2)</f>
        <v>1Q26</v>
      </c>
      <c r="AR392" s="128">
        <f t="shared" si="200"/>
        <v>46081</v>
      </c>
      <c r="AS392" s="129">
        <f t="shared" si="208"/>
        <v>46055</v>
      </c>
      <c r="AT392" s="135">
        <v>690</v>
      </c>
      <c r="AU392" s="134" cm="1">
        <f t="array" ref="AU392">INDEX($CE$29:$CE$1449,MATCH($AR392,$CA$29:$CA$1449,0),)</f>
        <v>432</v>
      </c>
      <c r="AV392" s="135">
        <v>930</v>
      </c>
      <c r="AW392" s="134" cm="1">
        <f t="array" ref="AW392">INDEX($CF$29:$CF$1449,MATCH($AR392,$CA$29:$CA$1449,0),)</f>
        <v>738</v>
      </c>
      <c r="AX392" s="135">
        <v>870</v>
      </c>
      <c r="AY392" s="134" cm="1">
        <f t="array" ref="AY392">INDEX($CO$29:$CO$1449,MATCH($AR392,$CA$29:$CA$1449,0),)</f>
        <v>439</v>
      </c>
      <c r="AZ392" s="135">
        <v>2000</v>
      </c>
      <c r="BA392" s="134" cm="1">
        <f t="array" ref="BA392">INDEX($CP$29:$CP$1449,MATCH($AR392,$CA$29:$CA$1449,0),)</f>
        <v>829</v>
      </c>
      <c r="BB392" s="133">
        <f t="shared" si="202"/>
        <v>0.0147058823529411</v>
      </c>
      <c r="BC392" s="132">
        <f t="shared" si="204"/>
        <v>0.0298507462686568</v>
      </c>
      <c r="BD392" s="132">
        <f t="shared" si="206"/>
        <v>0.0615384615384615</v>
      </c>
      <c r="BE392" s="133">
        <f t="shared" si="203"/>
        <v>0</v>
      </c>
      <c r="BF392" s="132">
        <f t="shared" si="205"/>
        <v>0.0333333333333334</v>
      </c>
      <c r="BG392" s="132">
        <f t="shared" si="207"/>
        <v>0.0941176470588236</v>
      </c>
      <c r="BH392" s="133">
        <f t="shared" si="224"/>
        <v>0.0235294117647058</v>
      </c>
      <c r="BI392" s="132">
        <f t="shared" si="225"/>
        <v>0.216783216783217</v>
      </c>
      <c r="BJ392" s="132">
        <f t="shared" si="226"/>
        <v>0.596330275229358</v>
      </c>
      <c r="BK392" s="133">
        <f t="shared" si="227"/>
        <v>0.0666666666666667</v>
      </c>
      <c r="BL392" s="132">
        <f t="shared" si="228"/>
        <v>0.311475409836065</v>
      </c>
      <c r="BM392" s="132">
        <f t="shared" si="229"/>
        <v>0.904761904761905</v>
      </c>
      <c r="FV392" s="104">
        <f t="shared" si="209"/>
        <v>2012</v>
      </c>
      <c r="FW392" s="104">
        <f t="shared" si="210"/>
        <v>10</v>
      </c>
      <c r="FX392" s="35">
        <v>40977</v>
      </c>
      <c r="FY392" s="26">
        <v>1</v>
      </c>
      <c r="FZ392" s="94">
        <f t="shared" si="211"/>
        <v>4</v>
      </c>
      <c r="GA392" s="104"/>
      <c r="GB392" s="104"/>
      <c r="GE392" s="94"/>
      <c r="GF392" s="104">
        <f t="shared" si="212"/>
        <v>2014</v>
      </c>
      <c r="GG392" s="104">
        <f t="shared" si="213"/>
        <v>25</v>
      </c>
      <c r="GH392" s="35">
        <v>41809</v>
      </c>
      <c r="GI392" s="26">
        <v>4.197</v>
      </c>
      <c r="GJ392" s="94">
        <f t="shared" si="214"/>
        <v>8.394</v>
      </c>
      <c r="GK392" s="104"/>
      <c r="GL392" s="104"/>
      <c r="GO392" s="94"/>
    </row>
    <row r="393" spans="3:197">
      <c r="C393" s="80" t="str" cm="1">
        <f t="array" ref="C393">_xlfn.IFS(MONTH(D393)&lt;4,1,MONTH(D393)&lt;7,2,MONTH(D393)&lt;10,3,MONTH(D393)&gt;9,4)&amp;"Q"&amp;RIGHT(YEAR(D393),2)</f>
        <v>3Q17</v>
      </c>
      <c r="D393" s="81">
        <f t="shared" si="198"/>
        <v>42978</v>
      </c>
      <c r="E393" s="82">
        <f t="shared" si="196"/>
        <v>42958</v>
      </c>
      <c r="F393" s="83">
        <f t="shared" si="197"/>
        <v>0.90975</v>
      </c>
      <c r="G393" s="83">
        <f t="shared" si="197"/>
        <v>0.85125</v>
      </c>
      <c r="H393" s="81"/>
      <c r="I393" s="146">
        <v>42958</v>
      </c>
      <c r="J393" s="147">
        <v>7.5</v>
      </c>
      <c r="K393" s="147">
        <v>6.95</v>
      </c>
      <c r="L393" s="147">
        <v>7.278</v>
      </c>
      <c r="M393" s="94" cm="1">
        <f t="array" ref="M393">INDEX($BV$29:$BV$1449,MATCH($D393,$BR$29:$BR$1449,0),)</f>
        <v>6.81</v>
      </c>
      <c r="N393" s="150">
        <f t="shared" si="218"/>
        <v>-0.000412031314379946</v>
      </c>
      <c r="O393" s="150">
        <f t="shared" si="219"/>
        <v>-0.000412031314379946</v>
      </c>
      <c r="P393" s="150">
        <f t="shared" si="217"/>
        <v>-0.00790621592148322</v>
      </c>
      <c r="Q393" s="89">
        <f t="shared" si="220"/>
        <v>0.0687224669603523</v>
      </c>
      <c r="AH393" s="105">
        <f t="shared" si="221"/>
        <v>45334</v>
      </c>
      <c r="AI393" s="91">
        <f t="shared" si="222"/>
        <v>1.824</v>
      </c>
      <c r="AJ393" s="57">
        <f t="shared" si="215"/>
        <v>0.00551267916207276</v>
      </c>
      <c r="AK393" s="36">
        <f t="shared" si="201"/>
        <v>0.0161559888579388</v>
      </c>
      <c r="AL393" s="105">
        <f t="shared" si="223"/>
        <v>45334</v>
      </c>
      <c r="AM393" s="91">
        <f t="shared" si="192"/>
        <v>4.647</v>
      </c>
      <c r="AN393" s="57">
        <f t="shared" si="216"/>
        <v>0.003671706263499</v>
      </c>
      <c r="AO393" s="36">
        <f t="shared" si="195"/>
        <v>0.0213186813186814</v>
      </c>
      <c r="AP393" s="36"/>
      <c r="AQ393" s="128" t="str" cm="1">
        <f t="array" ref="AQ393">_xlfn.IFS(MONTH(AR393)&lt;4,1,MONTH(AR393)&lt;7,2,MONTH(AR393)&lt;10,3,MONTH(AR393)&gt;9,4)&amp;"Q"&amp;RIGHT(YEAR(AR393),2)</f>
        <v>1Q26</v>
      </c>
      <c r="AR393" s="128">
        <f t="shared" si="200"/>
        <v>46081</v>
      </c>
      <c r="AS393" s="129">
        <f t="shared" si="208"/>
        <v>46062</v>
      </c>
      <c r="AT393" s="135">
        <v>700</v>
      </c>
      <c r="AU393" s="134" cm="1">
        <f t="array" ref="AU393">INDEX($CE$29:$CE$1449,MATCH($AR393,$CA$29:$CA$1449,0),)</f>
        <v>432</v>
      </c>
      <c r="AV393" s="135">
        <v>932</v>
      </c>
      <c r="AW393" s="134" cm="1">
        <f t="array" ref="AW393">INDEX($CF$29:$CF$1449,MATCH($AR393,$CA$29:$CA$1449,0),)</f>
        <v>738</v>
      </c>
      <c r="AX393" s="135">
        <v>885</v>
      </c>
      <c r="AY393" s="134" cm="1">
        <f t="array" ref="AY393">INDEX($CO$29:$CO$1449,MATCH($AR393,$CA$29:$CA$1449,0),)</f>
        <v>439</v>
      </c>
      <c r="AZ393" s="135">
        <v>2150</v>
      </c>
      <c r="BA393" s="134" cm="1">
        <f t="array" ref="BA393">INDEX($CP$29:$CP$1449,MATCH($AR393,$CA$29:$CA$1449,0),)</f>
        <v>829</v>
      </c>
      <c r="BB393" s="133">
        <f t="shared" si="202"/>
        <v>0.0144927536231885</v>
      </c>
      <c r="BC393" s="132">
        <f t="shared" si="204"/>
        <v>0.0294117647058822</v>
      </c>
      <c r="BD393" s="132">
        <f t="shared" si="206"/>
        <v>0.044776119402985</v>
      </c>
      <c r="BE393" s="133">
        <f t="shared" si="203"/>
        <v>0.00215053763440864</v>
      </c>
      <c r="BF393" s="132">
        <f t="shared" si="205"/>
        <v>0.00215053763440864</v>
      </c>
      <c r="BG393" s="132">
        <f t="shared" si="207"/>
        <v>0.0355555555555556</v>
      </c>
      <c r="BH393" s="133">
        <f t="shared" si="224"/>
        <v>0.0172413793103448</v>
      </c>
      <c r="BI393" s="132">
        <f t="shared" si="225"/>
        <v>0.0411764705882354</v>
      </c>
      <c r="BJ393" s="132">
        <f t="shared" si="226"/>
        <v>0.237762237762238</v>
      </c>
      <c r="BK393" s="133">
        <f t="shared" si="227"/>
        <v>0.075</v>
      </c>
      <c r="BL393" s="132">
        <f t="shared" si="228"/>
        <v>0.146666666666667</v>
      </c>
      <c r="BM393" s="132">
        <f t="shared" si="229"/>
        <v>0.409836065573771</v>
      </c>
      <c r="FV393" s="104">
        <f t="shared" si="209"/>
        <v>2012</v>
      </c>
      <c r="FW393" s="104">
        <f t="shared" si="210"/>
        <v>11</v>
      </c>
      <c r="FX393" s="35">
        <v>40980</v>
      </c>
      <c r="FY393" s="26">
        <v>0.99</v>
      </c>
      <c r="FZ393" s="94">
        <f t="shared" si="211"/>
        <v>3.96</v>
      </c>
      <c r="GA393" s="104"/>
      <c r="GB393" s="104"/>
      <c r="GE393" s="94"/>
      <c r="GF393" s="104">
        <f t="shared" si="212"/>
        <v>2014</v>
      </c>
      <c r="GG393" s="104">
        <f t="shared" si="213"/>
        <v>25</v>
      </c>
      <c r="GH393" s="35">
        <v>41810</v>
      </c>
      <c r="GI393" s="26">
        <v>4.204</v>
      </c>
      <c r="GJ393" s="94">
        <f t="shared" si="214"/>
        <v>8.408</v>
      </c>
      <c r="GK393" s="104"/>
      <c r="GL393" s="104"/>
      <c r="GO393" s="94"/>
    </row>
    <row r="394" spans="3:197">
      <c r="C394" s="80" t="str" cm="1">
        <f t="array" ref="C394">_xlfn.IFS(MONTH(D394)&lt;4,1,MONTH(D394)&lt;7,2,MONTH(D394)&lt;10,3,MONTH(D394)&gt;9,4)&amp;"Q"&amp;RIGHT(YEAR(D394),2)</f>
        <v>3Q17</v>
      </c>
      <c r="D394" s="81">
        <f t="shared" si="198"/>
        <v>42978</v>
      </c>
      <c r="E394" s="82">
        <f t="shared" si="196"/>
        <v>42961</v>
      </c>
      <c r="F394" s="83">
        <f t="shared" si="197"/>
        <v>0.90975</v>
      </c>
      <c r="G394" s="83">
        <f t="shared" si="197"/>
        <v>0.85125</v>
      </c>
      <c r="H394" s="81"/>
      <c r="I394" s="146">
        <v>42961</v>
      </c>
      <c r="J394" s="147">
        <v>7.5</v>
      </c>
      <c r="K394" s="147">
        <v>6.95</v>
      </c>
      <c r="L394" s="147">
        <v>7.278</v>
      </c>
      <c r="M394" s="94" cm="1">
        <f t="array" ref="M394">INDEX($BV$29:$BV$1449,MATCH($D394,$BR$29:$BR$1449,0),)</f>
        <v>6.81</v>
      </c>
      <c r="N394" s="150">
        <f t="shared" si="218"/>
        <v>0</v>
      </c>
      <c r="O394" s="150">
        <f t="shared" si="219"/>
        <v>-0.000412031314379946</v>
      </c>
      <c r="P394" s="150">
        <f t="shared" si="217"/>
        <v>-0.00790621592148322</v>
      </c>
      <c r="Q394" s="89">
        <f t="shared" si="220"/>
        <v>0.0687224669603523</v>
      </c>
      <c r="AH394" s="105">
        <f t="shared" si="221"/>
        <v>45341</v>
      </c>
      <c r="AI394" s="91">
        <f t="shared" si="222"/>
        <v>1.829</v>
      </c>
      <c r="AJ394" s="57">
        <f t="shared" si="215"/>
        <v>0.00274122807017529</v>
      </c>
      <c r="AK394" s="36">
        <f t="shared" si="201"/>
        <v>0.00826901874310915</v>
      </c>
      <c r="AL394" s="105">
        <f t="shared" si="223"/>
        <v>45341</v>
      </c>
      <c r="AM394" s="91">
        <f t="shared" si="192"/>
        <v>4.667</v>
      </c>
      <c r="AN394" s="57">
        <f t="shared" si="216"/>
        <v>0.00430385194749294</v>
      </c>
      <c r="AO394" s="36">
        <f t="shared" si="195"/>
        <v>0.00799136069114459</v>
      </c>
      <c r="AP394" s="36"/>
      <c r="AQ394" s="128" t="str" cm="1">
        <f t="array" ref="AQ394">_xlfn.IFS(MONTH(AR394)&lt;4,1,MONTH(AR394)&lt;7,2,MONTH(AR394)&lt;10,3,MONTH(AR394)&gt;9,4)&amp;"Q"&amp;RIGHT(YEAR(AR394),2)</f>
        <v>1Q26</v>
      </c>
      <c r="AR394" s="128">
        <f t="shared" si="200"/>
        <v>46081</v>
      </c>
      <c r="AS394" s="129">
        <f>AS393+14</f>
        <v>46076</v>
      </c>
      <c r="AT394" s="135">
        <v>720</v>
      </c>
      <c r="AU394" s="134" cm="1">
        <f t="array" ref="AU394">INDEX($CE$29:$CE$1449,MATCH($AR394,$CA$29:$CA$1449,0),)</f>
        <v>432</v>
      </c>
      <c r="AV394" s="135">
        <v>932</v>
      </c>
      <c r="AW394" s="134" cm="1">
        <f t="array" ref="AW394">INDEX($CF$29:$CF$1449,MATCH($AR394,$CA$29:$CA$1449,0),)</f>
        <v>738</v>
      </c>
      <c r="AX394" s="135">
        <v>890</v>
      </c>
      <c r="AY394" s="134" cm="1">
        <f t="array" ref="AY394">INDEX($CO$29:$CO$1449,MATCH($AR394,$CA$29:$CA$1449,0),)</f>
        <v>439</v>
      </c>
      <c r="AZ394" s="135">
        <v>2175</v>
      </c>
      <c r="BA394" s="134" cm="1">
        <f t="array" ref="BA394">INDEX($CP$29:$CP$1449,MATCH($AR394,$CA$29:$CA$1449,0),)</f>
        <v>829</v>
      </c>
      <c r="BB394" s="133">
        <f t="shared" si="202"/>
        <v>0.0285714285714285</v>
      </c>
      <c r="BC394" s="132">
        <f t="shared" si="204"/>
        <v>0.0434782608695652</v>
      </c>
      <c r="BD394" s="132">
        <f t="shared" si="206"/>
        <v>0.0588235294117647</v>
      </c>
      <c r="BE394" s="133">
        <f t="shared" si="203"/>
        <v>0</v>
      </c>
      <c r="BF394" s="132">
        <f t="shared" si="205"/>
        <v>0.00215053763440864</v>
      </c>
      <c r="BG394" s="132">
        <f t="shared" si="207"/>
        <v>0.00215053763440864</v>
      </c>
      <c r="BH394" s="133">
        <f t="shared" si="224"/>
        <v>0.00564971751412435</v>
      </c>
      <c r="BI394" s="132">
        <f t="shared" si="225"/>
        <v>0.0229885057471264</v>
      </c>
      <c r="BJ394" s="132">
        <f t="shared" si="226"/>
        <v>0.0470588235294118</v>
      </c>
      <c r="BK394" s="133">
        <f t="shared" si="227"/>
        <v>0.0116279069767442</v>
      </c>
      <c r="BL394" s="132">
        <f t="shared" si="228"/>
        <v>0.0874999999999999</v>
      </c>
      <c r="BM394" s="132">
        <f t="shared" si="229"/>
        <v>0.16</v>
      </c>
      <c r="FV394" s="104">
        <f t="shared" si="209"/>
        <v>2012</v>
      </c>
      <c r="FW394" s="104">
        <f t="shared" si="210"/>
        <v>11</v>
      </c>
      <c r="FX394" s="35">
        <v>40981</v>
      </c>
      <c r="FY394" s="26">
        <v>0.99</v>
      </c>
      <c r="FZ394" s="94">
        <f t="shared" si="211"/>
        <v>3.96</v>
      </c>
      <c r="GA394" s="104"/>
      <c r="GB394" s="104"/>
      <c r="GE394" s="94"/>
      <c r="GF394" s="104">
        <f t="shared" si="212"/>
        <v>2014</v>
      </c>
      <c r="GG394" s="104">
        <f t="shared" si="213"/>
        <v>26</v>
      </c>
      <c r="GH394" s="35">
        <v>41813</v>
      </c>
      <c r="GI394" s="26">
        <v>4.219</v>
      </c>
      <c r="GJ394" s="94">
        <f t="shared" si="214"/>
        <v>8.438</v>
      </c>
      <c r="GK394" s="104"/>
      <c r="GL394" s="104"/>
      <c r="GO394" s="94"/>
    </row>
    <row r="395" spans="3:197">
      <c r="C395" s="80" t="str" cm="1">
        <f t="array" ref="C395">_xlfn.IFS(MONTH(D395)&lt;4,1,MONTH(D395)&lt;7,2,MONTH(D395)&lt;10,3,MONTH(D395)&gt;9,4)&amp;"Q"&amp;RIGHT(YEAR(D395),2)</f>
        <v>3Q17</v>
      </c>
      <c r="D395" s="81">
        <f t="shared" si="198"/>
        <v>42978</v>
      </c>
      <c r="E395" s="82">
        <f t="shared" si="196"/>
        <v>42962</v>
      </c>
      <c r="F395" s="83">
        <f t="shared" si="197"/>
        <v>0.90975</v>
      </c>
      <c r="G395" s="83">
        <f t="shared" si="197"/>
        <v>0.85125</v>
      </c>
      <c r="H395" s="81"/>
      <c r="I395" s="146">
        <v>42962</v>
      </c>
      <c r="J395" s="147">
        <v>7.5</v>
      </c>
      <c r="K395" s="147">
        <v>6.95</v>
      </c>
      <c r="L395" s="147">
        <v>7.278</v>
      </c>
      <c r="M395" s="94" cm="1">
        <f t="array" ref="M395">INDEX($BV$29:$BV$1449,MATCH($D395,$BR$29:$BR$1449,0),)</f>
        <v>6.81</v>
      </c>
      <c r="N395" s="150">
        <f t="shared" si="218"/>
        <v>0</v>
      </c>
      <c r="O395" s="150">
        <f t="shared" si="219"/>
        <v>-0.000412031314379946</v>
      </c>
      <c r="P395" s="150">
        <f t="shared" si="217"/>
        <v>-0.00790621592148322</v>
      </c>
      <c r="Q395" s="89">
        <f t="shared" si="220"/>
        <v>0.0687224669603523</v>
      </c>
      <c r="AH395" s="105">
        <f t="shared" si="221"/>
        <v>45348</v>
      </c>
      <c r="AI395" s="91">
        <f t="shared" si="222"/>
        <v>1.831</v>
      </c>
      <c r="AJ395" s="57">
        <f t="shared" si="215"/>
        <v>0.00109349371241119</v>
      </c>
      <c r="AK395" s="36">
        <f t="shared" si="201"/>
        <v>0.0038377192982455</v>
      </c>
      <c r="AL395" s="105">
        <f t="shared" si="223"/>
        <v>45348</v>
      </c>
      <c r="AM395" s="91">
        <f t="shared" si="192"/>
        <v>4.717</v>
      </c>
      <c r="AN395" s="57">
        <f t="shared" si="216"/>
        <v>0.0107135204628241</v>
      </c>
      <c r="AO395" s="36">
        <f t="shared" si="195"/>
        <v>0.0150634818162254</v>
      </c>
      <c r="AP395" s="36"/>
      <c r="AQ395" s="128" t="str" cm="1">
        <f t="array" ref="AQ395">_xlfn.IFS(MONTH(AR395)&lt;4,1,MONTH(AR395)&lt;7,2,MONTH(AR395)&lt;10,3,MONTH(AR395)&gt;9,4)&amp;"Q"&amp;RIGHT(YEAR(AR395),2)</f>
        <v>1Q26</v>
      </c>
      <c r="AR395" s="128">
        <f t="shared" si="200"/>
        <v>46112</v>
      </c>
      <c r="AS395" s="129">
        <f>AS394+7</f>
        <v>46083</v>
      </c>
      <c r="AT395" s="135">
        <v>730</v>
      </c>
      <c r="AU395" s="134" cm="1">
        <f t="array" ref="AU395">INDEX($CE$29:$CE$1449,MATCH($AR395,$CA$29:$CA$1449,0),)</f>
        <v>432</v>
      </c>
      <c r="AV395" s="135">
        <v>935</v>
      </c>
      <c r="AW395" s="134" cm="1">
        <f t="array" ref="AW395">INDEX($CF$29:$CF$1449,MATCH($AR395,$CA$29:$CA$1449,0),)</f>
        <v>738</v>
      </c>
      <c r="AX395" s="135">
        <v>900</v>
      </c>
      <c r="AY395" s="134" cm="1">
        <f t="array" ref="AY395">INDEX($CO$29:$CO$1449,MATCH($AR395,$CA$29:$CA$1449,0),)</f>
        <v>451</v>
      </c>
      <c r="AZ395" s="135">
        <v>2225</v>
      </c>
      <c r="BA395" s="134" cm="1">
        <f t="array" ref="BA395">INDEX($CP$29:$CP$1449,MATCH($AR395,$CA$29:$CA$1449,0),)</f>
        <v>851</v>
      </c>
      <c r="BB395" s="133">
        <f t="shared" si="202"/>
        <v>0.0138888888888888</v>
      </c>
      <c r="BC395" s="132">
        <f t="shared" si="204"/>
        <v>0.0428571428571429</v>
      </c>
      <c r="BD395" s="132">
        <f t="shared" si="206"/>
        <v>0.0579710144927537</v>
      </c>
      <c r="BE395" s="133">
        <f t="shared" si="203"/>
        <v>0.00321888412017168</v>
      </c>
      <c r="BF395" s="132">
        <f t="shared" si="205"/>
        <v>0.00321888412017168</v>
      </c>
      <c r="BG395" s="132">
        <f t="shared" si="207"/>
        <v>0.0053763440860215</v>
      </c>
      <c r="BH395" s="133">
        <f t="shared" si="224"/>
        <v>0.0112359550561798</v>
      </c>
      <c r="BI395" s="132">
        <f t="shared" si="225"/>
        <v>0.0169491525423728</v>
      </c>
      <c r="BJ395" s="132">
        <f t="shared" si="226"/>
        <v>0.0344827586206897</v>
      </c>
      <c r="BK395" s="133">
        <f t="shared" si="227"/>
        <v>0.0229885057471264</v>
      </c>
      <c r="BL395" s="132">
        <f t="shared" si="228"/>
        <v>0.0348837209302326</v>
      </c>
      <c r="BM395" s="132">
        <f t="shared" si="229"/>
        <v>0.1125</v>
      </c>
      <c r="FV395" s="104">
        <f t="shared" si="209"/>
        <v>2012</v>
      </c>
      <c r="FW395" s="104">
        <f t="shared" si="210"/>
        <v>11</v>
      </c>
      <c r="FX395" s="35">
        <v>40982</v>
      </c>
      <c r="FY395" s="26">
        <v>0.98</v>
      </c>
      <c r="FZ395" s="94">
        <f t="shared" si="211"/>
        <v>3.92</v>
      </c>
      <c r="GA395" s="104"/>
      <c r="GB395" s="104"/>
      <c r="GE395" s="94"/>
      <c r="GF395" s="104">
        <f t="shared" si="212"/>
        <v>2014</v>
      </c>
      <c r="GG395" s="104">
        <f t="shared" si="213"/>
        <v>26</v>
      </c>
      <c r="GH395" s="35">
        <v>41814</v>
      </c>
      <c r="GI395" s="26">
        <v>4.22</v>
      </c>
      <c r="GJ395" s="94">
        <f t="shared" si="214"/>
        <v>8.44</v>
      </c>
      <c r="GK395" s="104"/>
      <c r="GL395" s="104"/>
      <c r="GO395" s="94"/>
    </row>
    <row r="396" spans="3:197">
      <c r="C396" s="80" t="str" cm="1">
        <f t="array" ref="C396">_xlfn.IFS(MONTH(D396)&lt;4,1,MONTH(D396)&lt;7,2,MONTH(D396)&lt;10,3,MONTH(D396)&gt;9,4)&amp;"Q"&amp;RIGHT(YEAR(D396),2)</f>
        <v>3Q17</v>
      </c>
      <c r="D396" s="81">
        <f t="shared" si="198"/>
        <v>42978</v>
      </c>
      <c r="E396" s="82">
        <f t="shared" si="196"/>
        <v>42963</v>
      </c>
      <c r="F396" s="83">
        <f t="shared" si="197"/>
        <v>0.906625</v>
      </c>
      <c r="G396" s="83">
        <f t="shared" si="197"/>
        <v>0.85125</v>
      </c>
      <c r="H396" s="81"/>
      <c r="I396" s="146">
        <v>42963</v>
      </c>
      <c r="J396" s="147">
        <v>7.5</v>
      </c>
      <c r="K396" s="147">
        <v>6.95</v>
      </c>
      <c r="L396" s="147">
        <v>7.253</v>
      </c>
      <c r="M396" s="94" cm="1">
        <f t="array" ref="M396">INDEX($BV$29:$BV$1449,MATCH($D396,$BR$29:$BR$1449,0),)</f>
        <v>6.81</v>
      </c>
      <c r="N396" s="150">
        <f t="shared" si="218"/>
        <v>-0.0034350096180269</v>
      </c>
      <c r="O396" s="150">
        <f t="shared" si="219"/>
        <v>-0.00384562560087898</v>
      </c>
      <c r="P396" s="150">
        <f t="shared" si="217"/>
        <v>-0.0100996314999318</v>
      </c>
      <c r="Q396" s="89">
        <f t="shared" si="220"/>
        <v>0.0650513950073421</v>
      </c>
      <c r="AH396" s="105">
        <f t="shared" si="221"/>
        <v>45355</v>
      </c>
      <c r="AI396" s="91">
        <f t="shared" si="222"/>
        <v>1.815</v>
      </c>
      <c r="AJ396" s="57">
        <f t="shared" si="215"/>
        <v>-0.00873839432004375</v>
      </c>
      <c r="AK396" s="36">
        <f t="shared" si="201"/>
        <v>-0.00765445598687808</v>
      </c>
      <c r="AL396" s="105">
        <f t="shared" si="223"/>
        <v>45355</v>
      </c>
      <c r="AM396" s="91">
        <f t="shared" si="192"/>
        <v>4.713</v>
      </c>
      <c r="AN396" s="57">
        <f t="shared" si="216"/>
        <v>-0.00084799660801349</v>
      </c>
      <c r="AO396" s="36">
        <f t="shared" si="195"/>
        <v>0.00985643882579823</v>
      </c>
      <c r="AP396" s="36"/>
      <c r="AQ396" s="128" t="str" cm="1">
        <f t="array" ref="AQ396">_xlfn.IFS(MONTH(AR396)&lt;4,1,MONTH(AR396)&lt;7,2,MONTH(AR396)&lt;10,3,MONTH(AR396)&gt;9,4)&amp;"Q"&amp;RIGHT(YEAR(AR396),2)</f>
        <v>1Q26</v>
      </c>
      <c r="AR396" s="128">
        <f t="shared" si="200"/>
        <v>46112</v>
      </c>
      <c r="AS396" s="129">
        <f>AS395+7</f>
        <v>46090</v>
      </c>
      <c r="AT396" s="135">
        <v>780</v>
      </c>
      <c r="AU396" s="134" cm="1">
        <f t="array" ref="AU396">INDEX($CE$29:$CE$1449,MATCH($AR396,$CA$29:$CA$1449,0),)</f>
        <v>432</v>
      </c>
      <c r="AV396" s="135">
        <v>980</v>
      </c>
      <c r="AW396" s="134" cm="1">
        <f t="array" ref="AW396">INDEX($CF$29:$CF$1449,MATCH($AR396,$CA$29:$CA$1449,0),)</f>
        <v>738</v>
      </c>
      <c r="AX396" s="135">
        <v>910</v>
      </c>
      <c r="AY396" s="134" cm="1">
        <f t="array" ref="AY396">INDEX($CO$29:$CO$1449,MATCH($AR396,$CA$29:$CA$1449,0),)</f>
        <v>451</v>
      </c>
      <c r="AZ396" s="135">
        <v>2325</v>
      </c>
      <c r="BA396" s="134" cm="1">
        <f t="array" ref="BA396">INDEX($CP$29:$CP$1449,MATCH($AR396,$CA$29:$CA$1449,0),)</f>
        <v>851</v>
      </c>
      <c r="BB396" s="133">
        <f t="shared" si="202"/>
        <v>0.0684931506849316</v>
      </c>
      <c r="BC396" s="132">
        <f t="shared" si="204"/>
        <v>0.0833333333333333</v>
      </c>
      <c r="BD396" s="132">
        <f t="shared" si="206"/>
        <v>0.114285714285714</v>
      </c>
      <c r="BE396" s="133">
        <f t="shared" si="203"/>
        <v>0.0481283422459893</v>
      </c>
      <c r="BF396" s="132">
        <f t="shared" si="205"/>
        <v>0.0515021459227467</v>
      </c>
      <c r="BG396" s="132">
        <f t="shared" si="207"/>
        <v>0.0515021459227467</v>
      </c>
      <c r="BH396" s="133">
        <f t="shared" si="224"/>
        <v>0.0111111111111111</v>
      </c>
      <c r="BI396" s="132">
        <f t="shared" si="225"/>
        <v>0.0224719101123596</v>
      </c>
      <c r="BJ396" s="132">
        <f t="shared" si="226"/>
        <v>0.0282485875706215</v>
      </c>
      <c r="BK396" s="133">
        <f t="shared" si="227"/>
        <v>0.0449438202247192</v>
      </c>
      <c r="BL396" s="132">
        <f t="shared" si="228"/>
        <v>0.0689655172413792</v>
      </c>
      <c r="BM396" s="132">
        <f t="shared" si="229"/>
        <v>0.0813953488372092</v>
      </c>
      <c r="FV396" s="104">
        <f t="shared" si="209"/>
        <v>2012</v>
      </c>
      <c r="FW396" s="104">
        <f t="shared" si="210"/>
        <v>11</v>
      </c>
      <c r="FX396" s="35">
        <v>40983</v>
      </c>
      <c r="FY396" s="26">
        <v>0.98</v>
      </c>
      <c r="FZ396" s="94">
        <f t="shared" si="211"/>
        <v>3.92</v>
      </c>
      <c r="GA396" s="104"/>
      <c r="GB396" s="104"/>
      <c r="GE396" s="94"/>
      <c r="GF396" s="104">
        <f t="shared" si="212"/>
        <v>2014</v>
      </c>
      <c r="GG396" s="104">
        <f t="shared" si="213"/>
        <v>26</v>
      </c>
      <c r="GH396" s="35">
        <v>41815</v>
      </c>
      <c r="GI396" s="26">
        <v>4.223</v>
      </c>
      <c r="GJ396" s="94">
        <f t="shared" si="214"/>
        <v>8.446</v>
      </c>
      <c r="GK396" s="104"/>
      <c r="GL396" s="104"/>
      <c r="GO396" s="94"/>
    </row>
    <row r="397" spans="3:197">
      <c r="C397" s="80" t="str" cm="1">
        <f t="array" ref="C397">_xlfn.IFS(MONTH(D397)&lt;4,1,MONTH(D397)&lt;7,2,MONTH(D397)&lt;10,3,MONTH(D397)&gt;9,4)&amp;"Q"&amp;RIGHT(YEAR(D397),2)</f>
        <v>3Q17</v>
      </c>
      <c r="D397" s="81">
        <f t="shared" si="198"/>
        <v>42978</v>
      </c>
      <c r="E397" s="82">
        <f t="shared" si="196"/>
        <v>42964</v>
      </c>
      <c r="F397" s="83">
        <f t="shared" si="197"/>
        <v>0.90625</v>
      </c>
      <c r="G397" s="83">
        <f t="shared" si="197"/>
        <v>0.85125</v>
      </c>
      <c r="H397" s="81"/>
      <c r="I397" s="146">
        <v>42964</v>
      </c>
      <c r="J397" s="147">
        <v>7.5</v>
      </c>
      <c r="K397" s="147">
        <v>6.97</v>
      </c>
      <c r="L397" s="147">
        <v>7.25</v>
      </c>
      <c r="M397" s="94" cm="1">
        <f t="array" ref="M397">INDEX($BV$29:$BV$1449,MATCH($D397,$BR$29:$BR$1449,0),)</f>
        <v>6.81</v>
      </c>
      <c r="N397" s="150">
        <f t="shared" si="218"/>
        <v>-0.00041362194953809</v>
      </c>
      <c r="O397" s="150">
        <f t="shared" si="219"/>
        <v>-0.00425765691525881</v>
      </c>
      <c r="P397" s="150">
        <f t="shared" si="217"/>
        <v>-0.0105090760201992</v>
      </c>
      <c r="Q397" s="89">
        <f t="shared" si="220"/>
        <v>0.064610866372981</v>
      </c>
      <c r="AH397" s="105">
        <f t="shared" si="221"/>
        <v>45362</v>
      </c>
      <c r="AI397" s="91">
        <f t="shared" si="222"/>
        <v>1.806</v>
      </c>
      <c r="AJ397" s="57">
        <f t="shared" si="215"/>
        <v>-0.00495867768595037</v>
      </c>
      <c r="AK397" s="36">
        <f t="shared" si="201"/>
        <v>-0.0136537411250682</v>
      </c>
      <c r="AL397" s="105">
        <f t="shared" si="223"/>
        <v>45362</v>
      </c>
      <c r="AM397" s="91">
        <f t="shared" si="192"/>
        <v>4.707</v>
      </c>
      <c r="AN397" s="57">
        <f t="shared" si="216"/>
        <v>-0.00127307447485681</v>
      </c>
      <c r="AO397" s="36">
        <f t="shared" si="195"/>
        <v>-0.00211999152003384</v>
      </c>
      <c r="AP397" s="36"/>
      <c r="AQ397" s="128" t="str" cm="1">
        <f t="array" ref="AQ397">_xlfn.IFS(MONTH(AR397)&lt;4,1,MONTH(AR397)&lt;7,2,MONTH(AR397)&lt;10,3,MONTH(AR397)&gt;9,4)&amp;"Q"&amp;RIGHT(YEAR(AR397),2)</f>
        <v>1Q26</v>
      </c>
      <c r="AR397" s="128">
        <f t="shared" si="200"/>
        <v>46112</v>
      </c>
      <c r="AS397" s="129">
        <f>AS396+7</f>
        <v>46097</v>
      </c>
      <c r="AT397" s="135">
        <v>900</v>
      </c>
      <c r="AU397" s="134" cm="1">
        <f t="array" ref="AU397">INDEX($CE$29:$CE$1449,MATCH($AR397,$CA$29:$CA$1449,0),)</f>
        <v>432</v>
      </c>
      <c r="AV397" s="135">
        <v>1100</v>
      </c>
      <c r="AW397" s="134" cm="1">
        <f t="array" ref="AW397">INDEX($CF$29:$CF$1449,MATCH($AR397,$CA$29:$CA$1449,0),)</f>
        <v>738</v>
      </c>
      <c r="AX397" s="135">
        <v>917.5</v>
      </c>
      <c r="AY397" s="134" cm="1">
        <f t="array" ref="AY397">INDEX($CO$29:$CO$1449,MATCH($AR397,$CA$29:$CA$1449,0),)</f>
        <v>451</v>
      </c>
      <c r="AZ397" s="135">
        <v>2350</v>
      </c>
      <c r="BA397" s="134" cm="1">
        <f t="array" ref="BA397">INDEX($CP$29:$CP$1449,MATCH($AR397,$CA$29:$CA$1449,0),)</f>
        <v>851</v>
      </c>
      <c r="BB397" s="133">
        <f t="shared" si="202"/>
        <v>0.153846153846154</v>
      </c>
      <c r="BC397" s="132">
        <f t="shared" si="204"/>
        <v>0.232876712328767</v>
      </c>
      <c r="BD397" s="132">
        <f t="shared" si="206"/>
        <v>0.25</v>
      </c>
      <c r="BE397" s="133">
        <f t="shared" si="203"/>
        <v>0.122448979591837</v>
      </c>
      <c r="BF397" s="132">
        <f t="shared" si="205"/>
        <v>0.176470588235294</v>
      </c>
      <c r="BG397" s="132">
        <f t="shared" si="207"/>
        <v>0.180257510729614</v>
      </c>
      <c r="BH397" s="133">
        <f t="shared" si="224"/>
        <v>0.00824175824175821</v>
      </c>
      <c r="BI397" s="132">
        <f t="shared" si="225"/>
        <v>0.0194444444444444</v>
      </c>
      <c r="BJ397" s="132">
        <f t="shared" si="226"/>
        <v>0.0308988764044944</v>
      </c>
      <c r="BK397" s="133">
        <f t="shared" si="227"/>
        <v>0.010752688172043</v>
      </c>
      <c r="BL397" s="132">
        <f t="shared" si="228"/>
        <v>0.0561797752808988</v>
      </c>
      <c r="BM397" s="132">
        <f t="shared" si="229"/>
        <v>0.0804597701149425</v>
      </c>
      <c r="FV397" s="104">
        <f t="shared" si="209"/>
        <v>2012</v>
      </c>
      <c r="FW397" s="104">
        <f t="shared" si="210"/>
        <v>11</v>
      </c>
      <c r="FX397" s="35">
        <v>40984</v>
      </c>
      <c r="FY397" s="26">
        <v>1</v>
      </c>
      <c r="FZ397" s="94">
        <f t="shared" si="211"/>
        <v>4</v>
      </c>
      <c r="GA397" s="104"/>
      <c r="GB397" s="104"/>
      <c r="GE397" s="94"/>
      <c r="GF397" s="104">
        <f t="shared" si="212"/>
        <v>2014</v>
      </c>
      <c r="GG397" s="104">
        <f t="shared" si="213"/>
        <v>26</v>
      </c>
      <c r="GH397" s="35">
        <v>41816</v>
      </c>
      <c r="GI397" s="26">
        <v>4.226</v>
      </c>
      <c r="GJ397" s="94">
        <f t="shared" si="214"/>
        <v>8.452</v>
      </c>
      <c r="GK397" s="104"/>
      <c r="GL397" s="104"/>
      <c r="GO397" s="94"/>
    </row>
    <row r="398" spans="3:197">
      <c r="C398" s="80" t="str" cm="1">
        <f t="array" ref="C398">_xlfn.IFS(MONTH(D398)&lt;4,1,MONTH(D398)&lt;7,2,MONTH(D398)&lt;10,3,MONTH(D398)&gt;9,4)&amp;"Q"&amp;RIGHT(YEAR(D398),2)</f>
        <v>3Q17</v>
      </c>
      <c r="D398" s="81">
        <f t="shared" si="198"/>
        <v>42978</v>
      </c>
      <c r="E398" s="82">
        <f t="shared" si="196"/>
        <v>42965</v>
      </c>
      <c r="F398" s="83">
        <f t="shared" si="197"/>
        <v>0.906125</v>
      </c>
      <c r="G398" s="83">
        <f t="shared" si="197"/>
        <v>0.85125</v>
      </c>
      <c r="H398" s="81"/>
      <c r="I398" s="146">
        <v>42965</v>
      </c>
      <c r="J398" s="147">
        <v>7.5</v>
      </c>
      <c r="K398" s="147">
        <v>6.97</v>
      </c>
      <c r="L398" s="147">
        <v>7.249</v>
      </c>
      <c r="M398" s="94" cm="1">
        <f t="array" ref="M398">INDEX($BV$29:$BV$1449,MATCH($D398,$BR$29:$BR$1449,0),)</f>
        <v>6.81</v>
      </c>
      <c r="N398" s="150">
        <f t="shared" si="218"/>
        <v>-0.000137931034482786</v>
      </c>
      <c r="O398" s="150">
        <f t="shared" si="219"/>
        <v>-0.00398461115691118</v>
      </c>
      <c r="P398" s="150">
        <f t="shared" si="217"/>
        <v>-0.00439500068671883</v>
      </c>
      <c r="Q398" s="89">
        <f t="shared" si="220"/>
        <v>0.0644640234948606</v>
      </c>
      <c r="AH398" s="105">
        <f t="shared" si="221"/>
        <v>45369</v>
      </c>
      <c r="AI398" s="91">
        <f t="shared" si="222"/>
        <v>1.784</v>
      </c>
      <c r="AJ398" s="57">
        <f t="shared" si="215"/>
        <v>-0.0121816168327796</v>
      </c>
      <c r="AK398" s="36">
        <f t="shared" si="201"/>
        <v>-0.0170798898071625</v>
      </c>
      <c r="AL398" s="105">
        <f t="shared" si="223"/>
        <v>45369</v>
      </c>
      <c r="AM398" s="91">
        <f t="shared" si="192"/>
        <v>4.703</v>
      </c>
      <c r="AN398" s="57">
        <f t="shared" si="216"/>
        <v>-0.000849798172933847</v>
      </c>
      <c r="AO398" s="36">
        <f t="shared" si="195"/>
        <v>-0.00212179079142794</v>
      </c>
      <c r="AP398" s="36"/>
      <c r="AQ398" s="128" t="str" cm="1">
        <f t="array" ref="AQ398">_xlfn.IFS(MONTH(AR398)&lt;4,1,MONTH(AR398)&lt;7,2,MONTH(AR398)&lt;10,3,MONTH(AR398)&gt;9,4)&amp;"Q"&amp;RIGHT(YEAR(AR398),2)</f>
        <v>1Q26</v>
      </c>
      <c r="AR398" s="128">
        <f t="shared" si="200"/>
        <v>46112</v>
      </c>
      <c r="AS398" s="129">
        <f>AS397+7</f>
        <v>46104</v>
      </c>
      <c r="AT398" s="135">
        <v>1000</v>
      </c>
      <c r="AU398" s="134" cm="1">
        <f t="array" ref="AU398">INDEX($CE$29:$CE$1449,MATCH($AR398,$CA$29:$CA$1449,0),)</f>
        <v>432</v>
      </c>
      <c r="AV398" s="135">
        <v>1200</v>
      </c>
      <c r="AW398" s="134" cm="1">
        <f t="array" ref="AW398">INDEX($CF$29:$CF$1449,MATCH($AR398,$CA$29:$CA$1449,0),)</f>
        <v>738</v>
      </c>
      <c r="AX398" s="135">
        <v>925</v>
      </c>
      <c r="AY398" s="134" cm="1">
        <f t="array" ref="AY398">INDEX($CO$29:$CO$1449,MATCH($AR398,$CA$29:$CA$1449,0),)</f>
        <v>451</v>
      </c>
      <c r="AZ398" s="135">
        <v>2375</v>
      </c>
      <c r="BA398" s="134" cm="1">
        <f t="array" ref="BA398">INDEX($CP$29:$CP$1449,MATCH($AR398,$CA$29:$CA$1449,0),)</f>
        <v>851</v>
      </c>
      <c r="BB398" s="133">
        <f t="shared" si="202"/>
        <v>0.111111111111111</v>
      </c>
      <c r="BC398" s="132">
        <f t="shared" si="204"/>
        <v>0.282051282051282</v>
      </c>
      <c r="BD398" s="132">
        <f t="shared" si="206"/>
        <v>0.36986301369863</v>
      </c>
      <c r="BE398" s="133">
        <f t="shared" si="203"/>
        <v>0.0909090909090908</v>
      </c>
      <c r="BF398" s="132">
        <f t="shared" si="205"/>
        <v>0.224489795918367</v>
      </c>
      <c r="BG398" s="132">
        <f t="shared" si="207"/>
        <v>0.283422459893048</v>
      </c>
      <c r="BH398" s="133">
        <f t="shared" si="224"/>
        <v>0.00817438692098094</v>
      </c>
      <c r="BI398" s="132">
        <f t="shared" si="225"/>
        <v>0.0164835164835164</v>
      </c>
      <c r="BJ398" s="132">
        <f t="shared" si="226"/>
        <v>0.0277777777777777</v>
      </c>
      <c r="BK398" s="133">
        <f t="shared" si="227"/>
        <v>0.0106382978723405</v>
      </c>
      <c r="BL398" s="132">
        <f t="shared" si="228"/>
        <v>0.021505376344086</v>
      </c>
      <c r="BM398" s="132">
        <f t="shared" si="229"/>
        <v>0.0674157303370786</v>
      </c>
      <c r="FV398" s="104">
        <f t="shared" si="209"/>
        <v>2012</v>
      </c>
      <c r="FW398" s="104">
        <f t="shared" si="210"/>
        <v>12</v>
      </c>
      <c r="FX398" s="35">
        <v>40987</v>
      </c>
      <c r="FY398" s="26">
        <v>1.02</v>
      </c>
      <c r="FZ398" s="94">
        <f t="shared" si="211"/>
        <v>4.08</v>
      </c>
      <c r="GA398" s="104"/>
      <c r="GB398" s="104"/>
      <c r="GE398" s="94"/>
      <c r="GF398" s="104">
        <f t="shared" si="212"/>
        <v>2014</v>
      </c>
      <c r="GG398" s="104">
        <f t="shared" si="213"/>
        <v>26</v>
      </c>
      <c r="GH398" s="35">
        <v>41817</v>
      </c>
      <c r="GI398" s="26">
        <v>4.255</v>
      </c>
      <c r="GJ398" s="94">
        <f t="shared" si="214"/>
        <v>8.51</v>
      </c>
      <c r="GK398" s="104"/>
      <c r="GL398" s="104"/>
      <c r="GO398" s="94"/>
    </row>
    <row r="399" spans="3:197">
      <c r="C399" s="80" t="str" cm="1">
        <f t="array" ref="C399">_xlfn.IFS(MONTH(D399)&lt;4,1,MONTH(D399)&lt;7,2,MONTH(D399)&lt;10,3,MONTH(D399)&gt;9,4)&amp;"Q"&amp;RIGHT(YEAR(D399),2)</f>
        <v>3Q17</v>
      </c>
      <c r="D399" s="81">
        <f t="shared" si="198"/>
        <v>42978</v>
      </c>
      <c r="E399" s="82">
        <f t="shared" si="196"/>
        <v>42968</v>
      </c>
      <c r="F399" s="83">
        <f t="shared" si="197"/>
        <v>0.905875</v>
      </c>
      <c r="G399" s="83">
        <f t="shared" si="197"/>
        <v>0.85125</v>
      </c>
      <c r="H399" s="81"/>
      <c r="I399" s="146">
        <v>42968</v>
      </c>
      <c r="J399" s="147">
        <v>7.5</v>
      </c>
      <c r="K399" s="147">
        <v>6.97</v>
      </c>
      <c r="L399" s="147">
        <v>7.247</v>
      </c>
      <c r="M399" s="94" cm="1">
        <f t="array" ref="M399">INDEX($BV$29:$BV$1449,MATCH($D399,$BR$29:$BR$1449,0),)</f>
        <v>6.81</v>
      </c>
      <c r="N399" s="150">
        <f t="shared" si="218"/>
        <v>-0.000275900124155015</v>
      </c>
      <c r="O399" s="150">
        <f t="shared" si="219"/>
        <v>-0.00425941192635337</v>
      </c>
      <c r="P399" s="150">
        <f t="shared" si="217"/>
        <v>-0.00466968822963876</v>
      </c>
      <c r="Q399" s="89">
        <f t="shared" si="220"/>
        <v>0.0641703377386198</v>
      </c>
      <c r="AH399" s="105">
        <f t="shared" si="221"/>
        <v>45376</v>
      </c>
      <c r="AI399" s="91">
        <f t="shared" si="222"/>
        <v>1.769</v>
      </c>
      <c r="AJ399" s="57">
        <f t="shared" si="215"/>
        <v>-0.00840807174887903</v>
      </c>
      <c r="AK399" s="36">
        <f t="shared" si="201"/>
        <v>-0.0204872646733113</v>
      </c>
      <c r="AL399" s="105">
        <f t="shared" si="223"/>
        <v>45376</v>
      </c>
      <c r="AM399" s="91">
        <f t="shared" si="192"/>
        <v>4.693</v>
      </c>
      <c r="AN399" s="57">
        <f t="shared" si="216"/>
        <v>-0.00212630236019573</v>
      </c>
      <c r="AO399" s="36">
        <f t="shared" si="195"/>
        <v>-0.0029742936052688</v>
      </c>
      <c r="AP399" s="36"/>
      <c r="AQ399" s="128" t="str" cm="1">
        <f t="array" ref="AQ399">_xlfn.IFS(MONTH(AR399)&lt;4,1,MONTH(AR399)&lt;7,2,MONTH(AR399)&lt;10,3,MONTH(AR399)&gt;9,4)&amp;"Q"&amp;RIGHT(YEAR(AR399),2)</f>
        <v>1Q26</v>
      </c>
      <c r="AR399" s="128">
        <f t="shared" si="200"/>
        <v>46112</v>
      </c>
      <c r="AS399" s="129">
        <f>AS398+7</f>
        <v>46111</v>
      </c>
      <c r="AT399" s="135">
        <v>1100</v>
      </c>
      <c r="AU399" s="134" cm="1">
        <f t="array" ref="AU399">INDEX($CE$29:$CE$1449,MATCH($AR399,$CA$29:$CA$1449,0),)</f>
        <v>432</v>
      </c>
      <c r="AV399" s="135">
        <v>1300</v>
      </c>
      <c r="AW399" s="134" cm="1">
        <f t="array" ref="AW399">INDEX($CF$29:$CF$1449,MATCH($AR399,$CA$29:$CA$1449,0),)</f>
        <v>738</v>
      </c>
      <c r="AX399" s="135">
        <v>935</v>
      </c>
      <c r="AY399" s="134" cm="1">
        <f t="array" ref="AY399">INDEX($CO$29:$CO$1449,MATCH($AR399,$CA$29:$CA$1449,0),)</f>
        <v>451</v>
      </c>
      <c r="AZ399" s="135">
        <v>2400</v>
      </c>
      <c r="BA399" s="134" cm="1">
        <f t="array" ref="BA399">INDEX($CP$29:$CP$1449,MATCH($AR399,$CA$29:$CA$1449,0),)</f>
        <v>851</v>
      </c>
      <c r="BB399" s="133">
        <f t="shared" si="202"/>
        <v>0.1</v>
      </c>
      <c r="BC399" s="132">
        <f t="shared" si="204"/>
        <v>0.222222222222222</v>
      </c>
      <c r="BD399" s="132">
        <f t="shared" si="206"/>
        <v>0.41025641025641</v>
      </c>
      <c r="BE399" s="133">
        <f t="shared" si="203"/>
        <v>0.0833333333333333</v>
      </c>
      <c r="BF399" s="132">
        <f t="shared" si="205"/>
        <v>0.181818181818182</v>
      </c>
      <c r="BG399" s="132">
        <f t="shared" si="207"/>
        <v>0.326530612244898</v>
      </c>
      <c r="BH399" s="133">
        <f t="shared" si="224"/>
        <v>0.0108108108108107</v>
      </c>
      <c r="BI399" s="132">
        <f t="shared" si="225"/>
        <v>0.0190735694822888</v>
      </c>
      <c r="BJ399" s="132">
        <f t="shared" si="226"/>
        <v>0.0274725274725274</v>
      </c>
      <c r="BK399" s="133">
        <f t="shared" si="227"/>
        <v>0.0105263157894737</v>
      </c>
      <c r="BL399" s="132">
        <f t="shared" si="228"/>
        <v>0.0212765957446808</v>
      </c>
      <c r="BM399" s="132">
        <f t="shared" si="229"/>
        <v>0.032258064516129</v>
      </c>
      <c r="FV399" s="104">
        <f t="shared" si="209"/>
        <v>2012</v>
      </c>
      <c r="FW399" s="104">
        <f t="shared" si="210"/>
        <v>12</v>
      </c>
      <c r="FX399" s="35">
        <v>40988</v>
      </c>
      <c r="FY399" s="26">
        <v>1.01</v>
      </c>
      <c r="FZ399" s="94">
        <f t="shared" si="211"/>
        <v>4.04</v>
      </c>
      <c r="GA399" s="104"/>
      <c r="GB399" s="104"/>
      <c r="GE399" s="94"/>
      <c r="GF399" s="104">
        <f t="shared" si="212"/>
        <v>2014</v>
      </c>
      <c r="GG399" s="104">
        <f t="shared" si="213"/>
        <v>27</v>
      </c>
      <c r="GH399" s="35">
        <v>41820</v>
      </c>
      <c r="GI399" s="26">
        <v>4.258</v>
      </c>
      <c r="GJ399" s="94">
        <f t="shared" si="214"/>
        <v>8.516</v>
      </c>
      <c r="GK399" s="104"/>
      <c r="GL399" s="104"/>
      <c r="GO399" s="94"/>
    </row>
    <row r="400" spans="3:197">
      <c r="C400" s="80" t="str" cm="1">
        <f t="array" ref="C400">_xlfn.IFS(MONTH(D400)&lt;4,1,MONTH(D400)&lt;7,2,MONTH(D400)&lt;10,3,MONTH(D400)&gt;9,4)&amp;"Q"&amp;RIGHT(YEAR(D400),2)</f>
        <v>3Q17</v>
      </c>
      <c r="D400" s="81">
        <f t="shared" si="198"/>
        <v>42978</v>
      </c>
      <c r="E400" s="82">
        <f t="shared" si="196"/>
        <v>42969</v>
      </c>
      <c r="F400" s="83">
        <f t="shared" si="197"/>
        <v>0.905875</v>
      </c>
      <c r="G400" s="83">
        <f t="shared" si="197"/>
        <v>0.85125</v>
      </c>
      <c r="H400" s="81"/>
      <c r="I400" s="146">
        <v>42969</v>
      </c>
      <c r="J400" s="147">
        <v>7.5</v>
      </c>
      <c r="K400" s="147">
        <v>6.97</v>
      </c>
      <c r="L400" s="147">
        <v>7.247</v>
      </c>
      <c r="M400" s="94" cm="1">
        <f t="array" ref="M400">INDEX($BV$29:$BV$1449,MATCH($D400,$BR$29:$BR$1449,0),)</f>
        <v>6.81</v>
      </c>
      <c r="N400" s="150">
        <f t="shared" si="218"/>
        <v>0</v>
      </c>
      <c r="O400" s="150">
        <f t="shared" si="219"/>
        <v>-0.00425941192635337</v>
      </c>
      <c r="P400" s="150">
        <f t="shared" si="217"/>
        <v>-0.00466968822963876</v>
      </c>
      <c r="Q400" s="89">
        <f t="shared" si="220"/>
        <v>0.0641703377386198</v>
      </c>
      <c r="AH400" s="105">
        <f t="shared" si="221"/>
        <v>45383</v>
      </c>
      <c r="AI400" s="91">
        <f t="shared" si="222"/>
        <v>1.767</v>
      </c>
      <c r="AJ400" s="57">
        <f t="shared" si="215"/>
        <v>-0.00113058224985862</v>
      </c>
      <c r="AK400" s="36">
        <f t="shared" si="201"/>
        <v>-0.00952914798206284</v>
      </c>
      <c r="AL400" s="105">
        <f t="shared" si="223"/>
        <v>45383</v>
      </c>
      <c r="AM400" s="91">
        <f t="shared" ref="AM400:AM463" si="230">IFERROR(VLOOKUP(AL400,$W:$Z,4,FALSE),VLOOKUP(AL400,$W:$Z,4,TRUE))</f>
        <v>4.692</v>
      </c>
      <c r="AN400" s="57">
        <f t="shared" si="216"/>
        <v>-0.000213083315576235</v>
      </c>
      <c r="AO400" s="36">
        <f t="shared" si="195"/>
        <v>-0.0023389325962152</v>
      </c>
      <c r="AP400" s="36"/>
      <c r="AQ400" s="128" t="str" cm="1">
        <f t="array" ref="AQ400">_xlfn.IFS(MONTH(AR400)&lt;4,1,MONTH(AR400)&lt;7,2,MONTH(AR400)&lt;10,3,MONTH(AR400)&gt;9,4)&amp;"Q"&amp;RIGHT(YEAR(AR400),2)</f>
        <v>2Q26</v>
      </c>
      <c r="AR400" s="128">
        <f t="shared" si="200"/>
        <v>46142</v>
      </c>
      <c r="AS400" s="129">
        <f>AS399+8</f>
        <v>46119</v>
      </c>
      <c r="AT400" s="135">
        <v>1150</v>
      </c>
      <c r="AU400" s="134" cm="1">
        <f t="array" ref="AU400">INDEX($CE$29:$CE$1449,MATCH($AR400,$CA$29:$CA$1449,0),)</f>
        <v>660</v>
      </c>
      <c r="AV400" s="135">
        <v>1350</v>
      </c>
      <c r="AW400" s="134" cm="1">
        <f t="array" ref="AW400">INDEX($CF$29:$CF$1449,MATCH($AR400,$CA$29:$CA$1449,0),)</f>
        <v>1127</v>
      </c>
      <c r="AX400" s="135">
        <v>930</v>
      </c>
      <c r="AY400" s="134" cm="1">
        <f t="array" ref="AY400">INDEX($CO$29:$CO$1449,MATCH($AR400,$CA$29:$CA$1449,0),)</f>
        <v>648</v>
      </c>
      <c r="AZ400" s="135">
        <v>2375</v>
      </c>
      <c r="BA400" s="134" cm="1">
        <f t="array" ref="BA400">INDEX($CP$29:$CP$1449,MATCH($AR400,$CA$29:$CA$1449,0),)</f>
        <v>1223</v>
      </c>
      <c r="BB400" s="133">
        <f t="shared" si="202"/>
        <v>0.0454545454545454</v>
      </c>
      <c r="BC400" s="132">
        <f t="shared" si="204"/>
        <v>0.15</v>
      </c>
      <c r="BD400" s="132">
        <f t="shared" si="206"/>
        <v>0.277777777777778</v>
      </c>
      <c r="BE400" s="133">
        <f t="shared" si="203"/>
        <v>0.0384615384615385</v>
      </c>
      <c r="BF400" s="132">
        <f t="shared" si="205"/>
        <v>0.125</v>
      </c>
      <c r="BG400" s="132">
        <f t="shared" si="207"/>
        <v>0.227272727272727</v>
      </c>
      <c r="BH400" s="133">
        <f t="shared" si="224"/>
        <v>-0.00534759358288772</v>
      </c>
      <c r="BI400" s="132">
        <f t="shared" si="225"/>
        <v>0.00540540540540535</v>
      </c>
      <c r="BJ400" s="132">
        <f t="shared" si="226"/>
        <v>0.013623978201635</v>
      </c>
      <c r="BK400" s="133">
        <f t="shared" si="227"/>
        <v>-0.0104166666666666</v>
      </c>
      <c r="BL400" s="132">
        <f t="shared" si="228"/>
        <v>0</v>
      </c>
      <c r="BM400" s="132">
        <f t="shared" si="229"/>
        <v>0.0106382978723405</v>
      </c>
      <c r="FV400" s="104">
        <f t="shared" si="209"/>
        <v>2012</v>
      </c>
      <c r="FW400" s="104">
        <f t="shared" si="210"/>
        <v>12</v>
      </c>
      <c r="FX400" s="35">
        <v>40989</v>
      </c>
      <c r="FY400" s="26">
        <v>1.01</v>
      </c>
      <c r="FZ400" s="94">
        <f t="shared" si="211"/>
        <v>4.04</v>
      </c>
      <c r="GA400" s="104"/>
      <c r="GB400" s="104"/>
      <c r="GE400" s="94"/>
      <c r="GF400" s="104">
        <f t="shared" si="212"/>
        <v>2014</v>
      </c>
      <c r="GG400" s="104">
        <f t="shared" si="213"/>
        <v>27</v>
      </c>
      <c r="GH400" s="35">
        <v>41821</v>
      </c>
      <c r="GI400" s="26">
        <v>4.288</v>
      </c>
      <c r="GJ400" s="94">
        <f t="shared" si="214"/>
        <v>8.576</v>
      </c>
      <c r="GK400" s="104"/>
      <c r="GL400" s="104"/>
      <c r="GO400" s="94"/>
    </row>
    <row r="401" spans="3:197">
      <c r="C401" s="80" t="str" cm="1">
        <f t="array" ref="C401">_xlfn.IFS(MONTH(D401)&lt;4,1,MONTH(D401)&lt;7,2,MONTH(D401)&lt;10,3,MONTH(D401)&gt;9,4)&amp;"Q"&amp;RIGHT(YEAR(D401),2)</f>
        <v>3Q17</v>
      </c>
      <c r="D401" s="81">
        <f t="shared" si="198"/>
        <v>42978</v>
      </c>
      <c r="E401" s="82">
        <f t="shared" si="196"/>
        <v>42970</v>
      </c>
      <c r="F401" s="83">
        <f t="shared" si="197"/>
        <v>0.906375</v>
      </c>
      <c r="G401" s="83">
        <f t="shared" si="197"/>
        <v>0.85125</v>
      </c>
      <c r="H401" s="81"/>
      <c r="I401" s="146">
        <v>42970</v>
      </c>
      <c r="J401" s="147">
        <v>7.5</v>
      </c>
      <c r="K401" s="147">
        <v>6.97</v>
      </c>
      <c r="L401" s="147">
        <v>7.251</v>
      </c>
      <c r="M401" s="94" cm="1">
        <f t="array" ref="M401">INDEX($BV$29:$BV$1449,MATCH($D401,$BR$29:$BR$1449,0),)</f>
        <v>6.81</v>
      </c>
      <c r="N401" s="150">
        <f t="shared" si="218"/>
        <v>0.000551952532082289</v>
      </c>
      <c r="O401" s="150">
        <f t="shared" si="219"/>
        <v>-0.000275747966358764</v>
      </c>
      <c r="P401" s="150">
        <f t="shared" si="217"/>
        <v>-0.00412031314379879</v>
      </c>
      <c r="Q401" s="89">
        <f t="shared" si="220"/>
        <v>0.0647577092511014</v>
      </c>
      <c r="AH401" s="105">
        <f t="shared" si="221"/>
        <v>45390</v>
      </c>
      <c r="AI401" s="91">
        <f t="shared" si="222"/>
        <v>1.771</v>
      </c>
      <c r="AJ401" s="57">
        <f t="shared" si="215"/>
        <v>0.00226372382569329</v>
      </c>
      <c r="AK401" s="36">
        <f t="shared" si="201"/>
        <v>0.00113058224985862</v>
      </c>
      <c r="AL401" s="105">
        <f t="shared" si="223"/>
        <v>45390</v>
      </c>
      <c r="AM401" s="91">
        <f t="shared" si="230"/>
        <v>4.705</v>
      </c>
      <c r="AN401" s="57">
        <f t="shared" si="216"/>
        <v>0.00277067348678606</v>
      </c>
      <c r="AO401" s="36">
        <f t="shared" si="195"/>
        <v>0.00255699978691681</v>
      </c>
      <c r="AP401" s="36"/>
      <c r="AQ401" s="128" t="str" cm="1">
        <f t="array" ref="AQ401">_xlfn.IFS(MONTH(AR401)&lt;4,1,MONTH(AR401)&lt;7,2,MONTH(AR401)&lt;10,3,MONTH(AR401)&gt;9,4)&amp;"Q"&amp;RIGHT(YEAR(AR401),2)</f>
        <v>2Q26</v>
      </c>
      <c r="AR401" s="128">
        <f t="shared" si="200"/>
        <v>46142</v>
      </c>
      <c r="AS401" s="129">
        <f>AS400+6</f>
        <v>46125</v>
      </c>
      <c r="AT401" s="135">
        <v>1250</v>
      </c>
      <c r="AU401" s="134" cm="1">
        <f t="array" ref="AU401">INDEX($CE$29:$CE$1449,MATCH($AR401,$CA$29:$CA$1449,0),)</f>
        <v>660</v>
      </c>
      <c r="AV401" s="135">
        <v>1450</v>
      </c>
      <c r="AW401" s="134" cm="1">
        <f t="array" ref="AW401">INDEX($CF$29:$CF$1449,MATCH($AR401,$CA$29:$CA$1449,0),)</f>
        <v>1127</v>
      </c>
      <c r="AX401" s="135">
        <v>975</v>
      </c>
      <c r="AY401" s="134" cm="1">
        <f t="array" ref="AY401">INDEX($CO$29:$CO$1449,MATCH($AR401,$CA$29:$CA$1449,0),)</f>
        <v>648</v>
      </c>
      <c r="AZ401" s="135">
        <v>2325</v>
      </c>
      <c r="BA401" s="134" cm="1">
        <f t="array" ref="BA401">INDEX($CP$29:$CP$1449,MATCH($AR401,$CA$29:$CA$1449,0),)</f>
        <v>1223</v>
      </c>
      <c r="BB401" s="133">
        <f t="shared" si="202"/>
        <v>0.0869565217391304</v>
      </c>
      <c r="BC401" s="132">
        <f t="shared" si="204"/>
        <v>0.136363636363636</v>
      </c>
      <c r="BD401" s="132">
        <f t="shared" si="206"/>
        <v>0.25</v>
      </c>
      <c r="BE401" s="133">
        <f t="shared" si="203"/>
        <v>0.0740740740740742</v>
      </c>
      <c r="BF401" s="132">
        <f t="shared" si="205"/>
        <v>0.115384615384615</v>
      </c>
      <c r="BG401" s="132">
        <f t="shared" si="207"/>
        <v>0.208333333333333</v>
      </c>
      <c r="BH401" s="133">
        <f t="shared" si="224"/>
        <v>0.0483870967741935</v>
      </c>
      <c r="BI401" s="132">
        <f t="shared" si="225"/>
        <v>0.0427807486631016</v>
      </c>
      <c r="BJ401" s="132">
        <f t="shared" si="226"/>
        <v>0.0540540540540539</v>
      </c>
      <c r="BK401" s="133">
        <f t="shared" si="227"/>
        <v>-0.0210526315789473</v>
      </c>
      <c r="BL401" s="132">
        <f t="shared" si="228"/>
        <v>-0.03125</v>
      </c>
      <c r="BM401" s="132">
        <f t="shared" si="229"/>
        <v>-0.0210526315789473</v>
      </c>
      <c r="FV401" s="104">
        <f t="shared" si="209"/>
        <v>2012</v>
      </c>
      <c r="FW401" s="104">
        <f t="shared" si="210"/>
        <v>12</v>
      </c>
      <c r="FX401" s="35">
        <v>40990</v>
      </c>
      <c r="FY401" s="26">
        <v>1.01</v>
      </c>
      <c r="FZ401" s="94">
        <f t="shared" si="211"/>
        <v>4.04</v>
      </c>
      <c r="GA401" s="104"/>
      <c r="GB401" s="104"/>
      <c r="GE401" s="94"/>
      <c r="GF401" s="104">
        <f t="shared" si="212"/>
        <v>2014</v>
      </c>
      <c r="GG401" s="104">
        <f t="shared" si="213"/>
        <v>27</v>
      </c>
      <c r="GH401" s="35">
        <v>41822</v>
      </c>
      <c r="GI401" s="26">
        <v>4.288</v>
      </c>
      <c r="GJ401" s="94">
        <f t="shared" si="214"/>
        <v>8.576</v>
      </c>
      <c r="GK401" s="104"/>
      <c r="GL401" s="104"/>
      <c r="GO401" s="94"/>
    </row>
    <row r="402" spans="3:197">
      <c r="C402" s="80" t="str" cm="1">
        <f t="array" ref="C402">_xlfn.IFS(MONTH(D402)&lt;4,1,MONTH(D402)&lt;7,2,MONTH(D402)&lt;10,3,MONTH(D402)&gt;9,4)&amp;"Q"&amp;RIGHT(YEAR(D402),2)</f>
        <v>3Q17</v>
      </c>
      <c r="D402" s="81">
        <f t="shared" si="198"/>
        <v>42978</v>
      </c>
      <c r="E402" s="82">
        <f t="shared" si="196"/>
        <v>42971</v>
      </c>
      <c r="F402" s="83">
        <f t="shared" si="197"/>
        <v>0.906625</v>
      </c>
      <c r="G402" s="83">
        <f t="shared" si="197"/>
        <v>0.85125</v>
      </c>
      <c r="H402" s="81"/>
      <c r="I402" s="146">
        <v>42971</v>
      </c>
      <c r="J402" s="147">
        <v>7.5</v>
      </c>
      <c r="K402" s="147">
        <v>6.97</v>
      </c>
      <c r="L402" s="147">
        <v>7.253</v>
      </c>
      <c r="M402" s="94" cm="1">
        <f t="array" ref="M402">INDEX($BV$29:$BV$1449,MATCH($D402,$BR$29:$BR$1449,0),)</f>
        <v>6.81</v>
      </c>
      <c r="N402" s="150">
        <f t="shared" si="218"/>
        <v>0.000275824024272397</v>
      </c>
      <c r="O402" s="150">
        <f t="shared" si="219"/>
        <v>0.000413793103448246</v>
      </c>
      <c r="P402" s="150">
        <f t="shared" si="217"/>
        <v>-0.00384562560087898</v>
      </c>
      <c r="Q402" s="89">
        <f t="shared" si="220"/>
        <v>0.0650513950073421</v>
      </c>
      <c r="AH402" s="105">
        <f t="shared" si="221"/>
        <v>45397</v>
      </c>
      <c r="AI402" s="91">
        <f t="shared" si="222"/>
        <v>1.805</v>
      </c>
      <c r="AJ402" s="57">
        <f t="shared" si="215"/>
        <v>0.0191981931112366</v>
      </c>
      <c r="AK402" s="36">
        <f t="shared" si="201"/>
        <v>0.021505376344086</v>
      </c>
      <c r="AL402" s="105">
        <f t="shared" si="223"/>
        <v>45397</v>
      </c>
      <c r="AM402" s="91">
        <f t="shared" si="230"/>
        <v>4.743</v>
      </c>
      <c r="AN402" s="57">
        <f t="shared" si="216"/>
        <v>0.00807651434644008</v>
      </c>
      <c r="AO402" s="36">
        <f t="shared" ref="AO402:AO465" si="231">AM402/AM400-1</f>
        <v>0.0108695652173914</v>
      </c>
      <c r="AP402" s="36"/>
      <c r="AQ402" s="128" t="str" cm="1">
        <f t="array" ref="AQ402">_xlfn.IFS(MONTH(AR402)&lt;4,1,MONTH(AR402)&lt;7,2,MONTH(AR402)&lt;10,3,MONTH(AR402)&gt;9,4)&amp;"Q"&amp;RIGHT(YEAR(AR402),2)</f>
        <v>2Q26</v>
      </c>
      <c r="AR402" s="128">
        <f t="shared" si="200"/>
        <v>46142</v>
      </c>
      <c r="AS402" s="129">
        <f t="shared" ref="AS402:AS408" si="232">AS401+7</f>
        <v>46132</v>
      </c>
      <c r="AT402" s="135">
        <v>1240</v>
      </c>
      <c r="AU402" s="134" cm="1">
        <f t="array" ref="AU402">INDEX($CE$29:$CE$1449,MATCH($AR402,$CA$29:$CA$1449,0),)</f>
        <v>660</v>
      </c>
      <c r="AV402" s="135">
        <v>1435</v>
      </c>
      <c r="AW402" s="134" cm="1">
        <f t="array" ref="AW402">INDEX($CF$29:$CF$1449,MATCH($AR402,$CA$29:$CA$1449,0),)</f>
        <v>1127</v>
      </c>
      <c r="AX402" s="135">
        <v>970</v>
      </c>
      <c r="AY402" s="134" cm="1">
        <f t="array" ref="AY402">INDEX($CO$29:$CO$1449,MATCH($AR402,$CA$29:$CA$1449,0),)</f>
        <v>648</v>
      </c>
      <c r="AZ402" s="135">
        <v>2264</v>
      </c>
      <c r="BA402" s="134" cm="1">
        <f t="array" ref="BA402">INDEX($CP$29:$CP$1449,MATCH($AR402,$CA$29:$CA$1449,0),)</f>
        <v>1223</v>
      </c>
      <c r="BB402" s="133">
        <f t="shared" si="202"/>
        <v>-0.00800000000000001</v>
      </c>
      <c r="BC402" s="132">
        <f t="shared" si="204"/>
        <v>0.0782608695652174</v>
      </c>
      <c r="BD402" s="132">
        <f t="shared" si="206"/>
        <v>0.127272727272727</v>
      </c>
      <c r="BE402" s="133">
        <f t="shared" si="203"/>
        <v>-0.0103448275862069</v>
      </c>
      <c r="BF402" s="132">
        <f t="shared" si="205"/>
        <v>0.0629629629629629</v>
      </c>
      <c r="BG402" s="132">
        <f t="shared" si="207"/>
        <v>0.103846153846154</v>
      </c>
      <c r="BH402" s="133">
        <f t="shared" si="224"/>
        <v>-0.00512820512820511</v>
      </c>
      <c r="BI402" s="132">
        <f t="shared" si="225"/>
        <v>0.043010752688172</v>
      </c>
      <c r="BJ402" s="132">
        <f t="shared" si="226"/>
        <v>0.0374331550802138</v>
      </c>
      <c r="BK402" s="133">
        <f t="shared" si="227"/>
        <v>-0.026236559139785</v>
      </c>
      <c r="BL402" s="132">
        <f t="shared" si="228"/>
        <v>-0.0467368421052632</v>
      </c>
      <c r="BM402" s="132">
        <f t="shared" si="229"/>
        <v>-0.0566666666666666</v>
      </c>
      <c r="FV402" s="104">
        <f t="shared" si="209"/>
        <v>2012</v>
      </c>
      <c r="FW402" s="104">
        <f t="shared" si="210"/>
        <v>12</v>
      </c>
      <c r="FX402" s="35">
        <v>40991</v>
      </c>
      <c r="FY402" s="26">
        <v>1</v>
      </c>
      <c r="FZ402" s="94">
        <f t="shared" si="211"/>
        <v>4</v>
      </c>
      <c r="GA402" s="104"/>
      <c r="GB402" s="104"/>
      <c r="GE402" s="94"/>
      <c r="GF402" s="104">
        <f t="shared" si="212"/>
        <v>2014</v>
      </c>
      <c r="GG402" s="104">
        <f t="shared" si="213"/>
        <v>27</v>
      </c>
      <c r="GH402" s="35">
        <v>41823</v>
      </c>
      <c r="GI402" s="26">
        <v>4.293</v>
      </c>
      <c r="GJ402" s="94">
        <f t="shared" si="214"/>
        <v>8.586</v>
      </c>
      <c r="GK402" s="104"/>
      <c r="GL402" s="104"/>
      <c r="GO402" s="94"/>
    </row>
    <row r="403" spans="3:197">
      <c r="C403" s="80" t="str" cm="1">
        <f t="array" ref="C403">_xlfn.IFS(MONTH(D403)&lt;4,1,MONTH(D403)&lt;7,2,MONTH(D403)&lt;10,3,MONTH(D403)&gt;9,4)&amp;"Q"&amp;RIGHT(YEAR(D403),2)</f>
        <v>3Q17</v>
      </c>
      <c r="D403" s="81">
        <f t="shared" si="198"/>
        <v>42978</v>
      </c>
      <c r="E403" s="82">
        <f t="shared" si="196"/>
        <v>42972</v>
      </c>
      <c r="F403" s="83">
        <f t="shared" si="197"/>
        <v>0.906625</v>
      </c>
      <c r="G403" s="83">
        <f t="shared" si="197"/>
        <v>0.85125</v>
      </c>
      <c r="H403" s="81"/>
      <c r="I403" s="146">
        <v>42972</v>
      </c>
      <c r="J403" s="147">
        <v>7.5</v>
      </c>
      <c r="K403" s="147">
        <v>6.97</v>
      </c>
      <c r="L403" s="147">
        <v>7.253</v>
      </c>
      <c r="M403" s="94" cm="1">
        <f t="array" ref="M403">INDEX($BV$29:$BV$1449,MATCH($D403,$BR$29:$BR$1449,0),)</f>
        <v>6.81</v>
      </c>
      <c r="N403" s="150">
        <f t="shared" si="218"/>
        <v>0</v>
      </c>
      <c r="O403" s="150">
        <f t="shared" si="219"/>
        <v>0.000551800248310252</v>
      </c>
      <c r="P403" s="150">
        <f t="shared" si="217"/>
        <v>-0.0034350096180269</v>
      </c>
      <c r="Q403" s="89">
        <f t="shared" si="220"/>
        <v>0.0650513950073421</v>
      </c>
      <c r="AH403" s="105">
        <f t="shared" si="221"/>
        <v>45404</v>
      </c>
      <c r="AI403" s="91">
        <f t="shared" si="222"/>
        <v>1.8</v>
      </c>
      <c r="AJ403" s="57">
        <f t="shared" si="215"/>
        <v>-0.00277008310249305</v>
      </c>
      <c r="AK403" s="36">
        <f t="shared" si="201"/>
        <v>0.0163749294184077</v>
      </c>
      <c r="AL403" s="105">
        <f t="shared" si="223"/>
        <v>45404</v>
      </c>
      <c r="AM403" s="91">
        <f t="shared" si="230"/>
        <v>4.823</v>
      </c>
      <c r="AN403" s="57">
        <f t="shared" si="216"/>
        <v>0.0168669618384989</v>
      </c>
      <c r="AO403" s="36">
        <f t="shared" si="231"/>
        <v>0.0250797024442084</v>
      </c>
      <c r="AP403" s="36"/>
      <c r="AQ403" s="128" t="str" cm="1">
        <f t="array" ref="AQ403">_xlfn.IFS(MONTH(AR403)&lt;4,1,MONTH(AR403)&lt;7,2,MONTH(AR403)&lt;10,3,MONTH(AR403)&gt;9,4)&amp;"Q"&amp;RIGHT(YEAR(AR403),2)</f>
        <v>2Q26</v>
      </c>
      <c r="AR403" s="128">
        <f t="shared" si="200"/>
        <v>46142</v>
      </c>
      <c r="AS403" s="129">
        <f t="shared" si="232"/>
        <v>46139</v>
      </c>
      <c r="AT403" s="135">
        <v>1230</v>
      </c>
      <c r="AU403" s="134" cm="1">
        <f t="array" ref="AU403">INDEX($CE$29:$CE$1449,MATCH($AR403,$CA$29:$CA$1449,0),)</f>
        <v>660</v>
      </c>
      <c r="AV403" s="135">
        <v>1435</v>
      </c>
      <c r="AW403" s="134" cm="1">
        <f t="array" ref="AW403">INDEX($CF$29:$CF$1449,MATCH($AR403,$CA$29:$CA$1449,0),)</f>
        <v>1127</v>
      </c>
      <c r="AX403" s="135">
        <v>960</v>
      </c>
      <c r="AY403" s="134" cm="1">
        <f t="array" ref="AY403">INDEX($CO$29:$CO$1449,MATCH($AR403,$CA$29:$CA$1449,0),)</f>
        <v>648</v>
      </c>
      <c r="AZ403" s="135">
        <v>2240</v>
      </c>
      <c r="BA403" s="134" cm="1">
        <f t="array" ref="BA403">INDEX($CP$29:$CP$1449,MATCH($AR403,$CA$29:$CA$1449,0),)</f>
        <v>1223</v>
      </c>
      <c r="BB403" s="133">
        <f t="shared" si="202"/>
        <v>-0.00806451612903225</v>
      </c>
      <c r="BC403" s="132">
        <f t="shared" si="204"/>
        <v>-0.016</v>
      </c>
      <c r="BD403" s="132">
        <f t="shared" si="206"/>
        <v>0.0695652173913044</v>
      </c>
      <c r="BE403" s="133">
        <f t="shared" si="203"/>
        <v>0</v>
      </c>
      <c r="BF403" s="132">
        <f t="shared" si="205"/>
        <v>-0.0103448275862069</v>
      </c>
      <c r="BG403" s="132">
        <f t="shared" si="207"/>
        <v>0.0629629629629629</v>
      </c>
      <c r="BH403" s="133">
        <f t="shared" si="224"/>
        <v>-0.0103092783505154</v>
      </c>
      <c r="BI403" s="132">
        <f t="shared" si="225"/>
        <v>-0.0153846153846153</v>
      </c>
      <c r="BJ403" s="132">
        <f t="shared" si="226"/>
        <v>0.032258064516129</v>
      </c>
      <c r="BK403" s="133">
        <f t="shared" si="227"/>
        <v>-0.0106007067137809</v>
      </c>
      <c r="BL403" s="132">
        <f t="shared" si="228"/>
        <v>-0.0365591397849462</v>
      </c>
      <c r="BM403" s="132">
        <f t="shared" si="229"/>
        <v>-0.0568421052631579</v>
      </c>
      <c r="FV403" s="104">
        <f t="shared" si="209"/>
        <v>2012</v>
      </c>
      <c r="FW403" s="104">
        <f t="shared" si="210"/>
        <v>13</v>
      </c>
      <c r="FX403" s="35">
        <v>40994</v>
      </c>
      <c r="FY403" s="26">
        <v>1</v>
      </c>
      <c r="FZ403" s="94">
        <f t="shared" si="211"/>
        <v>4</v>
      </c>
      <c r="GA403" s="104"/>
      <c r="GB403" s="104"/>
      <c r="GE403" s="94"/>
      <c r="GF403" s="104">
        <f t="shared" si="212"/>
        <v>2014</v>
      </c>
      <c r="GG403" s="104">
        <f t="shared" si="213"/>
        <v>27</v>
      </c>
      <c r="GH403" s="35">
        <v>41824</v>
      </c>
      <c r="GI403" s="26">
        <v>4.309</v>
      </c>
      <c r="GJ403" s="94">
        <f t="shared" si="214"/>
        <v>8.618</v>
      </c>
      <c r="GK403" s="104"/>
      <c r="GL403" s="104"/>
      <c r="GO403" s="94"/>
    </row>
    <row r="404" spans="3:197">
      <c r="C404" s="80" t="str" cm="1">
        <f t="array" ref="C404">_xlfn.IFS(MONTH(D404)&lt;4,1,MONTH(D404)&lt;7,2,MONTH(D404)&lt;10,3,MONTH(D404)&gt;9,4)&amp;"Q"&amp;RIGHT(YEAR(D404),2)</f>
        <v>3Q17</v>
      </c>
      <c r="D404" s="81">
        <f t="shared" si="198"/>
        <v>42978</v>
      </c>
      <c r="E404" s="82">
        <f t="shared" si="196"/>
        <v>42975</v>
      </c>
      <c r="F404" s="83">
        <f t="shared" si="197"/>
        <v>0.90825</v>
      </c>
      <c r="G404" s="83">
        <f t="shared" si="197"/>
        <v>0.85125</v>
      </c>
      <c r="H404" s="81"/>
      <c r="I404" s="146">
        <v>42975</v>
      </c>
      <c r="J404" s="147">
        <v>7.5</v>
      </c>
      <c r="K404" s="147">
        <v>6.97</v>
      </c>
      <c r="L404" s="147">
        <v>7.266</v>
      </c>
      <c r="M404" s="94" cm="1">
        <f t="array" ref="M404">INDEX($BV$29:$BV$1449,MATCH($D404,$BR$29:$BR$1449,0),)</f>
        <v>6.81</v>
      </c>
      <c r="N404" s="150">
        <f t="shared" si="218"/>
        <v>0.0017923617813318</v>
      </c>
      <c r="O404" s="150">
        <f t="shared" si="219"/>
        <v>0.00262177452739065</v>
      </c>
      <c r="P404" s="150">
        <f t="shared" si="217"/>
        <v>-0.00164880461665284</v>
      </c>
      <c r="Q404" s="89">
        <f t="shared" si="220"/>
        <v>0.0669603524229077</v>
      </c>
      <c r="AH404" s="105">
        <f t="shared" si="221"/>
        <v>45411</v>
      </c>
      <c r="AI404" s="91">
        <f t="shared" si="222"/>
        <v>1.785</v>
      </c>
      <c r="AJ404" s="57">
        <f t="shared" si="215"/>
        <v>-0.00833333333333341</v>
      </c>
      <c r="AK404" s="36">
        <f t="shared" si="201"/>
        <v>-0.0110803324099723</v>
      </c>
      <c r="AL404" s="105">
        <f t="shared" si="223"/>
        <v>45411</v>
      </c>
      <c r="AM404" s="91">
        <f t="shared" si="230"/>
        <v>4.893</v>
      </c>
      <c r="AN404" s="57">
        <f t="shared" si="216"/>
        <v>0.0145137880986936</v>
      </c>
      <c r="AO404" s="36">
        <f t="shared" si="231"/>
        <v>0.0316255534471852</v>
      </c>
      <c r="AP404" s="36"/>
      <c r="AQ404" s="128" t="str" cm="1">
        <f t="array" ref="AQ404">_xlfn.IFS(MONTH(AR404)&lt;4,1,MONTH(AR404)&lt;7,2,MONTH(AR404)&lt;10,3,MONTH(AR404)&gt;9,4)&amp;"Q"&amp;RIGHT(YEAR(AR404),2)</f>
        <v>2Q26</v>
      </c>
      <c r="AR404" s="128">
        <f t="shared" si="200"/>
        <v>46173</v>
      </c>
      <c r="AS404" s="129">
        <f t="shared" si="232"/>
        <v>46146</v>
      </c>
      <c r="AT404" s="135">
        <v>1250</v>
      </c>
      <c r="AU404" s="134" cm="1">
        <f t="array" ref="AU404">INDEX($CE$29:$CE$1449,MATCH($AR404,$CA$29:$CA$1449,0),)</f>
        <v>660</v>
      </c>
      <c r="AV404" s="135">
        <v>1434</v>
      </c>
      <c r="AW404" s="134" cm="1">
        <f t="array" ref="AW404">INDEX($CF$29:$CF$1449,MATCH($AR404,$CA$29:$CA$1449,0),)</f>
        <v>1127</v>
      </c>
      <c r="AX404" s="135">
        <v>960</v>
      </c>
      <c r="AY404" s="134" cm="1">
        <f t="array" ref="AY404">INDEX($CO$29:$CO$1449,MATCH($AR404,$CA$29:$CA$1449,0),)</f>
        <v>669</v>
      </c>
      <c r="AZ404" s="135">
        <v>2250</v>
      </c>
      <c r="BA404" s="134" cm="1">
        <f t="array" ref="BA404">INDEX($CP$29:$CP$1449,MATCH($AR404,$CA$29:$CA$1449,0),)</f>
        <v>1265</v>
      </c>
      <c r="BB404" s="133">
        <f t="shared" si="202"/>
        <v>0.0162601626016261</v>
      </c>
      <c r="BC404" s="132">
        <f t="shared" si="204"/>
        <v>0.00806451612903225</v>
      </c>
      <c r="BD404" s="132">
        <f t="shared" si="206"/>
        <v>0</v>
      </c>
      <c r="BE404" s="133">
        <f t="shared" si="203"/>
        <v>-0.000696864111498274</v>
      </c>
      <c r="BF404" s="132">
        <f t="shared" si="205"/>
        <v>-0.000696864111498274</v>
      </c>
      <c r="BG404" s="132">
        <f t="shared" si="207"/>
        <v>-0.0110344827586207</v>
      </c>
      <c r="BH404" s="133">
        <f t="shared" si="224"/>
        <v>0</v>
      </c>
      <c r="BI404" s="132">
        <f t="shared" si="225"/>
        <v>-0.0103092783505154</v>
      </c>
      <c r="BJ404" s="132">
        <f t="shared" si="226"/>
        <v>-0.0153846153846153</v>
      </c>
      <c r="BK404" s="133">
        <f t="shared" si="227"/>
        <v>0.00446428571428581</v>
      </c>
      <c r="BL404" s="132">
        <f t="shared" si="228"/>
        <v>-0.00618374558303891</v>
      </c>
      <c r="BM404" s="132">
        <f t="shared" si="229"/>
        <v>-0.032258064516129</v>
      </c>
      <c r="FV404" s="104">
        <f t="shared" si="209"/>
        <v>2012</v>
      </c>
      <c r="FW404" s="104">
        <f t="shared" si="210"/>
        <v>13</v>
      </c>
      <c r="FX404" s="35">
        <v>40995</v>
      </c>
      <c r="FY404" s="26">
        <v>1</v>
      </c>
      <c r="FZ404" s="94">
        <f t="shared" si="211"/>
        <v>4</v>
      </c>
      <c r="GA404" s="104"/>
      <c r="GB404" s="104"/>
      <c r="GE404" s="94"/>
      <c r="GF404" s="104">
        <f t="shared" si="212"/>
        <v>2014</v>
      </c>
      <c r="GG404" s="104">
        <f t="shared" si="213"/>
        <v>28</v>
      </c>
      <c r="GH404" s="35">
        <v>41827</v>
      </c>
      <c r="GI404" s="26">
        <v>4.345</v>
      </c>
      <c r="GJ404" s="94">
        <f t="shared" si="214"/>
        <v>8.69</v>
      </c>
      <c r="GK404" s="104"/>
      <c r="GL404" s="104"/>
      <c r="GO404" s="94"/>
    </row>
    <row r="405" spans="3:197">
      <c r="C405" s="80" t="str" cm="1">
        <f t="array" ref="C405">_xlfn.IFS(MONTH(D405)&lt;4,1,MONTH(D405)&lt;7,2,MONTH(D405)&lt;10,3,MONTH(D405)&gt;9,4)&amp;"Q"&amp;RIGHT(YEAR(D405),2)</f>
        <v>3Q17</v>
      </c>
      <c r="D405" s="81">
        <f t="shared" si="198"/>
        <v>42978</v>
      </c>
      <c r="E405" s="82">
        <f t="shared" ref="E405:E468" si="233">I405</f>
        <v>42976</v>
      </c>
      <c r="F405" s="83">
        <f t="shared" si="197"/>
        <v>0.9095</v>
      </c>
      <c r="G405" s="83">
        <f t="shared" si="197"/>
        <v>0.85125</v>
      </c>
      <c r="H405" s="81"/>
      <c r="I405" s="146">
        <v>42976</v>
      </c>
      <c r="J405" s="147">
        <v>7.5</v>
      </c>
      <c r="K405" s="147">
        <v>6.97</v>
      </c>
      <c r="L405" s="147">
        <v>7.276</v>
      </c>
      <c r="M405" s="94" cm="1">
        <f t="array" ref="M405">INDEX($BV$29:$BV$1449,MATCH($D405,$BR$29:$BR$1449,0),)</f>
        <v>6.81</v>
      </c>
      <c r="N405" s="150">
        <f t="shared" si="218"/>
        <v>0.00137627305257371</v>
      </c>
      <c r="O405" s="150">
        <f t="shared" si="219"/>
        <v>0.00400165585759615</v>
      </c>
      <c r="P405" s="150">
        <f t="shared" si="217"/>
        <v>-0.000274800769442085</v>
      </c>
      <c r="Q405" s="89">
        <f t="shared" si="220"/>
        <v>0.0684287812041116</v>
      </c>
      <c r="AH405" s="105">
        <f t="shared" si="221"/>
        <v>45418</v>
      </c>
      <c r="AI405" s="91">
        <f t="shared" si="222"/>
        <v>1.78</v>
      </c>
      <c r="AJ405" s="57">
        <f t="shared" si="215"/>
        <v>-0.00280112044817926</v>
      </c>
      <c r="AK405" s="36">
        <f t="shared" si="201"/>
        <v>-0.0111111111111111</v>
      </c>
      <c r="AL405" s="105">
        <f t="shared" si="223"/>
        <v>45418</v>
      </c>
      <c r="AM405" s="91">
        <f t="shared" si="230"/>
        <v>4.917</v>
      </c>
      <c r="AN405" s="57">
        <f t="shared" si="216"/>
        <v>0.0049049662783569</v>
      </c>
      <c r="AO405" s="36">
        <f t="shared" si="231"/>
        <v>0.0194899440182459</v>
      </c>
      <c r="AP405" s="36"/>
      <c r="AQ405" s="128" t="str" cm="1">
        <f t="array" ref="AQ405">_xlfn.IFS(MONTH(AR405)&lt;4,1,MONTH(AR405)&lt;7,2,MONTH(AR405)&lt;10,3,MONTH(AR405)&gt;9,4)&amp;"Q"&amp;RIGHT(YEAR(AR405),2)</f>
        <v>2Q26</v>
      </c>
      <c r="AR405" s="128">
        <f t="shared" si="200"/>
        <v>46173</v>
      </c>
      <c r="AS405" s="129">
        <f t="shared" si="232"/>
        <v>46153</v>
      </c>
      <c r="AT405" s="135">
        <v>1280</v>
      </c>
      <c r="AU405" s="134" cm="1">
        <f t="array" ref="AU405">INDEX($CE$29:$CE$1449,MATCH($AR405,$CA$29:$CA$1449,0),)</f>
        <v>660</v>
      </c>
      <c r="AV405" s="135">
        <v>1460</v>
      </c>
      <c r="AW405" s="134" cm="1">
        <f t="array" ref="AW405">INDEX($CF$29:$CF$1449,MATCH($AR405,$CA$29:$CA$1449,0),)</f>
        <v>1127</v>
      </c>
      <c r="AX405" s="135">
        <v>975</v>
      </c>
      <c r="AY405" s="134" cm="1">
        <f t="array" ref="AY405">INDEX($CO$29:$CO$1449,MATCH($AR405,$CA$29:$CA$1449,0),)</f>
        <v>669</v>
      </c>
      <c r="AZ405" s="135">
        <v>2240</v>
      </c>
      <c r="BA405" s="134" cm="1">
        <f t="array" ref="BA405">INDEX($CP$29:$CP$1449,MATCH($AR405,$CA$29:$CA$1449,0),)</f>
        <v>1265</v>
      </c>
      <c r="BB405" s="133">
        <f t="shared" si="202"/>
        <v>0.024</v>
      </c>
      <c r="BC405" s="132">
        <f t="shared" si="204"/>
        <v>0.0406504065040652</v>
      </c>
      <c r="BD405" s="132">
        <f t="shared" si="206"/>
        <v>0.032258064516129</v>
      </c>
      <c r="BE405" s="133">
        <f t="shared" si="203"/>
        <v>0.0181311018131103</v>
      </c>
      <c r="BF405" s="132">
        <f t="shared" si="205"/>
        <v>0.0174216027874565</v>
      </c>
      <c r="BG405" s="132">
        <f t="shared" si="207"/>
        <v>0.0174216027874565</v>
      </c>
      <c r="BH405" s="133">
        <f t="shared" si="224"/>
        <v>0.015625</v>
      </c>
      <c r="BI405" s="132">
        <f t="shared" si="225"/>
        <v>0.015625</v>
      </c>
      <c r="BJ405" s="132">
        <f t="shared" si="226"/>
        <v>0.00515463917525771</v>
      </c>
      <c r="BK405" s="133">
        <f t="shared" si="227"/>
        <v>-0.00444444444444447</v>
      </c>
      <c r="BL405" s="132">
        <f t="shared" si="228"/>
        <v>0</v>
      </c>
      <c r="BM405" s="132">
        <f t="shared" si="229"/>
        <v>-0.0106007067137809</v>
      </c>
      <c r="FV405" s="104">
        <f t="shared" si="209"/>
        <v>2012</v>
      </c>
      <c r="FW405" s="104">
        <f t="shared" si="210"/>
        <v>13</v>
      </c>
      <c r="FX405" s="35">
        <v>40996</v>
      </c>
      <c r="FY405" s="26">
        <v>1</v>
      </c>
      <c r="FZ405" s="94">
        <f t="shared" si="211"/>
        <v>4</v>
      </c>
      <c r="GA405" s="104"/>
      <c r="GB405" s="104"/>
      <c r="GE405" s="94"/>
      <c r="GF405" s="104">
        <f t="shared" si="212"/>
        <v>2014</v>
      </c>
      <c r="GG405" s="104">
        <f t="shared" si="213"/>
        <v>28</v>
      </c>
      <c r="GH405" s="35">
        <v>41828</v>
      </c>
      <c r="GI405" s="26">
        <v>4.34</v>
      </c>
      <c r="GJ405" s="94">
        <f t="shared" si="214"/>
        <v>8.68</v>
      </c>
      <c r="GK405" s="104"/>
      <c r="GL405" s="104"/>
      <c r="GO405" s="94"/>
    </row>
    <row r="406" spans="3:197">
      <c r="C406" s="80" t="str" cm="1">
        <f t="array" ref="C406">_xlfn.IFS(MONTH(D406)&lt;4,1,MONTH(D406)&lt;7,2,MONTH(D406)&lt;10,3,MONTH(D406)&gt;9,4)&amp;"Q"&amp;RIGHT(YEAR(D406),2)</f>
        <v>3Q17</v>
      </c>
      <c r="D406" s="81">
        <f t="shared" si="198"/>
        <v>42978</v>
      </c>
      <c r="E406" s="82">
        <f t="shared" si="233"/>
        <v>42977</v>
      </c>
      <c r="F406" s="83">
        <f t="shared" si="197"/>
        <v>0.912</v>
      </c>
      <c r="G406" s="83">
        <f t="shared" si="197"/>
        <v>0.85125</v>
      </c>
      <c r="H406" s="81"/>
      <c r="I406" s="146">
        <v>42977</v>
      </c>
      <c r="J406" s="147">
        <v>7.5</v>
      </c>
      <c r="K406" s="147">
        <v>6.97</v>
      </c>
      <c r="L406" s="147">
        <v>7.296</v>
      </c>
      <c r="M406" s="94" cm="1">
        <f t="array" ref="M406">INDEX($BV$29:$BV$1449,MATCH($D406,$BR$29:$BR$1449,0),)</f>
        <v>6.81</v>
      </c>
      <c r="N406" s="150">
        <f t="shared" si="218"/>
        <v>0.00274876305662453</v>
      </c>
      <c r="O406" s="150">
        <f t="shared" si="219"/>
        <v>0.0062060405461315</v>
      </c>
      <c r="P406" s="150">
        <f t="shared" si="217"/>
        <v>0.00592858127671314</v>
      </c>
      <c r="Q406" s="89">
        <f t="shared" si="220"/>
        <v>0.07136563876652</v>
      </c>
      <c r="AH406" s="105">
        <f t="shared" si="221"/>
        <v>45425</v>
      </c>
      <c r="AI406" s="91">
        <f t="shared" si="222"/>
        <v>1.766</v>
      </c>
      <c r="AJ406" s="57">
        <f t="shared" si="215"/>
        <v>-0.00786516853932584</v>
      </c>
      <c r="AK406" s="36">
        <f t="shared" si="201"/>
        <v>-0.0106442577030812</v>
      </c>
      <c r="AL406" s="105">
        <f t="shared" si="223"/>
        <v>45425</v>
      </c>
      <c r="AM406" s="91">
        <f t="shared" si="230"/>
        <v>4.933</v>
      </c>
      <c r="AN406" s="57">
        <f t="shared" si="216"/>
        <v>0.00325401667683556</v>
      </c>
      <c r="AO406" s="36">
        <f t="shared" si="231"/>
        <v>0.00817494379726136</v>
      </c>
      <c r="AP406" s="36"/>
      <c r="AQ406" s="128" t="str" cm="1">
        <f t="array" ref="AQ406">_xlfn.IFS(MONTH(AR406)&lt;4,1,MONTH(AR406)&lt;7,2,MONTH(AR406)&lt;10,3,MONTH(AR406)&gt;9,4)&amp;"Q"&amp;RIGHT(YEAR(AR406),2)</f>
        <v>2Q26</v>
      </c>
      <c r="AR406" s="128">
        <f t="shared" si="200"/>
        <v>46173</v>
      </c>
      <c r="AS406" s="129">
        <f t="shared" si="232"/>
        <v>46160</v>
      </c>
      <c r="AT406" s="135">
        <v>1280</v>
      </c>
      <c r="AU406" s="134" cm="1">
        <f t="array" ref="AU406">INDEX($CE$29:$CE$1449,MATCH($AR406,$CA$29:$CA$1449,0),)</f>
        <v>660</v>
      </c>
      <c r="AV406" s="135">
        <v>1460</v>
      </c>
      <c r="AW406" s="134" cm="1">
        <f t="array" ref="AW406">INDEX($CF$29:$CF$1449,MATCH($AR406,$CA$29:$CA$1449,0),)</f>
        <v>1127</v>
      </c>
      <c r="AX406" s="135">
        <v>1020</v>
      </c>
      <c r="AY406" s="134" cm="1">
        <f t="array" ref="AY406">INDEX($CO$29:$CO$1449,MATCH($AR406,$CA$29:$CA$1449,0),)</f>
        <v>669</v>
      </c>
      <c r="AZ406" s="135">
        <v>2250</v>
      </c>
      <c r="BA406" s="134" cm="1">
        <f t="array" ref="BA406">INDEX($CP$29:$CP$1449,MATCH($AR406,$CA$29:$CA$1449,0),)</f>
        <v>1265</v>
      </c>
      <c r="BB406" s="133">
        <f t="shared" si="202"/>
        <v>0</v>
      </c>
      <c r="BC406" s="132">
        <f t="shared" si="204"/>
        <v>0.024</v>
      </c>
      <c r="BD406" s="132">
        <f t="shared" si="206"/>
        <v>0.0406504065040652</v>
      </c>
      <c r="BE406" s="133">
        <f t="shared" si="203"/>
        <v>0</v>
      </c>
      <c r="BF406" s="132">
        <f t="shared" si="205"/>
        <v>0.0181311018131103</v>
      </c>
      <c r="BG406" s="132">
        <f t="shared" si="207"/>
        <v>0.0174216027874565</v>
      </c>
      <c r="BH406" s="133">
        <f t="shared" si="224"/>
        <v>0.0461538461538462</v>
      </c>
      <c r="BI406" s="132">
        <f t="shared" si="225"/>
        <v>0.0625</v>
      </c>
      <c r="BJ406" s="132">
        <f t="shared" si="226"/>
        <v>0.0625</v>
      </c>
      <c r="BK406" s="133">
        <f t="shared" si="227"/>
        <v>0.00446428571428581</v>
      </c>
      <c r="BL406" s="132">
        <f t="shared" si="228"/>
        <v>0</v>
      </c>
      <c r="BM406" s="132">
        <f t="shared" si="229"/>
        <v>0.00446428571428581</v>
      </c>
      <c r="FV406" s="104">
        <f t="shared" si="209"/>
        <v>2012</v>
      </c>
      <c r="FW406" s="104">
        <f t="shared" si="210"/>
        <v>13</v>
      </c>
      <c r="FX406" s="35">
        <v>40997</v>
      </c>
      <c r="FY406" s="26">
        <v>1</v>
      </c>
      <c r="FZ406" s="94">
        <f t="shared" si="211"/>
        <v>4</v>
      </c>
      <c r="GA406" s="104"/>
      <c r="GB406" s="104"/>
      <c r="GE406" s="94"/>
      <c r="GF406" s="104">
        <f t="shared" si="212"/>
        <v>2014</v>
      </c>
      <c r="GG406" s="104">
        <f t="shared" si="213"/>
        <v>28</v>
      </c>
      <c r="GH406" s="35">
        <v>41829</v>
      </c>
      <c r="GI406" s="26">
        <v>4.35</v>
      </c>
      <c r="GJ406" s="94">
        <f t="shared" si="214"/>
        <v>8.7</v>
      </c>
      <c r="GK406" s="104"/>
      <c r="GL406" s="104"/>
      <c r="GO406" s="94"/>
    </row>
    <row r="407" spans="3:197">
      <c r="C407" s="80" t="str" cm="1">
        <f t="array" ref="C407">_xlfn.IFS(MONTH(D407)&lt;4,1,MONTH(D407)&lt;7,2,MONTH(D407)&lt;10,3,MONTH(D407)&gt;9,4)&amp;"Q"&amp;RIGHT(YEAR(D407),2)</f>
        <v>3Q17</v>
      </c>
      <c r="D407" s="81">
        <f t="shared" si="198"/>
        <v>42978</v>
      </c>
      <c r="E407" s="82">
        <f t="shared" si="233"/>
        <v>42978</v>
      </c>
      <c r="F407" s="83">
        <f t="shared" si="197"/>
        <v>0.912</v>
      </c>
      <c r="G407" s="83">
        <f t="shared" si="197"/>
        <v>0.85125</v>
      </c>
      <c r="H407" s="81"/>
      <c r="I407" s="146">
        <v>42978</v>
      </c>
      <c r="J407" s="147">
        <v>7.5</v>
      </c>
      <c r="K407" s="147">
        <v>6.97</v>
      </c>
      <c r="L407" s="147">
        <v>7.296</v>
      </c>
      <c r="M407" s="94" cm="1">
        <f t="array" ref="M407">INDEX($BV$29:$BV$1449,MATCH($D407,$BR$29:$BR$1449,0),)</f>
        <v>6.81</v>
      </c>
      <c r="N407" s="150">
        <f t="shared" si="218"/>
        <v>0</v>
      </c>
      <c r="O407" s="150">
        <f t="shared" si="219"/>
        <v>0.00592858127671314</v>
      </c>
      <c r="P407" s="150">
        <f t="shared" si="217"/>
        <v>0.00634482758620702</v>
      </c>
      <c r="Q407" s="89">
        <f t="shared" si="220"/>
        <v>0.07136563876652</v>
      </c>
      <c r="AH407" s="105">
        <f t="shared" si="221"/>
        <v>45432</v>
      </c>
      <c r="AI407" s="91">
        <f t="shared" si="222"/>
        <v>1.748</v>
      </c>
      <c r="AJ407" s="57">
        <f t="shared" si="215"/>
        <v>-0.0101925254813137</v>
      </c>
      <c r="AK407" s="36">
        <f t="shared" si="201"/>
        <v>-0.0179775280898876</v>
      </c>
      <c r="AL407" s="105">
        <f t="shared" si="223"/>
        <v>45432</v>
      </c>
      <c r="AM407" s="91">
        <f t="shared" si="230"/>
        <v>4.88</v>
      </c>
      <c r="AN407" s="57">
        <f t="shared" si="216"/>
        <v>-0.0107439691871072</v>
      </c>
      <c r="AO407" s="36">
        <f t="shared" si="231"/>
        <v>-0.00752491356518203</v>
      </c>
      <c r="AP407" s="36"/>
      <c r="AQ407" s="128" t="str" cm="1">
        <f t="array" ref="AQ407">_xlfn.IFS(MONTH(AR407)&lt;4,1,MONTH(AR407)&lt;7,2,MONTH(AR407)&lt;10,3,MONTH(AR407)&gt;9,4)&amp;"Q"&amp;RIGHT(YEAR(AR407),2)</f>
        <v>2Q26</v>
      </c>
      <c r="AR407" s="128">
        <f t="shared" si="200"/>
        <v>46173</v>
      </c>
      <c r="AS407" s="129">
        <f t="shared" si="232"/>
        <v>46167</v>
      </c>
      <c r="AT407" s="135">
        <v>1300</v>
      </c>
      <c r="AU407" s="134" cm="1">
        <f t="array" ref="AU407">INDEX($CE$29:$CE$1449,MATCH($AR407,$CA$29:$CA$1449,0),)</f>
        <v>660</v>
      </c>
      <c r="AV407" s="135">
        <v>1480</v>
      </c>
      <c r="AW407" s="134" cm="1">
        <f t="array" ref="AW407">INDEX($CF$29:$CF$1449,MATCH($AR407,$CA$29:$CA$1449,0),)</f>
        <v>1127</v>
      </c>
      <c r="AX407" s="135">
        <v>1035</v>
      </c>
      <c r="AY407" s="134" cm="1">
        <f t="array" ref="AY407">INDEX($CO$29:$CO$1449,MATCH($AR407,$CA$29:$CA$1449,0),)</f>
        <v>669</v>
      </c>
      <c r="AZ407" s="135">
        <v>2275</v>
      </c>
      <c r="BA407" s="134" cm="1">
        <f t="array" ref="BA407">INDEX($CP$29:$CP$1449,MATCH($AR407,$CA$29:$CA$1449,0),)</f>
        <v>1265</v>
      </c>
      <c r="BB407" s="133">
        <f t="shared" si="202"/>
        <v>0.015625</v>
      </c>
      <c r="BC407" s="132">
        <f t="shared" si="204"/>
        <v>0.015625</v>
      </c>
      <c r="BD407" s="132">
        <f t="shared" si="206"/>
        <v>0.04</v>
      </c>
      <c r="BE407" s="133">
        <f t="shared" si="203"/>
        <v>0.0136986301369864</v>
      </c>
      <c r="BF407" s="132">
        <f t="shared" si="205"/>
        <v>0.0136986301369864</v>
      </c>
      <c r="BG407" s="132">
        <f t="shared" si="207"/>
        <v>0.0320781032078103</v>
      </c>
      <c r="BH407" s="133">
        <f t="shared" si="224"/>
        <v>0.0147058823529411</v>
      </c>
      <c r="BI407" s="132">
        <f t="shared" si="225"/>
        <v>0.0615384615384615</v>
      </c>
      <c r="BJ407" s="132">
        <f t="shared" si="226"/>
        <v>0.078125</v>
      </c>
      <c r="BK407" s="133">
        <f t="shared" si="227"/>
        <v>0.0111111111111111</v>
      </c>
      <c r="BL407" s="132">
        <f t="shared" si="228"/>
        <v>0.015625</v>
      </c>
      <c r="BM407" s="132">
        <f t="shared" si="229"/>
        <v>0.0111111111111111</v>
      </c>
      <c r="FV407" s="104">
        <f t="shared" si="209"/>
        <v>2012</v>
      </c>
      <c r="FW407" s="104">
        <f t="shared" si="210"/>
        <v>13</v>
      </c>
      <c r="FX407" s="35">
        <v>40998</v>
      </c>
      <c r="FY407" s="26">
        <v>1</v>
      </c>
      <c r="FZ407" s="94">
        <f t="shared" si="211"/>
        <v>4</v>
      </c>
      <c r="GA407" s="104"/>
      <c r="GB407" s="104"/>
      <c r="GE407" s="94"/>
      <c r="GF407" s="104">
        <f t="shared" si="212"/>
        <v>2014</v>
      </c>
      <c r="GG407" s="104">
        <f t="shared" si="213"/>
        <v>28</v>
      </c>
      <c r="GH407" s="35">
        <v>41830</v>
      </c>
      <c r="GI407" s="26">
        <v>4.348</v>
      </c>
      <c r="GJ407" s="94">
        <f t="shared" si="214"/>
        <v>8.696</v>
      </c>
      <c r="GK407" s="104"/>
      <c r="GL407" s="104"/>
      <c r="GO407" s="94"/>
    </row>
    <row r="408" spans="3:197">
      <c r="C408" s="80" t="str" cm="1">
        <f t="array" ref="C408">_xlfn.IFS(MONTH(D408)&lt;4,1,MONTH(D408)&lt;7,2,MONTH(D408)&lt;10,3,MONTH(D408)&gt;9,4)&amp;"Q"&amp;RIGHT(YEAR(D408),2)</f>
        <v>3Q17</v>
      </c>
      <c r="D408" s="81">
        <f t="shared" si="198"/>
        <v>43008</v>
      </c>
      <c r="E408" s="82">
        <f t="shared" si="233"/>
        <v>42979</v>
      </c>
      <c r="F408" s="83">
        <f t="shared" si="197"/>
        <v>0.918</v>
      </c>
      <c r="G408" s="83"/>
      <c r="H408" s="81"/>
      <c r="I408" s="146">
        <v>42979</v>
      </c>
      <c r="J408" s="147">
        <v>7.5</v>
      </c>
      <c r="K408" s="147">
        <v>7.05</v>
      </c>
      <c r="L408" s="147">
        <v>7.344</v>
      </c>
      <c r="M408" s="94" cm="1">
        <f t="array" ref="M408">INDEX($BV$29:$BV$1449,MATCH($D408,$BR$29:$BR$1449,0),)</f>
        <v>6.81</v>
      </c>
      <c r="N408" s="150">
        <f t="shared" si="218"/>
        <v>0.00657894736842102</v>
      </c>
      <c r="O408" s="150">
        <f t="shared" si="219"/>
        <v>0.012546532469323</v>
      </c>
      <c r="P408" s="150">
        <f t="shared" si="217"/>
        <v>0.0131052558973652</v>
      </c>
      <c r="Q408" s="89">
        <f t="shared" si="220"/>
        <v>0.0784140969162996</v>
      </c>
      <c r="AH408" s="105">
        <f t="shared" si="221"/>
        <v>45439</v>
      </c>
      <c r="AI408" s="91">
        <f t="shared" si="222"/>
        <v>1.726</v>
      </c>
      <c r="AJ408" s="57">
        <f t="shared" si="215"/>
        <v>-0.0125858123569794</v>
      </c>
      <c r="AK408" s="36">
        <f t="shared" si="201"/>
        <v>-0.0226500566251416</v>
      </c>
      <c r="AL408" s="105">
        <f t="shared" si="223"/>
        <v>45439</v>
      </c>
      <c r="AM408" s="91">
        <f t="shared" si="230"/>
        <v>4.85</v>
      </c>
      <c r="AN408" s="57">
        <f t="shared" si="216"/>
        <v>-0.00614754098360659</v>
      </c>
      <c r="AO408" s="36">
        <f t="shared" si="231"/>
        <v>-0.0168254611798094</v>
      </c>
      <c r="AP408" s="36"/>
      <c r="AQ408" s="128" t="str" cm="1">
        <f t="array" ref="AQ408">_xlfn.IFS(MONTH(AR408)&lt;4,1,MONTH(AR408)&lt;7,2,MONTH(AR408)&lt;10,3,MONTH(AR408)&gt;9,4)&amp;"Q"&amp;RIGHT(YEAR(AR408),2)</f>
        <v>2Q26</v>
      </c>
      <c r="AR408" s="128">
        <f t="shared" si="200"/>
        <v>46203</v>
      </c>
      <c r="AS408" s="129">
        <f t="shared" si="232"/>
        <v>46174</v>
      </c>
      <c r="AT408" s="135">
        <v>1335</v>
      </c>
      <c r="AU408" s="134" t="e" cm="1">
        <f t="array" ref="AU408">INDEX($CE$29:$CE$1449,MATCH($AR408,$CA$29:$CA$1449,0),)</f>
        <v>#N/A</v>
      </c>
      <c r="AV408" s="135">
        <v>1530</v>
      </c>
      <c r="AW408" s="134" t="e" cm="1">
        <f t="array" ref="AW408">INDEX($CF$29:$CF$1449,MATCH($AR408,$CA$29:$CA$1449,0),)</f>
        <v>#N/A</v>
      </c>
      <c r="AX408" s="135">
        <v>1075</v>
      </c>
      <c r="AY408" s="134" t="e" cm="1">
        <f t="array" ref="AY408">INDEX($CO$29:$CO$1449,MATCH($AR408,$CA$29:$CA$1449,0),)</f>
        <v>#N/A</v>
      </c>
      <c r="AZ408" s="135">
        <v>2350</v>
      </c>
      <c r="BA408" s="134" t="e" cm="1">
        <f t="array" ref="BA408">INDEX($CP$29:$CP$1449,MATCH($AR408,$CA$29:$CA$1449,0),)</f>
        <v>#N/A</v>
      </c>
      <c r="BB408" s="133">
        <f t="shared" si="202"/>
        <v>0.0269230769230768</v>
      </c>
      <c r="BC408" s="132">
        <f t="shared" si="204"/>
        <v>0.04296875</v>
      </c>
      <c r="BD408" s="132">
        <f t="shared" si="206"/>
        <v>0.04296875</v>
      </c>
      <c r="BE408" s="133">
        <f t="shared" si="203"/>
        <v>0.0337837837837838</v>
      </c>
      <c r="BF408" s="132">
        <f t="shared" si="205"/>
        <v>0.047945205479452</v>
      </c>
      <c r="BG408" s="132">
        <f t="shared" si="207"/>
        <v>0.047945205479452</v>
      </c>
      <c r="BH408" s="133">
        <f t="shared" si="224"/>
        <v>0.038647342995169</v>
      </c>
      <c r="BI408" s="132">
        <f t="shared" si="225"/>
        <v>0.053921568627451</v>
      </c>
      <c r="BJ408" s="132">
        <f t="shared" si="226"/>
        <v>0.102564102564103</v>
      </c>
      <c r="BK408" s="133">
        <f t="shared" si="227"/>
        <v>0.0329670329670331</v>
      </c>
      <c r="BL408" s="132">
        <f t="shared" si="228"/>
        <v>0.0444444444444445</v>
      </c>
      <c r="BM408" s="132">
        <f t="shared" si="229"/>
        <v>0.0491071428571428</v>
      </c>
      <c r="FV408" s="104">
        <f t="shared" si="209"/>
        <v>2012</v>
      </c>
      <c r="FW408" s="104">
        <f t="shared" si="210"/>
        <v>14</v>
      </c>
      <c r="FX408" s="35">
        <v>41001</v>
      </c>
      <c r="FY408" s="26">
        <v>1.01</v>
      </c>
      <c r="FZ408" s="94">
        <f t="shared" si="211"/>
        <v>4.04</v>
      </c>
      <c r="GA408" s="104"/>
      <c r="GB408" s="104"/>
      <c r="GE408" s="94"/>
      <c r="GF408" s="104">
        <f t="shared" si="212"/>
        <v>2014</v>
      </c>
      <c r="GG408" s="104">
        <f t="shared" si="213"/>
        <v>28</v>
      </c>
      <c r="GH408" s="35">
        <v>41831</v>
      </c>
      <c r="GI408" s="26">
        <v>4.335</v>
      </c>
      <c r="GJ408" s="94">
        <f t="shared" si="214"/>
        <v>8.67</v>
      </c>
      <c r="GK408" s="104"/>
      <c r="GL408" s="104"/>
      <c r="GO408" s="94"/>
    </row>
    <row r="409" spans="3:197">
      <c r="C409" s="80" t="str" cm="1">
        <f t="array" ref="C409">_xlfn.IFS(MONTH(D409)&lt;4,1,MONTH(D409)&lt;7,2,MONTH(D409)&lt;10,3,MONTH(D409)&gt;9,4)&amp;"Q"&amp;RIGHT(YEAR(D409),2)</f>
        <v>3Q17</v>
      </c>
      <c r="D409" s="81">
        <f t="shared" si="198"/>
        <v>43008</v>
      </c>
      <c r="E409" s="82">
        <f t="shared" si="233"/>
        <v>42982</v>
      </c>
      <c r="F409" s="83">
        <f t="shared" si="197"/>
        <v>0.918</v>
      </c>
      <c r="G409" s="83">
        <f t="shared" si="197"/>
        <v>0.85125</v>
      </c>
      <c r="H409" s="81"/>
      <c r="I409" s="146">
        <v>42982</v>
      </c>
      <c r="J409" s="147">
        <v>7.5</v>
      </c>
      <c r="K409" s="147">
        <v>7.05</v>
      </c>
      <c r="L409" s="147">
        <v>7.344</v>
      </c>
      <c r="M409" s="94" cm="1">
        <f t="array" ref="M409">INDEX($BV$29:$BV$1449,MATCH($D409,$BR$29:$BR$1449,0),)</f>
        <v>6.81</v>
      </c>
      <c r="N409" s="150">
        <f t="shared" si="218"/>
        <v>0</v>
      </c>
      <c r="O409" s="150">
        <f t="shared" si="219"/>
        <v>0.0107349298100743</v>
      </c>
      <c r="P409" s="150">
        <f t="shared" si="217"/>
        <v>0.0133848489029944</v>
      </c>
      <c r="Q409" s="89">
        <f t="shared" si="220"/>
        <v>0.0784140969162996</v>
      </c>
      <c r="AH409" s="105">
        <f t="shared" si="221"/>
        <v>45446</v>
      </c>
      <c r="AI409" s="91">
        <f t="shared" si="222"/>
        <v>1.715</v>
      </c>
      <c r="AJ409" s="57">
        <f t="shared" si="215"/>
        <v>-0.00637311703360366</v>
      </c>
      <c r="AK409" s="36">
        <f t="shared" si="201"/>
        <v>-0.0188787185354691</v>
      </c>
      <c r="AL409" s="105">
        <f t="shared" si="223"/>
        <v>45446</v>
      </c>
      <c r="AM409" s="91">
        <f t="shared" si="230"/>
        <v>4.84</v>
      </c>
      <c r="AN409" s="57">
        <f t="shared" si="216"/>
        <v>-0.00206185567010309</v>
      </c>
      <c r="AO409" s="36">
        <f t="shared" si="231"/>
        <v>-0.00819672131147542</v>
      </c>
      <c r="AP409" s="36"/>
      <c r="FV409" s="104">
        <f t="shared" si="209"/>
        <v>2012</v>
      </c>
      <c r="FW409" s="104">
        <f t="shared" si="210"/>
        <v>14</v>
      </c>
      <c r="FX409" s="35">
        <v>41002</v>
      </c>
      <c r="FY409" s="26">
        <v>1.01</v>
      </c>
      <c r="FZ409" s="94">
        <f t="shared" si="211"/>
        <v>4.04</v>
      </c>
      <c r="GA409" s="104"/>
      <c r="GB409" s="104"/>
      <c r="GE409" s="94"/>
      <c r="GF409" s="104">
        <f t="shared" si="212"/>
        <v>2014</v>
      </c>
      <c r="GG409" s="104">
        <f t="shared" si="213"/>
        <v>29</v>
      </c>
      <c r="GH409" s="35">
        <v>41835</v>
      </c>
      <c r="GI409" s="26">
        <v>4.353</v>
      </c>
      <c r="GJ409" s="94">
        <f t="shared" si="214"/>
        <v>8.706</v>
      </c>
      <c r="GK409" s="104"/>
      <c r="GL409" s="104"/>
      <c r="GO409" s="94"/>
    </row>
    <row r="410" spans="3:197">
      <c r="C410" s="80" t="str" cm="1">
        <f t="array" ref="C410">_xlfn.IFS(MONTH(D410)&lt;4,1,MONTH(D410)&lt;7,2,MONTH(D410)&lt;10,3,MONTH(D410)&gt;9,4)&amp;"Q"&amp;RIGHT(YEAR(D410),2)</f>
        <v>3Q17</v>
      </c>
      <c r="D410" s="81">
        <f t="shared" si="198"/>
        <v>43008</v>
      </c>
      <c r="E410" s="82">
        <f t="shared" si="233"/>
        <v>42983</v>
      </c>
      <c r="F410" s="83">
        <f t="shared" si="197"/>
        <v>0.91925</v>
      </c>
      <c r="G410" s="83">
        <f t="shared" si="197"/>
        <v>0.85125</v>
      </c>
      <c r="H410" s="81"/>
      <c r="I410" s="146">
        <v>42983</v>
      </c>
      <c r="J410" s="147">
        <v>7.5</v>
      </c>
      <c r="K410" s="147">
        <v>7.08</v>
      </c>
      <c r="L410" s="147">
        <v>7.354</v>
      </c>
      <c r="M410" s="94" cm="1">
        <f t="array" ref="M410">INDEX($BV$29:$BV$1449,MATCH($D410,$BR$29:$BR$1449,0),)</f>
        <v>6.81</v>
      </c>
      <c r="N410" s="150">
        <f t="shared" si="218"/>
        <v>0.0013616557734204</v>
      </c>
      <c r="O410" s="150">
        <f t="shared" si="219"/>
        <v>0.0107201759208357</v>
      </c>
      <c r="P410" s="150">
        <f t="shared" si="217"/>
        <v>0.0147647302331999</v>
      </c>
      <c r="Q410" s="89">
        <f t="shared" si="220"/>
        <v>0.0798825256975038</v>
      </c>
      <c r="AH410" s="105">
        <v>45454</v>
      </c>
      <c r="AI410" s="151">
        <f t="shared" si="222"/>
        <v>1.711</v>
      </c>
      <c r="AJ410" s="57">
        <f t="shared" si="215"/>
        <v>-0.002332361516035</v>
      </c>
      <c r="AK410" s="36">
        <f t="shared" si="201"/>
        <v>-0.00869061413673222</v>
      </c>
      <c r="AL410" s="105">
        <v>45454</v>
      </c>
      <c r="AM410" s="151">
        <f t="shared" si="230"/>
        <v>4.84</v>
      </c>
      <c r="AN410" s="57">
        <f t="shared" si="216"/>
        <v>0</v>
      </c>
      <c r="AO410" s="36">
        <f t="shared" si="231"/>
        <v>-0.00206185567010309</v>
      </c>
      <c r="AP410" s="36"/>
      <c r="FV410" s="104">
        <f t="shared" si="209"/>
        <v>2012</v>
      </c>
      <c r="FW410" s="104">
        <f t="shared" si="210"/>
        <v>14</v>
      </c>
      <c r="FX410" s="35">
        <v>41004</v>
      </c>
      <c r="FY410" s="26">
        <v>1.02</v>
      </c>
      <c r="FZ410" s="94">
        <f t="shared" si="211"/>
        <v>4.08</v>
      </c>
      <c r="GA410" s="104"/>
      <c r="GB410" s="104"/>
      <c r="GE410" s="94"/>
      <c r="GF410" s="104">
        <f t="shared" si="212"/>
        <v>2014</v>
      </c>
      <c r="GG410" s="104">
        <f t="shared" si="213"/>
        <v>29</v>
      </c>
      <c r="GH410" s="35">
        <v>41836</v>
      </c>
      <c r="GI410" s="26">
        <v>4.369</v>
      </c>
      <c r="GJ410" s="94">
        <f t="shared" si="214"/>
        <v>8.738</v>
      </c>
      <c r="GK410" s="104"/>
      <c r="GL410" s="104"/>
      <c r="GO410" s="94"/>
    </row>
    <row r="411" spans="3:197">
      <c r="C411" s="80" t="str" cm="1">
        <f t="array" ref="C411">_xlfn.IFS(MONTH(D411)&lt;4,1,MONTH(D411)&lt;7,2,MONTH(D411)&lt;10,3,MONTH(D411)&gt;9,4)&amp;"Q"&amp;RIGHT(YEAR(D411),2)</f>
        <v>3Q17</v>
      </c>
      <c r="D411" s="81">
        <f t="shared" si="198"/>
        <v>43008</v>
      </c>
      <c r="E411" s="82">
        <f t="shared" si="233"/>
        <v>42984</v>
      </c>
      <c r="F411" s="83">
        <f t="shared" si="197"/>
        <v>0.920375</v>
      </c>
      <c r="G411" s="83">
        <f t="shared" si="197"/>
        <v>0.85125</v>
      </c>
      <c r="H411" s="81"/>
      <c r="I411" s="146">
        <v>42984</v>
      </c>
      <c r="J411" s="147">
        <v>7.5</v>
      </c>
      <c r="K411" s="147">
        <v>7.08</v>
      </c>
      <c r="L411" s="147">
        <v>7.363</v>
      </c>
      <c r="M411" s="94" cm="1">
        <f t="array" ref="M411">INDEX($BV$29:$BV$1449,MATCH($D411,$BR$29:$BR$1449,0),)</f>
        <v>6.81</v>
      </c>
      <c r="N411" s="150">
        <f t="shared" si="218"/>
        <v>0.00122382376937735</v>
      </c>
      <c r="O411" s="150">
        <f t="shared" si="219"/>
        <v>0.00918311403508776</v>
      </c>
      <c r="P411" s="150">
        <f t="shared" si="217"/>
        <v>0.0154461453592607</v>
      </c>
      <c r="Q411" s="89">
        <f t="shared" si="220"/>
        <v>0.0812041116005875</v>
      </c>
      <c r="AH411" s="105">
        <v>45460</v>
      </c>
      <c r="AI411" s="151">
        <f t="shared" si="222"/>
        <v>1.703</v>
      </c>
      <c r="AJ411" s="57">
        <f t="shared" si="215"/>
        <v>-0.00467562828755119</v>
      </c>
      <c r="AK411" s="36">
        <f t="shared" si="201"/>
        <v>-0.00699708454810499</v>
      </c>
      <c r="AL411" s="105">
        <v>45460</v>
      </c>
      <c r="AM411" s="151">
        <f t="shared" si="230"/>
        <v>4.833</v>
      </c>
      <c r="AN411" s="57">
        <f t="shared" si="216"/>
        <v>-0.00144628099173549</v>
      </c>
      <c r="AO411" s="36">
        <f t="shared" si="231"/>
        <v>-0.00144628099173549</v>
      </c>
      <c r="AP411" s="36"/>
      <c r="FV411" s="104">
        <f t="shared" si="209"/>
        <v>2012</v>
      </c>
      <c r="FW411" s="104">
        <f t="shared" si="210"/>
        <v>14</v>
      </c>
      <c r="FX411" s="35">
        <v>41005</v>
      </c>
      <c r="FY411" s="26">
        <v>1.01</v>
      </c>
      <c r="FZ411" s="94">
        <f t="shared" si="211"/>
        <v>4.04</v>
      </c>
      <c r="GA411" s="104"/>
      <c r="GB411" s="104"/>
      <c r="GE411" s="94"/>
      <c r="GF411" s="104">
        <f t="shared" si="212"/>
        <v>2014</v>
      </c>
      <c r="GG411" s="104">
        <f t="shared" si="213"/>
        <v>29</v>
      </c>
      <c r="GH411" s="35">
        <v>41837</v>
      </c>
      <c r="GI411" s="26">
        <v>4.392</v>
      </c>
      <c r="GJ411" s="94">
        <f t="shared" si="214"/>
        <v>8.784</v>
      </c>
      <c r="GK411" s="104"/>
      <c r="GL411" s="104"/>
      <c r="GO411" s="94"/>
    </row>
    <row r="412" spans="3:197">
      <c r="C412" s="80" t="str" cm="1">
        <f t="array" ref="C412">_xlfn.IFS(MONTH(D412)&lt;4,1,MONTH(D412)&lt;7,2,MONTH(D412)&lt;10,3,MONTH(D412)&gt;9,4)&amp;"Q"&amp;RIGHT(YEAR(D412),2)</f>
        <v>3Q17</v>
      </c>
      <c r="D412" s="81">
        <f t="shared" si="198"/>
        <v>43008</v>
      </c>
      <c r="E412" s="82">
        <f t="shared" si="233"/>
        <v>42985</v>
      </c>
      <c r="F412" s="83">
        <f t="shared" si="197"/>
        <v>0.924125</v>
      </c>
      <c r="G412" s="83">
        <f t="shared" si="197"/>
        <v>0.85125</v>
      </c>
      <c r="H412" s="81"/>
      <c r="I412" s="146">
        <v>42985</v>
      </c>
      <c r="J412" s="147">
        <v>7.5</v>
      </c>
      <c r="K412" s="147">
        <v>7.1</v>
      </c>
      <c r="L412" s="147">
        <v>7.393</v>
      </c>
      <c r="M412" s="94" cm="1">
        <f t="array" ref="M412">INDEX($BV$29:$BV$1449,MATCH($D412,$BR$29:$BR$1449,0),)</f>
        <v>6.81</v>
      </c>
      <c r="N412" s="150">
        <f t="shared" si="218"/>
        <v>0.00407442618497877</v>
      </c>
      <c r="O412" s="150">
        <f t="shared" si="219"/>
        <v>0.0132949561403508</v>
      </c>
      <c r="P412" s="150">
        <f t="shared" si="217"/>
        <v>0.0193023576451123</v>
      </c>
      <c r="Q412" s="89">
        <f t="shared" si="220"/>
        <v>0.0856093979441996</v>
      </c>
      <c r="AH412" s="105">
        <f t="shared" ref="AH412:AH475" si="234">AH411+7</f>
        <v>45467</v>
      </c>
      <c r="AI412" s="151">
        <f t="shared" si="222"/>
        <v>1.732</v>
      </c>
      <c r="AJ412" s="57">
        <f t="shared" si="215"/>
        <v>0.0170287727539635</v>
      </c>
      <c r="AK412" s="36">
        <f t="shared" si="201"/>
        <v>0.0122735242548218</v>
      </c>
      <c r="AL412" s="105">
        <f t="shared" ref="AL412:AL475" si="235">AL411+7</f>
        <v>45467</v>
      </c>
      <c r="AM412" s="151">
        <f t="shared" si="230"/>
        <v>4.85</v>
      </c>
      <c r="AN412" s="57">
        <f t="shared" si="216"/>
        <v>0.00351748396441121</v>
      </c>
      <c r="AO412" s="36">
        <f t="shared" si="231"/>
        <v>0.00206611570247928</v>
      </c>
      <c r="AP412" s="36"/>
      <c r="FV412" s="104">
        <f t="shared" si="209"/>
        <v>2012</v>
      </c>
      <c r="FW412" s="104">
        <f t="shared" si="210"/>
        <v>15</v>
      </c>
      <c r="FX412" s="35">
        <v>41008</v>
      </c>
      <c r="FY412" s="26">
        <v>1.02</v>
      </c>
      <c r="FZ412" s="94">
        <f t="shared" si="211"/>
        <v>4.08</v>
      </c>
      <c r="GA412" s="104"/>
      <c r="GB412" s="104"/>
      <c r="GE412" s="94"/>
      <c r="GF412" s="104">
        <f t="shared" si="212"/>
        <v>2014</v>
      </c>
      <c r="GG412" s="104">
        <f t="shared" si="213"/>
        <v>29</v>
      </c>
      <c r="GH412" s="35">
        <v>41838</v>
      </c>
      <c r="GI412" s="26">
        <v>4.425</v>
      </c>
      <c r="GJ412" s="94">
        <f t="shared" si="214"/>
        <v>8.85</v>
      </c>
      <c r="GK412" s="104"/>
      <c r="GL412" s="104"/>
      <c r="GO412" s="94"/>
    </row>
    <row r="413" spans="3:197">
      <c r="C413" s="80" t="str" cm="1">
        <f t="array" ref="C413">_xlfn.IFS(MONTH(D413)&lt;4,1,MONTH(D413)&lt;7,2,MONTH(D413)&lt;10,3,MONTH(D413)&gt;9,4)&amp;"Q"&amp;RIGHT(YEAR(D413),2)</f>
        <v>3Q17</v>
      </c>
      <c r="D413" s="81">
        <f t="shared" si="198"/>
        <v>43008</v>
      </c>
      <c r="E413" s="82">
        <f t="shared" si="233"/>
        <v>42986</v>
      </c>
      <c r="F413" s="83">
        <f t="shared" ref="F413:G476" si="236">+L413/8</f>
        <v>0.93</v>
      </c>
      <c r="G413" s="83">
        <f t="shared" si="236"/>
        <v>0.85125</v>
      </c>
      <c r="H413" s="81"/>
      <c r="I413" s="146">
        <v>42986</v>
      </c>
      <c r="J413" s="147">
        <v>7.5</v>
      </c>
      <c r="K413" s="147">
        <v>7.1</v>
      </c>
      <c r="L413" s="147">
        <v>7.44</v>
      </c>
      <c r="M413" s="94" cm="1">
        <f t="array" ref="M413">INDEX($BV$29:$BV$1449,MATCH($D413,$BR$29:$BR$1449,0),)</f>
        <v>6.81</v>
      </c>
      <c r="N413" s="150">
        <f t="shared" si="218"/>
        <v>0.00635736507507101</v>
      </c>
      <c r="O413" s="150">
        <f t="shared" si="219"/>
        <v>0.0130718954248366</v>
      </c>
      <c r="P413" s="150">
        <f t="shared" si="217"/>
        <v>0.025782434854543</v>
      </c>
      <c r="Q413" s="89">
        <f t="shared" si="220"/>
        <v>0.0925110132158591</v>
      </c>
      <c r="AH413" s="105">
        <f t="shared" si="234"/>
        <v>45474</v>
      </c>
      <c r="AI413" s="151">
        <f t="shared" si="222"/>
        <v>1.754</v>
      </c>
      <c r="AJ413" s="57">
        <f t="shared" si="215"/>
        <v>0.0127020785219401</v>
      </c>
      <c r="AK413" s="36">
        <f t="shared" si="201"/>
        <v>0.0299471520845567</v>
      </c>
      <c r="AL413" s="105">
        <f t="shared" si="235"/>
        <v>45474</v>
      </c>
      <c r="AM413" s="151">
        <f t="shared" si="230"/>
        <v>4.883</v>
      </c>
      <c r="AN413" s="57">
        <f t="shared" si="216"/>
        <v>0.00680412371134032</v>
      </c>
      <c r="AO413" s="36">
        <f t="shared" si="231"/>
        <v>0.0103455410717981</v>
      </c>
      <c r="AP413" s="36"/>
      <c r="FV413" s="104">
        <f t="shared" si="209"/>
        <v>2012</v>
      </c>
      <c r="FW413" s="104">
        <f t="shared" si="210"/>
        <v>15</v>
      </c>
      <c r="FX413" s="35">
        <v>41009</v>
      </c>
      <c r="FY413" s="26">
        <v>1.02</v>
      </c>
      <c r="FZ413" s="94">
        <f t="shared" si="211"/>
        <v>4.08</v>
      </c>
      <c r="GA413" s="104"/>
      <c r="GB413" s="104"/>
      <c r="GE413" s="94"/>
      <c r="GF413" s="104">
        <f t="shared" si="212"/>
        <v>2014</v>
      </c>
      <c r="GG413" s="104">
        <f t="shared" si="213"/>
        <v>30</v>
      </c>
      <c r="GH413" s="35">
        <v>41841</v>
      </c>
      <c r="GI413" s="26">
        <v>4.425</v>
      </c>
      <c r="GJ413" s="94">
        <f t="shared" si="214"/>
        <v>8.85</v>
      </c>
      <c r="GK413" s="104"/>
      <c r="GL413" s="104"/>
      <c r="GO413" s="94"/>
    </row>
    <row r="414" spans="3:197">
      <c r="C414" s="80" t="str" cm="1">
        <f t="array" ref="C414">_xlfn.IFS(MONTH(D414)&lt;4,1,MONTH(D414)&lt;7,2,MONTH(D414)&lt;10,3,MONTH(D414)&gt;9,4)&amp;"Q"&amp;RIGHT(YEAR(D414),2)</f>
        <v>3Q17</v>
      </c>
      <c r="D414" s="81">
        <f t="shared" ref="D414:D477" si="237">EOMONTH(E414,0)</f>
        <v>43008</v>
      </c>
      <c r="E414" s="82">
        <f t="shared" si="233"/>
        <v>42989</v>
      </c>
      <c r="F414" s="83">
        <f t="shared" si="236"/>
        <v>0.939</v>
      </c>
      <c r="G414" s="83">
        <f t="shared" si="236"/>
        <v>0.85125</v>
      </c>
      <c r="H414" s="81"/>
      <c r="I414" s="146">
        <v>42989</v>
      </c>
      <c r="J414" s="147">
        <v>7.6</v>
      </c>
      <c r="K414" s="147">
        <v>7.2</v>
      </c>
      <c r="L414" s="147">
        <v>7.512</v>
      </c>
      <c r="M414" s="94" cm="1">
        <f t="array" ref="M414">INDEX($BV$29:$BV$1449,MATCH($D414,$BR$29:$BR$1449,0),)</f>
        <v>6.81</v>
      </c>
      <c r="N414" s="150">
        <f t="shared" si="218"/>
        <v>0.00967741935483857</v>
      </c>
      <c r="O414" s="150">
        <f t="shared" si="219"/>
        <v>0.022875816993464</v>
      </c>
      <c r="P414" s="150">
        <f t="shared" si="217"/>
        <v>0.0338563170933113</v>
      </c>
      <c r="Q414" s="89">
        <f t="shared" si="220"/>
        <v>0.103083700440529</v>
      </c>
      <c r="AH414" s="105">
        <f t="shared" si="234"/>
        <v>45481</v>
      </c>
      <c r="AI414" s="151">
        <f t="shared" si="222"/>
        <v>1.818</v>
      </c>
      <c r="AJ414" s="57">
        <f t="shared" si="215"/>
        <v>0.0364880273660206</v>
      </c>
      <c r="AK414" s="36">
        <f t="shared" si="201"/>
        <v>0.0496535796766744</v>
      </c>
      <c r="AL414" s="105">
        <f t="shared" si="235"/>
        <v>45481</v>
      </c>
      <c r="AM414" s="151">
        <f t="shared" si="230"/>
        <v>4.917</v>
      </c>
      <c r="AN414" s="57">
        <f t="shared" si="216"/>
        <v>0.00696293262338732</v>
      </c>
      <c r="AO414" s="36">
        <f t="shared" si="231"/>
        <v>0.0138144329896908</v>
      </c>
      <c r="AP414" s="36"/>
      <c r="FV414" s="104">
        <f t="shared" si="209"/>
        <v>2012</v>
      </c>
      <c r="FW414" s="104">
        <f t="shared" si="210"/>
        <v>15</v>
      </c>
      <c r="FX414" s="35">
        <v>41010</v>
      </c>
      <c r="FY414" s="26">
        <v>1.01</v>
      </c>
      <c r="FZ414" s="94">
        <f t="shared" si="211"/>
        <v>4.04</v>
      </c>
      <c r="GA414" s="104"/>
      <c r="GB414" s="104"/>
      <c r="GE414" s="94"/>
      <c r="GF414" s="104">
        <f t="shared" si="212"/>
        <v>2014</v>
      </c>
      <c r="GG414" s="104">
        <f t="shared" si="213"/>
        <v>30</v>
      </c>
      <c r="GH414" s="35">
        <v>41842</v>
      </c>
      <c r="GI414" s="26">
        <v>4.427</v>
      </c>
      <c r="GJ414" s="94">
        <f t="shared" si="214"/>
        <v>8.854</v>
      </c>
      <c r="GK414" s="104"/>
      <c r="GL414" s="104"/>
      <c r="GO414" s="94"/>
    </row>
    <row r="415" spans="3:197">
      <c r="C415" s="80" t="str" cm="1">
        <f t="array" ref="C415">_xlfn.IFS(MONTH(D415)&lt;4,1,MONTH(D415)&lt;7,2,MONTH(D415)&lt;10,3,MONTH(D415)&gt;9,4)&amp;"Q"&amp;RIGHT(YEAR(D415),2)</f>
        <v>3Q17</v>
      </c>
      <c r="D415" s="81">
        <f t="shared" si="237"/>
        <v>43008</v>
      </c>
      <c r="E415" s="82">
        <f t="shared" si="233"/>
        <v>42990</v>
      </c>
      <c r="F415" s="83">
        <f t="shared" si="236"/>
        <v>0.9425</v>
      </c>
      <c r="G415" s="83">
        <f t="shared" si="236"/>
        <v>0.85125</v>
      </c>
      <c r="H415" s="81"/>
      <c r="I415" s="146">
        <v>42990</v>
      </c>
      <c r="J415" s="147">
        <v>7.6</v>
      </c>
      <c r="K415" s="147">
        <v>7.25</v>
      </c>
      <c r="L415" s="147">
        <v>7.54</v>
      </c>
      <c r="M415" s="94" cm="1">
        <f t="array" ref="M415">INDEX($BV$29:$BV$1449,MATCH($D415,$BR$29:$BR$1449,0),)</f>
        <v>6.81</v>
      </c>
      <c r="N415" s="150">
        <f t="shared" si="218"/>
        <v>0.00372736954206609</v>
      </c>
      <c r="O415" s="150">
        <f t="shared" si="219"/>
        <v>0.0252923579004622</v>
      </c>
      <c r="P415" s="150">
        <f t="shared" si="217"/>
        <v>0.0362836723474438</v>
      </c>
      <c r="Q415" s="89">
        <f t="shared" si="220"/>
        <v>0.1071953010279</v>
      </c>
      <c r="AH415" s="105">
        <f t="shared" si="234"/>
        <v>45488</v>
      </c>
      <c r="AI415" s="151">
        <f t="shared" si="222"/>
        <v>1.83</v>
      </c>
      <c r="AJ415" s="57">
        <f t="shared" si="215"/>
        <v>0.00660066006600668</v>
      </c>
      <c r="AK415" s="36">
        <f t="shared" ref="AK415:AK478" si="238">AI415/AI413-1</f>
        <v>0.0433295324971494</v>
      </c>
      <c r="AL415" s="105">
        <f t="shared" si="235"/>
        <v>45488</v>
      </c>
      <c r="AM415" s="151">
        <f t="shared" si="230"/>
        <v>4.983</v>
      </c>
      <c r="AN415" s="57">
        <f t="shared" si="216"/>
        <v>0.0134228187919463</v>
      </c>
      <c r="AO415" s="36">
        <f t="shared" si="231"/>
        <v>0.0204792135981977</v>
      </c>
      <c r="AP415" s="36"/>
      <c r="FV415" s="104">
        <f t="shared" si="209"/>
        <v>2012</v>
      </c>
      <c r="FW415" s="104">
        <f t="shared" si="210"/>
        <v>15</v>
      </c>
      <c r="FX415" s="35">
        <v>41011</v>
      </c>
      <c r="FY415" s="26">
        <v>1.01</v>
      </c>
      <c r="FZ415" s="94">
        <f t="shared" si="211"/>
        <v>4.04</v>
      </c>
      <c r="GA415" s="104"/>
      <c r="GB415" s="104"/>
      <c r="GE415" s="94"/>
      <c r="GF415" s="104">
        <f t="shared" si="212"/>
        <v>2014</v>
      </c>
      <c r="GG415" s="104">
        <f t="shared" si="213"/>
        <v>30</v>
      </c>
      <c r="GH415" s="35">
        <v>41843</v>
      </c>
      <c r="GI415" s="26">
        <v>4.419</v>
      </c>
      <c r="GJ415" s="94">
        <f t="shared" si="214"/>
        <v>8.838</v>
      </c>
      <c r="GK415" s="104"/>
      <c r="GL415" s="104"/>
      <c r="GO415" s="94"/>
    </row>
    <row r="416" spans="3:197">
      <c r="C416" s="80" t="str" cm="1">
        <f t="array" ref="C416">_xlfn.IFS(MONTH(D416)&lt;4,1,MONTH(D416)&lt;7,2,MONTH(D416)&lt;10,3,MONTH(D416)&gt;9,4)&amp;"Q"&amp;RIGHT(YEAR(D416),2)</f>
        <v>3Q17</v>
      </c>
      <c r="D416" s="81">
        <f t="shared" si="237"/>
        <v>43008</v>
      </c>
      <c r="E416" s="82">
        <f t="shared" si="233"/>
        <v>42991</v>
      </c>
      <c r="F416" s="83">
        <f t="shared" si="236"/>
        <v>0.951875</v>
      </c>
      <c r="G416" s="83">
        <f t="shared" si="236"/>
        <v>0.85125</v>
      </c>
      <c r="H416" s="81"/>
      <c r="I416" s="146">
        <v>42991</v>
      </c>
      <c r="J416" s="147">
        <v>7.75</v>
      </c>
      <c r="K416" s="147">
        <v>7.35</v>
      </c>
      <c r="L416" s="147">
        <v>7.615</v>
      </c>
      <c r="M416" s="94" cm="1">
        <f t="array" ref="M416">INDEX($BV$29:$BV$1449,MATCH($D416,$BR$29:$BR$1449,0),)</f>
        <v>6.81</v>
      </c>
      <c r="N416" s="150">
        <f t="shared" si="218"/>
        <v>0.00994694960212206</v>
      </c>
      <c r="O416" s="150">
        <f t="shared" si="219"/>
        <v>0.0342251799538231</v>
      </c>
      <c r="P416" s="150">
        <f t="shared" si="217"/>
        <v>0.0437225877192982</v>
      </c>
      <c r="Q416" s="89">
        <f t="shared" si="220"/>
        <v>0.118208516886931</v>
      </c>
      <c r="AH416" s="105">
        <f t="shared" si="234"/>
        <v>45495</v>
      </c>
      <c r="AI416" s="151">
        <f t="shared" si="222"/>
        <v>1.833</v>
      </c>
      <c r="AJ416" s="57">
        <f t="shared" si="215"/>
        <v>0.00163934426229506</v>
      </c>
      <c r="AK416" s="36">
        <f t="shared" si="238"/>
        <v>0.00825082508250818</v>
      </c>
      <c r="AL416" s="105">
        <f t="shared" si="235"/>
        <v>45495</v>
      </c>
      <c r="AM416" s="151">
        <f t="shared" si="230"/>
        <v>5.05</v>
      </c>
      <c r="AN416" s="57">
        <f t="shared" si="216"/>
        <v>0.0134457154324705</v>
      </c>
      <c r="AO416" s="36">
        <f t="shared" si="231"/>
        <v>0.0270490136261949</v>
      </c>
      <c r="AP416" s="36"/>
      <c r="FV416" s="104">
        <f t="shared" si="209"/>
        <v>2012</v>
      </c>
      <c r="FW416" s="104">
        <f t="shared" si="210"/>
        <v>15</v>
      </c>
      <c r="FX416" s="35">
        <v>41012</v>
      </c>
      <c r="FY416" s="26">
        <v>1.01</v>
      </c>
      <c r="FZ416" s="94">
        <f t="shared" si="211"/>
        <v>4.04</v>
      </c>
      <c r="GA416" s="104"/>
      <c r="GB416" s="104"/>
      <c r="GE416" s="94"/>
      <c r="GF416" s="104">
        <f t="shared" si="212"/>
        <v>2014</v>
      </c>
      <c r="GG416" s="104">
        <f t="shared" si="213"/>
        <v>30</v>
      </c>
      <c r="GH416" s="35">
        <v>41844</v>
      </c>
      <c r="GI416" s="26">
        <v>4.42</v>
      </c>
      <c r="GJ416" s="94">
        <f t="shared" si="214"/>
        <v>8.84</v>
      </c>
      <c r="GK416" s="104"/>
      <c r="GL416" s="104"/>
      <c r="GO416" s="94"/>
    </row>
    <row r="417" spans="3:197">
      <c r="C417" s="80" t="str" cm="1">
        <f t="array" ref="C417">_xlfn.IFS(MONTH(D417)&lt;4,1,MONTH(D417)&lt;7,2,MONTH(D417)&lt;10,3,MONTH(D417)&gt;9,4)&amp;"Q"&amp;RIGHT(YEAR(D417),2)</f>
        <v>3Q17</v>
      </c>
      <c r="D417" s="81">
        <f t="shared" si="237"/>
        <v>43008</v>
      </c>
      <c r="E417" s="82">
        <f t="shared" si="233"/>
        <v>42992</v>
      </c>
      <c r="F417" s="83">
        <f t="shared" si="236"/>
        <v>0.95625</v>
      </c>
      <c r="G417" s="83">
        <f t="shared" si="236"/>
        <v>0.85125</v>
      </c>
      <c r="H417" s="81"/>
      <c r="I417" s="146">
        <v>42992</v>
      </c>
      <c r="J417" s="147">
        <v>7.85</v>
      </c>
      <c r="K417" s="147">
        <v>7.35</v>
      </c>
      <c r="L417" s="147">
        <v>7.65</v>
      </c>
      <c r="M417" s="94" cm="1">
        <f t="array" ref="M417">INDEX($BV$29:$BV$1449,MATCH($D417,$BR$29:$BR$1449,0),)</f>
        <v>6.81</v>
      </c>
      <c r="N417" s="150">
        <f t="shared" si="218"/>
        <v>0.00459619172685488</v>
      </c>
      <c r="O417" s="150">
        <f t="shared" si="219"/>
        <v>0.0347626132828351</v>
      </c>
      <c r="P417" s="150">
        <f t="shared" si="217"/>
        <v>0.0485197368421053</v>
      </c>
      <c r="Q417" s="89">
        <f t="shared" si="220"/>
        <v>0.123348017621145</v>
      </c>
      <c r="AH417" s="105">
        <f t="shared" si="234"/>
        <v>45502</v>
      </c>
      <c r="AI417" s="151">
        <f t="shared" si="222"/>
        <v>1.83</v>
      </c>
      <c r="AJ417" s="57">
        <f t="shared" si="215"/>
        <v>-0.00163666121112926</v>
      </c>
      <c r="AK417" s="36">
        <f t="shared" si="238"/>
        <v>0</v>
      </c>
      <c r="AL417" s="105">
        <f t="shared" si="235"/>
        <v>45502</v>
      </c>
      <c r="AM417" s="151">
        <f t="shared" si="230"/>
        <v>5.103</v>
      </c>
      <c r="AN417" s="57">
        <f t="shared" si="216"/>
        <v>0.0104950495049505</v>
      </c>
      <c r="AO417" s="36">
        <f t="shared" si="231"/>
        <v>0.0240818783865142</v>
      </c>
      <c r="AP417" s="36"/>
      <c r="FV417" s="104">
        <f t="shared" si="209"/>
        <v>2012</v>
      </c>
      <c r="FW417" s="104">
        <f t="shared" si="210"/>
        <v>16</v>
      </c>
      <c r="FX417" s="35">
        <v>41015</v>
      </c>
      <c r="FY417" s="26">
        <v>1</v>
      </c>
      <c r="FZ417" s="94">
        <f t="shared" si="211"/>
        <v>4</v>
      </c>
      <c r="GA417" s="104"/>
      <c r="GB417" s="104"/>
      <c r="GE417" s="94"/>
      <c r="GF417" s="104">
        <f t="shared" si="212"/>
        <v>2014</v>
      </c>
      <c r="GG417" s="104">
        <f t="shared" si="213"/>
        <v>30</v>
      </c>
      <c r="GH417" s="35">
        <v>41845</v>
      </c>
      <c r="GI417" s="26">
        <v>4.417</v>
      </c>
      <c r="GJ417" s="94">
        <f t="shared" si="214"/>
        <v>8.834</v>
      </c>
      <c r="GK417" s="104"/>
      <c r="GL417" s="104"/>
      <c r="GO417" s="94"/>
    </row>
    <row r="418" spans="3:197">
      <c r="C418" s="80" t="str" cm="1">
        <f t="array" ref="C418">_xlfn.IFS(MONTH(D418)&lt;4,1,MONTH(D418)&lt;7,2,MONTH(D418)&lt;10,3,MONTH(D418)&gt;9,4)&amp;"Q"&amp;RIGHT(YEAR(D418),2)</f>
        <v>3Q17</v>
      </c>
      <c r="D418" s="81">
        <f t="shared" si="237"/>
        <v>43008</v>
      </c>
      <c r="E418" s="82">
        <f t="shared" si="233"/>
        <v>42993</v>
      </c>
      <c r="F418" s="83">
        <f t="shared" si="236"/>
        <v>0.95975</v>
      </c>
      <c r="G418" s="83">
        <f t="shared" si="236"/>
        <v>0.85125</v>
      </c>
      <c r="H418" s="81"/>
      <c r="I418" s="146">
        <v>42993</v>
      </c>
      <c r="J418" s="147">
        <v>7.85</v>
      </c>
      <c r="K418" s="147">
        <v>7.35</v>
      </c>
      <c r="L418" s="147">
        <v>7.678</v>
      </c>
      <c r="M418" s="94" cm="1">
        <f t="array" ref="M418">INDEX($BV$29:$BV$1449,MATCH($D418,$BR$29:$BR$1449,0),)</f>
        <v>6.81</v>
      </c>
      <c r="N418" s="150">
        <f t="shared" si="218"/>
        <v>0.0036601307189541</v>
      </c>
      <c r="O418" s="150">
        <f t="shared" si="219"/>
        <v>0.031989247311828</v>
      </c>
      <c r="P418" s="150">
        <f t="shared" si="217"/>
        <v>0.045479302832244</v>
      </c>
      <c r="Q418" s="89">
        <f t="shared" si="220"/>
        <v>0.127459618208517</v>
      </c>
      <c r="AH418" s="105">
        <f t="shared" si="234"/>
        <v>45509</v>
      </c>
      <c r="AI418" s="151">
        <f t="shared" si="222"/>
        <v>1.83</v>
      </c>
      <c r="AJ418" s="57">
        <f t="shared" si="215"/>
        <v>0</v>
      </c>
      <c r="AK418" s="36">
        <f t="shared" si="238"/>
        <v>-0.00163666121112926</v>
      </c>
      <c r="AL418" s="105">
        <f t="shared" si="235"/>
        <v>45509</v>
      </c>
      <c r="AM418" s="151">
        <f t="shared" si="230"/>
        <v>5.153</v>
      </c>
      <c r="AN418" s="57">
        <f t="shared" si="216"/>
        <v>0.00979815794630601</v>
      </c>
      <c r="AO418" s="36">
        <f t="shared" si="231"/>
        <v>0.0203960396039604</v>
      </c>
      <c r="AP418" s="36"/>
      <c r="FV418" s="104">
        <f t="shared" si="209"/>
        <v>2012</v>
      </c>
      <c r="FW418" s="104">
        <f t="shared" si="210"/>
        <v>16</v>
      </c>
      <c r="FX418" s="35">
        <v>41016</v>
      </c>
      <c r="FY418" s="26">
        <v>1</v>
      </c>
      <c r="FZ418" s="94">
        <f t="shared" si="211"/>
        <v>4</v>
      </c>
      <c r="GA418" s="104"/>
      <c r="GB418" s="104"/>
      <c r="GE418" s="94"/>
      <c r="GF418" s="104">
        <f t="shared" si="212"/>
        <v>2014</v>
      </c>
      <c r="GG418" s="104">
        <f t="shared" si="213"/>
        <v>31</v>
      </c>
      <c r="GH418" s="35">
        <v>41848</v>
      </c>
      <c r="GI418" s="26">
        <v>4.399</v>
      </c>
      <c r="GJ418" s="94">
        <f t="shared" si="214"/>
        <v>8.798</v>
      </c>
      <c r="GK418" s="104"/>
      <c r="GL418" s="104"/>
      <c r="GO418" s="94"/>
    </row>
    <row r="419" spans="3:197">
      <c r="C419" s="80" t="str" cm="1">
        <f t="array" ref="C419">_xlfn.IFS(MONTH(D419)&lt;4,1,MONTH(D419)&lt;7,2,MONTH(D419)&lt;10,3,MONTH(D419)&gt;9,4)&amp;"Q"&amp;RIGHT(YEAR(D419),2)</f>
        <v>3Q17</v>
      </c>
      <c r="D419" s="81">
        <f t="shared" si="237"/>
        <v>43008</v>
      </c>
      <c r="E419" s="82">
        <f t="shared" si="233"/>
        <v>42996</v>
      </c>
      <c r="F419" s="83">
        <f t="shared" si="236"/>
        <v>0.9625</v>
      </c>
      <c r="G419" s="83">
        <f t="shared" si="236"/>
        <v>0.85125</v>
      </c>
      <c r="H419" s="81"/>
      <c r="I419" s="146">
        <v>42996</v>
      </c>
      <c r="J419" s="147">
        <v>7.9</v>
      </c>
      <c r="K419" s="147">
        <v>7.35</v>
      </c>
      <c r="L419" s="147">
        <v>7.7</v>
      </c>
      <c r="M419" s="94" cm="1">
        <f t="array" ref="M419">INDEX($BV$29:$BV$1449,MATCH($D419,$BR$29:$BR$1449,0),)</f>
        <v>6.81</v>
      </c>
      <c r="N419" s="150">
        <f t="shared" si="218"/>
        <v>0.00286532951289398</v>
      </c>
      <c r="O419" s="150">
        <f t="shared" si="219"/>
        <v>0.0250266240681576</v>
      </c>
      <c r="P419" s="150">
        <f t="shared" si="217"/>
        <v>0.048474945533769</v>
      </c>
      <c r="Q419" s="89">
        <f t="shared" si="220"/>
        <v>0.130690161527166</v>
      </c>
      <c r="AH419" s="105">
        <f t="shared" si="234"/>
        <v>45516</v>
      </c>
      <c r="AI419" s="151">
        <f t="shared" si="222"/>
        <v>1.826</v>
      </c>
      <c r="AJ419" s="57">
        <f t="shared" si="215"/>
        <v>-0.00218579234972682</v>
      </c>
      <c r="AK419" s="36">
        <f t="shared" si="238"/>
        <v>-0.00218579234972682</v>
      </c>
      <c r="AL419" s="105">
        <f t="shared" si="235"/>
        <v>45516</v>
      </c>
      <c r="AM419" s="151">
        <f t="shared" si="230"/>
        <v>5.167</v>
      </c>
      <c r="AN419" s="57">
        <f t="shared" si="216"/>
        <v>0.00271686396274018</v>
      </c>
      <c r="AO419" s="36">
        <f t="shared" si="231"/>
        <v>0.0125416421712718</v>
      </c>
      <c r="AP419" s="36"/>
      <c r="FV419" s="104">
        <f t="shared" si="209"/>
        <v>2012</v>
      </c>
      <c r="FW419" s="104">
        <f t="shared" si="210"/>
        <v>16</v>
      </c>
      <c r="FX419" s="35">
        <v>41017</v>
      </c>
      <c r="FY419" s="26">
        <v>1</v>
      </c>
      <c r="FZ419" s="94">
        <f t="shared" si="211"/>
        <v>4</v>
      </c>
      <c r="GA419" s="104"/>
      <c r="GB419" s="104"/>
      <c r="GE419" s="94"/>
      <c r="GF419" s="104">
        <f t="shared" si="212"/>
        <v>2014</v>
      </c>
      <c r="GG419" s="104">
        <f t="shared" si="213"/>
        <v>31</v>
      </c>
      <c r="GH419" s="35">
        <v>41849</v>
      </c>
      <c r="GI419" s="26">
        <v>4.382</v>
      </c>
      <c r="GJ419" s="94">
        <f t="shared" si="214"/>
        <v>8.764</v>
      </c>
      <c r="GK419" s="104"/>
      <c r="GL419" s="104"/>
      <c r="GO419" s="94"/>
    </row>
    <row r="420" spans="3:197">
      <c r="C420" s="80" t="str" cm="1">
        <f t="array" ref="C420">_xlfn.IFS(MONTH(D420)&lt;4,1,MONTH(D420)&lt;7,2,MONTH(D420)&lt;10,3,MONTH(D420)&gt;9,4)&amp;"Q"&amp;RIGHT(YEAR(D420),2)</f>
        <v>3Q17</v>
      </c>
      <c r="D420" s="81">
        <f t="shared" si="237"/>
        <v>43008</v>
      </c>
      <c r="E420" s="82">
        <f t="shared" si="233"/>
        <v>42997</v>
      </c>
      <c r="F420" s="83">
        <f t="shared" si="236"/>
        <v>0.968375</v>
      </c>
      <c r="G420" s="83">
        <f t="shared" si="236"/>
        <v>0.85125</v>
      </c>
      <c r="H420" s="81"/>
      <c r="I420" s="146">
        <v>42997</v>
      </c>
      <c r="J420" s="147">
        <v>7.9</v>
      </c>
      <c r="K420" s="147">
        <v>7.35</v>
      </c>
      <c r="L420" s="147">
        <v>7.747</v>
      </c>
      <c r="M420" s="94" cm="1">
        <f t="array" ref="M420">INDEX($BV$29:$BV$1449,MATCH($D420,$BR$29:$BR$1449,0),)</f>
        <v>6.81</v>
      </c>
      <c r="N420" s="150">
        <f t="shared" si="218"/>
        <v>0.00610389610389617</v>
      </c>
      <c r="O420" s="150">
        <f t="shared" si="219"/>
        <v>0.0274535809018568</v>
      </c>
      <c r="P420" s="150">
        <f t="shared" si="217"/>
        <v>0.053440304596138</v>
      </c>
      <c r="Q420" s="89">
        <f t="shared" si="220"/>
        <v>0.137591776798825</v>
      </c>
      <c r="AH420" s="105">
        <f t="shared" si="234"/>
        <v>45523</v>
      </c>
      <c r="AI420" s="151">
        <f t="shared" si="222"/>
        <v>1.82</v>
      </c>
      <c r="AJ420" s="57">
        <f t="shared" si="215"/>
        <v>-0.00328587075575026</v>
      </c>
      <c r="AK420" s="36">
        <f t="shared" si="238"/>
        <v>-0.00546448087431695</v>
      </c>
      <c r="AL420" s="105">
        <f t="shared" si="235"/>
        <v>45523</v>
      </c>
      <c r="AM420" s="151">
        <f t="shared" si="230"/>
        <v>5.143</v>
      </c>
      <c r="AN420" s="57">
        <f t="shared" si="216"/>
        <v>-0.00464486162183086</v>
      </c>
      <c r="AO420" s="36">
        <f t="shared" si="231"/>
        <v>-0.00194061711624294</v>
      </c>
      <c r="AP420" s="36"/>
      <c r="FV420" s="104">
        <f t="shared" si="209"/>
        <v>2012</v>
      </c>
      <c r="FW420" s="104">
        <f t="shared" si="210"/>
        <v>16</v>
      </c>
      <c r="FX420" s="35">
        <v>41018</v>
      </c>
      <c r="FY420" s="26">
        <v>1</v>
      </c>
      <c r="FZ420" s="94">
        <f t="shared" si="211"/>
        <v>4</v>
      </c>
      <c r="GA420" s="104"/>
      <c r="GB420" s="104"/>
      <c r="GE420" s="94"/>
      <c r="GF420" s="104">
        <f t="shared" si="212"/>
        <v>2014</v>
      </c>
      <c r="GG420" s="104">
        <f t="shared" si="213"/>
        <v>31</v>
      </c>
      <c r="GH420" s="35">
        <v>41850</v>
      </c>
      <c r="GI420" s="26">
        <v>4.353</v>
      </c>
      <c r="GJ420" s="94">
        <f t="shared" si="214"/>
        <v>8.706</v>
      </c>
      <c r="GK420" s="104"/>
      <c r="GL420" s="104"/>
      <c r="GO420" s="94"/>
    </row>
    <row r="421" spans="3:197">
      <c r="C421" s="80" t="str" cm="1">
        <f t="array" ref="C421">_xlfn.IFS(MONTH(D421)&lt;4,1,MONTH(D421)&lt;7,2,MONTH(D421)&lt;10,3,MONTH(D421)&gt;9,4)&amp;"Q"&amp;RIGHT(YEAR(D421),2)</f>
        <v>3Q17</v>
      </c>
      <c r="D421" s="81">
        <f t="shared" si="237"/>
        <v>43008</v>
      </c>
      <c r="E421" s="82">
        <f t="shared" si="233"/>
        <v>42998</v>
      </c>
      <c r="F421" s="83">
        <f t="shared" si="236"/>
        <v>0.969875</v>
      </c>
      <c r="G421" s="83">
        <f t="shared" si="236"/>
        <v>0.85125</v>
      </c>
      <c r="H421" s="81"/>
      <c r="I421" s="146">
        <v>42998</v>
      </c>
      <c r="J421" s="147">
        <v>8</v>
      </c>
      <c r="K421" s="147">
        <v>7.35</v>
      </c>
      <c r="L421" s="147">
        <v>7.759</v>
      </c>
      <c r="M421" s="94" cm="1">
        <f t="array" ref="M421">INDEX($BV$29:$BV$1449,MATCH($D421,$BR$29:$BR$1449,0),)</f>
        <v>6.81</v>
      </c>
      <c r="N421" s="150">
        <f t="shared" si="218"/>
        <v>0.00154898670453085</v>
      </c>
      <c r="O421" s="150">
        <f t="shared" si="219"/>
        <v>0.0189100459619174</v>
      </c>
      <c r="P421" s="150">
        <f t="shared" si="217"/>
        <v>0.0537824256417221</v>
      </c>
      <c r="Q421" s="89">
        <f t="shared" si="220"/>
        <v>0.13935389133627</v>
      </c>
      <c r="AH421" s="105">
        <f t="shared" si="234"/>
        <v>45530</v>
      </c>
      <c r="AI421" s="151">
        <f t="shared" si="222"/>
        <v>1.78</v>
      </c>
      <c r="AJ421" s="57">
        <f t="shared" si="215"/>
        <v>-0.021978021978022</v>
      </c>
      <c r="AK421" s="36">
        <f t="shared" si="238"/>
        <v>-0.0251916757940854</v>
      </c>
      <c r="AL421" s="105">
        <f t="shared" si="235"/>
        <v>45530</v>
      </c>
      <c r="AM421" s="151">
        <f t="shared" si="230"/>
        <v>5.13</v>
      </c>
      <c r="AN421" s="57">
        <f t="shared" si="216"/>
        <v>-0.00252770756367882</v>
      </c>
      <c r="AO421" s="36">
        <f t="shared" si="231"/>
        <v>-0.00716082833365583</v>
      </c>
      <c r="AP421" s="36"/>
      <c r="FV421" s="104">
        <f t="shared" si="209"/>
        <v>2012</v>
      </c>
      <c r="FW421" s="104">
        <f t="shared" si="210"/>
        <v>16</v>
      </c>
      <c r="FX421" s="35">
        <v>41019</v>
      </c>
      <c r="FY421" s="26">
        <v>0.99</v>
      </c>
      <c r="FZ421" s="94">
        <f t="shared" si="211"/>
        <v>3.96</v>
      </c>
      <c r="GA421" s="104"/>
      <c r="GB421" s="104"/>
      <c r="GE421" s="94"/>
      <c r="GF421" s="104">
        <f t="shared" si="212"/>
        <v>2014</v>
      </c>
      <c r="GG421" s="104">
        <f t="shared" si="213"/>
        <v>31</v>
      </c>
      <c r="GH421" s="35">
        <v>41851</v>
      </c>
      <c r="GI421" s="26">
        <v>4.353</v>
      </c>
      <c r="GJ421" s="94">
        <f t="shared" si="214"/>
        <v>8.706</v>
      </c>
      <c r="GK421" s="104"/>
      <c r="GL421" s="104"/>
      <c r="GO421" s="94"/>
    </row>
    <row r="422" spans="3:197">
      <c r="C422" s="80" t="str" cm="1">
        <f t="array" ref="C422">_xlfn.IFS(MONTH(D422)&lt;4,1,MONTH(D422)&lt;7,2,MONTH(D422)&lt;10,3,MONTH(D422)&gt;9,4)&amp;"Q"&amp;RIGHT(YEAR(D422),2)</f>
        <v>3Q17</v>
      </c>
      <c r="D422" s="81">
        <f t="shared" si="237"/>
        <v>43008</v>
      </c>
      <c r="E422" s="82">
        <f t="shared" si="233"/>
        <v>42999</v>
      </c>
      <c r="F422" s="83">
        <f t="shared" si="236"/>
        <v>0.987625</v>
      </c>
      <c r="G422" s="83">
        <f t="shared" si="236"/>
        <v>0.85125</v>
      </c>
      <c r="H422" s="81"/>
      <c r="I422" s="146">
        <v>42999</v>
      </c>
      <c r="J422" s="147">
        <v>8.05</v>
      </c>
      <c r="K422" s="147">
        <v>7.5</v>
      </c>
      <c r="L422" s="147">
        <v>7.901</v>
      </c>
      <c r="M422" s="94" cm="1">
        <f t="array" ref="M422">INDEX($BV$29:$BV$1449,MATCH($D422,$BR$29:$BR$1449,0),)</f>
        <v>6.81</v>
      </c>
      <c r="N422" s="150">
        <f t="shared" si="218"/>
        <v>0.018301327490656</v>
      </c>
      <c r="O422" s="150">
        <f t="shared" si="219"/>
        <v>0.0328104575163397</v>
      </c>
      <c r="P422" s="150">
        <f t="shared" si="217"/>
        <v>0.0687136480454484</v>
      </c>
      <c r="Q422" s="89">
        <f t="shared" si="220"/>
        <v>0.160205580029369</v>
      </c>
      <c r="AH422" s="105">
        <f t="shared" si="234"/>
        <v>45537</v>
      </c>
      <c r="AI422" s="151">
        <f t="shared" si="222"/>
        <v>1.765</v>
      </c>
      <c r="AJ422" s="57">
        <f t="shared" si="215"/>
        <v>-0.00842696629213491</v>
      </c>
      <c r="AK422" s="36">
        <f t="shared" si="238"/>
        <v>-0.0302197802197803</v>
      </c>
      <c r="AL422" s="105">
        <f t="shared" si="235"/>
        <v>45537</v>
      </c>
      <c r="AM422" s="151">
        <f t="shared" si="230"/>
        <v>5.099</v>
      </c>
      <c r="AN422" s="57">
        <f t="shared" si="216"/>
        <v>-0.00604288499025341</v>
      </c>
      <c r="AO422" s="36">
        <f t="shared" si="231"/>
        <v>-0.00855531790783581</v>
      </c>
      <c r="AP422" s="36"/>
      <c r="FV422" s="104">
        <f t="shared" si="209"/>
        <v>2012</v>
      </c>
      <c r="FW422" s="104">
        <f t="shared" si="210"/>
        <v>17</v>
      </c>
      <c r="FX422" s="35">
        <v>41022</v>
      </c>
      <c r="FY422" s="26">
        <v>1</v>
      </c>
      <c r="FZ422" s="94">
        <f t="shared" si="211"/>
        <v>4</v>
      </c>
      <c r="GA422" s="104"/>
      <c r="GB422" s="104"/>
      <c r="GE422" s="94"/>
      <c r="GF422" s="104">
        <f t="shared" si="212"/>
        <v>2014</v>
      </c>
      <c r="GG422" s="104">
        <f t="shared" si="213"/>
        <v>31</v>
      </c>
      <c r="GH422" s="35">
        <v>41852</v>
      </c>
      <c r="GI422" s="26">
        <v>4.345</v>
      </c>
      <c r="GJ422" s="94">
        <f t="shared" si="214"/>
        <v>8.69</v>
      </c>
      <c r="GK422" s="104"/>
      <c r="GL422" s="104"/>
      <c r="GO422" s="94"/>
    </row>
    <row r="423" spans="3:197">
      <c r="C423" s="80" t="str" cm="1">
        <f t="array" ref="C423">_xlfn.IFS(MONTH(D423)&lt;4,1,MONTH(D423)&lt;7,2,MONTH(D423)&lt;10,3,MONTH(D423)&gt;9,4)&amp;"Q"&amp;RIGHT(YEAR(D423),2)</f>
        <v>3Q17</v>
      </c>
      <c r="D423" s="81">
        <f t="shared" si="237"/>
        <v>43008</v>
      </c>
      <c r="E423" s="82">
        <f t="shared" si="233"/>
        <v>43000</v>
      </c>
      <c r="F423" s="83">
        <f t="shared" si="236"/>
        <v>0.99375</v>
      </c>
      <c r="G423" s="83">
        <f t="shared" si="236"/>
        <v>0.85125</v>
      </c>
      <c r="H423" s="81"/>
      <c r="I423" s="146">
        <v>43000</v>
      </c>
      <c r="J423" s="147">
        <v>8.1</v>
      </c>
      <c r="K423" s="147">
        <v>7.6</v>
      </c>
      <c r="L423" s="147">
        <v>7.95</v>
      </c>
      <c r="M423" s="94" cm="1">
        <f t="array" ref="M423">INDEX($BV$29:$BV$1449,MATCH($D423,$BR$29:$BR$1449,0),)</f>
        <v>6.81</v>
      </c>
      <c r="N423" s="150">
        <f t="shared" si="218"/>
        <v>0.00620174661435269</v>
      </c>
      <c r="O423" s="150">
        <f t="shared" si="219"/>
        <v>0.0354258921594166</v>
      </c>
      <c r="P423" s="150">
        <f t="shared" si="217"/>
        <v>0.0685483870967742</v>
      </c>
      <c r="Q423" s="89">
        <f t="shared" si="220"/>
        <v>0.167400881057269</v>
      </c>
      <c r="AH423" s="105">
        <f t="shared" si="234"/>
        <v>45544</v>
      </c>
      <c r="AI423" s="151">
        <f t="shared" si="222"/>
        <v>1.748</v>
      </c>
      <c r="AJ423" s="57">
        <f t="shared" si="215"/>
        <v>-0.00963172804532575</v>
      </c>
      <c r="AK423" s="36">
        <f t="shared" si="238"/>
        <v>-0.0179775280898876</v>
      </c>
      <c r="AL423" s="105">
        <f t="shared" si="235"/>
        <v>45544</v>
      </c>
      <c r="AM423" s="151">
        <f t="shared" si="230"/>
        <v>5.054</v>
      </c>
      <c r="AN423" s="57">
        <f t="shared" si="216"/>
        <v>-0.00882525985487348</v>
      </c>
      <c r="AO423" s="36">
        <f t="shared" si="231"/>
        <v>-0.0148148148148147</v>
      </c>
      <c r="AP423" s="36"/>
      <c r="FV423" s="104">
        <f t="shared" si="209"/>
        <v>2012</v>
      </c>
      <c r="FW423" s="104">
        <f t="shared" si="210"/>
        <v>17</v>
      </c>
      <c r="FX423" s="35">
        <v>41023</v>
      </c>
      <c r="FY423" s="26">
        <v>1</v>
      </c>
      <c r="FZ423" s="94">
        <f t="shared" si="211"/>
        <v>4</v>
      </c>
      <c r="GA423" s="104"/>
      <c r="GB423" s="104"/>
      <c r="GE423" s="94"/>
      <c r="GF423" s="104">
        <f t="shared" si="212"/>
        <v>2014</v>
      </c>
      <c r="GG423" s="104">
        <f t="shared" si="213"/>
        <v>32</v>
      </c>
      <c r="GH423" s="35">
        <v>41855</v>
      </c>
      <c r="GI423" s="26">
        <v>4.342</v>
      </c>
      <c r="GJ423" s="94">
        <f t="shared" si="214"/>
        <v>8.684</v>
      </c>
      <c r="GK423" s="104"/>
      <c r="GL423" s="104"/>
      <c r="GO423" s="94"/>
    </row>
    <row r="424" spans="3:197">
      <c r="C424" s="80" t="str" cm="1">
        <f t="array" ref="C424">_xlfn.IFS(MONTH(D424)&lt;4,1,MONTH(D424)&lt;7,2,MONTH(D424)&lt;10,3,MONTH(D424)&gt;9,4)&amp;"Q"&amp;RIGHT(YEAR(D424),2)</f>
        <v>3Q17</v>
      </c>
      <c r="D424" s="81">
        <f t="shared" si="237"/>
        <v>43008</v>
      </c>
      <c r="E424" s="82">
        <f t="shared" si="233"/>
        <v>43003</v>
      </c>
      <c r="F424" s="83">
        <f t="shared" si="236"/>
        <v>1.006125</v>
      </c>
      <c r="G424" s="83">
        <f t="shared" si="236"/>
        <v>0.85125</v>
      </c>
      <c r="H424" s="81"/>
      <c r="I424" s="146">
        <v>43003</v>
      </c>
      <c r="J424" s="147">
        <v>8.25</v>
      </c>
      <c r="K424" s="147">
        <v>7.8</v>
      </c>
      <c r="L424" s="147">
        <v>8.049</v>
      </c>
      <c r="M424" s="94" cm="1">
        <f t="array" ref="M424">INDEX($BV$29:$BV$1449,MATCH($D424,$BR$29:$BR$1449,0),)</f>
        <v>6.81</v>
      </c>
      <c r="N424" s="150">
        <f t="shared" si="218"/>
        <v>0.0124528301886793</v>
      </c>
      <c r="O424" s="150">
        <f t="shared" si="219"/>
        <v>0.0453246753246752</v>
      </c>
      <c r="P424" s="150">
        <f t="shared" si="217"/>
        <v>0.0714856230031948</v>
      </c>
      <c r="Q424" s="89">
        <f t="shared" si="220"/>
        <v>0.181938325991189</v>
      </c>
      <c r="AH424" s="105">
        <f t="shared" si="234"/>
        <v>45551</v>
      </c>
      <c r="AI424" s="151">
        <f t="shared" si="222"/>
        <v>1.725</v>
      </c>
      <c r="AJ424" s="57">
        <f t="shared" si="215"/>
        <v>-0.013157894736842</v>
      </c>
      <c r="AK424" s="36">
        <f t="shared" si="238"/>
        <v>-0.0226628895184134</v>
      </c>
      <c r="AL424" s="105">
        <f t="shared" si="235"/>
        <v>45551</v>
      </c>
      <c r="AM424" s="151">
        <f t="shared" si="230"/>
        <v>4.933</v>
      </c>
      <c r="AN424" s="57">
        <f t="shared" si="216"/>
        <v>-0.0239414325286902</v>
      </c>
      <c r="AO424" s="36">
        <f t="shared" si="231"/>
        <v>-0.0325554030202001</v>
      </c>
      <c r="AP424" s="36"/>
      <c r="FV424" s="104">
        <f t="shared" si="209"/>
        <v>2012</v>
      </c>
      <c r="FW424" s="104">
        <f t="shared" si="210"/>
        <v>17</v>
      </c>
      <c r="FX424" s="35">
        <v>41024</v>
      </c>
      <c r="FY424" s="26">
        <v>1.02</v>
      </c>
      <c r="FZ424" s="94">
        <f t="shared" si="211"/>
        <v>4.08</v>
      </c>
      <c r="GA424" s="104"/>
      <c r="GB424" s="104"/>
      <c r="GE424" s="94"/>
      <c r="GF424" s="104">
        <f t="shared" si="212"/>
        <v>2014</v>
      </c>
      <c r="GG424" s="104">
        <f t="shared" si="213"/>
        <v>32</v>
      </c>
      <c r="GH424" s="35">
        <v>41856</v>
      </c>
      <c r="GI424" s="26">
        <v>4.322</v>
      </c>
      <c r="GJ424" s="94">
        <f t="shared" si="214"/>
        <v>8.644</v>
      </c>
      <c r="GK424" s="104"/>
      <c r="GL424" s="104"/>
      <c r="GO424" s="94"/>
    </row>
    <row r="425" spans="3:197">
      <c r="C425" s="80" t="str" cm="1">
        <f t="array" ref="C425">_xlfn.IFS(MONTH(D425)&lt;4,1,MONTH(D425)&lt;7,2,MONTH(D425)&lt;10,3,MONTH(D425)&gt;9,4)&amp;"Q"&amp;RIGHT(YEAR(D425),2)</f>
        <v>3Q17</v>
      </c>
      <c r="D425" s="81">
        <f t="shared" si="237"/>
        <v>43008</v>
      </c>
      <c r="E425" s="82">
        <f t="shared" si="233"/>
        <v>43004</v>
      </c>
      <c r="F425" s="83">
        <f t="shared" si="236"/>
        <v>1.03</v>
      </c>
      <c r="G425" s="83">
        <f t="shared" si="236"/>
        <v>0.85125</v>
      </c>
      <c r="H425" s="81"/>
      <c r="I425" s="146">
        <v>43004</v>
      </c>
      <c r="J425" s="147">
        <v>8.4</v>
      </c>
      <c r="K425" s="147">
        <v>8</v>
      </c>
      <c r="L425" s="147">
        <v>8.24</v>
      </c>
      <c r="M425" s="94" cm="1">
        <f t="array" ref="M425">INDEX($BV$29:$BV$1449,MATCH($D425,$BR$29:$BR$1449,0),)</f>
        <v>6.81</v>
      </c>
      <c r="N425" s="150">
        <f t="shared" si="218"/>
        <v>0.0237296558578706</v>
      </c>
      <c r="O425" s="150">
        <f t="shared" si="219"/>
        <v>0.0636375371111397</v>
      </c>
      <c r="P425" s="150">
        <f t="shared" si="217"/>
        <v>0.0928381962864722</v>
      </c>
      <c r="Q425" s="89">
        <f t="shared" si="220"/>
        <v>0.209985315712188</v>
      </c>
      <c r="AH425" s="105">
        <f t="shared" si="234"/>
        <v>45558</v>
      </c>
      <c r="AI425" s="151">
        <f t="shared" si="222"/>
        <v>1.715</v>
      </c>
      <c r="AJ425" s="57">
        <f t="shared" si="215"/>
        <v>-0.00579710144927537</v>
      </c>
      <c r="AK425" s="36">
        <f t="shared" si="238"/>
        <v>-0.0188787185354691</v>
      </c>
      <c r="AL425" s="105">
        <f t="shared" si="235"/>
        <v>45558</v>
      </c>
      <c r="AM425" s="151">
        <f t="shared" si="230"/>
        <v>4.973</v>
      </c>
      <c r="AN425" s="57">
        <f t="shared" si="216"/>
        <v>0.00810865599026966</v>
      </c>
      <c r="AO425" s="36">
        <f t="shared" si="231"/>
        <v>-0.01602690937871</v>
      </c>
      <c r="AP425" s="36"/>
      <c r="FV425" s="104">
        <f t="shared" si="209"/>
        <v>2012</v>
      </c>
      <c r="FW425" s="104">
        <f t="shared" si="210"/>
        <v>17</v>
      </c>
      <c r="FX425" s="35">
        <v>41025</v>
      </c>
      <c r="FY425" s="26">
        <v>1.02</v>
      </c>
      <c r="FZ425" s="94">
        <f t="shared" si="211"/>
        <v>4.08</v>
      </c>
      <c r="GA425" s="104"/>
      <c r="GB425" s="104"/>
      <c r="GE425" s="94"/>
      <c r="GF425" s="104">
        <f t="shared" si="212"/>
        <v>2014</v>
      </c>
      <c r="GG425" s="104">
        <f t="shared" si="213"/>
        <v>32</v>
      </c>
      <c r="GH425" s="35">
        <v>41857</v>
      </c>
      <c r="GI425" s="26">
        <v>4.293</v>
      </c>
      <c r="GJ425" s="94">
        <f t="shared" si="214"/>
        <v>8.586</v>
      </c>
      <c r="GK425" s="104"/>
      <c r="GL425" s="104"/>
      <c r="GO425" s="94"/>
    </row>
    <row r="426" spans="3:197">
      <c r="C426" s="80" t="str" cm="1">
        <f t="array" ref="C426">_xlfn.IFS(MONTH(D426)&lt;4,1,MONTH(D426)&lt;7,2,MONTH(D426)&lt;10,3,MONTH(D426)&gt;9,4)&amp;"Q"&amp;RIGHT(YEAR(D426),2)</f>
        <v>3Q17</v>
      </c>
      <c r="D426" s="81">
        <f t="shared" si="237"/>
        <v>43008</v>
      </c>
      <c r="E426" s="82">
        <f t="shared" si="233"/>
        <v>43005</v>
      </c>
      <c r="F426" s="83">
        <f t="shared" si="236"/>
        <v>1.040625</v>
      </c>
      <c r="G426" s="83">
        <f t="shared" si="236"/>
        <v>0.85125</v>
      </c>
      <c r="H426" s="81"/>
      <c r="I426" s="146">
        <v>43005</v>
      </c>
      <c r="J426" s="147">
        <v>8.45</v>
      </c>
      <c r="K426" s="147">
        <v>8</v>
      </c>
      <c r="L426" s="147">
        <v>8.325</v>
      </c>
      <c r="M426" s="94" cm="1">
        <f t="array" ref="M426">INDEX($BV$29:$BV$1449,MATCH($D426,$BR$29:$BR$1449,0),)</f>
        <v>6.81</v>
      </c>
      <c r="N426" s="150">
        <f t="shared" si="218"/>
        <v>0.0103155339805825</v>
      </c>
      <c r="O426" s="150">
        <f t="shared" si="219"/>
        <v>0.0729475447866992</v>
      </c>
      <c r="P426" s="150">
        <f t="shared" si="217"/>
        <v>0.093237032173342</v>
      </c>
      <c r="Q426" s="89">
        <f t="shared" si="220"/>
        <v>0.222466960352423</v>
      </c>
      <c r="AH426" s="105">
        <f t="shared" si="234"/>
        <v>45565</v>
      </c>
      <c r="AI426" s="151">
        <f t="shared" si="222"/>
        <v>1.695</v>
      </c>
      <c r="AJ426" s="57">
        <f t="shared" si="215"/>
        <v>-0.011661807580175</v>
      </c>
      <c r="AK426" s="36">
        <f t="shared" si="238"/>
        <v>-0.0173913043478261</v>
      </c>
      <c r="AL426" s="105">
        <f t="shared" si="235"/>
        <v>45565</v>
      </c>
      <c r="AM426" s="151">
        <f t="shared" si="230"/>
        <v>4.967</v>
      </c>
      <c r="AN426" s="57">
        <f t="shared" si="216"/>
        <v>-0.00120651518198278</v>
      </c>
      <c r="AO426" s="36">
        <f t="shared" si="231"/>
        <v>0.00689235759172924</v>
      </c>
      <c r="AP426" s="36"/>
      <c r="FV426" s="104">
        <f t="shared" si="209"/>
        <v>2012</v>
      </c>
      <c r="FW426" s="104">
        <f t="shared" si="210"/>
        <v>17</v>
      </c>
      <c r="FX426" s="35">
        <v>41026</v>
      </c>
      <c r="FY426" s="26">
        <v>1.03</v>
      </c>
      <c r="FZ426" s="94">
        <f t="shared" si="211"/>
        <v>4.12</v>
      </c>
      <c r="GA426" s="104"/>
      <c r="GB426" s="104"/>
      <c r="GE426" s="94"/>
      <c r="GF426" s="104">
        <f t="shared" si="212"/>
        <v>2014</v>
      </c>
      <c r="GG426" s="104">
        <f t="shared" si="213"/>
        <v>32</v>
      </c>
      <c r="GH426" s="35">
        <v>41858</v>
      </c>
      <c r="GI426" s="26">
        <v>4.29</v>
      </c>
      <c r="GJ426" s="94">
        <f t="shared" si="214"/>
        <v>8.58</v>
      </c>
      <c r="GK426" s="104"/>
      <c r="GL426" s="104"/>
      <c r="GO426" s="94"/>
    </row>
    <row r="427" spans="3:197">
      <c r="C427" s="80" t="str" cm="1">
        <f t="array" ref="C427">_xlfn.IFS(MONTH(D427)&lt;4,1,MONTH(D427)&lt;7,2,MONTH(D427)&lt;10,3,MONTH(D427)&gt;9,4)&amp;"Q"&amp;RIGHT(YEAR(D427),2)</f>
        <v>3Q17</v>
      </c>
      <c r="D427" s="81">
        <f t="shared" si="237"/>
        <v>43008</v>
      </c>
      <c r="E427" s="82">
        <f t="shared" si="233"/>
        <v>43006</v>
      </c>
      <c r="F427" s="83">
        <f t="shared" si="236"/>
        <v>1.042875</v>
      </c>
      <c r="G427" s="83">
        <f t="shared" si="236"/>
        <v>0.85125</v>
      </c>
      <c r="H427" s="81"/>
      <c r="I427" s="146">
        <v>43006</v>
      </c>
      <c r="J427" s="147">
        <v>8.5</v>
      </c>
      <c r="K427" s="147">
        <v>8.05</v>
      </c>
      <c r="L427" s="147">
        <v>8.343</v>
      </c>
      <c r="M427" s="94" cm="1">
        <f t="array" ref="M427">INDEX($BV$29:$BV$1449,MATCH($D427,$BR$29:$BR$1449,0),)</f>
        <v>6.81</v>
      </c>
      <c r="N427" s="150">
        <f t="shared" si="218"/>
        <v>0.00216216216216214</v>
      </c>
      <c r="O427" s="150">
        <f t="shared" si="219"/>
        <v>0.0559422857866092</v>
      </c>
      <c r="P427" s="150">
        <f t="shared" si="217"/>
        <v>0.0905882352941176</v>
      </c>
      <c r="Q427" s="89">
        <f t="shared" si="220"/>
        <v>0.22511013215859</v>
      </c>
      <c r="AH427" s="105">
        <f t="shared" si="234"/>
        <v>45572</v>
      </c>
      <c r="AI427" s="151">
        <f t="shared" si="222"/>
        <v>1.68</v>
      </c>
      <c r="AJ427" s="57">
        <f t="shared" si="215"/>
        <v>-0.00884955752212402</v>
      </c>
      <c r="AK427" s="36">
        <f t="shared" si="238"/>
        <v>-0.0204081632653063</v>
      </c>
      <c r="AL427" s="105">
        <f t="shared" si="235"/>
        <v>45572</v>
      </c>
      <c r="AM427" s="151">
        <f t="shared" si="230"/>
        <v>4.949</v>
      </c>
      <c r="AN427" s="57">
        <f t="shared" si="216"/>
        <v>-0.00362391785786187</v>
      </c>
      <c r="AO427" s="36">
        <f t="shared" si="231"/>
        <v>-0.00482606072793079</v>
      </c>
      <c r="AP427" s="36"/>
      <c r="FV427" s="104">
        <f t="shared" si="209"/>
        <v>2012</v>
      </c>
      <c r="FW427" s="104">
        <f t="shared" si="210"/>
        <v>18</v>
      </c>
      <c r="FX427" s="35">
        <v>41029</v>
      </c>
      <c r="FY427" s="26">
        <v>1.03</v>
      </c>
      <c r="FZ427" s="94">
        <f t="shared" si="211"/>
        <v>4.12</v>
      </c>
      <c r="GA427" s="104"/>
      <c r="GB427" s="104"/>
      <c r="GE427" s="94"/>
      <c r="GF427" s="104">
        <f t="shared" si="212"/>
        <v>2014</v>
      </c>
      <c r="GG427" s="104">
        <f t="shared" si="213"/>
        <v>32</v>
      </c>
      <c r="GH427" s="35">
        <v>41859</v>
      </c>
      <c r="GI427" s="26">
        <v>4.284</v>
      </c>
      <c r="GJ427" s="94">
        <f t="shared" si="214"/>
        <v>8.568</v>
      </c>
      <c r="GK427" s="104"/>
      <c r="GL427" s="104"/>
      <c r="GO427" s="94"/>
    </row>
    <row r="428" spans="3:197">
      <c r="C428" s="80" t="str" cm="1">
        <f t="array" ref="C428">_xlfn.IFS(MONTH(D428)&lt;4,1,MONTH(D428)&lt;7,2,MONTH(D428)&lt;10,3,MONTH(D428)&gt;9,4)&amp;"Q"&amp;RIGHT(YEAR(D428),2)</f>
        <v>3Q17</v>
      </c>
      <c r="D428" s="81">
        <f t="shared" si="237"/>
        <v>43008</v>
      </c>
      <c r="E428" s="82">
        <f t="shared" si="233"/>
        <v>43007</v>
      </c>
      <c r="F428" s="83">
        <f t="shared" si="236"/>
        <v>1.050125</v>
      </c>
      <c r="G428" s="83">
        <f t="shared" si="236"/>
        <v>0.85125</v>
      </c>
      <c r="H428" s="81"/>
      <c r="I428" s="146">
        <v>43007</v>
      </c>
      <c r="J428" s="147">
        <v>8.5</v>
      </c>
      <c r="K428" s="147">
        <v>8.05</v>
      </c>
      <c r="L428" s="147">
        <v>8.401</v>
      </c>
      <c r="M428" s="94" cm="1">
        <f t="array" ref="M428">INDEX($BV$29:$BV$1449,MATCH($D428,$BR$29:$BR$1449,0),)</f>
        <v>6.81</v>
      </c>
      <c r="N428" s="150">
        <f t="shared" si="218"/>
        <v>0.00695193575452469</v>
      </c>
      <c r="O428" s="150">
        <f t="shared" si="219"/>
        <v>0.0567295597484276</v>
      </c>
      <c r="P428" s="150">
        <f t="shared" si="217"/>
        <v>0.0941651471737432</v>
      </c>
      <c r="Q428" s="89">
        <f t="shared" si="220"/>
        <v>0.233627019089574</v>
      </c>
      <c r="AH428" s="105">
        <f t="shared" si="234"/>
        <v>45579</v>
      </c>
      <c r="AI428" s="151">
        <f t="shared" si="222"/>
        <v>1.65</v>
      </c>
      <c r="AJ428" s="57">
        <f t="shared" si="215"/>
        <v>-0.0178571428571429</v>
      </c>
      <c r="AK428" s="36">
        <f t="shared" si="238"/>
        <v>-0.0265486725663717</v>
      </c>
      <c r="AL428" s="105">
        <f t="shared" si="235"/>
        <v>45579</v>
      </c>
      <c r="AM428" s="151">
        <f t="shared" si="230"/>
        <v>4.894</v>
      </c>
      <c r="AN428" s="57">
        <f t="shared" si="216"/>
        <v>-0.0111133562335824</v>
      </c>
      <c r="AO428" s="36">
        <f t="shared" si="231"/>
        <v>-0.0146970002013287</v>
      </c>
      <c r="AP428" s="36"/>
      <c r="FV428" s="104">
        <f t="shared" si="209"/>
        <v>2012</v>
      </c>
      <c r="FW428" s="104">
        <f t="shared" si="210"/>
        <v>18</v>
      </c>
      <c r="FX428" s="35">
        <v>41031</v>
      </c>
      <c r="FY428" s="26">
        <v>1.04</v>
      </c>
      <c r="FZ428" s="94">
        <f t="shared" si="211"/>
        <v>4.16</v>
      </c>
      <c r="GA428" s="104"/>
      <c r="GB428" s="104"/>
      <c r="GE428" s="94"/>
      <c r="GF428" s="104">
        <f t="shared" si="212"/>
        <v>2014</v>
      </c>
      <c r="GG428" s="104">
        <f t="shared" si="213"/>
        <v>33</v>
      </c>
      <c r="GH428" s="35">
        <v>41862</v>
      </c>
      <c r="GI428" s="26">
        <v>4.283</v>
      </c>
      <c r="GJ428" s="94">
        <f t="shared" si="214"/>
        <v>8.566</v>
      </c>
      <c r="GK428" s="104"/>
      <c r="GL428" s="104"/>
      <c r="GO428" s="94"/>
    </row>
    <row r="429" spans="3:197">
      <c r="C429" s="80" t="str" cm="1">
        <f t="array" ref="C429">_xlfn.IFS(MONTH(D429)&lt;4,1,MONTH(D429)&lt;7,2,MONTH(D429)&lt;10,3,MONTH(D429)&gt;9,4)&amp;"Q"&amp;RIGHT(YEAR(D429),2)</f>
        <v>4Q17</v>
      </c>
      <c r="D429" s="81">
        <f t="shared" si="237"/>
        <v>43039</v>
      </c>
      <c r="E429" s="82">
        <f t="shared" si="233"/>
        <v>43010</v>
      </c>
      <c r="F429" s="83">
        <f t="shared" si="236"/>
        <v>1.061875</v>
      </c>
      <c r="G429" s="83">
        <f t="shared" si="236"/>
        <v>0.91375</v>
      </c>
      <c r="H429" s="81"/>
      <c r="I429" s="146">
        <v>43010</v>
      </c>
      <c r="J429" s="147">
        <v>8.6</v>
      </c>
      <c r="K429" s="147">
        <v>8.1</v>
      </c>
      <c r="L429" s="147">
        <v>8.495</v>
      </c>
      <c r="M429" s="94" cm="1">
        <f t="array" ref="M429">INDEX($BV$29:$BV$1449,MATCH($D429,$BR$29:$BR$1449,0),)</f>
        <v>7.31</v>
      </c>
      <c r="N429" s="150">
        <f t="shared" si="218"/>
        <v>0.011189144149506</v>
      </c>
      <c r="O429" s="150">
        <f t="shared" si="219"/>
        <v>0.0554106100136662</v>
      </c>
      <c r="P429" s="150">
        <f t="shared" si="217"/>
        <v>0.103246753246753</v>
      </c>
      <c r="Q429" s="89">
        <f t="shared" si="220"/>
        <v>0.162106703146375</v>
      </c>
      <c r="AH429" s="105">
        <f t="shared" si="234"/>
        <v>45586</v>
      </c>
      <c r="AI429" s="151">
        <f t="shared" si="222"/>
        <v>1.633</v>
      </c>
      <c r="AJ429" s="57">
        <f t="shared" si="215"/>
        <v>-0.0103030303030303</v>
      </c>
      <c r="AK429" s="36">
        <f t="shared" si="238"/>
        <v>-0.0279761904761905</v>
      </c>
      <c r="AL429" s="105">
        <f t="shared" si="235"/>
        <v>45586</v>
      </c>
      <c r="AM429" s="151">
        <f t="shared" si="230"/>
        <v>4.859</v>
      </c>
      <c r="AN429" s="57">
        <f t="shared" si="216"/>
        <v>-0.00715161422149568</v>
      </c>
      <c r="AO429" s="36">
        <f t="shared" si="231"/>
        <v>-0.0181854920185895</v>
      </c>
      <c r="AP429" s="36"/>
      <c r="FV429" s="104">
        <f t="shared" si="209"/>
        <v>2012</v>
      </c>
      <c r="FW429" s="104">
        <f t="shared" si="210"/>
        <v>18</v>
      </c>
      <c r="FX429" s="35">
        <v>41032</v>
      </c>
      <c r="FY429" s="26">
        <v>1.05</v>
      </c>
      <c r="FZ429" s="94">
        <f t="shared" si="211"/>
        <v>4.2</v>
      </c>
      <c r="GA429" s="104"/>
      <c r="GB429" s="104"/>
      <c r="GE429" s="94"/>
      <c r="GF429" s="104">
        <f t="shared" si="212"/>
        <v>2014</v>
      </c>
      <c r="GG429" s="104">
        <f t="shared" si="213"/>
        <v>33</v>
      </c>
      <c r="GH429" s="35">
        <v>41863</v>
      </c>
      <c r="GI429" s="26">
        <v>4.246</v>
      </c>
      <c r="GJ429" s="94">
        <f t="shared" si="214"/>
        <v>8.492</v>
      </c>
      <c r="GK429" s="104"/>
      <c r="GL429" s="104"/>
      <c r="GO429" s="94"/>
    </row>
    <row r="430" spans="3:197">
      <c r="C430" s="80" t="str" cm="1">
        <f t="array" ref="C430">_xlfn.IFS(MONTH(D430)&lt;4,1,MONTH(D430)&lt;7,2,MONTH(D430)&lt;10,3,MONTH(D430)&gt;9,4)&amp;"Q"&amp;RIGHT(YEAR(D430),2)</f>
        <v>4Q17</v>
      </c>
      <c r="D430" s="81">
        <f t="shared" si="237"/>
        <v>43039</v>
      </c>
      <c r="E430" s="82">
        <f t="shared" si="233"/>
        <v>43011</v>
      </c>
      <c r="F430" s="83">
        <f t="shared" si="236"/>
        <v>1.085875</v>
      </c>
      <c r="G430" s="83">
        <f t="shared" si="236"/>
        <v>0.91375</v>
      </c>
      <c r="H430" s="81"/>
      <c r="I430" s="146">
        <v>43011</v>
      </c>
      <c r="J430" s="147">
        <v>9</v>
      </c>
      <c r="K430" s="147">
        <v>8.2</v>
      </c>
      <c r="L430" s="147">
        <v>8.687</v>
      </c>
      <c r="M430" s="94" cm="1">
        <f t="array" ref="M430">INDEX($BV$29:$BV$1449,MATCH($D430,$BR$29:$BR$1449,0),)</f>
        <v>7.31</v>
      </c>
      <c r="N430" s="150">
        <f t="shared" si="218"/>
        <v>0.0226015303119482</v>
      </c>
      <c r="O430" s="150">
        <f t="shared" si="219"/>
        <v>0.0542475728155338</v>
      </c>
      <c r="P430" s="150">
        <f t="shared" si="217"/>
        <v>0.121337291854912</v>
      </c>
      <c r="Q430" s="89">
        <f t="shared" si="220"/>
        <v>0.188372093023256</v>
      </c>
      <c r="AH430" s="105">
        <f t="shared" si="234"/>
        <v>45593</v>
      </c>
      <c r="AI430" s="151">
        <f t="shared" si="222"/>
        <v>1.613</v>
      </c>
      <c r="AJ430" s="57">
        <f t="shared" si="215"/>
        <v>-0.0122473974280466</v>
      </c>
      <c r="AK430" s="36">
        <f t="shared" si="238"/>
        <v>-0.0224242424242423</v>
      </c>
      <c r="AL430" s="105">
        <f t="shared" si="235"/>
        <v>45593</v>
      </c>
      <c r="AM430" s="151">
        <f t="shared" si="230"/>
        <v>4.769</v>
      </c>
      <c r="AN430" s="57">
        <f t="shared" si="216"/>
        <v>-0.0185223296974686</v>
      </c>
      <c r="AO430" s="36">
        <f t="shared" si="231"/>
        <v>-0.0255414793624846</v>
      </c>
      <c r="AP430" s="36"/>
      <c r="FV430" s="104">
        <f t="shared" si="209"/>
        <v>2012</v>
      </c>
      <c r="FW430" s="104">
        <f t="shared" si="210"/>
        <v>18</v>
      </c>
      <c r="FX430" s="35">
        <v>41033</v>
      </c>
      <c r="FY430" s="26">
        <v>1.05</v>
      </c>
      <c r="FZ430" s="94">
        <f t="shared" si="211"/>
        <v>4.2</v>
      </c>
      <c r="GA430" s="104"/>
      <c r="GB430" s="104"/>
      <c r="GE430" s="94"/>
      <c r="GF430" s="104">
        <f t="shared" si="212"/>
        <v>2014</v>
      </c>
      <c r="GG430" s="104">
        <f t="shared" si="213"/>
        <v>33</v>
      </c>
      <c r="GH430" s="35">
        <v>41864</v>
      </c>
      <c r="GI430" s="26">
        <v>4.215</v>
      </c>
      <c r="GJ430" s="94">
        <f t="shared" si="214"/>
        <v>8.43</v>
      </c>
      <c r="GK430" s="104"/>
      <c r="GL430" s="104"/>
      <c r="GO430" s="94"/>
    </row>
    <row r="431" spans="3:197">
      <c r="C431" s="80" t="str" cm="1">
        <f t="array" ref="C431">_xlfn.IFS(MONTH(D431)&lt;4,1,MONTH(D431)&lt;7,2,MONTH(D431)&lt;10,3,MONTH(D431)&gt;9,4)&amp;"Q"&amp;RIGHT(YEAR(D431),2)</f>
        <v>4Q17</v>
      </c>
      <c r="D431" s="81">
        <f t="shared" si="237"/>
        <v>43039</v>
      </c>
      <c r="E431" s="82">
        <f t="shared" si="233"/>
        <v>43013</v>
      </c>
      <c r="F431" s="83">
        <f t="shared" si="236"/>
        <v>1.09875</v>
      </c>
      <c r="G431" s="83">
        <f t="shared" si="236"/>
        <v>0.91375</v>
      </c>
      <c r="H431" s="81"/>
      <c r="I431" s="146">
        <v>43013</v>
      </c>
      <c r="J431" s="147">
        <v>9</v>
      </c>
      <c r="K431" s="147">
        <v>8.2</v>
      </c>
      <c r="L431" s="147">
        <v>8.79</v>
      </c>
      <c r="M431" s="94" cm="1">
        <f t="array" ref="M431">INDEX($BV$29:$BV$1449,MATCH($D431,$BR$29:$BR$1449,0),)</f>
        <v>7.31</v>
      </c>
      <c r="N431" s="150">
        <f t="shared" si="218"/>
        <v>0.011856797513526</v>
      </c>
      <c r="O431" s="150">
        <f t="shared" si="219"/>
        <v>0.055855855855856</v>
      </c>
      <c r="P431" s="150">
        <f t="shared" si="217"/>
        <v>0.1328779481892</v>
      </c>
      <c r="Q431" s="89">
        <f t="shared" si="220"/>
        <v>0.202462380300958</v>
      </c>
      <c r="AH431" s="105">
        <f t="shared" si="234"/>
        <v>45600</v>
      </c>
      <c r="AI431" s="151">
        <f t="shared" si="222"/>
        <v>1.608</v>
      </c>
      <c r="AJ431" s="57">
        <f t="shared" si="215"/>
        <v>-0.00309981401115922</v>
      </c>
      <c r="AK431" s="36">
        <f t="shared" si="238"/>
        <v>-0.0153092467850581</v>
      </c>
      <c r="AL431" s="105">
        <f t="shared" si="235"/>
        <v>45600</v>
      </c>
      <c r="AM431" s="151">
        <f t="shared" si="230"/>
        <v>4.79</v>
      </c>
      <c r="AN431" s="57">
        <f t="shared" si="216"/>
        <v>0.00440343887607453</v>
      </c>
      <c r="AO431" s="36">
        <f t="shared" si="231"/>
        <v>-0.0142004527680593</v>
      </c>
      <c r="AP431" s="36"/>
      <c r="FV431" s="104">
        <f t="shared" si="209"/>
        <v>2012</v>
      </c>
      <c r="FW431" s="104">
        <f t="shared" si="210"/>
        <v>19</v>
      </c>
      <c r="FX431" s="35">
        <v>41036</v>
      </c>
      <c r="FY431" s="26">
        <v>1.05</v>
      </c>
      <c r="FZ431" s="94">
        <f t="shared" si="211"/>
        <v>4.2</v>
      </c>
      <c r="GA431" s="104"/>
      <c r="GB431" s="104"/>
      <c r="GE431" s="94"/>
      <c r="GF431" s="104">
        <f t="shared" si="212"/>
        <v>2014</v>
      </c>
      <c r="GG431" s="104">
        <f t="shared" si="213"/>
        <v>33</v>
      </c>
      <c r="GH431" s="35">
        <v>41865</v>
      </c>
      <c r="GI431" s="26">
        <v>4.202</v>
      </c>
      <c r="GJ431" s="94">
        <f t="shared" si="214"/>
        <v>8.404</v>
      </c>
      <c r="GK431" s="104"/>
      <c r="GL431" s="104"/>
      <c r="GO431" s="94"/>
    </row>
    <row r="432" spans="3:197">
      <c r="C432" s="80" t="str" cm="1">
        <f t="array" ref="C432">_xlfn.IFS(MONTH(D432)&lt;4,1,MONTH(D432)&lt;7,2,MONTH(D432)&lt;10,3,MONTH(D432)&gt;9,4)&amp;"Q"&amp;RIGHT(YEAR(D432),2)</f>
        <v>4Q17</v>
      </c>
      <c r="D432" s="81">
        <f t="shared" si="237"/>
        <v>43039</v>
      </c>
      <c r="E432" s="82">
        <f t="shared" si="233"/>
        <v>43014</v>
      </c>
      <c r="F432" s="83">
        <f t="shared" si="236"/>
        <v>1.104625</v>
      </c>
      <c r="G432" s="83">
        <f t="shared" si="236"/>
        <v>0.91375</v>
      </c>
      <c r="H432" s="81"/>
      <c r="I432" s="146">
        <v>43014</v>
      </c>
      <c r="J432" s="147">
        <v>9</v>
      </c>
      <c r="K432" s="147">
        <v>8.25</v>
      </c>
      <c r="L432" s="147">
        <v>8.837</v>
      </c>
      <c r="M432" s="94" cm="1">
        <f t="array" ref="M432">INDEX($BV$29:$BV$1449,MATCH($D432,$BR$29:$BR$1449,0),)</f>
        <v>7.31</v>
      </c>
      <c r="N432" s="150">
        <f t="shared" si="218"/>
        <v>0.00534698521046661</v>
      </c>
      <c r="O432" s="150">
        <f t="shared" si="219"/>
        <v>0.0592113148747453</v>
      </c>
      <c r="P432" s="150">
        <f t="shared" si="217"/>
        <v>0.118466016959879</v>
      </c>
      <c r="Q432" s="89">
        <f t="shared" si="220"/>
        <v>0.208891928864569</v>
      </c>
      <c r="AH432" s="105">
        <f t="shared" si="234"/>
        <v>45607</v>
      </c>
      <c r="AI432" s="151">
        <f t="shared" si="222"/>
        <v>1.58</v>
      </c>
      <c r="AJ432" s="57">
        <f t="shared" si="215"/>
        <v>-0.0174129353233831</v>
      </c>
      <c r="AK432" s="36">
        <f t="shared" si="238"/>
        <v>-0.0204587724736516</v>
      </c>
      <c r="AL432" s="105">
        <f t="shared" si="235"/>
        <v>45607</v>
      </c>
      <c r="AM432" s="151">
        <f t="shared" si="230"/>
        <v>4.804</v>
      </c>
      <c r="AN432" s="57">
        <f t="shared" si="216"/>
        <v>0.00292275574112733</v>
      </c>
      <c r="AO432" s="36">
        <f t="shared" si="231"/>
        <v>0.00733906479345769</v>
      </c>
      <c r="AP432" s="36"/>
      <c r="FV432" s="104">
        <f t="shared" si="209"/>
        <v>2012</v>
      </c>
      <c r="FW432" s="104">
        <f t="shared" si="210"/>
        <v>19</v>
      </c>
      <c r="FX432" s="35">
        <v>41037</v>
      </c>
      <c r="FY432" s="26">
        <v>1.05</v>
      </c>
      <c r="FZ432" s="94">
        <f t="shared" si="211"/>
        <v>4.2</v>
      </c>
      <c r="GA432" s="104"/>
      <c r="GB432" s="104"/>
      <c r="GE432" s="94"/>
      <c r="GF432" s="104">
        <f t="shared" si="212"/>
        <v>2014</v>
      </c>
      <c r="GG432" s="104">
        <f t="shared" si="213"/>
        <v>33</v>
      </c>
      <c r="GH432" s="35">
        <v>41866</v>
      </c>
      <c r="GI432" s="26">
        <v>4.199</v>
      </c>
      <c r="GJ432" s="94">
        <f t="shared" si="214"/>
        <v>8.398</v>
      </c>
      <c r="GK432" s="104"/>
      <c r="GL432" s="104"/>
      <c r="GO432" s="94"/>
    </row>
    <row r="433" spans="3:197">
      <c r="C433" s="80" t="str" cm="1">
        <f t="array" ref="C433">_xlfn.IFS(MONTH(D433)&lt;4,1,MONTH(D433)&lt;7,2,MONTH(D433)&lt;10,3,MONTH(D433)&gt;9,4)&amp;"Q"&amp;RIGHT(YEAR(D433),2)</f>
        <v>4Q17</v>
      </c>
      <c r="D433" s="81">
        <f t="shared" si="237"/>
        <v>43039</v>
      </c>
      <c r="E433" s="82">
        <f t="shared" si="233"/>
        <v>43017</v>
      </c>
      <c r="F433" s="83">
        <f t="shared" si="236"/>
        <v>1.107375</v>
      </c>
      <c r="G433" s="83">
        <f t="shared" si="236"/>
        <v>0.91375</v>
      </c>
      <c r="H433" s="81"/>
      <c r="I433" s="152">
        <v>43017</v>
      </c>
      <c r="J433" s="153">
        <v>9.25</v>
      </c>
      <c r="K433" s="153">
        <v>8.35</v>
      </c>
      <c r="L433" s="153">
        <v>8.859</v>
      </c>
      <c r="M433" s="94" cm="1">
        <f t="array" ref="M433">INDEX($BV$29:$BV$1449,MATCH($D433,$BR$29:$BR$1449,0),)</f>
        <v>7.31</v>
      </c>
      <c r="N433" s="150">
        <f t="shared" si="218"/>
        <v>0.00248953264682594</v>
      </c>
      <c r="O433" s="150">
        <f t="shared" si="219"/>
        <v>0.0545173193667421</v>
      </c>
      <c r="P433" s="150">
        <f t="shared" si="217"/>
        <v>0.114339622641509</v>
      </c>
      <c r="Q433" s="89">
        <f t="shared" si="220"/>
        <v>0.211901504787962</v>
      </c>
      <c r="AH433" s="105">
        <f t="shared" si="234"/>
        <v>45614</v>
      </c>
      <c r="AI433" s="151">
        <f t="shared" si="222"/>
        <v>1.56</v>
      </c>
      <c r="AJ433" s="57">
        <f t="shared" si="215"/>
        <v>-0.0126582278481012</v>
      </c>
      <c r="AK433" s="36">
        <f t="shared" si="238"/>
        <v>-0.0298507462686567</v>
      </c>
      <c r="AL433" s="105">
        <f t="shared" si="235"/>
        <v>45614</v>
      </c>
      <c r="AM433" s="151">
        <f t="shared" si="230"/>
        <v>4.794</v>
      </c>
      <c r="AN433" s="57">
        <f t="shared" si="216"/>
        <v>-0.00208159866777702</v>
      </c>
      <c r="AO433" s="36">
        <f t="shared" si="231"/>
        <v>0.000835073068893522</v>
      </c>
      <c r="AP433" s="36"/>
      <c r="FV433" s="104">
        <f t="shared" si="209"/>
        <v>2012</v>
      </c>
      <c r="FW433" s="104">
        <f t="shared" si="210"/>
        <v>19</v>
      </c>
      <c r="FX433" s="35">
        <v>41038</v>
      </c>
      <c r="FY433" s="26">
        <v>1.05</v>
      </c>
      <c r="FZ433" s="94">
        <f t="shared" si="211"/>
        <v>4.2</v>
      </c>
      <c r="GA433" s="104"/>
      <c r="GB433" s="104"/>
      <c r="GE433" s="94"/>
      <c r="GF433" s="104">
        <f t="shared" si="212"/>
        <v>2014</v>
      </c>
      <c r="GG433" s="104">
        <f t="shared" si="213"/>
        <v>34</v>
      </c>
      <c r="GH433" s="35">
        <v>41869</v>
      </c>
      <c r="GI433" s="26">
        <v>4.195</v>
      </c>
      <c r="GJ433" s="94">
        <f t="shared" si="214"/>
        <v>8.39</v>
      </c>
      <c r="GK433" s="104"/>
      <c r="GL433" s="104"/>
      <c r="GO433" s="94"/>
    </row>
    <row r="434" spans="3:197">
      <c r="C434" s="80" t="str" cm="1">
        <f t="array" ref="C434">_xlfn.IFS(MONTH(D434)&lt;4,1,MONTH(D434)&lt;7,2,MONTH(D434)&lt;10,3,MONTH(D434)&gt;9,4)&amp;"Q"&amp;RIGHT(YEAR(D434),2)</f>
        <v>4Q17</v>
      </c>
      <c r="D434" s="81">
        <f t="shared" si="237"/>
        <v>43039</v>
      </c>
      <c r="E434" s="82">
        <f t="shared" si="233"/>
        <v>43018</v>
      </c>
      <c r="F434" s="83">
        <f t="shared" si="236"/>
        <v>1.1125</v>
      </c>
      <c r="G434" s="83">
        <f t="shared" si="236"/>
        <v>0.91375</v>
      </c>
      <c r="H434" s="81"/>
      <c r="I434" s="152">
        <v>43018</v>
      </c>
      <c r="J434" s="153">
        <v>9.25</v>
      </c>
      <c r="K434" s="153">
        <v>8.45</v>
      </c>
      <c r="L434" s="153">
        <v>8.9</v>
      </c>
      <c r="M434" s="94" cm="1">
        <f t="array" ref="M434">INDEX($BV$29:$BV$1449,MATCH($D434,$BR$29:$BR$1449,0),)</f>
        <v>7.31</v>
      </c>
      <c r="N434" s="150">
        <f t="shared" si="218"/>
        <v>0.00462806185799747</v>
      </c>
      <c r="O434" s="150">
        <f t="shared" si="219"/>
        <v>0.0476751030017659</v>
      </c>
      <c r="P434" s="150">
        <f t="shared" si="217"/>
        <v>0.105727419555224</v>
      </c>
      <c r="Q434" s="89">
        <f t="shared" si="220"/>
        <v>0.217510259917921</v>
      </c>
      <c r="AH434" s="105">
        <f t="shared" si="234"/>
        <v>45621</v>
      </c>
      <c r="AI434" s="151">
        <f t="shared" si="222"/>
        <v>1.538</v>
      </c>
      <c r="AJ434" s="57">
        <f t="shared" si="215"/>
        <v>-0.0141025641025642</v>
      </c>
      <c r="AK434" s="36">
        <f t="shared" si="238"/>
        <v>-0.0265822784810127</v>
      </c>
      <c r="AL434" s="105">
        <f t="shared" si="235"/>
        <v>45621</v>
      </c>
      <c r="AM434" s="151">
        <f t="shared" si="230"/>
        <v>4.779</v>
      </c>
      <c r="AN434" s="57">
        <f t="shared" si="216"/>
        <v>-0.00312891113892355</v>
      </c>
      <c r="AO434" s="36">
        <f t="shared" si="231"/>
        <v>-0.00520399666944216</v>
      </c>
      <c r="AP434" s="36"/>
      <c r="FV434" s="104">
        <f t="shared" si="209"/>
        <v>2012</v>
      </c>
      <c r="FW434" s="104">
        <f t="shared" si="210"/>
        <v>19</v>
      </c>
      <c r="FX434" s="35">
        <v>41039</v>
      </c>
      <c r="FY434" s="26">
        <v>1.06</v>
      </c>
      <c r="FZ434" s="94">
        <f t="shared" si="211"/>
        <v>4.24</v>
      </c>
      <c r="GA434" s="104"/>
      <c r="GB434" s="104"/>
      <c r="GE434" s="94"/>
      <c r="GF434" s="104">
        <f t="shared" si="212"/>
        <v>2014</v>
      </c>
      <c r="GG434" s="104">
        <f t="shared" si="213"/>
        <v>34</v>
      </c>
      <c r="GH434" s="35">
        <v>41870</v>
      </c>
      <c r="GI434" s="26">
        <v>4.191</v>
      </c>
      <c r="GJ434" s="94">
        <f t="shared" si="214"/>
        <v>8.382</v>
      </c>
      <c r="GK434" s="104"/>
      <c r="GL434" s="104"/>
      <c r="GO434" s="94"/>
    </row>
    <row r="435" spans="3:197">
      <c r="C435" s="80" t="str" cm="1">
        <f t="array" ref="C435">_xlfn.IFS(MONTH(D435)&lt;4,1,MONTH(D435)&lt;7,2,MONTH(D435)&lt;10,3,MONTH(D435)&gt;9,4)&amp;"Q"&amp;RIGHT(YEAR(D435),2)</f>
        <v>4Q17</v>
      </c>
      <c r="D435" s="81">
        <f t="shared" si="237"/>
        <v>43039</v>
      </c>
      <c r="E435" s="82">
        <f t="shared" si="233"/>
        <v>43019</v>
      </c>
      <c r="F435" s="83">
        <f t="shared" si="236"/>
        <v>1.125</v>
      </c>
      <c r="G435" s="83">
        <f t="shared" si="236"/>
        <v>0.91375</v>
      </c>
      <c r="H435" s="81"/>
      <c r="I435" s="152">
        <v>43019</v>
      </c>
      <c r="J435" s="153">
        <v>9.4</v>
      </c>
      <c r="K435" s="153">
        <v>8.55</v>
      </c>
      <c r="L435" s="153">
        <v>9</v>
      </c>
      <c r="M435" s="94" cm="1">
        <f t="array" ref="M435">INDEX($BV$29:$BV$1449,MATCH($D435,$BR$29:$BR$1449,0),)</f>
        <v>7.31</v>
      </c>
      <c r="N435" s="150">
        <f t="shared" si="218"/>
        <v>0.0112359550561798</v>
      </c>
      <c r="O435" s="150">
        <f t="shared" si="219"/>
        <v>0.0360308506964431</v>
      </c>
      <c r="P435" s="150">
        <f t="shared" si="217"/>
        <v>0.0922330097087378</v>
      </c>
      <c r="Q435" s="89">
        <f t="shared" si="220"/>
        <v>0.231190150478796</v>
      </c>
      <c r="AH435" s="105">
        <f t="shared" si="234"/>
        <v>45628</v>
      </c>
      <c r="AI435" s="151">
        <f t="shared" si="222"/>
        <v>1.508</v>
      </c>
      <c r="AJ435" s="57">
        <f t="shared" si="215"/>
        <v>-0.0195058517555267</v>
      </c>
      <c r="AK435" s="36">
        <f t="shared" si="238"/>
        <v>-0.0333333333333333</v>
      </c>
      <c r="AL435" s="105">
        <f t="shared" si="235"/>
        <v>45628</v>
      </c>
      <c r="AM435" s="151">
        <f t="shared" si="230"/>
        <v>4.757</v>
      </c>
      <c r="AN435" s="57">
        <f t="shared" si="216"/>
        <v>-0.00460347353002721</v>
      </c>
      <c r="AO435" s="36">
        <f t="shared" si="231"/>
        <v>-0.00771798080934505</v>
      </c>
      <c r="AP435" s="36"/>
      <c r="FV435" s="104">
        <f t="shared" si="209"/>
        <v>2012</v>
      </c>
      <c r="FW435" s="104">
        <f t="shared" si="210"/>
        <v>19</v>
      </c>
      <c r="FX435" s="35">
        <v>41040</v>
      </c>
      <c r="FY435" s="26">
        <v>1.06</v>
      </c>
      <c r="FZ435" s="94">
        <f t="shared" si="211"/>
        <v>4.24</v>
      </c>
      <c r="GA435" s="104"/>
      <c r="GB435" s="104"/>
      <c r="GE435" s="94"/>
      <c r="GF435" s="104">
        <f t="shared" si="212"/>
        <v>2014</v>
      </c>
      <c r="GG435" s="104">
        <f t="shared" si="213"/>
        <v>34</v>
      </c>
      <c r="GH435" s="35">
        <v>41871</v>
      </c>
      <c r="GI435" s="26">
        <v>4.191</v>
      </c>
      <c r="GJ435" s="94">
        <f t="shared" si="214"/>
        <v>8.382</v>
      </c>
      <c r="GK435" s="104"/>
      <c r="GL435" s="104"/>
      <c r="GO435" s="94"/>
    </row>
    <row r="436" spans="3:197">
      <c r="C436" s="80" t="str" cm="1">
        <f t="array" ref="C436">_xlfn.IFS(MONTH(D436)&lt;4,1,MONTH(D436)&lt;7,2,MONTH(D436)&lt;10,3,MONTH(D436)&gt;9,4)&amp;"Q"&amp;RIGHT(YEAR(D436),2)</f>
        <v>4Q17</v>
      </c>
      <c r="D436" s="81">
        <f t="shared" si="237"/>
        <v>43039</v>
      </c>
      <c r="E436" s="82">
        <f t="shared" si="233"/>
        <v>43020</v>
      </c>
      <c r="F436" s="83">
        <f t="shared" si="236"/>
        <v>1.136625</v>
      </c>
      <c r="G436" s="83">
        <f t="shared" si="236"/>
        <v>0.91375</v>
      </c>
      <c r="H436" s="81"/>
      <c r="I436" s="152">
        <v>43020</v>
      </c>
      <c r="J436" s="153">
        <v>9.5</v>
      </c>
      <c r="K436" s="153">
        <v>8.6</v>
      </c>
      <c r="L436" s="153">
        <v>9.093</v>
      </c>
      <c r="M436" s="94" cm="1">
        <f t="array" ref="M436">INDEX($BV$29:$BV$1449,MATCH($D436,$BR$29:$BR$1449,0),)</f>
        <v>7.31</v>
      </c>
      <c r="N436" s="150">
        <f t="shared" si="218"/>
        <v>0.0103333333333333</v>
      </c>
      <c r="O436" s="150">
        <f t="shared" si="219"/>
        <v>0.0344709897610922</v>
      </c>
      <c r="P436" s="150">
        <f t="shared" si="217"/>
        <v>0.0922522522522524</v>
      </c>
      <c r="Q436" s="89">
        <f t="shared" si="220"/>
        <v>0.243912448700411</v>
      </c>
      <c r="AH436" s="105">
        <f t="shared" si="234"/>
        <v>45635</v>
      </c>
      <c r="AI436" s="151">
        <f t="shared" si="222"/>
        <v>1.47</v>
      </c>
      <c r="AJ436" s="57">
        <f t="shared" si="215"/>
        <v>-0.0251989389920425</v>
      </c>
      <c r="AK436" s="36">
        <f t="shared" si="238"/>
        <v>-0.0442132639791938</v>
      </c>
      <c r="AL436" s="105">
        <f t="shared" si="235"/>
        <v>45635</v>
      </c>
      <c r="AM436" s="151">
        <f t="shared" si="230"/>
        <v>4.75</v>
      </c>
      <c r="AN436" s="57">
        <f t="shared" si="216"/>
        <v>-0.00147151566113091</v>
      </c>
      <c r="AO436" s="36">
        <f t="shared" si="231"/>
        <v>-0.00606821510776312</v>
      </c>
      <c r="AP436" s="36"/>
      <c r="FV436" s="104">
        <f t="shared" ref="FV436:FV499" si="239">YEAR(FX436)</f>
        <v>2012</v>
      </c>
      <c r="FW436" s="104">
        <f t="shared" ref="FW436:FW499" si="240">WEEKNUM(FX436)</f>
        <v>20</v>
      </c>
      <c r="FX436" s="35">
        <v>41043</v>
      </c>
      <c r="FY436" s="26">
        <v>1.07</v>
      </c>
      <c r="FZ436" s="94">
        <f t="shared" ref="FZ436:FZ499" si="241">FY436*4</f>
        <v>4.28</v>
      </c>
      <c r="GA436" s="104"/>
      <c r="GB436" s="104"/>
      <c r="GE436" s="94"/>
      <c r="GF436" s="104">
        <f t="shared" ref="GF436:GF499" si="242">YEAR(GH436)</f>
        <v>2014</v>
      </c>
      <c r="GG436" s="104">
        <f t="shared" ref="GG436:GG499" si="243">WEEKNUM(GH436)</f>
        <v>34</v>
      </c>
      <c r="GH436" s="35">
        <v>41872</v>
      </c>
      <c r="GI436" s="26">
        <v>4.209</v>
      </c>
      <c r="GJ436" s="94">
        <f t="shared" ref="GJ436:GJ499" si="244">GI436*2</f>
        <v>8.418</v>
      </c>
      <c r="GK436" s="104"/>
      <c r="GL436" s="104"/>
      <c r="GO436" s="94"/>
    </row>
    <row r="437" spans="3:197">
      <c r="C437" s="80" t="str" cm="1">
        <f t="array" ref="C437">_xlfn.IFS(MONTH(D437)&lt;4,1,MONTH(D437)&lt;7,2,MONTH(D437)&lt;10,3,MONTH(D437)&gt;9,4)&amp;"Q"&amp;RIGHT(YEAR(D437),2)</f>
        <v>4Q17</v>
      </c>
      <c r="D437" s="81">
        <f t="shared" si="237"/>
        <v>43039</v>
      </c>
      <c r="E437" s="82">
        <f t="shared" si="233"/>
        <v>43021</v>
      </c>
      <c r="F437" s="83">
        <f t="shared" si="236"/>
        <v>1.137875</v>
      </c>
      <c r="G437" s="83">
        <f t="shared" si="236"/>
        <v>0.91375</v>
      </c>
      <c r="H437" s="81"/>
      <c r="I437" s="152">
        <v>43021</v>
      </c>
      <c r="J437" s="153">
        <v>9.5</v>
      </c>
      <c r="K437" s="153">
        <v>8.7</v>
      </c>
      <c r="L437" s="153">
        <v>9.103</v>
      </c>
      <c r="M437" s="94" cm="1">
        <f t="array" ref="M437">INDEX($BV$29:$BV$1449,MATCH($D437,$BR$29:$BR$1449,0),)</f>
        <v>7.31</v>
      </c>
      <c r="N437" s="150">
        <f t="shared" si="218"/>
        <v>0.00109974705817661</v>
      </c>
      <c r="O437" s="150">
        <f t="shared" si="219"/>
        <v>0.0301007129116215</v>
      </c>
      <c r="P437" s="150">
        <f t="shared" si="217"/>
        <v>0.0910943305765313</v>
      </c>
      <c r="Q437" s="89">
        <f t="shared" si="220"/>
        <v>0.245280437756498</v>
      </c>
      <c r="AH437" s="105">
        <f t="shared" si="234"/>
        <v>45642</v>
      </c>
      <c r="AI437" s="151">
        <f t="shared" si="222"/>
        <v>1.46</v>
      </c>
      <c r="AJ437" s="57">
        <f t="shared" si="215"/>
        <v>-0.00680272108843538</v>
      </c>
      <c r="AK437" s="36">
        <f t="shared" si="238"/>
        <v>-0.0318302387267905</v>
      </c>
      <c r="AL437" s="105">
        <f t="shared" si="235"/>
        <v>45642</v>
      </c>
      <c r="AM437" s="151">
        <f t="shared" si="230"/>
        <v>4.729</v>
      </c>
      <c r="AN437" s="57">
        <f t="shared" si="216"/>
        <v>-0.00442105263157888</v>
      </c>
      <c r="AO437" s="36">
        <f t="shared" si="231"/>
        <v>-0.00588606264452374</v>
      </c>
      <c r="AP437" s="36"/>
      <c r="FV437" s="104">
        <f t="shared" si="239"/>
        <v>2012</v>
      </c>
      <c r="FW437" s="104">
        <f t="shared" si="240"/>
        <v>20</v>
      </c>
      <c r="FX437" s="35">
        <v>41044</v>
      </c>
      <c r="FY437" s="26">
        <v>1.07</v>
      </c>
      <c r="FZ437" s="94">
        <f t="shared" si="241"/>
        <v>4.28</v>
      </c>
      <c r="GA437" s="104"/>
      <c r="GB437" s="104"/>
      <c r="GE437" s="94"/>
      <c r="GF437" s="104">
        <f t="shared" si="242"/>
        <v>2014</v>
      </c>
      <c r="GG437" s="104">
        <f t="shared" si="243"/>
        <v>34</v>
      </c>
      <c r="GH437" s="35">
        <v>41873</v>
      </c>
      <c r="GI437" s="26">
        <v>4.21</v>
      </c>
      <c r="GJ437" s="94">
        <f t="shared" si="244"/>
        <v>8.42</v>
      </c>
      <c r="GK437" s="104"/>
      <c r="GL437" s="104"/>
      <c r="GO437" s="94"/>
    </row>
    <row r="438" spans="3:197">
      <c r="C438" s="80" t="str" cm="1">
        <f t="array" ref="C438">_xlfn.IFS(MONTH(D438)&lt;4,1,MONTH(D438)&lt;7,2,MONTH(D438)&lt;10,3,MONTH(D438)&gt;9,4)&amp;"Q"&amp;RIGHT(YEAR(D438),2)</f>
        <v>4Q17</v>
      </c>
      <c r="D438" s="81">
        <f t="shared" si="237"/>
        <v>43039</v>
      </c>
      <c r="E438" s="82">
        <f t="shared" si="233"/>
        <v>43024</v>
      </c>
      <c r="F438" s="83">
        <f t="shared" si="236"/>
        <v>1.151875</v>
      </c>
      <c r="G438" s="83">
        <f t="shared" si="236"/>
        <v>0.91375</v>
      </c>
      <c r="H438" s="81"/>
      <c r="I438" s="146">
        <v>43024</v>
      </c>
      <c r="J438" s="147">
        <v>9.6</v>
      </c>
      <c r="K438" s="147">
        <v>8.8</v>
      </c>
      <c r="L438" s="147">
        <v>9.215</v>
      </c>
      <c r="M438" s="94" cm="1">
        <f t="array" ref="M438">INDEX($BV$29:$BV$1449,MATCH($D438,$BR$29:$BR$1449,0),)</f>
        <v>7.31</v>
      </c>
      <c r="N438" s="150">
        <f t="shared" si="218"/>
        <v>0.012303636163902</v>
      </c>
      <c r="O438" s="150">
        <f t="shared" si="219"/>
        <v>0.0401851224743199</v>
      </c>
      <c r="P438" s="150">
        <f t="shared" si="217"/>
        <v>0.0968932269967862</v>
      </c>
      <c r="Q438" s="89">
        <f t="shared" si="220"/>
        <v>0.260601915184679</v>
      </c>
      <c r="AH438" s="105">
        <f t="shared" si="234"/>
        <v>45649</v>
      </c>
      <c r="AI438" s="151">
        <f t="shared" si="222"/>
        <v>1.464</v>
      </c>
      <c r="AJ438" s="57">
        <f t="shared" ref="AJ438:AJ501" si="245">AI438/AI437-1</f>
        <v>0.00273972602739736</v>
      </c>
      <c r="AK438" s="36">
        <f t="shared" si="238"/>
        <v>-0.00408163265306127</v>
      </c>
      <c r="AL438" s="105">
        <f t="shared" si="235"/>
        <v>45649</v>
      </c>
      <c r="AM438" s="151">
        <f t="shared" si="230"/>
        <v>4.693</v>
      </c>
      <c r="AN438" s="57">
        <f t="shared" ref="AN438:AN501" si="246">AM438/AM437-1</f>
        <v>-0.00761260308733358</v>
      </c>
      <c r="AO438" s="36">
        <f t="shared" si="231"/>
        <v>-0.0120000000000001</v>
      </c>
      <c r="AP438" s="36"/>
      <c r="FV438" s="104">
        <f t="shared" si="239"/>
        <v>2012</v>
      </c>
      <c r="FW438" s="104">
        <f t="shared" si="240"/>
        <v>20</v>
      </c>
      <c r="FX438" s="35">
        <v>41045</v>
      </c>
      <c r="FY438" s="26">
        <v>1.06</v>
      </c>
      <c r="FZ438" s="94">
        <f t="shared" si="241"/>
        <v>4.24</v>
      </c>
      <c r="GA438" s="104"/>
      <c r="GB438" s="104"/>
      <c r="GE438" s="94"/>
      <c r="GF438" s="104">
        <f t="shared" si="242"/>
        <v>2014</v>
      </c>
      <c r="GG438" s="104">
        <f t="shared" si="243"/>
        <v>35</v>
      </c>
      <c r="GH438" s="35">
        <v>41876</v>
      </c>
      <c r="GI438" s="26">
        <v>4.195</v>
      </c>
      <c r="GJ438" s="94">
        <f t="shared" si="244"/>
        <v>8.39</v>
      </c>
      <c r="GK438" s="104"/>
      <c r="GL438" s="104"/>
      <c r="GO438" s="94"/>
    </row>
    <row r="439" spans="3:197">
      <c r="C439" s="80" t="str" cm="1">
        <f t="array" ref="C439">_xlfn.IFS(MONTH(D439)&lt;4,1,MONTH(D439)&lt;7,2,MONTH(D439)&lt;10,3,MONTH(D439)&gt;9,4)&amp;"Q"&amp;RIGHT(YEAR(D439),2)</f>
        <v>4Q17</v>
      </c>
      <c r="D439" s="81">
        <f t="shared" si="237"/>
        <v>43039</v>
      </c>
      <c r="E439" s="82">
        <f t="shared" si="233"/>
        <v>43025</v>
      </c>
      <c r="F439" s="83">
        <f t="shared" si="236"/>
        <v>1.171875</v>
      </c>
      <c r="G439" s="83">
        <f t="shared" si="236"/>
        <v>0.91375</v>
      </c>
      <c r="H439" s="81"/>
      <c r="I439" s="146">
        <v>43025</v>
      </c>
      <c r="J439" s="147">
        <v>9.6</v>
      </c>
      <c r="K439" s="147">
        <v>9.1</v>
      </c>
      <c r="L439" s="147">
        <v>9.375</v>
      </c>
      <c r="M439" s="94" cm="1">
        <f t="array" ref="M439">INDEX($BV$29:$BV$1449,MATCH($D439,$BR$29:$BR$1449,0),)</f>
        <v>7.31</v>
      </c>
      <c r="N439" s="150">
        <f t="shared" si="218"/>
        <v>0.0173629951166576</v>
      </c>
      <c r="O439" s="150">
        <f t="shared" si="219"/>
        <v>0.0533707865168538</v>
      </c>
      <c r="P439" s="150">
        <f t="shared" si="217"/>
        <v>0.103590347263096</v>
      </c>
      <c r="Q439" s="89">
        <f t="shared" si="220"/>
        <v>0.282489740082079</v>
      </c>
      <c r="AH439" s="105">
        <f t="shared" si="234"/>
        <v>45656</v>
      </c>
      <c r="AI439" s="151">
        <f t="shared" si="222"/>
        <v>1.464</v>
      </c>
      <c r="AJ439" s="57">
        <f t="shared" si="245"/>
        <v>0</v>
      </c>
      <c r="AK439" s="36">
        <f t="shared" si="238"/>
        <v>0.00273972602739736</v>
      </c>
      <c r="AL439" s="105">
        <f t="shared" si="235"/>
        <v>45656</v>
      </c>
      <c r="AM439" s="151">
        <f t="shared" si="230"/>
        <v>4.686</v>
      </c>
      <c r="AN439" s="57">
        <f t="shared" si="246"/>
        <v>-0.00149158320903464</v>
      </c>
      <c r="AO439" s="36">
        <f t="shared" si="231"/>
        <v>-0.00909283146542617</v>
      </c>
      <c r="AP439" s="36"/>
      <c r="FV439" s="104">
        <f t="shared" si="239"/>
        <v>2012</v>
      </c>
      <c r="FW439" s="104">
        <f t="shared" si="240"/>
        <v>20</v>
      </c>
      <c r="FX439" s="35">
        <v>41046</v>
      </c>
      <c r="FY439" s="26">
        <v>1.07</v>
      </c>
      <c r="FZ439" s="94">
        <f t="shared" si="241"/>
        <v>4.28</v>
      </c>
      <c r="GA439" s="104"/>
      <c r="GB439" s="104"/>
      <c r="GE439" s="94"/>
      <c r="GF439" s="104">
        <f t="shared" si="242"/>
        <v>2014</v>
      </c>
      <c r="GG439" s="104">
        <f t="shared" si="243"/>
        <v>35</v>
      </c>
      <c r="GH439" s="35">
        <v>41877</v>
      </c>
      <c r="GI439" s="26">
        <v>4.182</v>
      </c>
      <c r="GJ439" s="94">
        <f t="shared" si="244"/>
        <v>8.364</v>
      </c>
      <c r="GK439" s="104"/>
      <c r="GL439" s="104"/>
      <c r="GO439" s="94"/>
    </row>
    <row r="440" spans="3:197">
      <c r="C440" s="80" t="str" cm="1">
        <f t="array" ref="C440">_xlfn.IFS(MONTH(D440)&lt;4,1,MONTH(D440)&lt;7,2,MONTH(D440)&lt;10,3,MONTH(D440)&gt;9,4)&amp;"Q"&amp;RIGHT(YEAR(D440),2)</f>
        <v>4Q17</v>
      </c>
      <c r="D440" s="81">
        <f t="shared" si="237"/>
        <v>43039</v>
      </c>
      <c r="E440" s="82">
        <f t="shared" si="233"/>
        <v>43026</v>
      </c>
      <c r="F440" s="83">
        <f t="shared" si="236"/>
        <v>1.18625</v>
      </c>
      <c r="G440" s="83">
        <f t="shared" si="236"/>
        <v>0.91375</v>
      </c>
      <c r="H440" s="81"/>
      <c r="I440" s="146">
        <v>43026</v>
      </c>
      <c r="J440" s="147">
        <v>9.6</v>
      </c>
      <c r="K440" s="147">
        <v>9.2</v>
      </c>
      <c r="L440" s="147">
        <v>9.49</v>
      </c>
      <c r="M440" s="94" cm="1">
        <f t="array" ref="M440">INDEX($BV$29:$BV$1449,MATCH($D440,$BR$29:$BR$1449,0),)</f>
        <v>7.31</v>
      </c>
      <c r="N440" s="150">
        <f t="shared" si="218"/>
        <v>0.0122666666666666</v>
      </c>
      <c r="O440" s="150">
        <f t="shared" si="219"/>
        <v>0.0544444444444445</v>
      </c>
      <c r="P440" s="150">
        <f t="shared" si="217"/>
        <v>0.0924369747899161</v>
      </c>
      <c r="Q440" s="89">
        <f t="shared" si="220"/>
        <v>0.298221614227086</v>
      </c>
      <c r="AH440" s="105">
        <f t="shared" si="234"/>
        <v>45663</v>
      </c>
      <c r="AI440" s="151">
        <f t="shared" si="222"/>
        <v>1.462</v>
      </c>
      <c r="AJ440" s="57">
        <f t="shared" si="245"/>
        <v>-0.00136612021857918</v>
      </c>
      <c r="AK440" s="36">
        <f t="shared" si="238"/>
        <v>-0.00136612021857918</v>
      </c>
      <c r="AL440" s="105">
        <f t="shared" si="235"/>
        <v>45663</v>
      </c>
      <c r="AM440" s="151">
        <f t="shared" si="230"/>
        <v>4.68</v>
      </c>
      <c r="AN440" s="57">
        <f t="shared" si="246"/>
        <v>-0.00128040973111399</v>
      </c>
      <c r="AO440" s="36">
        <f t="shared" si="231"/>
        <v>-0.00277008310249305</v>
      </c>
      <c r="AP440" s="36"/>
      <c r="FV440" s="104">
        <f t="shared" si="239"/>
        <v>2012</v>
      </c>
      <c r="FW440" s="104">
        <f t="shared" si="240"/>
        <v>20</v>
      </c>
      <c r="FX440" s="35">
        <v>41047</v>
      </c>
      <c r="FY440" s="26">
        <v>1.06</v>
      </c>
      <c r="FZ440" s="94">
        <f t="shared" si="241"/>
        <v>4.24</v>
      </c>
      <c r="GA440" s="104"/>
      <c r="GB440" s="104"/>
      <c r="GE440" s="94"/>
      <c r="GF440" s="104">
        <f t="shared" si="242"/>
        <v>2014</v>
      </c>
      <c r="GG440" s="104">
        <f t="shared" si="243"/>
        <v>35</v>
      </c>
      <c r="GH440" s="35">
        <v>41878</v>
      </c>
      <c r="GI440" s="26">
        <v>4.182</v>
      </c>
      <c r="GJ440" s="94">
        <f t="shared" si="244"/>
        <v>8.364</v>
      </c>
      <c r="GK440" s="104"/>
      <c r="GL440" s="104"/>
      <c r="GO440" s="94"/>
    </row>
    <row r="441" spans="3:197">
      <c r="C441" s="80" t="str" cm="1">
        <f t="array" ref="C441">_xlfn.IFS(MONTH(D441)&lt;4,1,MONTH(D441)&lt;7,2,MONTH(D441)&lt;10,3,MONTH(D441)&gt;9,4)&amp;"Q"&amp;RIGHT(YEAR(D441),2)</f>
        <v>4Q17</v>
      </c>
      <c r="D441" s="81">
        <f t="shared" si="237"/>
        <v>43039</v>
      </c>
      <c r="E441" s="82">
        <f t="shared" si="233"/>
        <v>43027</v>
      </c>
      <c r="F441" s="83">
        <f t="shared" si="236"/>
        <v>1.1875</v>
      </c>
      <c r="G441" s="83">
        <f t="shared" si="236"/>
        <v>0.91375</v>
      </c>
      <c r="H441" s="81"/>
      <c r="I441" s="146">
        <v>43027</v>
      </c>
      <c r="J441" s="147">
        <v>9.7</v>
      </c>
      <c r="K441" s="147">
        <v>9.3</v>
      </c>
      <c r="L441" s="147">
        <v>9.5</v>
      </c>
      <c r="M441" s="94" cm="1">
        <f t="array" ref="M441">INDEX($BV$29:$BV$1449,MATCH($D441,$BR$29:$BR$1449,0),)</f>
        <v>7.31</v>
      </c>
      <c r="N441" s="150">
        <f t="shared" si="218"/>
        <v>0.00105374077976816</v>
      </c>
      <c r="O441" s="150">
        <f t="shared" si="219"/>
        <v>0.0447597052677884</v>
      </c>
      <c r="P441" s="150">
        <f t="shared" si="217"/>
        <v>0.0807736063708762</v>
      </c>
      <c r="Q441" s="89">
        <f t="shared" si="220"/>
        <v>0.299589603283174</v>
      </c>
      <c r="AH441" s="105">
        <f t="shared" si="234"/>
        <v>45670</v>
      </c>
      <c r="AI441" s="151">
        <f t="shared" si="222"/>
        <v>1.469</v>
      </c>
      <c r="AJ441" s="57">
        <f t="shared" si="245"/>
        <v>0.00478796169630646</v>
      </c>
      <c r="AK441" s="36">
        <f t="shared" si="238"/>
        <v>0.00341530054644812</v>
      </c>
      <c r="AL441" s="105">
        <f t="shared" si="235"/>
        <v>45670</v>
      </c>
      <c r="AM441" s="151">
        <f t="shared" si="230"/>
        <v>4.679</v>
      </c>
      <c r="AN441" s="57">
        <f t="shared" si="246"/>
        <v>-0.000213675213675102</v>
      </c>
      <c r="AO441" s="36">
        <f t="shared" si="231"/>
        <v>-0.00149381135296622</v>
      </c>
      <c r="AP441" s="36"/>
      <c r="FV441" s="104">
        <f t="shared" si="239"/>
        <v>2012</v>
      </c>
      <c r="FW441" s="104">
        <f t="shared" si="240"/>
        <v>21</v>
      </c>
      <c r="FX441" s="35">
        <v>41050</v>
      </c>
      <c r="FY441" s="26">
        <v>1.06</v>
      </c>
      <c r="FZ441" s="94">
        <f t="shared" si="241"/>
        <v>4.24</v>
      </c>
      <c r="GA441" s="104"/>
      <c r="GB441" s="104"/>
      <c r="GE441" s="94"/>
      <c r="GF441" s="104">
        <f t="shared" si="242"/>
        <v>2014</v>
      </c>
      <c r="GG441" s="104">
        <f t="shared" si="243"/>
        <v>35</v>
      </c>
      <c r="GH441" s="35">
        <v>41879</v>
      </c>
      <c r="GI441" s="26">
        <v>4.152</v>
      </c>
      <c r="GJ441" s="94">
        <f t="shared" si="244"/>
        <v>8.304</v>
      </c>
      <c r="GK441" s="104"/>
      <c r="GL441" s="104"/>
      <c r="GO441" s="94"/>
    </row>
    <row r="442" spans="3:197">
      <c r="C442" s="80" t="str" cm="1">
        <f t="array" ref="C442">_xlfn.IFS(MONTH(D442)&lt;4,1,MONTH(D442)&lt;7,2,MONTH(D442)&lt;10,3,MONTH(D442)&gt;9,4)&amp;"Q"&amp;RIGHT(YEAR(D442),2)</f>
        <v>4Q17</v>
      </c>
      <c r="D442" s="81">
        <f t="shared" si="237"/>
        <v>43039</v>
      </c>
      <c r="E442" s="82">
        <f t="shared" si="233"/>
        <v>43028</v>
      </c>
      <c r="F442" s="83">
        <f t="shared" si="236"/>
        <v>1.2125</v>
      </c>
      <c r="G442" s="83">
        <f t="shared" si="236"/>
        <v>0.91375</v>
      </c>
      <c r="H442" s="81"/>
      <c r="I442" s="146">
        <v>43028</v>
      </c>
      <c r="J442" s="147">
        <v>9.8</v>
      </c>
      <c r="K442" s="147">
        <v>9.35</v>
      </c>
      <c r="L442" s="147">
        <v>9.7</v>
      </c>
      <c r="M442" s="94" cm="1">
        <f t="array" ref="M442">INDEX($BV$29:$BV$1449,MATCH($D442,$BR$29:$BR$1449,0),)</f>
        <v>7.31</v>
      </c>
      <c r="N442" s="150">
        <f t="shared" si="218"/>
        <v>0.0210526315789472</v>
      </c>
      <c r="O442" s="150">
        <f t="shared" si="219"/>
        <v>0.0655827749093705</v>
      </c>
      <c r="P442" s="150">
        <f t="shared" si="217"/>
        <v>0.0976575761004865</v>
      </c>
      <c r="Q442" s="89">
        <f t="shared" si="220"/>
        <v>0.326949384404925</v>
      </c>
      <c r="AH442" s="105">
        <f t="shared" si="234"/>
        <v>45677</v>
      </c>
      <c r="AI442" s="151">
        <f t="shared" si="222"/>
        <v>1.461</v>
      </c>
      <c r="AJ442" s="57">
        <f t="shared" si="245"/>
        <v>-0.00544588155207626</v>
      </c>
      <c r="AK442" s="36">
        <f t="shared" si="238"/>
        <v>-0.000683994528043685</v>
      </c>
      <c r="AL442" s="105">
        <f t="shared" si="235"/>
        <v>45677</v>
      </c>
      <c r="AM442" s="151">
        <f t="shared" si="230"/>
        <v>4.666</v>
      </c>
      <c r="AN442" s="57">
        <f t="shared" si="246"/>
        <v>-0.0027783714468903</v>
      </c>
      <c r="AO442" s="36">
        <f t="shared" si="231"/>
        <v>-0.00299145299145287</v>
      </c>
      <c r="AP442" s="36"/>
      <c r="FV442" s="104">
        <f t="shared" si="239"/>
        <v>2012</v>
      </c>
      <c r="FW442" s="104">
        <f t="shared" si="240"/>
        <v>21</v>
      </c>
      <c r="FX442" s="35">
        <v>41051</v>
      </c>
      <c r="FY442" s="26">
        <v>1.06</v>
      </c>
      <c r="FZ442" s="94">
        <f t="shared" si="241"/>
        <v>4.24</v>
      </c>
      <c r="GA442" s="104"/>
      <c r="GB442" s="104"/>
      <c r="GE442" s="94"/>
      <c r="GF442" s="104">
        <f t="shared" si="242"/>
        <v>2014</v>
      </c>
      <c r="GG442" s="104">
        <f t="shared" si="243"/>
        <v>35</v>
      </c>
      <c r="GH442" s="35">
        <v>41880</v>
      </c>
      <c r="GI442" s="26">
        <v>4.141</v>
      </c>
      <c r="GJ442" s="94">
        <f t="shared" si="244"/>
        <v>8.282</v>
      </c>
      <c r="GK442" s="104"/>
      <c r="GL442" s="104"/>
      <c r="GO442" s="94"/>
    </row>
    <row r="443" spans="3:197">
      <c r="C443" s="80" t="str" cm="1">
        <f t="array" ref="C443">_xlfn.IFS(MONTH(D443)&lt;4,1,MONTH(D443)&lt;7,2,MONTH(D443)&lt;10,3,MONTH(D443)&gt;9,4)&amp;"Q"&amp;RIGHT(YEAR(D443),2)</f>
        <v>4Q17</v>
      </c>
      <c r="D443" s="81">
        <f t="shared" si="237"/>
        <v>43039</v>
      </c>
      <c r="E443" s="82">
        <f t="shared" si="233"/>
        <v>43031</v>
      </c>
      <c r="F443" s="83">
        <f t="shared" si="236"/>
        <v>1.2125</v>
      </c>
      <c r="G443" s="83">
        <f t="shared" si="236"/>
        <v>0.91375</v>
      </c>
      <c r="H443" s="81"/>
      <c r="I443" s="146">
        <v>43031</v>
      </c>
      <c r="J443" s="147">
        <v>9.8</v>
      </c>
      <c r="K443" s="147">
        <v>9.35</v>
      </c>
      <c r="L443" s="147">
        <v>9.7</v>
      </c>
      <c r="M443" s="94" cm="1">
        <f t="array" ref="M443">INDEX($BV$29:$BV$1449,MATCH($D443,$BR$29:$BR$1449,0),)</f>
        <v>7.31</v>
      </c>
      <c r="N443" s="150">
        <f t="shared" si="218"/>
        <v>0</v>
      </c>
      <c r="O443" s="150">
        <f t="shared" si="219"/>
        <v>0.0526315789473684</v>
      </c>
      <c r="P443" s="150">
        <f t="shared" si="217"/>
        <v>0.094931707867705</v>
      </c>
      <c r="Q443" s="89">
        <f t="shared" si="220"/>
        <v>0.326949384404925</v>
      </c>
      <c r="AH443" s="105">
        <f t="shared" si="234"/>
        <v>45684</v>
      </c>
      <c r="AI443" s="151">
        <f t="shared" si="222"/>
        <v>1.458</v>
      </c>
      <c r="AJ443" s="57">
        <f t="shared" si="245"/>
        <v>-0.00205338809034916</v>
      </c>
      <c r="AK443" s="36">
        <f t="shared" si="238"/>
        <v>-0.00748808713410487</v>
      </c>
      <c r="AL443" s="105">
        <f t="shared" si="235"/>
        <v>45684</v>
      </c>
      <c r="AM443" s="151">
        <f t="shared" si="230"/>
        <v>4.689</v>
      </c>
      <c r="AN443" s="57">
        <f t="shared" si="246"/>
        <v>0.00492927561080148</v>
      </c>
      <c r="AO443" s="36">
        <f t="shared" si="231"/>
        <v>0.00213720880530022</v>
      </c>
      <c r="AP443" s="36"/>
      <c r="FV443" s="104">
        <f t="shared" si="239"/>
        <v>2012</v>
      </c>
      <c r="FW443" s="104">
        <f t="shared" si="240"/>
        <v>21</v>
      </c>
      <c r="FX443" s="35">
        <v>41052</v>
      </c>
      <c r="FY443" s="26">
        <v>1.06</v>
      </c>
      <c r="FZ443" s="94">
        <f t="shared" si="241"/>
        <v>4.24</v>
      </c>
      <c r="GA443" s="104"/>
      <c r="GB443" s="104"/>
      <c r="GE443" s="94"/>
      <c r="GF443" s="104">
        <f t="shared" si="242"/>
        <v>2014</v>
      </c>
      <c r="GG443" s="104">
        <f t="shared" si="243"/>
        <v>36</v>
      </c>
      <c r="GH443" s="35">
        <v>41883</v>
      </c>
      <c r="GI443" s="26">
        <v>4.128</v>
      </c>
      <c r="GJ443" s="94">
        <f t="shared" si="244"/>
        <v>8.256</v>
      </c>
      <c r="GK443" s="104"/>
      <c r="GL443" s="104"/>
      <c r="GO443" s="94"/>
    </row>
    <row r="444" spans="3:197">
      <c r="C444" s="80" t="str" cm="1">
        <f t="array" ref="C444">_xlfn.IFS(MONTH(D444)&lt;4,1,MONTH(D444)&lt;7,2,MONTH(D444)&lt;10,3,MONTH(D444)&gt;9,4)&amp;"Q"&amp;RIGHT(YEAR(D444),2)</f>
        <v>4Q17</v>
      </c>
      <c r="D444" s="81">
        <f t="shared" si="237"/>
        <v>43039</v>
      </c>
      <c r="E444" s="82">
        <f t="shared" si="233"/>
        <v>43032</v>
      </c>
      <c r="F444" s="83">
        <f t="shared" si="236"/>
        <v>1.20075</v>
      </c>
      <c r="G444" s="83">
        <f t="shared" si="236"/>
        <v>0.91375</v>
      </c>
      <c r="H444" s="81"/>
      <c r="I444" s="146">
        <v>43032</v>
      </c>
      <c r="J444" s="147">
        <v>9.8</v>
      </c>
      <c r="K444" s="147">
        <v>9.35</v>
      </c>
      <c r="L444" s="147">
        <v>9.606</v>
      </c>
      <c r="M444" s="94" cm="1">
        <f t="array" ref="M444">INDEX($BV$29:$BV$1449,MATCH($D444,$BR$29:$BR$1449,0),)</f>
        <v>7.31</v>
      </c>
      <c r="N444" s="150">
        <f t="shared" si="218"/>
        <v>-0.00969072164948448</v>
      </c>
      <c r="O444" s="150">
        <f t="shared" si="219"/>
        <v>0.02464</v>
      </c>
      <c r="P444" s="150">
        <f t="shared" si="217"/>
        <v>0.0793258426966292</v>
      </c>
      <c r="Q444" s="89">
        <f t="shared" si="220"/>
        <v>0.314090287277702</v>
      </c>
      <c r="AH444" s="105">
        <f t="shared" si="234"/>
        <v>45691</v>
      </c>
      <c r="AI444" s="151">
        <f t="shared" si="222"/>
        <v>1.458</v>
      </c>
      <c r="AJ444" s="57">
        <f t="shared" si="245"/>
        <v>0</v>
      </c>
      <c r="AK444" s="36">
        <f t="shared" si="238"/>
        <v>-0.00205338809034916</v>
      </c>
      <c r="AL444" s="105">
        <f t="shared" si="235"/>
        <v>45691</v>
      </c>
      <c r="AM444" s="151">
        <f t="shared" si="230"/>
        <v>4.696</v>
      </c>
      <c r="AN444" s="57">
        <f t="shared" si="246"/>
        <v>0.00149285561953505</v>
      </c>
      <c r="AO444" s="36">
        <f t="shared" si="231"/>
        <v>0.00642948992713221</v>
      </c>
      <c r="AP444" s="36"/>
      <c r="FV444" s="104">
        <f t="shared" si="239"/>
        <v>2012</v>
      </c>
      <c r="FW444" s="104">
        <f t="shared" si="240"/>
        <v>21</v>
      </c>
      <c r="FX444" s="35">
        <v>41053</v>
      </c>
      <c r="FY444" s="26">
        <v>1.05</v>
      </c>
      <c r="FZ444" s="94">
        <f t="shared" si="241"/>
        <v>4.2</v>
      </c>
      <c r="GA444" s="104"/>
      <c r="GB444" s="104"/>
      <c r="GE444" s="94"/>
      <c r="GF444" s="104">
        <f t="shared" si="242"/>
        <v>2014</v>
      </c>
      <c r="GG444" s="104">
        <f t="shared" si="243"/>
        <v>36</v>
      </c>
      <c r="GH444" s="35">
        <v>41884</v>
      </c>
      <c r="GI444" s="26">
        <v>4.106</v>
      </c>
      <c r="GJ444" s="94">
        <f t="shared" si="244"/>
        <v>8.212</v>
      </c>
      <c r="GK444" s="104"/>
      <c r="GL444" s="104"/>
      <c r="GO444" s="94"/>
    </row>
    <row r="445" spans="3:197">
      <c r="C445" s="80" t="str" cm="1">
        <f t="array" ref="C445">_xlfn.IFS(MONTH(D445)&lt;4,1,MONTH(D445)&lt;7,2,MONTH(D445)&lt;10,3,MONTH(D445)&gt;9,4)&amp;"Q"&amp;RIGHT(YEAR(D445),2)</f>
        <v>4Q17</v>
      </c>
      <c r="D445" s="81">
        <f t="shared" si="237"/>
        <v>43039</v>
      </c>
      <c r="E445" s="82">
        <f t="shared" si="233"/>
        <v>43033</v>
      </c>
      <c r="F445" s="83">
        <f t="shared" si="236"/>
        <v>1.1925</v>
      </c>
      <c r="G445" s="83">
        <f t="shared" si="236"/>
        <v>0.91375</v>
      </c>
      <c r="H445" s="81"/>
      <c r="I445" s="146">
        <v>43033</v>
      </c>
      <c r="J445" s="147">
        <v>9.7</v>
      </c>
      <c r="K445" s="147">
        <v>9.25</v>
      </c>
      <c r="L445" s="147">
        <v>9.54</v>
      </c>
      <c r="M445" s="94" cm="1">
        <f t="array" ref="M445">INDEX($BV$29:$BV$1449,MATCH($D445,$BR$29:$BR$1449,0),)</f>
        <v>7.31</v>
      </c>
      <c r="N445" s="150">
        <f t="shared" si="218"/>
        <v>-0.0068707058088695</v>
      </c>
      <c r="O445" s="150">
        <f t="shared" si="219"/>
        <v>0.00526870389884082</v>
      </c>
      <c r="P445" s="150">
        <f t="shared" si="217"/>
        <v>0.0599999999999998</v>
      </c>
      <c r="Q445" s="89">
        <f t="shared" si="220"/>
        <v>0.305061559507524</v>
      </c>
      <c r="AH445" s="105">
        <f t="shared" si="234"/>
        <v>45698</v>
      </c>
      <c r="AI445" s="151">
        <f t="shared" si="222"/>
        <v>1.451</v>
      </c>
      <c r="AJ445" s="57">
        <f t="shared" si="245"/>
        <v>-0.00480109739368995</v>
      </c>
      <c r="AK445" s="36">
        <f t="shared" si="238"/>
        <v>-0.00480109739368995</v>
      </c>
      <c r="AL445" s="105">
        <f t="shared" si="235"/>
        <v>45698</v>
      </c>
      <c r="AM445" s="151">
        <f t="shared" si="230"/>
        <v>4.707</v>
      </c>
      <c r="AN445" s="57">
        <f t="shared" si="246"/>
        <v>0.00234241908006827</v>
      </c>
      <c r="AO445" s="36">
        <f t="shared" si="231"/>
        <v>0.0038387715930901</v>
      </c>
      <c r="AP445" s="36"/>
      <c r="FV445" s="104">
        <f t="shared" si="239"/>
        <v>2012</v>
      </c>
      <c r="FW445" s="104">
        <f t="shared" si="240"/>
        <v>21</v>
      </c>
      <c r="FX445" s="35">
        <v>41054</v>
      </c>
      <c r="FY445" s="26">
        <v>1.05</v>
      </c>
      <c r="FZ445" s="94">
        <f t="shared" si="241"/>
        <v>4.2</v>
      </c>
      <c r="GA445" s="104"/>
      <c r="GB445" s="104"/>
      <c r="GE445" s="94"/>
      <c r="GF445" s="104">
        <f t="shared" si="242"/>
        <v>2014</v>
      </c>
      <c r="GG445" s="104">
        <f t="shared" si="243"/>
        <v>36</v>
      </c>
      <c r="GH445" s="35">
        <v>41885</v>
      </c>
      <c r="GI445" s="26">
        <v>4.1</v>
      </c>
      <c r="GJ445" s="94">
        <f t="shared" si="244"/>
        <v>8.2</v>
      </c>
      <c r="GK445" s="104"/>
      <c r="GL445" s="104"/>
      <c r="GO445" s="94"/>
    </row>
    <row r="446" spans="3:197">
      <c r="C446" s="80" t="str" cm="1">
        <f t="array" ref="C446">_xlfn.IFS(MONTH(D446)&lt;4,1,MONTH(D446)&lt;7,2,MONTH(D446)&lt;10,3,MONTH(D446)&gt;9,4)&amp;"Q"&amp;RIGHT(YEAR(D446),2)</f>
        <v>4Q17</v>
      </c>
      <c r="D446" s="81">
        <f t="shared" si="237"/>
        <v>43039</v>
      </c>
      <c r="E446" s="82">
        <f t="shared" si="233"/>
        <v>43034</v>
      </c>
      <c r="F446" s="83">
        <f t="shared" si="236"/>
        <v>1.18775</v>
      </c>
      <c r="G446" s="83">
        <f t="shared" si="236"/>
        <v>0.91375</v>
      </c>
      <c r="H446" s="81"/>
      <c r="I446" s="146">
        <v>43034</v>
      </c>
      <c r="J446" s="147">
        <v>9.6</v>
      </c>
      <c r="K446" s="147">
        <v>9.25</v>
      </c>
      <c r="L446" s="147">
        <v>9.502</v>
      </c>
      <c r="M446" s="94" cm="1">
        <f t="array" ref="M446">INDEX($BV$29:$BV$1449,MATCH($D446,$BR$29:$BR$1449,0),)</f>
        <v>7.31</v>
      </c>
      <c r="N446" s="150">
        <f t="shared" si="218"/>
        <v>-0.00398322851153021</v>
      </c>
      <c r="O446" s="150">
        <f t="shared" si="219"/>
        <v>0.000210526315789439</v>
      </c>
      <c r="P446" s="150">
        <f t="shared" si="217"/>
        <v>0.0449796546794239</v>
      </c>
      <c r="Q446" s="89">
        <f t="shared" si="220"/>
        <v>0.299863201094391</v>
      </c>
      <c r="AH446" s="105">
        <f t="shared" si="234"/>
        <v>45705</v>
      </c>
      <c r="AI446" s="151">
        <f t="shared" si="222"/>
        <v>1.449</v>
      </c>
      <c r="AJ446" s="57">
        <f t="shared" si="245"/>
        <v>-0.00137835975189526</v>
      </c>
      <c r="AK446" s="36">
        <f t="shared" si="238"/>
        <v>-0.00617283950617276</v>
      </c>
      <c r="AL446" s="105">
        <f t="shared" si="235"/>
        <v>45705</v>
      </c>
      <c r="AM446" s="151">
        <f t="shared" si="230"/>
        <v>4.781</v>
      </c>
      <c r="AN446" s="57">
        <f t="shared" si="246"/>
        <v>0.0157212661992776</v>
      </c>
      <c r="AO446" s="36">
        <f t="shared" si="231"/>
        <v>0.0181005110732537</v>
      </c>
      <c r="AP446" s="36"/>
      <c r="FV446" s="104">
        <f t="shared" si="239"/>
        <v>2012</v>
      </c>
      <c r="FW446" s="104">
        <f t="shared" si="240"/>
        <v>22</v>
      </c>
      <c r="FX446" s="35">
        <v>41057</v>
      </c>
      <c r="FY446" s="26">
        <v>1.05</v>
      </c>
      <c r="FZ446" s="94">
        <f t="shared" si="241"/>
        <v>4.2</v>
      </c>
      <c r="GA446" s="104"/>
      <c r="GB446" s="104"/>
      <c r="GE446" s="94"/>
      <c r="GF446" s="104">
        <f t="shared" si="242"/>
        <v>2014</v>
      </c>
      <c r="GG446" s="104">
        <f t="shared" si="243"/>
        <v>36</v>
      </c>
      <c r="GH446" s="35">
        <v>41886</v>
      </c>
      <c r="GI446" s="26">
        <v>4.095</v>
      </c>
      <c r="GJ446" s="94">
        <f t="shared" si="244"/>
        <v>8.19</v>
      </c>
      <c r="GK446" s="104"/>
      <c r="GL446" s="104"/>
      <c r="GO446" s="94"/>
    </row>
    <row r="447" spans="3:197">
      <c r="C447" s="80" t="str" cm="1">
        <f t="array" ref="C447">_xlfn.IFS(MONTH(D447)&lt;4,1,MONTH(D447)&lt;7,2,MONTH(D447)&lt;10,3,MONTH(D447)&gt;9,4)&amp;"Q"&amp;RIGHT(YEAR(D447),2)</f>
        <v>4Q17</v>
      </c>
      <c r="D447" s="81">
        <f t="shared" si="237"/>
        <v>43039</v>
      </c>
      <c r="E447" s="82">
        <f t="shared" si="233"/>
        <v>43035</v>
      </c>
      <c r="F447" s="83">
        <f t="shared" si="236"/>
        <v>1.19175</v>
      </c>
      <c r="G447" s="83">
        <f t="shared" si="236"/>
        <v>0.91375</v>
      </c>
      <c r="H447" s="81"/>
      <c r="I447" s="146">
        <v>43035</v>
      </c>
      <c r="J447" s="147">
        <v>9.6</v>
      </c>
      <c r="K447" s="147">
        <v>9.45</v>
      </c>
      <c r="L447" s="147">
        <v>9.534</v>
      </c>
      <c r="M447" s="94" cm="1">
        <f t="array" ref="M447">INDEX($BV$29:$BV$1449,MATCH($D447,$BR$29:$BR$1449,0),)</f>
        <v>7.31</v>
      </c>
      <c r="N447" s="150">
        <f t="shared" si="218"/>
        <v>0.00336771206061881</v>
      </c>
      <c r="O447" s="150">
        <f t="shared" si="219"/>
        <v>-0.0171134020618555</v>
      </c>
      <c r="P447" s="150">
        <f t="shared" si="217"/>
        <v>0.0473470284521587</v>
      </c>
      <c r="Q447" s="89">
        <f t="shared" si="220"/>
        <v>0.304240766073872</v>
      </c>
      <c r="AH447" s="105">
        <f t="shared" si="234"/>
        <v>45712</v>
      </c>
      <c r="AI447" s="151">
        <f t="shared" si="222"/>
        <v>1.449</v>
      </c>
      <c r="AJ447" s="57">
        <f t="shared" si="245"/>
        <v>0</v>
      </c>
      <c r="AK447" s="36">
        <f t="shared" si="238"/>
        <v>-0.00137835975189526</v>
      </c>
      <c r="AL447" s="105">
        <f t="shared" si="235"/>
        <v>45712</v>
      </c>
      <c r="AM447" s="151">
        <f t="shared" si="230"/>
        <v>4.822</v>
      </c>
      <c r="AN447" s="57">
        <f t="shared" si="246"/>
        <v>0.0085756117966953</v>
      </c>
      <c r="AO447" s="36">
        <f t="shared" si="231"/>
        <v>0.0244316974718506</v>
      </c>
      <c r="AP447" s="36"/>
      <c r="FV447" s="104">
        <f t="shared" si="239"/>
        <v>2012</v>
      </c>
      <c r="FW447" s="104">
        <f t="shared" si="240"/>
        <v>22</v>
      </c>
      <c r="FX447" s="35">
        <v>41058</v>
      </c>
      <c r="FY447" s="26">
        <v>1.05</v>
      </c>
      <c r="FZ447" s="94">
        <f t="shared" si="241"/>
        <v>4.2</v>
      </c>
      <c r="GA447" s="104"/>
      <c r="GB447" s="104"/>
      <c r="GE447" s="94"/>
      <c r="GF447" s="104">
        <f t="shared" si="242"/>
        <v>2014</v>
      </c>
      <c r="GG447" s="104">
        <f t="shared" si="243"/>
        <v>36</v>
      </c>
      <c r="GH447" s="35">
        <v>41887</v>
      </c>
      <c r="GI447" s="26">
        <v>4.095</v>
      </c>
      <c r="GJ447" s="94">
        <f t="shared" si="244"/>
        <v>8.19</v>
      </c>
      <c r="GK447" s="104"/>
      <c r="GL447" s="104"/>
      <c r="GO447" s="94"/>
    </row>
    <row r="448" spans="3:197">
      <c r="C448" s="80" t="str" cm="1">
        <f t="array" ref="C448">_xlfn.IFS(MONTH(D448)&lt;4,1,MONTH(D448)&lt;7,2,MONTH(D448)&lt;10,3,MONTH(D448)&gt;9,4)&amp;"Q"&amp;RIGHT(YEAR(D448),2)</f>
        <v>4Q17</v>
      </c>
      <c r="D448" s="81">
        <f t="shared" si="237"/>
        <v>43039</v>
      </c>
      <c r="E448" s="82">
        <f t="shared" si="233"/>
        <v>43038</v>
      </c>
      <c r="F448" s="83">
        <f t="shared" si="236"/>
        <v>1.19425</v>
      </c>
      <c r="G448" s="83">
        <f t="shared" si="236"/>
        <v>0.91375</v>
      </c>
      <c r="H448" s="81"/>
      <c r="I448" s="146">
        <v>43038</v>
      </c>
      <c r="J448" s="147">
        <v>9.7</v>
      </c>
      <c r="K448" s="147">
        <v>9.45</v>
      </c>
      <c r="L448" s="147">
        <v>9.554</v>
      </c>
      <c r="M448" s="94" cm="1">
        <f t="array" ref="M448">INDEX($BV$29:$BV$1449,MATCH($D448,$BR$29:$BR$1449,0),)</f>
        <v>7.31</v>
      </c>
      <c r="N448" s="150">
        <f t="shared" si="218"/>
        <v>0.00209775540172008</v>
      </c>
      <c r="O448" s="150">
        <f t="shared" si="219"/>
        <v>-0.0150515463917524</v>
      </c>
      <c r="P448" s="150">
        <f t="shared" ref="P448:P511" si="247">L448/L438-1</f>
        <v>0.0367878459034183</v>
      </c>
      <c r="Q448" s="89">
        <f t="shared" si="220"/>
        <v>0.306976744186047</v>
      </c>
      <c r="AH448" s="105">
        <f t="shared" si="234"/>
        <v>45719</v>
      </c>
      <c r="AI448" s="151">
        <f t="shared" si="222"/>
        <v>1.445</v>
      </c>
      <c r="AJ448" s="57">
        <f t="shared" si="245"/>
        <v>-0.00276052449965491</v>
      </c>
      <c r="AK448" s="36">
        <f t="shared" si="238"/>
        <v>-0.00276052449965491</v>
      </c>
      <c r="AL448" s="105">
        <f t="shared" si="235"/>
        <v>45719</v>
      </c>
      <c r="AM448" s="151">
        <f t="shared" si="230"/>
        <v>4.929</v>
      </c>
      <c r="AN448" s="57">
        <f t="shared" si="246"/>
        <v>0.0221899626710909</v>
      </c>
      <c r="AO448" s="36">
        <f t="shared" si="231"/>
        <v>0.0309558669734367</v>
      </c>
      <c r="AP448" s="36"/>
      <c r="FV448" s="104">
        <f t="shared" si="239"/>
        <v>2012</v>
      </c>
      <c r="FW448" s="104">
        <f t="shared" si="240"/>
        <v>22</v>
      </c>
      <c r="FX448" s="35">
        <v>41059</v>
      </c>
      <c r="FY448" s="26">
        <v>1.05</v>
      </c>
      <c r="FZ448" s="94">
        <f t="shared" si="241"/>
        <v>4.2</v>
      </c>
      <c r="GA448" s="104"/>
      <c r="GB448" s="104"/>
      <c r="GE448" s="94"/>
      <c r="GF448" s="104">
        <f t="shared" si="242"/>
        <v>2014</v>
      </c>
      <c r="GG448" s="104">
        <f t="shared" si="243"/>
        <v>37</v>
      </c>
      <c r="GH448" s="35">
        <v>41891</v>
      </c>
      <c r="GI448" s="26">
        <v>4.095</v>
      </c>
      <c r="GJ448" s="94">
        <f t="shared" si="244"/>
        <v>8.19</v>
      </c>
      <c r="GK448" s="104"/>
      <c r="GL448" s="104"/>
      <c r="GO448" s="94"/>
    </row>
    <row r="449" spans="3:197">
      <c r="C449" s="80" t="str" cm="1">
        <f t="array" ref="C449">_xlfn.IFS(MONTH(D449)&lt;4,1,MONTH(D449)&lt;7,2,MONTH(D449)&lt;10,3,MONTH(D449)&gt;9,4)&amp;"Q"&amp;RIGHT(YEAR(D449),2)</f>
        <v>4Q17</v>
      </c>
      <c r="D449" s="81">
        <f t="shared" si="237"/>
        <v>43039</v>
      </c>
      <c r="E449" s="82">
        <f t="shared" si="233"/>
        <v>43039</v>
      </c>
      <c r="F449" s="83">
        <f t="shared" si="236"/>
        <v>1.196625</v>
      </c>
      <c r="G449" s="83">
        <f t="shared" si="236"/>
        <v>0.91375</v>
      </c>
      <c r="H449" s="81"/>
      <c r="I449" s="146">
        <v>43039</v>
      </c>
      <c r="J449" s="147">
        <v>9.7</v>
      </c>
      <c r="K449" s="147">
        <v>9.45</v>
      </c>
      <c r="L449" s="147">
        <v>9.573</v>
      </c>
      <c r="M449" s="94" cm="1">
        <f t="array" ref="M449">INDEX($BV$29:$BV$1449,MATCH($D449,$BR$29:$BR$1449,0),)</f>
        <v>7.31</v>
      </c>
      <c r="N449" s="150">
        <f t="shared" ref="N449:N512" si="248">L449/L448-1</f>
        <v>0.00198869583420569</v>
      </c>
      <c r="O449" s="150">
        <f t="shared" ref="O449:O512" si="249">L449/L444-1</f>
        <v>-0.00343535290443464</v>
      </c>
      <c r="P449" s="150">
        <f t="shared" si="247"/>
        <v>0.02112</v>
      </c>
      <c r="Q449" s="89">
        <f t="shared" ref="Q449:Q512" si="250">L449/M449-1</f>
        <v>0.309575923392613</v>
      </c>
      <c r="AH449" s="105">
        <f t="shared" si="234"/>
        <v>45726</v>
      </c>
      <c r="AI449" s="151">
        <f t="shared" si="222"/>
        <v>1.449</v>
      </c>
      <c r="AJ449" s="57">
        <f t="shared" si="245"/>
        <v>0.00276816608996544</v>
      </c>
      <c r="AK449" s="36">
        <f t="shared" si="238"/>
        <v>0</v>
      </c>
      <c r="AL449" s="105">
        <f t="shared" si="235"/>
        <v>45726</v>
      </c>
      <c r="AM449" s="151">
        <f t="shared" si="230"/>
        <v>5.025</v>
      </c>
      <c r="AN449" s="57">
        <f t="shared" si="246"/>
        <v>0.0194765672550212</v>
      </c>
      <c r="AO449" s="36">
        <f t="shared" si="231"/>
        <v>0.0420987142264622</v>
      </c>
      <c r="AP449" s="36"/>
      <c r="FV449" s="104">
        <f t="shared" si="239"/>
        <v>2012</v>
      </c>
      <c r="FW449" s="104">
        <f t="shared" si="240"/>
        <v>22</v>
      </c>
      <c r="FX449" s="35">
        <v>41060</v>
      </c>
      <c r="FY449" s="26">
        <v>1.04</v>
      </c>
      <c r="FZ449" s="94">
        <f t="shared" si="241"/>
        <v>4.16</v>
      </c>
      <c r="GA449" s="104"/>
      <c r="GB449" s="104"/>
      <c r="GE449" s="94"/>
      <c r="GF449" s="104">
        <f t="shared" si="242"/>
        <v>2014</v>
      </c>
      <c r="GG449" s="104">
        <f t="shared" si="243"/>
        <v>37</v>
      </c>
      <c r="GH449" s="35">
        <v>41892</v>
      </c>
      <c r="GI449" s="26">
        <v>4.089</v>
      </c>
      <c r="GJ449" s="94">
        <f t="shared" si="244"/>
        <v>8.178</v>
      </c>
      <c r="GK449" s="104"/>
      <c r="GL449" s="104"/>
      <c r="GO449" s="94"/>
    </row>
    <row r="450" spans="3:197">
      <c r="C450" s="80" t="str" cm="1">
        <f t="array" ref="C450">_xlfn.IFS(MONTH(D450)&lt;4,1,MONTH(D450)&lt;7,2,MONTH(D450)&lt;10,3,MONTH(D450)&gt;9,4)&amp;"Q"&amp;RIGHT(YEAR(D450),2)</f>
        <v>4Q17</v>
      </c>
      <c r="D450" s="81">
        <f t="shared" si="237"/>
        <v>43069</v>
      </c>
      <c r="E450" s="82">
        <f t="shared" si="233"/>
        <v>43040</v>
      </c>
      <c r="F450" s="83">
        <f t="shared" si="236"/>
        <v>1.197</v>
      </c>
      <c r="G450" s="83">
        <f t="shared" si="236"/>
        <v>0.9375</v>
      </c>
      <c r="H450" s="81"/>
      <c r="I450" s="146">
        <v>43040</v>
      </c>
      <c r="J450" s="147">
        <v>9.7</v>
      </c>
      <c r="K450" s="147">
        <v>9.45</v>
      </c>
      <c r="L450" s="147">
        <v>9.576</v>
      </c>
      <c r="M450" s="94" cm="1">
        <f t="array" ref="M450">INDEX($BV$29:$BV$1449,MATCH($D450,$BR$29:$BR$1449,0),)</f>
        <v>7.5</v>
      </c>
      <c r="N450" s="150">
        <f t="shared" si="248"/>
        <v>0.000313381385145695</v>
      </c>
      <c r="O450" s="150">
        <f t="shared" si="249"/>
        <v>0.0037735849056606</v>
      </c>
      <c r="P450" s="150">
        <f t="shared" si="247"/>
        <v>0.00906217070600634</v>
      </c>
      <c r="Q450" s="89">
        <f t="shared" si="250"/>
        <v>0.2768</v>
      </c>
      <c r="AH450" s="105">
        <f t="shared" si="234"/>
        <v>45733</v>
      </c>
      <c r="AI450" s="151">
        <f t="shared" si="222"/>
        <v>1.48</v>
      </c>
      <c r="AJ450" s="57">
        <f t="shared" si="245"/>
        <v>0.0213940648723256</v>
      </c>
      <c r="AK450" s="36">
        <f t="shared" si="238"/>
        <v>0.0242214532871972</v>
      </c>
      <c r="AL450" s="105">
        <f t="shared" si="235"/>
        <v>45733</v>
      </c>
      <c r="AM450" s="151">
        <f t="shared" si="230"/>
        <v>5.088</v>
      </c>
      <c r="AN450" s="57">
        <f t="shared" si="246"/>
        <v>0.0125373134328357</v>
      </c>
      <c r="AO450" s="36">
        <f t="shared" si="231"/>
        <v>0.032258064516129</v>
      </c>
      <c r="AP450" s="36"/>
      <c r="FV450" s="104">
        <f t="shared" si="239"/>
        <v>2012</v>
      </c>
      <c r="FW450" s="104">
        <f t="shared" si="240"/>
        <v>22</v>
      </c>
      <c r="FX450" s="35">
        <v>41061</v>
      </c>
      <c r="FY450" s="26">
        <v>1.04</v>
      </c>
      <c r="FZ450" s="94">
        <f t="shared" si="241"/>
        <v>4.16</v>
      </c>
      <c r="GA450" s="104"/>
      <c r="GB450" s="104"/>
      <c r="GE450" s="94"/>
      <c r="GF450" s="104">
        <f t="shared" si="242"/>
        <v>2014</v>
      </c>
      <c r="GG450" s="104">
        <f t="shared" si="243"/>
        <v>37</v>
      </c>
      <c r="GH450" s="35">
        <v>41893</v>
      </c>
      <c r="GI450" s="26">
        <v>4.089</v>
      </c>
      <c r="GJ450" s="94">
        <f t="shared" si="244"/>
        <v>8.178</v>
      </c>
      <c r="GK450" s="104"/>
      <c r="GL450" s="104"/>
      <c r="GO450" s="94"/>
    </row>
    <row r="451" spans="3:197">
      <c r="C451" s="80" t="str" cm="1">
        <f t="array" ref="C451">_xlfn.IFS(MONTH(D451)&lt;4,1,MONTH(D451)&lt;7,2,MONTH(D451)&lt;10,3,MONTH(D451)&gt;9,4)&amp;"Q"&amp;RIGHT(YEAR(D451),2)</f>
        <v>4Q17</v>
      </c>
      <c r="D451" s="81">
        <f t="shared" si="237"/>
        <v>43069</v>
      </c>
      <c r="E451" s="82">
        <f t="shared" si="233"/>
        <v>43041</v>
      </c>
      <c r="F451" s="83">
        <f t="shared" si="236"/>
        <v>1.204375</v>
      </c>
      <c r="G451" s="83">
        <f t="shared" si="236"/>
        <v>0.9375</v>
      </c>
      <c r="H451" s="81"/>
      <c r="I451" s="146">
        <v>43041</v>
      </c>
      <c r="J451" s="147">
        <v>9.75</v>
      </c>
      <c r="K451" s="147">
        <v>9.48</v>
      </c>
      <c r="L451" s="147">
        <v>9.635</v>
      </c>
      <c r="M451" s="94" cm="1">
        <f t="array" ref="M451">INDEX($BV$29:$BV$1449,MATCH($D451,$BR$29:$BR$1449,0),)</f>
        <v>7.5</v>
      </c>
      <c r="N451" s="150">
        <f t="shared" si="248"/>
        <v>0.00616123642439415</v>
      </c>
      <c r="O451" s="150">
        <f t="shared" si="249"/>
        <v>0.0139970532519469</v>
      </c>
      <c r="P451" s="150">
        <f t="shared" si="247"/>
        <v>0.0142105263157895</v>
      </c>
      <c r="Q451" s="89">
        <f t="shared" si="250"/>
        <v>0.284666666666667</v>
      </c>
      <c r="AH451" s="105">
        <f t="shared" si="234"/>
        <v>45740</v>
      </c>
      <c r="AI451" s="151">
        <f t="shared" ref="AI451:AI513" si="251">IFERROR(VLOOKUP(AH451,$I:$L,4,FALSE),VLOOKUP(AH451,$I:$L,4,TRUE))</f>
        <v>1.546</v>
      </c>
      <c r="AJ451" s="57">
        <f t="shared" si="245"/>
        <v>0.0445945945945947</v>
      </c>
      <c r="AK451" s="36">
        <f t="shared" si="238"/>
        <v>0.0669427191166321</v>
      </c>
      <c r="AL451" s="105">
        <f t="shared" si="235"/>
        <v>45740</v>
      </c>
      <c r="AM451" s="151">
        <f t="shared" si="230"/>
        <v>5.188</v>
      </c>
      <c r="AN451" s="57">
        <f t="shared" si="246"/>
        <v>0.0196540880503144</v>
      </c>
      <c r="AO451" s="36">
        <f t="shared" si="231"/>
        <v>0.0324378109452734</v>
      </c>
      <c r="AP451" s="36"/>
      <c r="FV451" s="104">
        <f t="shared" si="239"/>
        <v>2012</v>
      </c>
      <c r="FW451" s="104">
        <f t="shared" si="240"/>
        <v>22</v>
      </c>
      <c r="FX451" s="35">
        <v>41062</v>
      </c>
      <c r="FY451" s="26">
        <v>1.04</v>
      </c>
      <c r="FZ451" s="94">
        <f t="shared" si="241"/>
        <v>4.16</v>
      </c>
      <c r="GA451" s="104"/>
      <c r="GB451" s="104"/>
      <c r="GE451" s="94"/>
      <c r="GF451" s="104">
        <f t="shared" si="242"/>
        <v>2014</v>
      </c>
      <c r="GG451" s="104">
        <f t="shared" si="243"/>
        <v>37</v>
      </c>
      <c r="GH451" s="35">
        <v>41894</v>
      </c>
      <c r="GI451" s="26">
        <v>4.058</v>
      </c>
      <c r="GJ451" s="94">
        <f t="shared" si="244"/>
        <v>8.116</v>
      </c>
      <c r="GK451" s="104"/>
      <c r="GL451" s="104"/>
      <c r="GO451" s="94"/>
    </row>
    <row r="452" spans="3:197">
      <c r="C452" s="80" t="str" cm="1">
        <f t="array" ref="C452">_xlfn.IFS(MONTH(D452)&lt;4,1,MONTH(D452)&lt;7,2,MONTH(D452)&lt;10,3,MONTH(D452)&gt;9,4)&amp;"Q"&amp;RIGHT(YEAR(D452),2)</f>
        <v>4Q17</v>
      </c>
      <c r="D452" s="81">
        <f t="shared" si="237"/>
        <v>43069</v>
      </c>
      <c r="E452" s="82">
        <f t="shared" si="233"/>
        <v>43042</v>
      </c>
      <c r="F452" s="83">
        <f t="shared" si="236"/>
        <v>1.20725</v>
      </c>
      <c r="G452" s="83">
        <f t="shared" si="236"/>
        <v>0.9375</v>
      </c>
      <c r="H452" s="81"/>
      <c r="I452" s="146">
        <v>43042</v>
      </c>
      <c r="J452" s="147">
        <v>9.75</v>
      </c>
      <c r="K452" s="147">
        <v>9.48</v>
      </c>
      <c r="L452" s="147">
        <v>9.658</v>
      </c>
      <c r="M452" s="94" cm="1">
        <f t="array" ref="M452">INDEX($BV$29:$BV$1449,MATCH($D452,$BR$29:$BR$1449,0),)</f>
        <v>7.5</v>
      </c>
      <c r="N452" s="150">
        <f t="shared" si="248"/>
        <v>0.00238713025428128</v>
      </c>
      <c r="O452" s="150">
        <f t="shared" si="249"/>
        <v>0.0130060834906649</v>
      </c>
      <c r="P452" s="150">
        <f t="shared" si="247"/>
        <v>-0.00432989690721652</v>
      </c>
      <c r="Q452" s="89">
        <f t="shared" si="250"/>
        <v>0.287733333333333</v>
      </c>
      <c r="AH452" s="105">
        <f t="shared" si="234"/>
        <v>45747</v>
      </c>
      <c r="AI452" s="151">
        <f t="shared" si="251"/>
        <v>1.633</v>
      </c>
      <c r="AJ452" s="57">
        <f t="shared" si="245"/>
        <v>0.0562742561448901</v>
      </c>
      <c r="AK452" s="36">
        <f t="shared" si="238"/>
        <v>0.103378378378378</v>
      </c>
      <c r="AL452" s="105">
        <f t="shared" si="235"/>
        <v>45747</v>
      </c>
      <c r="AM452" s="151">
        <f t="shared" si="230"/>
        <v>5.32</v>
      </c>
      <c r="AN452" s="57">
        <f t="shared" si="246"/>
        <v>0.0254433307633</v>
      </c>
      <c r="AO452" s="36">
        <f t="shared" si="231"/>
        <v>0.0455974842767295</v>
      </c>
      <c r="AP452" s="36"/>
      <c r="FV452" s="104">
        <f t="shared" si="239"/>
        <v>2012</v>
      </c>
      <c r="FW452" s="104">
        <f t="shared" si="240"/>
        <v>23</v>
      </c>
      <c r="FX452" s="35">
        <v>41063</v>
      </c>
      <c r="FY452" s="26">
        <v>1.04</v>
      </c>
      <c r="FZ452" s="94">
        <f t="shared" si="241"/>
        <v>4.16</v>
      </c>
      <c r="GA452" s="104"/>
      <c r="GB452" s="104"/>
      <c r="GE452" s="94"/>
      <c r="GF452" s="104">
        <f t="shared" si="242"/>
        <v>2014</v>
      </c>
      <c r="GG452" s="104">
        <f t="shared" si="243"/>
        <v>38</v>
      </c>
      <c r="GH452" s="35">
        <v>41897</v>
      </c>
      <c r="GI452" s="26">
        <v>4.036</v>
      </c>
      <c r="GJ452" s="94">
        <f t="shared" si="244"/>
        <v>8.072</v>
      </c>
      <c r="GK452" s="104"/>
      <c r="GL452" s="104"/>
      <c r="GO452" s="94"/>
    </row>
    <row r="453" spans="3:197">
      <c r="C453" s="80" t="str" cm="1">
        <f t="array" ref="C453">_xlfn.IFS(MONTH(D453)&lt;4,1,MONTH(D453)&lt;7,2,MONTH(D453)&lt;10,3,MONTH(D453)&gt;9,4)&amp;"Q"&amp;RIGHT(YEAR(D453),2)</f>
        <v>4Q17</v>
      </c>
      <c r="D453" s="81">
        <f t="shared" si="237"/>
        <v>43069</v>
      </c>
      <c r="E453" s="82">
        <f t="shared" si="233"/>
        <v>43045</v>
      </c>
      <c r="F453" s="83">
        <f t="shared" si="236"/>
        <v>1.207625</v>
      </c>
      <c r="G453" s="83">
        <f t="shared" si="236"/>
        <v>0.9375</v>
      </c>
      <c r="H453" s="81"/>
      <c r="I453" s="146">
        <v>43045</v>
      </c>
      <c r="J453" s="147">
        <v>9.75</v>
      </c>
      <c r="K453" s="147">
        <v>9.48</v>
      </c>
      <c r="L453" s="147">
        <v>9.661</v>
      </c>
      <c r="M453" s="94" cm="1">
        <f t="array" ref="M453">INDEX($BV$29:$BV$1449,MATCH($D453,$BR$29:$BR$1449,0),)</f>
        <v>7.5</v>
      </c>
      <c r="N453" s="150">
        <f t="shared" si="248"/>
        <v>0.000310623317457015</v>
      </c>
      <c r="O453" s="150">
        <f t="shared" si="249"/>
        <v>0.0111994975926313</v>
      </c>
      <c r="P453" s="150">
        <f t="shared" si="247"/>
        <v>-0.00402061855670099</v>
      </c>
      <c r="Q453" s="89">
        <f t="shared" si="250"/>
        <v>0.288133333333333</v>
      </c>
      <c r="AH453" s="105">
        <f t="shared" si="234"/>
        <v>45754</v>
      </c>
      <c r="AI453" s="151">
        <f t="shared" si="251"/>
        <v>1.652</v>
      </c>
      <c r="AJ453" s="57">
        <f t="shared" si="245"/>
        <v>0.0116350275566441</v>
      </c>
      <c r="AK453" s="36">
        <f t="shared" si="238"/>
        <v>0.0685640362225097</v>
      </c>
      <c r="AL453" s="105">
        <f t="shared" si="235"/>
        <v>45754</v>
      </c>
      <c r="AM453" s="151">
        <f t="shared" si="230"/>
        <v>5.343</v>
      </c>
      <c r="AN453" s="57">
        <f t="shared" si="246"/>
        <v>0.00432330827067662</v>
      </c>
      <c r="AO453" s="36">
        <f t="shared" si="231"/>
        <v>0.0298766383962992</v>
      </c>
      <c r="AP453" s="36"/>
      <c r="FV453" s="104">
        <f t="shared" si="239"/>
        <v>2012</v>
      </c>
      <c r="FW453" s="104">
        <f t="shared" si="240"/>
        <v>23</v>
      </c>
      <c r="FX453" s="35">
        <v>41064</v>
      </c>
      <c r="FY453" s="26">
        <v>1.04</v>
      </c>
      <c r="FZ453" s="94">
        <f t="shared" si="241"/>
        <v>4.16</v>
      </c>
      <c r="GA453" s="104"/>
      <c r="GB453" s="104"/>
      <c r="GE453" s="94"/>
      <c r="GF453" s="104">
        <f t="shared" si="242"/>
        <v>2014</v>
      </c>
      <c r="GG453" s="104">
        <f t="shared" si="243"/>
        <v>38</v>
      </c>
      <c r="GH453" s="35">
        <v>41898</v>
      </c>
      <c r="GI453" s="26">
        <v>4.002</v>
      </c>
      <c r="GJ453" s="94">
        <f t="shared" si="244"/>
        <v>8.004</v>
      </c>
      <c r="GK453" s="104"/>
      <c r="GL453" s="104"/>
      <c r="GO453" s="94"/>
    </row>
    <row r="454" spans="3:197">
      <c r="C454" s="80" t="str" cm="1">
        <f t="array" ref="C454">_xlfn.IFS(MONTH(D454)&lt;4,1,MONTH(D454)&lt;7,2,MONTH(D454)&lt;10,3,MONTH(D454)&gt;9,4)&amp;"Q"&amp;RIGHT(YEAR(D454),2)</f>
        <v>4Q17</v>
      </c>
      <c r="D454" s="81">
        <f t="shared" si="237"/>
        <v>43069</v>
      </c>
      <c r="E454" s="82">
        <f t="shared" si="233"/>
        <v>43046</v>
      </c>
      <c r="F454" s="83">
        <f t="shared" si="236"/>
        <v>1.208</v>
      </c>
      <c r="G454" s="83">
        <f t="shared" si="236"/>
        <v>0.9375</v>
      </c>
      <c r="H454" s="81"/>
      <c r="I454" s="146">
        <v>43046</v>
      </c>
      <c r="J454" s="147">
        <v>9.75</v>
      </c>
      <c r="K454" s="147">
        <v>9.45</v>
      </c>
      <c r="L454" s="147">
        <v>9.664</v>
      </c>
      <c r="M454" s="94" cm="1">
        <f t="array" ref="M454">INDEX($BV$29:$BV$1449,MATCH($D454,$BR$29:$BR$1449,0),)</f>
        <v>7.5</v>
      </c>
      <c r="N454" s="150">
        <f t="shared" si="248"/>
        <v>0.000310526860573423</v>
      </c>
      <c r="O454" s="150">
        <f t="shared" si="249"/>
        <v>0.00950590201608681</v>
      </c>
      <c r="P454" s="150">
        <f t="shared" si="247"/>
        <v>0.00603789298355184</v>
      </c>
      <c r="Q454" s="89">
        <f t="shared" si="250"/>
        <v>0.288533333333333</v>
      </c>
      <c r="AH454" s="105">
        <f t="shared" si="234"/>
        <v>45761</v>
      </c>
      <c r="AI454" s="151">
        <f t="shared" si="251"/>
        <v>1.666</v>
      </c>
      <c r="AJ454" s="57">
        <f t="shared" si="245"/>
        <v>0.00847457627118642</v>
      </c>
      <c r="AK454" s="36">
        <f t="shared" si="238"/>
        <v>0.0202082057562767</v>
      </c>
      <c r="AL454" s="105">
        <f t="shared" si="235"/>
        <v>45761</v>
      </c>
      <c r="AM454" s="151">
        <f t="shared" si="230"/>
        <v>5.316</v>
      </c>
      <c r="AN454" s="57">
        <f t="shared" si="246"/>
        <v>-0.00505334081976416</v>
      </c>
      <c r="AO454" s="36">
        <f t="shared" si="231"/>
        <v>-0.00075187969924817</v>
      </c>
      <c r="AP454" s="36"/>
      <c r="FV454" s="104">
        <f t="shared" si="239"/>
        <v>2012</v>
      </c>
      <c r="FW454" s="104">
        <f t="shared" si="240"/>
        <v>23</v>
      </c>
      <c r="FX454" s="35">
        <v>41065</v>
      </c>
      <c r="FY454" s="26">
        <v>1.04</v>
      </c>
      <c r="FZ454" s="94">
        <f t="shared" si="241"/>
        <v>4.16</v>
      </c>
      <c r="GA454" s="104"/>
      <c r="GB454" s="104"/>
      <c r="GE454" s="94"/>
      <c r="GF454" s="104">
        <f t="shared" si="242"/>
        <v>2014</v>
      </c>
      <c r="GG454" s="104">
        <f t="shared" si="243"/>
        <v>38</v>
      </c>
      <c r="GH454" s="35">
        <v>41899</v>
      </c>
      <c r="GI454" s="26">
        <v>3.967</v>
      </c>
      <c r="GJ454" s="94">
        <f t="shared" si="244"/>
        <v>7.934</v>
      </c>
      <c r="GK454" s="104"/>
      <c r="GL454" s="104"/>
      <c r="GO454" s="94"/>
    </row>
    <row r="455" spans="3:197">
      <c r="C455" s="80" t="str" cm="1">
        <f t="array" ref="C455">_xlfn.IFS(MONTH(D455)&lt;4,1,MONTH(D455)&lt;7,2,MONTH(D455)&lt;10,3,MONTH(D455)&gt;9,4)&amp;"Q"&amp;RIGHT(YEAR(D455),2)</f>
        <v>4Q17</v>
      </c>
      <c r="D455" s="81">
        <f t="shared" si="237"/>
        <v>43069</v>
      </c>
      <c r="E455" s="82">
        <f t="shared" si="233"/>
        <v>43047</v>
      </c>
      <c r="F455" s="83">
        <f t="shared" si="236"/>
        <v>1.2</v>
      </c>
      <c r="G455" s="83">
        <f t="shared" si="236"/>
        <v>0.9375</v>
      </c>
      <c r="H455" s="81"/>
      <c r="I455" s="146">
        <v>43047</v>
      </c>
      <c r="J455" s="147">
        <v>9.75</v>
      </c>
      <c r="K455" s="147">
        <v>9.44</v>
      </c>
      <c r="L455" s="147">
        <v>9.6</v>
      </c>
      <c r="M455" s="94" cm="1">
        <f t="array" ref="M455">INDEX($BV$29:$BV$1449,MATCH($D455,$BR$29:$BR$1449,0),)</f>
        <v>7.5</v>
      </c>
      <c r="N455" s="150">
        <f t="shared" si="248"/>
        <v>-0.00662251655629142</v>
      </c>
      <c r="O455" s="150">
        <f t="shared" si="249"/>
        <v>0.00250626566416035</v>
      </c>
      <c r="P455" s="150">
        <f t="shared" si="247"/>
        <v>0.00628930817610063</v>
      </c>
      <c r="Q455" s="89">
        <f t="shared" si="250"/>
        <v>0.28</v>
      </c>
      <c r="AH455" s="105">
        <f t="shared" si="234"/>
        <v>45768</v>
      </c>
      <c r="AI455" s="151">
        <f t="shared" si="251"/>
        <v>1.705</v>
      </c>
      <c r="AJ455" s="57">
        <f t="shared" si="245"/>
        <v>0.0234093637454982</v>
      </c>
      <c r="AK455" s="36">
        <f t="shared" si="238"/>
        <v>0.032082324455206</v>
      </c>
      <c r="AL455" s="105">
        <f t="shared" si="235"/>
        <v>45768</v>
      </c>
      <c r="AM455" s="151">
        <f t="shared" si="230"/>
        <v>5.44</v>
      </c>
      <c r="AN455" s="57">
        <f t="shared" si="246"/>
        <v>0.0233258088788564</v>
      </c>
      <c r="AO455" s="36">
        <f t="shared" si="231"/>
        <v>0.0181545947969306</v>
      </c>
      <c r="AP455" s="36"/>
      <c r="FV455" s="104">
        <f t="shared" si="239"/>
        <v>2012</v>
      </c>
      <c r="FW455" s="104">
        <f t="shared" si="240"/>
        <v>23</v>
      </c>
      <c r="FX455" s="35">
        <v>41066</v>
      </c>
      <c r="FY455" s="26">
        <v>1.04</v>
      </c>
      <c r="FZ455" s="94">
        <f t="shared" si="241"/>
        <v>4.16</v>
      </c>
      <c r="GA455" s="104"/>
      <c r="GB455" s="104"/>
      <c r="GE455" s="94"/>
      <c r="GF455" s="104">
        <f t="shared" si="242"/>
        <v>2014</v>
      </c>
      <c r="GG455" s="104">
        <f t="shared" si="243"/>
        <v>38</v>
      </c>
      <c r="GH455" s="35">
        <v>41900</v>
      </c>
      <c r="GI455" s="26">
        <v>3.946</v>
      </c>
      <c r="GJ455" s="94">
        <f t="shared" si="244"/>
        <v>7.892</v>
      </c>
      <c r="GK455" s="104"/>
      <c r="GL455" s="104"/>
      <c r="GO455" s="94"/>
    </row>
    <row r="456" spans="3:197">
      <c r="C456" s="80" t="str" cm="1">
        <f t="array" ref="C456">_xlfn.IFS(MONTH(D456)&lt;4,1,MONTH(D456)&lt;7,2,MONTH(D456)&lt;10,3,MONTH(D456)&gt;9,4)&amp;"Q"&amp;RIGHT(YEAR(D456),2)</f>
        <v>4Q17</v>
      </c>
      <c r="D456" s="81">
        <f t="shared" si="237"/>
        <v>43069</v>
      </c>
      <c r="E456" s="82">
        <f t="shared" si="233"/>
        <v>43048</v>
      </c>
      <c r="F456" s="83">
        <f t="shared" si="236"/>
        <v>1.1975</v>
      </c>
      <c r="G456" s="83">
        <f t="shared" si="236"/>
        <v>0.9375</v>
      </c>
      <c r="H456" s="81"/>
      <c r="I456" s="146">
        <v>43048</v>
      </c>
      <c r="J456" s="147">
        <v>9.75</v>
      </c>
      <c r="K456" s="147">
        <v>9.44</v>
      </c>
      <c r="L456" s="147">
        <v>9.58</v>
      </c>
      <c r="M456" s="94" cm="1">
        <f t="array" ref="M456">INDEX($BV$29:$BV$1449,MATCH($D456,$BR$29:$BR$1449,0),)</f>
        <v>7.5</v>
      </c>
      <c r="N456" s="150">
        <f t="shared" si="248"/>
        <v>-0.00208333333333333</v>
      </c>
      <c r="O456" s="150">
        <f t="shared" si="249"/>
        <v>-0.00570835495588995</v>
      </c>
      <c r="P456" s="150">
        <f t="shared" si="247"/>
        <v>0.00820879814775832</v>
      </c>
      <c r="Q456" s="89">
        <f t="shared" si="250"/>
        <v>0.277333333333333</v>
      </c>
      <c r="AH456" s="105">
        <f t="shared" si="234"/>
        <v>45775</v>
      </c>
      <c r="AI456" s="151">
        <f t="shared" si="251"/>
        <v>1.753</v>
      </c>
      <c r="AJ456" s="57">
        <f t="shared" si="245"/>
        <v>0.0281524926686216</v>
      </c>
      <c r="AK456" s="36">
        <f t="shared" si="238"/>
        <v>0.0522208883553421</v>
      </c>
      <c r="AL456" s="105">
        <f t="shared" si="235"/>
        <v>45775</v>
      </c>
      <c r="AM456" s="151">
        <f t="shared" si="230"/>
        <v>5.526</v>
      </c>
      <c r="AN456" s="57">
        <f t="shared" si="246"/>
        <v>0.0158088235294116</v>
      </c>
      <c r="AO456" s="36">
        <f t="shared" si="231"/>
        <v>0.0395033860045146</v>
      </c>
      <c r="AP456" s="36"/>
      <c r="FV456" s="104">
        <f t="shared" si="239"/>
        <v>2012</v>
      </c>
      <c r="FW456" s="104">
        <f t="shared" si="240"/>
        <v>23</v>
      </c>
      <c r="FX456" s="35">
        <v>41067</v>
      </c>
      <c r="FY456" s="26">
        <v>1.04</v>
      </c>
      <c r="FZ456" s="94">
        <f t="shared" si="241"/>
        <v>4.16</v>
      </c>
      <c r="GA456" s="104"/>
      <c r="GB456" s="104"/>
      <c r="GE456" s="94"/>
      <c r="GF456" s="104">
        <f t="shared" si="242"/>
        <v>2014</v>
      </c>
      <c r="GG456" s="104">
        <f t="shared" si="243"/>
        <v>38</v>
      </c>
      <c r="GH456" s="35">
        <v>41901</v>
      </c>
      <c r="GI456" s="26">
        <v>3.911</v>
      </c>
      <c r="GJ456" s="94">
        <f t="shared" si="244"/>
        <v>7.822</v>
      </c>
      <c r="GK456" s="104"/>
      <c r="GL456" s="104"/>
      <c r="GO456" s="94"/>
    </row>
    <row r="457" spans="3:197">
      <c r="C457" s="80" t="str" cm="1">
        <f t="array" ref="C457">_xlfn.IFS(MONTH(D457)&lt;4,1,MONTH(D457)&lt;7,2,MONTH(D457)&lt;10,3,MONTH(D457)&gt;9,4)&amp;"Q"&amp;RIGHT(YEAR(D457),2)</f>
        <v>4Q17</v>
      </c>
      <c r="D457" s="81">
        <f t="shared" si="237"/>
        <v>43069</v>
      </c>
      <c r="E457" s="82">
        <f t="shared" si="233"/>
        <v>43049</v>
      </c>
      <c r="F457" s="83">
        <f t="shared" si="236"/>
        <v>1.192375</v>
      </c>
      <c r="G457" s="83">
        <f t="shared" si="236"/>
        <v>0.9375</v>
      </c>
      <c r="H457" s="81"/>
      <c r="I457" s="146">
        <v>43049</v>
      </c>
      <c r="J457" s="147">
        <v>9.75</v>
      </c>
      <c r="K457" s="147">
        <v>9.44</v>
      </c>
      <c r="L457" s="147">
        <v>9.539</v>
      </c>
      <c r="M457" s="94" cm="1">
        <f t="array" ref="M457">INDEX($BV$29:$BV$1449,MATCH($D457,$BR$29:$BR$1449,0),)</f>
        <v>7.5</v>
      </c>
      <c r="N457" s="150">
        <f t="shared" si="248"/>
        <v>-0.00427974947807941</v>
      </c>
      <c r="O457" s="150">
        <f t="shared" si="249"/>
        <v>-0.0123213915924621</v>
      </c>
      <c r="P457" s="150">
        <f t="shared" si="247"/>
        <v>0.000524438850429965</v>
      </c>
      <c r="Q457" s="89">
        <f t="shared" si="250"/>
        <v>0.271866666666667</v>
      </c>
      <c r="AH457" s="105">
        <f t="shared" si="234"/>
        <v>45782</v>
      </c>
      <c r="AI457" s="151">
        <f t="shared" si="251"/>
        <v>1.854</v>
      </c>
      <c r="AJ457" s="57">
        <f t="shared" si="245"/>
        <v>0.0576155162578438</v>
      </c>
      <c r="AK457" s="36">
        <f t="shared" si="238"/>
        <v>0.0873900293255132</v>
      </c>
      <c r="AL457" s="105">
        <f t="shared" si="235"/>
        <v>45782</v>
      </c>
      <c r="AM457" s="151">
        <f t="shared" si="230"/>
        <v>5.524</v>
      </c>
      <c r="AN457" s="57">
        <f t="shared" si="246"/>
        <v>-0.000361925443358668</v>
      </c>
      <c r="AO457" s="36">
        <f t="shared" si="231"/>
        <v>0.0154411764705882</v>
      </c>
      <c r="AP457" s="36"/>
      <c r="FV457" s="104">
        <f t="shared" si="239"/>
        <v>2012</v>
      </c>
      <c r="FW457" s="104">
        <f t="shared" si="240"/>
        <v>23</v>
      </c>
      <c r="FX457" s="35">
        <v>41068</v>
      </c>
      <c r="FY457" s="26">
        <v>1.04</v>
      </c>
      <c r="FZ457" s="94">
        <f t="shared" si="241"/>
        <v>4.16</v>
      </c>
      <c r="GA457" s="104"/>
      <c r="GB457" s="104"/>
      <c r="GE457" s="94"/>
      <c r="GF457" s="104">
        <f t="shared" si="242"/>
        <v>2014</v>
      </c>
      <c r="GG457" s="104">
        <f t="shared" si="243"/>
        <v>39</v>
      </c>
      <c r="GH457" s="35">
        <v>41904</v>
      </c>
      <c r="GI457" s="26">
        <v>3.901</v>
      </c>
      <c r="GJ457" s="94">
        <f t="shared" si="244"/>
        <v>7.802</v>
      </c>
      <c r="GK457" s="104"/>
      <c r="GL457" s="104"/>
      <c r="GO457" s="94"/>
    </row>
    <row r="458" spans="3:197">
      <c r="C458" s="80" t="str" cm="1">
        <f t="array" ref="C458">_xlfn.IFS(MONTH(D458)&lt;4,1,MONTH(D458)&lt;7,2,MONTH(D458)&lt;10,3,MONTH(D458)&gt;9,4)&amp;"Q"&amp;RIGHT(YEAR(D458),2)</f>
        <v>4Q17</v>
      </c>
      <c r="D458" s="81">
        <f t="shared" si="237"/>
        <v>43069</v>
      </c>
      <c r="E458" s="82">
        <f t="shared" si="233"/>
        <v>43052</v>
      </c>
      <c r="F458" s="83">
        <f t="shared" si="236"/>
        <v>1.189125</v>
      </c>
      <c r="G458" s="83">
        <f t="shared" si="236"/>
        <v>0.9375</v>
      </c>
      <c r="H458" s="81"/>
      <c r="I458" s="146">
        <v>43052</v>
      </c>
      <c r="J458" s="147">
        <v>9.7</v>
      </c>
      <c r="K458" s="147">
        <v>9.44</v>
      </c>
      <c r="L458" s="147">
        <v>9.513</v>
      </c>
      <c r="M458" s="94" cm="1">
        <f t="array" ref="M458">INDEX($BV$29:$BV$1449,MATCH($D458,$BR$29:$BR$1449,0),)</f>
        <v>7.5</v>
      </c>
      <c r="N458" s="150">
        <f t="shared" si="248"/>
        <v>-0.00272565258412827</v>
      </c>
      <c r="O458" s="150">
        <f t="shared" si="249"/>
        <v>-0.015319325121623</v>
      </c>
      <c r="P458" s="150">
        <f t="shared" si="247"/>
        <v>-0.00429139627381203</v>
      </c>
      <c r="Q458" s="89">
        <f t="shared" si="250"/>
        <v>0.2684</v>
      </c>
      <c r="AH458" s="105">
        <f t="shared" si="234"/>
        <v>45789</v>
      </c>
      <c r="AI458" s="151">
        <f t="shared" si="251"/>
        <v>2.064</v>
      </c>
      <c r="AJ458" s="57">
        <f t="shared" si="245"/>
        <v>0.113268608414239</v>
      </c>
      <c r="AK458" s="36">
        <f t="shared" si="238"/>
        <v>0.177410154021677</v>
      </c>
      <c r="AL458" s="105">
        <f t="shared" si="235"/>
        <v>45789</v>
      </c>
      <c r="AM458" s="151">
        <f t="shared" si="230"/>
        <v>5.522</v>
      </c>
      <c r="AN458" s="57">
        <f t="shared" si="246"/>
        <v>-0.000362056480811002</v>
      </c>
      <c r="AO458" s="36">
        <f t="shared" si="231"/>
        <v>-0.000723850886717226</v>
      </c>
      <c r="AP458" s="36"/>
      <c r="FV458" s="104">
        <f t="shared" si="239"/>
        <v>2012</v>
      </c>
      <c r="FW458" s="104">
        <f t="shared" si="240"/>
        <v>23</v>
      </c>
      <c r="FX458" s="35">
        <v>41069</v>
      </c>
      <c r="FY458" s="26">
        <v>1.04</v>
      </c>
      <c r="FZ458" s="94">
        <f t="shared" si="241"/>
        <v>4.16</v>
      </c>
      <c r="GA458" s="104"/>
      <c r="GB458" s="104"/>
      <c r="GE458" s="94"/>
      <c r="GF458" s="104">
        <f t="shared" si="242"/>
        <v>2014</v>
      </c>
      <c r="GG458" s="104">
        <f t="shared" si="243"/>
        <v>39</v>
      </c>
      <c r="GH458" s="35">
        <v>41905</v>
      </c>
      <c r="GI458" s="26">
        <v>3.896</v>
      </c>
      <c r="GJ458" s="94">
        <f t="shared" si="244"/>
        <v>7.792</v>
      </c>
      <c r="GK458" s="104"/>
      <c r="GL458" s="104"/>
      <c r="GO458" s="94"/>
    </row>
    <row r="459" spans="3:197">
      <c r="C459" s="80" t="str" cm="1">
        <f t="array" ref="C459">_xlfn.IFS(MONTH(D459)&lt;4,1,MONTH(D459)&lt;7,2,MONTH(D459)&lt;10,3,MONTH(D459)&gt;9,4)&amp;"Q"&amp;RIGHT(YEAR(D459),2)</f>
        <v>4Q17</v>
      </c>
      <c r="D459" s="81">
        <f t="shared" si="237"/>
        <v>43069</v>
      </c>
      <c r="E459" s="82">
        <f t="shared" si="233"/>
        <v>43053</v>
      </c>
      <c r="F459" s="83">
        <f t="shared" si="236"/>
        <v>1.18875</v>
      </c>
      <c r="G459" s="83">
        <f t="shared" si="236"/>
        <v>0.9375</v>
      </c>
      <c r="H459" s="81"/>
      <c r="I459" s="146">
        <v>43053</v>
      </c>
      <c r="J459" s="147">
        <v>9.7</v>
      </c>
      <c r="K459" s="147">
        <v>9.44</v>
      </c>
      <c r="L459" s="147">
        <v>9.51</v>
      </c>
      <c r="M459" s="94" cm="1">
        <f t="array" ref="M459">INDEX($BV$29:$BV$1449,MATCH($D459,$BR$29:$BR$1449,0),)</f>
        <v>7.5</v>
      </c>
      <c r="N459" s="150">
        <f t="shared" si="248"/>
        <v>-0.000315357931252036</v>
      </c>
      <c r="O459" s="150">
        <f t="shared" si="249"/>
        <v>-0.0159354304635762</v>
      </c>
      <c r="P459" s="150">
        <f t="shared" si="247"/>
        <v>-0.00658100908806025</v>
      </c>
      <c r="Q459" s="89">
        <f t="shared" si="250"/>
        <v>0.268</v>
      </c>
      <c r="AH459" s="105">
        <f t="shared" si="234"/>
        <v>45796</v>
      </c>
      <c r="AI459" s="151">
        <f t="shared" si="251"/>
        <v>2.138</v>
      </c>
      <c r="AJ459" s="57">
        <f t="shared" si="245"/>
        <v>0.0358527131782944</v>
      </c>
      <c r="AK459" s="36">
        <f t="shared" si="238"/>
        <v>0.153182308522114</v>
      </c>
      <c r="AL459" s="105">
        <f t="shared" si="235"/>
        <v>45796</v>
      </c>
      <c r="AM459" s="151">
        <f t="shared" si="230"/>
        <v>5.489</v>
      </c>
      <c r="AN459" s="57">
        <f t="shared" si="246"/>
        <v>-0.00597609561752999</v>
      </c>
      <c r="AO459" s="36">
        <f t="shared" si="231"/>
        <v>-0.00633598841419269</v>
      </c>
      <c r="AP459" s="36"/>
      <c r="FV459" s="104">
        <f t="shared" si="239"/>
        <v>2012</v>
      </c>
      <c r="FW459" s="104">
        <f t="shared" si="240"/>
        <v>24</v>
      </c>
      <c r="FX459" s="35">
        <v>41070</v>
      </c>
      <c r="FY459" s="26">
        <v>1.04</v>
      </c>
      <c r="FZ459" s="94">
        <f t="shared" si="241"/>
        <v>4.16</v>
      </c>
      <c r="GA459" s="104"/>
      <c r="GB459" s="104"/>
      <c r="GE459" s="94"/>
      <c r="GF459" s="104">
        <f t="shared" si="242"/>
        <v>2014</v>
      </c>
      <c r="GG459" s="104">
        <f t="shared" si="243"/>
        <v>39</v>
      </c>
      <c r="GH459" s="35">
        <v>41906</v>
      </c>
      <c r="GI459" s="26">
        <v>3.896</v>
      </c>
      <c r="GJ459" s="94">
        <f t="shared" si="244"/>
        <v>7.792</v>
      </c>
      <c r="GK459" s="104"/>
      <c r="GL459" s="104"/>
      <c r="GO459" s="94"/>
    </row>
    <row r="460" spans="3:197">
      <c r="C460" s="80" t="str" cm="1">
        <f t="array" ref="C460">_xlfn.IFS(MONTH(D460)&lt;4,1,MONTH(D460)&lt;7,2,MONTH(D460)&lt;10,3,MONTH(D460)&gt;9,4)&amp;"Q"&amp;RIGHT(YEAR(D460),2)</f>
        <v>4Q17</v>
      </c>
      <c r="D460" s="81">
        <f t="shared" si="237"/>
        <v>43069</v>
      </c>
      <c r="E460" s="82">
        <f t="shared" si="233"/>
        <v>43054</v>
      </c>
      <c r="F460" s="83">
        <f t="shared" si="236"/>
        <v>1.188</v>
      </c>
      <c r="G460" s="83">
        <f t="shared" si="236"/>
        <v>0.9375</v>
      </c>
      <c r="H460" s="81"/>
      <c r="I460" s="146">
        <v>43054</v>
      </c>
      <c r="J460" s="147">
        <v>9.65</v>
      </c>
      <c r="K460" s="147">
        <v>9.44</v>
      </c>
      <c r="L460" s="147">
        <v>9.504</v>
      </c>
      <c r="M460" s="94" cm="1">
        <f t="array" ref="M460">INDEX($BV$29:$BV$1449,MATCH($D460,$BR$29:$BR$1449,0),)</f>
        <v>7.5</v>
      </c>
      <c r="N460" s="150">
        <f t="shared" si="248"/>
        <v>-0.000630914826498463</v>
      </c>
      <c r="O460" s="150">
        <f t="shared" si="249"/>
        <v>-0.01</v>
      </c>
      <c r="P460" s="150">
        <f t="shared" si="247"/>
        <v>-0.00751879699248126</v>
      </c>
      <c r="Q460" s="89">
        <f t="shared" si="250"/>
        <v>0.2672</v>
      </c>
      <c r="AH460" s="105">
        <f t="shared" si="234"/>
        <v>45803</v>
      </c>
      <c r="AI460" s="151">
        <f t="shared" si="251"/>
        <v>2.386</v>
      </c>
      <c r="AJ460" s="57">
        <f t="shared" si="245"/>
        <v>0.11599625818522</v>
      </c>
      <c r="AK460" s="36">
        <f t="shared" si="238"/>
        <v>0.156007751937985</v>
      </c>
      <c r="AL460" s="105">
        <f t="shared" si="235"/>
        <v>45803</v>
      </c>
      <c r="AM460" s="151">
        <f t="shared" si="230"/>
        <v>5.511</v>
      </c>
      <c r="AN460" s="57">
        <f t="shared" si="246"/>
        <v>0.00400801603206413</v>
      </c>
      <c r="AO460" s="36">
        <f t="shared" si="231"/>
        <v>-0.00199203187250996</v>
      </c>
      <c r="AP460" s="36"/>
      <c r="FV460" s="104">
        <f t="shared" si="239"/>
        <v>2012</v>
      </c>
      <c r="FW460" s="104">
        <f t="shared" si="240"/>
        <v>24</v>
      </c>
      <c r="FX460" s="35">
        <v>41071</v>
      </c>
      <c r="FY460" s="26">
        <v>1.03</v>
      </c>
      <c r="FZ460" s="94">
        <f t="shared" si="241"/>
        <v>4.12</v>
      </c>
      <c r="GA460" s="104"/>
      <c r="GB460" s="104"/>
      <c r="GE460" s="94"/>
      <c r="GF460" s="104">
        <f t="shared" si="242"/>
        <v>2014</v>
      </c>
      <c r="GG460" s="104">
        <f t="shared" si="243"/>
        <v>39</v>
      </c>
      <c r="GH460" s="35">
        <v>41907</v>
      </c>
      <c r="GI460" s="26">
        <v>3.895</v>
      </c>
      <c r="GJ460" s="94">
        <f t="shared" si="244"/>
        <v>7.79</v>
      </c>
      <c r="GK460" s="104"/>
      <c r="GL460" s="104"/>
      <c r="GO460" s="94"/>
    </row>
    <row r="461" spans="3:197">
      <c r="C461" s="80" t="str" cm="1">
        <f t="array" ref="C461">_xlfn.IFS(MONTH(D461)&lt;4,1,MONTH(D461)&lt;7,2,MONTH(D461)&lt;10,3,MONTH(D461)&gt;9,4)&amp;"Q"&amp;RIGHT(YEAR(D461),2)</f>
        <v>4Q17</v>
      </c>
      <c r="D461" s="81">
        <f t="shared" si="237"/>
        <v>43069</v>
      </c>
      <c r="E461" s="82">
        <f t="shared" si="233"/>
        <v>43055</v>
      </c>
      <c r="F461" s="83">
        <f t="shared" si="236"/>
        <v>1.18775</v>
      </c>
      <c r="G461" s="83">
        <f t="shared" si="236"/>
        <v>0.9375</v>
      </c>
      <c r="H461" s="81"/>
      <c r="I461" s="146">
        <v>43055</v>
      </c>
      <c r="J461" s="147">
        <v>9.65</v>
      </c>
      <c r="K461" s="147">
        <v>9.4</v>
      </c>
      <c r="L461" s="147">
        <v>9.502</v>
      </c>
      <c r="M461" s="94" cm="1">
        <f t="array" ref="M461">INDEX($BV$29:$BV$1449,MATCH($D461,$BR$29:$BR$1449,0),)</f>
        <v>7.5</v>
      </c>
      <c r="N461" s="150">
        <f t="shared" si="248"/>
        <v>-0.000210437710437605</v>
      </c>
      <c r="O461" s="150">
        <f t="shared" si="249"/>
        <v>-0.00814196242171183</v>
      </c>
      <c r="P461" s="150">
        <f t="shared" si="247"/>
        <v>-0.0138038401660612</v>
      </c>
      <c r="Q461" s="89">
        <f t="shared" si="250"/>
        <v>0.266933333333333</v>
      </c>
      <c r="AH461" s="105">
        <f t="shared" si="234"/>
        <v>45810</v>
      </c>
      <c r="AI461" s="151">
        <f t="shared" si="251"/>
        <v>2.783</v>
      </c>
      <c r="AJ461" s="57">
        <f t="shared" si="245"/>
        <v>0.166387259010897</v>
      </c>
      <c r="AK461" s="36">
        <f t="shared" si="238"/>
        <v>0.301683816651076</v>
      </c>
      <c r="AL461" s="105">
        <f t="shared" si="235"/>
        <v>45810</v>
      </c>
      <c r="AM461" s="151">
        <f t="shared" si="230"/>
        <v>5.561</v>
      </c>
      <c r="AN461" s="57">
        <f t="shared" si="246"/>
        <v>0.00907276356378151</v>
      </c>
      <c r="AO461" s="36">
        <f t="shared" si="231"/>
        <v>0.0131171433776645</v>
      </c>
      <c r="AP461" s="36"/>
      <c r="FV461" s="104">
        <f t="shared" si="239"/>
        <v>2012</v>
      </c>
      <c r="FW461" s="104">
        <f t="shared" si="240"/>
        <v>24</v>
      </c>
      <c r="FX461" s="35">
        <v>41072</v>
      </c>
      <c r="FY461" s="26">
        <v>1.03</v>
      </c>
      <c r="FZ461" s="94">
        <f t="shared" si="241"/>
        <v>4.12</v>
      </c>
      <c r="GA461" s="104"/>
      <c r="GB461" s="104"/>
      <c r="GE461" s="94"/>
      <c r="GF461" s="104">
        <f t="shared" si="242"/>
        <v>2014</v>
      </c>
      <c r="GG461" s="104">
        <f t="shared" si="243"/>
        <v>39</v>
      </c>
      <c r="GH461" s="35">
        <v>41908</v>
      </c>
      <c r="GI461" s="26">
        <v>3.893</v>
      </c>
      <c r="GJ461" s="94">
        <f t="shared" si="244"/>
        <v>7.786</v>
      </c>
      <c r="GK461" s="104"/>
      <c r="GL461" s="104"/>
      <c r="GO461" s="94"/>
    </row>
    <row r="462" spans="3:197">
      <c r="C462" s="80" t="str" cm="1">
        <f t="array" ref="C462">_xlfn.IFS(MONTH(D462)&lt;4,1,MONTH(D462)&lt;7,2,MONTH(D462)&lt;10,3,MONTH(D462)&gt;9,4)&amp;"Q"&amp;RIGHT(YEAR(D462),2)</f>
        <v>4Q17</v>
      </c>
      <c r="D462" s="81">
        <f t="shared" si="237"/>
        <v>43069</v>
      </c>
      <c r="E462" s="82">
        <f t="shared" si="233"/>
        <v>43056</v>
      </c>
      <c r="F462" s="83">
        <f t="shared" si="236"/>
        <v>1.187375</v>
      </c>
      <c r="G462" s="83">
        <f t="shared" si="236"/>
        <v>0.9375</v>
      </c>
      <c r="H462" s="81"/>
      <c r="I462" s="146">
        <v>43056</v>
      </c>
      <c r="J462" s="147">
        <v>9.65</v>
      </c>
      <c r="K462" s="147">
        <v>9.4</v>
      </c>
      <c r="L462" s="147">
        <v>9.499</v>
      </c>
      <c r="M462" s="94" cm="1">
        <f t="array" ref="M462">INDEX($BV$29:$BV$1449,MATCH($D462,$BR$29:$BR$1449,0),)</f>
        <v>7.5</v>
      </c>
      <c r="N462" s="150">
        <f t="shared" si="248"/>
        <v>-0.000315723005683055</v>
      </c>
      <c r="O462" s="150">
        <f t="shared" si="249"/>
        <v>-0.00419331166788961</v>
      </c>
      <c r="P462" s="150">
        <f t="shared" si="247"/>
        <v>-0.0164630358252225</v>
      </c>
      <c r="Q462" s="89">
        <f t="shared" si="250"/>
        <v>0.266533333333334</v>
      </c>
      <c r="AH462" s="105">
        <f t="shared" si="234"/>
        <v>45817</v>
      </c>
      <c r="AI462" s="151">
        <f t="shared" si="251"/>
        <v>3.243</v>
      </c>
      <c r="AJ462" s="57">
        <f t="shared" si="245"/>
        <v>0.165289256198347</v>
      </c>
      <c r="AK462" s="36">
        <f t="shared" si="238"/>
        <v>0.359178541492037</v>
      </c>
      <c r="AL462" s="105">
        <f t="shared" si="235"/>
        <v>45817</v>
      </c>
      <c r="AM462" s="151">
        <f t="shared" si="230"/>
        <v>5.711</v>
      </c>
      <c r="AN462" s="57">
        <f t="shared" si="246"/>
        <v>0.0269735659054127</v>
      </c>
      <c r="AO462" s="36">
        <f t="shared" si="231"/>
        <v>0.0362910542551262</v>
      </c>
      <c r="AP462" s="36"/>
      <c r="FV462" s="104">
        <f t="shared" si="239"/>
        <v>2012</v>
      </c>
      <c r="FW462" s="104">
        <f t="shared" si="240"/>
        <v>24</v>
      </c>
      <c r="FX462" s="35">
        <v>41073</v>
      </c>
      <c r="FY462" s="26">
        <v>1.03</v>
      </c>
      <c r="FZ462" s="94">
        <f t="shared" si="241"/>
        <v>4.12</v>
      </c>
      <c r="GA462" s="104"/>
      <c r="GB462" s="104"/>
      <c r="GE462" s="94"/>
      <c r="GF462" s="104">
        <f t="shared" si="242"/>
        <v>2014</v>
      </c>
      <c r="GG462" s="104">
        <f t="shared" si="243"/>
        <v>40</v>
      </c>
      <c r="GH462" s="35">
        <v>41911</v>
      </c>
      <c r="GI462" s="26">
        <v>3.887</v>
      </c>
      <c r="GJ462" s="94">
        <f t="shared" si="244"/>
        <v>7.774</v>
      </c>
      <c r="GK462" s="104"/>
      <c r="GL462" s="104"/>
      <c r="GO462" s="94"/>
    </row>
    <row r="463" spans="3:197">
      <c r="C463" s="80" t="str" cm="1">
        <f t="array" ref="C463">_xlfn.IFS(MONTH(D463)&lt;4,1,MONTH(D463)&lt;7,2,MONTH(D463)&lt;10,3,MONTH(D463)&gt;9,4)&amp;"Q"&amp;RIGHT(YEAR(D463),2)</f>
        <v>4Q17</v>
      </c>
      <c r="D463" s="81">
        <f t="shared" si="237"/>
        <v>43069</v>
      </c>
      <c r="E463" s="82">
        <f t="shared" si="233"/>
        <v>43059</v>
      </c>
      <c r="F463" s="83">
        <f t="shared" si="236"/>
        <v>1.188375</v>
      </c>
      <c r="G463" s="83">
        <f t="shared" si="236"/>
        <v>0.9375</v>
      </c>
      <c r="H463" s="81"/>
      <c r="I463" s="146">
        <v>43059</v>
      </c>
      <c r="J463" s="147">
        <v>9.65</v>
      </c>
      <c r="K463" s="147">
        <v>9.4</v>
      </c>
      <c r="L463" s="147">
        <v>9.507</v>
      </c>
      <c r="M463" s="94" cm="1">
        <f t="array" ref="M463">INDEX($BV$29:$BV$1449,MATCH($D463,$BR$29:$BR$1449,0),)</f>
        <v>7.5</v>
      </c>
      <c r="N463" s="150">
        <f t="shared" si="248"/>
        <v>0.000842193915148837</v>
      </c>
      <c r="O463" s="150">
        <f t="shared" si="249"/>
        <v>-0.000630715862503961</v>
      </c>
      <c r="P463" s="150">
        <f t="shared" si="247"/>
        <v>-0.0159403788427699</v>
      </c>
      <c r="Q463" s="89">
        <f t="shared" si="250"/>
        <v>0.2676</v>
      </c>
      <c r="AH463" s="105">
        <f t="shared" si="234"/>
        <v>45824</v>
      </c>
      <c r="AI463" s="151">
        <f t="shared" si="251"/>
        <v>4.017</v>
      </c>
      <c r="AJ463" s="57">
        <f t="shared" si="245"/>
        <v>0.238667900092507</v>
      </c>
      <c r="AK463" s="36">
        <f t="shared" si="238"/>
        <v>0.443406395975566</v>
      </c>
      <c r="AL463" s="105">
        <f t="shared" si="235"/>
        <v>45824</v>
      </c>
      <c r="AM463" s="151">
        <f t="shared" si="230"/>
        <v>5.901</v>
      </c>
      <c r="AN463" s="57">
        <f t="shared" si="246"/>
        <v>0.0332691297496059</v>
      </c>
      <c r="AO463" s="36">
        <f t="shared" si="231"/>
        <v>0.0611400827189355</v>
      </c>
      <c r="AP463" s="36"/>
      <c r="FV463" s="104">
        <f t="shared" si="239"/>
        <v>2012</v>
      </c>
      <c r="FW463" s="104">
        <f t="shared" si="240"/>
        <v>24</v>
      </c>
      <c r="FX463" s="35">
        <v>41074</v>
      </c>
      <c r="FY463" s="26">
        <v>1.03</v>
      </c>
      <c r="FZ463" s="94">
        <f t="shared" si="241"/>
        <v>4.12</v>
      </c>
      <c r="GA463" s="104"/>
      <c r="GB463" s="104"/>
      <c r="GE463" s="94"/>
      <c r="GF463" s="104">
        <f t="shared" si="242"/>
        <v>2014</v>
      </c>
      <c r="GG463" s="104">
        <f t="shared" si="243"/>
        <v>40</v>
      </c>
      <c r="GH463" s="35">
        <v>41912</v>
      </c>
      <c r="GI463" s="26">
        <v>3.874</v>
      </c>
      <c r="GJ463" s="94">
        <f t="shared" si="244"/>
        <v>7.748</v>
      </c>
      <c r="GK463" s="104"/>
      <c r="GL463" s="104"/>
      <c r="GO463" s="94"/>
    </row>
    <row r="464" spans="3:197">
      <c r="C464" s="80" t="str" cm="1">
        <f t="array" ref="C464">_xlfn.IFS(MONTH(D464)&lt;4,1,MONTH(D464)&lt;7,2,MONTH(D464)&lt;10,3,MONTH(D464)&gt;9,4)&amp;"Q"&amp;RIGHT(YEAR(D464),2)</f>
        <v>4Q17</v>
      </c>
      <c r="D464" s="81">
        <f t="shared" si="237"/>
        <v>43069</v>
      </c>
      <c r="E464" s="82">
        <f t="shared" si="233"/>
        <v>43060</v>
      </c>
      <c r="F464" s="83">
        <f t="shared" si="236"/>
        <v>1.18525</v>
      </c>
      <c r="G464" s="83">
        <f t="shared" si="236"/>
        <v>0.9375</v>
      </c>
      <c r="H464" s="81"/>
      <c r="I464" s="146">
        <v>43060</v>
      </c>
      <c r="J464" s="147">
        <v>9.65</v>
      </c>
      <c r="K464" s="147">
        <v>9.4</v>
      </c>
      <c r="L464" s="147">
        <v>9.482</v>
      </c>
      <c r="M464" s="94" cm="1">
        <f t="array" ref="M464">INDEX($BV$29:$BV$1449,MATCH($D464,$BR$29:$BR$1449,0),)</f>
        <v>7.5</v>
      </c>
      <c r="N464" s="150">
        <f t="shared" si="248"/>
        <v>-0.00262964131692445</v>
      </c>
      <c r="O464" s="150">
        <f t="shared" si="249"/>
        <v>-0.00294426919032598</v>
      </c>
      <c r="P464" s="150">
        <f t="shared" si="247"/>
        <v>-0.0188327814569537</v>
      </c>
      <c r="Q464" s="89">
        <f t="shared" si="250"/>
        <v>0.264266666666667</v>
      </c>
      <c r="AH464" s="105">
        <f t="shared" si="234"/>
        <v>45831</v>
      </c>
      <c r="AI464" s="151">
        <f t="shared" si="251"/>
        <v>5.2</v>
      </c>
      <c r="AJ464" s="57">
        <f t="shared" si="245"/>
        <v>0.294498381877023</v>
      </c>
      <c r="AK464" s="36">
        <f t="shared" si="238"/>
        <v>0.60345359235276</v>
      </c>
      <c r="AL464" s="105">
        <f t="shared" si="235"/>
        <v>45831</v>
      </c>
      <c r="AM464" s="151">
        <f t="shared" ref="AM464:AM513" si="252">IFERROR(VLOOKUP(AL464,$W:$Z,4,FALSE),VLOOKUP(AL464,$W:$Z,4,TRUE))</f>
        <v>6.014</v>
      </c>
      <c r="AN464" s="57">
        <f t="shared" si="246"/>
        <v>0.019149296729368</v>
      </c>
      <c r="AO464" s="36">
        <f t="shared" si="231"/>
        <v>0.0530555069164769</v>
      </c>
      <c r="AP464" s="36"/>
      <c r="FV464" s="104">
        <f t="shared" si="239"/>
        <v>2012</v>
      </c>
      <c r="FW464" s="104">
        <f t="shared" si="240"/>
        <v>24</v>
      </c>
      <c r="FX464" s="35">
        <v>41075</v>
      </c>
      <c r="FY464" s="26">
        <v>1.03</v>
      </c>
      <c r="FZ464" s="94">
        <f t="shared" si="241"/>
        <v>4.12</v>
      </c>
      <c r="GA464" s="104"/>
      <c r="GB464" s="104"/>
      <c r="GE464" s="94"/>
      <c r="GF464" s="104">
        <f t="shared" si="242"/>
        <v>2014</v>
      </c>
      <c r="GG464" s="104">
        <f t="shared" si="243"/>
        <v>40</v>
      </c>
      <c r="GH464" s="35">
        <v>41913</v>
      </c>
      <c r="GI464" s="26">
        <v>3.867</v>
      </c>
      <c r="GJ464" s="94">
        <f t="shared" si="244"/>
        <v>7.734</v>
      </c>
      <c r="GK464" s="104"/>
      <c r="GL464" s="104"/>
      <c r="GO464" s="94"/>
    </row>
    <row r="465" spans="3:197">
      <c r="C465" s="80" t="str" cm="1">
        <f t="array" ref="C465">_xlfn.IFS(MONTH(D465)&lt;4,1,MONTH(D465)&lt;7,2,MONTH(D465)&lt;10,3,MONTH(D465)&gt;9,4)&amp;"Q"&amp;RIGHT(YEAR(D465),2)</f>
        <v>4Q17</v>
      </c>
      <c r="D465" s="81">
        <f t="shared" si="237"/>
        <v>43069</v>
      </c>
      <c r="E465" s="82">
        <f t="shared" si="233"/>
        <v>43061</v>
      </c>
      <c r="F465" s="83">
        <f t="shared" si="236"/>
        <v>1.196875</v>
      </c>
      <c r="G465" s="83">
        <f t="shared" si="236"/>
        <v>0.9375</v>
      </c>
      <c r="H465" s="81"/>
      <c r="I465" s="146">
        <v>43061</v>
      </c>
      <c r="J465" s="147">
        <v>9.65</v>
      </c>
      <c r="K465" s="147">
        <v>9.45</v>
      </c>
      <c r="L465" s="147">
        <v>9.575</v>
      </c>
      <c r="M465" s="94" cm="1">
        <f t="array" ref="M465">INDEX($BV$29:$BV$1449,MATCH($D465,$BR$29:$BR$1449,0),)</f>
        <v>7.5</v>
      </c>
      <c r="N465" s="150">
        <f t="shared" si="248"/>
        <v>0.00980805737186241</v>
      </c>
      <c r="O465" s="150">
        <f t="shared" si="249"/>
        <v>0.00747053872053871</v>
      </c>
      <c r="P465" s="150">
        <f t="shared" si="247"/>
        <v>-0.00260416666666674</v>
      </c>
      <c r="Q465" s="89">
        <f t="shared" si="250"/>
        <v>0.276666666666667</v>
      </c>
      <c r="AH465" s="105">
        <f t="shared" si="234"/>
        <v>45838</v>
      </c>
      <c r="AI465" s="151">
        <f t="shared" si="251"/>
        <v>5.075</v>
      </c>
      <c r="AJ465" s="57">
        <f t="shared" si="245"/>
        <v>-0.0240384615384616</v>
      </c>
      <c r="AK465" s="36">
        <f t="shared" si="238"/>
        <v>0.263380632312671</v>
      </c>
      <c r="AL465" s="105">
        <f t="shared" si="235"/>
        <v>45838</v>
      </c>
      <c r="AM465" s="151">
        <f t="shared" si="252"/>
        <v>6.078</v>
      </c>
      <c r="AN465" s="57">
        <f t="shared" si="246"/>
        <v>0.0106418357166611</v>
      </c>
      <c r="AO465" s="36">
        <f t="shared" si="231"/>
        <v>0.0299949161159125</v>
      </c>
      <c r="AP465" s="36"/>
      <c r="FV465" s="104">
        <f t="shared" si="239"/>
        <v>2012</v>
      </c>
      <c r="FW465" s="104">
        <f t="shared" si="240"/>
        <v>24</v>
      </c>
      <c r="FX465" s="35">
        <v>41076</v>
      </c>
      <c r="FY465" s="26">
        <v>1.03</v>
      </c>
      <c r="FZ465" s="94">
        <f t="shared" si="241"/>
        <v>4.12</v>
      </c>
      <c r="GA465" s="104"/>
      <c r="GB465" s="104"/>
      <c r="GE465" s="94"/>
      <c r="GF465" s="104">
        <f t="shared" si="242"/>
        <v>2014</v>
      </c>
      <c r="GG465" s="104">
        <f t="shared" si="243"/>
        <v>40</v>
      </c>
      <c r="GH465" s="35">
        <v>41914</v>
      </c>
      <c r="GI465" s="26">
        <v>3.867</v>
      </c>
      <c r="GJ465" s="94">
        <f t="shared" si="244"/>
        <v>7.734</v>
      </c>
      <c r="GK465" s="104"/>
      <c r="GL465" s="104"/>
      <c r="GO465" s="94"/>
    </row>
    <row r="466" spans="3:197">
      <c r="C466" s="80" t="str" cm="1">
        <f t="array" ref="C466">_xlfn.IFS(MONTH(D466)&lt;4,1,MONTH(D466)&lt;7,2,MONTH(D466)&lt;10,3,MONTH(D466)&gt;9,4)&amp;"Q"&amp;RIGHT(YEAR(D466),2)</f>
        <v>4Q17</v>
      </c>
      <c r="D466" s="81">
        <f t="shared" si="237"/>
        <v>43069</v>
      </c>
      <c r="E466" s="82">
        <f t="shared" si="233"/>
        <v>43062</v>
      </c>
      <c r="F466" s="83">
        <f t="shared" si="236"/>
        <v>1.197</v>
      </c>
      <c r="G466" s="83">
        <f t="shared" si="236"/>
        <v>0.9375</v>
      </c>
      <c r="H466" s="81"/>
      <c r="I466" s="146">
        <v>43062</v>
      </c>
      <c r="J466" s="147">
        <v>9.7</v>
      </c>
      <c r="K466" s="147">
        <v>9.4</v>
      </c>
      <c r="L466" s="147">
        <v>9.576</v>
      </c>
      <c r="M466" s="94" cm="1">
        <f t="array" ref="M466">INDEX($BV$29:$BV$1449,MATCH($D466,$BR$29:$BR$1449,0),)</f>
        <v>7.5</v>
      </c>
      <c r="N466" s="150">
        <f t="shared" si="248"/>
        <v>0.0001044386422977</v>
      </c>
      <c r="O466" s="150">
        <f t="shared" si="249"/>
        <v>0.00778783414018092</v>
      </c>
      <c r="P466" s="150">
        <f t="shared" si="247"/>
        <v>-0.000417536534446761</v>
      </c>
      <c r="Q466" s="89">
        <f t="shared" si="250"/>
        <v>0.2768</v>
      </c>
      <c r="AH466" s="105">
        <f t="shared" si="234"/>
        <v>45845</v>
      </c>
      <c r="AI466" s="151">
        <f t="shared" si="251"/>
        <v>5.02</v>
      </c>
      <c r="AJ466" s="57">
        <f t="shared" si="245"/>
        <v>-0.0108374384236455</v>
      </c>
      <c r="AK466" s="36">
        <f t="shared" si="238"/>
        <v>-0.0346153846153847</v>
      </c>
      <c r="AL466" s="105">
        <f t="shared" si="235"/>
        <v>45845</v>
      </c>
      <c r="AM466" s="151">
        <f t="shared" si="252"/>
        <v>6.095</v>
      </c>
      <c r="AN466" s="57">
        <f t="shared" si="246"/>
        <v>0.0027969726883843</v>
      </c>
      <c r="AO466" s="36">
        <f t="shared" ref="AO466:AO513" si="253">AM466/AM464-1</f>
        <v>0.0134685733288991</v>
      </c>
      <c r="AP466" s="36"/>
      <c r="FV466" s="104">
        <f t="shared" si="239"/>
        <v>2012</v>
      </c>
      <c r="FW466" s="104">
        <f t="shared" si="240"/>
        <v>25</v>
      </c>
      <c r="FX466" s="35">
        <v>41077</v>
      </c>
      <c r="FY466" s="26">
        <v>1.03</v>
      </c>
      <c r="FZ466" s="94">
        <f t="shared" si="241"/>
        <v>4.12</v>
      </c>
      <c r="GA466" s="104"/>
      <c r="GB466" s="104"/>
      <c r="GE466" s="94"/>
      <c r="GF466" s="104">
        <f t="shared" si="242"/>
        <v>2014</v>
      </c>
      <c r="GG466" s="104">
        <f t="shared" si="243"/>
        <v>40</v>
      </c>
      <c r="GH466" s="35">
        <v>41915</v>
      </c>
      <c r="GI466" s="26">
        <v>3.865</v>
      </c>
      <c r="GJ466" s="94">
        <f t="shared" si="244"/>
        <v>7.73</v>
      </c>
      <c r="GK466" s="104"/>
      <c r="GL466" s="104"/>
      <c r="GO466" s="94"/>
    </row>
    <row r="467" spans="3:197">
      <c r="C467" s="80" t="str" cm="1">
        <f t="array" ref="C467">_xlfn.IFS(MONTH(D467)&lt;4,1,MONTH(D467)&lt;7,2,MONTH(D467)&lt;10,3,MONTH(D467)&gt;9,4)&amp;"Q"&amp;RIGHT(YEAR(D467),2)</f>
        <v>4Q17</v>
      </c>
      <c r="D467" s="81">
        <f t="shared" si="237"/>
        <v>43069</v>
      </c>
      <c r="E467" s="82">
        <f t="shared" si="233"/>
        <v>43063</v>
      </c>
      <c r="F467" s="83">
        <f t="shared" si="236"/>
        <v>1.199375</v>
      </c>
      <c r="G467" s="83">
        <f t="shared" si="236"/>
        <v>0.9375</v>
      </c>
      <c r="H467" s="81"/>
      <c r="I467" s="146">
        <v>43063</v>
      </c>
      <c r="J467" s="147">
        <v>9.7</v>
      </c>
      <c r="K467" s="147">
        <v>9.45</v>
      </c>
      <c r="L467" s="147">
        <v>9.595</v>
      </c>
      <c r="M467" s="94" cm="1">
        <f t="array" ref="M467">INDEX($BV$29:$BV$1449,MATCH($D467,$BR$29:$BR$1449,0),)</f>
        <v>7.5</v>
      </c>
      <c r="N467" s="150">
        <f t="shared" si="248"/>
        <v>0.00198412698412698</v>
      </c>
      <c r="O467" s="150">
        <f t="shared" si="249"/>
        <v>0.0101063269817876</v>
      </c>
      <c r="P467" s="150">
        <f t="shared" si="247"/>
        <v>0.00587063633504581</v>
      </c>
      <c r="Q467" s="89">
        <f t="shared" si="250"/>
        <v>0.279333333333333</v>
      </c>
      <c r="AH467" s="105">
        <f t="shared" si="234"/>
        <v>45852</v>
      </c>
      <c r="AI467" s="151">
        <f t="shared" si="251"/>
        <v>4.96</v>
      </c>
      <c r="AJ467" s="57">
        <f t="shared" si="245"/>
        <v>-0.0119521912350596</v>
      </c>
      <c r="AK467" s="36">
        <f t="shared" si="238"/>
        <v>-0.0226600985221675</v>
      </c>
      <c r="AL467" s="105">
        <f t="shared" si="235"/>
        <v>45852</v>
      </c>
      <c r="AM467" s="151">
        <f t="shared" si="252"/>
        <v>6.066</v>
      </c>
      <c r="AN467" s="57">
        <f t="shared" si="246"/>
        <v>-0.0047579983593109</v>
      </c>
      <c r="AO467" s="36">
        <f t="shared" si="253"/>
        <v>-0.00197433366238897</v>
      </c>
      <c r="AP467" s="36"/>
      <c r="FV467" s="104">
        <f t="shared" si="239"/>
        <v>2012</v>
      </c>
      <c r="FW467" s="104">
        <f t="shared" si="240"/>
        <v>25</v>
      </c>
      <c r="FX467" s="35">
        <v>41078</v>
      </c>
      <c r="FY467" s="26">
        <v>1.03</v>
      </c>
      <c r="FZ467" s="94">
        <f t="shared" si="241"/>
        <v>4.12</v>
      </c>
      <c r="GA467" s="104"/>
      <c r="GB467" s="104"/>
      <c r="GE467" s="94"/>
      <c r="GF467" s="104">
        <f t="shared" si="242"/>
        <v>2014</v>
      </c>
      <c r="GG467" s="104">
        <f t="shared" si="243"/>
        <v>41</v>
      </c>
      <c r="GH467" s="35">
        <v>41918</v>
      </c>
      <c r="GI467" s="26">
        <v>3.86</v>
      </c>
      <c r="GJ467" s="94">
        <f t="shared" si="244"/>
        <v>7.72</v>
      </c>
      <c r="GK467" s="104"/>
      <c r="GL467" s="104"/>
      <c r="GO467" s="94"/>
    </row>
    <row r="468" spans="3:197">
      <c r="C468" s="80" t="str" cm="1">
        <f t="array" ref="C468">_xlfn.IFS(MONTH(D468)&lt;4,1,MONTH(D468)&lt;7,2,MONTH(D468)&lt;10,3,MONTH(D468)&gt;9,4)&amp;"Q"&amp;RIGHT(YEAR(D468),2)</f>
        <v>4Q17</v>
      </c>
      <c r="D468" s="81">
        <f t="shared" si="237"/>
        <v>43069</v>
      </c>
      <c r="E468" s="82">
        <f t="shared" si="233"/>
        <v>43066</v>
      </c>
      <c r="F468" s="83">
        <f t="shared" si="236"/>
        <v>1.199375</v>
      </c>
      <c r="G468" s="83">
        <f t="shared" si="236"/>
        <v>0.9375</v>
      </c>
      <c r="H468" s="81"/>
      <c r="I468" s="146">
        <v>43066</v>
      </c>
      <c r="J468" s="147">
        <v>9.7</v>
      </c>
      <c r="K468" s="147">
        <v>9.45</v>
      </c>
      <c r="L468" s="147">
        <v>9.595</v>
      </c>
      <c r="M468" s="94" cm="1">
        <f t="array" ref="M468">INDEX($BV$29:$BV$1449,MATCH($D468,$BR$29:$BR$1449,0),)</f>
        <v>7.5</v>
      </c>
      <c r="N468" s="150">
        <f t="shared" si="248"/>
        <v>0</v>
      </c>
      <c r="O468" s="150">
        <f t="shared" si="249"/>
        <v>0.00925633743557386</v>
      </c>
      <c r="P468" s="150">
        <f t="shared" si="247"/>
        <v>0.00861978345422054</v>
      </c>
      <c r="Q468" s="89">
        <f t="shared" si="250"/>
        <v>0.279333333333333</v>
      </c>
      <c r="AH468" s="105">
        <f t="shared" si="234"/>
        <v>45859</v>
      </c>
      <c r="AI468" s="151">
        <f t="shared" si="251"/>
        <v>5.203</v>
      </c>
      <c r="AJ468" s="57">
        <f t="shared" si="245"/>
        <v>0.048991935483871</v>
      </c>
      <c r="AK468" s="36">
        <f t="shared" si="238"/>
        <v>0.0364541832669325</v>
      </c>
      <c r="AL468" s="105">
        <f t="shared" si="235"/>
        <v>45859</v>
      </c>
      <c r="AM468" s="151">
        <f t="shared" si="252"/>
        <v>6.186</v>
      </c>
      <c r="AN468" s="57">
        <f t="shared" si="246"/>
        <v>0.019782393669634</v>
      </c>
      <c r="AO468" s="36">
        <f t="shared" si="253"/>
        <v>0.0149302707136998</v>
      </c>
      <c r="AP468" s="36"/>
      <c r="FV468" s="104">
        <f t="shared" si="239"/>
        <v>2012</v>
      </c>
      <c r="FW468" s="104">
        <f t="shared" si="240"/>
        <v>25</v>
      </c>
      <c r="FX468" s="35">
        <v>41079</v>
      </c>
      <c r="FY468" s="26">
        <v>1.03</v>
      </c>
      <c r="FZ468" s="94">
        <f t="shared" si="241"/>
        <v>4.12</v>
      </c>
      <c r="GA468" s="104"/>
      <c r="GB468" s="104"/>
      <c r="GE468" s="94"/>
      <c r="GF468" s="104">
        <f t="shared" si="242"/>
        <v>2014</v>
      </c>
      <c r="GG468" s="104">
        <f t="shared" si="243"/>
        <v>41</v>
      </c>
      <c r="GH468" s="35">
        <v>41919</v>
      </c>
      <c r="GI468" s="26">
        <v>3.859</v>
      </c>
      <c r="GJ468" s="94">
        <f t="shared" si="244"/>
        <v>7.718</v>
      </c>
      <c r="GK468" s="104"/>
      <c r="GL468" s="104"/>
      <c r="GO468" s="94"/>
    </row>
    <row r="469" spans="3:197">
      <c r="C469" s="80" t="str" cm="1">
        <f t="array" ref="C469">_xlfn.IFS(MONTH(D469)&lt;4,1,MONTH(D469)&lt;7,2,MONTH(D469)&lt;10,3,MONTH(D469)&gt;9,4)&amp;"Q"&amp;RIGHT(YEAR(D469),2)</f>
        <v>4Q17</v>
      </c>
      <c r="D469" s="81">
        <f t="shared" si="237"/>
        <v>43069</v>
      </c>
      <c r="E469" s="82">
        <f t="shared" ref="E469:E532" si="254">I469</f>
        <v>43067</v>
      </c>
      <c r="F469" s="83">
        <f t="shared" si="236"/>
        <v>1.196875</v>
      </c>
      <c r="G469" s="83">
        <f t="shared" si="236"/>
        <v>0.9375</v>
      </c>
      <c r="H469" s="81"/>
      <c r="I469" s="146">
        <v>43067</v>
      </c>
      <c r="J469" s="147">
        <v>9.7</v>
      </c>
      <c r="K469" s="147">
        <v>9.45</v>
      </c>
      <c r="L469" s="147">
        <v>9.575</v>
      </c>
      <c r="M469" s="94" cm="1">
        <f t="array" ref="M469">INDEX($BV$29:$BV$1449,MATCH($D469,$BR$29:$BR$1449,0),)</f>
        <v>7.5</v>
      </c>
      <c r="N469" s="150">
        <f t="shared" si="248"/>
        <v>-0.00208441896821276</v>
      </c>
      <c r="O469" s="150">
        <f t="shared" si="249"/>
        <v>0.00980805737186241</v>
      </c>
      <c r="P469" s="150">
        <f t="shared" si="247"/>
        <v>0.00683491062039954</v>
      </c>
      <c r="Q469" s="89">
        <f t="shared" si="250"/>
        <v>0.276666666666667</v>
      </c>
      <c r="AH469" s="105">
        <f t="shared" si="234"/>
        <v>45866</v>
      </c>
      <c r="AI469" s="151">
        <f t="shared" si="251"/>
        <v>5.113</v>
      </c>
      <c r="AJ469" s="57">
        <f t="shared" si="245"/>
        <v>-0.0172977128579666</v>
      </c>
      <c r="AK469" s="36">
        <f t="shared" si="238"/>
        <v>0.0308467741935485</v>
      </c>
      <c r="AL469" s="105">
        <f t="shared" si="235"/>
        <v>45866</v>
      </c>
      <c r="AM469" s="151">
        <f t="shared" si="252"/>
        <v>6.097</v>
      </c>
      <c r="AN469" s="57">
        <f t="shared" si="246"/>
        <v>-0.0143873262204979</v>
      </c>
      <c r="AO469" s="36">
        <f t="shared" si="253"/>
        <v>0.00511045169798896</v>
      </c>
      <c r="AP469" s="36"/>
      <c r="FV469" s="104">
        <f t="shared" si="239"/>
        <v>2012</v>
      </c>
      <c r="FW469" s="104">
        <f t="shared" si="240"/>
        <v>25</v>
      </c>
      <c r="FX469" s="35">
        <v>41080</v>
      </c>
      <c r="FY469" s="26">
        <v>1.02</v>
      </c>
      <c r="FZ469" s="94">
        <f t="shared" si="241"/>
        <v>4.08</v>
      </c>
      <c r="GA469" s="104"/>
      <c r="GB469" s="104"/>
      <c r="GE469" s="94"/>
      <c r="GF469" s="104">
        <f t="shared" si="242"/>
        <v>2014</v>
      </c>
      <c r="GG469" s="104">
        <f t="shared" si="243"/>
        <v>41</v>
      </c>
      <c r="GH469" s="35">
        <v>41920</v>
      </c>
      <c r="GI469" s="26">
        <v>3.859</v>
      </c>
      <c r="GJ469" s="94">
        <f t="shared" si="244"/>
        <v>7.718</v>
      </c>
      <c r="GK469" s="104"/>
      <c r="GL469" s="104"/>
      <c r="GO469" s="94"/>
    </row>
    <row r="470" spans="3:197">
      <c r="C470" s="80" t="str" cm="1">
        <f t="array" ref="C470">_xlfn.IFS(MONTH(D470)&lt;4,1,MONTH(D470)&lt;7,2,MONTH(D470)&lt;10,3,MONTH(D470)&gt;9,4)&amp;"Q"&amp;RIGHT(YEAR(D470),2)</f>
        <v>4Q17</v>
      </c>
      <c r="D470" s="81">
        <f t="shared" si="237"/>
        <v>43069</v>
      </c>
      <c r="E470" s="82">
        <f t="shared" si="254"/>
        <v>43068</v>
      </c>
      <c r="F470" s="83">
        <f t="shared" si="236"/>
        <v>1.19825</v>
      </c>
      <c r="G470" s="83">
        <f t="shared" si="236"/>
        <v>0.9375</v>
      </c>
      <c r="H470" s="81"/>
      <c r="I470" s="146">
        <v>43068</v>
      </c>
      <c r="J470" s="147">
        <v>9.75</v>
      </c>
      <c r="K470" s="147">
        <v>9.48</v>
      </c>
      <c r="L470" s="147">
        <v>9.586</v>
      </c>
      <c r="M470" s="94" cm="1">
        <f t="array" ref="M470">INDEX($BV$29:$BV$1449,MATCH($D470,$BR$29:$BR$1449,0),)</f>
        <v>7.5</v>
      </c>
      <c r="N470" s="150">
        <f t="shared" si="248"/>
        <v>0.00114882506527425</v>
      </c>
      <c r="O470" s="150">
        <f t="shared" si="249"/>
        <v>0.00114882506527425</v>
      </c>
      <c r="P470" s="150">
        <f t="shared" si="247"/>
        <v>0.00862794612794615</v>
      </c>
      <c r="Q470" s="89">
        <f t="shared" si="250"/>
        <v>0.278133333333333</v>
      </c>
      <c r="AH470" s="105">
        <f t="shared" si="234"/>
        <v>45873</v>
      </c>
      <c r="AI470" s="151">
        <f t="shared" si="251"/>
        <v>5.019</v>
      </c>
      <c r="AJ470" s="57">
        <f t="shared" si="245"/>
        <v>-0.0183845100723646</v>
      </c>
      <c r="AK470" s="36">
        <f t="shared" si="238"/>
        <v>-0.035364212954065</v>
      </c>
      <c r="AL470" s="105">
        <f t="shared" si="235"/>
        <v>45873</v>
      </c>
      <c r="AM470" s="151">
        <f t="shared" si="252"/>
        <v>6.167</v>
      </c>
      <c r="AN470" s="57">
        <f t="shared" si="246"/>
        <v>0.0114810562571757</v>
      </c>
      <c r="AO470" s="36">
        <f t="shared" si="253"/>
        <v>-0.00307145166505018</v>
      </c>
      <c r="AP470" s="36"/>
      <c r="FV470" s="104">
        <f t="shared" si="239"/>
        <v>2012</v>
      </c>
      <c r="FW470" s="104">
        <f t="shared" si="240"/>
        <v>25</v>
      </c>
      <c r="FX470" s="35">
        <v>41081</v>
      </c>
      <c r="FY470" s="26">
        <v>1.02</v>
      </c>
      <c r="FZ470" s="94">
        <f t="shared" si="241"/>
        <v>4.08</v>
      </c>
      <c r="GA470" s="104"/>
      <c r="GB470" s="104"/>
      <c r="GE470" s="94"/>
      <c r="GF470" s="104">
        <f t="shared" si="242"/>
        <v>2014</v>
      </c>
      <c r="GG470" s="104">
        <f t="shared" si="243"/>
        <v>41</v>
      </c>
      <c r="GH470" s="35">
        <v>41921</v>
      </c>
      <c r="GI470" s="26">
        <v>3.859</v>
      </c>
      <c r="GJ470" s="94">
        <f t="shared" si="244"/>
        <v>7.718</v>
      </c>
      <c r="GK470" s="104"/>
      <c r="GL470" s="104"/>
      <c r="GO470" s="94"/>
    </row>
    <row r="471" spans="3:197">
      <c r="C471" s="80" t="str" cm="1">
        <f t="array" ref="C471">_xlfn.IFS(MONTH(D471)&lt;4,1,MONTH(D471)&lt;7,2,MONTH(D471)&lt;10,3,MONTH(D471)&gt;9,4)&amp;"Q"&amp;RIGHT(YEAR(D471),2)</f>
        <v>4Q17</v>
      </c>
      <c r="D471" s="81">
        <f t="shared" si="237"/>
        <v>43069</v>
      </c>
      <c r="E471" s="82">
        <f t="shared" si="254"/>
        <v>43069</v>
      </c>
      <c r="F471" s="83">
        <f t="shared" si="236"/>
        <v>1.203</v>
      </c>
      <c r="G471" s="83">
        <f t="shared" si="236"/>
        <v>0.9375</v>
      </c>
      <c r="H471" s="81"/>
      <c r="I471" s="146">
        <v>43069</v>
      </c>
      <c r="J471" s="147">
        <v>9.75</v>
      </c>
      <c r="K471" s="147">
        <v>9.4</v>
      </c>
      <c r="L471" s="147">
        <v>9.624</v>
      </c>
      <c r="M471" s="94" cm="1">
        <f t="array" ref="M471">INDEX($BV$29:$BV$1449,MATCH($D471,$BR$29:$BR$1449,0),)</f>
        <v>7.5</v>
      </c>
      <c r="N471" s="150">
        <f t="shared" si="248"/>
        <v>0.00396411433340282</v>
      </c>
      <c r="O471" s="150">
        <f t="shared" si="249"/>
        <v>0.00501253132832091</v>
      </c>
      <c r="P471" s="150">
        <f t="shared" si="247"/>
        <v>0.0128394022311091</v>
      </c>
      <c r="Q471" s="89">
        <f t="shared" si="250"/>
        <v>0.2832</v>
      </c>
      <c r="AH471" s="105">
        <f t="shared" si="234"/>
        <v>45880</v>
      </c>
      <c r="AI471" s="151">
        <f t="shared" si="251"/>
        <v>4.956</v>
      </c>
      <c r="AJ471" s="57">
        <f t="shared" si="245"/>
        <v>-0.0125523012552301</v>
      </c>
      <c r="AK471" s="36">
        <f t="shared" si="238"/>
        <v>-0.0307060434187365</v>
      </c>
      <c r="AL471" s="105">
        <f t="shared" si="235"/>
        <v>45880</v>
      </c>
      <c r="AM471" s="151">
        <f t="shared" si="252"/>
        <v>6.2</v>
      </c>
      <c r="AN471" s="57">
        <f t="shared" si="246"/>
        <v>0.00535106210475123</v>
      </c>
      <c r="AO471" s="36">
        <f t="shared" si="253"/>
        <v>0.016893554206987</v>
      </c>
      <c r="AP471" s="36"/>
      <c r="FV471" s="104">
        <f t="shared" si="239"/>
        <v>2012</v>
      </c>
      <c r="FW471" s="104">
        <f t="shared" si="240"/>
        <v>25</v>
      </c>
      <c r="FX471" s="35">
        <v>41082</v>
      </c>
      <c r="FY471" s="26">
        <v>1.02</v>
      </c>
      <c r="FZ471" s="94">
        <f t="shared" si="241"/>
        <v>4.08</v>
      </c>
      <c r="GA471" s="104"/>
      <c r="GB471" s="104"/>
      <c r="GE471" s="94"/>
      <c r="GF471" s="104">
        <f t="shared" si="242"/>
        <v>2014</v>
      </c>
      <c r="GG471" s="104">
        <f t="shared" si="243"/>
        <v>41</v>
      </c>
      <c r="GH471" s="35">
        <v>41922</v>
      </c>
      <c r="GI471" s="26">
        <v>3.859</v>
      </c>
      <c r="GJ471" s="94">
        <f t="shared" si="244"/>
        <v>7.718</v>
      </c>
      <c r="GK471" s="104"/>
      <c r="GL471" s="104"/>
      <c r="GO471" s="94"/>
    </row>
    <row r="472" spans="3:197">
      <c r="C472" s="80" t="str" cm="1">
        <f t="array" ref="C472">_xlfn.IFS(MONTH(D472)&lt;4,1,MONTH(D472)&lt;7,2,MONTH(D472)&lt;10,3,MONTH(D472)&gt;9,4)&amp;"Q"&amp;RIGHT(YEAR(D472),2)</f>
        <v>4Q17</v>
      </c>
      <c r="D472" s="81">
        <f t="shared" si="237"/>
        <v>43100</v>
      </c>
      <c r="E472" s="82">
        <f t="shared" si="254"/>
        <v>43070</v>
      </c>
      <c r="F472" s="83">
        <f t="shared" si="236"/>
        <v>1.20675</v>
      </c>
      <c r="G472" s="83">
        <f t="shared" si="236"/>
        <v>0.9375</v>
      </c>
      <c r="H472" s="81"/>
      <c r="I472" s="146">
        <v>43070</v>
      </c>
      <c r="J472" s="147">
        <v>9.75</v>
      </c>
      <c r="K472" s="147">
        <v>9.35</v>
      </c>
      <c r="L472" s="147">
        <v>9.654</v>
      </c>
      <c r="M472" s="94" cm="1">
        <f t="array" ref="M472">INDEX($BV$29:$BV$1449,MATCH($D472,$BR$29:$BR$1449,0),)</f>
        <v>7.5</v>
      </c>
      <c r="N472" s="150">
        <f t="shared" si="248"/>
        <v>0.00311720698254359</v>
      </c>
      <c r="O472" s="150">
        <f t="shared" si="249"/>
        <v>0.00614903595622707</v>
      </c>
      <c r="P472" s="150">
        <f t="shared" si="247"/>
        <v>0.0163175071060111</v>
      </c>
      <c r="Q472" s="89">
        <f t="shared" si="250"/>
        <v>0.2872</v>
      </c>
      <c r="AH472" s="105">
        <f t="shared" si="234"/>
        <v>45887</v>
      </c>
      <c r="AI472" s="151">
        <f t="shared" si="251"/>
        <v>4.899</v>
      </c>
      <c r="AJ472" s="57">
        <f t="shared" si="245"/>
        <v>-0.0115012106537531</v>
      </c>
      <c r="AK472" s="36">
        <f t="shared" si="238"/>
        <v>-0.0239091452480574</v>
      </c>
      <c r="AL472" s="105">
        <f t="shared" si="235"/>
        <v>45887</v>
      </c>
      <c r="AM472" s="151">
        <f t="shared" si="252"/>
        <v>6.167</v>
      </c>
      <c r="AN472" s="57">
        <f t="shared" si="246"/>
        <v>-0.00532258064516133</v>
      </c>
      <c r="AO472" s="36">
        <f t="shared" si="253"/>
        <v>0</v>
      </c>
      <c r="AP472" s="36"/>
      <c r="FV472" s="104">
        <f t="shared" si="239"/>
        <v>2012</v>
      </c>
      <c r="FW472" s="104">
        <f t="shared" si="240"/>
        <v>25</v>
      </c>
      <c r="FX472" s="35">
        <v>41083</v>
      </c>
      <c r="FY472" s="26">
        <v>1.02</v>
      </c>
      <c r="FZ472" s="94">
        <f t="shared" si="241"/>
        <v>4.08</v>
      </c>
      <c r="GA472" s="104"/>
      <c r="GB472" s="104"/>
      <c r="GE472" s="94"/>
      <c r="GF472" s="104">
        <f t="shared" si="242"/>
        <v>2014</v>
      </c>
      <c r="GG472" s="104">
        <f t="shared" si="243"/>
        <v>42</v>
      </c>
      <c r="GH472" s="35">
        <v>41925</v>
      </c>
      <c r="GI472" s="26">
        <v>3.876</v>
      </c>
      <c r="GJ472" s="94">
        <f t="shared" si="244"/>
        <v>7.752</v>
      </c>
      <c r="GK472" s="104"/>
      <c r="GL472" s="104"/>
      <c r="GO472" s="94"/>
    </row>
    <row r="473" spans="3:197">
      <c r="C473" s="80" t="str" cm="1">
        <f t="array" ref="C473">_xlfn.IFS(MONTH(D473)&lt;4,1,MONTH(D473)&lt;7,2,MONTH(D473)&lt;10,3,MONTH(D473)&gt;9,4)&amp;"Q"&amp;RIGHT(YEAR(D473),2)</f>
        <v>4Q17</v>
      </c>
      <c r="D473" s="81">
        <f t="shared" si="237"/>
        <v>43100</v>
      </c>
      <c r="E473" s="82">
        <f t="shared" si="254"/>
        <v>43073</v>
      </c>
      <c r="F473" s="83">
        <f t="shared" si="236"/>
        <v>1.2075</v>
      </c>
      <c r="G473" s="83">
        <f t="shared" si="236"/>
        <v>0.9375</v>
      </c>
      <c r="H473" s="81"/>
      <c r="I473" s="146">
        <v>43073</v>
      </c>
      <c r="J473" s="147">
        <v>9.75</v>
      </c>
      <c r="K473" s="147">
        <v>9.35</v>
      </c>
      <c r="L473" s="147">
        <v>9.66</v>
      </c>
      <c r="M473" s="94" cm="1">
        <f t="array" ref="M473">INDEX($BV$29:$BV$1449,MATCH($D473,$BR$29:$BR$1449,0),)</f>
        <v>7.5</v>
      </c>
      <c r="N473" s="150">
        <f t="shared" si="248"/>
        <v>0.000621504039776344</v>
      </c>
      <c r="O473" s="150">
        <f t="shared" si="249"/>
        <v>0.00677436164669087</v>
      </c>
      <c r="P473" s="150">
        <f t="shared" si="247"/>
        <v>0.0160934048595771</v>
      </c>
      <c r="Q473" s="89">
        <f t="shared" si="250"/>
        <v>0.288</v>
      </c>
      <c r="AH473" s="105">
        <f t="shared" si="234"/>
        <v>45894</v>
      </c>
      <c r="AI473" s="151">
        <f t="shared" si="251"/>
        <v>4.855</v>
      </c>
      <c r="AJ473" s="57">
        <f t="shared" si="245"/>
        <v>-0.0089814247805674</v>
      </c>
      <c r="AK473" s="36">
        <f t="shared" si="238"/>
        <v>-0.0203793381759484</v>
      </c>
      <c r="AL473" s="105">
        <f t="shared" si="235"/>
        <v>45894</v>
      </c>
      <c r="AM473" s="151">
        <f t="shared" si="252"/>
        <v>6.033</v>
      </c>
      <c r="AN473" s="57">
        <f t="shared" si="246"/>
        <v>-0.0217285552132316</v>
      </c>
      <c r="AO473" s="36">
        <f t="shared" si="253"/>
        <v>-0.0269354838709677</v>
      </c>
      <c r="AP473" s="36"/>
      <c r="FV473" s="104">
        <f t="shared" si="239"/>
        <v>2012</v>
      </c>
      <c r="FW473" s="104">
        <f t="shared" si="240"/>
        <v>26</v>
      </c>
      <c r="FX473" s="35">
        <v>41084</v>
      </c>
      <c r="FY473" s="26">
        <v>1.02</v>
      </c>
      <c r="FZ473" s="94">
        <f t="shared" si="241"/>
        <v>4.08</v>
      </c>
      <c r="GA473" s="104"/>
      <c r="GB473" s="104"/>
      <c r="GE473" s="94"/>
      <c r="GF473" s="104">
        <f t="shared" si="242"/>
        <v>2014</v>
      </c>
      <c r="GG473" s="104">
        <f t="shared" si="243"/>
        <v>42</v>
      </c>
      <c r="GH473" s="35">
        <v>41926</v>
      </c>
      <c r="GI473" s="26">
        <v>3.885</v>
      </c>
      <c r="GJ473" s="94">
        <f t="shared" si="244"/>
        <v>7.77</v>
      </c>
      <c r="GK473" s="104"/>
      <c r="GL473" s="104"/>
      <c r="GO473" s="94"/>
    </row>
    <row r="474" spans="3:197">
      <c r="C474" s="80" t="str" cm="1">
        <f t="array" ref="C474">_xlfn.IFS(MONTH(D474)&lt;4,1,MONTH(D474)&lt;7,2,MONTH(D474)&lt;10,3,MONTH(D474)&gt;9,4)&amp;"Q"&amp;RIGHT(YEAR(D474),2)</f>
        <v>4Q17</v>
      </c>
      <c r="D474" s="81">
        <f t="shared" si="237"/>
        <v>43100</v>
      </c>
      <c r="E474" s="82">
        <f t="shared" si="254"/>
        <v>43074</v>
      </c>
      <c r="F474" s="83">
        <f t="shared" si="236"/>
        <v>1.2085</v>
      </c>
      <c r="G474" s="83">
        <f t="shared" si="236"/>
        <v>0.9375</v>
      </c>
      <c r="H474" s="81"/>
      <c r="I474" s="146">
        <v>43074</v>
      </c>
      <c r="J474" s="147">
        <v>9.75</v>
      </c>
      <c r="K474" s="147">
        <v>9.4</v>
      </c>
      <c r="L474" s="147">
        <v>9.668</v>
      </c>
      <c r="M474" s="94" cm="1">
        <f t="array" ref="M474">INDEX($BV$29:$BV$1449,MATCH($D474,$BR$29:$BR$1449,0),)</f>
        <v>7.5</v>
      </c>
      <c r="N474" s="150">
        <f t="shared" si="248"/>
        <v>0.000828157349896497</v>
      </c>
      <c r="O474" s="150">
        <f t="shared" si="249"/>
        <v>0.00971279373368139</v>
      </c>
      <c r="P474" s="150">
        <f t="shared" si="247"/>
        <v>0.019616114743725</v>
      </c>
      <c r="Q474" s="89">
        <f t="shared" si="250"/>
        <v>0.289066666666667</v>
      </c>
      <c r="AH474" s="105">
        <f t="shared" si="234"/>
        <v>45901</v>
      </c>
      <c r="AI474" s="151">
        <f t="shared" si="251"/>
        <v>4.857</v>
      </c>
      <c r="AJ474" s="57">
        <f t="shared" si="245"/>
        <v>0.000411946446961853</v>
      </c>
      <c r="AK474" s="36">
        <f t="shared" si="238"/>
        <v>-0.00857317819963255</v>
      </c>
      <c r="AL474" s="105">
        <f t="shared" si="235"/>
        <v>45901</v>
      </c>
      <c r="AM474" s="151">
        <f t="shared" si="252"/>
        <v>6.02</v>
      </c>
      <c r="AN474" s="57">
        <f t="shared" si="246"/>
        <v>-0.00215481518315941</v>
      </c>
      <c r="AO474" s="36">
        <f t="shared" si="253"/>
        <v>-0.0238365493757094</v>
      </c>
      <c r="AP474" s="36"/>
      <c r="FV474" s="104">
        <f t="shared" si="239"/>
        <v>2012</v>
      </c>
      <c r="FW474" s="104">
        <f t="shared" si="240"/>
        <v>26</v>
      </c>
      <c r="FX474" s="35">
        <v>41085</v>
      </c>
      <c r="FY474" s="26">
        <v>1.02</v>
      </c>
      <c r="FZ474" s="94">
        <f t="shared" si="241"/>
        <v>4.08</v>
      </c>
      <c r="GA474" s="104"/>
      <c r="GB474" s="104"/>
      <c r="GE474" s="94"/>
      <c r="GF474" s="104">
        <f t="shared" si="242"/>
        <v>2014</v>
      </c>
      <c r="GG474" s="104">
        <f t="shared" si="243"/>
        <v>42</v>
      </c>
      <c r="GH474" s="35">
        <v>41927</v>
      </c>
      <c r="GI474" s="26">
        <v>3.885</v>
      </c>
      <c r="GJ474" s="94">
        <f t="shared" si="244"/>
        <v>7.77</v>
      </c>
      <c r="GK474" s="104"/>
      <c r="GL474" s="104"/>
      <c r="GO474" s="94"/>
    </row>
    <row r="475" spans="3:197">
      <c r="C475" s="80" t="str" cm="1">
        <f t="array" ref="C475">_xlfn.IFS(MONTH(D475)&lt;4,1,MONTH(D475)&lt;7,2,MONTH(D475)&lt;10,3,MONTH(D475)&gt;9,4)&amp;"Q"&amp;RIGHT(YEAR(D475),2)</f>
        <v>4Q17</v>
      </c>
      <c r="D475" s="81">
        <f t="shared" si="237"/>
        <v>43100</v>
      </c>
      <c r="E475" s="82">
        <f t="shared" si="254"/>
        <v>43075</v>
      </c>
      <c r="F475" s="83">
        <f t="shared" si="236"/>
        <v>1.209625</v>
      </c>
      <c r="G475" s="83">
        <f t="shared" si="236"/>
        <v>0.9375</v>
      </c>
      <c r="H475" s="81"/>
      <c r="I475" s="146">
        <v>43075</v>
      </c>
      <c r="J475" s="147">
        <v>9.75</v>
      </c>
      <c r="K475" s="147">
        <v>9.4</v>
      </c>
      <c r="L475" s="147">
        <v>9.677</v>
      </c>
      <c r="M475" s="94" cm="1">
        <f t="array" ref="M475">INDEX($BV$29:$BV$1449,MATCH($D475,$BR$29:$BR$1449,0),)</f>
        <v>7.5</v>
      </c>
      <c r="N475" s="150">
        <f t="shared" si="248"/>
        <v>0.000930906081919813</v>
      </c>
      <c r="O475" s="150">
        <f t="shared" si="249"/>
        <v>0.00949301064051733</v>
      </c>
      <c r="P475" s="150">
        <f t="shared" si="247"/>
        <v>0.0106527415143602</v>
      </c>
      <c r="Q475" s="89">
        <f t="shared" si="250"/>
        <v>0.290266666666667</v>
      </c>
      <c r="AH475" s="105">
        <f t="shared" si="234"/>
        <v>45908</v>
      </c>
      <c r="AI475" s="151">
        <f t="shared" si="251"/>
        <v>5.002</v>
      </c>
      <c r="AJ475" s="57">
        <f t="shared" si="245"/>
        <v>0.0298538192299773</v>
      </c>
      <c r="AK475" s="36">
        <f t="shared" si="238"/>
        <v>0.0302780638516991</v>
      </c>
      <c r="AL475" s="105">
        <f t="shared" si="235"/>
        <v>45908</v>
      </c>
      <c r="AM475" s="151">
        <f t="shared" si="252"/>
        <v>6.05</v>
      </c>
      <c r="AN475" s="57">
        <f t="shared" si="246"/>
        <v>0.00498338870431891</v>
      </c>
      <c r="AO475" s="36">
        <f t="shared" si="253"/>
        <v>0.00281783523951584</v>
      </c>
      <c r="AP475" s="36"/>
      <c r="FV475" s="104">
        <f t="shared" si="239"/>
        <v>2012</v>
      </c>
      <c r="FW475" s="104">
        <f t="shared" si="240"/>
        <v>26</v>
      </c>
      <c r="FX475" s="35">
        <v>41086</v>
      </c>
      <c r="FY475" s="26">
        <v>1.02</v>
      </c>
      <c r="FZ475" s="94">
        <f t="shared" si="241"/>
        <v>4.08</v>
      </c>
      <c r="GA475" s="104"/>
      <c r="GB475" s="104"/>
      <c r="GE475" s="94"/>
      <c r="GF475" s="104">
        <f t="shared" si="242"/>
        <v>2014</v>
      </c>
      <c r="GG475" s="104">
        <f t="shared" si="243"/>
        <v>42</v>
      </c>
      <c r="GH475" s="35">
        <v>41928</v>
      </c>
      <c r="GI475" s="26">
        <v>3.885</v>
      </c>
      <c r="GJ475" s="94">
        <f t="shared" si="244"/>
        <v>7.77</v>
      </c>
      <c r="GK475" s="104"/>
      <c r="GL475" s="104"/>
      <c r="GO475" s="94"/>
    </row>
    <row r="476" spans="3:197">
      <c r="C476" s="80" t="str" cm="1">
        <f t="array" ref="C476">_xlfn.IFS(MONTH(D476)&lt;4,1,MONTH(D476)&lt;7,2,MONTH(D476)&lt;10,3,MONTH(D476)&gt;9,4)&amp;"Q"&amp;RIGHT(YEAR(D476),2)</f>
        <v>4Q17</v>
      </c>
      <c r="D476" s="81">
        <f t="shared" si="237"/>
        <v>43100</v>
      </c>
      <c r="E476" s="82">
        <f t="shared" si="254"/>
        <v>43076</v>
      </c>
      <c r="F476" s="83">
        <f t="shared" si="236"/>
        <v>1.209625</v>
      </c>
      <c r="G476" s="83">
        <f t="shared" si="236"/>
        <v>0.9375</v>
      </c>
      <c r="H476" s="81"/>
      <c r="I476" s="146">
        <v>43076</v>
      </c>
      <c r="J476" s="147">
        <v>9.75</v>
      </c>
      <c r="K476" s="147">
        <v>9.4</v>
      </c>
      <c r="L476" s="147">
        <v>9.677</v>
      </c>
      <c r="M476" s="94" cm="1">
        <f t="array" ref="M476">INDEX($BV$29:$BV$1449,MATCH($D476,$BR$29:$BR$1449,0),)</f>
        <v>7.5</v>
      </c>
      <c r="N476" s="150">
        <f t="shared" si="248"/>
        <v>0</v>
      </c>
      <c r="O476" s="150">
        <f t="shared" si="249"/>
        <v>0.00550706566916026</v>
      </c>
      <c r="P476" s="150">
        <f t="shared" si="247"/>
        <v>0.010547201336675</v>
      </c>
      <c r="Q476" s="89">
        <f t="shared" si="250"/>
        <v>0.290266666666667</v>
      </c>
      <c r="AH476" s="105">
        <f t="shared" ref="AH476:AH504" si="255">AH475+7</f>
        <v>45915</v>
      </c>
      <c r="AI476" s="151">
        <f t="shared" si="251"/>
        <v>5.334</v>
      </c>
      <c r="AJ476" s="57">
        <f t="shared" si="245"/>
        <v>0.066373450619752</v>
      </c>
      <c r="AK476" s="36">
        <f t="shared" si="238"/>
        <v>0.0982087708462012</v>
      </c>
      <c r="AL476" s="105">
        <f t="shared" ref="AL476:AL504" si="256">AL475+7</f>
        <v>45915</v>
      </c>
      <c r="AM476" s="151">
        <f t="shared" si="252"/>
        <v>6.216</v>
      </c>
      <c r="AN476" s="57">
        <f t="shared" si="246"/>
        <v>0.0274380165289256</v>
      </c>
      <c r="AO476" s="36">
        <f t="shared" si="253"/>
        <v>0.0325581395348837</v>
      </c>
      <c r="AP476" s="36"/>
      <c r="FV476" s="104">
        <f t="shared" si="239"/>
        <v>2012</v>
      </c>
      <c r="FW476" s="104">
        <f t="shared" si="240"/>
        <v>26</v>
      </c>
      <c r="FX476" s="35">
        <v>41087</v>
      </c>
      <c r="FY476" s="26">
        <v>1.01</v>
      </c>
      <c r="FZ476" s="94">
        <f t="shared" si="241"/>
        <v>4.04</v>
      </c>
      <c r="GA476" s="104"/>
      <c r="GB476" s="104"/>
      <c r="GE476" s="94"/>
      <c r="GF476" s="104">
        <f t="shared" si="242"/>
        <v>2014</v>
      </c>
      <c r="GG476" s="104">
        <f t="shared" si="243"/>
        <v>42</v>
      </c>
      <c r="GH476" s="35">
        <v>41929</v>
      </c>
      <c r="GI476" s="26">
        <v>3.885</v>
      </c>
      <c r="GJ476" s="94">
        <f t="shared" si="244"/>
        <v>7.77</v>
      </c>
      <c r="GK476" s="104"/>
      <c r="GL476" s="104"/>
      <c r="GO476" s="94"/>
    </row>
    <row r="477" spans="3:197">
      <c r="C477" s="80" t="str" cm="1">
        <f t="array" ref="C477">_xlfn.IFS(MONTH(D477)&lt;4,1,MONTH(D477)&lt;7,2,MONTH(D477)&lt;10,3,MONTH(D477)&gt;9,4)&amp;"Q"&amp;RIGHT(YEAR(D477),2)</f>
        <v>4Q17</v>
      </c>
      <c r="D477" s="81">
        <f t="shared" si="237"/>
        <v>43100</v>
      </c>
      <c r="E477" s="82">
        <f t="shared" si="254"/>
        <v>43077</v>
      </c>
      <c r="F477" s="83">
        <f t="shared" ref="F477:G540" si="257">+L477/8</f>
        <v>1.210375</v>
      </c>
      <c r="G477" s="83">
        <f t="shared" si="257"/>
        <v>0.9375</v>
      </c>
      <c r="H477" s="81"/>
      <c r="I477" s="146">
        <v>43077</v>
      </c>
      <c r="J477" s="147">
        <v>9.75</v>
      </c>
      <c r="K477" s="147">
        <v>9.45</v>
      </c>
      <c r="L477" s="147">
        <v>9.683</v>
      </c>
      <c r="M477" s="94" cm="1">
        <f t="array" ref="M477">INDEX($BV$29:$BV$1449,MATCH($D477,$BR$29:$BR$1449,0),)</f>
        <v>7.5</v>
      </c>
      <c r="N477" s="150">
        <f t="shared" si="248"/>
        <v>0.000620026867830914</v>
      </c>
      <c r="O477" s="150">
        <f t="shared" si="249"/>
        <v>0.00300393619225181</v>
      </c>
      <c r="P477" s="150">
        <f t="shared" si="247"/>
        <v>0.00917144346013532</v>
      </c>
      <c r="Q477" s="89">
        <f t="shared" si="250"/>
        <v>0.291066666666667</v>
      </c>
      <c r="AH477" s="105">
        <f t="shared" si="255"/>
        <v>45922</v>
      </c>
      <c r="AI477" s="151">
        <f t="shared" si="251"/>
        <v>5.868</v>
      </c>
      <c r="AJ477" s="57">
        <f t="shared" si="245"/>
        <v>0.100112485939258</v>
      </c>
      <c r="AK477" s="36">
        <f t="shared" si="238"/>
        <v>0.17313074770092</v>
      </c>
      <c r="AL477" s="105">
        <f t="shared" si="256"/>
        <v>45922</v>
      </c>
      <c r="AM477" s="151">
        <f t="shared" si="252"/>
        <v>6.927</v>
      </c>
      <c r="AN477" s="57">
        <f t="shared" si="246"/>
        <v>0.114382239382239</v>
      </c>
      <c r="AO477" s="36">
        <f t="shared" si="253"/>
        <v>0.14495867768595</v>
      </c>
      <c r="AP477" s="36"/>
      <c r="FV477" s="104">
        <f t="shared" si="239"/>
        <v>2012</v>
      </c>
      <c r="FW477" s="104">
        <f t="shared" si="240"/>
        <v>26</v>
      </c>
      <c r="FX477" s="35">
        <v>41088</v>
      </c>
      <c r="FY477" s="26">
        <v>1</v>
      </c>
      <c r="FZ477" s="94">
        <f t="shared" si="241"/>
        <v>4</v>
      </c>
      <c r="GA477" s="104"/>
      <c r="GB477" s="104"/>
      <c r="GE477" s="94"/>
      <c r="GF477" s="104">
        <f t="shared" si="242"/>
        <v>2014</v>
      </c>
      <c r="GG477" s="104">
        <f t="shared" si="243"/>
        <v>43</v>
      </c>
      <c r="GH477" s="35">
        <v>41932</v>
      </c>
      <c r="GI477" s="26">
        <v>3.883</v>
      </c>
      <c r="GJ477" s="94">
        <f t="shared" si="244"/>
        <v>7.766</v>
      </c>
      <c r="GK477" s="104"/>
      <c r="GL477" s="104"/>
      <c r="GO477" s="94"/>
    </row>
    <row r="478" spans="3:197">
      <c r="C478" s="80" t="str" cm="1">
        <f t="array" ref="C478">_xlfn.IFS(MONTH(D478)&lt;4,1,MONTH(D478)&lt;7,2,MONTH(D478)&lt;10,3,MONTH(D478)&gt;9,4)&amp;"Q"&amp;RIGHT(YEAR(D478),2)</f>
        <v>4Q17</v>
      </c>
      <c r="D478" s="81">
        <f t="shared" ref="D478:D541" si="258">EOMONTH(E478,0)</f>
        <v>43100</v>
      </c>
      <c r="E478" s="82">
        <f t="shared" si="254"/>
        <v>43080</v>
      </c>
      <c r="F478" s="83">
        <f t="shared" si="257"/>
        <v>1.210625</v>
      </c>
      <c r="G478" s="83">
        <f t="shared" si="257"/>
        <v>0.9375</v>
      </c>
      <c r="H478" s="81"/>
      <c r="I478" s="146">
        <v>43080</v>
      </c>
      <c r="J478" s="147">
        <v>9.75</v>
      </c>
      <c r="K478" s="147">
        <v>9.45</v>
      </c>
      <c r="L478" s="147">
        <v>9.685</v>
      </c>
      <c r="M478" s="94" cm="1">
        <f t="array" ref="M478">INDEX($BV$29:$BV$1449,MATCH($D478,$BR$29:$BR$1449,0),)</f>
        <v>7.5</v>
      </c>
      <c r="N478" s="150">
        <f t="shared" si="248"/>
        <v>0.00020654755757521</v>
      </c>
      <c r="O478" s="150">
        <f t="shared" si="249"/>
        <v>0.00258799171842661</v>
      </c>
      <c r="P478" s="150">
        <f t="shared" si="247"/>
        <v>0.00937988535695666</v>
      </c>
      <c r="Q478" s="89">
        <f t="shared" si="250"/>
        <v>0.291333333333333</v>
      </c>
      <c r="AH478" s="105">
        <f t="shared" si="255"/>
        <v>45929</v>
      </c>
      <c r="AI478" s="151">
        <f t="shared" si="251"/>
        <v>6.35</v>
      </c>
      <c r="AJ478" s="57">
        <f t="shared" si="245"/>
        <v>0.0821404226312201</v>
      </c>
      <c r="AK478" s="36">
        <f t="shared" si="238"/>
        <v>0.19047619047619</v>
      </c>
      <c r="AL478" s="105">
        <f t="shared" si="256"/>
        <v>45929</v>
      </c>
      <c r="AM478" s="151">
        <f t="shared" si="252"/>
        <v>7.535</v>
      </c>
      <c r="AN478" s="57">
        <f t="shared" si="246"/>
        <v>0.0877724844810164</v>
      </c>
      <c r="AO478" s="36">
        <f t="shared" si="253"/>
        <v>0.212194337194337</v>
      </c>
      <c r="AP478" s="36"/>
      <c r="FV478" s="104">
        <f t="shared" si="239"/>
        <v>2012</v>
      </c>
      <c r="FW478" s="104">
        <f t="shared" si="240"/>
        <v>26</v>
      </c>
      <c r="FX478" s="35">
        <v>41089</v>
      </c>
      <c r="FY478" s="26">
        <v>1</v>
      </c>
      <c r="FZ478" s="94">
        <f t="shared" si="241"/>
        <v>4</v>
      </c>
      <c r="GA478" s="104"/>
      <c r="GB478" s="104"/>
      <c r="GE478" s="94"/>
      <c r="GF478" s="104">
        <f t="shared" si="242"/>
        <v>2014</v>
      </c>
      <c r="GG478" s="104">
        <f t="shared" si="243"/>
        <v>43</v>
      </c>
      <c r="GH478" s="35">
        <v>41933</v>
      </c>
      <c r="GI478" s="26">
        <v>3.883</v>
      </c>
      <c r="GJ478" s="94">
        <f t="shared" si="244"/>
        <v>7.766</v>
      </c>
      <c r="GK478" s="104"/>
      <c r="GL478" s="104"/>
      <c r="GO478" s="94"/>
    </row>
    <row r="479" spans="3:197">
      <c r="C479" s="80" t="str" cm="1">
        <f t="array" ref="C479">_xlfn.IFS(MONTH(D479)&lt;4,1,MONTH(D479)&lt;7,2,MONTH(D479)&lt;10,3,MONTH(D479)&gt;9,4)&amp;"Q"&amp;RIGHT(YEAR(D479),2)</f>
        <v>4Q17</v>
      </c>
      <c r="D479" s="81">
        <f t="shared" si="258"/>
        <v>43100</v>
      </c>
      <c r="E479" s="82">
        <f t="shared" si="254"/>
        <v>43081</v>
      </c>
      <c r="F479" s="83">
        <f t="shared" si="257"/>
        <v>1.21075</v>
      </c>
      <c r="G479" s="83">
        <f t="shared" si="257"/>
        <v>0.9375</v>
      </c>
      <c r="H479" s="81"/>
      <c r="I479" s="146">
        <v>43081</v>
      </c>
      <c r="J479" s="147">
        <v>9.75</v>
      </c>
      <c r="K479" s="147">
        <v>9.45</v>
      </c>
      <c r="L479" s="147">
        <v>9.686</v>
      </c>
      <c r="M479" s="94" cm="1">
        <f t="array" ref="M479">INDEX($BV$29:$BV$1449,MATCH($D479,$BR$29:$BR$1449,0),)</f>
        <v>7.5</v>
      </c>
      <c r="N479" s="150">
        <f t="shared" si="248"/>
        <v>0.000103252452245739</v>
      </c>
      <c r="O479" s="150">
        <f t="shared" si="249"/>
        <v>0.00186181216383963</v>
      </c>
      <c r="P479" s="150">
        <f t="shared" si="247"/>
        <v>0.0115926892950393</v>
      </c>
      <c r="Q479" s="89">
        <f t="shared" si="250"/>
        <v>0.291466666666667</v>
      </c>
      <c r="AH479" s="105">
        <f t="shared" si="255"/>
        <v>45936</v>
      </c>
      <c r="AI479" s="151">
        <f t="shared" si="251"/>
        <v>6.5</v>
      </c>
      <c r="AJ479" s="57">
        <f t="shared" si="245"/>
        <v>0.0236220472440944</v>
      </c>
      <c r="AK479" s="36">
        <f t="shared" ref="AK479:AK513" si="259">AI479/AI477-1</f>
        <v>0.107702794819359</v>
      </c>
      <c r="AL479" s="105">
        <f t="shared" si="256"/>
        <v>45936</v>
      </c>
      <c r="AM479" s="151">
        <f t="shared" si="252"/>
        <v>8.129</v>
      </c>
      <c r="AN479" s="57">
        <f t="shared" si="246"/>
        <v>0.078832116788321</v>
      </c>
      <c r="AO479" s="36">
        <f t="shared" si="253"/>
        <v>0.173523892016746</v>
      </c>
      <c r="AP479" s="36"/>
      <c r="FV479" s="104">
        <f t="shared" si="239"/>
        <v>2012</v>
      </c>
      <c r="FW479" s="104">
        <f t="shared" si="240"/>
        <v>26</v>
      </c>
      <c r="FX479" s="35">
        <v>41090</v>
      </c>
      <c r="FY479" s="26">
        <v>1</v>
      </c>
      <c r="FZ479" s="94">
        <f t="shared" si="241"/>
        <v>4</v>
      </c>
      <c r="GA479" s="104"/>
      <c r="GB479" s="104"/>
      <c r="GE479" s="94"/>
      <c r="GF479" s="104">
        <f t="shared" si="242"/>
        <v>2014</v>
      </c>
      <c r="GG479" s="104">
        <f t="shared" si="243"/>
        <v>43</v>
      </c>
      <c r="GH479" s="35">
        <v>41934</v>
      </c>
      <c r="GI479" s="26">
        <v>3.883</v>
      </c>
      <c r="GJ479" s="94">
        <f t="shared" si="244"/>
        <v>7.766</v>
      </c>
      <c r="GK479" s="104"/>
      <c r="GL479" s="104"/>
      <c r="GO479" s="94"/>
    </row>
    <row r="480" spans="3:197">
      <c r="C480" s="80" t="str" cm="1">
        <f t="array" ref="C480">_xlfn.IFS(MONTH(D480)&lt;4,1,MONTH(D480)&lt;7,2,MONTH(D480)&lt;10,3,MONTH(D480)&gt;9,4)&amp;"Q"&amp;RIGHT(YEAR(D480),2)</f>
        <v>4Q17</v>
      </c>
      <c r="D480" s="81">
        <f t="shared" si="258"/>
        <v>43100</v>
      </c>
      <c r="E480" s="82">
        <f t="shared" si="254"/>
        <v>43082</v>
      </c>
      <c r="F480" s="83">
        <f t="shared" si="257"/>
        <v>1.20825</v>
      </c>
      <c r="G480" s="83">
        <f t="shared" si="257"/>
        <v>0.9375</v>
      </c>
      <c r="H480" s="81"/>
      <c r="I480" s="146">
        <v>43082</v>
      </c>
      <c r="J480" s="147">
        <v>9.75</v>
      </c>
      <c r="K480" s="147">
        <v>9.45</v>
      </c>
      <c r="L480" s="147">
        <v>9.666</v>
      </c>
      <c r="M480" s="94" cm="1">
        <f t="array" ref="M480">INDEX($BV$29:$BV$1449,MATCH($D480,$BR$29:$BR$1449,0),)</f>
        <v>7.5</v>
      </c>
      <c r="N480" s="150">
        <f t="shared" si="248"/>
        <v>-0.00206483584555028</v>
      </c>
      <c r="O480" s="150">
        <f t="shared" si="249"/>
        <v>-0.0011367159243566</v>
      </c>
      <c r="P480" s="150">
        <f t="shared" si="247"/>
        <v>0.00834550385979549</v>
      </c>
      <c r="Q480" s="89">
        <f t="shared" si="250"/>
        <v>0.2888</v>
      </c>
      <c r="AH480" s="105">
        <f t="shared" si="255"/>
        <v>45943</v>
      </c>
      <c r="AI480" s="151">
        <f t="shared" si="251"/>
        <v>7.004</v>
      </c>
      <c r="AJ480" s="57">
        <f t="shared" si="245"/>
        <v>0.0775384615384616</v>
      </c>
      <c r="AK480" s="36">
        <f t="shared" si="259"/>
        <v>0.102992125984252</v>
      </c>
      <c r="AL480" s="105">
        <f t="shared" si="256"/>
        <v>45943</v>
      </c>
      <c r="AM480" s="151">
        <f t="shared" si="252"/>
        <v>8.867</v>
      </c>
      <c r="AN480" s="57">
        <f t="shared" si="246"/>
        <v>0.090786074547915</v>
      </c>
      <c r="AO480" s="36">
        <f t="shared" si="253"/>
        <v>0.17677504976775</v>
      </c>
      <c r="AP480" s="36"/>
      <c r="FV480" s="104">
        <f t="shared" si="239"/>
        <v>2012</v>
      </c>
      <c r="FW480" s="104">
        <f t="shared" si="240"/>
        <v>27</v>
      </c>
      <c r="FX480" s="35">
        <v>41091</v>
      </c>
      <c r="FY480" s="26">
        <v>1</v>
      </c>
      <c r="FZ480" s="94">
        <f t="shared" si="241"/>
        <v>4</v>
      </c>
      <c r="GA480" s="104"/>
      <c r="GB480" s="104"/>
      <c r="GE480" s="94"/>
      <c r="GF480" s="104">
        <f t="shared" si="242"/>
        <v>2014</v>
      </c>
      <c r="GG480" s="104">
        <f t="shared" si="243"/>
        <v>43</v>
      </c>
      <c r="GH480" s="35">
        <v>41935</v>
      </c>
      <c r="GI480" s="26">
        <v>3.883</v>
      </c>
      <c r="GJ480" s="94">
        <f t="shared" si="244"/>
        <v>7.766</v>
      </c>
      <c r="GK480" s="104"/>
      <c r="GL480" s="104"/>
      <c r="GO480" s="94"/>
    </row>
    <row r="481" spans="3:197">
      <c r="C481" s="80" t="str" cm="1">
        <f t="array" ref="C481">_xlfn.IFS(MONTH(D481)&lt;4,1,MONTH(D481)&lt;7,2,MONTH(D481)&lt;10,3,MONTH(D481)&gt;9,4)&amp;"Q"&amp;RIGHT(YEAR(D481),2)</f>
        <v>4Q17</v>
      </c>
      <c r="D481" s="81">
        <f t="shared" si="258"/>
        <v>43100</v>
      </c>
      <c r="E481" s="82">
        <f t="shared" si="254"/>
        <v>43083</v>
      </c>
      <c r="F481" s="83">
        <f t="shared" si="257"/>
        <v>1.204</v>
      </c>
      <c r="G481" s="83">
        <f t="shared" si="257"/>
        <v>0.9375</v>
      </c>
      <c r="H481" s="81"/>
      <c r="I481" s="146">
        <v>43083</v>
      </c>
      <c r="J481" s="147">
        <v>9.75</v>
      </c>
      <c r="K481" s="147">
        <v>9.41</v>
      </c>
      <c r="L481" s="147">
        <v>9.632</v>
      </c>
      <c r="M481" s="94" cm="1">
        <f t="array" ref="M481">INDEX($BV$29:$BV$1449,MATCH($D481,$BR$29:$BR$1449,0),)</f>
        <v>7.5</v>
      </c>
      <c r="N481" s="150">
        <f t="shared" si="248"/>
        <v>-0.00351748396441143</v>
      </c>
      <c r="O481" s="150">
        <f t="shared" si="249"/>
        <v>-0.00465020150873208</v>
      </c>
      <c r="P481" s="150">
        <f t="shared" si="247"/>
        <v>0.000831255195344882</v>
      </c>
      <c r="Q481" s="89">
        <f t="shared" si="250"/>
        <v>0.284266666666667</v>
      </c>
      <c r="AH481" s="105">
        <f t="shared" si="255"/>
        <v>45950</v>
      </c>
      <c r="AI481" s="151">
        <f t="shared" si="251"/>
        <v>7.924</v>
      </c>
      <c r="AJ481" s="57">
        <f t="shared" si="245"/>
        <v>0.131353512278698</v>
      </c>
      <c r="AK481" s="36">
        <f t="shared" si="259"/>
        <v>0.219076923076923</v>
      </c>
      <c r="AL481" s="105">
        <f t="shared" si="256"/>
        <v>45950</v>
      </c>
      <c r="AM481" s="151">
        <f t="shared" si="252"/>
        <v>10.457</v>
      </c>
      <c r="AN481" s="57">
        <f t="shared" si="246"/>
        <v>0.179316567046352</v>
      </c>
      <c r="AO481" s="36">
        <f t="shared" si="253"/>
        <v>0.286382088817813</v>
      </c>
      <c r="AP481" s="36"/>
      <c r="FV481" s="104">
        <f t="shared" si="239"/>
        <v>2012</v>
      </c>
      <c r="FW481" s="104">
        <f t="shared" si="240"/>
        <v>27</v>
      </c>
      <c r="FX481" s="35">
        <v>41092</v>
      </c>
      <c r="FY481" s="26">
        <v>1</v>
      </c>
      <c r="FZ481" s="94">
        <f t="shared" si="241"/>
        <v>4</v>
      </c>
      <c r="GA481" s="104"/>
      <c r="GB481" s="104"/>
      <c r="GE481" s="94"/>
      <c r="GF481" s="104">
        <f t="shared" si="242"/>
        <v>2014</v>
      </c>
      <c r="GG481" s="104">
        <f t="shared" si="243"/>
        <v>43</v>
      </c>
      <c r="GH481" s="35">
        <v>41936</v>
      </c>
      <c r="GI481" s="26">
        <v>3.883</v>
      </c>
      <c r="GJ481" s="94">
        <f t="shared" si="244"/>
        <v>7.766</v>
      </c>
      <c r="GK481" s="104"/>
      <c r="GL481" s="104"/>
      <c r="GO481" s="94"/>
    </row>
    <row r="482" spans="3:197">
      <c r="C482" s="80" t="str" cm="1">
        <f t="array" ref="C482">_xlfn.IFS(MONTH(D482)&lt;4,1,MONTH(D482)&lt;7,2,MONTH(D482)&lt;10,3,MONTH(D482)&gt;9,4)&amp;"Q"&amp;RIGHT(YEAR(D482),2)</f>
        <v>4Q17</v>
      </c>
      <c r="D482" s="81">
        <f t="shared" si="258"/>
        <v>43100</v>
      </c>
      <c r="E482" s="82">
        <f t="shared" si="254"/>
        <v>43084</v>
      </c>
      <c r="F482" s="83">
        <f t="shared" si="257"/>
        <v>1.2025</v>
      </c>
      <c r="G482" s="83">
        <f t="shared" si="257"/>
        <v>0.9375</v>
      </c>
      <c r="H482" s="81"/>
      <c r="I482" s="146">
        <v>43084</v>
      </c>
      <c r="J482" s="147">
        <v>9.75</v>
      </c>
      <c r="K482" s="147">
        <v>9.41</v>
      </c>
      <c r="L482" s="147">
        <v>9.62</v>
      </c>
      <c r="M482" s="94" cm="1">
        <f t="array" ref="M482">INDEX($BV$29:$BV$1449,MATCH($D482,$BR$29:$BR$1449,0),)</f>
        <v>7.5</v>
      </c>
      <c r="N482" s="150">
        <f t="shared" si="248"/>
        <v>-0.00124584717607978</v>
      </c>
      <c r="O482" s="150">
        <f t="shared" si="249"/>
        <v>-0.00650624806361666</v>
      </c>
      <c r="P482" s="150">
        <f t="shared" si="247"/>
        <v>-0.00352185622539891</v>
      </c>
      <c r="Q482" s="89">
        <f t="shared" si="250"/>
        <v>0.282666666666667</v>
      </c>
      <c r="AH482" s="105">
        <f t="shared" si="255"/>
        <v>45957</v>
      </c>
      <c r="AI482" s="151">
        <f t="shared" si="251"/>
        <v>8.616</v>
      </c>
      <c r="AJ482" s="57">
        <f t="shared" si="245"/>
        <v>0.0873296314992427</v>
      </c>
      <c r="AK482" s="36">
        <f t="shared" si="259"/>
        <v>0.230154197601371</v>
      </c>
      <c r="AL482" s="105">
        <f t="shared" si="256"/>
        <v>45957</v>
      </c>
      <c r="AM482" s="151">
        <f t="shared" si="252"/>
        <v>13.3</v>
      </c>
      <c r="AN482" s="57">
        <f t="shared" si="246"/>
        <v>0.27187529884288</v>
      </c>
      <c r="AO482" s="36">
        <f t="shared" si="253"/>
        <v>0.499943611142438</v>
      </c>
      <c r="AP482" s="36"/>
      <c r="FV482" s="104">
        <f t="shared" si="239"/>
        <v>2012</v>
      </c>
      <c r="FW482" s="104">
        <f t="shared" si="240"/>
        <v>27</v>
      </c>
      <c r="FX482" s="35">
        <v>41093</v>
      </c>
      <c r="FY482" s="26">
        <v>1</v>
      </c>
      <c r="FZ482" s="94">
        <f t="shared" si="241"/>
        <v>4</v>
      </c>
      <c r="GA482" s="104"/>
      <c r="GB482" s="104"/>
      <c r="GE482" s="94"/>
      <c r="GF482" s="104">
        <f t="shared" si="242"/>
        <v>2014</v>
      </c>
      <c r="GG482" s="104">
        <f t="shared" si="243"/>
        <v>44</v>
      </c>
      <c r="GH482" s="35">
        <v>41939</v>
      </c>
      <c r="GI482" s="26">
        <v>3.878</v>
      </c>
      <c r="GJ482" s="94">
        <f t="shared" si="244"/>
        <v>7.756</v>
      </c>
      <c r="GK482" s="104"/>
      <c r="GL482" s="104"/>
      <c r="GO482" s="94"/>
    </row>
    <row r="483" spans="3:197">
      <c r="C483" s="80" t="str" cm="1">
        <f t="array" ref="C483">_xlfn.IFS(MONTH(D483)&lt;4,1,MONTH(D483)&lt;7,2,MONTH(D483)&lt;10,3,MONTH(D483)&gt;9,4)&amp;"Q"&amp;RIGHT(YEAR(D483),2)</f>
        <v>4Q17</v>
      </c>
      <c r="D483" s="81">
        <f t="shared" si="258"/>
        <v>43100</v>
      </c>
      <c r="E483" s="82">
        <f t="shared" si="254"/>
        <v>43087</v>
      </c>
      <c r="F483" s="83">
        <f t="shared" si="257"/>
        <v>1.2025</v>
      </c>
      <c r="G483" s="83">
        <f t="shared" si="257"/>
        <v>0.9375</v>
      </c>
      <c r="H483" s="81"/>
      <c r="I483" s="146">
        <v>43087</v>
      </c>
      <c r="J483" s="147">
        <v>9.75</v>
      </c>
      <c r="K483" s="147">
        <v>9.41</v>
      </c>
      <c r="L483" s="147">
        <v>9.62</v>
      </c>
      <c r="M483" s="94" cm="1">
        <f t="array" ref="M483">INDEX($BV$29:$BV$1449,MATCH($D483,$BR$29:$BR$1449,0),)</f>
        <v>7.5</v>
      </c>
      <c r="N483" s="150">
        <f t="shared" si="248"/>
        <v>0</v>
      </c>
      <c r="O483" s="150">
        <f t="shared" si="249"/>
        <v>-0.00671140939597326</v>
      </c>
      <c r="P483" s="150">
        <f t="shared" si="247"/>
        <v>-0.00414078674948248</v>
      </c>
      <c r="Q483" s="89">
        <f t="shared" si="250"/>
        <v>0.282666666666667</v>
      </c>
      <c r="AH483" s="105">
        <f t="shared" si="255"/>
        <v>45964</v>
      </c>
      <c r="AI483" s="151">
        <f t="shared" si="251"/>
        <v>10.236</v>
      </c>
      <c r="AJ483" s="57">
        <f t="shared" si="245"/>
        <v>0.188022284122563</v>
      </c>
      <c r="AK483" s="36">
        <f t="shared" si="259"/>
        <v>0.291771832407875</v>
      </c>
      <c r="AL483" s="105">
        <f t="shared" si="256"/>
        <v>45964</v>
      </c>
      <c r="AM483" s="151">
        <f t="shared" si="252"/>
        <v>15.563</v>
      </c>
      <c r="AN483" s="57">
        <f t="shared" si="246"/>
        <v>0.17015037593985</v>
      </c>
      <c r="AO483" s="36">
        <f t="shared" si="253"/>
        <v>0.488285359089605</v>
      </c>
      <c r="AP483" s="36"/>
      <c r="FV483" s="104">
        <f t="shared" si="239"/>
        <v>2012</v>
      </c>
      <c r="FW483" s="104">
        <f t="shared" si="240"/>
        <v>27</v>
      </c>
      <c r="FX483" s="35">
        <v>41094</v>
      </c>
      <c r="FY483" s="26">
        <v>0.99</v>
      </c>
      <c r="FZ483" s="94">
        <f t="shared" si="241"/>
        <v>3.96</v>
      </c>
      <c r="GA483" s="104"/>
      <c r="GB483" s="104"/>
      <c r="GE483" s="94"/>
      <c r="GF483" s="104">
        <f t="shared" si="242"/>
        <v>2014</v>
      </c>
      <c r="GG483" s="104">
        <f t="shared" si="243"/>
        <v>44</v>
      </c>
      <c r="GH483" s="35">
        <v>41940</v>
      </c>
      <c r="GI483" s="26">
        <v>3.87</v>
      </c>
      <c r="GJ483" s="94">
        <f t="shared" si="244"/>
        <v>7.74</v>
      </c>
      <c r="GK483" s="104"/>
      <c r="GL483" s="104"/>
      <c r="GO483" s="94"/>
    </row>
    <row r="484" spans="3:197">
      <c r="C484" s="80" t="str" cm="1">
        <f t="array" ref="C484">_xlfn.IFS(MONTH(D484)&lt;4,1,MONTH(D484)&lt;7,2,MONTH(D484)&lt;10,3,MONTH(D484)&gt;9,4)&amp;"Q"&amp;RIGHT(YEAR(D484),2)</f>
        <v>4Q17</v>
      </c>
      <c r="D484" s="81">
        <f t="shared" si="258"/>
        <v>43100</v>
      </c>
      <c r="E484" s="82">
        <f t="shared" si="254"/>
        <v>43088</v>
      </c>
      <c r="F484" s="83">
        <f t="shared" si="257"/>
        <v>1.2025</v>
      </c>
      <c r="G484" s="83">
        <f t="shared" si="257"/>
        <v>0.9375</v>
      </c>
      <c r="H484" s="81"/>
      <c r="I484" s="146">
        <v>43088</v>
      </c>
      <c r="J484" s="147">
        <v>9.75</v>
      </c>
      <c r="K484" s="147">
        <v>9.41</v>
      </c>
      <c r="L484" s="147">
        <v>9.62</v>
      </c>
      <c r="M484" s="94" cm="1">
        <f t="array" ref="M484">INDEX($BV$29:$BV$1449,MATCH($D484,$BR$29:$BR$1449,0),)</f>
        <v>7.5</v>
      </c>
      <c r="N484" s="150">
        <f t="shared" si="248"/>
        <v>0</v>
      </c>
      <c r="O484" s="150">
        <f t="shared" si="249"/>
        <v>-0.00681395829031595</v>
      </c>
      <c r="P484" s="150">
        <f t="shared" si="247"/>
        <v>-0.00496483243690526</v>
      </c>
      <c r="Q484" s="89">
        <f t="shared" si="250"/>
        <v>0.282666666666667</v>
      </c>
      <c r="AH484" s="105">
        <f t="shared" si="255"/>
        <v>45971</v>
      </c>
      <c r="AI484" s="151">
        <f t="shared" si="251"/>
        <v>11.707</v>
      </c>
      <c r="AJ484" s="57">
        <f t="shared" si="245"/>
        <v>0.143708479874951</v>
      </c>
      <c r="AK484" s="36">
        <f t="shared" si="259"/>
        <v>0.358751160631384</v>
      </c>
      <c r="AL484" s="105">
        <f t="shared" si="256"/>
        <v>45971</v>
      </c>
      <c r="AM484" s="151">
        <f t="shared" si="252"/>
        <v>22.1</v>
      </c>
      <c r="AN484" s="57">
        <f t="shared" si="246"/>
        <v>0.420034697680396</v>
      </c>
      <c r="AO484" s="36">
        <f t="shared" si="253"/>
        <v>0.661654135338346</v>
      </c>
      <c r="AP484" s="36"/>
      <c r="FV484" s="104">
        <f t="shared" si="239"/>
        <v>2012</v>
      </c>
      <c r="FW484" s="104">
        <f t="shared" si="240"/>
        <v>27</v>
      </c>
      <c r="FX484" s="35">
        <v>41095</v>
      </c>
      <c r="FY484" s="26">
        <v>0.99</v>
      </c>
      <c r="FZ484" s="94">
        <f t="shared" si="241"/>
        <v>3.96</v>
      </c>
      <c r="GA484" s="104"/>
      <c r="GB484" s="104"/>
      <c r="GE484" s="94"/>
      <c r="GF484" s="104">
        <f t="shared" si="242"/>
        <v>2014</v>
      </c>
      <c r="GG484" s="104">
        <f t="shared" si="243"/>
        <v>44</v>
      </c>
      <c r="GH484" s="35">
        <v>41941</v>
      </c>
      <c r="GI484" s="26">
        <v>3.856</v>
      </c>
      <c r="GJ484" s="94">
        <f t="shared" si="244"/>
        <v>7.712</v>
      </c>
      <c r="GK484" s="104"/>
      <c r="GL484" s="104"/>
      <c r="GO484" s="94"/>
    </row>
    <row r="485" spans="3:197">
      <c r="C485" s="80" t="str" cm="1">
        <f t="array" ref="C485">_xlfn.IFS(MONTH(D485)&lt;4,1,MONTH(D485)&lt;7,2,MONTH(D485)&lt;10,3,MONTH(D485)&gt;9,4)&amp;"Q"&amp;RIGHT(YEAR(D485),2)</f>
        <v>4Q17</v>
      </c>
      <c r="D485" s="81">
        <f t="shared" si="258"/>
        <v>43100</v>
      </c>
      <c r="E485" s="82">
        <f t="shared" si="254"/>
        <v>43089</v>
      </c>
      <c r="F485" s="83">
        <f t="shared" si="257"/>
        <v>1.2025</v>
      </c>
      <c r="G485" s="83">
        <f t="shared" si="257"/>
        <v>0.9375</v>
      </c>
      <c r="H485" s="81"/>
      <c r="I485" s="146">
        <v>43089</v>
      </c>
      <c r="J485" s="147">
        <v>9.75</v>
      </c>
      <c r="K485" s="147">
        <v>9.41</v>
      </c>
      <c r="L485" s="147">
        <v>9.62</v>
      </c>
      <c r="M485" s="94" cm="1">
        <f t="array" ref="M485">INDEX($BV$29:$BV$1449,MATCH($D485,$BR$29:$BR$1449,0),)</f>
        <v>7.5</v>
      </c>
      <c r="N485" s="150">
        <f t="shared" si="248"/>
        <v>0</v>
      </c>
      <c r="O485" s="150">
        <f t="shared" si="249"/>
        <v>-0.00475894889302719</v>
      </c>
      <c r="P485" s="150">
        <f t="shared" si="247"/>
        <v>-0.00589025524439402</v>
      </c>
      <c r="Q485" s="89">
        <f t="shared" si="250"/>
        <v>0.282666666666667</v>
      </c>
      <c r="AH485" s="105">
        <f t="shared" si="255"/>
        <v>45978</v>
      </c>
      <c r="AI485" s="151">
        <f t="shared" si="251"/>
        <v>12.757</v>
      </c>
      <c r="AJ485" s="57">
        <f t="shared" si="245"/>
        <v>0.0896899291022464</v>
      </c>
      <c r="AK485" s="36">
        <f t="shared" si="259"/>
        <v>0.246287612348574</v>
      </c>
      <c r="AL485" s="105">
        <f t="shared" si="256"/>
        <v>45978</v>
      </c>
      <c r="AM485" s="151">
        <f t="shared" si="252"/>
        <v>24.767</v>
      </c>
      <c r="AN485" s="57">
        <f t="shared" si="246"/>
        <v>0.120678733031674</v>
      </c>
      <c r="AO485" s="36">
        <f t="shared" si="253"/>
        <v>0.591402685857482</v>
      </c>
      <c r="AP485" s="36"/>
      <c r="FV485" s="104">
        <f t="shared" si="239"/>
        <v>2012</v>
      </c>
      <c r="FW485" s="104">
        <f t="shared" si="240"/>
        <v>27</v>
      </c>
      <c r="FX485" s="35">
        <v>41096</v>
      </c>
      <c r="FY485" s="26">
        <v>0.98</v>
      </c>
      <c r="FZ485" s="94">
        <f t="shared" si="241"/>
        <v>3.92</v>
      </c>
      <c r="GA485" s="104"/>
      <c r="GB485" s="104"/>
      <c r="GE485" s="94"/>
      <c r="GF485" s="104">
        <f t="shared" si="242"/>
        <v>2014</v>
      </c>
      <c r="GG485" s="104">
        <f t="shared" si="243"/>
        <v>44</v>
      </c>
      <c r="GH485" s="35">
        <v>41942</v>
      </c>
      <c r="GI485" s="26">
        <v>3.853</v>
      </c>
      <c r="GJ485" s="94">
        <f t="shared" si="244"/>
        <v>7.706</v>
      </c>
      <c r="GK485" s="104"/>
      <c r="GL485" s="104"/>
      <c r="GO485" s="94"/>
    </row>
    <row r="486" spans="3:197">
      <c r="C486" s="80" t="str" cm="1">
        <f t="array" ref="C486">_xlfn.IFS(MONTH(D486)&lt;4,1,MONTH(D486)&lt;7,2,MONTH(D486)&lt;10,3,MONTH(D486)&gt;9,4)&amp;"Q"&amp;RIGHT(YEAR(D486),2)</f>
        <v>4Q17</v>
      </c>
      <c r="D486" s="81">
        <f t="shared" si="258"/>
        <v>43100</v>
      </c>
      <c r="E486" s="82">
        <f t="shared" si="254"/>
        <v>43090</v>
      </c>
      <c r="F486" s="83">
        <f t="shared" si="257"/>
        <v>1.2025</v>
      </c>
      <c r="G486" s="83">
        <f t="shared" si="257"/>
        <v>0.9375</v>
      </c>
      <c r="H486" s="81"/>
      <c r="I486" s="146">
        <v>43090</v>
      </c>
      <c r="J486" s="147">
        <v>9.75</v>
      </c>
      <c r="K486" s="147">
        <v>9.41</v>
      </c>
      <c r="L486" s="147">
        <v>9.62</v>
      </c>
      <c r="M486" s="94" cm="1">
        <f t="array" ref="M486">INDEX($BV$29:$BV$1449,MATCH($D486,$BR$29:$BR$1449,0),)</f>
        <v>7.5</v>
      </c>
      <c r="N486" s="150">
        <f t="shared" si="248"/>
        <v>0</v>
      </c>
      <c r="O486" s="150">
        <f t="shared" si="249"/>
        <v>-0.00124584717607978</v>
      </c>
      <c r="P486" s="150">
        <f t="shared" si="247"/>
        <v>-0.00589025524439402</v>
      </c>
      <c r="Q486" s="89">
        <f t="shared" si="250"/>
        <v>0.282666666666667</v>
      </c>
      <c r="AH486" s="105">
        <f t="shared" si="255"/>
        <v>45985</v>
      </c>
      <c r="AI486" s="151">
        <f t="shared" si="251"/>
        <v>14.15</v>
      </c>
      <c r="AJ486" s="57">
        <f t="shared" si="245"/>
        <v>0.109194951791173</v>
      </c>
      <c r="AK486" s="36">
        <f t="shared" si="259"/>
        <v>0.208678568377894</v>
      </c>
      <c r="AL486" s="105">
        <f t="shared" si="256"/>
        <v>45985</v>
      </c>
      <c r="AM486" s="151">
        <f t="shared" si="252"/>
        <v>25.767</v>
      </c>
      <c r="AN486" s="57">
        <f t="shared" si="246"/>
        <v>0.040376307182945</v>
      </c>
      <c r="AO486" s="36">
        <f t="shared" si="253"/>
        <v>0.165927601809955</v>
      </c>
      <c r="AP486" s="36"/>
      <c r="FV486" s="104">
        <f t="shared" si="239"/>
        <v>2012</v>
      </c>
      <c r="FW486" s="104">
        <f t="shared" si="240"/>
        <v>27</v>
      </c>
      <c r="FX486" s="35">
        <v>41097</v>
      </c>
      <c r="FY486" s="26">
        <v>0.98</v>
      </c>
      <c r="FZ486" s="94">
        <f t="shared" si="241"/>
        <v>3.92</v>
      </c>
      <c r="GA486" s="104"/>
      <c r="GB486" s="104"/>
      <c r="GE486" s="94"/>
      <c r="GF486" s="104">
        <f t="shared" si="242"/>
        <v>2014</v>
      </c>
      <c r="GG486" s="104">
        <f t="shared" si="243"/>
        <v>44</v>
      </c>
      <c r="GH486" s="35">
        <v>41943</v>
      </c>
      <c r="GI486" s="26">
        <v>3.85</v>
      </c>
      <c r="GJ486" s="94">
        <f t="shared" si="244"/>
        <v>7.7</v>
      </c>
      <c r="GK486" s="104"/>
      <c r="GL486" s="104"/>
      <c r="GO486" s="94"/>
    </row>
    <row r="487" spans="3:197">
      <c r="C487" s="80" t="str" cm="1">
        <f t="array" ref="C487">_xlfn.IFS(MONTH(D487)&lt;4,1,MONTH(D487)&lt;7,2,MONTH(D487)&lt;10,3,MONTH(D487)&gt;9,4)&amp;"Q"&amp;RIGHT(YEAR(D487),2)</f>
        <v>4Q17</v>
      </c>
      <c r="D487" s="81">
        <f t="shared" si="258"/>
        <v>43100</v>
      </c>
      <c r="E487" s="82">
        <f t="shared" si="254"/>
        <v>43091</v>
      </c>
      <c r="F487" s="83">
        <f t="shared" si="257"/>
        <v>1.2025</v>
      </c>
      <c r="G487" s="83">
        <f t="shared" si="257"/>
        <v>0.9375</v>
      </c>
      <c r="H487" s="81"/>
      <c r="I487" s="146">
        <v>43091</v>
      </c>
      <c r="J487" s="147">
        <v>9.75</v>
      </c>
      <c r="K487" s="147">
        <v>9.41</v>
      </c>
      <c r="L487" s="147">
        <v>9.62</v>
      </c>
      <c r="M487" s="94" cm="1">
        <f t="array" ref="M487">INDEX($BV$29:$BV$1449,MATCH($D487,$BR$29:$BR$1449,0),)</f>
        <v>7.5</v>
      </c>
      <c r="N487" s="150">
        <f t="shared" si="248"/>
        <v>0</v>
      </c>
      <c r="O487" s="150">
        <f t="shared" si="249"/>
        <v>0</v>
      </c>
      <c r="P487" s="150">
        <f t="shared" si="247"/>
        <v>-0.00650624806361666</v>
      </c>
      <c r="Q487" s="89">
        <f t="shared" si="250"/>
        <v>0.282666666666667</v>
      </c>
      <c r="AH487" s="105">
        <f t="shared" si="255"/>
        <v>45992</v>
      </c>
      <c r="AI487" s="151">
        <f t="shared" si="251"/>
        <v>16.314</v>
      </c>
      <c r="AJ487" s="57">
        <f t="shared" si="245"/>
        <v>0.152932862190813</v>
      </c>
      <c r="AK487" s="36">
        <f t="shared" si="259"/>
        <v>0.278827310496198</v>
      </c>
      <c r="AL487" s="105">
        <f t="shared" si="256"/>
        <v>45992</v>
      </c>
      <c r="AM487" s="151">
        <f t="shared" si="252"/>
        <v>27.2</v>
      </c>
      <c r="AN487" s="57">
        <f t="shared" si="246"/>
        <v>0.0556137695501999</v>
      </c>
      <c r="AO487" s="36">
        <f t="shared" si="253"/>
        <v>0.0982355553761054</v>
      </c>
      <c r="AP487" s="36"/>
      <c r="FV487" s="104">
        <f t="shared" si="239"/>
        <v>2012</v>
      </c>
      <c r="FW487" s="104">
        <f t="shared" si="240"/>
        <v>28</v>
      </c>
      <c r="FX487" s="35">
        <v>41098</v>
      </c>
      <c r="FY487" s="26">
        <v>0.98</v>
      </c>
      <c r="FZ487" s="94">
        <f t="shared" si="241"/>
        <v>3.92</v>
      </c>
      <c r="GA487" s="104"/>
      <c r="GB487" s="104"/>
      <c r="GE487" s="94"/>
      <c r="GF487" s="104">
        <f t="shared" si="242"/>
        <v>2014</v>
      </c>
      <c r="GG487" s="104">
        <f t="shared" si="243"/>
        <v>45</v>
      </c>
      <c r="GH487" s="35">
        <v>41946</v>
      </c>
      <c r="GI487" s="26">
        <v>3.841</v>
      </c>
      <c r="GJ487" s="94">
        <f t="shared" si="244"/>
        <v>7.682</v>
      </c>
      <c r="GK487" s="104"/>
      <c r="GL487" s="104"/>
      <c r="GO487" s="94"/>
    </row>
    <row r="488" spans="3:197">
      <c r="C488" s="80" t="str" cm="1">
        <f t="array" ref="C488">_xlfn.IFS(MONTH(D488)&lt;4,1,MONTH(D488)&lt;7,2,MONTH(D488)&lt;10,3,MONTH(D488)&gt;9,4)&amp;"Q"&amp;RIGHT(YEAR(D488),2)</f>
        <v>4Q17</v>
      </c>
      <c r="D488" s="81">
        <f t="shared" si="258"/>
        <v>43100</v>
      </c>
      <c r="E488" s="82">
        <f t="shared" si="254"/>
        <v>43094</v>
      </c>
      <c r="F488" s="83">
        <f t="shared" si="257"/>
        <v>1.2025</v>
      </c>
      <c r="G488" s="83">
        <f t="shared" si="257"/>
        <v>0.9375</v>
      </c>
      <c r="H488" s="81"/>
      <c r="I488" s="146">
        <v>43094</v>
      </c>
      <c r="J488" s="147">
        <v>9.75</v>
      </c>
      <c r="K488" s="147">
        <v>9.41</v>
      </c>
      <c r="L488" s="147">
        <v>9.62</v>
      </c>
      <c r="M488" s="94" cm="1">
        <f t="array" ref="M488">INDEX($BV$29:$BV$1449,MATCH($D488,$BR$29:$BR$1449,0),)</f>
        <v>7.5</v>
      </c>
      <c r="N488" s="150">
        <f t="shared" si="248"/>
        <v>0</v>
      </c>
      <c r="O488" s="150">
        <f t="shared" si="249"/>
        <v>0</v>
      </c>
      <c r="P488" s="150">
        <f t="shared" si="247"/>
        <v>-0.00671140939597326</v>
      </c>
      <c r="Q488" s="89">
        <f t="shared" si="250"/>
        <v>0.282666666666667</v>
      </c>
      <c r="AH488" s="105">
        <f t="shared" si="255"/>
        <v>45999</v>
      </c>
      <c r="AI488" s="151">
        <f t="shared" si="251"/>
        <v>17.064</v>
      </c>
      <c r="AJ488" s="57">
        <f t="shared" si="245"/>
        <v>0.0459727841118058</v>
      </c>
      <c r="AK488" s="36">
        <f t="shared" si="259"/>
        <v>0.205936395759717</v>
      </c>
      <c r="AL488" s="105">
        <f t="shared" si="256"/>
        <v>45999</v>
      </c>
      <c r="AM488" s="151">
        <f t="shared" si="252"/>
        <v>26.333</v>
      </c>
      <c r="AN488" s="57">
        <f t="shared" si="246"/>
        <v>-0.031875</v>
      </c>
      <c r="AO488" s="36">
        <f t="shared" si="253"/>
        <v>0.0219660806457873</v>
      </c>
      <c r="AP488" s="36"/>
      <c r="FV488" s="104">
        <f t="shared" si="239"/>
        <v>2012</v>
      </c>
      <c r="FW488" s="104">
        <f t="shared" si="240"/>
        <v>28</v>
      </c>
      <c r="FX488" s="35">
        <v>41099</v>
      </c>
      <c r="FY488" s="26">
        <v>0.97</v>
      </c>
      <c r="FZ488" s="94">
        <f t="shared" si="241"/>
        <v>3.88</v>
      </c>
      <c r="GA488" s="104"/>
      <c r="GB488" s="104"/>
      <c r="GE488" s="94"/>
      <c r="GF488" s="104">
        <f t="shared" si="242"/>
        <v>2014</v>
      </c>
      <c r="GG488" s="104">
        <f t="shared" si="243"/>
        <v>45</v>
      </c>
      <c r="GH488" s="35">
        <v>41947</v>
      </c>
      <c r="GI488" s="26">
        <v>3.832</v>
      </c>
      <c r="GJ488" s="94">
        <f t="shared" si="244"/>
        <v>7.664</v>
      </c>
      <c r="GK488" s="104"/>
      <c r="GL488" s="104"/>
      <c r="GO488" s="94"/>
    </row>
    <row r="489" spans="3:197">
      <c r="C489" s="80" t="str" cm="1">
        <f t="array" ref="C489">_xlfn.IFS(MONTH(D489)&lt;4,1,MONTH(D489)&lt;7,2,MONTH(D489)&lt;10,3,MONTH(D489)&gt;9,4)&amp;"Q"&amp;RIGHT(YEAR(D489),2)</f>
        <v>4Q17</v>
      </c>
      <c r="D489" s="81">
        <f t="shared" si="258"/>
        <v>43100</v>
      </c>
      <c r="E489" s="82">
        <f t="shared" si="254"/>
        <v>43095</v>
      </c>
      <c r="F489" s="83">
        <f t="shared" si="257"/>
        <v>1.2025</v>
      </c>
      <c r="G489" s="83">
        <f t="shared" si="257"/>
        <v>0.9375</v>
      </c>
      <c r="H489" s="81"/>
      <c r="I489" s="146">
        <v>43095</v>
      </c>
      <c r="J489" s="147">
        <v>9.75</v>
      </c>
      <c r="K489" s="147">
        <v>9.41</v>
      </c>
      <c r="L489" s="147">
        <v>9.62</v>
      </c>
      <c r="M489" s="94" cm="1">
        <f t="array" ref="M489">INDEX($BV$29:$BV$1449,MATCH($D489,$BR$29:$BR$1449,0),)</f>
        <v>7.5</v>
      </c>
      <c r="N489" s="150">
        <f t="shared" si="248"/>
        <v>0</v>
      </c>
      <c r="O489" s="150">
        <f t="shared" si="249"/>
        <v>0</v>
      </c>
      <c r="P489" s="150">
        <f t="shared" si="247"/>
        <v>-0.00681395829031595</v>
      </c>
      <c r="Q489" s="89">
        <f t="shared" si="250"/>
        <v>0.282666666666667</v>
      </c>
      <c r="AH489" s="105">
        <f t="shared" si="255"/>
        <v>46006</v>
      </c>
      <c r="AI489" s="151">
        <f t="shared" si="251"/>
        <v>19</v>
      </c>
      <c r="AJ489" s="57">
        <f t="shared" si="245"/>
        <v>0.113455227379278</v>
      </c>
      <c r="AK489" s="36">
        <f t="shared" si="259"/>
        <v>0.164643864165747</v>
      </c>
      <c r="AL489" s="105">
        <f t="shared" si="256"/>
        <v>46006</v>
      </c>
      <c r="AM489" s="151">
        <f t="shared" si="252"/>
        <v>26.267</v>
      </c>
      <c r="AN489" s="57">
        <f t="shared" si="246"/>
        <v>-0.00250636084001055</v>
      </c>
      <c r="AO489" s="36">
        <f t="shared" si="253"/>
        <v>-0.0343014705882353</v>
      </c>
      <c r="AP489" s="36"/>
      <c r="FV489" s="104">
        <f t="shared" si="239"/>
        <v>2012</v>
      </c>
      <c r="FW489" s="104">
        <f t="shared" si="240"/>
        <v>28</v>
      </c>
      <c r="FX489" s="35">
        <v>41100</v>
      </c>
      <c r="FY489" s="26">
        <v>0.97</v>
      </c>
      <c r="FZ489" s="94">
        <f t="shared" si="241"/>
        <v>3.88</v>
      </c>
      <c r="GA489" s="104"/>
      <c r="GB489" s="104"/>
      <c r="GE489" s="94"/>
      <c r="GF489" s="104">
        <f t="shared" si="242"/>
        <v>2014</v>
      </c>
      <c r="GG489" s="104">
        <f t="shared" si="243"/>
        <v>45</v>
      </c>
      <c r="GH489" s="35">
        <v>41948</v>
      </c>
      <c r="GI489" s="26">
        <v>3.832</v>
      </c>
      <c r="GJ489" s="94">
        <f t="shared" si="244"/>
        <v>7.664</v>
      </c>
      <c r="GK489" s="104"/>
      <c r="GL489" s="104"/>
      <c r="GO489" s="94"/>
    </row>
    <row r="490" spans="3:197">
      <c r="C490" s="80" t="str" cm="1">
        <f t="array" ref="C490">_xlfn.IFS(MONTH(D490)&lt;4,1,MONTH(D490)&lt;7,2,MONTH(D490)&lt;10,3,MONTH(D490)&gt;9,4)&amp;"Q"&amp;RIGHT(YEAR(D490),2)</f>
        <v>4Q17</v>
      </c>
      <c r="D490" s="81">
        <f t="shared" si="258"/>
        <v>43100</v>
      </c>
      <c r="E490" s="82">
        <f t="shared" si="254"/>
        <v>43096</v>
      </c>
      <c r="F490" s="83">
        <f t="shared" si="257"/>
        <v>1.2025</v>
      </c>
      <c r="G490" s="83">
        <f t="shared" si="257"/>
        <v>0.9375</v>
      </c>
      <c r="H490" s="81"/>
      <c r="I490" s="146">
        <v>43096</v>
      </c>
      <c r="J490" s="147">
        <v>9.75</v>
      </c>
      <c r="K490" s="147">
        <v>9.41</v>
      </c>
      <c r="L490" s="147">
        <v>9.62</v>
      </c>
      <c r="M490" s="94" cm="1">
        <f t="array" ref="M490">INDEX($BV$29:$BV$1449,MATCH($D490,$BR$29:$BR$1449,0),)</f>
        <v>7.5</v>
      </c>
      <c r="N490" s="150">
        <f t="shared" si="248"/>
        <v>0</v>
      </c>
      <c r="O490" s="150">
        <f t="shared" si="249"/>
        <v>0</v>
      </c>
      <c r="P490" s="150">
        <f t="shared" si="247"/>
        <v>-0.00475894889302719</v>
      </c>
      <c r="Q490" s="89">
        <f t="shared" si="250"/>
        <v>0.282666666666667</v>
      </c>
      <c r="AH490" s="105">
        <f t="shared" si="255"/>
        <v>46013</v>
      </c>
      <c r="AI490" s="151">
        <f t="shared" si="251"/>
        <v>21.264</v>
      </c>
      <c r="AJ490" s="57">
        <f t="shared" si="245"/>
        <v>0.119157894736842</v>
      </c>
      <c r="AK490" s="36">
        <f t="shared" si="259"/>
        <v>0.246132208157525</v>
      </c>
      <c r="AL490" s="105">
        <f t="shared" si="256"/>
        <v>46013</v>
      </c>
      <c r="AM490" s="151">
        <f t="shared" si="252"/>
        <v>26.733</v>
      </c>
      <c r="AN490" s="57">
        <f t="shared" si="246"/>
        <v>0.0177408916130506</v>
      </c>
      <c r="AO490" s="36">
        <f t="shared" si="253"/>
        <v>0.0151900656970343</v>
      </c>
      <c r="AP490" s="36"/>
      <c r="FV490" s="104">
        <f t="shared" si="239"/>
        <v>2012</v>
      </c>
      <c r="FW490" s="104">
        <f t="shared" si="240"/>
        <v>28</v>
      </c>
      <c r="FX490" s="35">
        <v>41101</v>
      </c>
      <c r="FY490" s="26">
        <v>0.97</v>
      </c>
      <c r="FZ490" s="94">
        <f t="shared" si="241"/>
        <v>3.88</v>
      </c>
      <c r="GA490" s="104"/>
      <c r="GB490" s="104"/>
      <c r="GE490" s="94"/>
      <c r="GF490" s="104">
        <f t="shared" si="242"/>
        <v>2014</v>
      </c>
      <c r="GG490" s="104">
        <f t="shared" si="243"/>
        <v>45</v>
      </c>
      <c r="GH490" s="35">
        <v>41949</v>
      </c>
      <c r="GI490" s="26">
        <v>3.826</v>
      </c>
      <c r="GJ490" s="94">
        <f t="shared" si="244"/>
        <v>7.652</v>
      </c>
      <c r="GK490" s="104"/>
      <c r="GL490" s="104"/>
      <c r="GO490" s="94"/>
    </row>
    <row r="491" spans="3:197">
      <c r="C491" s="80" t="str" cm="1">
        <f t="array" ref="C491">_xlfn.IFS(MONTH(D491)&lt;4,1,MONTH(D491)&lt;7,2,MONTH(D491)&lt;10,3,MONTH(D491)&gt;9,4)&amp;"Q"&amp;RIGHT(YEAR(D491),2)</f>
        <v>4Q17</v>
      </c>
      <c r="D491" s="81">
        <f t="shared" si="258"/>
        <v>43100</v>
      </c>
      <c r="E491" s="82">
        <f t="shared" si="254"/>
        <v>43097</v>
      </c>
      <c r="F491" s="83">
        <f t="shared" si="257"/>
        <v>1.19825</v>
      </c>
      <c r="G491" s="83">
        <f t="shared" si="257"/>
        <v>0.9375</v>
      </c>
      <c r="H491" s="81"/>
      <c r="I491" s="146">
        <v>43097</v>
      </c>
      <c r="J491" s="147">
        <v>9.75</v>
      </c>
      <c r="K491" s="147">
        <v>9.42</v>
      </c>
      <c r="L491" s="147">
        <v>9.586</v>
      </c>
      <c r="M491" s="94" cm="1">
        <f t="array" ref="M491">INDEX($BV$29:$BV$1449,MATCH($D491,$BR$29:$BR$1449,0),)</f>
        <v>7.5</v>
      </c>
      <c r="N491" s="150">
        <f t="shared" si="248"/>
        <v>-0.0035343035343034</v>
      </c>
      <c r="O491" s="150">
        <f t="shared" si="249"/>
        <v>-0.0035343035343034</v>
      </c>
      <c r="P491" s="150">
        <f t="shared" si="247"/>
        <v>-0.00477574750830556</v>
      </c>
      <c r="Q491" s="89">
        <f t="shared" si="250"/>
        <v>0.278133333333333</v>
      </c>
      <c r="AH491" s="105">
        <f t="shared" si="255"/>
        <v>46020</v>
      </c>
      <c r="AI491" s="151">
        <f t="shared" si="251"/>
        <v>23.258</v>
      </c>
      <c r="AJ491" s="57">
        <f t="shared" si="245"/>
        <v>0.0937735139202407</v>
      </c>
      <c r="AK491" s="36">
        <f t="shared" si="259"/>
        <v>0.224105263157895</v>
      </c>
      <c r="AL491" s="105">
        <f t="shared" si="256"/>
        <v>46020</v>
      </c>
      <c r="AM491" s="151">
        <f t="shared" si="252"/>
        <v>28.226</v>
      </c>
      <c r="AN491" s="57">
        <f t="shared" si="246"/>
        <v>0.0558485766655443</v>
      </c>
      <c r="AO491" s="36">
        <f t="shared" si="253"/>
        <v>0.0745802718239617</v>
      </c>
      <c r="AP491" s="36"/>
      <c r="FV491" s="104">
        <f t="shared" si="239"/>
        <v>2012</v>
      </c>
      <c r="FW491" s="104">
        <f t="shared" si="240"/>
        <v>28</v>
      </c>
      <c r="FX491" s="35">
        <v>41102</v>
      </c>
      <c r="FY491" s="26">
        <v>0.97</v>
      </c>
      <c r="FZ491" s="94">
        <f t="shared" si="241"/>
        <v>3.88</v>
      </c>
      <c r="GA491" s="104"/>
      <c r="GB491" s="104"/>
      <c r="GE491" s="94"/>
      <c r="GF491" s="104">
        <f t="shared" si="242"/>
        <v>2014</v>
      </c>
      <c r="GG491" s="104">
        <f t="shared" si="243"/>
        <v>45</v>
      </c>
      <c r="GH491" s="35">
        <v>41950</v>
      </c>
      <c r="GI491" s="26">
        <v>3.826</v>
      </c>
      <c r="GJ491" s="94">
        <f t="shared" si="244"/>
        <v>7.652</v>
      </c>
      <c r="GK491" s="104"/>
      <c r="GL491" s="104"/>
      <c r="GO491" s="94"/>
    </row>
    <row r="492" spans="3:197">
      <c r="C492" s="80" t="str" cm="1">
        <f t="array" ref="C492">_xlfn.IFS(MONTH(D492)&lt;4,1,MONTH(D492)&lt;7,2,MONTH(D492)&lt;10,3,MONTH(D492)&gt;9,4)&amp;"Q"&amp;RIGHT(YEAR(D492),2)</f>
        <v>4Q17</v>
      </c>
      <c r="D492" s="81">
        <f t="shared" si="258"/>
        <v>43100</v>
      </c>
      <c r="E492" s="82">
        <f t="shared" si="254"/>
        <v>43098</v>
      </c>
      <c r="F492" s="83">
        <f t="shared" si="257"/>
        <v>1.199</v>
      </c>
      <c r="G492" s="83">
        <f t="shared" si="257"/>
        <v>0.9375</v>
      </c>
      <c r="H492" s="81"/>
      <c r="I492" s="146">
        <v>43098</v>
      </c>
      <c r="J492" s="147">
        <v>9.75</v>
      </c>
      <c r="K492" s="147">
        <v>9.42</v>
      </c>
      <c r="L492" s="147">
        <v>9.592</v>
      </c>
      <c r="M492" s="94" cm="1">
        <f t="array" ref="M492">INDEX($BV$29:$BV$1449,MATCH($D492,$BR$29:$BR$1449,0),)</f>
        <v>7.5</v>
      </c>
      <c r="N492" s="150">
        <f t="shared" si="248"/>
        <v>0.000625912789484762</v>
      </c>
      <c r="O492" s="150">
        <f t="shared" si="249"/>
        <v>-0.00291060291060274</v>
      </c>
      <c r="P492" s="150">
        <f t="shared" si="247"/>
        <v>-0.00291060291060274</v>
      </c>
      <c r="Q492" s="89">
        <f t="shared" si="250"/>
        <v>0.278933333333333</v>
      </c>
      <c r="AH492" s="105">
        <f t="shared" si="255"/>
        <v>46027</v>
      </c>
      <c r="AI492" s="151">
        <f t="shared" si="251"/>
        <v>24.983</v>
      </c>
      <c r="AJ492" s="57">
        <f t="shared" si="245"/>
        <v>0.0741680282053487</v>
      </c>
      <c r="AK492" s="36">
        <f t="shared" si="259"/>
        <v>0.174896538750941</v>
      </c>
      <c r="AL492" s="105">
        <f t="shared" si="256"/>
        <v>46027</v>
      </c>
      <c r="AM492" s="151">
        <f t="shared" si="252"/>
        <v>30.544</v>
      </c>
      <c r="AN492" s="57">
        <f t="shared" si="246"/>
        <v>0.0821228654432085</v>
      </c>
      <c r="AO492" s="36">
        <f t="shared" si="253"/>
        <v>0.142557887255452</v>
      </c>
      <c r="AP492" s="36"/>
      <c r="FV492" s="104">
        <f t="shared" si="239"/>
        <v>2012</v>
      </c>
      <c r="FW492" s="104">
        <f t="shared" si="240"/>
        <v>28</v>
      </c>
      <c r="FX492" s="35">
        <v>41103</v>
      </c>
      <c r="FY492" s="26">
        <v>0.96</v>
      </c>
      <c r="FZ492" s="94">
        <f t="shared" si="241"/>
        <v>3.84</v>
      </c>
      <c r="GA492" s="104"/>
      <c r="GB492" s="104"/>
      <c r="GE492" s="94"/>
      <c r="GF492" s="104">
        <f t="shared" si="242"/>
        <v>2014</v>
      </c>
      <c r="GG492" s="104">
        <f t="shared" si="243"/>
        <v>46</v>
      </c>
      <c r="GH492" s="35">
        <v>41953</v>
      </c>
      <c r="GI492" s="26">
        <v>3.826</v>
      </c>
      <c r="GJ492" s="94">
        <f t="shared" si="244"/>
        <v>7.652</v>
      </c>
      <c r="GK492" s="104"/>
      <c r="GL492" s="104"/>
      <c r="GO492" s="94"/>
    </row>
    <row r="493" spans="3:197">
      <c r="C493" s="80" t="str" cm="1">
        <f t="array" ref="C493">_xlfn.IFS(MONTH(D493)&lt;4,1,MONTH(D493)&lt;7,2,MONTH(D493)&lt;10,3,MONTH(D493)&gt;9,4)&amp;"Q"&amp;RIGHT(YEAR(D493),2)</f>
        <v>1Q18</v>
      </c>
      <c r="D493" s="81">
        <f t="shared" si="258"/>
        <v>43131</v>
      </c>
      <c r="E493" s="82">
        <f t="shared" si="254"/>
        <v>43102</v>
      </c>
      <c r="F493" s="83">
        <f t="shared" si="257"/>
        <v>1.199</v>
      </c>
      <c r="G493" s="83">
        <f t="shared" si="257"/>
        <v>0.9925</v>
      </c>
      <c r="H493" s="81"/>
      <c r="I493" s="146">
        <v>43102</v>
      </c>
      <c r="J493" s="147">
        <v>9.7</v>
      </c>
      <c r="K493" s="147">
        <v>9.41</v>
      </c>
      <c r="L493" s="147">
        <v>9.592</v>
      </c>
      <c r="M493" s="94" cm="1">
        <f t="array" ref="M493">INDEX($BV$29:$BV$1449,MATCH($D493,$BR$29:$BR$1449,0),)</f>
        <v>7.94</v>
      </c>
      <c r="N493" s="150">
        <f t="shared" si="248"/>
        <v>0</v>
      </c>
      <c r="O493" s="150">
        <f t="shared" si="249"/>
        <v>-0.00291060291060274</v>
      </c>
      <c r="P493" s="150">
        <f t="shared" si="247"/>
        <v>-0.00291060291060274</v>
      </c>
      <c r="Q493" s="89">
        <f t="shared" si="250"/>
        <v>0.208060453400504</v>
      </c>
      <c r="AH493" s="105">
        <f t="shared" si="255"/>
        <v>46034</v>
      </c>
      <c r="AI493" s="151">
        <f t="shared" si="251"/>
        <v>27.214</v>
      </c>
      <c r="AJ493" s="57">
        <f t="shared" si="245"/>
        <v>0.0893007244926549</v>
      </c>
      <c r="AK493" s="36">
        <f t="shared" si="259"/>
        <v>0.170092011350933</v>
      </c>
      <c r="AL493" s="105">
        <f t="shared" si="256"/>
        <v>46034</v>
      </c>
      <c r="AM493" s="151">
        <f t="shared" si="252"/>
        <v>32.5</v>
      </c>
      <c r="AN493" s="57">
        <f t="shared" si="246"/>
        <v>0.0640387637506548</v>
      </c>
      <c r="AO493" s="36">
        <f t="shared" si="253"/>
        <v>0.151420675972508</v>
      </c>
      <c r="AP493" s="36"/>
      <c r="FV493" s="104">
        <f t="shared" si="239"/>
        <v>2012</v>
      </c>
      <c r="FW493" s="104">
        <f t="shared" si="240"/>
        <v>28</v>
      </c>
      <c r="FX493" s="35">
        <v>41104</v>
      </c>
      <c r="FY493" s="26">
        <v>0.96</v>
      </c>
      <c r="FZ493" s="94">
        <f t="shared" si="241"/>
        <v>3.84</v>
      </c>
      <c r="GA493" s="104"/>
      <c r="GB493" s="104"/>
      <c r="GE493" s="94"/>
      <c r="GF493" s="104">
        <f t="shared" si="242"/>
        <v>2014</v>
      </c>
      <c r="GG493" s="104">
        <f t="shared" si="243"/>
        <v>46</v>
      </c>
      <c r="GH493" s="35">
        <v>41954</v>
      </c>
      <c r="GI493" s="26">
        <v>3.826</v>
      </c>
      <c r="GJ493" s="94">
        <f t="shared" si="244"/>
        <v>7.652</v>
      </c>
      <c r="GK493" s="104"/>
      <c r="GL493" s="104"/>
      <c r="GO493" s="94"/>
    </row>
    <row r="494" spans="3:197">
      <c r="C494" s="80" t="str" cm="1">
        <f t="array" ref="C494">_xlfn.IFS(MONTH(D494)&lt;4,1,MONTH(D494)&lt;7,2,MONTH(D494)&lt;10,3,MONTH(D494)&gt;9,4)&amp;"Q"&amp;RIGHT(YEAR(D494),2)</f>
        <v>1Q18</v>
      </c>
      <c r="D494" s="81">
        <f t="shared" si="258"/>
        <v>43131</v>
      </c>
      <c r="E494" s="82">
        <f t="shared" si="254"/>
        <v>43103</v>
      </c>
      <c r="F494" s="83">
        <f t="shared" si="257"/>
        <v>1.199</v>
      </c>
      <c r="G494" s="83">
        <f t="shared" si="257"/>
        <v>0.9925</v>
      </c>
      <c r="H494" s="81"/>
      <c r="I494" s="146">
        <v>43103</v>
      </c>
      <c r="J494" s="147">
        <v>9.7</v>
      </c>
      <c r="K494" s="147">
        <v>9.41</v>
      </c>
      <c r="L494" s="147">
        <v>9.592</v>
      </c>
      <c r="M494" s="94" cm="1">
        <f t="array" ref="M494">INDEX($BV$29:$BV$1449,MATCH($D494,$BR$29:$BR$1449,0),)</f>
        <v>7.94</v>
      </c>
      <c r="N494" s="150">
        <f t="shared" si="248"/>
        <v>0</v>
      </c>
      <c r="O494" s="150">
        <f t="shared" si="249"/>
        <v>-0.00291060291060274</v>
      </c>
      <c r="P494" s="150">
        <f t="shared" si="247"/>
        <v>-0.00291060291060274</v>
      </c>
      <c r="Q494" s="89">
        <f t="shared" si="250"/>
        <v>0.208060453400504</v>
      </c>
      <c r="AH494" s="105">
        <f t="shared" si="255"/>
        <v>46041</v>
      </c>
      <c r="AI494" s="151">
        <f t="shared" si="251"/>
        <v>29.5</v>
      </c>
      <c r="AJ494" s="57">
        <f t="shared" si="245"/>
        <v>0.0840008818990225</v>
      </c>
      <c r="AK494" s="36">
        <f t="shared" si="259"/>
        <v>0.180802946003282</v>
      </c>
      <c r="AL494" s="105">
        <f t="shared" si="256"/>
        <v>46041</v>
      </c>
      <c r="AM494" s="151">
        <f t="shared" si="252"/>
        <v>35.333</v>
      </c>
      <c r="AN494" s="57">
        <f t="shared" si="246"/>
        <v>0.0871692307692307</v>
      </c>
      <c r="AO494" s="36">
        <f t="shared" si="253"/>
        <v>0.156790204295443</v>
      </c>
      <c r="AP494" s="36"/>
      <c r="FV494" s="104">
        <f t="shared" si="239"/>
        <v>2012</v>
      </c>
      <c r="FW494" s="104">
        <f t="shared" si="240"/>
        <v>29</v>
      </c>
      <c r="FX494" s="35">
        <v>41105</v>
      </c>
      <c r="FY494" s="26">
        <v>0.96</v>
      </c>
      <c r="FZ494" s="94">
        <f t="shared" si="241"/>
        <v>3.84</v>
      </c>
      <c r="GA494" s="104"/>
      <c r="GB494" s="104"/>
      <c r="GE494" s="94"/>
      <c r="GF494" s="104">
        <f t="shared" si="242"/>
        <v>2014</v>
      </c>
      <c r="GG494" s="104">
        <f t="shared" si="243"/>
        <v>46</v>
      </c>
      <c r="GH494" s="35">
        <v>41955</v>
      </c>
      <c r="GI494" s="26">
        <v>3.826</v>
      </c>
      <c r="GJ494" s="94">
        <f t="shared" si="244"/>
        <v>7.652</v>
      </c>
      <c r="GK494" s="104"/>
      <c r="GL494" s="104"/>
      <c r="GO494" s="94"/>
    </row>
    <row r="495" spans="3:197">
      <c r="C495" s="80" t="str" cm="1">
        <f t="array" ref="C495">_xlfn.IFS(MONTH(D495)&lt;4,1,MONTH(D495)&lt;7,2,MONTH(D495)&lt;10,3,MONTH(D495)&gt;9,4)&amp;"Q"&amp;RIGHT(YEAR(D495),2)</f>
        <v>1Q18</v>
      </c>
      <c r="D495" s="81">
        <f t="shared" si="258"/>
        <v>43131</v>
      </c>
      <c r="E495" s="82">
        <f t="shared" si="254"/>
        <v>43104</v>
      </c>
      <c r="F495" s="83">
        <f t="shared" si="257"/>
        <v>1.201</v>
      </c>
      <c r="G495" s="83">
        <f t="shared" si="257"/>
        <v>0.9925</v>
      </c>
      <c r="H495" s="81"/>
      <c r="I495" s="146">
        <v>43104</v>
      </c>
      <c r="J495" s="147">
        <v>9.75</v>
      </c>
      <c r="K495" s="147">
        <v>9.34</v>
      </c>
      <c r="L495" s="147">
        <v>9.608</v>
      </c>
      <c r="M495" s="94" cm="1">
        <f t="array" ref="M495">INDEX($BV$29:$BV$1449,MATCH($D495,$BR$29:$BR$1449,0),)</f>
        <v>7.94</v>
      </c>
      <c r="N495" s="150">
        <f t="shared" si="248"/>
        <v>0.00166805671392822</v>
      </c>
      <c r="O495" s="150">
        <f t="shared" si="249"/>
        <v>-0.00124740124740108</v>
      </c>
      <c r="P495" s="150">
        <f t="shared" si="247"/>
        <v>-0.00124740124740108</v>
      </c>
      <c r="Q495" s="89">
        <f t="shared" si="250"/>
        <v>0.21007556675063</v>
      </c>
      <c r="AH495" s="105">
        <f t="shared" si="255"/>
        <v>46048</v>
      </c>
      <c r="AI495" s="151">
        <f t="shared" si="251"/>
        <v>30.9</v>
      </c>
      <c r="AJ495" s="57">
        <f t="shared" si="245"/>
        <v>0.047457627118644</v>
      </c>
      <c r="AK495" s="36">
        <f t="shared" si="259"/>
        <v>0.135444991548468</v>
      </c>
      <c r="AL495" s="105">
        <f t="shared" si="256"/>
        <v>46048</v>
      </c>
      <c r="AM495" s="151">
        <f t="shared" si="252"/>
        <v>36.667</v>
      </c>
      <c r="AN495" s="57">
        <f t="shared" si="246"/>
        <v>0.0377550731610676</v>
      </c>
      <c r="AO495" s="36">
        <f t="shared" si="253"/>
        <v>0.128215384615385</v>
      </c>
      <c r="AP495" s="36"/>
      <c r="FV495" s="104">
        <f t="shared" si="239"/>
        <v>2012</v>
      </c>
      <c r="FW495" s="104">
        <f t="shared" si="240"/>
        <v>29</v>
      </c>
      <c r="FX495" s="35">
        <v>41106</v>
      </c>
      <c r="FY495" s="26">
        <v>0.96</v>
      </c>
      <c r="FZ495" s="94">
        <f t="shared" si="241"/>
        <v>3.84</v>
      </c>
      <c r="GA495" s="104"/>
      <c r="GB495" s="104"/>
      <c r="GE495" s="94"/>
      <c r="GF495" s="104">
        <f t="shared" si="242"/>
        <v>2014</v>
      </c>
      <c r="GG495" s="104">
        <f t="shared" si="243"/>
        <v>46</v>
      </c>
      <c r="GH495" s="35">
        <v>41956</v>
      </c>
      <c r="GI495" s="26">
        <v>3.818</v>
      </c>
      <c r="GJ495" s="94">
        <f t="shared" si="244"/>
        <v>7.636</v>
      </c>
      <c r="GK495" s="104"/>
      <c r="GL495" s="104"/>
      <c r="GO495" s="94"/>
    </row>
    <row r="496" spans="3:197">
      <c r="C496" s="80" t="str" cm="1">
        <f t="array" ref="C496">_xlfn.IFS(MONTH(D496)&lt;4,1,MONTH(D496)&lt;7,2,MONTH(D496)&lt;10,3,MONTH(D496)&gt;9,4)&amp;"Q"&amp;RIGHT(YEAR(D496),2)</f>
        <v>1Q18</v>
      </c>
      <c r="D496" s="81">
        <f t="shared" si="258"/>
        <v>43131</v>
      </c>
      <c r="E496" s="82">
        <f t="shared" si="254"/>
        <v>43105</v>
      </c>
      <c r="F496" s="83">
        <f t="shared" si="257"/>
        <v>1.206125</v>
      </c>
      <c r="G496" s="83">
        <f t="shared" si="257"/>
        <v>0.9925</v>
      </c>
      <c r="H496" s="81"/>
      <c r="I496" s="146">
        <v>43105</v>
      </c>
      <c r="J496" s="147">
        <v>9.75</v>
      </c>
      <c r="K496" s="147">
        <v>9.35</v>
      </c>
      <c r="L496" s="147">
        <v>9.649</v>
      </c>
      <c r="M496" s="94" cm="1">
        <f t="array" ref="M496">INDEX($BV$29:$BV$1449,MATCH($D496,$BR$29:$BR$1449,0),)</f>
        <v>7.94</v>
      </c>
      <c r="N496" s="150">
        <f t="shared" si="248"/>
        <v>0.00426727726894249</v>
      </c>
      <c r="O496" s="150">
        <f t="shared" si="249"/>
        <v>0.00657208428958889</v>
      </c>
      <c r="P496" s="150">
        <f t="shared" si="247"/>
        <v>0.00301455301455311</v>
      </c>
      <c r="Q496" s="89">
        <f t="shared" si="250"/>
        <v>0.215239294710327</v>
      </c>
      <c r="AH496" s="105">
        <f t="shared" si="255"/>
        <v>46055</v>
      </c>
      <c r="AI496" s="151">
        <f t="shared" si="251"/>
        <v>30.9</v>
      </c>
      <c r="AJ496" s="57">
        <f t="shared" si="245"/>
        <v>0</v>
      </c>
      <c r="AK496" s="36">
        <f t="shared" si="259"/>
        <v>0.047457627118644</v>
      </c>
      <c r="AL496" s="105">
        <f t="shared" si="256"/>
        <v>46055</v>
      </c>
      <c r="AM496" s="151">
        <f t="shared" si="252"/>
        <v>38.167</v>
      </c>
      <c r="AN496" s="57">
        <f t="shared" si="246"/>
        <v>0.0409087190116453</v>
      </c>
      <c r="AO496" s="36">
        <f t="shared" si="253"/>
        <v>0.0802083038519232</v>
      </c>
      <c r="AP496" s="36"/>
      <c r="FV496" s="104">
        <f t="shared" si="239"/>
        <v>2012</v>
      </c>
      <c r="FW496" s="104">
        <f t="shared" si="240"/>
        <v>29</v>
      </c>
      <c r="FX496" s="35">
        <v>41107</v>
      </c>
      <c r="FY496" s="26">
        <v>0.95</v>
      </c>
      <c r="FZ496" s="94">
        <f t="shared" si="241"/>
        <v>3.8</v>
      </c>
      <c r="GA496" s="104"/>
      <c r="GB496" s="104"/>
      <c r="GE496" s="94"/>
      <c r="GF496" s="104">
        <f t="shared" si="242"/>
        <v>2014</v>
      </c>
      <c r="GG496" s="104">
        <f t="shared" si="243"/>
        <v>46</v>
      </c>
      <c r="GH496" s="35">
        <v>41957</v>
      </c>
      <c r="GI496" s="26">
        <v>3.818</v>
      </c>
      <c r="GJ496" s="94">
        <f t="shared" si="244"/>
        <v>7.636</v>
      </c>
      <c r="GK496" s="104"/>
      <c r="GL496" s="104"/>
      <c r="GO496" s="94"/>
    </row>
    <row r="497" spans="3:197">
      <c r="C497" s="80" t="str" cm="1">
        <f t="array" ref="C497">_xlfn.IFS(MONTH(D497)&lt;4,1,MONTH(D497)&lt;7,2,MONTH(D497)&lt;10,3,MONTH(D497)&gt;9,4)&amp;"Q"&amp;RIGHT(YEAR(D497),2)</f>
        <v>1Q18</v>
      </c>
      <c r="D497" s="81">
        <f t="shared" si="258"/>
        <v>43131</v>
      </c>
      <c r="E497" s="82">
        <f t="shared" si="254"/>
        <v>43108</v>
      </c>
      <c r="F497" s="83">
        <f t="shared" si="257"/>
        <v>1.206125</v>
      </c>
      <c r="G497" s="83">
        <f t="shared" si="257"/>
        <v>0.9925</v>
      </c>
      <c r="H497" s="81"/>
      <c r="I497" s="146">
        <v>43108</v>
      </c>
      <c r="J497" s="147">
        <v>9.75</v>
      </c>
      <c r="K497" s="147">
        <v>9.35</v>
      </c>
      <c r="L497" s="147">
        <v>9.649</v>
      </c>
      <c r="M497" s="94" cm="1">
        <f t="array" ref="M497">INDEX($BV$29:$BV$1449,MATCH($D497,$BR$29:$BR$1449,0),)</f>
        <v>7.94</v>
      </c>
      <c r="N497" s="150">
        <f t="shared" si="248"/>
        <v>0</v>
      </c>
      <c r="O497" s="150">
        <f t="shared" si="249"/>
        <v>0.0059424520433693</v>
      </c>
      <c r="P497" s="150">
        <f t="shared" si="247"/>
        <v>0.00301455301455311</v>
      </c>
      <c r="Q497" s="89">
        <f t="shared" si="250"/>
        <v>0.215239294710327</v>
      </c>
      <c r="AH497" s="105">
        <f t="shared" si="255"/>
        <v>46062</v>
      </c>
      <c r="AI497" s="151">
        <f t="shared" si="251"/>
        <v>30.9</v>
      </c>
      <c r="AJ497" s="57">
        <f t="shared" si="245"/>
        <v>0</v>
      </c>
      <c r="AK497" s="36">
        <f t="shared" si="259"/>
        <v>0</v>
      </c>
      <c r="AL497" s="105">
        <f t="shared" si="256"/>
        <v>46062</v>
      </c>
      <c r="AM497" s="151">
        <f t="shared" si="252"/>
        <v>37.833</v>
      </c>
      <c r="AN497" s="57">
        <f t="shared" si="246"/>
        <v>-0.00875101527497579</v>
      </c>
      <c r="AO497" s="36">
        <f t="shared" si="253"/>
        <v>0.031799710911719</v>
      </c>
      <c r="AP497" s="36"/>
      <c r="FV497" s="104">
        <f t="shared" si="239"/>
        <v>2012</v>
      </c>
      <c r="FW497" s="104">
        <f t="shared" si="240"/>
        <v>29</v>
      </c>
      <c r="FX497" s="35">
        <v>41108</v>
      </c>
      <c r="FY497" s="26">
        <v>0.95</v>
      </c>
      <c r="FZ497" s="94">
        <f t="shared" si="241"/>
        <v>3.8</v>
      </c>
      <c r="GA497" s="104"/>
      <c r="GB497" s="104"/>
      <c r="GE497" s="94"/>
      <c r="GF497" s="104">
        <f t="shared" si="242"/>
        <v>2014</v>
      </c>
      <c r="GG497" s="104">
        <f t="shared" si="243"/>
        <v>47</v>
      </c>
      <c r="GH497" s="35">
        <v>41960</v>
      </c>
      <c r="GI497" s="26">
        <v>3.813</v>
      </c>
      <c r="GJ497" s="94">
        <f t="shared" si="244"/>
        <v>7.626</v>
      </c>
      <c r="GK497" s="104"/>
      <c r="GL497" s="104"/>
      <c r="GO497" s="94"/>
    </row>
    <row r="498" spans="3:197">
      <c r="C498" s="80" t="str" cm="1">
        <f t="array" ref="C498">_xlfn.IFS(MONTH(D498)&lt;4,1,MONTH(D498)&lt;7,2,MONTH(D498)&lt;10,3,MONTH(D498)&gt;9,4)&amp;"Q"&amp;RIGHT(YEAR(D498),2)</f>
        <v>1Q18</v>
      </c>
      <c r="D498" s="81">
        <f t="shared" si="258"/>
        <v>43131</v>
      </c>
      <c r="E498" s="82">
        <f t="shared" si="254"/>
        <v>43109</v>
      </c>
      <c r="F498" s="83">
        <f t="shared" si="257"/>
        <v>1.20625</v>
      </c>
      <c r="G498" s="83">
        <f t="shared" si="257"/>
        <v>0.9925</v>
      </c>
      <c r="H498" s="81"/>
      <c r="I498" s="146">
        <v>43109</v>
      </c>
      <c r="J498" s="147">
        <v>9.75</v>
      </c>
      <c r="K498" s="147">
        <v>9.38</v>
      </c>
      <c r="L498" s="147">
        <v>9.65</v>
      </c>
      <c r="M498" s="94" cm="1">
        <f t="array" ref="M498">INDEX($BV$29:$BV$1449,MATCH($D498,$BR$29:$BR$1449,0),)</f>
        <v>7.94</v>
      </c>
      <c r="N498" s="150">
        <f t="shared" si="248"/>
        <v>0.000103637682661528</v>
      </c>
      <c r="O498" s="150">
        <f t="shared" si="249"/>
        <v>0.00604670558799003</v>
      </c>
      <c r="P498" s="150">
        <f t="shared" si="247"/>
        <v>0.00311850311850326</v>
      </c>
      <c r="Q498" s="89">
        <f t="shared" si="250"/>
        <v>0.21536523929471</v>
      </c>
      <c r="AH498" s="105">
        <f t="shared" si="255"/>
        <v>46069</v>
      </c>
      <c r="AI498" s="151">
        <f t="shared" si="251"/>
        <v>31.4</v>
      </c>
      <c r="AJ498" s="57">
        <f t="shared" si="245"/>
        <v>0.0161812297734627</v>
      </c>
      <c r="AK498" s="36">
        <f t="shared" si="259"/>
        <v>0.0161812297734627</v>
      </c>
      <c r="AL498" s="105">
        <f t="shared" si="256"/>
        <v>46069</v>
      </c>
      <c r="AM498" s="151">
        <f t="shared" si="252"/>
        <v>38.067</v>
      </c>
      <c r="AN498" s="57">
        <f t="shared" si="246"/>
        <v>0.00618507652049805</v>
      </c>
      <c r="AO498" s="36">
        <f t="shared" si="253"/>
        <v>-0.00262006445358565</v>
      </c>
      <c r="AP498" s="36"/>
      <c r="FV498" s="104">
        <f t="shared" si="239"/>
        <v>2012</v>
      </c>
      <c r="FW498" s="104">
        <f t="shared" si="240"/>
        <v>29</v>
      </c>
      <c r="FX498" s="35">
        <v>41109</v>
      </c>
      <c r="FY498" s="26">
        <v>0.95</v>
      </c>
      <c r="FZ498" s="94">
        <f t="shared" si="241"/>
        <v>3.8</v>
      </c>
      <c r="GA498" s="104"/>
      <c r="GB498" s="104"/>
      <c r="GE498" s="94"/>
      <c r="GF498" s="104">
        <f t="shared" si="242"/>
        <v>2014</v>
      </c>
      <c r="GG498" s="104">
        <f t="shared" si="243"/>
        <v>47</v>
      </c>
      <c r="GH498" s="35">
        <v>41961</v>
      </c>
      <c r="GI498" s="26">
        <v>3.813</v>
      </c>
      <c r="GJ498" s="94">
        <f t="shared" si="244"/>
        <v>7.626</v>
      </c>
      <c r="GK498" s="104"/>
      <c r="GL498" s="104"/>
      <c r="GO498" s="94"/>
    </row>
    <row r="499" spans="3:197">
      <c r="C499" s="80" t="str" cm="1">
        <f t="array" ref="C499">_xlfn.IFS(MONTH(D499)&lt;4,1,MONTH(D499)&lt;7,2,MONTH(D499)&lt;10,3,MONTH(D499)&gt;9,4)&amp;"Q"&amp;RIGHT(YEAR(D499),2)</f>
        <v>1Q18</v>
      </c>
      <c r="D499" s="81">
        <f t="shared" si="258"/>
        <v>43131</v>
      </c>
      <c r="E499" s="82">
        <f t="shared" si="254"/>
        <v>43110</v>
      </c>
      <c r="F499" s="83">
        <f t="shared" si="257"/>
        <v>1.20625</v>
      </c>
      <c r="G499" s="83">
        <f t="shared" si="257"/>
        <v>0.9925</v>
      </c>
      <c r="H499" s="81"/>
      <c r="I499" s="146">
        <v>43110</v>
      </c>
      <c r="J499" s="147">
        <v>9.75</v>
      </c>
      <c r="K499" s="147">
        <v>9.38</v>
      </c>
      <c r="L499" s="147">
        <v>9.65</v>
      </c>
      <c r="M499" s="94" cm="1">
        <f t="array" ref="M499">INDEX($BV$29:$BV$1449,MATCH($D499,$BR$29:$BR$1449,0),)</f>
        <v>7.94</v>
      </c>
      <c r="N499" s="150">
        <f t="shared" si="248"/>
        <v>0</v>
      </c>
      <c r="O499" s="150">
        <f t="shared" si="249"/>
        <v>0.00604670558799003</v>
      </c>
      <c r="P499" s="150">
        <f t="shared" si="247"/>
        <v>0.00311850311850326</v>
      </c>
      <c r="Q499" s="89">
        <f t="shared" si="250"/>
        <v>0.21536523929471</v>
      </c>
      <c r="AH499" s="105">
        <f t="shared" si="255"/>
        <v>46076</v>
      </c>
      <c r="AI499" s="151">
        <f t="shared" si="251"/>
        <v>31.5</v>
      </c>
      <c r="AJ499" s="57">
        <f t="shared" si="245"/>
        <v>0.00318471337579629</v>
      </c>
      <c r="AK499" s="36">
        <f t="shared" si="259"/>
        <v>0.0194174757281553</v>
      </c>
      <c r="AL499" s="105">
        <f t="shared" si="256"/>
        <v>46076</v>
      </c>
      <c r="AM499" s="151">
        <f t="shared" si="252"/>
        <v>38.1</v>
      </c>
      <c r="AN499" s="57">
        <f t="shared" si="246"/>
        <v>0.000866892584127976</v>
      </c>
      <c r="AO499" s="36">
        <f t="shared" si="253"/>
        <v>0.00705733090159399</v>
      </c>
      <c r="AP499" s="36"/>
      <c r="FV499" s="104">
        <f t="shared" si="239"/>
        <v>2012</v>
      </c>
      <c r="FW499" s="104">
        <f t="shared" si="240"/>
        <v>29</v>
      </c>
      <c r="FX499" s="35">
        <v>41110</v>
      </c>
      <c r="FY499" s="26">
        <v>0.94</v>
      </c>
      <c r="FZ499" s="94">
        <f t="shared" si="241"/>
        <v>3.76</v>
      </c>
      <c r="GA499" s="104"/>
      <c r="GB499" s="104"/>
      <c r="GE499" s="94"/>
      <c r="GF499" s="104">
        <f t="shared" si="242"/>
        <v>2014</v>
      </c>
      <c r="GG499" s="104">
        <f t="shared" si="243"/>
        <v>47</v>
      </c>
      <c r="GH499" s="35">
        <v>41962</v>
      </c>
      <c r="GI499" s="26">
        <v>3.781</v>
      </c>
      <c r="GJ499" s="94">
        <f t="shared" si="244"/>
        <v>7.562</v>
      </c>
      <c r="GK499" s="104"/>
      <c r="GL499" s="104"/>
      <c r="GO499" s="94"/>
    </row>
    <row r="500" spans="3:197">
      <c r="C500" s="80" t="str" cm="1">
        <f t="array" ref="C500">_xlfn.IFS(MONTH(D500)&lt;4,1,MONTH(D500)&lt;7,2,MONTH(D500)&lt;10,3,MONTH(D500)&gt;9,4)&amp;"Q"&amp;RIGHT(YEAR(D500),2)</f>
        <v>1Q18</v>
      </c>
      <c r="D500" s="81">
        <f t="shared" si="258"/>
        <v>43131</v>
      </c>
      <c r="E500" s="82">
        <f t="shared" si="254"/>
        <v>43111</v>
      </c>
      <c r="F500" s="83">
        <f t="shared" si="257"/>
        <v>1.20625</v>
      </c>
      <c r="G500" s="83">
        <f t="shared" si="257"/>
        <v>0.9925</v>
      </c>
      <c r="H500" s="81"/>
      <c r="I500" s="146">
        <v>43111</v>
      </c>
      <c r="J500" s="147">
        <v>9.85</v>
      </c>
      <c r="K500" s="147">
        <v>9.4</v>
      </c>
      <c r="L500" s="147">
        <v>9.65</v>
      </c>
      <c r="M500" s="94" cm="1">
        <f t="array" ref="M500">INDEX($BV$29:$BV$1449,MATCH($D500,$BR$29:$BR$1449,0),)</f>
        <v>7.94</v>
      </c>
      <c r="N500" s="150">
        <f t="shared" si="248"/>
        <v>0</v>
      </c>
      <c r="O500" s="150">
        <f t="shared" si="249"/>
        <v>0.00437135720233139</v>
      </c>
      <c r="P500" s="150">
        <f t="shared" si="247"/>
        <v>0.00311850311850326</v>
      </c>
      <c r="Q500" s="89">
        <f t="shared" si="250"/>
        <v>0.21536523929471</v>
      </c>
      <c r="AH500" s="105">
        <f t="shared" si="255"/>
        <v>46083</v>
      </c>
      <c r="AI500" s="151">
        <f t="shared" si="251"/>
        <v>33.02</v>
      </c>
      <c r="AJ500" s="57">
        <f t="shared" si="245"/>
        <v>0.0482539682539684</v>
      </c>
      <c r="AK500" s="36">
        <f t="shared" si="259"/>
        <v>0.0515923566878982</v>
      </c>
      <c r="AL500" s="105">
        <f t="shared" si="256"/>
        <v>46083</v>
      </c>
      <c r="AM500" s="151">
        <f t="shared" si="252"/>
        <v>39.333</v>
      </c>
      <c r="AN500" s="57">
        <f t="shared" si="246"/>
        <v>0.0323622047244094</v>
      </c>
      <c r="AO500" s="36">
        <f t="shared" si="253"/>
        <v>0.0332571518638189</v>
      </c>
      <c r="AP500" s="36"/>
      <c r="FV500" s="104">
        <f t="shared" ref="FV500:FV563" si="260">YEAR(FX500)</f>
        <v>2012</v>
      </c>
      <c r="FW500" s="104">
        <f t="shared" ref="FW500:FW563" si="261">WEEKNUM(FX500)</f>
        <v>29</v>
      </c>
      <c r="FX500" s="35">
        <v>41111</v>
      </c>
      <c r="FY500" s="26">
        <v>0.94</v>
      </c>
      <c r="FZ500" s="94">
        <f t="shared" ref="FZ500:FZ563" si="262">FY500*4</f>
        <v>3.76</v>
      </c>
      <c r="GA500" s="104"/>
      <c r="GB500" s="104"/>
      <c r="GE500" s="94"/>
      <c r="GF500" s="104">
        <f t="shared" ref="GF500:GF563" si="263">YEAR(GH500)</f>
        <v>2014</v>
      </c>
      <c r="GG500" s="104">
        <f t="shared" ref="GG500:GG563" si="264">WEEKNUM(GH500)</f>
        <v>47</v>
      </c>
      <c r="GH500" s="35">
        <v>41963</v>
      </c>
      <c r="GI500" s="26">
        <v>3.779</v>
      </c>
      <c r="GJ500" s="94">
        <f t="shared" ref="GJ500:GJ563" si="265">GI500*2</f>
        <v>7.558</v>
      </c>
      <c r="GK500" s="104"/>
      <c r="GL500" s="104"/>
      <c r="GO500" s="94"/>
    </row>
    <row r="501" spans="3:197">
      <c r="C501" s="80" t="str" cm="1">
        <f t="array" ref="C501">_xlfn.IFS(MONTH(D501)&lt;4,1,MONTH(D501)&lt;7,2,MONTH(D501)&lt;10,3,MONTH(D501)&gt;9,4)&amp;"Q"&amp;RIGHT(YEAR(D501),2)</f>
        <v>1Q18</v>
      </c>
      <c r="D501" s="81">
        <f t="shared" si="258"/>
        <v>43131</v>
      </c>
      <c r="E501" s="82">
        <f t="shared" si="254"/>
        <v>43112</v>
      </c>
      <c r="F501" s="83">
        <f t="shared" si="257"/>
        <v>1.20625</v>
      </c>
      <c r="G501" s="83">
        <f t="shared" si="257"/>
        <v>0.9925</v>
      </c>
      <c r="H501" s="81"/>
      <c r="I501" s="146">
        <v>43112</v>
      </c>
      <c r="J501" s="147">
        <v>9.85</v>
      </c>
      <c r="K501" s="147">
        <v>9.4</v>
      </c>
      <c r="L501" s="147">
        <v>9.65</v>
      </c>
      <c r="M501" s="94" cm="1">
        <f t="array" ref="M501">INDEX($BV$29:$BV$1449,MATCH($D501,$BR$29:$BR$1449,0),)</f>
        <v>7.94</v>
      </c>
      <c r="N501" s="150">
        <f t="shared" si="248"/>
        <v>0</v>
      </c>
      <c r="O501" s="150">
        <f t="shared" si="249"/>
        <v>0.000103637682661528</v>
      </c>
      <c r="P501" s="150">
        <f t="shared" si="247"/>
        <v>0.00667640308783635</v>
      </c>
      <c r="Q501" s="89">
        <f t="shared" si="250"/>
        <v>0.21536523929471</v>
      </c>
      <c r="AH501" s="105">
        <f t="shared" si="255"/>
        <v>46090</v>
      </c>
      <c r="AI501" s="151">
        <f t="shared" si="251"/>
        <v>33.3</v>
      </c>
      <c r="AJ501" s="57">
        <f t="shared" si="245"/>
        <v>0.00847970926711072</v>
      </c>
      <c r="AK501" s="36">
        <f t="shared" si="259"/>
        <v>0.0571428571428572</v>
      </c>
      <c r="AL501" s="105">
        <f t="shared" si="256"/>
        <v>46090</v>
      </c>
      <c r="AM501" s="151">
        <f t="shared" si="252"/>
        <v>39.683</v>
      </c>
      <c r="AN501" s="57">
        <f t="shared" si="246"/>
        <v>0.00889838049475</v>
      </c>
      <c r="AO501" s="36">
        <f t="shared" si="253"/>
        <v>0.0415485564304461</v>
      </c>
      <c r="AP501" s="36"/>
      <c r="FV501" s="104">
        <f t="shared" si="260"/>
        <v>2012</v>
      </c>
      <c r="FW501" s="104">
        <f t="shared" si="261"/>
        <v>30</v>
      </c>
      <c r="FX501" s="35">
        <v>41112</v>
      </c>
      <c r="FY501" s="26">
        <v>0.94</v>
      </c>
      <c r="FZ501" s="94">
        <f t="shared" si="262"/>
        <v>3.76</v>
      </c>
      <c r="GA501" s="104"/>
      <c r="GB501" s="104"/>
      <c r="GE501" s="94"/>
      <c r="GF501" s="104">
        <f t="shared" si="263"/>
        <v>2014</v>
      </c>
      <c r="GG501" s="104">
        <f t="shared" si="264"/>
        <v>47</v>
      </c>
      <c r="GH501" s="35">
        <v>41964</v>
      </c>
      <c r="GI501" s="26">
        <v>3.769</v>
      </c>
      <c r="GJ501" s="94">
        <f t="shared" si="265"/>
        <v>7.538</v>
      </c>
      <c r="GK501" s="104"/>
      <c r="GL501" s="104"/>
      <c r="GO501" s="94"/>
    </row>
    <row r="502" spans="3:197">
      <c r="C502" s="80" t="str" cm="1">
        <f t="array" ref="C502">_xlfn.IFS(MONTH(D502)&lt;4,1,MONTH(D502)&lt;7,2,MONTH(D502)&lt;10,3,MONTH(D502)&gt;9,4)&amp;"Q"&amp;RIGHT(YEAR(D502),2)</f>
        <v>1Q18</v>
      </c>
      <c r="D502" s="81">
        <f t="shared" si="258"/>
        <v>43131</v>
      </c>
      <c r="E502" s="82">
        <f t="shared" si="254"/>
        <v>43115</v>
      </c>
      <c r="F502" s="83">
        <f t="shared" si="257"/>
        <v>1.20625</v>
      </c>
      <c r="G502" s="83">
        <f t="shared" si="257"/>
        <v>0.9925</v>
      </c>
      <c r="H502" s="81"/>
      <c r="I502" s="146">
        <v>43115</v>
      </c>
      <c r="J502" s="147">
        <v>9.85</v>
      </c>
      <c r="K502" s="147">
        <v>9.4</v>
      </c>
      <c r="L502" s="147">
        <v>9.65</v>
      </c>
      <c r="M502" s="94" cm="1">
        <f t="array" ref="M502">INDEX($BV$29:$BV$1449,MATCH($D502,$BR$29:$BR$1449,0),)</f>
        <v>7.94</v>
      </c>
      <c r="N502" s="150">
        <f t="shared" si="248"/>
        <v>0</v>
      </c>
      <c r="O502" s="150">
        <f t="shared" si="249"/>
        <v>0.000103637682661528</v>
      </c>
      <c r="P502" s="150">
        <f t="shared" si="247"/>
        <v>0.00604670558799003</v>
      </c>
      <c r="Q502" s="89">
        <f t="shared" si="250"/>
        <v>0.21536523929471</v>
      </c>
      <c r="AH502" s="105">
        <f t="shared" si="255"/>
        <v>46097</v>
      </c>
      <c r="AI502" s="151">
        <f t="shared" si="251"/>
        <v>33.58</v>
      </c>
      <c r="AJ502" s="57">
        <f t="shared" ref="AJ502:AJ513" si="266">AI502/AI501-1</f>
        <v>0.0084084084084084</v>
      </c>
      <c r="AK502" s="36">
        <f t="shared" si="259"/>
        <v>0.0169594185342214</v>
      </c>
      <c r="AL502" s="105">
        <f t="shared" si="256"/>
        <v>46097</v>
      </c>
      <c r="AM502" s="151">
        <f t="shared" si="252"/>
        <v>39.5</v>
      </c>
      <c r="AN502" s="57">
        <f t="shared" ref="AN502:AN513" si="267">AM502/AM501-1</f>
        <v>-0.00461154650606055</v>
      </c>
      <c r="AO502" s="36">
        <f t="shared" si="253"/>
        <v>0.0042457986932094</v>
      </c>
      <c r="AP502" s="36"/>
      <c r="FV502" s="104">
        <f t="shared" si="260"/>
        <v>2012</v>
      </c>
      <c r="FW502" s="104">
        <f t="shared" si="261"/>
        <v>30</v>
      </c>
      <c r="FX502" s="35">
        <v>41113</v>
      </c>
      <c r="FY502" s="26">
        <v>0.94</v>
      </c>
      <c r="FZ502" s="94">
        <f t="shared" si="262"/>
        <v>3.76</v>
      </c>
      <c r="GA502" s="104"/>
      <c r="GB502" s="104"/>
      <c r="GE502" s="94"/>
      <c r="GF502" s="104">
        <f t="shared" si="263"/>
        <v>2014</v>
      </c>
      <c r="GG502" s="104">
        <f t="shared" si="264"/>
        <v>48</v>
      </c>
      <c r="GH502" s="35">
        <v>41967</v>
      </c>
      <c r="GI502" s="26">
        <v>3.766</v>
      </c>
      <c r="GJ502" s="94">
        <f t="shared" si="265"/>
        <v>7.532</v>
      </c>
      <c r="GK502" s="104"/>
      <c r="GL502" s="104"/>
      <c r="GO502" s="94"/>
    </row>
    <row r="503" spans="3:197">
      <c r="C503" s="80" t="str" cm="1">
        <f t="array" ref="C503">_xlfn.IFS(MONTH(D503)&lt;4,1,MONTH(D503)&lt;7,2,MONTH(D503)&lt;10,3,MONTH(D503)&gt;9,4)&amp;"Q"&amp;RIGHT(YEAR(D503),2)</f>
        <v>1Q18</v>
      </c>
      <c r="D503" s="81">
        <f t="shared" si="258"/>
        <v>43131</v>
      </c>
      <c r="E503" s="82">
        <f t="shared" si="254"/>
        <v>43116</v>
      </c>
      <c r="F503" s="83">
        <f t="shared" si="257"/>
        <v>1.20625</v>
      </c>
      <c r="G503" s="83">
        <f t="shared" si="257"/>
        <v>0.9925</v>
      </c>
      <c r="H503" s="81"/>
      <c r="I503" s="146">
        <v>43116</v>
      </c>
      <c r="J503" s="147">
        <v>9.85</v>
      </c>
      <c r="K503" s="147">
        <v>9.4</v>
      </c>
      <c r="L503" s="147">
        <v>9.65</v>
      </c>
      <c r="M503" s="94" cm="1">
        <f t="array" ref="M503">INDEX($BV$29:$BV$1449,MATCH($D503,$BR$29:$BR$1449,0),)</f>
        <v>7.94</v>
      </c>
      <c r="N503" s="150">
        <f t="shared" si="248"/>
        <v>0</v>
      </c>
      <c r="O503" s="150">
        <f t="shared" si="249"/>
        <v>0</v>
      </c>
      <c r="P503" s="150">
        <f t="shared" si="247"/>
        <v>0.00604670558799003</v>
      </c>
      <c r="Q503" s="89">
        <f t="shared" si="250"/>
        <v>0.21536523929471</v>
      </c>
      <c r="AH503" s="105">
        <f t="shared" si="255"/>
        <v>46104</v>
      </c>
      <c r="AI503" s="151">
        <f t="shared" si="251"/>
        <v>34</v>
      </c>
      <c r="AJ503" s="57">
        <f t="shared" si="266"/>
        <v>0.0125074449076832</v>
      </c>
      <c r="AK503" s="36">
        <f t="shared" si="259"/>
        <v>0.0210210210210211</v>
      </c>
      <c r="AL503" s="105">
        <f t="shared" si="256"/>
        <v>46104</v>
      </c>
      <c r="AM503" s="151">
        <f t="shared" si="252"/>
        <v>38.667</v>
      </c>
      <c r="AN503" s="57">
        <f t="shared" si="267"/>
        <v>-0.0210886075949367</v>
      </c>
      <c r="AO503" s="36">
        <f t="shared" si="253"/>
        <v>-0.0256029030063251</v>
      </c>
      <c r="AP503" s="36"/>
      <c r="FV503" s="104">
        <f t="shared" si="260"/>
        <v>2012</v>
      </c>
      <c r="FW503" s="104">
        <f t="shared" si="261"/>
        <v>30</v>
      </c>
      <c r="FX503" s="35">
        <v>41114</v>
      </c>
      <c r="FY503" s="26">
        <v>0.93</v>
      </c>
      <c r="FZ503" s="94">
        <f t="shared" si="262"/>
        <v>3.72</v>
      </c>
      <c r="GA503" s="104"/>
      <c r="GB503" s="104"/>
      <c r="GE503" s="94"/>
      <c r="GF503" s="104">
        <f t="shared" si="263"/>
        <v>2014</v>
      </c>
      <c r="GG503" s="104">
        <f t="shared" si="264"/>
        <v>48</v>
      </c>
      <c r="GH503" s="35">
        <v>41968</v>
      </c>
      <c r="GI503" s="26">
        <v>3.764</v>
      </c>
      <c r="GJ503" s="94">
        <f t="shared" si="265"/>
        <v>7.528</v>
      </c>
      <c r="GK503" s="104"/>
      <c r="GL503" s="104"/>
      <c r="GO503" s="94"/>
    </row>
    <row r="504" spans="3:197">
      <c r="C504" s="80" t="str" cm="1">
        <f t="array" ref="C504">_xlfn.IFS(MONTH(D504)&lt;4,1,MONTH(D504)&lt;7,2,MONTH(D504)&lt;10,3,MONTH(D504)&gt;9,4)&amp;"Q"&amp;RIGHT(YEAR(D504),2)</f>
        <v>1Q18</v>
      </c>
      <c r="D504" s="81">
        <f t="shared" si="258"/>
        <v>43131</v>
      </c>
      <c r="E504" s="82">
        <f t="shared" si="254"/>
        <v>43117</v>
      </c>
      <c r="F504" s="83">
        <f t="shared" si="257"/>
        <v>1.20625</v>
      </c>
      <c r="G504" s="83">
        <f t="shared" si="257"/>
        <v>0.9925</v>
      </c>
      <c r="H504" s="81"/>
      <c r="I504" s="146">
        <v>43117</v>
      </c>
      <c r="J504" s="147">
        <v>9.85</v>
      </c>
      <c r="K504" s="147">
        <v>9.4</v>
      </c>
      <c r="L504" s="147">
        <v>9.65</v>
      </c>
      <c r="M504" s="94" cm="1">
        <f t="array" ref="M504">INDEX($BV$29:$BV$1449,MATCH($D504,$BR$29:$BR$1449,0),)</f>
        <v>7.94</v>
      </c>
      <c r="N504" s="150">
        <f t="shared" si="248"/>
        <v>0</v>
      </c>
      <c r="O504" s="150">
        <f t="shared" si="249"/>
        <v>0</v>
      </c>
      <c r="P504" s="150">
        <f t="shared" si="247"/>
        <v>0.00604670558799003</v>
      </c>
      <c r="Q504" s="89">
        <f t="shared" si="250"/>
        <v>0.21536523929471</v>
      </c>
      <c r="AH504" s="105">
        <f t="shared" si="255"/>
        <v>46111</v>
      </c>
      <c r="AI504" s="151">
        <f t="shared" si="251"/>
        <v>34</v>
      </c>
      <c r="AJ504" s="57">
        <f t="shared" si="266"/>
        <v>0</v>
      </c>
      <c r="AK504" s="36">
        <f t="shared" si="259"/>
        <v>0.0125074449076832</v>
      </c>
      <c r="AL504" s="105">
        <f t="shared" si="256"/>
        <v>46111</v>
      </c>
      <c r="AM504" s="151">
        <f t="shared" si="252"/>
        <v>37.458</v>
      </c>
      <c r="AN504" s="57">
        <f t="shared" si="267"/>
        <v>-0.0312669718364498</v>
      </c>
      <c r="AO504" s="36">
        <f t="shared" si="253"/>
        <v>-0.0516962025316456</v>
      </c>
      <c r="AP504" s="36"/>
      <c r="FV504" s="104">
        <f t="shared" si="260"/>
        <v>2012</v>
      </c>
      <c r="FW504" s="104">
        <f t="shared" si="261"/>
        <v>30</v>
      </c>
      <c r="FX504" s="35">
        <v>41115</v>
      </c>
      <c r="FY504" s="26">
        <v>0.93</v>
      </c>
      <c r="FZ504" s="94">
        <f t="shared" si="262"/>
        <v>3.72</v>
      </c>
      <c r="GA504" s="104"/>
      <c r="GB504" s="104"/>
      <c r="GE504" s="94"/>
      <c r="GF504" s="104">
        <f t="shared" si="263"/>
        <v>2014</v>
      </c>
      <c r="GG504" s="104">
        <f t="shared" si="264"/>
        <v>48</v>
      </c>
      <c r="GH504" s="35">
        <v>41969</v>
      </c>
      <c r="GI504" s="26">
        <v>3.754</v>
      </c>
      <c r="GJ504" s="94">
        <f t="shared" si="265"/>
        <v>7.508</v>
      </c>
      <c r="GK504" s="104"/>
      <c r="GL504" s="104"/>
      <c r="GO504" s="94"/>
    </row>
    <row r="505" spans="3:197">
      <c r="C505" s="80" t="str" cm="1">
        <f t="array" ref="C505">_xlfn.IFS(MONTH(D505)&lt;4,1,MONTH(D505)&lt;7,2,MONTH(D505)&lt;10,3,MONTH(D505)&gt;9,4)&amp;"Q"&amp;RIGHT(YEAR(D505),2)</f>
        <v>1Q18</v>
      </c>
      <c r="D505" s="81">
        <f t="shared" si="258"/>
        <v>43131</v>
      </c>
      <c r="E505" s="82">
        <f t="shared" si="254"/>
        <v>43118</v>
      </c>
      <c r="F505" s="83">
        <f t="shared" si="257"/>
        <v>1.197875</v>
      </c>
      <c r="G505" s="83">
        <f t="shared" si="257"/>
        <v>0.9925</v>
      </c>
      <c r="H505" s="81"/>
      <c r="I505" s="146">
        <v>43118</v>
      </c>
      <c r="J505" s="147">
        <v>9.8</v>
      </c>
      <c r="K505" s="147">
        <v>9.4</v>
      </c>
      <c r="L505" s="147">
        <v>9.583</v>
      </c>
      <c r="M505" s="94" cm="1">
        <f t="array" ref="M505">INDEX($BV$29:$BV$1449,MATCH($D505,$BR$29:$BR$1449,0),)</f>
        <v>7.94</v>
      </c>
      <c r="N505" s="150">
        <f t="shared" si="248"/>
        <v>-0.00694300518134716</v>
      </c>
      <c r="O505" s="150">
        <f t="shared" si="249"/>
        <v>-0.00694300518134716</v>
      </c>
      <c r="P505" s="150">
        <f t="shared" si="247"/>
        <v>-0.00260199833472108</v>
      </c>
      <c r="Q505" s="89">
        <f t="shared" si="250"/>
        <v>0.206926952141058</v>
      </c>
      <c r="AH505" s="105">
        <f>AH504+8</f>
        <v>46119</v>
      </c>
      <c r="AI505" s="151">
        <f t="shared" si="251"/>
        <v>33.56</v>
      </c>
      <c r="AJ505" s="57">
        <f t="shared" si="266"/>
        <v>-0.0129411764705881</v>
      </c>
      <c r="AK505" s="36">
        <f t="shared" si="259"/>
        <v>-0.0129411764705881</v>
      </c>
      <c r="AL505" s="105">
        <f>AL504+8</f>
        <v>46119</v>
      </c>
      <c r="AM505" s="151">
        <f t="shared" si="252"/>
        <v>37</v>
      </c>
      <c r="AN505" s="57">
        <f t="shared" si="267"/>
        <v>-0.0122270276042501</v>
      </c>
      <c r="AO505" s="36">
        <f t="shared" si="253"/>
        <v>-0.0431116973129543</v>
      </c>
      <c r="AP505" s="36"/>
      <c r="FV505" s="104">
        <f t="shared" si="260"/>
        <v>2012</v>
      </c>
      <c r="FW505" s="104">
        <f t="shared" si="261"/>
        <v>30</v>
      </c>
      <c r="FX505" s="35">
        <v>41116</v>
      </c>
      <c r="FY505" s="26">
        <v>0.93</v>
      </c>
      <c r="FZ505" s="94">
        <f t="shared" si="262"/>
        <v>3.72</v>
      </c>
      <c r="GA505" s="104"/>
      <c r="GB505" s="104"/>
      <c r="GE505" s="94"/>
      <c r="GF505" s="104">
        <f t="shared" si="263"/>
        <v>2014</v>
      </c>
      <c r="GG505" s="104">
        <f t="shared" si="264"/>
        <v>48</v>
      </c>
      <c r="GH505" s="35">
        <v>41971</v>
      </c>
      <c r="GI505" s="26">
        <v>3.749</v>
      </c>
      <c r="GJ505" s="94">
        <f t="shared" si="265"/>
        <v>7.498</v>
      </c>
      <c r="GK505" s="104"/>
      <c r="GL505" s="104"/>
      <c r="GO505" s="94"/>
    </row>
    <row r="506" spans="3:197">
      <c r="C506" s="80" t="str" cm="1">
        <f t="array" ref="C506">_xlfn.IFS(MONTH(D506)&lt;4,1,MONTH(D506)&lt;7,2,MONTH(D506)&lt;10,3,MONTH(D506)&gt;9,4)&amp;"Q"&amp;RIGHT(YEAR(D506),2)</f>
        <v>1Q18</v>
      </c>
      <c r="D506" s="81">
        <f t="shared" si="258"/>
        <v>43131</v>
      </c>
      <c r="E506" s="82">
        <f t="shared" si="254"/>
        <v>43119</v>
      </c>
      <c r="F506" s="83">
        <f t="shared" si="257"/>
        <v>1.194625</v>
      </c>
      <c r="G506" s="83">
        <f t="shared" si="257"/>
        <v>0.9925</v>
      </c>
      <c r="H506" s="81"/>
      <c r="I506" s="146">
        <v>43119</v>
      </c>
      <c r="J506" s="147">
        <v>9.75</v>
      </c>
      <c r="K506" s="147">
        <v>9.32</v>
      </c>
      <c r="L506" s="147">
        <v>9.557</v>
      </c>
      <c r="M506" s="94" cm="1">
        <f t="array" ref="M506">INDEX($BV$29:$BV$1449,MATCH($D506,$BR$29:$BR$1449,0),)</f>
        <v>7.94</v>
      </c>
      <c r="N506" s="150">
        <f t="shared" si="248"/>
        <v>-0.00271313784827298</v>
      </c>
      <c r="O506" s="150">
        <f t="shared" si="249"/>
        <v>-0.00963730569948185</v>
      </c>
      <c r="P506" s="150">
        <f t="shared" si="247"/>
        <v>-0.00953466680485016</v>
      </c>
      <c r="Q506" s="89">
        <f t="shared" si="250"/>
        <v>0.203652392947103</v>
      </c>
      <c r="AH506" s="105">
        <f>AH505+6</f>
        <v>46125</v>
      </c>
      <c r="AI506" s="151">
        <f t="shared" si="251"/>
        <v>33.4</v>
      </c>
      <c r="AJ506" s="57">
        <f t="shared" si="266"/>
        <v>-0.00476758045292025</v>
      </c>
      <c r="AK506" s="36">
        <f t="shared" si="259"/>
        <v>-0.0176470588235295</v>
      </c>
      <c r="AL506" s="105">
        <f>AL505+6</f>
        <v>46125</v>
      </c>
      <c r="AM506" s="151">
        <f t="shared" si="252"/>
        <v>37.1</v>
      </c>
      <c r="AN506" s="57">
        <f t="shared" si="267"/>
        <v>0.00270270270270268</v>
      </c>
      <c r="AO506" s="36">
        <f t="shared" si="253"/>
        <v>-0.0095573709220993</v>
      </c>
      <c r="AP506" s="36"/>
      <c r="FV506" s="104">
        <f t="shared" si="260"/>
        <v>2012</v>
      </c>
      <c r="FW506" s="104">
        <f t="shared" si="261"/>
        <v>30</v>
      </c>
      <c r="FX506" s="35">
        <v>41117</v>
      </c>
      <c r="FY506" s="26">
        <v>0.93</v>
      </c>
      <c r="FZ506" s="94">
        <f t="shared" si="262"/>
        <v>3.72</v>
      </c>
      <c r="GA506" s="104"/>
      <c r="GB506" s="104"/>
      <c r="GE506" s="94"/>
      <c r="GF506" s="104">
        <f t="shared" si="263"/>
        <v>2014</v>
      </c>
      <c r="GG506" s="104">
        <f t="shared" si="264"/>
        <v>49</v>
      </c>
      <c r="GH506" s="35">
        <v>41974</v>
      </c>
      <c r="GI506" s="26">
        <v>3.747</v>
      </c>
      <c r="GJ506" s="94">
        <f t="shared" si="265"/>
        <v>7.494</v>
      </c>
      <c r="GK506" s="104"/>
      <c r="GL506" s="104"/>
      <c r="GO506" s="94"/>
    </row>
    <row r="507" spans="3:197">
      <c r="C507" s="80" t="str" cm="1">
        <f t="array" ref="C507">_xlfn.IFS(MONTH(D507)&lt;4,1,MONTH(D507)&lt;7,2,MONTH(D507)&lt;10,3,MONTH(D507)&gt;9,4)&amp;"Q"&amp;RIGHT(YEAR(D507),2)</f>
        <v>1Q18</v>
      </c>
      <c r="D507" s="81">
        <f t="shared" si="258"/>
        <v>43131</v>
      </c>
      <c r="E507" s="82">
        <f t="shared" si="254"/>
        <v>43122</v>
      </c>
      <c r="F507" s="83">
        <f t="shared" si="257"/>
        <v>1.19375</v>
      </c>
      <c r="G507" s="83">
        <f t="shared" si="257"/>
        <v>0.9925</v>
      </c>
      <c r="H507" s="81"/>
      <c r="I507" s="146">
        <v>43122</v>
      </c>
      <c r="J507" s="147">
        <v>9.75</v>
      </c>
      <c r="K507" s="147">
        <v>9.32</v>
      </c>
      <c r="L507" s="147">
        <v>9.55</v>
      </c>
      <c r="M507" s="94" cm="1">
        <f t="array" ref="M507">INDEX($BV$29:$BV$1449,MATCH($D507,$BR$29:$BR$1449,0),)</f>
        <v>7.94</v>
      </c>
      <c r="N507" s="150">
        <f t="shared" si="248"/>
        <v>-0.000732447420738747</v>
      </c>
      <c r="O507" s="150">
        <f t="shared" si="249"/>
        <v>-0.0103626943005181</v>
      </c>
      <c r="P507" s="150">
        <f t="shared" si="247"/>
        <v>-0.01026013058348</v>
      </c>
      <c r="Q507" s="89">
        <f t="shared" si="250"/>
        <v>0.202770780856423</v>
      </c>
      <c r="AH507" s="105">
        <f t="shared" ref="AH507:AH513" si="268">AH506+7</f>
        <v>46132</v>
      </c>
      <c r="AI507" s="151">
        <f t="shared" si="251"/>
        <v>33</v>
      </c>
      <c r="AJ507" s="57">
        <f t="shared" si="266"/>
        <v>-0.0119760479041916</v>
      </c>
      <c r="AK507" s="36">
        <f t="shared" si="259"/>
        <v>-0.0166865315852206</v>
      </c>
      <c r="AL507" s="105">
        <f t="shared" ref="AL507:AL513" si="269">AL506+7</f>
        <v>46132</v>
      </c>
      <c r="AM507" s="151">
        <f t="shared" si="252"/>
        <v>38.667</v>
      </c>
      <c r="AN507" s="57">
        <f t="shared" si="267"/>
        <v>0.0422371967654986</v>
      </c>
      <c r="AO507" s="36">
        <f t="shared" si="253"/>
        <v>0.045054054054054</v>
      </c>
      <c r="AP507" s="36"/>
      <c r="FV507" s="104">
        <f t="shared" si="260"/>
        <v>2012</v>
      </c>
      <c r="FW507" s="104">
        <f t="shared" si="261"/>
        <v>30</v>
      </c>
      <c r="FX507" s="35">
        <v>41118</v>
      </c>
      <c r="FY507" s="26">
        <v>0.93</v>
      </c>
      <c r="FZ507" s="94">
        <f t="shared" si="262"/>
        <v>3.72</v>
      </c>
      <c r="GA507" s="104"/>
      <c r="GB507" s="104"/>
      <c r="GE507" s="94"/>
      <c r="GF507" s="104">
        <f t="shared" si="263"/>
        <v>2014</v>
      </c>
      <c r="GG507" s="104">
        <f t="shared" si="264"/>
        <v>49</v>
      </c>
      <c r="GH507" s="35">
        <v>41975</v>
      </c>
      <c r="GI507" s="26">
        <v>3.747</v>
      </c>
      <c r="GJ507" s="94">
        <f t="shared" si="265"/>
        <v>7.494</v>
      </c>
      <c r="GK507" s="104"/>
      <c r="GL507" s="104"/>
      <c r="GO507" s="94"/>
    </row>
    <row r="508" spans="3:197">
      <c r="C508" s="80" t="str" cm="1">
        <f t="array" ref="C508">_xlfn.IFS(MONTH(D508)&lt;4,1,MONTH(D508)&lt;7,2,MONTH(D508)&lt;10,3,MONTH(D508)&gt;9,4)&amp;"Q"&amp;RIGHT(YEAR(D508),2)</f>
        <v>1Q18</v>
      </c>
      <c r="D508" s="81">
        <f t="shared" si="258"/>
        <v>43131</v>
      </c>
      <c r="E508" s="82">
        <f t="shared" si="254"/>
        <v>43123</v>
      </c>
      <c r="F508" s="83">
        <f t="shared" si="257"/>
        <v>1.19375</v>
      </c>
      <c r="G508" s="83">
        <f t="shared" si="257"/>
        <v>0.9925</v>
      </c>
      <c r="H508" s="81"/>
      <c r="I508" s="146">
        <v>43123</v>
      </c>
      <c r="J508" s="147">
        <v>9.75</v>
      </c>
      <c r="K508" s="147">
        <v>9.32</v>
      </c>
      <c r="L508" s="147">
        <v>9.55</v>
      </c>
      <c r="M508" s="94" cm="1">
        <f t="array" ref="M508">INDEX($BV$29:$BV$1449,MATCH($D508,$BR$29:$BR$1449,0),)</f>
        <v>7.94</v>
      </c>
      <c r="N508" s="150">
        <f t="shared" si="248"/>
        <v>0</v>
      </c>
      <c r="O508" s="150">
        <f t="shared" si="249"/>
        <v>-0.0103626943005181</v>
      </c>
      <c r="P508" s="150">
        <f t="shared" si="247"/>
        <v>-0.0103626943005181</v>
      </c>
      <c r="Q508" s="89">
        <f t="shared" si="250"/>
        <v>0.202770780856423</v>
      </c>
      <c r="AH508" s="105">
        <f t="shared" si="268"/>
        <v>46139</v>
      </c>
      <c r="AI508" s="151">
        <f t="shared" si="251"/>
        <v>32.5</v>
      </c>
      <c r="AJ508" s="57">
        <f t="shared" si="266"/>
        <v>-0.0151515151515151</v>
      </c>
      <c r="AK508" s="36">
        <f t="shared" si="259"/>
        <v>-0.0269461077844311</v>
      </c>
      <c r="AL508" s="105">
        <f t="shared" si="269"/>
        <v>46139</v>
      </c>
      <c r="AM508" s="151">
        <f t="shared" si="252"/>
        <v>38.433</v>
      </c>
      <c r="AN508" s="57">
        <f t="shared" si="267"/>
        <v>-0.00605167196834511</v>
      </c>
      <c r="AO508" s="36">
        <f t="shared" si="253"/>
        <v>0.0359299191374662</v>
      </c>
      <c r="AP508" s="36"/>
      <c r="FV508" s="104">
        <f t="shared" si="260"/>
        <v>2012</v>
      </c>
      <c r="FW508" s="104">
        <f t="shared" si="261"/>
        <v>31</v>
      </c>
      <c r="FX508" s="35">
        <v>41119</v>
      </c>
      <c r="FY508" s="26">
        <v>0.93</v>
      </c>
      <c r="FZ508" s="94">
        <f t="shared" si="262"/>
        <v>3.72</v>
      </c>
      <c r="GA508" s="104"/>
      <c r="GB508" s="104"/>
      <c r="GE508" s="94"/>
      <c r="GF508" s="104">
        <f t="shared" si="263"/>
        <v>2014</v>
      </c>
      <c r="GG508" s="104">
        <f t="shared" si="264"/>
        <v>49</v>
      </c>
      <c r="GH508" s="35">
        <v>41976</v>
      </c>
      <c r="GI508" s="26">
        <v>3.742</v>
      </c>
      <c r="GJ508" s="94">
        <f t="shared" si="265"/>
        <v>7.484</v>
      </c>
      <c r="GK508" s="104"/>
      <c r="GL508" s="104"/>
      <c r="GO508" s="94"/>
    </row>
    <row r="509" spans="3:197">
      <c r="C509" s="80" t="str" cm="1">
        <f t="array" ref="C509">_xlfn.IFS(MONTH(D509)&lt;4,1,MONTH(D509)&lt;7,2,MONTH(D509)&lt;10,3,MONTH(D509)&gt;9,4)&amp;"Q"&amp;RIGHT(YEAR(D509),2)</f>
        <v>1Q18</v>
      </c>
      <c r="D509" s="81">
        <f t="shared" si="258"/>
        <v>43131</v>
      </c>
      <c r="E509" s="82">
        <f t="shared" si="254"/>
        <v>43124</v>
      </c>
      <c r="F509" s="83">
        <f t="shared" si="257"/>
        <v>1.197875</v>
      </c>
      <c r="G509" s="83">
        <f t="shared" si="257"/>
        <v>0.9925</v>
      </c>
      <c r="H509" s="81"/>
      <c r="I509" s="146">
        <v>43124</v>
      </c>
      <c r="J509" s="147">
        <v>9.8</v>
      </c>
      <c r="K509" s="147">
        <v>9.33</v>
      </c>
      <c r="L509" s="147">
        <v>9.583</v>
      </c>
      <c r="M509" s="94" cm="1">
        <f t="array" ref="M509">INDEX($BV$29:$BV$1449,MATCH($D509,$BR$29:$BR$1449,0),)</f>
        <v>7.94</v>
      </c>
      <c r="N509" s="150">
        <f t="shared" si="248"/>
        <v>0.00345549738219897</v>
      </c>
      <c r="O509" s="150">
        <f t="shared" si="249"/>
        <v>-0.00694300518134716</v>
      </c>
      <c r="P509" s="150">
        <f t="shared" si="247"/>
        <v>-0.00694300518134716</v>
      </c>
      <c r="Q509" s="89">
        <f t="shared" si="250"/>
        <v>0.206926952141058</v>
      </c>
      <c r="AH509" s="105">
        <f t="shared" si="268"/>
        <v>46146</v>
      </c>
      <c r="AI509" s="151">
        <f t="shared" si="251"/>
        <v>32.4</v>
      </c>
      <c r="AJ509" s="57">
        <f t="shared" si="266"/>
        <v>-0.00307692307692309</v>
      </c>
      <c r="AK509" s="36">
        <f t="shared" si="259"/>
        <v>-0.0181818181818182</v>
      </c>
      <c r="AL509" s="105">
        <f t="shared" si="269"/>
        <v>46146</v>
      </c>
      <c r="AM509" s="151">
        <f t="shared" si="252"/>
        <v>38.833</v>
      </c>
      <c r="AN509" s="57">
        <f t="shared" si="267"/>
        <v>0.0104077225301173</v>
      </c>
      <c r="AO509" s="36">
        <f t="shared" si="253"/>
        <v>0.00429306643908234</v>
      </c>
      <c r="AP509" s="36"/>
      <c r="FV509" s="104">
        <f t="shared" si="260"/>
        <v>2012</v>
      </c>
      <c r="FW509" s="104">
        <f t="shared" si="261"/>
        <v>31</v>
      </c>
      <c r="FX509" s="35">
        <v>41120</v>
      </c>
      <c r="FY509" s="26">
        <v>0.93</v>
      </c>
      <c r="FZ509" s="94">
        <f t="shared" si="262"/>
        <v>3.72</v>
      </c>
      <c r="GA509" s="104"/>
      <c r="GB509" s="104"/>
      <c r="GE509" s="94"/>
      <c r="GF509" s="104">
        <f t="shared" si="263"/>
        <v>2014</v>
      </c>
      <c r="GG509" s="104">
        <f t="shared" si="264"/>
        <v>49</v>
      </c>
      <c r="GH509" s="35">
        <v>41977</v>
      </c>
      <c r="GI509" s="26">
        <v>3.741</v>
      </c>
      <c r="GJ509" s="94">
        <f t="shared" si="265"/>
        <v>7.482</v>
      </c>
      <c r="GK509" s="104"/>
      <c r="GL509" s="104"/>
      <c r="GO509" s="94"/>
    </row>
    <row r="510" spans="3:197">
      <c r="C510" s="80" t="str" cm="1">
        <f t="array" ref="C510">_xlfn.IFS(MONTH(D510)&lt;4,1,MONTH(D510)&lt;7,2,MONTH(D510)&lt;10,3,MONTH(D510)&gt;9,4)&amp;"Q"&amp;RIGHT(YEAR(D510),2)</f>
        <v>1Q18</v>
      </c>
      <c r="D510" s="81">
        <f t="shared" si="258"/>
        <v>43131</v>
      </c>
      <c r="E510" s="82">
        <f t="shared" si="254"/>
        <v>43125</v>
      </c>
      <c r="F510" s="83">
        <f t="shared" si="257"/>
        <v>1.197875</v>
      </c>
      <c r="G510" s="83">
        <f t="shared" si="257"/>
        <v>0.9925</v>
      </c>
      <c r="H510" s="81"/>
      <c r="I510" s="146">
        <v>43125</v>
      </c>
      <c r="J510" s="147">
        <v>9.8</v>
      </c>
      <c r="K510" s="147">
        <v>9.3</v>
      </c>
      <c r="L510" s="147">
        <v>9.583</v>
      </c>
      <c r="M510" s="94" cm="1">
        <f t="array" ref="M510">INDEX($BV$29:$BV$1449,MATCH($D510,$BR$29:$BR$1449,0),)</f>
        <v>7.94</v>
      </c>
      <c r="N510" s="150">
        <f t="shared" si="248"/>
        <v>0</v>
      </c>
      <c r="O510" s="150">
        <f t="shared" si="249"/>
        <v>0</v>
      </c>
      <c r="P510" s="150">
        <f t="shared" si="247"/>
        <v>-0.00694300518134716</v>
      </c>
      <c r="Q510" s="89">
        <f t="shared" si="250"/>
        <v>0.206926952141058</v>
      </c>
      <c r="AH510" s="105">
        <f t="shared" si="268"/>
        <v>46153</v>
      </c>
      <c r="AI510" s="151">
        <f t="shared" si="251"/>
        <v>32.3</v>
      </c>
      <c r="AJ510" s="57">
        <f t="shared" si="266"/>
        <v>-0.00308641975308643</v>
      </c>
      <c r="AK510" s="36">
        <f t="shared" si="259"/>
        <v>-0.00615384615384629</v>
      </c>
      <c r="AL510" s="105">
        <f t="shared" si="269"/>
        <v>46153</v>
      </c>
      <c r="AM510" s="151">
        <f t="shared" si="252"/>
        <v>40.2</v>
      </c>
      <c r="AN510" s="57">
        <f t="shared" si="267"/>
        <v>0.0352020189014499</v>
      </c>
      <c r="AO510" s="36">
        <f t="shared" si="253"/>
        <v>0.0459761142767934</v>
      </c>
      <c r="AP510" s="36"/>
      <c r="FV510" s="104">
        <f t="shared" si="260"/>
        <v>2012</v>
      </c>
      <c r="FW510" s="104">
        <f t="shared" si="261"/>
        <v>31</v>
      </c>
      <c r="FX510" s="35">
        <v>41121</v>
      </c>
      <c r="FY510" s="26">
        <v>0.93</v>
      </c>
      <c r="FZ510" s="94">
        <f t="shared" si="262"/>
        <v>3.72</v>
      </c>
      <c r="GA510" s="104"/>
      <c r="GB510" s="104"/>
      <c r="GE510" s="94"/>
      <c r="GF510" s="104">
        <f t="shared" si="263"/>
        <v>2014</v>
      </c>
      <c r="GG510" s="104">
        <f t="shared" si="264"/>
        <v>49</v>
      </c>
      <c r="GH510" s="35">
        <v>41978</v>
      </c>
      <c r="GI510" s="26">
        <v>3.739</v>
      </c>
      <c r="GJ510" s="94">
        <f t="shared" si="265"/>
        <v>7.478</v>
      </c>
      <c r="GK510" s="104"/>
      <c r="GL510" s="104"/>
      <c r="GO510" s="94"/>
    </row>
    <row r="511" spans="3:197">
      <c r="C511" s="80" t="str" cm="1">
        <f t="array" ref="C511">_xlfn.IFS(MONTH(D511)&lt;4,1,MONTH(D511)&lt;7,2,MONTH(D511)&lt;10,3,MONTH(D511)&gt;9,4)&amp;"Q"&amp;RIGHT(YEAR(D511),2)</f>
        <v>1Q18</v>
      </c>
      <c r="D511" s="81">
        <f t="shared" si="258"/>
        <v>43131</v>
      </c>
      <c r="E511" s="82">
        <f t="shared" si="254"/>
        <v>43126</v>
      </c>
      <c r="F511" s="83">
        <f t="shared" si="257"/>
        <v>1.197875</v>
      </c>
      <c r="G511" s="83">
        <f t="shared" si="257"/>
        <v>0.9925</v>
      </c>
      <c r="H511" s="81"/>
      <c r="I511" s="146">
        <v>43126</v>
      </c>
      <c r="J511" s="147">
        <v>9.8</v>
      </c>
      <c r="K511" s="147">
        <v>9.3</v>
      </c>
      <c r="L511" s="147">
        <v>9.583</v>
      </c>
      <c r="M511" s="94" cm="1">
        <f t="array" ref="M511">INDEX($BV$29:$BV$1449,MATCH($D511,$BR$29:$BR$1449,0),)</f>
        <v>7.94</v>
      </c>
      <c r="N511" s="150">
        <f t="shared" si="248"/>
        <v>0</v>
      </c>
      <c r="O511" s="150">
        <f t="shared" si="249"/>
        <v>0.00272051899131531</v>
      </c>
      <c r="P511" s="150">
        <f t="shared" si="247"/>
        <v>-0.00694300518134716</v>
      </c>
      <c r="Q511" s="89">
        <f t="shared" si="250"/>
        <v>0.206926952141058</v>
      </c>
      <c r="AH511" s="105">
        <f t="shared" si="268"/>
        <v>46160</v>
      </c>
      <c r="AI511" s="151">
        <f t="shared" si="251"/>
        <v>32</v>
      </c>
      <c r="AJ511" s="57">
        <f t="shared" si="266"/>
        <v>-0.00928792569659431</v>
      </c>
      <c r="AK511" s="36">
        <f t="shared" si="259"/>
        <v>-0.0123456790123456</v>
      </c>
      <c r="AL511" s="105">
        <f t="shared" si="269"/>
        <v>46160</v>
      </c>
      <c r="AM511" s="151">
        <f t="shared" si="252"/>
        <v>41.267</v>
      </c>
      <c r="AN511" s="57">
        <f t="shared" si="267"/>
        <v>0.026542288557214</v>
      </c>
      <c r="AO511" s="36">
        <f t="shared" si="253"/>
        <v>0.0626786496021425</v>
      </c>
      <c r="AP511" s="36"/>
      <c r="FV511" s="104">
        <f t="shared" si="260"/>
        <v>2012</v>
      </c>
      <c r="FW511" s="104">
        <f t="shared" si="261"/>
        <v>31</v>
      </c>
      <c r="FX511" s="35">
        <v>41122</v>
      </c>
      <c r="FY511" s="26">
        <v>0.92</v>
      </c>
      <c r="FZ511" s="94">
        <f t="shared" si="262"/>
        <v>3.68</v>
      </c>
      <c r="GA511" s="104"/>
      <c r="GB511" s="104"/>
      <c r="GE511" s="94"/>
      <c r="GF511" s="104">
        <f t="shared" si="263"/>
        <v>2014</v>
      </c>
      <c r="GG511" s="104">
        <f t="shared" si="264"/>
        <v>50</v>
      </c>
      <c r="GH511" s="35">
        <v>41981</v>
      </c>
      <c r="GI511" s="26">
        <v>3.724</v>
      </c>
      <c r="GJ511" s="94">
        <f t="shared" si="265"/>
        <v>7.448</v>
      </c>
      <c r="GK511" s="104"/>
      <c r="GL511" s="104"/>
      <c r="GO511" s="94"/>
    </row>
    <row r="512" spans="3:197">
      <c r="C512" s="80" t="str" cm="1">
        <f t="array" ref="C512">_xlfn.IFS(MONTH(D512)&lt;4,1,MONTH(D512)&lt;7,2,MONTH(D512)&lt;10,3,MONTH(D512)&gt;9,4)&amp;"Q"&amp;RIGHT(YEAR(D512),2)</f>
        <v>1Q18</v>
      </c>
      <c r="D512" s="81">
        <f t="shared" si="258"/>
        <v>43131</v>
      </c>
      <c r="E512" s="82">
        <f t="shared" si="254"/>
        <v>43129</v>
      </c>
      <c r="F512" s="83">
        <f t="shared" si="257"/>
        <v>1.185375</v>
      </c>
      <c r="G512" s="83">
        <f t="shared" si="257"/>
        <v>0.9925</v>
      </c>
      <c r="H512" s="81"/>
      <c r="I512" s="146">
        <v>43129</v>
      </c>
      <c r="J512" s="147">
        <v>9.75</v>
      </c>
      <c r="K512" s="147">
        <v>9.05</v>
      </c>
      <c r="L512" s="147">
        <v>9.483</v>
      </c>
      <c r="M512" s="94" cm="1">
        <f t="array" ref="M512">INDEX($BV$29:$BV$1449,MATCH($D512,$BR$29:$BR$1449,0),)</f>
        <v>7.94</v>
      </c>
      <c r="N512" s="150">
        <f t="shared" si="248"/>
        <v>-0.0104351455702807</v>
      </c>
      <c r="O512" s="150">
        <f t="shared" si="249"/>
        <v>-0.00701570680628272</v>
      </c>
      <c r="P512" s="150">
        <f t="shared" ref="P512:P575" si="270">L512/L502-1</f>
        <v>-0.0173056994818652</v>
      </c>
      <c r="Q512" s="89">
        <f t="shared" si="250"/>
        <v>0.194332493702771</v>
      </c>
      <c r="AH512" s="105">
        <f t="shared" si="268"/>
        <v>46167</v>
      </c>
      <c r="AI512" s="151">
        <f t="shared" si="251"/>
        <v>33.5</v>
      </c>
      <c r="AJ512" s="57">
        <f t="shared" si="266"/>
        <v>0.046875</v>
      </c>
      <c r="AK512" s="36">
        <f t="shared" si="259"/>
        <v>0.0371517027863777</v>
      </c>
      <c r="AL512" s="105">
        <f t="shared" si="269"/>
        <v>46167</v>
      </c>
      <c r="AM512" s="151">
        <f t="shared" si="252"/>
        <v>41.667</v>
      </c>
      <c r="AN512" s="57">
        <f t="shared" si="267"/>
        <v>0.0096929750163568</v>
      </c>
      <c r="AO512" s="36">
        <f t="shared" si="253"/>
        <v>0.0364925373134328</v>
      </c>
      <c r="AP512" s="36"/>
      <c r="FV512" s="104">
        <f t="shared" si="260"/>
        <v>2012</v>
      </c>
      <c r="FW512" s="104">
        <f t="shared" si="261"/>
        <v>31</v>
      </c>
      <c r="FX512" s="35">
        <v>41123</v>
      </c>
      <c r="FY512" s="26">
        <v>0.92</v>
      </c>
      <c r="FZ512" s="94">
        <f t="shared" si="262"/>
        <v>3.68</v>
      </c>
      <c r="GA512" s="104"/>
      <c r="GB512" s="104"/>
      <c r="GE512" s="94"/>
      <c r="GF512" s="104">
        <f t="shared" si="263"/>
        <v>2014</v>
      </c>
      <c r="GG512" s="104">
        <f t="shared" si="264"/>
        <v>50</v>
      </c>
      <c r="GH512" s="35">
        <v>41982</v>
      </c>
      <c r="GI512" s="26">
        <v>3.722</v>
      </c>
      <c r="GJ512" s="94">
        <f t="shared" si="265"/>
        <v>7.444</v>
      </c>
      <c r="GK512" s="104"/>
      <c r="GL512" s="104"/>
      <c r="GO512" s="94"/>
    </row>
    <row r="513" spans="3:197">
      <c r="C513" s="80" t="str" cm="1">
        <f t="array" ref="C513">_xlfn.IFS(MONTH(D513)&lt;4,1,MONTH(D513)&lt;7,2,MONTH(D513)&lt;10,3,MONTH(D513)&gt;9,4)&amp;"Q"&amp;RIGHT(YEAR(D513),2)</f>
        <v>1Q18</v>
      </c>
      <c r="D513" s="81">
        <f t="shared" si="258"/>
        <v>43131</v>
      </c>
      <c r="E513" s="82">
        <f t="shared" si="254"/>
        <v>43130</v>
      </c>
      <c r="F513" s="83">
        <f t="shared" si="257"/>
        <v>1.17825</v>
      </c>
      <c r="G513" s="83">
        <f t="shared" si="257"/>
        <v>0.9925</v>
      </c>
      <c r="H513" s="81"/>
      <c r="I513" s="146">
        <v>43130</v>
      </c>
      <c r="J513" s="147">
        <v>9.65</v>
      </c>
      <c r="K513" s="147">
        <v>9.05</v>
      </c>
      <c r="L513" s="147">
        <v>9.426</v>
      </c>
      <c r="M513" s="94" cm="1">
        <f t="array" ref="M513">INDEX($BV$29:$BV$1449,MATCH($D513,$BR$29:$BR$1449,0),)</f>
        <v>7.94</v>
      </c>
      <c r="N513" s="150">
        <f t="shared" ref="N513:N530" si="271">L513/L512-1</f>
        <v>-0.00601075608984503</v>
      </c>
      <c r="O513" s="150">
        <f t="shared" ref="O513:O532" si="272">L513/L508-1</f>
        <v>-0.0129842931937173</v>
      </c>
      <c r="P513" s="150">
        <f t="shared" si="270"/>
        <v>-0.0232124352331606</v>
      </c>
      <c r="Q513" s="89">
        <f t="shared" ref="Q513:Q576" si="273">L513/M513-1</f>
        <v>0.187153652392947</v>
      </c>
      <c r="AH513" s="105">
        <f t="shared" si="268"/>
        <v>46174</v>
      </c>
      <c r="AI513" s="151">
        <f t="shared" si="251"/>
        <v>34.5</v>
      </c>
      <c r="AJ513" s="57">
        <f t="shared" si="266"/>
        <v>0.0298507462686568</v>
      </c>
      <c r="AK513" s="36">
        <f t="shared" si="259"/>
        <v>0.078125</v>
      </c>
      <c r="AL513" s="105">
        <f t="shared" si="269"/>
        <v>46174</v>
      </c>
      <c r="AM513" s="151">
        <f t="shared" si="252"/>
        <v>42.267</v>
      </c>
      <c r="AN513" s="57">
        <f t="shared" si="267"/>
        <v>0.0143998848009217</v>
      </c>
      <c r="AO513" s="36">
        <f t="shared" si="253"/>
        <v>0.0242324375408922</v>
      </c>
      <c r="AP513" s="36"/>
      <c r="FV513" s="104">
        <f t="shared" si="260"/>
        <v>2012</v>
      </c>
      <c r="FW513" s="104">
        <f t="shared" si="261"/>
        <v>31</v>
      </c>
      <c r="FX513" s="35">
        <v>41124</v>
      </c>
      <c r="FY513" s="26">
        <v>0.92</v>
      </c>
      <c r="FZ513" s="94">
        <f t="shared" si="262"/>
        <v>3.68</v>
      </c>
      <c r="GA513" s="104"/>
      <c r="GB513" s="104"/>
      <c r="GE513" s="94"/>
      <c r="GF513" s="104">
        <f t="shared" si="263"/>
        <v>2014</v>
      </c>
      <c r="GG513" s="104">
        <f t="shared" si="264"/>
        <v>50</v>
      </c>
      <c r="GH513" s="35">
        <v>41983</v>
      </c>
      <c r="GI513" s="26">
        <v>3.71</v>
      </c>
      <c r="GJ513" s="94">
        <f t="shared" si="265"/>
        <v>7.42</v>
      </c>
      <c r="GK513" s="104"/>
      <c r="GL513" s="104"/>
      <c r="GO513" s="94"/>
    </row>
    <row r="514" spans="3:197">
      <c r="C514" s="80" t="str" cm="1">
        <f t="array" ref="C514">_xlfn.IFS(MONTH(D514)&lt;4,1,MONTH(D514)&lt;7,2,MONTH(D514)&lt;10,3,MONTH(D514)&gt;9,4)&amp;"Q"&amp;RIGHT(YEAR(D514),2)</f>
        <v>1Q18</v>
      </c>
      <c r="D514" s="81">
        <f t="shared" si="258"/>
        <v>43131</v>
      </c>
      <c r="E514" s="82">
        <f t="shared" si="254"/>
        <v>43131</v>
      </c>
      <c r="F514" s="83">
        <f t="shared" si="257"/>
        <v>1.17375</v>
      </c>
      <c r="G514" s="83">
        <f t="shared" si="257"/>
        <v>0.9925</v>
      </c>
      <c r="H514" s="81"/>
      <c r="I514" s="146">
        <v>43131</v>
      </c>
      <c r="J514" s="147">
        <v>9.6</v>
      </c>
      <c r="K514" s="147">
        <v>9.1</v>
      </c>
      <c r="L514" s="147">
        <v>9.39</v>
      </c>
      <c r="M514" s="94" cm="1">
        <f t="array" ref="M514">INDEX($BV$29:$BV$1449,MATCH($D514,$BR$29:$BR$1449,0),)</f>
        <v>7.94</v>
      </c>
      <c r="N514" s="150">
        <f t="shared" si="271"/>
        <v>-0.00381922342457031</v>
      </c>
      <c r="O514" s="150">
        <f t="shared" si="272"/>
        <v>-0.0201398309506418</v>
      </c>
      <c r="P514" s="150">
        <f t="shared" si="270"/>
        <v>-0.0269430051813472</v>
      </c>
      <c r="Q514" s="89">
        <f t="shared" si="273"/>
        <v>0.182619647355164</v>
      </c>
      <c r="AH514" s="90"/>
      <c r="AI514" s="85"/>
      <c r="AJ514" s="36"/>
      <c r="AK514" s="36"/>
      <c r="AL514" s="36"/>
      <c r="AM514" s="36"/>
      <c r="AN514" s="36"/>
      <c r="AO514" s="36"/>
      <c r="AP514" s="36"/>
      <c r="FV514" s="104">
        <f t="shared" si="260"/>
        <v>2012</v>
      </c>
      <c r="FW514" s="104">
        <f t="shared" si="261"/>
        <v>31</v>
      </c>
      <c r="FX514" s="35">
        <v>41125</v>
      </c>
      <c r="FY514" s="26">
        <v>0.92</v>
      </c>
      <c r="FZ514" s="94">
        <f t="shared" si="262"/>
        <v>3.68</v>
      </c>
      <c r="GA514" s="104"/>
      <c r="GB514" s="104"/>
      <c r="GE514" s="94"/>
      <c r="GF514" s="104">
        <f t="shared" si="263"/>
        <v>2014</v>
      </c>
      <c r="GG514" s="104">
        <f t="shared" si="264"/>
        <v>50</v>
      </c>
      <c r="GH514" s="35">
        <v>41984</v>
      </c>
      <c r="GI514" s="26">
        <v>3.705</v>
      </c>
      <c r="GJ514" s="94">
        <f t="shared" si="265"/>
        <v>7.41</v>
      </c>
      <c r="GK514" s="104"/>
      <c r="GL514" s="104"/>
      <c r="GO514" s="94"/>
    </row>
    <row r="515" spans="3:197">
      <c r="C515" s="80" t="str" cm="1">
        <f t="array" ref="C515">_xlfn.IFS(MONTH(D515)&lt;4,1,MONTH(D515)&lt;7,2,MONTH(D515)&lt;10,3,MONTH(D515)&gt;9,4)&amp;"Q"&amp;RIGHT(YEAR(D515),2)</f>
        <v>1Q18</v>
      </c>
      <c r="D515" s="81">
        <f t="shared" si="258"/>
        <v>43159</v>
      </c>
      <c r="E515" s="82">
        <f t="shared" si="254"/>
        <v>43132</v>
      </c>
      <c r="F515" s="83">
        <f t="shared" si="257"/>
        <v>1.1705</v>
      </c>
      <c r="G515" s="83">
        <f t="shared" si="257"/>
        <v>0.9925</v>
      </c>
      <c r="H515" s="81"/>
      <c r="I515" s="146">
        <v>43132</v>
      </c>
      <c r="J515" s="147">
        <v>9.6</v>
      </c>
      <c r="K515" s="147">
        <v>9</v>
      </c>
      <c r="L515" s="147">
        <v>9.364</v>
      </c>
      <c r="M515" s="94" cm="1">
        <f t="array" ref="M515">INDEX($BV$29:$BV$1449,MATCH($D515,$BR$29:$BR$1449,0),)</f>
        <v>7.94</v>
      </c>
      <c r="N515" s="150">
        <f t="shared" si="271"/>
        <v>-0.00276890308839184</v>
      </c>
      <c r="O515" s="150">
        <f t="shared" si="272"/>
        <v>-0.0228529687989146</v>
      </c>
      <c r="P515" s="150">
        <f t="shared" si="270"/>
        <v>-0.0228529687989146</v>
      </c>
      <c r="Q515" s="89">
        <f t="shared" si="273"/>
        <v>0.179345088161209</v>
      </c>
      <c r="AH515" s="90"/>
      <c r="AI515" s="85"/>
      <c r="AJ515" s="36"/>
      <c r="AK515" s="36"/>
      <c r="AL515" s="36"/>
      <c r="AM515" s="36"/>
      <c r="AN515" s="36"/>
      <c r="AO515" s="36"/>
      <c r="AP515" s="36"/>
      <c r="FV515" s="104">
        <f t="shared" si="260"/>
        <v>2012</v>
      </c>
      <c r="FW515" s="104">
        <f t="shared" si="261"/>
        <v>32</v>
      </c>
      <c r="FX515" s="35">
        <v>41126</v>
      </c>
      <c r="FY515" s="26">
        <v>0.92</v>
      </c>
      <c r="FZ515" s="94">
        <f t="shared" si="262"/>
        <v>3.68</v>
      </c>
      <c r="GA515" s="104"/>
      <c r="GB515" s="104"/>
      <c r="GE515" s="94"/>
      <c r="GF515" s="104">
        <f t="shared" si="263"/>
        <v>2014</v>
      </c>
      <c r="GG515" s="104">
        <f t="shared" si="264"/>
        <v>50</v>
      </c>
      <c r="GH515" s="35">
        <v>41985</v>
      </c>
      <c r="GI515" s="26">
        <v>3.702</v>
      </c>
      <c r="GJ515" s="94">
        <f t="shared" si="265"/>
        <v>7.404</v>
      </c>
      <c r="GK515" s="104"/>
      <c r="GL515" s="104"/>
      <c r="GO515" s="94"/>
    </row>
    <row r="516" spans="3:197">
      <c r="C516" s="80" t="str" cm="1">
        <f t="array" ref="C516">_xlfn.IFS(MONTH(D516)&lt;4,1,MONTH(D516)&lt;7,2,MONTH(D516)&lt;10,3,MONTH(D516)&gt;9,4)&amp;"Q"&amp;RIGHT(YEAR(D516),2)</f>
        <v>1Q18</v>
      </c>
      <c r="D516" s="81">
        <f t="shared" si="258"/>
        <v>43159</v>
      </c>
      <c r="E516" s="82">
        <f t="shared" si="254"/>
        <v>43133</v>
      </c>
      <c r="F516" s="83">
        <f t="shared" si="257"/>
        <v>1.1665</v>
      </c>
      <c r="G516" s="83">
        <f t="shared" si="257"/>
        <v>0.9925</v>
      </c>
      <c r="H516" s="81"/>
      <c r="I516" s="152">
        <v>43133</v>
      </c>
      <c r="J516" s="153">
        <v>9.6</v>
      </c>
      <c r="K516" s="153">
        <v>8.97</v>
      </c>
      <c r="L516" s="153">
        <v>9.332</v>
      </c>
      <c r="M516" s="94" cm="1">
        <f t="array" ref="M516">INDEX($BV$29:$BV$1449,MATCH($D516,$BR$29:$BR$1449,0),)</f>
        <v>7.94</v>
      </c>
      <c r="N516" s="150">
        <f t="shared" si="271"/>
        <v>-0.00341734301580521</v>
      </c>
      <c r="O516" s="150">
        <f t="shared" si="272"/>
        <v>-0.0261922153814045</v>
      </c>
      <c r="P516" s="150">
        <f t="shared" si="270"/>
        <v>-0.023542952809459</v>
      </c>
      <c r="Q516" s="89">
        <f t="shared" si="273"/>
        <v>0.175314861460957</v>
      </c>
      <c r="AH516" s="90"/>
      <c r="AI516" s="85"/>
      <c r="AJ516" s="36"/>
      <c r="AK516" s="36"/>
      <c r="AL516" s="36"/>
      <c r="AM516" s="36"/>
      <c r="AN516" s="36"/>
      <c r="AO516" s="36"/>
      <c r="AP516" s="36"/>
      <c r="FV516" s="104">
        <f t="shared" si="260"/>
        <v>2012</v>
      </c>
      <c r="FW516" s="104">
        <f t="shared" si="261"/>
        <v>32</v>
      </c>
      <c r="FX516" s="35">
        <v>41127</v>
      </c>
      <c r="FY516" s="26">
        <v>0.92</v>
      </c>
      <c r="FZ516" s="94">
        <f t="shared" si="262"/>
        <v>3.68</v>
      </c>
      <c r="GA516" s="104"/>
      <c r="GB516" s="104"/>
      <c r="GE516" s="94"/>
      <c r="GF516" s="104">
        <f t="shared" si="263"/>
        <v>2014</v>
      </c>
      <c r="GG516" s="104">
        <f t="shared" si="264"/>
        <v>51</v>
      </c>
      <c r="GH516" s="35">
        <v>41988</v>
      </c>
      <c r="GI516" s="26">
        <v>3.696</v>
      </c>
      <c r="GJ516" s="94">
        <f t="shared" si="265"/>
        <v>7.392</v>
      </c>
      <c r="GK516" s="104"/>
      <c r="GL516" s="104"/>
      <c r="GO516" s="94"/>
    </row>
    <row r="517" spans="3:197">
      <c r="C517" s="80" t="str" cm="1">
        <f t="array" ref="C517">_xlfn.IFS(MONTH(D517)&lt;4,1,MONTH(D517)&lt;7,2,MONTH(D517)&lt;10,3,MONTH(D517)&gt;9,4)&amp;"Q"&amp;RIGHT(YEAR(D517),2)</f>
        <v>1Q18</v>
      </c>
      <c r="D517" s="81">
        <f t="shared" si="258"/>
        <v>43159</v>
      </c>
      <c r="E517" s="82">
        <f t="shared" si="254"/>
        <v>43136</v>
      </c>
      <c r="F517" s="83">
        <f t="shared" si="257"/>
        <v>1.165</v>
      </c>
      <c r="G517" s="83">
        <f t="shared" si="257"/>
        <v>0.9925</v>
      </c>
      <c r="H517" s="81"/>
      <c r="I517" s="152">
        <v>43136</v>
      </c>
      <c r="J517" s="153">
        <v>9.6</v>
      </c>
      <c r="K517" s="153">
        <v>8.95</v>
      </c>
      <c r="L517" s="153">
        <v>9.32</v>
      </c>
      <c r="M517" s="94" cm="1">
        <f t="array" ref="M517">INDEX($BV$29:$BV$1449,MATCH($D517,$BR$29:$BR$1449,0),)</f>
        <v>7.94</v>
      </c>
      <c r="N517" s="150">
        <f t="shared" si="271"/>
        <v>-0.00128589798542655</v>
      </c>
      <c r="O517" s="150">
        <f t="shared" si="272"/>
        <v>-0.0171886533797322</v>
      </c>
      <c r="P517" s="150">
        <f t="shared" si="270"/>
        <v>-0.0240837696335079</v>
      </c>
      <c r="Q517" s="89">
        <f t="shared" si="273"/>
        <v>0.173803526448363</v>
      </c>
      <c r="AH517" s="90"/>
      <c r="AI517" s="85"/>
      <c r="AJ517" s="36"/>
      <c r="AK517" s="36"/>
      <c r="AL517" s="36"/>
      <c r="AM517" s="36"/>
      <c r="AN517" s="36"/>
      <c r="AO517" s="36"/>
      <c r="AP517" s="36"/>
      <c r="FV517" s="104">
        <f t="shared" si="260"/>
        <v>2012</v>
      </c>
      <c r="FW517" s="104">
        <f t="shared" si="261"/>
        <v>32</v>
      </c>
      <c r="FX517" s="35">
        <v>41128</v>
      </c>
      <c r="FY517" s="26">
        <v>0.91</v>
      </c>
      <c r="FZ517" s="94">
        <f t="shared" si="262"/>
        <v>3.64</v>
      </c>
      <c r="GA517" s="104"/>
      <c r="GB517" s="104"/>
      <c r="GE517" s="94"/>
      <c r="GF517" s="104">
        <f t="shared" si="263"/>
        <v>2014</v>
      </c>
      <c r="GG517" s="104">
        <f t="shared" si="264"/>
        <v>51</v>
      </c>
      <c r="GH517" s="35">
        <v>41989</v>
      </c>
      <c r="GI517" s="26">
        <v>3.695</v>
      </c>
      <c r="GJ517" s="94">
        <f t="shared" si="265"/>
        <v>7.39</v>
      </c>
      <c r="GK517" s="104"/>
      <c r="GL517" s="104"/>
      <c r="GO517" s="94"/>
    </row>
    <row r="518" spans="3:197">
      <c r="C518" s="80" t="str" cm="1">
        <f t="array" ref="C518">_xlfn.IFS(MONTH(D518)&lt;4,1,MONTH(D518)&lt;7,2,MONTH(D518)&lt;10,3,MONTH(D518)&gt;9,4)&amp;"Q"&amp;RIGHT(YEAR(D518),2)</f>
        <v>1Q18</v>
      </c>
      <c r="D518" s="81">
        <f t="shared" si="258"/>
        <v>43159</v>
      </c>
      <c r="E518" s="82">
        <f t="shared" si="254"/>
        <v>43137</v>
      </c>
      <c r="F518" s="83">
        <f t="shared" si="257"/>
        <v>1.16</v>
      </c>
      <c r="G518" s="83">
        <f t="shared" si="257"/>
        <v>0.9925</v>
      </c>
      <c r="H518" s="81"/>
      <c r="I518" s="152">
        <v>43137</v>
      </c>
      <c r="J518" s="153">
        <v>9.6</v>
      </c>
      <c r="K518" s="153">
        <v>8.93</v>
      </c>
      <c r="L518" s="153">
        <v>9.28</v>
      </c>
      <c r="M518" s="94" cm="1">
        <f t="array" ref="M518">INDEX($BV$29:$BV$1449,MATCH($D518,$BR$29:$BR$1449,0),)</f>
        <v>7.94</v>
      </c>
      <c r="N518" s="150">
        <f t="shared" si="271"/>
        <v>-0.00429184549356232</v>
      </c>
      <c r="O518" s="150">
        <f t="shared" si="272"/>
        <v>-0.0154890727774243</v>
      </c>
      <c r="P518" s="150">
        <f t="shared" si="270"/>
        <v>-0.0282722513089007</v>
      </c>
      <c r="Q518" s="89">
        <f t="shared" si="273"/>
        <v>0.168765743073048</v>
      </c>
      <c r="AH518" s="90"/>
      <c r="AI518" s="85"/>
      <c r="AJ518" s="36"/>
      <c r="AK518" s="36"/>
      <c r="AL518" s="36"/>
      <c r="AM518" s="36"/>
      <c r="AN518" s="36"/>
      <c r="AO518" s="36"/>
      <c r="AP518" s="36"/>
      <c r="FV518" s="104">
        <f t="shared" si="260"/>
        <v>2012</v>
      </c>
      <c r="FW518" s="104">
        <f t="shared" si="261"/>
        <v>32</v>
      </c>
      <c r="FX518" s="35">
        <v>41129</v>
      </c>
      <c r="FY518" s="26">
        <v>0.91</v>
      </c>
      <c r="FZ518" s="94">
        <f t="shared" si="262"/>
        <v>3.64</v>
      </c>
      <c r="GA518" s="104"/>
      <c r="GB518" s="104"/>
      <c r="GE518" s="94"/>
      <c r="GF518" s="104">
        <f t="shared" si="263"/>
        <v>2014</v>
      </c>
      <c r="GG518" s="104">
        <f t="shared" si="264"/>
        <v>51</v>
      </c>
      <c r="GH518" s="35">
        <v>41990</v>
      </c>
      <c r="GI518" s="26">
        <v>3.692</v>
      </c>
      <c r="GJ518" s="94">
        <f t="shared" si="265"/>
        <v>7.384</v>
      </c>
      <c r="GK518" s="104"/>
      <c r="GL518" s="104"/>
      <c r="GO518" s="94"/>
    </row>
    <row r="519" spans="3:197">
      <c r="C519" s="80" t="str" cm="1">
        <f t="array" ref="C519">_xlfn.IFS(MONTH(D519)&lt;4,1,MONTH(D519)&lt;7,2,MONTH(D519)&lt;10,3,MONTH(D519)&gt;9,4)&amp;"Q"&amp;RIGHT(YEAR(D519),2)</f>
        <v>1Q18</v>
      </c>
      <c r="D519" s="81">
        <f t="shared" si="258"/>
        <v>43159</v>
      </c>
      <c r="E519" s="82">
        <f t="shared" si="254"/>
        <v>43138</v>
      </c>
      <c r="F519" s="83">
        <f t="shared" si="257"/>
        <v>1.16</v>
      </c>
      <c r="G519" s="83">
        <f t="shared" si="257"/>
        <v>0.9925</v>
      </c>
      <c r="H519" s="81"/>
      <c r="I519" s="152">
        <v>43138</v>
      </c>
      <c r="J519" s="153">
        <v>9.6</v>
      </c>
      <c r="K519" s="153">
        <v>8.93</v>
      </c>
      <c r="L519" s="153">
        <v>9.28</v>
      </c>
      <c r="M519" s="94" cm="1">
        <f t="array" ref="M519">INDEX($BV$29:$BV$1449,MATCH($D519,$BR$29:$BR$1449,0),)</f>
        <v>7.94</v>
      </c>
      <c r="N519" s="150">
        <f t="shared" si="271"/>
        <v>0</v>
      </c>
      <c r="O519" s="150">
        <f t="shared" si="272"/>
        <v>-0.0117145899893505</v>
      </c>
      <c r="P519" s="150">
        <f t="shared" si="270"/>
        <v>-0.0316184910779507</v>
      </c>
      <c r="Q519" s="89">
        <f t="shared" si="273"/>
        <v>0.168765743073048</v>
      </c>
      <c r="AH519" s="90"/>
      <c r="AI519" s="85"/>
      <c r="AJ519" s="36"/>
      <c r="AK519" s="36"/>
      <c r="AL519" s="36"/>
      <c r="AM519" s="36"/>
      <c r="AN519" s="36"/>
      <c r="AO519" s="36"/>
      <c r="AP519" s="36"/>
      <c r="FV519" s="104">
        <f t="shared" si="260"/>
        <v>2012</v>
      </c>
      <c r="FW519" s="104">
        <f t="shared" si="261"/>
        <v>32</v>
      </c>
      <c r="FX519" s="35">
        <v>41130</v>
      </c>
      <c r="FY519" s="26">
        <v>0.91</v>
      </c>
      <c r="FZ519" s="94">
        <f t="shared" si="262"/>
        <v>3.64</v>
      </c>
      <c r="GA519" s="104"/>
      <c r="GB519" s="104"/>
      <c r="GE519" s="94"/>
      <c r="GF519" s="104">
        <f t="shared" si="263"/>
        <v>2014</v>
      </c>
      <c r="GG519" s="104">
        <f t="shared" si="264"/>
        <v>51</v>
      </c>
      <c r="GH519" s="35">
        <v>41991</v>
      </c>
      <c r="GI519" s="26">
        <v>3.69</v>
      </c>
      <c r="GJ519" s="94">
        <f t="shared" si="265"/>
        <v>7.38</v>
      </c>
      <c r="GK519" s="104"/>
      <c r="GL519" s="104"/>
      <c r="GO519" s="94"/>
    </row>
    <row r="520" spans="3:197">
      <c r="C520" s="80" t="str" cm="1">
        <f t="array" ref="C520">_xlfn.IFS(MONTH(D520)&lt;4,1,MONTH(D520)&lt;7,2,MONTH(D520)&lt;10,3,MONTH(D520)&gt;9,4)&amp;"Q"&amp;RIGHT(YEAR(D520),2)</f>
        <v>1Q18</v>
      </c>
      <c r="D520" s="81">
        <f t="shared" si="258"/>
        <v>43159</v>
      </c>
      <c r="E520" s="82">
        <f t="shared" si="254"/>
        <v>43139</v>
      </c>
      <c r="F520" s="83">
        <f t="shared" si="257"/>
        <v>1.158375</v>
      </c>
      <c r="G520" s="83">
        <f t="shared" si="257"/>
        <v>0.9925</v>
      </c>
      <c r="H520" s="81"/>
      <c r="I520" s="152">
        <v>43139</v>
      </c>
      <c r="J520" s="153">
        <v>9.6</v>
      </c>
      <c r="K520" s="153">
        <v>8.89</v>
      </c>
      <c r="L520" s="153">
        <v>9.267</v>
      </c>
      <c r="M520" s="94" cm="1">
        <f t="array" ref="M520">INDEX($BV$29:$BV$1449,MATCH($D520,$BR$29:$BR$1449,0),)</f>
        <v>7.94</v>
      </c>
      <c r="N520" s="150">
        <f t="shared" si="271"/>
        <v>-0.0014008620689655</v>
      </c>
      <c r="O520" s="150">
        <f t="shared" si="272"/>
        <v>-0.0103588210166596</v>
      </c>
      <c r="P520" s="150">
        <f t="shared" si="270"/>
        <v>-0.0329750600020871</v>
      </c>
      <c r="Q520" s="89">
        <f t="shared" si="273"/>
        <v>0.16712846347607</v>
      </c>
      <c r="AH520" s="90"/>
      <c r="AI520" s="85"/>
      <c r="AJ520" s="36"/>
      <c r="AK520" s="36"/>
      <c r="AL520" s="36"/>
      <c r="AM520" s="36"/>
      <c r="AN520" s="36"/>
      <c r="AO520" s="36"/>
      <c r="AP520" s="36"/>
      <c r="FV520" s="104">
        <f t="shared" si="260"/>
        <v>2012</v>
      </c>
      <c r="FW520" s="104">
        <f t="shared" si="261"/>
        <v>32</v>
      </c>
      <c r="FX520" s="35">
        <v>41131</v>
      </c>
      <c r="FY520" s="26">
        <v>0.91</v>
      </c>
      <c r="FZ520" s="94">
        <f t="shared" si="262"/>
        <v>3.64</v>
      </c>
      <c r="GA520" s="104"/>
      <c r="GB520" s="104"/>
      <c r="GE520" s="94"/>
      <c r="GF520" s="104">
        <f t="shared" si="263"/>
        <v>2014</v>
      </c>
      <c r="GG520" s="104">
        <f t="shared" si="264"/>
        <v>51</v>
      </c>
      <c r="GH520" s="35">
        <v>41992</v>
      </c>
      <c r="GI520" s="26">
        <v>3.685</v>
      </c>
      <c r="GJ520" s="94">
        <f t="shared" si="265"/>
        <v>7.37</v>
      </c>
      <c r="GK520" s="104"/>
      <c r="GL520" s="104"/>
      <c r="GO520" s="94"/>
    </row>
    <row r="521" spans="3:197">
      <c r="C521" s="80" t="str" cm="1">
        <f t="array" ref="C521">_xlfn.IFS(MONTH(D521)&lt;4,1,MONTH(D521)&lt;7,2,MONTH(D521)&lt;10,3,MONTH(D521)&gt;9,4)&amp;"Q"&amp;RIGHT(YEAR(D521),2)</f>
        <v>1Q18</v>
      </c>
      <c r="D521" s="81">
        <f t="shared" si="258"/>
        <v>43159</v>
      </c>
      <c r="E521" s="82">
        <f t="shared" si="254"/>
        <v>43140</v>
      </c>
      <c r="F521" s="83">
        <f t="shared" si="257"/>
        <v>1.158125</v>
      </c>
      <c r="G521" s="83">
        <f t="shared" si="257"/>
        <v>0.9925</v>
      </c>
      <c r="H521" s="81"/>
      <c r="I521" s="146">
        <v>43140</v>
      </c>
      <c r="J521" s="147">
        <v>9.6</v>
      </c>
      <c r="K521" s="147">
        <v>8.88</v>
      </c>
      <c r="L521" s="147">
        <v>9.265</v>
      </c>
      <c r="M521" s="94" cm="1">
        <f t="array" ref="M521">INDEX($BV$29:$BV$1449,MATCH($D521,$BR$29:$BR$1449,0),)</f>
        <v>7.94</v>
      </c>
      <c r="N521" s="150">
        <f t="shared" si="271"/>
        <v>-0.000215819574835296</v>
      </c>
      <c r="O521" s="150">
        <f t="shared" si="272"/>
        <v>-0.00717959708529792</v>
      </c>
      <c r="P521" s="150">
        <f t="shared" si="270"/>
        <v>-0.0331837629134926</v>
      </c>
      <c r="Q521" s="89">
        <f t="shared" si="273"/>
        <v>0.166876574307305</v>
      </c>
      <c r="AH521" s="90"/>
      <c r="AI521" s="85"/>
      <c r="AJ521" s="36"/>
      <c r="AK521" s="36"/>
      <c r="AL521" s="36"/>
      <c r="AM521" s="36"/>
      <c r="AN521" s="36"/>
      <c r="AO521" s="36"/>
      <c r="AP521" s="36"/>
      <c r="FV521" s="104">
        <f t="shared" si="260"/>
        <v>2012</v>
      </c>
      <c r="FW521" s="104">
        <f t="shared" si="261"/>
        <v>32</v>
      </c>
      <c r="FX521" s="35">
        <v>41132</v>
      </c>
      <c r="FY521" s="26">
        <v>0.91</v>
      </c>
      <c r="FZ521" s="94">
        <f t="shared" si="262"/>
        <v>3.64</v>
      </c>
      <c r="GA521" s="104"/>
      <c r="GB521" s="104"/>
      <c r="GE521" s="94"/>
      <c r="GF521" s="104">
        <f t="shared" si="263"/>
        <v>2014</v>
      </c>
      <c r="GG521" s="104">
        <f t="shared" si="264"/>
        <v>52</v>
      </c>
      <c r="GH521" s="35">
        <v>41995</v>
      </c>
      <c r="GI521" s="26">
        <v>3.682</v>
      </c>
      <c r="GJ521" s="94">
        <f t="shared" si="265"/>
        <v>7.364</v>
      </c>
      <c r="GK521" s="104"/>
      <c r="GL521" s="104"/>
      <c r="GO521" s="94"/>
    </row>
    <row r="522" spans="3:197">
      <c r="C522" s="80" t="str" cm="1">
        <f t="array" ref="C522">_xlfn.IFS(MONTH(D522)&lt;4,1,MONTH(D522)&lt;7,2,MONTH(D522)&lt;10,3,MONTH(D522)&gt;9,4)&amp;"Q"&amp;RIGHT(YEAR(D522),2)</f>
        <v>1Q18</v>
      </c>
      <c r="D522" s="81">
        <f t="shared" si="258"/>
        <v>43159</v>
      </c>
      <c r="E522" s="82">
        <f t="shared" si="254"/>
        <v>43143</v>
      </c>
      <c r="F522" s="83">
        <f t="shared" si="257"/>
        <v>1.158</v>
      </c>
      <c r="G522" s="83">
        <f t="shared" si="257"/>
        <v>0.9925</v>
      </c>
      <c r="H522" s="81"/>
      <c r="I522" s="146">
        <v>43143</v>
      </c>
      <c r="J522" s="147">
        <v>9.6</v>
      </c>
      <c r="K522" s="147">
        <v>8.88</v>
      </c>
      <c r="L522" s="147">
        <v>9.264</v>
      </c>
      <c r="M522" s="94" cm="1">
        <f t="array" ref="M522">INDEX($BV$29:$BV$1449,MATCH($D522,$BR$29:$BR$1449,0),)</f>
        <v>7.94</v>
      </c>
      <c r="N522" s="150">
        <f t="shared" si="271"/>
        <v>-0.000107933081489597</v>
      </c>
      <c r="O522" s="150">
        <f t="shared" si="272"/>
        <v>-0.00600858369098722</v>
      </c>
      <c r="P522" s="150">
        <f t="shared" si="270"/>
        <v>-0.0230939576083519</v>
      </c>
      <c r="Q522" s="89">
        <f t="shared" si="273"/>
        <v>0.166750629722922</v>
      </c>
      <c r="AH522" s="90"/>
      <c r="AI522" s="85"/>
      <c r="AJ522" s="36"/>
      <c r="AK522" s="36"/>
      <c r="AL522" s="36"/>
      <c r="AM522" s="36"/>
      <c r="AN522" s="36"/>
      <c r="AO522" s="36"/>
      <c r="AP522" s="36"/>
      <c r="FV522" s="104">
        <f t="shared" si="260"/>
        <v>2012</v>
      </c>
      <c r="FW522" s="104">
        <f t="shared" si="261"/>
        <v>33</v>
      </c>
      <c r="FX522" s="35">
        <v>41133</v>
      </c>
      <c r="FY522" s="26">
        <v>0.91</v>
      </c>
      <c r="FZ522" s="94">
        <f t="shared" si="262"/>
        <v>3.64</v>
      </c>
      <c r="GA522" s="104"/>
      <c r="GB522" s="104"/>
      <c r="GE522" s="94"/>
      <c r="GF522" s="104">
        <f t="shared" si="263"/>
        <v>2014</v>
      </c>
      <c r="GG522" s="104">
        <f t="shared" si="264"/>
        <v>52</v>
      </c>
      <c r="GH522" s="35">
        <v>41996</v>
      </c>
      <c r="GI522" s="26">
        <v>3.682</v>
      </c>
      <c r="GJ522" s="94">
        <f t="shared" si="265"/>
        <v>7.364</v>
      </c>
      <c r="GK522" s="104"/>
      <c r="GL522" s="104"/>
      <c r="GO522" s="94"/>
    </row>
    <row r="523" spans="3:197">
      <c r="C523" s="80" t="str" cm="1">
        <f t="array" ref="C523">_xlfn.IFS(MONTH(D523)&lt;4,1,MONTH(D523)&lt;7,2,MONTH(D523)&lt;10,3,MONTH(D523)&gt;9,4)&amp;"Q"&amp;RIGHT(YEAR(D523),2)</f>
        <v>1Q18</v>
      </c>
      <c r="D523" s="81">
        <f t="shared" si="258"/>
        <v>43159</v>
      </c>
      <c r="E523" s="82">
        <f t="shared" si="254"/>
        <v>43144</v>
      </c>
      <c r="F523" s="83">
        <f t="shared" si="257"/>
        <v>1.158</v>
      </c>
      <c r="G523" s="83">
        <f t="shared" si="257"/>
        <v>0.9925</v>
      </c>
      <c r="H523" s="81"/>
      <c r="I523" s="146">
        <v>43144</v>
      </c>
      <c r="J523" s="147">
        <v>9.6</v>
      </c>
      <c r="K523" s="147">
        <v>8.89</v>
      </c>
      <c r="L523" s="147">
        <v>9.264</v>
      </c>
      <c r="M523" s="94" cm="1">
        <f t="array" ref="M523">INDEX($BV$29:$BV$1449,MATCH($D523,$BR$29:$BR$1449,0),)</f>
        <v>7.94</v>
      </c>
      <c r="N523" s="150">
        <f t="shared" si="271"/>
        <v>0</v>
      </c>
      <c r="O523" s="150">
        <f t="shared" si="272"/>
        <v>-0.00172413793103443</v>
      </c>
      <c r="P523" s="150">
        <f t="shared" si="270"/>
        <v>-0.0171865054105667</v>
      </c>
      <c r="Q523" s="89">
        <f t="shared" si="273"/>
        <v>0.166750629722922</v>
      </c>
      <c r="AH523" s="90"/>
      <c r="AI523" s="85"/>
      <c r="AJ523" s="36"/>
      <c r="AK523" s="36"/>
      <c r="AL523" s="36"/>
      <c r="AM523" s="36"/>
      <c r="AN523" s="36"/>
      <c r="AO523" s="36"/>
      <c r="AP523" s="36"/>
      <c r="FV523" s="104">
        <f t="shared" si="260"/>
        <v>2012</v>
      </c>
      <c r="FW523" s="104">
        <f t="shared" si="261"/>
        <v>33</v>
      </c>
      <c r="FX523" s="35">
        <v>41134</v>
      </c>
      <c r="FY523" s="26">
        <v>0.91</v>
      </c>
      <c r="FZ523" s="94">
        <f t="shared" si="262"/>
        <v>3.64</v>
      </c>
      <c r="GA523" s="104"/>
      <c r="GB523" s="104"/>
      <c r="GE523" s="94"/>
      <c r="GF523" s="104">
        <f t="shared" si="263"/>
        <v>2014</v>
      </c>
      <c r="GG523" s="104">
        <f t="shared" si="264"/>
        <v>52</v>
      </c>
      <c r="GH523" s="35">
        <v>41997</v>
      </c>
      <c r="GI523" s="26">
        <v>3.682</v>
      </c>
      <c r="GJ523" s="94">
        <f t="shared" si="265"/>
        <v>7.364</v>
      </c>
      <c r="GK523" s="104"/>
      <c r="GL523" s="104"/>
      <c r="GO523" s="94"/>
    </row>
    <row r="524" spans="3:197">
      <c r="C524" s="80" t="str" cm="1">
        <f t="array" ref="C524">_xlfn.IFS(MONTH(D524)&lt;4,1,MONTH(D524)&lt;7,2,MONTH(D524)&lt;10,3,MONTH(D524)&gt;9,4)&amp;"Q"&amp;RIGHT(YEAR(D524),2)</f>
        <v>1Q18</v>
      </c>
      <c r="D524" s="81">
        <f t="shared" si="258"/>
        <v>43159</v>
      </c>
      <c r="E524" s="82">
        <f t="shared" si="254"/>
        <v>43145</v>
      </c>
      <c r="F524" s="83">
        <f t="shared" si="257"/>
        <v>1.158</v>
      </c>
      <c r="G524" s="83">
        <f t="shared" si="257"/>
        <v>0.9925</v>
      </c>
      <c r="H524" s="81"/>
      <c r="I524" s="146">
        <v>43145</v>
      </c>
      <c r="J524" s="147">
        <v>9.65</v>
      </c>
      <c r="K524" s="147">
        <v>8.89</v>
      </c>
      <c r="L524" s="147">
        <v>9.264</v>
      </c>
      <c r="M524" s="94" cm="1">
        <f t="array" ref="M524">INDEX($BV$29:$BV$1449,MATCH($D524,$BR$29:$BR$1449,0),)</f>
        <v>7.94</v>
      </c>
      <c r="N524" s="150">
        <f t="shared" si="271"/>
        <v>0</v>
      </c>
      <c r="O524" s="150">
        <f t="shared" si="272"/>
        <v>-0.00172413793103443</v>
      </c>
      <c r="P524" s="150">
        <f t="shared" si="270"/>
        <v>-0.0134185303514378</v>
      </c>
      <c r="Q524" s="89">
        <f t="shared" si="273"/>
        <v>0.166750629722922</v>
      </c>
      <c r="AH524" s="90"/>
      <c r="AI524" s="85"/>
      <c r="AJ524" s="36"/>
      <c r="AK524" s="36"/>
      <c r="AL524" s="36"/>
      <c r="AM524" s="36"/>
      <c r="AN524" s="36"/>
      <c r="AO524" s="36"/>
      <c r="AP524" s="36"/>
      <c r="FV524" s="104">
        <f t="shared" si="260"/>
        <v>2012</v>
      </c>
      <c r="FW524" s="104">
        <f t="shared" si="261"/>
        <v>33</v>
      </c>
      <c r="FX524" s="35">
        <v>41135</v>
      </c>
      <c r="FY524" s="26">
        <v>0.9</v>
      </c>
      <c r="FZ524" s="94">
        <f t="shared" si="262"/>
        <v>3.6</v>
      </c>
      <c r="GA524" s="104"/>
      <c r="GB524" s="104"/>
      <c r="GE524" s="94"/>
      <c r="GF524" s="104">
        <f t="shared" si="263"/>
        <v>2014</v>
      </c>
      <c r="GG524" s="104">
        <f t="shared" si="264"/>
        <v>52</v>
      </c>
      <c r="GH524" s="35">
        <v>41998</v>
      </c>
      <c r="GI524" s="26">
        <v>3.682</v>
      </c>
      <c r="GJ524" s="94">
        <f t="shared" si="265"/>
        <v>7.364</v>
      </c>
      <c r="GK524" s="104"/>
      <c r="GL524" s="104"/>
      <c r="GO524" s="94"/>
    </row>
    <row r="525" spans="3:197">
      <c r="C525" s="80" t="str" cm="1">
        <f t="array" ref="C525">_xlfn.IFS(MONTH(D525)&lt;4,1,MONTH(D525)&lt;7,2,MONTH(D525)&lt;10,3,MONTH(D525)&gt;9,4)&amp;"Q"&amp;RIGHT(YEAR(D525),2)</f>
        <v>1Q18</v>
      </c>
      <c r="D525" s="81">
        <f t="shared" si="258"/>
        <v>43159</v>
      </c>
      <c r="E525" s="82">
        <f t="shared" si="254"/>
        <v>43152</v>
      </c>
      <c r="F525" s="83">
        <f t="shared" si="257"/>
        <v>1.154125</v>
      </c>
      <c r="G525" s="83">
        <f t="shared" si="257"/>
        <v>0.9925</v>
      </c>
      <c r="H525" s="81"/>
      <c r="I525" s="146">
        <v>43152</v>
      </c>
      <c r="J525" s="147">
        <v>9.65</v>
      </c>
      <c r="K525" s="147">
        <v>8.85</v>
      </c>
      <c r="L525" s="147">
        <v>9.233</v>
      </c>
      <c r="M525" s="94" cm="1">
        <f t="array" ref="M525">INDEX($BV$29:$BV$1449,MATCH($D525,$BR$29:$BR$1449,0),)</f>
        <v>7.94</v>
      </c>
      <c r="N525" s="150">
        <f t="shared" si="271"/>
        <v>-0.00334628670120884</v>
      </c>
      <c r="O525" s="150">
        <f t="shared" si="272"/>
        <v>-0.00366893277220237</v>
      </c>
      <c r="P525" s="150">
        <f t="shared" si="270"/>
        <v>-0.0139897479709526</v>
      </c>
      <c r="Q525" s="89">
        <f t="shared" si="273"/>
        <v>0.162846347607053</v>
      </c>
      <c r="AH525" s="90"/>
      <c r="AI525" s="85"/>
      <c r="AJ525" s="36"/>
      <c r="AK525" s="36"/>
      <c r="AL525" s="36"/>
      <c r="AM525" s="36"/>
      <c r="AN525" s="36"/>
      <c r="AO525" s="36"/>
      <c r="AP525" s="36"/>
      <c r="FV525" s="104">
        <f t="shared" si="260"/>
        <v>2012</v>
      </c>
      <c r="FW525" s="104">
        <f t="shared" si="261"/>
        <v>33</v>
      </c>
      <c r="FX525" s="35">
        <v>41136</v>
      </c>
      <c r="FY525" s="26">
        <v>0.9</v>
      </c>
      <c r="FZ525" s="94">
        <f t="shared" si="262"/>
        <v>3.6</v>
      </c>
      <c r="GA525" s="104"/>
      <c r="GB525" s="104"/>
      <c r="GE525" s="94"/>
      <c r="GF525" s="104">
        <f t="shared" si="263"/>
        <v>2014</v>
      </c>
      <c r="GG525" s="104">
        <f t="shared" si="264"/>
        <v>52</v>
      </c>
      <c r="GH525" s="35">
        <v>41999</v>
      </c>
      <c r="GI525" s="26">
        <v>3.682</v>
      </c>
      <c r="GJ525" s="94">
        <f t="shared" si="265"/>
        <v>7.364</v>
      </c>
      <c r="GK525" s="104"/>
      <c r="GL525" s="104"/>
      <c r="GO525" s="94"/>
    </row>
    <row r="526" spans="3:197">
      <c r="C526" s="80" t="str" cm="1">
        <f t="array" ref="C526">_xlfn.IFS(MONTH(D526)&lt;4,1,MONTH(D526)&lt;7,2,MONTH(D526)&lt;10,3,MONTH(D526)&gt;9,4)&amp;"Q"&amp;RIGHT(YEAR(D526),2)</f>
        <v>1Q18</v>
      </c>
      <c r="D526" s="81">
        <f t="shared" si="258"/>
        <v>43159</v>
      </c>
      <c r="E526" s="82">
        <f t="shared" si="254"/>
        <v>43153</v>
      </c>
      <c r="F526" s="83">
        <f t="shared" si="257"/>
        <v>1.152625</v>
      </c>
      <c r="G526" s="83">
        <f t="shared" si="257"/>
        <v>0.9925</v>
      </c>
      <c r="H526" s="81"/>
      <c r="I526" s="146">
        <v>43153</v>
      </c>
      <c r="J526" s="147">
        <v>9.6</v>
      </c>
      <c r="K526" s="147">
        <v>8.85</v>
      </c>
      <c r="L526" s="147">
        <v>9.221</v>
      </c>
      <c r="M526" s="94" cm="1">
        <f t="array" ref="M526">INDEX($BV$29:$BV$1449,MATCH($D526,$BR$29:$BR$1449,0),)</f>
        <v>7.94</v>
      </c>
      <c r="N526" s="150">
        <f t="shared" si="271"/>
        <v>-0.00129968590923868</v>
      </c>
      <c r="O526" s="150">
        <f t="shared" si="272"/>
        <v>-0.00474905558553707</v>
      </c>
      <c r="P526" s="150">
        <f t="shared" si="270"/>
        <v>-0.0118945563651951</v>
      </c>
      <c r="Q526" s="89">
        <f t="shared" si="273"/>
        <v>0.161335012594458</v>
      </c>
      <c r="AH526" s="90"/>
      <c r="AI526" s="85"/>
      <c r="AJ526" s="36"/>
      <c r="AK526" s="36"/>
      <c r="AL526" s="36"/>
      <c r="AM526" s="36"/>
      <c r="AN526" s="36"/>
      <c r="AO526" s="36"/>
      <c r="AP526" s="36"/>
      <c r="FV526" s="104">
        <f t="shared" si="260"/>
        <v>2012</v>
      </c>
      <c r="FW526" s="104">
        <f t="shared" si="261"/>
        <v>33</v>
      </c>
      <c r="FX526" s="35">
        <v>41137</v>
      </c>
      <c r="FY526" s="26">
        <v>0.9</v>
      </c>
      <c r="FZ526" s="94">
        <f t="shared" si="262"/>
        <v>3.6</v>
      </c>
      <c r="GA526" s="104"/>
      <c r="GB526" s="104"/>
      <c r="GE526" s="94"/>
      <c r="GF526" s="104">
        <f t="shared" si="263"/>
        <v>2014</v>
      </c>
      <c r="GG526" s="104">
        <f t="shared" si="264"/>
        <v>53</v>
      </c>
      <c r="GH526" s="35">
        <v>42002</v>
      </c>
      <c r="GI526" s="26">
        <v>3.682</v>
      </c>
      <c r="GJ526" s="94">
        <f t="shared" si="265"/>
        <v>7.364</v>
      </c>
      <c r="GK526" s="104"/>
      <c r="GL526" s="104"/>
      <c r="GO526" s="94"/>
    </row>
    <row r="527" spans="3:197">
      <c r="C527" s="80" t="str" cm="1">
        <f t="array" ref="C527">_xlfn.IFS(MONTH(D527)&lt;4,1,MONTH(D527)&lt;7,2,MONTH(D527)&lt;10,3,MONTH(D527)&gt;9,4)&amp;"Q"&amp;RIGHT(YEAR(D527),2)</f>
        <v>1Q18</v>
      </c>
      <c r="D527" s="81">
        <f t="shared" si="258"/>
        <v>43159</v>
      </c>
      <c r="E527" s="82">
        <f t="shared" si="254"/>
        <v>43154</v>
      </c>
      <c r="F527" s="83">
        <f t="shared" si="257"/>
        <v>1.147875</v>
      </c>
      <c r="G527" s="83">
        <f t="shared" si="257"/>
        <v>0.9925</v>
      </c>
      <c r="H527" s="81"/>
      <c r="I527" s="146">
        <v>43154</v>
      </c>
      <c r="J527" s="147">
        <v>9.6</v>
      </c>
      <c r="K527" s="147">
        <v>8.8</v>
      </c>
      <c r="L527" s="147">
        <v>9.183</v>
      </c>
      <c r="M527" s="94" cm="1">
        <f t="array" ref="M527">INDEX($BV$29:$BV$1449,MATCH($D527,$BR$29:$BR$1449,0),)</f>
        <v>7.94</v>
      </c>
      <c r="N527" s="150">
        <f t="shared" si="271"/>
        <v>-0.00412102808805992</v>
      </c>
      <c r="O527" s="150">
        <f t="shared" si="272"/>
        <v>-0.0087435233160621</v>
      </c>
      <c r="P527" s="150">
        <f t="shared" si="270"/>
        <v>-0.0146995708154507</v>
      </c>
      <c r="Q527" s="89">
        <f t="shared" si="273"/>
        <v>0.156549118387909</v>
      </c>
      <c r="AH527" s="90"/>
      <c r="AI527" s="85"/>
      <c r="AJ527" s="36"/>
      <c r="AK527" s="36"/>
      <c r="AL527" s="36"/>
      <c r="AM527" s="36"/>
      <c r="AN527" s="36"/>
      <c r="AO527" s="36"/>
      <c r="AP527" s="36"/>
      <c r="FV527" s="104">
        <f t="shared" si="260"/>
        <v>2012</v>
      </c>
      <c r="FW527" s="104">
        <f t="shared" si="261"/>
        <v>33</v>
      </c>
      <c r="FX527" s="35">
        <v>41138</v>
      </c>
      <c r="FY527" s="26">
        <v>0.9</v>
      </c>
      <c r="FZ527" s="94">
        <f t="shared" si="262"/>
        <v>3.6</v>
      </c>
      <c r="GA527" s="104"/>
      <c r="GB527" s="104"/>
      <c r="GE527" s="94"/>
      <c r="GF527" s="104">
        <f t="shared" si="263"/>
        <v>2014</v>
      </c>
      <c r="GG527" s="104">
        <f t="shared" si="264"/>
        <v>53</v>
      </c>
      <c r="GH527" s="35">
        <v>42003</v>
      </c>
      <c r="GI527" s="26">
        <v>3.68</v>
      </c>
      <c r="GJ527" s="94">
        <f t="shared" si="265"/>
        <v>7.36</v>
      </c>
      <c r="GK527" s="104"/>
      <c r="GL527" s="104"/>
      <c r="GO527" s="94"/>
    </row>
    <row r="528" spans="3:197">
      <c r="C528" s="80" t="str" cm="1">
        <f t="array" ref="C528">_xlfn.IFS(MONTH(D528)&lt;4,1,MONTH(D528)&lt;7,2,MONTH(D528)&lt;10,3,MONTH(D528)&gt;9,4)&amp;"Q"&amp;RIGHT(YEAR(D528),2)</f>
        <v>1Q18</v>
      </c>
      <c r="D528" s="81">
        <f t="shared" si="258"/>
        <v>43159</v>
      </c>
      <c r="E528" s="82">
        <f t="shared" si="254"/>
        <v>43157</v>
      </c>
      <c r="F528" s="83">
        <f t="shared" si="257"/>
        <v>1.147125</v>
      </c>
      <c r="G528" s="83">
        <f t="shared" si="257"/>
        <v>0.9925</v>
      </c>
      <c r="H528" s="81"/>
      <c r="I528" s="146">
        <v>43157</v>
      </c>
      <c r="J528" s="147">
        <v>9.6</v>
      </c>
      <c r="K528" s="147">
        <v>8.8</v>
      </c>
      <c r="L528" s="147">
        <v>9.177</v>
      </c>
      <c r="M528" s="94" cm="1">
        <f t="array" ref="M528">INDEX($BV$29:$BV$1449,MATCH($D528,$BR$29:$BR$1449,0),)</f>
        <v>7.94</v>
      </c>
      <c r="N528" s="150">
        <f t="shared" si="271"/>
        <v>-0.000653381247958218</v>
      </c>
      <c r="O528" s="150">
        <f t="shared" si="272"/>
        <v>-0.00939119170984448</v>
      </c>
      <c r="P528" s="150">
        <f t="shared" si="270"/>
        <v>-0.0110991379310345</v>
      </c>
      <c r="Q528" s="89">
        <f t="shared" si="273"/>
        <v>0.155793450881612</v>
      </c>
      <c r="AH528" s="90"/>
      <c r="AI528" s="85"/>
      <c r="AJ528" s="36"/>
      <c r="AK528" s="36"/>
      <c r="AL528" s="36"/>
      <c r="AM528" s="36"/>
      <c r="AN528" s="36"/>
      <c r="AO528" s="36"/>
      <c r="AP528" s="36"/>
      <c r="FV528" s="104">
        <f t="shared" si="260"/>
        <v>2012</v>
      </c>
      <c r="FW528" s="104">
        <f t="shared" si="261"/>
        <v>33</v>
      </c>
      <c r="FX528" s="35">
        <v>41139</v>
      </c>
      <c r="FY528" s="26">
        <v>0.9</v>
      </c>
      <c r="FZ528" s="94">
        <f t="shared" si="262"/>
        <v>3.6</v>
      </c>
      <c r="GA528" s="104"/>
      <c r="GB528" s="104"/>
      <c r="GE528" s="94"/>
      <c r="GF528" s="104">
        <f t="shared" si="263"/>
        <v>2014</v>
      </c>
      <c r="GG528" s="104">
        <f t="shared" si="264"/>
        <v>53</v>
      </c>
      <c r="GH528" s="35">
        <v>42004</v>
      </c>
      <c r="GI528" s="26">
        <v>3.678</v>
      </c>
      <c r="GJ528" s="94">
        <f t="shared" si="265"/>
        <v>7.356</v>
      </c>
      <c r="GK528" s="104"/>
      <c r="GL528" s="104"/>
      <c r="GO528" s="94"/>
    </row>
    <row r="529" spans="3:197">
      <c r="C529" s="80" t="str" cm="1">
        <f t="array" ref="C529">_xlfn.IFS(MONTH(D529)&lt;4,1,MONTH(D529)&lt;7,2,MONTH(D529)&lt;10,3,MONTH(D529)&gt;9,4)&amp;"Q"&amp;RIGHT(YEAR(D529),2)</f>
        <v>1Q18</v>
      </c>
      <c r="D529" s="81">
        <f t="shared" si="258"/>
        <v>43159</v>
      </c>
      <c r="E529" s="82">
        <f t="shared" si="254"/>
        <v>43158</v>
      </c>
      <c r="F529" s="83">
        <f t="shared" si="257"/>
        <v>1.14625</v>
      </c>
      <c r="G529" s="83">
        <f t="shared" si="257"/>
        <v>0.9925</v>
      </c>
      <c r="H529" s="81"/>
      <c r="I529" s="152">
        <v>43158</v>
      </c>
      <c r="J529" s="153">
        <v>9.6</v>
      </c>
      <c r="K529" s="153">
        <v>8.8</v>
      </c>
      <c r="L529" s="153">
        <v>9.17</v>
      </c>
      <c r="M529" s="94" cm="1">
        <f t="array" ref="M529">INDEX($BV$29:$BV$1449,MATCH($D529,$BR$29:$BR$1449,0),)</f>
        <v>7.94</v>
      </c>
      <c r="N529" s="150">
        <f t="shared" si="271"/>
        <v>-0.000762776506483598</v>
      </c>
      <c r="O529" s="150">
        <f t="shared" si="272"/>
        <v>-0.0101468048359239</v>
      </c>
      <c r="P529" s="150">
        <f t="shared" si="270"/>
        <v>-0.011853448275862</v>
      </c>
      <c r="Q529" s="89">
        <f t="shared" si="273"/>
        <v>0.154911838790932</v>
      </c>
      <c r="AH529" s="90"/>
      <c r="AI529" s="85"/>
      <c r="AJ529" s="36"/>
      <c r="AK529" s="36"/>
      <c r="AL529" s="36"/>
      <c r="AM529" s="36"/>
      <c r="AN529" s="36"/>
      <c r="AO529" s="36"/>
      <c r="AP529" s="36"/>
      <c r="FV529" s="104">
        <f t="shared" si="260"/>
        <v>2012</v>
      </c>
      <c r="FW529" s="104">
        <f t="shared" si="261"/>
        <v>34</v>
      </c>
      <c r="FX529" s="35">
        <v>41140</v>
      </c>
      <c r="FY529" s="26">
        <v>0.9</v>
      </c>
      <c r="FZ529" s="94">
        <f t="shared" si="262"/>
        <v>3.6</v>
      </c>
      <c r="GA529" s="104"/>
      <c r="GB529" s="104"/>
      <c r="GE529" s="94"/>
      <c r="GF529" s="104">
        <f t="shared" si="263"/>
        <v>2015</v>
      </c>
      <c r="GG529" s="104">
        <f t="shared" si="264"/>
        <v>2</v>
      </c>
      <c r="GH529" s="35">
        <v>42009</v>
      </c>
      <c r="GI529" s="26">
        <v>3.677</v>
      </c>
      <c r="GJ529" s="94">
        <f t="shared" si="265"/>
        <v>7.354</v>
      </c>
      <c r="GK529" s="104"/>
      <c r="GL529" s="104"/>
      <c r="GO529" s="94"/>
    </row>
    <row r="530" spans="3:197">
      <c r="C530" s="80" t="str" cm="1">
        <f t="array" ref="C530">_xlfn.IFS(MONTH(D530)&lt;4,1,MONTH(D530)&lt;7,2,MONTH(D530)&lt;10,3,MONTH(D530)&gt;9,4)&amp;"Q"&amp;RIGHT(YEAR(D530),2)</f>
        <v>1Q18</v>
      </c>
      <c r="D530" s="81">
        <f t="shared" si="258"/>
        <v>43159</v>
      </c>
      <c r="E530" s="82">
        <f t="shared" si="254"/>
        <v>43159</v>
      </c>
      <c r="F530" s="83">
        <f t="shared" si="257"/>
        <v>1.146125</v>
      </c>
      <c r="G530" s="83">
        <f t="shared" si="257"/>
        <v>0.9925</v>
      </c>
      <c r="H530" s="81"/>
      <c r="I530" s="152">
        <v>43159</v>
      </c>
      <c r="J530" s="153">
        <v>9.6</v>
      </c>
      <c r="K530" s="153">
        <v>8.8</v>
      </c>
      <c r="L530" s="153">
        <v>9.169</v>
      </c>
      <c r="M530" s="94" cm="1">
        <f t="array" ref="M530">INDEX($BV$29:$BV$1449,MATCH($D530,$BR$29:$BR$1449,0),)</f>
        <v>7.94</v>
      </c>
      <c r="N530" s="150">
        <f t="shared" si="271"/>
        <v>-0.000109051254089332</v>
      </c>
      <c r="O530" s="150">
        <f t="shared" si="272"/>
        <v>-0.00693165818260588</v>
      </c>
      <c r="P530" s="150">
        <f t="shared" si="270"/>
        <v>-0.0105751591669363</v>
      </c>
      <c r="Q530" s="89">
        <f t="shared" si="273"/>
        <v>0.154785894206549</v>
      </c>
      <c r="AH530" s="90"/>
      <c r="AI530" s="85"/>
      <c r="AJ530" s="36"/>
      <c r="AK530" s="36"/>
      <c r="AL530" s="36"/>
      <c r="AM530" s="36"/>
      <c r="AN530" s="36"/>
      <c r="AO530" s="36"/>
      <c r="AP530" s="36"/>
      <c r="FV530" s="104">
        <f t="shared" si="260"/>
        <v>2012</v>
      </c>
      <c r="FW530" s="104">
        <f t="shared" si="261"/>
        <v>34</v>
      </c>
      <c r="FX530" s="35">
        <v>41141</v>
      </c>
      <c r="FY530" s="26">
        <v>0.9</v>
      </c>
      <c r="FZ530" s="94">
        <f t="shared" si="262"/>
        <v>3.6</v>
      </c>
      <c r="GA530" s="104"/>
      <c r="GB530" s="104"/>
      <c r="GE530" s="94"/>
      <c r="GF530" s="104">
        <f t="shared" si="263"/>
        <v>2015</v>
      </c>
      <c r="GG530" s="104">
        <f t="shared" si="264"/>
        <v>2</v>
      </c>
      <c r="GH530" s="35">
        <v>42010</v>
      </c>
      <c r="GI530" s="26">
        <v>3.677</v>
      </c>
      <c r="GJ530" s="94">
        <f t="shared" si="265"/>
        <v>7.354</v>
      </c>
      <c r="GK530" s="104"/>
      <c r="GL530" s="104"/>
      <c r="GO530" s="94"/>
    </row>
    <row r="531" spans="3:197">
      <c r="C531" s="80" t="str" cm="1">
        <f t="array" ref="C531">_xlfn.IFS(MONTH(D531)&lt;4,1,MONTH(D531)&lt;7,2,MONTH(D531)&lt;10,3,MONTH(D531)&gt;9,4)&amp;"Q"&amp;RIGHT(YEAR(D531),2)</f>
        <v>1Q18</v>
      </c>
      <c r="D531" s="81">
        <f t="shared" si="258"/>
        <v>43190</v>
      </c>
      <c r="E531" s="82">
        <f t="shared" si="254"/>
        <v>43160</v>
      </c>
      <c r="F531" s="83">
        <f t="shared" si="257"/>
        <v>1.145625</v>
      </c>
      <c r="G531" s="83">
        <f t="shared" si="257"/>
        <v>0.9925</v>
      </c>
      <c r="H531" s="81"/>
      <c r="I531" s="152">
        <v>43160</v>
      </c>
      <c r="J531" s="153">
        <v>9.6</v>
      </c>
      <c r="K531" s="153">
        <v>8.75</v>
      </c>
      <c r="L531" s="153">
        <v>9.165</v>
      </c>
      <c r="M531" s="94" cm="1">
        <f t="array" ref="M531">INDEX($BV$29:$BV$1449,MATCH($D531,$BR$29:$BR$1449,0),)</f>
        <v>7.94</v>
      </c>
      <c r="N531" s="150">
        <f t="shared" ref="N531:N594" si="274">L531/L530-1</f>
        <v>-0.00043625259024993</v>
      </c>
      <c r="O531" s="150">
        <f t="shared" si="272"/>
        <v>-0.0060730940245094</v>
      </c>
      <c r="P531" s="150">
        <f t="shared" si="270"/>
        <v>-0.0107933081489479</v>
      </c>
      <c r="Q531" s="89">
        <f t="shared" si="273"/>
        <v>0.154282115869018</v>
      </c>
      <c r="AH531" s="90"/>
      <c r="AI531" s="85"/>
      <c r="AJ531" s="36"/>
      <c r="AK531" s="36"/>
      <c r="AL531" s="36"/>
      <c r="AM531" s="36"/>
      <c r="AN531" s="36"/>
      <c r="AO531" s="36"/>
      <c r="AP531" s="36"/>
      <c r="FV531" s="104">
        <f t="shared" si="260"/>
        <v>2012</v>
      </c>
      <c r="FW531" s="104">
        <f t="shared" si="261"/>
        <v>34</v>
      </c>
      <c r="FX531" s="35">
        <v>41142</v>
      </c>
      <c r="FY531" s="26">
        <v>0.9</v>
      </c>
      <c r="FZ531" s="94">
        <f t="shared" si="262"/>
        <v>3.6</v>
      </c>
      <c r="GA531" s="104"/>
      <c r="GB531" s="104"/>
      <c r="GE531" s="94"/>
      <c r="GF531" s="104">
        <f t="shared" si="263"/>
        <v>2015</v>
      </c>
      <c r="GG531" s="104">
        <f t="shared" si="264"/>
        <v>2</v>
      </c>
      <c r="GH531" s="35">
        <v>42011</v>
      </c>
      <c r="GI531" s="26">
        <v>3.641</v>
      </c>
      <c r="GJ531" s="94">
        <f t="shared" si="265"/>
        <v>7.282</v>
      </c>
      <c r="GK531" s="104"/>
      <c r="GL531" s="104"/>
      <c r="GO531" s="94"/>
    </row>
    <row r="532" spans="3:197">
      <c r="C532" s="80" t="str" cm="1">
        <f t="array" ref="C532">_xlfn.IFS(MONTH(D532)&lt;4,1,MONTH(D532)&lt;7,2,MONTH(D532)&lt;10,3,MONTH(D532)&gt;9,4)&amp;"Q"&amp;RIGHT(YEAR(D532),2)</f>
        <v>1Q18</v>
      </c>
      <c r="D532" s="81">
        <f t="shared" si="258"/>
        <v>43190</v>
      </c>
      <c r="E532" s="82">
        <f t="shared" si="254"/>
        <v>43161</v>
      </c>
      <c r="F532" s="83">
        <f t="shared" si="257"/>
        <v>1.143375</v>
      </c>
      <c r="G532" s="83">
        <f t="shared" si="257"/>
        <v>0.9925</v>
      </c>
      <c r="H532" s="81"/>
      <c r="I532" s="152">
        <v>43161</v>
      </c>
      <c r="J532" s="153">
        <v>9.6</v>
      </c>
      <c r="K532" s="153">
        <v>8.75</v>
      </c>
      <c r="L532" s="153">
        <v>9.147</v>
      </c>
      <c r="M532" s="94" cm="1">
        <f t="array" ref="M532">INDEX($BV$29:$BV$1449,MATCH($D532,$BR$29:$BR$1449,0),)</f>
        <v>7.94</v>
      </c>
      <c r="N532" s="150">
        <f t="shared" si="274"/>
        <v>-0.00196399345335507</v>
      </c>
      <c r="O532" s="150">
        <f t="shared" si="272"/>
        <v>-0.00392028748774909</v>
      </c>
      <c r="P532" s="150">
        <f t="shared" si="270"/>
        <v>-0.0126295336787564</v>
      </c>
      <c r="Q532" s="89">
        <f t="shared" si="273"/>
        <v>0.152015113350126</v>
      </c>
      <c r="AH532" s="90"/>
      <c r="AI532" s="85"/>
      <c r="AJ532" s="36"/>
      <c r="AK532" s="36"/>
      <c r="AL532" s="36"/>
      <c r="AM532" s="36"/>
      <c r="AN532" s="36"/>
      <c r="AO532" s="36"/>
      <c r="AP532" s="36"/>
      <c r="FV532" s="104">
        <f t="shared" si="260"/>
        <v>2012</v>
      </c>
      <c r="FW532" s="104">
        <f t="shared" si="261"/>
        <v>34</v>
      </c>
      <c r="FX532" s="35">
        <v>41143</v>
      </c>
      <c r="FY532" s="26">
        <v>0.89</v>
      </c>
      <c r="FZ532" s="94">
        <f t="shared" si="262"/>
        <v>3.56</v>
      </c>
      <c r="GA532" s="104"/>
      <c r="GB532" s="104"/>
      <c r="GE532" s="94"/>
      <c r="GF532" s="104">
        <f t="shared" si="263"/>
        <v>2015</v>
      </c>
      <c r="GG532" s="104">
        <f t="shared" si="264"/>
        <v>2</v>
      </c>
      <c r="GH532" s="35">
        <v>42012</v>
      </c>
      <c r="GI532" s="26">
        <v>3.631</v>
      </c>
      <c r="GJ532" s="94">
        <f t="shared" si="265"/>
        <v>7.262</v>
      </c>
      <c r="GK532" s="104"/>
      <c r="GL532" s="104"/>
      <c r="GO532" s="94"/>
    </row>
    <row r="533" spans="3:197">
      <c r="C533" s="80" t="str" cm="1">
        <f t="array" ref="C533">_xlfn.IFS(MONTH(D533)&lt;4,1,MONTH(D533)&lt;7,2,MONTH(D533)&lt;10,3,MONTH(D533)&gt;9,4)&amp;"Q"&amp;RIGHT(YEAR(D533),2)</f>
        <v>1Q18</v>
      </c>
      <c r="D533" s="81">
        <f t="shared" si="258"/>
        <v>43190</v>
      </c>
      <c r="E533" s="82">
        <f t="shared" ref="E533:E596" si="275">I533</f>
        <v>43164</v>
      </c>
      <c r="F533" s="83">
        <f t="shared" si="257"/>
        <v>1.142625</v>
      </c>
      <c r="G533" s="83">
        <f t="shared" si="257"/>
        <v>0.9925</v>
      </c>
      <c r="H533" s="81"/>
      <c r="I533" s="146">
        <v>43164</v>
      </c>
      <c r="J533" s="147">
        <v>9.6</v>
      </c>
      <c r="K533" s="147">
        <v>8.75</v>
      </c>
      <c r="L533" s="147">
        <v>9.141</v>
      </c>
      <c r="M533" s="94" cm="1">
        <f t="array" ref="M533">INDEX($BV$29:$BV$1449,MATCH($D533,$BR$29:$BR$1449,0),)</f>
        <v>7.94</v>
      </c>
      <c r="N533" s="150">
        <f t="shared" si="274"/>
        <v>-0.000655952771400514</v>
      </c>
      <c r="O533" s="150">
        <f t="shared" ref="O533:O596" si="276">L533/L528-1</f>
        <v>-0.00392285060477271</v>
      </c>
      <c r="P533" s="150">
        <f t="shared" si="270"/>
        <v>-0.0132772020725388</v>
      </c>
      <c r="Q533" s="89">
        <f t="shared" si="273"/>
        <v>0.151259445843829</v>
      </c>
      <c r="AH533" s="90"/>
      <c r="AI533" s="85"/>
      <c r="AJ533" s="36"/>
      <c r="AK533" s="36"/>
      <c r="AL533" s="36"/>
      <c r="AM533" s="36"/>
      <c r="AN533" s="36"/>
      <c r="AO533" s="36"/>
      <c r="AP533" s="36"/>
      <c r="FV533" s="104">
        <f t="shared" si="260"/>
        <v>2012</v>
      </c>
      <c r="FW533" s="104">
        <f t="shared" si="261"/>
        <v>34</v>
      </c>
      <c r="FX533" s="35">
        <v>41144</v>
      </c>
      <c r="FY533" s="26">
        <v>0.89</v>
      </c>
      <c r="FZ533" s="94">
        <f t="shared" si="262"/>
        <v>3.56</v>
      </c>
      <c r="GA533" s="104"/>
      <c r="GB533" s="104"/>
      <c r="GE533" s="94"/>
      <c r="GF533" s="104">
        <f t="shared" si="263"/>
        <v>2015</v>
      </c>
      <c r="GG533" s="104">
        <f t="shared" si="264"/>
        <v>2</v>
      </c>
      <c r="GH533" s="35">
        <v>42013</v>
      </c>
      <c r="GI533" s="26">
        <v>3.623</v>
      </c>
      <c r="GJ533" s="94">
        <f t="shared" si="265"/>
        <v>7.246</v>
      </c>
      <c r="GK533" s="104"/>
      <c r="GL533" s="104"/>
      <c r="GO533" s="94"/>
    </row>
    <row r="534" spans="3:197">
      <c r="C534" s="80" t="str" cm="1">
        <f t="array" ref="C534">_xlfn.IFS(MONTH(D534)&lt;4,1,MONTH(D534)&lt;7,2,MONTH(D534)&lt;10,3,MONTH(D534)&gt;9,4)&amp;"Q"&amp;RIGHT(YEAR(D534),2)</f>
        <v>1Q18</v>
      </c>
      <c r="D534" s="81">
        <f t="shared" si="258"/>
        <v>43190</v>
      </c>
      <c r="E534" s="82">
        <f t="shared" si="275"/>
        <v>43165</v>
      </c>
      <c r="F534" s="83">
        <f t="shared" si="257"/>
        <v>1.139875</v>
      </c>
      <c r="G534" s="83">
        <f t="shared" si="257"/>
        <v>0.9925</v>
      </c>
      <c r="H534" s="81"/>
      <c r="I534" s="146">
        <v>43165</v>
      </c>
      <c r="J534" s="147">
        <v>9.6</v>
      </c>
      <c r="K534" s="147">
        <v>8.74</v>
      </c>
      <c r="L534" s="147">
        <v>9.119</v>
      </c>
      <c r="M534" s="94" cm="1">
        <f t="array" ref="M534">INDEX($BV$29:$BV$1449,MATCH($D534,$BR$29:$BR$1449,0),)</f>
        <v>7.94</v>
      </c>
      <c r="N534" s="150">
        <f t="shared" si="274"/>
        <v>-0.0024067388688328</v>
      </c>
      <c r="O534" s="150">
        <f t="shared" si="276"/>
        <v>-0.00556161395856059</v>
      </c>
      <c r="P534" s="150">
        <f t="shared" si="270"/>
        <v>-0.0156519861830742</v>
      </c>
      <c r="Q534" s="89">
        <f t="shared" si="273"/>
        <v>0.148488664987406</v>
      </c>
      <c r="AH534" s="90"/>
      <c r="AI534" s="85"/>
      <c r="AJ534" s="36"/>
      <c r="AK534" s="36"/>
      <c r="AL534" s="36"/>
      <c r="AM534" s="36"/>
      <c r="AN534" s="36"/>
      <c r="AO534" s="36"/>
      <c r="AP534" s="36"/>
      <c r="FV534" s="104">
        <f t="shared" si="260"/>
        <v>2012</v>
      </c>
      <c r="FW534" s="104">
        <f t="shared" si="261"/>
        <v>34</v>
      </c>
      <c r="FX534" s="35">
        <v>41145</v>
      </c>
      <c r="FY534" s="26">
        <v>0.89</v>
      </c>
      <c r="FZ534" s="94">
        <f t="shared" si="262"/>
        <v>3.56</v>
      </c>
      <c r="GA534" s="104"/>
      <c r="GB534" s="104"/>
      <c r="GE534" s="94"/>
      <c r="GF534" s="104">
        <f t="shared" si="263"/>
        <v>2015</v>
      </c>
      <c r="GG534" s="104">
        <f t="shared" si="264"/>
        <v>3</v>
      </c>
      <c r="GH534" s="35">
        <v>42016</v>
      </c>
      <c r="GI534" s="26">
        <v>3.618</v>
      </c>
      <c r="GJ534" s="94">
        <f t="shared" si="265"/>
        <v>7.236</v>
      </c>
      <c r="GK534" s="104"/>
      <c r="GL534" s="104"/>
      <c r="GO534" s="94"/>
    </row>
    <row r="535" spans="3:197">
      <c r="C535" s="80" t="str" cm="1">
        <f t="array" ref="C535">_xlfn.IFS(MONTH(D535)&lt;4,1,MONTH(D535)&lt;7,2,MONTH(D535)&lt;10,3,MONTH(D535)&gt;9,4)&amp;"Q"&amp;RIGHT(YEAR(D535),2)</f>
        <v>1Q18</v>
      </c>
      <c r="D535" s="81">
        <f t="shared" si="258"/>
        <v>43190</v>
      </c>
      <c r="E535" s="82">
        <f t="shared" si="275"/>
        <v>43166</v>
      </c>
      <c r="F535" s="83">
        <f t="shared" si="257"/>
        <v>1.139875</v>
      </c>
      <c r="G535" s="83">
        <f t="shared" si="257"/>
        <v>0.9925</v>
      </c>
      <c r="H535" s="81"/>
      <c r="I535" s="146">
        <v>43166</v>
      </c>
      <c r="J535" s="147">
        <v>9.5</v>
      </c>
      <c r="K535" s="147">
        <v>8.75</v>
      </c>
      <c r="L535" s="147">
        <v>9.119</v>
      </c>
      <c r="M535" s="94" cm="1">
        <f t="array" ref="M535">INDEX($BV$29:$BV$1449,MATCH($D535,$BR$29:$BR$1449,0),)</f>
        <v>7.94</v>
      </c>
      <c r="N535" s="150">
        <f t="shared" si="274"/>
        <v>0</v>
      </c>
      <c r="O535" s="150">
        <f t="shared" si="276"/>
        <v>-0.00545315737812202</v>
      </c>
      <c r="P535" s="150">
        <f t="shared" si="270"/>
        <v>-0.0123470161377668</v>
      </c>
      <c r="Q535" s="89">
        <f t="shared" si="273"/>
        <v>0.148488664987406</v>
      </c>
      <c r="AH535" s="90"/>
      <c r="AI535" s="85"/>
      <c r="AJ535" s="36"/>
      <c r="AK535" s="36"/>
      <c r="AL535" s="36"/>
      <c r="AM535" s="36"/>
      <c r="AN535" s="36"/>
      <c r="AO535" s="36"/>
      <c r="AP535" s="36"/>
      <c r="FV535" s="104">
        <f t="shared" si="260"/>
        <v>2012</v>
      </c>
      <c r="FW535" s="104">
        <f t="shared" si="261"/>
        <v>34</v>
      </c>
      <c r="FX535" s="35">
        <v>41146</v>
      </c>
      <c r="FY535" s="26">
        <v>0.89</v>
      </c>
      <c r="FZ535" s="94">
        <f t="shared" si="262"/>
        <v>3.56</v>
      </c>
      <c r="GA535" s="104"/>
      <c r="GB535" s="104"/>
      <c r="GE535" s="94"/>
      <c r="GF535" s="104">
        <f t="shared" si="263"/>
        <v>2015</v>
      </c>
      <c r="GG535" s="104">
        <f t="shared" si="264"/>
        <v>3</v>
      </c>
      <c r="GH535" s="35">
        <v>42017</v>
      </c>
      <c r="GI535" s="26">
        <v>3.616</v>
      </c>
      <c r="GJ535" s="94">
        <f t="shared" si="265"/>
        <v>7.232</v>
      </c>
      <c r="GK535" s="104"/>
      <c r="GL535" s="104"/>
      <c r="GO535" s="94"/>
    </row>
    <row r="536" spans="3:197">
      <c r="C536" s="80" t="str" cm="1">
        <f t="array" ref="C536">_xlfn.IFS(MONTH(D536)&lt;4,1,MONTH(D536)&lt;7,2,MONTH(D536)&lt;10,3,MONTH(D536)&gt;9,4)&amp;"Q"&amp;RIGHT(YEAR(D536),2)</f>
        <v>1Q18</v>
      </c>
      <c r="D536" s="81">
        <f t="shared" si="258"/>
        <v>43190</v>
      </c>
      <c r="E536" s="82">
        <f t="shared" si="275"/>
        <v>43167</v>
      </c>
      <c r="F536" s="83">
        <f t="shared" si="257"/>
        <v>1.132125</v>
      </c>
      <c r="G536" s="83">
        <f t="shared" si="257"/>
        <v>0.9925</v>
      </c>
      <c r="H536" s="81"/>
      <c r="I536" s="146">
        <v>43167</v>
      </c>
      <c r="J536" s="147">
        <v>9.35</v>
      </c>
      <c r="K536" s="147">
        <v>8.7</v>
      </c>
      <c r="L536" s="147">
        <v>9.057</v>
      </c>
      <c r="M536" s="94" cm="1">
        <f t="array" ref="M536">INDEX($BV$29:$BV$1449,MATCH($D536,$BR$29:$BR$1449,0),)</f>
        <v>7.94</v>
      </c>
      <c r="N536" s="150">
        <f t="shared" si="274"/>
        <v>-0.00679899111744697</v>
      </c>
      <c r="O536" s="150">
        <f t="shared" si="276"/>
        <v>-0.0117839607201308</v>
      </c>
      <c r="P536" s="150">
        <f t="shared" si="270"/>
        <v>-0.0177854896432057</v>
      </c>
      <c r="Q536" s="89">
        <f t="shared" si="273"/>
        <v>0.140680100755668</v>
      </c>
      <c r="AH536" s="90"/>
      <c r="AI536" s="85"/>
      <c r="AJ536" s="36"/>
      <c r="AK536" s="36"/>
      <c r="AL536" s="36"/>
      <c r="AM536" s="36"/>
      <c r="AN536" s="36"/>
      <c r="AO536" s="36"/>
      <c r="AP536" s="36"/>
      <c r="FV536" s="104">
        <f t="shared" si="260"/>
        <v>2012</v>
      </c>
      <c r="FW536" s="104">
        <f t="shared" si="261"/>
        <v>35</v>
      </c>
      <c r="FX536" s="35">
        <v>41147</v>
      </c>
      <c r="FY536" s="26">
        <v>0.89</v>
      </c>
      <c r="FZ536" s="94">
        <f t="shared" si="262"/>
        <v>3.56</v>
      </c>
      <c r="GA536" s="104"/>
      <c r="GB536" s="104"/>
      <c r="GE536" s="94"/>
      <c r="GF536" s="104">
        <f t="shared" si="263"/>
        <v>2015</v>
      </c>
      <c r="GG536" s="104">
        <f t="shared" si="264"/>
        <v>3</v>
      </c>
      <c r="GH536" s="35">
        <v>42018</v>
      </c>
      <c r="GI536" s="26">
        <v>3.609</v>
      </c>
      <c r="GJ536" s="94">
        <f t="shared" si="265"/>
        <v>7.218</v>
      </c>
      <c r="GK536" s="104"/>
      <c r="GL536" s="104"/>
      <c r="GO536" s="94"/>
    </row>
    <row r="537" spans="3:197">
      <c r="C537" s="80" t="str" cm="1">
        <f t="array" ref="C537">_xlfn.IFS(MONTH(D537)&lt;4,1,MONTH(D537)&lt;7,2,MONTH(D537)&lt;10,3,MONTH(D537)&gt;9,4)&amp;"Q"&amp;RIGHT(YEAR(D537),2)</f>
        <v>1Q18</v>
      </c>
      <c r="D537" s="81">
        <f t="shared" si="258"/>
        <v>43190</v>
      </c>
      <c r="E537" s="82">
        <f t="shared" si="275"/>
        <v>43168</v>
      </c>
      <c r="F537" s="83">
        <f t="shared" si="257"/>
        <v>1.129625</v>
      </c>
      <c r="G537" s="83">
        <f t="shared" si="257"/>
        <v>0.9925</v>
      </c>
      <c r="H537" s="81"/>
      <c r="I537" s="146">
        <v>43168</v>
      </c>
      <c r="J537" s="147">
        <v>9.25</v>
      </c>
      <c r="K537" s="147">
        <v>8.7</v>
      </c>
      <c r="L537" s="147">
        <v>9.037</v>
      </c>
      <c r="M537" s="94" cm="1">
        <f t="array" ref="M537">INDEX($BV$29:$BV$1449,MATCH($D537,$BR$29:$BR$1449,0),)</f>
        <v>7.94</v>
      </c>
      <c r="N537" s="150">
        <f t="shared" si="274"/>
        <v>-0.00220823672297665</v>
      </c>
      <c r="O537" s="150">
        <f t="shared" si="276"/>
        <v>-0.0120258008090084</v>
      </c>
      <c r="P537" s="150">
        <f t="shared" si="270"/>
        <v>-0.0158989437003157</v>
      </c>
      <c r="Q537" s="89">
        <f t="shared" si="273"/>
        <v>0.13816120906801</v>
      </c>
      <c r="AH537" s="90"/>
      <c r="AI537" s="85"/>
      <c r="AJ537" s="36"/>
      <c r="AK537" s="36"/>
      <c r="AL537" s="36"/>
      <c r="AM537" s="36"/>
      <c r="AN537" s="36"/>
      <c r="AO537" s="36"/>
      <c r="AP537" s="36"/>
      <c r="FV537" s="104">
        <f t="shared" si="260"/>
        <v>2012</v>
      </c>
      <c r="FW537" s="104">
        <f t="shared" si="261"/>
        <v>35</v>
      </c>
      <c r="FX537" s="35">
        <v>41148</v>
      </c>
      <c r="FY537" s="26">
        <v>0.88</v>
      </c>
      <c r="FZ537" s="94">
        <f t="shared" si="262"/>
        <v>3.52</v>
      </c>
      <c r="GA537" s="104"/>
      <c r="GB537" s="104"/>
      <c r="GE537" s="94"/>
      <c r="GF537" s="104">
        <f t="shared" si="263"/>
        <v>2015</v>
      </c>
      <c r="GG537" s="104">
        <f t="shared" si="264"/>
        <v>3</v>
      </c>
      <c r="GH537" s="35">
        <v>42019</v>
      </c>
      <c r="GI537" s="26">
        <v>3.607</v>
      </c>
      <c r="GJ537" s="94">
        <f t="shared" si="265"/>
        <v>7.214</v>
      </c>
      <c r="GK537" s="104"/>
      <c r="GL537" s="104"/>
      <c r="GO537" s="94"/>
    </row>
    <row r="538" spans="3:197">
      <c r="C538" s="80" t="str" cm="1">
        <f t="array" ref="C538">_xlfn.IFS(MONTH(D538)&lt;4,1,MONTH(D538)&lt;7,2,MONTH(D538)&lt;10,3,MONTH(D538)&gt;9,4)&amp;"Q"&amp;RIGHT(YEAR(D538),2)</f>
        <v>1Q18</v>
      </c>
      <c r="D538" s="81">
        <f t="shared" si="258"/>
        <v>43190</v>
      </c>
      <c r="E538" s="82">
        <f t="shared" si="275"/>
        <v>43171</v>
      </c>
      <c r="F538" s="83">
        <f t="shared" si="257"/>
        <v>1.127125</v>
      </c>
      <c r="G538" s="83">
        <f t="shared" si="257"/>
        <v>0.9925</v>
      </c>
      <c r="H538" s="81"/>
      <c r="I538" s="146">
        <v>43171</v>
      </c>
      <c r="J538" s="147">
        <v>9.2</v>
      </c>
      <c r="K538" s="147">
        <v>8.7</v>
      </c>
      <c r="L538" s="147">
        <v>9.017</v>
      </c>
      <c r="M538" s="94" cm="1">
        <f t="array" ref="M538">INDEX($BV$29:$BV$1449,MATCH($D538,$BR$29:$BR$1449,0),)</f>
        <v>7.94</v>
      </c>
      <c r="N538" s="150">
        <f t="shared" si="274"/>
        <v>-0.00221312382427807</v>
      </c>
      <c r="O538" s="150">
        <f t="shared" si="276"/>
        <v>-0.0135652554425119</v>
      </c>
      <c r="P538" s="150">
        <f t="shared" si="270"/>
        <v>-0.017434891576768</v>
      </c>
      <c r="Q538" s="89">
        <f t="shared" si="273"/>
        <v>0.135642317380352</v>
      </c>
      <c r="AH538" s="90"/>
      <c r="AI538" s="85"/>
      <c r="AJ538" s="36"/>
      <c r="AK538" s="36"/>
      <c r="AL538" s="36"/>
      <c r="AM538" s="36"/>
      <c r="AN538" s="36"/>
      <c r="AO538" s="36"/>
      <c r="AP538" s="36"/>
      <c r="FV538" s="104">
        <f t="shared" si="260"/>
        <v>2012</v>
      </c>
      <c r="FW538" s="104">
        <f t="shared" si="261"/>
        <v>35</v>
      </c>
      <c r="FX538" s="35">
        <v>41149</v>
      </c>
      <c r="FY538" s="26">
        <v>0.87</v>
      </c>
      <c r="FZ538" s="94">
        <f t="shared" si="262"/>
        <v>3.48</v>
      </c>
      <c r="GA538" s="104"/>
      <c r="GB538" s="104"/>
      <c r="GE538" s="94"/>
      <c r="GF538" s="104">
        <f t="shared" si="263"/>
        <v>2015</v>
      </c>
      <c r="GG538" s="104">
        <f t="shared" si="264"/>
        <v>3</v>
      </c>
      <c r="GH538" s="35">
        <v>42020</v>
      </c>
      <c r="GI538" s="26">
        <v>3.603</v>
      </c>
      <c r="GJ538" s="94">
        <f t="shared" si="265"/>
        <v>7.206</v>
      </c>
      <c r="GK538" s="104"/>
      <c r="GL538" s="104"/>
      <c r="GO538" s="94"/>
    </row>
    <row r="539" spans="3:197">
      <c r="C539" s="80" t="str" cm="1">
        <f t="array" ref="C539">_xlfn.IFS(MONTH(D539)&lt;4,1,MONTH(D539)&lt;7,2,MONTH(D539)&lt;10,3,MONTH(D539)&gt;9,4)&amp;"Q"&amp;RIGHT(YEAR(D539),2)</f>
        <v>1Q18</v>
      </c>
      <c r="D539" s="81">
        <f t="shared" si="258"/>
        <v>43190</v>
      </c>
      <c r="E539" s="82">
        <f t="shared" si="275"/>
        <v>43172</v>
      </c>
      <c r="F539" s="83">
        <f t="shared" si="257"/>
        <v>1.125625</v>
      </c>
      <c r="G539" s="83">
        <f t="shared" si="257"/>
        <v>0.9925</v>
      </c>
      <c r="H539" s="81"/>
      <c r="I539" s="146">
        <v>43172</v>
      </c>
      <c r="J539" s="147">
        <v>9.2</v>
      </c>
      <c r="K539" s="147">
        <v>8.7</v>
      </c>
      <c r="L539" s="147">
        <v>9.005</v>
      </c>
      <c r="M539" s="94" cm="1">
        <f t="array" ref="M539">INDEX($BV$29:$BV$1449,MATCH($D539,$BR$29:$BR$1449,0),)</f>
        <v>7.94</v>
      </c>
      <c r="N539" s="150">
        <f t="shared" si="274"/>
        <v>-0.00133081956304748</v>
      </c>
      <c r="O539" s="150">
        <f t="shared" si="276"/>
        <v>-0.0125013707643381</v>
      </c>
      <c r="P539" s="150">
        <f t="shared" si="270"/>
        <v>-0.0179934569247545</v>
      </c>
      <c r="Q539" s="89">
        <f t="shared" si="273"/>
        <v>0.134130982367758</v>
      </c>
      <c r="AH539" s="90"/>
      <c r="AI539" s="85"/>
      <c r="AJ539" s="36"/>
      <c r="AK539" s="36"/>
      <c r="AL539" s="36"/>
      <c r="AM539" s="36"/>
      <c r="AN539" s="36"/>
      <c r="AO539" s="36"/>
      <c r="AP539" s="36"/>
      <c r="FV539" s="104">
        <f t="shared" si="260"/>
        <v>2012</v>
      </c>
      <c r="FW539" s="104">
        <f t="shared" si="261"/>
        <v>35</v>
      </c>
      <c r="FX539" s="35">
        <v>41150</v>
      </c>
      <c r="FY539" s="26">
        <v>0.87</v>
      </c>
      <c r="FZ539" s="94">
        <f t="shared" si="262"/>
        <v>3.48</v>
      </c>
      <c r="GA539" s="104"/>
      <c r="GB539" s="104"/>
      <c r="GE539" s="94"/>
      <c r="GF539" s="104">
        <f t="shared" si="263"/>
        <v>2015</v>
      </c>
      <c r="GG539" s="104">
        <f t="shared" si="264"/>
        <v>4</v>
      </c>
      <c r="GH539" s="35">
        <v>42023</v>
      </c>
      <c r="GI539" s="26">
        <v>3.603</v>
      </c>
      <c r="GJ539" s="94">
        <f t="shared" si="265"/>
        <v>7.206</v>
      </c>
      <c r="GK539" s="104"/>
      <c r="GL539" s="104"/>
      <c r="GO539" s="94"/>
    </row>
    <row r="540" spans="3:197">
      <c r="C540" s="80" t="str" cm="1">
        <f t="array" ref="C540">_xlfn.IFS(MONTH(D540)&lt;4,1,MONTH(D540)&lt;7,2,MONTH(D540)&lt;10,3,MONTH(D540)&gt;9,4)&amp;"Q"&amp;RIGHT(YEAR(D540),2)</f>
        <v>1Q18</v>
      </c>
      <c r="D540" s="81">
        <f t="shared" si="258"/>
        <v>43190</v>
      </c>
      <c r="E540" s="82">
        <f t="shared" si="275"/>
        <v>43173</v>
      </c>
      <c r="F540" s="83">
        <f t="shared" si="257"/>
        <v>1.125125</v>
      </c>
      <c r="G540" s="83">
        <f t="shared" si="257"/>
        <v>0.9925</v>
      </c>
      <c r="H540" s="81"/>
      <c r="I540" s="146">
        <v>43173</v>
      </c>
      <c r="J540" s="147">
        <v>9.2</v>
      </c>
      <c r="K540" s="147">
        <v>8.7</v>
      </c>
      <c r="L540" s="147">
        <v>9.001</v>
      </c>
      <c r="M540" s="94" cm="1">
        <f t="array" ref="M540">INDEX($BV$29:$BV$1449,MATCH($D540,$BR$29:$BR$1449,0),)</f>
        <v>7.94</v>
      </c>
      <c r="N540" s="150">
        <f t="shared" si="274"/>
        <v>-0.000444197667962443</v>
      </c>
      <c r="O540" s="150">
        <f t="shared" si="276"/>
        <v>-0.0129400153525606</v>
      </c>
      <c r="P540" s="150">
        <f t="shared" si="270"/>
        <v>-0.0183226087904899</v>
      </c>
      <c r="Q540" s="89">
        <f t="shared" si="273"/>
        <v>0.133627204030227</v>
      </c>
      <c r="AH540" s="90"/>
      <c r="AI540" s="85"/>
      <c r="AJ540" s="36"/>
      <c r="AK540" s="36"/>
      <c r="AL540" s="36"/>
      <c r="AM540" s="36"/>
      <c r="AN540" s="36"/>
      <c r="AO540" s="36"/>
      <c r="AP540" s="36"/>
      <c r="FV540" s="104">
        <f t="shared" si="260"/>
        <v>2012</v>
      </c>
      <c r="FW540" s="104">
        <f t="shared" si="261"/>
        <v>35</v>
      </c>
      <c r="FX540" s="35">
        <v>41151</v>
      </c>
      <c r="FY540" s="26">
        <v>0.87</v>
      </c>
      <c r="FZ540" s="94">
        <f t="shared" si="262"/>
        <v>3.48</v>
      </c>
      <c r="GA540" s="104"/>
      <c r="GB540" s="104"/>
      <c r="GE540" s="94"/>
      <c r="GF540" s="104">
        <f t="shared" si="263"/>
        <v>2015</v>
      </c>
      <c r="GG540" s="104">
        <f t="shared" si="264"/>
        <v>4</v>
      </c>
      <c r="GH540" s="35">
        <v>42024</v>
      </c>
      <c r="GI540" s="26">
        <v>3.584</v>
      </c>
      <c r="GJ540" s="94">
        <f t="shared" si="265"/>
        <v>7.168</v>
      </c>
      <c r="GK540" s="104"/>
      <c r="GL540" s="104"/>
      <c r="GO540" s="94"/>
    </row>
    <row r="541" spans="3:197">
      <c r="C541" s="80" t="str" cm="1">
        <f t="array" ref="C541">_xlfn.IFS(MONTH(D541)&lt;4,1,MONTH(D541)&lt;7,2,MONTH(D541)&lt;10,3,MONTH(D541)&gt;9,4)&amp;"Q"&amp;RIGHT(YEAR(D541),2)</f>
        <v>1Q18</v>
      </c>
      <c r="D541" s="81">
        <f t="shared" si="258"/>
        <v>43190</v>
      </c>
      <c r="E541" s="82">
        <f t="shared" si="275"/>
        <v>43174</v>
      </c>
      <c r="F541" s="83">
        <f t="shared" ref="F541:G604" si="277">+L541/8</f>
        <v>1.122875</v>
      </c>
      <c r="G541" s="83">
        <f t="shared" si="277"/>
        <v>0.9925</v>
      </c>
      <c r="H541" s="81"/>
      <c r="I541" s="146">
        <v>43174</v>
      </c>
      <c r="J541" s="147">
        <v>9.15</v>
      </c>
      <c r="K541" s="147">
        <v>8.6</v>
      </c>
      <c r="L541" s="147">
        <v>8.983</v>
      </c>
      <c r="M541" s="94" cm="1">
        <f t="array" ref="M541">INDEX($BV$29:$BV$1449,MATCH($D541,$BR$29:$BR$1449,0),)</f>
        <v>7.94</v>
      </c>
      <c r="N541" s="150">
        <f t="shared" si="274"/>
        <v>-0.0019997778024663</v>
      </c>
      <c r="O541" s="150">
        <f t="shared" si="276"/>
        <v>-0.00817047587501374</v>
      </c>
      <c r="P541" s="150">
        <f t="shared" si="270"/>
        <v>-0.0198581560283686</v>
      </c>
      <c r="Q541" s="89">
        <f t="shared" si="273"/>
        <v>0.131360201511335</v>
      </c>
      <c r="AH541" s="90"/>
      <c r="AI541" s="85"/>
      <c r="AJ541" s="36"/>
      <c r="AK541" s="36"/>
      <c r="AL541" s="36"/>
      <c r="AM541" s="36"/>
      <c r="AN541" s="36"/>
      <c r="AO541" s="36"/>
      <c r="AP541" s="36"/>
      <c r="FV541" s="104">
        <f t="shared" si="260"/>
        <v>2012</v>
      </c>
      <c r="FW541" s="104">
        <f t="shared" si="261"/>
        <v>35</v>
      </c>
      <c r="FX541" s="35">
        <v>41152</v>
      </c>
      <c r="FY541" s="26">
        <v>0.87</v>
      </c>
      <c r="FZ541" s="94">
        <f t="shared" si="262"/>
        <v>3.48</v>
      </c>
      <c r="GA541" s="104"/>
      <c r="GB541" s="104"/>
      <c r="GE541" s="94"/>
      <c r="GF541" s="104">
        <f t="shared" si="263"/>
        <v>2015</v>
      </c>
      <c r="GG541" s="104">
        <f t="shared" si="264"/>
        <v>4</v>
      </c>
      <c r="GH541" s="35">
        <v>42025</v>
      </c>
      <c r="GI541" s="26">
        <v>3.583</v>
      </c>
      <c r="GJ541" s="94">
        <f t="shared" si="265"/>
        <v>7.166</v>
      </c>
      <c r="GK541" s="104"/>
      <c r="GL541" s="104"/>
      <c r="GO541" s="94"/>
    </row>
    <row r="542" spans="3:197">
      <c r="C542" s="80" t="str" cm="1">
        <f t="array" ref="C542">_xlfn.IFS(MONTH(D542)&lt;4,1,MONTH(D542)&lt;7,2,MONTH(D542)&lt;10,3,MONTH(D542)&gt;9,4)&amp;"Q"&amp;RIGHT(YEAR(D542),2)</f>
        <v>1Q18</v>
      </c>
      <c r="D542" s="81">
        <f t="shared" ref="D542:D605" si="278">EOMONTH(E542,0)</f>
        <v>43190</v>
      </c>
      <c r="E542" s="82">
        <f t="shared" si="275"/>
        <v>43175</v>
      </c>
      <c r="F542" s="83">
        <f t="shared" si="277"/>
        <v>1.125</v>
      </c>
      <c r="G542" s="83">
        <f t="shared" si="277"/>
        <v>0.9925</v>
      </c>
      <c r="H542" s="81"/>
      <c r="I542" s="146">
        <v>43175</v>
      </c>
      <c r="J542" s="147">
        <v>9.15</v>
      </c>
      <c r="K542" s="147">
        <v>8.65</v>
      </c>
      <c r="L542" s="147">
        <v>9</v>
      </c>
      <c r="M542" s="94" cm="1">
        <f t="array" ref="M542">INDEX($BV$29:$BV$1449,MATCH($D542,$BR$29:$BR$1449,0),)</f>
        <v>7.94</v>
      </c>
      <c r="N542" s="150">
        <f t="shared" si="274"/>
        <v>0.00189246354224637</v>
      </c>
      <c r="O542" s="150">
        <f t="shared" si="276"/>
        <v>-0.00409427907491433</v>
      </c>
      <c r="P542" s="150">
        <f t="shared" si="270"/>
        <v>-0.0160708428993113</v>
      </c>
      <c r="Q542" s="89">
        <f t="shared" si="273"/>
        <v>0.133501259445844</v>
      </c>
      <c r="AH542" s="90"/>
      <c r="AI542" s="85"/>
      <c r="AJ542" s="36"/>
      <c r="AK542" s="36"/>
      <c r="AL542" s="36"/>
      <c r="AM542" s="36"/>
      <c r="AN542" s="36"/>
      <c r="AO542" s="36"/>
      <c r="AP542" s="36"/>
      <c r="FV542" s="104">
        <f t="shared" si="260"/>
        <v>2012</v>
      </c>
      <c r="FW542" s="104">
        <f t="shared" si="261"/>
        <v>35</v>
      </c>
      <c r="FX542" s="35">
        <v>41153</v>
      </c>
      <c r="FY542" s="26">
        <v>0.87</v>
      </c>
      <c r="FZ542" s="94">
        <f t="shared" si="262"/>
        <v>3.48</v>
      </c>
      <c r="GA542" s="104"/>
      <c r="GB542" s="104"/>
      <c r="GE542" s="94"/>
      <c r="GF542" s="104">
        <f t="shared" si="263"/>
        <v>2015</v>
      </c>
      <c r="GG542" s="104">
        <f t="shared" si="264"/>
        <v>4</v>
      </c>
      <c r="GH542" s="35">
        <v>42026</v>
      </c>
      <c r="GI542" s="26">
        <v>3.581</v>
      </c>
      <c r="GJ542" s="94">
        <f t="shared" si="265"/>
        <v>7.162</v>
      </c>
      <c r="GK542" s="104"/>
      <c r="GL542" s="104"/>
      <c r="GO542" s="94"/>
    </row>
    <row r="543" spans="3:197">
      <c r="C543" s="80" t="str" cm="1">
        <f t="array" ref="C543">_xlfn.IFS(MONTH(D543)&lt;4,1,MONTH(D543)&lt;7,2,MONTH(D543)&lt;10,3,MONTH(D543)&gt;9,4)&amp;"Q"&amp;RIGHT(YEAR(D543),2)</f>
        <v>1Q18</v>
      </c>
      <c r="D543" s="81">
        <f t="shared" si="278"/>
        <v>43190</v>
      </c>
      <c r="E543" s="82">
        <f t="shared" si="275"/>
        <v>43178</v>
      </c>
      <c r="F543" s="83">
        <f t="shared" si="277"/>
        <v>1.127</v>
      </c>
      <c r="G543" s="83">
        <f t="shared" si="277"/>
        <v>0.9925</v>
      </c>
      <c r="H543" s="81"/>
      <c r="I543" s="146">
        <v>43178</v>
      </c>
      <c r="J543" s="147">
        <v>9.2</v>
      </c>
      <c r="K543" s="147">
        <v>8.65</v>
      </c>
      <c r="L543" s="147">
        <v>9.016</v>
      </c>
      <c r="M543" s="94" cm="1">
        <f t="array" ref="M543">INDEX($BV$29:$BV$1449,MATCH($D543,$BR$29:$BR$1449,0),)</f>
        <v>7.94</v>
      </c>
      <c r="N543" s="150">
        <f t="shared" si="274"/>
        <v>0.00177777777777788</v>
      </c>
      <c r="O543" s="150">
        <f t="shared" si="276"/>
        <v>-0.000110901630253957</v>
      </c>
      <c r="P543" s="150">
        <f t="shared" si="270"/>
        <v>-0.0136746526638223</v>
      </c>
      <c r="Q543" s="89">
        <f t="shared" si="273"/>
        <v>0.13551637279597</v>
      </c>
      <c r="AH543" s="90"/>
      <c r="AI543" s="85"/>
      <c r="AJ543" s="36"/>
      <c r="AK543" s="36"/>
      <c r="AL543" s="36"/>
      <c r="AM543" s="36"/>
      <c r="AN543" s="36"/>
      <c r="AO543" s="36"/>
      <c r="AP543" s="36"/>
      <c r="FV543" s="104">
        <f t="shared" si="260"/>
        <v>2012</v>
      </c>
      <c r="FW543" s="104">
        <f t="shared" si="261"/>
        <v>36</v>
      </c>
      <c r="FX543" s="35">
        <v>41154</v>
      </c>
      <c r="FY543" s="26">
        <v>0.87</v>
      </c>
      <c r="FZ543" s="94">
        <f t="shared" si="262"/>
        <v>3.48</v>
      </c>
      <c r="GA543" s="104"/>
      <c r="GB543" s="104"/>
      <c r="GE543" s="94"/>
      <c r="GF543" s="104">
        <f t="shared" si="263"/>
        <v>2015</v>
      </c>
      <c r="GG543" s="104">
        <f t="shared" si="264"/>
        <v>4</v>
      </c>
      <c r="GH543" s="35">
        <v>42027</v>
      </c>
      <c r="GI543" s="26">
        <v>3.571</v>
      </c>
      <c r="GJ543" s="94">
        <f t="shared" si="265"/>
        <v>7.142</v>
      </c>
      <c r="GK543" s="104"/>
      <c r="GL543" s="104"/>
      <c r="GO543" s="94"/>
    </row>
    <row r="544" spans="3:197">
      <c r="C544" s="80" t="str" cm="1">
        <f t="array" ref="C544">_xlfn.IFS(MONTH(D544)&lt;4,1,MONTH(D544)&lt;7,2,MONTH(D544)&lt;10,3,MONTH(D544)&gt;9,4)&amp;"Q"&amp;RIGHT(YEAR(D544),2)</f>
        <v>1Q18</v>
      </c>
      <c r="D544" s="81">
        <f t="shared" si="278"/>
        <v>43190</v>
      </c>
      <c r="E544" s="82">
        <f t="shared" si="275"/>
        <v>43179</v>
      </c>
      <c r="F544" s="83">
        <f t="shared" si="277"/>
        <v>1.1285</v>
      </c>
      <c r="G544" s="83">
        <f t="shared" si="277"/>
        <v>0.9925</v>
      </c>
      <c r="H544" s="81"/>
      <c r="I544" s="146">
        <v>43179</v>
      </c>
      <c r="J544" s="147">
        <v>9.2</v>
      </c>
      <c r="K544" s="147">
        <v>8.7</v>
      </c>
      <c r="L544" s="147">
        <v>9.028</v>
      </c>
      <c r="M544" s="94" cm="1">
        <f t="array" ref="M544">INDEX($BV$29:$BV$1449,MATCH($D544,$BR$29:$BR$1449,0),)</f>
        <v>7.94</v>
      </c>
      <c r="N544" s="150">
        <f t="shared" si="274"/>
        <v>0.00133096716947656</v>
      </c>
      <c r="O544" s="150">
        <f t="shared" si="276"/>
        <v>0.00255413659078285</v>
      </c>
      <c r="P544" s="150">
        <f t="shared" si="270"/>
        <v>-0.00997916438205937</v>
      </c>
      <c r="Q544" s="89">
        <f t="shared" si="273"/>
        <v>0.137027707808564</v>
      </c>
      <c r="AH544" s="90"/>
      <c r="AI544" s="85"/>
      <c r="AJ544" s="36"/>
      <c r="AK544" s="36"/>
      <c r="AL544" s="36"/>
      <c r="AM544" s="36"/>
      <c r="AN544" s="36"/>
      <c r="AO544" s="36"/>
      <c r="AP544" s="36"/>
      <c r="FV544" s="104">
        <f t="shared" si="260"/>
        <v>2012</v>
      </c>
      <c r="FW544" s="104">
        <f t="shared" si="261"/>
        <v>36</v>
      </c>
      <c r="FX544" s="35">
        <v>41155</v>
      </c>
      <c r="FY544" s="26">
        <v>0.87</v>
      </c>
      <c r="FZ544" s="94">
        <f t="shared" si="262"/>
        <v>3.48</v>
      </c>
      <c r="GA544" s="104"/>
      <c r="GB544" s="104"/>
      <c r="GE544" s="94"/>
      <c r="GF544" s="104">
        <f t="shared" si="263"/>
        <v>2015</v>
      </c>
      <c r="GG544" s="104">
        <f t="shared" si="264"/>
        <v>5</v>
      </c>
      <c r="GH544" s="35">
        <v>42030</v>
      </c>
      <c r="GI544" s="26">
        <v>3.55</v>
      </c>
      <c r="GJ544" s="94">
        <f t="shared" si="265"/>
        <v>7.1</v>
      </c>
      <c r="GK544" s="104"/>
      <c r="GL544" s="104"/>
      <c r="GO544" s="94"/>
    </row>
    <row r="545" spans="3:197">
      <c r="C545" s="80" t="str" cm="1">
        <f t="array" ref="C545">_xlfn.IFS(MONTH(D545)&lt;4,1,MONTH(D545)&lt;7,2,MONTH(D545)&lt;10,3,MONTH(D545)&gt;9,4)&amp;"Q"&amp;RIGHT(YEAR(D545),2)</f>
        <v>1Q18</v>
      </c>
      <c r="D545" s="81">
        <f t="shared" si="278"/>
        <v>43190</v>
      </c>
      <c r="E545" s="82">
        <f t="shared" si="275"/>
        <v>43180</v>
      </c>
      <c r="F545" s="83">
        <f t="shared" si="277"/>
        <v>1.1285</v>
      </c>
      <c r="G545" s="83">
        <f t="shared" si="277"/>
        <v>0.9925</v>
      </c>
      <c r="H545" s="81"/>
      <c r="I545" s="146">
        <v>43180</v>
      </c>
      <c r="J545" s="147">
        <v>9.2</v>
      </c>
      <c r="K545" s="147">
        <v>8.7</v>
      </c>
      <c r="L545" s="147">
        <v>9.028</v>
      </c>
      <c r="M545" s="94" cm="1">
        <f t="array" ref="M545">INDEX($BV$29:$BV$1449,MATCH($D545,$BR$29:$BR$1449,0),)</f>
        <v>7.94</v>
      </c>
      <c r="N545" s="150">
        <f t="shared" si="274"/>
        <v>0</v>
      </c>
      <c r="O545" s="150">
        <f t="shared" si="276"/>
        <v>0.00299966670369978</v>
      </c>
      <c r="P545" s="150">
        <f t="shared" si="270"/>
        <v>-0.00997916438205937</v>
      </c>
      <c r="Q545" s="89">
        <f t="shared" si="273"/>
        <v>0.137027707808564</v>
      </c>
      <c r="AH545" s="90"/>
      <c r="AI545" s="85"/>
      <c r="AJ545" s="36"/>
      <c r="AK545" s="36"/>
      <c r="AL545" s="36"/>
      <c r="AM545" s="36"/>
      <c r="AN545" s="36"/>
      <c r="AO545" s="36"/>
      <c r="AP545" s="36"/>
      <c r="FV545" s="104">
        <f t="shared" si="260"/>
        <v>2012</v>
      </c>
      <c r="FW545" s="104">
        <f t="shared" si="261"/>
        <v>36</v>
      </c>
      <c r="FX545" s="35">
        <v>41156</v>
      </c>
      <c r="FY545" s="26">
        <v>0.86</v>
      </c>
      <c r="FZ545" s="94">
        <f t="shared" si="262"/>
        <v>3.44</v>
      </c>
      <c r="GA545" s="104"/>
      <c r="GB545" s="104"/>
      <c r="GE545" s="94"/>
      <c r="GF545" s="104">
        <f t="shared" si="263"/>
        <v>2015</v>
      </c>
      <c r="GG545" s="104">
        <f t="shared" si="264"/>
        <v>5</v>
      </c>
      <c r="GH545" s="35">
        <v>42031</v>
      </c>
      <c r="GI545" s="26">
        <v>3.541</v>
      </c>
      <c r="GJ545" s="94">
        <f t="shared" si="265"/>
        <v>7.082</v>
      </c>
      <c r="GK545" s="104"/>
      <c r="GL545" s="104"/>
      <c r="GO545" s="94"/>
    </row>
    <row r="546" spans="3:197">
      <c r="C546" s="80" t="str" cm="1">
        <f t="array" ref="C546">_xlfn.IFS(MONTH(D546)&lt;4,1,MONTH(D546)&lt;7,2,MONTH(D546)&lt;10,3,MONTH(D546)&gt;9,4)&amp;"Q"&amp;RIGHT(YEAR(D546),2)</f>
        <v>1Q18</v>
      </c>
      <c r="D546" s="81">
        <f t="shared" si="278"/>
        <v>43190</v>
      </c>
      <c r="E546" s="82">
        <f t="shared" si="275"/>
        <v>43181</v>
      </c>
      <c r="F546" s="83">
        <f t="shared" si="277"/>
        <v>1.129</v>
      </c>
      <c r="G546" s="83">
        <f t="shared" si="277"/>
        <v>0.9925</v>
      </c>
      <c r="H546" s="81"/>
      <c r="I546" s="146">
        <v>43181</v>
      </c>
      <c r="J546" s="147">
        <v>9.2</v>
      </c>
      <c r="K546" s="147">
        <v>8.72</v>
      </c>
      <c r="L546" s="147">
        <v>9.032</v>
      </c>
      <c r="M546" s="94" cm="1">
        <f t="array" ref="M546">INDEX($BV$29:$BV$1449,MATCH($D546,$BR$29:$BR$1449,0),)</f>
        <v>7.94</v>
      </c>
      <c r="N546" s="150">
        <f t="shared" si="274"/>
        <v>0.000443066016836413</v>
      </c>
      <c r="O546" s="150">
        <f t="shared" si="276"/>
        <v>0.00545474785706324</v>
      </c>
      <c r="P546" s="150">
        <f t="shared" si="270"/>
        <v>-0.00276029590372096</v>
      </c>
      <c r="Q546" s="89">
        <f t="shared" si="273"/>
        <v>0.137531486146096</v>
      </c>
      <c r="AH546" s="90"/>
      <c r="AI546" s="85"/>
      <c r="AJ546" s="36"/>
      <c r="AK546" s="36"/>
      <c r="AL546" s="36"/>
      <c r="AM546" s="36"/>
      <c r="AN546" s="36"/>
      <c r="AO546" s="36"/>
      <c r="AP546" s="36"/>
      <c r="FV546" s="104">
        <f t="shared" si="260"/>
        <v>2012</v>
      </c>
      <c r="FW546" s="104">
        <f t="shared" si="261"/>
        <v>36</v>
      </c>
      <c r="FX546" s="35">
        <v>41157</v>
      </c>
      <c r="FY546" s="26">
        <v>0.85</v>
      </c>
      <c r="FZ546" s="94">
        <f t="shared" si="262"/>
        <v>3.4</v>
      </c>
      <c r="GA546" s="104"/>
      <c r="GB546" s="104"/>
      <c r="GE546" s="94"/>
      <c r="GF546" s="104">
        <f t="shared" si="263"/>
        <v>2015</v>
      </c>
      <c r="GG546" s="104">
        <f t="shared" si="264"/>
        <v>5</v>
      </c>
      <c r="GH546" s="35">
        <v>42032</v>
      </c>
      <c r="GI546" s="26">
        <v>3.532</v>
      </c>
      <c r="GJ546" s="94">
        <f t="shared" si="265"/>
        <v>7.064</v>
      </c>
      <c r="GK546" s="104"/>
      <c r="GL546" s="104"/>
      <c r="GO546" s="94"/>
    </row>
    <row r="547" spans="3:197">
      <c r="C547" s="80" t="str" cm="1">
        <f t="array" ref="C547">_xlfn.IFS(MONTH(D547)&lt;4,1,MONTH(D547)&lt;7,2,MONTH(D547)&lt;10,3,MONTH(D547)&gt;9,4)&amp;"Q"&amp;RIGHT(YEAR(D547),2)</f>
        <v>1Q18</v>
      </c>
      <c r="D547" s="81">
        <f t="shared" si="278"/>
        <v>43190</v>
      </c>
      <c r="E547" s="82">
        <f t="shared" si="275"/>
        <v>43182</v>
      </c>
      <c r="F547" s="83">
        <f t="shared" si="277"/>
        <v>1.13</v>
      </c>
      <c r="G547" s="83">
        <f t="shared" si="277"/>
        <v>0.9925</v>
      </c>
      <c r="H547" s="81"/>
      <c r="I547" s="146">
        <v>43182</v>
      </c>
      <c r="J547" s="147">
        <v>9.25</v>
      </c>
      <c r="K547" s="147">
        <v>8.7</v>
      </c>
      <c r="L547" s="147">
        <v>9.04</v>
      </c>
      <c r="M547" s="94" cm="1">
        <f t="array" ref="M547">INDEX($BV$29:$BV$1449,MATCH($D547,$BR$29:$BR$1449,0),)</f>
        <v>7.94</v>
      </c>
      <c r="N547" s="150">
        <f t="shared" si="274"/>
        <v>0.000885739592559664</v>
      </c>
      <c r="O547" s="150">
        <f t="shared" si="276"/>
        <v>0.00444444444444425</v>
      </c>
      <c r="P547" s="150">
        <f t="shared" si="270"/>
        <v>0.000331968573641594</v>
      </c>
      <c r="Q547" s="89">
        <f t="shared" si="273"/>
        <v>0.138539042821159</v>
      </c>
      <c r="AH547" s="90"/>
      <c r="AI547" s="85"/>
      <c r="AJ547" s="36"/>
      <c r="AK547" s="36"/>
      <c r="AL547" s="36"/>
      <c r="AM547" s="36"/>
      <c r="AN547" s="36"/>
      <c r="AO547" s="36"/>
      <c r="AP547" s="36"/>
      <c r="FV547" s="104">
        <f t="shared" si="260"/>
        <v>2012</v>
      </c>
      <c r="FW547" s="104">
        <f t="shared" si="261"/>
        <v>36</v>
      </c>
      <c r="FX547" s="35">
        <v>41158</v>
      </c>
      <c r="FY547" s="26">
        <v>0.84</v>
      </c>
      <c r="FZ547" s="94">
        <f t="shared" si="262"/>
        <v>3.36</v>
      </c>
      <c r="GA547" s="104"/>
      <c r="GB547" s="104"/>
      <c r="GE547" s="94"/>
      <c r="GF547" s="104">
        <f t="shared" si="263"/>
        <v>2015</v>
      </c>
      <c r="GG547" s="104">
        <f t="shared" si="264"/>
        <v>5</v>
      </c>
      <c r="GH547" s="35">
        <v>42033</v>
      </c>
      <c r="GI547" s="26">
        <v>3.523</v>
      </c>
      <c r="GJ547" s="94">
        <f t="shared" si="265"/>
        <v>7.046</v>
      </c>
      <c r="GK547" s="104"/>
      <c r="GL547" s="104"/>
      <c r="GO547" s="94"/>
    </row>
    <row r="548" spans="3:197">
      <c r="C548" s="80" t="str" cm="1">
        <f t="array" ref="C548">_xlfn.IFS(MONTH(D548)&lt;4,1,MONTH(D548)&lt;7,2,MONTH(D548)&lt;10,3,MONTH(D548)&gt;9,4)&amp;"Q"&amp;RIGHT(YEAR(D548),2)</f>
        <v>1Q18</v>
      </c>
      <c r="D548" s="81">
        <f t="shared" si="278"/>
        <v>43190</v>
      </c>
      <c r="E548" s="82">
        <f t="shared" si="275"/>
        <v>43185</v>
      </c>
      <c r="F548" s="83">
        <f t="shared" si="277"/>
        <v>1.13325</v>
      </c>
      <c r="G548" s="83">
        <f t="shared" si="277"/>
        <v>0.9925</v>
      </c>
      <c r="H548" s="81"/>
      <c r="I548" s="146">
        <v>43185</v>
      </c>
      <c r="J548" s="147">
        <v>9.3</v>
      </c>
      <c r="K548" s="147">
        <v>8.7</v>
      </c>
      <c r="L548" s="147">
        <v>9.066</v>
      </c>
      <c r="M548" s="94" cm="1">
        <f t="array" ref="M548">INDEX($BV$29:$BV$1449,MATCH($D548,$BR$29:$BR$1449,0),)</f>
        <v>7.94</v>
      </c>
      <c r="N548" s="150">
        <f t="shared" si="274"/>
        <v>0.00287610619469048</v>
      </c>
      <c r="O548" s="150">
        <f t="shared" si="276"/>
        <v>0.00554569653948533</v>
      </c>
      <c r="P548" s="150">
        <f t="shared" si="270"/>
        <v>0.00543417988244443</v>
      </c>
      <c r="Q548" s="89">
        <f t="shared" si="273"/>
        <v>0.141813602015113</v>
      </c>
      <c r="AH548" s="90"/>
      <c r="AI548" s="85"/>
      <c r="AJ548" s="36"/>
      <c r="AK548" s="36"/>
      <c r="AL548" s="36"/>
      <c r="AM548" s="36"/>
      <c r="AN548" s="36"/>
      <c r="AO548" s="36"/>
      <c r="AP548" s="36"/>
      <c r="FV548" s="104">
        <f t="shared" si="260"/>
        <v>2012</v>
      </c>
      <c r="FW548" s="104">
        <f t="shared" si="261"/>
        <v>36</v>
      </c>
      <c r="FX548" s="35">
        <v>41159</v>
      </c>
      <c r="FY548" s="26">
        <v>0.85</v>
      </c>
      <c r="FZ548" s="94">
        <f t="shared" si="262"/>
        <v>3.4</v>
      </c>
      <c r="GA548" s="104"/>
      <c r="GB548" s="104"/>
      <c r="GE548" s="94"/>
      <c r="GF548" s="104">
        <f t="shared" si="263"/>
        <v>2015</v>
      </c>
      <c r="GG548" s="104">
        <f t="shared" si="264"/>
        <v>5</v>
      </c>
      <c r="GH548" s="35">
        <v>42034</v>
      </c>
      <c r="GI548" s="26">
        <v>3.521</v>
      </c>
      <c r="GJ548" s="94">
        <f t="shared" si="265"/>
        <v>7.042</v>
      </c>
      <c r="GK548" s="104"/>
      <c r="GL548" s="104"/>
      <c r="GO548" s="94"/>
    </row>
    <row r="549" spans="3:197">
      <c r="C549" s="80" t="str" cm="1">
        <f t="array" ref="C549">_xlfn.IFS(MONTH(D549)&lt;4,1,MONTH(D549)&lt;7,2,MONTH(D549)&lt;10,3,MONTH(D549)&gt;9,4)&amp;"Q"&amp;RIGHT(YEAR(D549),2)</f>
        <v>1Q18</v>
      </c>
      <c r="D549" s="81">
        <f t="shared" si="278"/>
        <v>43190</v>
      </c>
      <c r="E549" s="82">
        <f t="shared" si="275"/>
        <v>43186</v>
      </c>
      <c r="F549" s="83">
        <f t="shared" si="277"/>
        <v>1.1335</v>
      </c>
      <c r="G549" s="83">
        <f t="shared" si="277"/>
        <v>0.9925</v>
      </c>
      <c r="H549" s="81"/>
      <c r="I549" s="146">
        <v>43186</v>
      </c>
      <c r="J549" s="147">
        <v>9.3</v>
      </c>
      <c r="K549" s="147">
        <v>8.63</v>
      </c>
      <c r="L549" s="147">
        <v>9.068</v>
      </c>
      <c r="M549" s="94" cm="1">
        <f t="array" ref="M549">INDEX($BV$29:$BV$1449,MATCH($D549,$BR$29:$BR$1449,0),)</f>
        <v>7.94</v>
      </c>
      <c r="N549" s="150">
        <f t="shared" si="274"/>
        <v>0.000220604456209861</v>
      </c>
      <c r="O549" s="150">
        <f t="shared" si="276"/>
        <v>0.00443066016836502</v>
      </c>
      <c r="P549" s="150">
        <f t="shared" si="270"/>
        <v>0.00699611327040528</v>
      </c>
      <c r="Q549" s="89">
        <f t="shared" si="273"/>
        <v>0.142065491183879</v>
      </c>
      <c r="AH549" s="90"/>
      <c r="AI549" s="85"/>
      <c r="AJ549" s="36"/>
      <c r="AK549" s="36"/>
      <c r="AL549" s="36"/>
      <c r="AM549" s="36"/>
      <c r="AN549" s="36"/>
      <c r="AO549" s="36"/>
      <c r="AP549" s="36"/>
      <c r="FV549" s="104">
        <f t="shared" si="260"/>
        <v>2012</v>
      </c>
      <c r="FW549" s="104">
        <f t="shared" si="261"/>
        <v>36</v>
      </c>
      <c r="FX549" s="35">
        <v>41160</v>
      </c>
      <c r="FY549" s="26">
        <v>0.85</v>
      </c>
      <c r="FZ549" s="94">
        <f t="shared" si="262"/>
        <v>3.4</v>
      </c>
      <c r="GA549" s="104"/>
      <c r="GB549" s="104"/>
      <c r="GE549" s="94"/>
      <c r="GF549" s="104">
        <f t="shared" si="263"/>
        <v>2015</v>
      </c>
      <c r="GG549" s="104">
        <f t="shared" si="264"/>
        <v>6</v>
      </c>
      <c r="GH549" s="35">
        <v>42037</v>
      </c>
      <c r="GI549" s="26">
        <v>3.521</v>
      </c>
      <c r="GJ549" s="94">
        <f t="shared" si="265"/>
        <v>7.042</v>
      </c>
      <c r="GK549" s="104"/>
      <c r="GL549" s="104"/>
      <c r="GO549" s="94"/>
    </row>
    <row r="550" spans="3:197">
      <c r="C550" s="80" t="str" cm="1">
        <f t="array" ref="C550">_xlfn.IFS(MONTH(D550)&lt;4,1,MONTH(D550)&lt;7,2,MONTH(D550)&lt;10,3,MONTH(D550)&gt;9,4)&amp;"Q"&amp;RIGHT(YEAR(D550),2)</f>
        <v>1Q18</v>
      </c>
      <c r="D550" s="81">
        <f t="shared" si="278"/>
        <v>43190</v>
      </c>
      <c r="E550" s="82">
        <f t="shared" si="275"/>
        <v>43187</v>
      </c>
      <c r="F550" s="83">
        <f t="shared" si="277"/>
        <v>1.132125</v>
      </c>
      <c r="G550" s="83">
        <f t="shared" si="277"/>
        <v>0.9925</v>
      </c>
      <c r="H550" s="81"/>
      <c r="I550" s="146">
        <v>43187</v>
      </c>
      <c r="J550" s="147">
        <v>9.3</v>
      </c>
      <c r="K550" s="147">
        <v>8.63</v>
      </c>
      <c r="L550" s="147">
        <v>9.057</v>
      </c>
      <c r="M550" s="94" cm="1">
        <f t="array" ref="M550">INDEX($BV$29:$BV$1449,MATCH($D550,$BR$29:$BR$1449,0),)</f>
        <v>7.94</v>
      </c>
      <c r="N550" s="150">
        <f t="shared" si="274"/>
        <v>-0.00121305690339646</v>
      </c>
      <c r="O550" s="150">
        <f t="shared" si="276"/>
        <v>0.00321222862206461</v>
      </c>
      <c r="P550" s="150">
        <f t="shared" si="270"/>
        <v>0.00622153094100675</v>
      </c>
      <c r="Q550" s="89">
        <f t="shared" si="273"/>
        <v>0.140680100755668</v>
      </c>
      <c r="AH550" s="90"/>
      <c r="AI550" s="85"/>
      <c r="AJ550" s="36"/>
      <c r="AK550" s="36"/>
      <c r="AL550" s="36"/>
      <c r="AM550" s="36"/>
      <c r="AN550" s="36"/>
      <c r="AO550" s="36"/>
      <c r="AP550" s="36"/>
      <c r="FV550" s="104">
        <f t="shared" si="260"/>
        <v>2012</v>
      </c>
      <c r="FW550" s="104">
        <f t="shared" si="261"/>
        <v>37</v>
      </c>
      <c r="FX550" s="35">
        <v>41161</v>
      </c>
      <c r="FY550" s="26">
        <v>0.85</v>
      </c>
      <c r="FZ550" s="94">
        <f t="shared" si="262"/>
        <v>3.4</v>
      </c>
      <c r="GA550" s="104"/>
      <c r="GB550" s="104"/>
      <c r="GE550" s="94"/>
      <c r="GF550" s="104">
        <f t="shared" si="263"/>
        <v>2015</v>
      </c>
      <c r="GG550" s="104">
        <f t="shared" si="264"/>
        <v>6</v>
      </c>
      <c r="GH550" s="35">
        <v>42038</v>
      </c>
      <c r="GI550" s="26">
        <v>3.52</v>
      </c>
      <c r="GJ550" s="94">
        <f t="shared" si="265"/>
        <v>7.04</v>
      </c>
      <c r="GK550" s="104"/>
      <c r="GL550" s="104"/>
      <c r="GO550" s="94"/>
    </row>
    <row r="551" spans="3:197">
      <c r="C551" s="80" t="str" cm="1">
        <f t="array" ref="C551">_xlfn.IFS(MONTH(D551)&lt;4,1,MONTH(D551)&lt;7,2,MONTH(D551)&lt;10,3,MONTH(D551)&gt;9,4)&amp;"Q"&amp;RIGHT(YEAR(D551),2)</f>
        <v>1Q18</v>
      </c>
      <c r="D551" s="81">
        <f t="shared" si="278"/>
        <v>43190</v>
      </c>
      <c r="E551" s="82">
        <f t="shared" si="275"/>
        <v>43188</v>
      </c>
      <c r="F551" s="83">
        <f t="shared" si="277"/>
        <v>1.132125</v>
      </c>
      <c r="G551" s="83">
        <f t="shared" si="277"/>
        <v>0.9925</v>
      </c>
      <c r="H551" s="81"/>
      <c r="I551" s="146">
        <v>43188</v>
      </c>
      <c r="J551" s="147">
        <v>9.3</v>
      </c>
      <c r="K551" s="147">
        <v>8.63</v>
      </c>
      <c r="L551" s="147">
        <v>9.057</v>
      </c>
      <c r="M551" s="94" cm="1">
        <f t="array" ref="M551">INDEX($BV$29:$BV$1449,MATCH($D551,$BR$29:$BR$1449,0),)</f>
        <v>7.94</v>
      </c>
      <c r="N551" s="150">
        <f t="shared" si="274"/>
        <v>0</v>
      </c>
      <c r="O551" s="150">
        <f t="shared" si="276"/>
        <v>0.00276793622674942</v>
      </c>
      <c r="P551" s="150">
        <f t="shared" si="270"/>
        <v>0.00823778247801399</v>
      </c>
      <c r="Q551" s="89">
        <f t="shared" si="273"/>
        <v>0.140680100755668</v>
      </c>
      <c r="AH551" s="90"/>
      <c r="AI551" s="85"/>
      <c r="AJ551" s="36"/>
      <c r="AK551" s="36"/>
      <c r="AL551" s="36"/>
      <c r="AM551" s="36"/>
      <c r="AN551" s="36"/>
      <c r="AO551" s="36"/>
      <c r="AP551" s="36"/>
      <c r="FV551" s="104">
        <f t="shared" si="260"/>
        <v>2012</v>
      </c>
      <c r="FW551" s="104">
        <f t="shared" si="261"/>
        <v>37</v>
      </c>
      <c r="FX551" s="35">
        <v>41162</v>
      </c>
      <c r="FY551" s="26">
        <v>0.85</v>
      </c>
      <c r="FZ551" s="94">
        <f t="shared" si="262"/>
        <v>3.4</v>
      </c>
      <c r="GA551" s="104"/>
      <c r="GB551" s="104"/>
      <c r="GE551" s="94"/>
      <c r="GF551" s="104">
        <f t="shared" si="263"/>
        <v>2015</v>
      </c>
      <c r="GG551" s="104">
        <f t="shared" si="264"/>
        <v>6</v>
      </c>
      <c r="GH551" s="35">
        <v>42039</v>
      </c>
      <c r="GI551" s="26">
        <v>3.515</v>
      </c>
      <c r="GJ551" s="94">
        <f t="shared" si="265"/>
        <v>7.03</v>
      </c>
      <c r="GK551" s="104"/>
      <c r="GL551" s="104"/>
      <c r="GO551" s="94"/>
    </row>
    <row r="552" spans="3:197">
      <c r="C552" s="80" t="str" cm="1">
        <f t="array" ref="C552">_xlfn.IFS(MONTH(D552)&lt;4,1,MONTH(D552)&lt;7,2,MONTH(D552)&lt;10,3,MONTH(D552)&gt;9,4)&amp;"Q"&amp;RIGHT(YEAR(D552),2)</f>
        <v>1Q18</v>
      </c>
      <c r="D552" s="81">
        <f t="shared" si="278"/>
        <v>43190</v>
      </c>
      <c r="E552" s="82">
        <f t="shared" si="275"/>
        <v>43189</v>
      </c>
      <c r="F552" s="83">
        <f t="shared" si="277"/>
        <v>1.12925</v>
      </c>
      <c r="G552" s="83">
        <f t="shared" si="277"/>
        <v>0.9925</v>
      </c>
      <c r="H552" s="81"/>
      <c r="I552" s="146">
        <v>43189</v>
      </c>
      <c r="J552" s="147">
        <v>9.3</v>
      </c>
      <c r="K552" s="147">
        <v>8.63</v>
      </c>
      <c r="L552" s="147">
        <v>9.034</v>
      </c>
      <c r="M552" s="94" cm="1">
        <f t="array" ref="M552">INDEX($BV$29:$BV$1449,MATCH($D552,$BR$29:$BR$1449,0),)</f>
        <v>7.94</v>
      </c>
      <c r="N552" s="150">
        <f t="shared" si="274"/>
        <v>-0.00253947223142315</v>
      </c>
      <c r="O552" s="150">
        <f t="shared" si="276"/>
        <v>-0.00066371681415911</v>
      </c>
      <c r="P552" s="150">
        <f t="shared" si="270"/>
        <v>0.00377777777777788</v>
      </c>
      <c r="Q552" s="89">
        <f t="shared" si="273"/>
        <v>0.137783375314861</v>
      </c>
      <c r="AH552" s="90"/>
      <c r="AI552" s="85"/>
      <c r="AJ552" s="36"/>
      <c r="AK552" s="36"/>
      <c r="AL552" s="36"/>
      <c r="AM552" s="36"/>
      <c r="AN552" s="36"/>
      <c r="AO552" s="36"/>
      <c r="AP552" s="36"/>
      <c r="FV552" s="104">
        <f t="shared" si="260"/>
        <v>2012</v>
      </c>
      <c r="FW552" s="104">
        <f t="shared" si="261"/>
        <v>37</v>
      </c>
      <c r="FX552" s="35">
        <v>41163</v>
      </c>
      <c r="FY552" s="26">
        <v>0.85</v>
      </c>
      <c r="FZ552" s="94">
        <f t="shared" si="262"/>
        <v>3.4</v>
      </c>
      <c r="GA552" s="104"/>
      <c r="GB552" s="104"/>
      <c r="GE552" s="94"/>
      <c r="GF552" s="104">
        <f t="shared" si="263"/>
        <v>2015</v>
      </c>
      <c r="GG552" s="104">
        <f t="shared" si="264"/>
        <v>6</v>
      </c>
      <c r="GH552" s="35">
        <v>42040</v>
      </c>
      <c r="GI552" s="26">
        <v>3.51</v>
      </c>
      <c r="GJ552" s="94">
        <f t="shared" si="265"/>
        <v>7.02</v>
      </c>
      <c r="GK552" s="104"/>
      <c r="GL552" s="104"/>
      <c r="GO552" s="94"/>
    </row>
    <row r="553" spans="3:197">
      <c r="C553" s="80" t="str" cm="1">
        <f t="array" ref="C553">_xlfn.IFS(MONTH(D553)&lt;4,1,MONTH(D553)&lt;7,2,MONTH(D553)&lt;10,3,MONTH(D553)&gt;9,4)&amp;"Q"&amp;RIGHT(YEAR(D553),2)</f>
        <v>2Q18</v>
      </c>
      <c r="D553" s="81">
        <f t="shared" si="278"/>
        <v>43220</v>
      </c>
      <c r="E553" s="82">
        <f t="shared" si="275"/>
        <v>43192</v>
      </c>
      <c r="F553" s="83">
        <f t="shared" si="277"/>
        <v>1.12925</v>
      </c>
      <c r="G553" s="83">
        <f t="shared" si="277"/>
        <v>1.02375</v>
      </c>
      <c r="H553" s="81"/>
      <c r="I553" s="146">
        <v>43192</v>
      </c>
      <c r="J553" s="147">
        <v>9.3</v>
      </c>
      <c r="K553" s="147">
        <v>8.63</v>
      </c>
      <c r="L553" s="147">
        <v>9.034</v>
      </c>
      <c r="M553" s="94" cm="1">
        <f t="array" ref="M553">INDEX($BV$29:$BV$1449,MATCH($D553,$BR$29:$BR$1449,0),)</f>
        <v>8.19</v>
      </c>
      <c r="N553" s="150">
        <f t="shared" si="274"/>
        <v>0</v>
      </c>
      <c r="O553" s="150">
        <f t="shared" si="276"/>
        <v>-0.00352967129936022</v>
      </c>
      <c r="P553" s="150">
        <f t="shared" si="270"/>
        <v>0.00199645075421473</v>
      </c>
      <c r="Q553" s="89">
        <f t="shared" si="273"/>
        <v>0.103052503052503</v>
      </c>
      <c r="AH553" s="90"/>
      <c r="AI553" s="85"/>
      <c r="AJ553" s="36"/>
      <c r="AK553" s="36"/>
      <c r="AL553" s="36"/>
      <c r="AM553" s="36"/>
      <c r="AN553" s="36"/>
      <c r="AO553" s="36"/>
      <c r="AP553" s="36"/>
      <c r="FV553" s="104">
        <f t="shared" si="260"/>
        <v>2012</v>
      </c>
      <c r="FW553" s="104">
        <f t="shared" si="261"/>
        <v>37</v>
      </c>
      <c r="FX553" s="35">
        <v>41164</v>
      </c>
      <c r="FY553" s="26">
        <v>0.86</v>
      </c>
      <c r="FZ553" s="94">
        <f t="shared" si="262"/>
        <v>3.44</v>
      </c>
      <c r="GA553" s="104"/>
      <c r="GB553" s="104"/>
      <c r="GE553" s="94"/>
      <c r="GF553" s="104">
        <f t="shared" si="263"/>
        <v>2015</v>
      </c>
      <c r="GG553" s="104">
        <f t="shared" si="264"/>
        <v>6</v>
      </c>
      <c r="GH553" s="35">
        <v>42041</v>
      </c>
      <c r="GI553" s="26">
        <v>3.509</v>
      </c>
      <c r="GJ553" s="94">
        <f t="shared" si="265"/>
        <v>7.018</v>
      </c>
      <c r="GK553" s="104"/>
      <c r="GL553" s="104"/>
      <c r="GO553" s="94"/>
    </row>
    <row r="554" spans="3:197">
      <c r="C554" s="80" t="str" cm="1">
        <f t="array" ref="C554">_xlfn.IFS(MONTH(D554)&lt;4,1,MONTH(D554)&lt;7,2,MONTH(D554)&lt;10,3,MONTH(D554)&gt;9,4)&amp;"Q"&amp;RIGHT(YEAR(D554),2)</f>
        <v>2Q18</v>
      </c>
      <c r="D554" s="81">
        <f t="shared" si="278"/>
        <v>43220</v>
      </c>
      <c r="E554" s="82">
        <f t="shared" si="275"/>
        <v>43193</v>
      </c>
      <c r="F554" s="83">
        <f t="shared" si="277"/>
        <v>1.12925</v>
      </c>
      <c r="G554" s="83">
        <f t="shared" si="277"/>
        <v>1.02375</v>
      </c>
      <c r="H554" s="81"/>
      <c r="I554" s="146">
        <v>43193</v>
      </c>
      <c r="J554" s="147">
        <v>9.3</v>
      </c>
      <c r="K554" s="147">
        <v>8.63</v>
      </c>
      <c r="L554" s="147">
        <v>9.034</v>
      </c>
      <c r="M554" s="94" cm="1">
        <f t="array" ref="M554">INDEX($BV$29:$BV$1449,MATCH($D554,$BR$29:$BR$1449,0),)</f>
        <v>8.19</v>
      </c>
      <c r="N554" s="150">
        <f t="shared" si="274"/>
        <v>0</v>
      </c>
      <c r="O554" s="150">
        <f t="shared" si="276"/>
        <v>-0.00374944861049831</v>
      </c>
      <c r="P554" s="150">
        <f t="shared" si="270"/>
        <v>0.000664599025254731</v>
      </c>
      <c r="Q554" s="89">
        <f t="shared" si="273"/>
        <v>0.103052503052503</v>
      </c>
      <c r="AH554" s="90"/>
      <c r="AI554" s="85"/>
      <c r="AJ554" s="36"/>
      <c r="AK554" s="36"/>
      <c r="AL554" s="36"/>
      <c r="AM554" s="36"/>
      <c r="AN554" s="36"/>
      <c r="AO554" s="36"/>
      <c r="AP554" s="36"/>
      <c r="FV554" s="104">
        <f t="shared" si="260"/>
        <v>2012</v>
      </c>
      <c r="FW554" s="104">
        <f t="shared" si="261"/>
        <v>37</v>
      </c>
      <c r="FX554" s="35">
        <v>41165</v>
      </c>
      <c r="FY554" s="26">
        <v>0.87</v>
      </c>
      <c r="FZ554" s="94">
        <f t="shared" si="262"/>
        <v>3.48</v>
      </c>
      <c r="GA554" s="104"/>
      <c r="GB554" s="104"/>
      <c r="GE554" s="94"/>
      <c r="GF554" s="104">
        <f t="shared" si="263"/>
        <v>2015</v>
      </c>
      <c r="GG554" s="104">
        <f t="shared" si="264"/>
        <v>7</v>
      </c>
      <c r="GH554" s="35">
        <v>42044</v>
      </c>
      <c r="GI554" s="26">
        <v>3.485</v>
      </c>
      <c r="GJ554" s="94">
        <f t="shared" si="265"/>
        <v>6.97</v>
      </c>
      <c r="GK554" s="104"/>
      <c r="GL554" s="104"/>
      <c r="GO554" s="94"/>
    </row>
    <row r="555" spans="3:197">
      <c r="C555" s="80" t="str" cm="1">
        <f t="array" ref="C555">_xlfn.IFS(MONTH(D555)&lt;4,1,MONTH(D555)&lt;7,2,MONTH(D555)&lt;10,3,MONTH(D555)&gt;9,4)&amp;"Q"&amp;RIGHT(YEAR(D555),2)</f>
        <v>2Q18</v>
      </c>
      <c r="D555" s="81">
        <f t="shared" si="278"/>
        <v>43220</v>
      </c>
      <c r="E555" s="82">
        <f t="shared" si="275"/>
        <v>43194</v>
      </c>
      <c r="F555" s="83">
        <f t="shared" si="277"/>
        <v>1.12925</v>
      </c>
      <c r="G555" s="83">
        <f t="shared" si="277"/>
        <v>1.02375</v>
      </c>
      <c r="H555" s="81"/>
      <c r="I555" s="146">
        <v>43194</v>
      </c>
      <c r="J555" s="147">
        <v>9.3</v>
      </c>
      <c r="K555" s="147">
        <v>8.63</v>
      </c>
      <c r="L555" s="147">
        <v>9.034</v>
      </c>
      <c r="M555" s="94" cm="1">
        <f t="array" ref="M555">INDEX($BV$29:$BV$1449,MATCH($D555,$BR$29:$BR$1449,0),)</f>
        <v>8.19</v>
      </c>
      <c r="N555" s="150">
        <f t="shared" si="274"/>
        <v>0</v>
      </c>
      <c r="O555" s="150">
        <f t="shared" si="276"/>
        <v>-0.00253947223142315</v>
      </c>
      <c r="P555" s="150">
        <f t="shared" si="270"/>
        <v>0.000664599025254731</v>
      </c>
      <c r="Q555" s="89">
        <f t="shared" si="273"/>
        <v>0.103052503052503</v>
      </c>
      <c r="AH555" s="90"/>
      <c r="AI555" s="85"/>
      <c r="AJ555" s="36"/>
      <c r="AK555" s="36"/>
      <c r="AL555" s="36"/>
      <c r="AM555" s="36"/>
      <c r="AN555" s="36"/>
      <c r="AO555" s="36"/>
      <c r="AP555" s="36"/>
      <c r="FV555" s="104">
        <f t="shared" si="260"/>
        <v>2012</v>
      </c>
      <c r="FW555" s="104">
        <f t="shared" si="261"/>
        <v>37</v>
      </c>
      <c r="FX555" s="35">
        <v>41166</v>
      </c>
      <c r="FY555" s="26">
        <v>0.86</v>
      </c>
      <c r="FZ555" s="94">
        <f t="shared" si="262"/>
        <v>3.44</v>
      </c>
      <c r="GA555" s="104"/>
      <c r="GB555" s="104"/>
      <c r="GE555" s="94"/>
      <c r="GF555" s="104">
        <f t="shared" si="263"/>
        <v>2015</v>
      </c>
      <c r="GG555" s="104">
        <f t="shared" si="264"/>
        <v>7</v>
      </c>
      <c r="GH555" s="35">
        <v>42045</v>
      </c>
      <c r="GI555" s="26">
        <v>3.454</v>
      </c>
      <c r="GJ555" s="94">
        <f t="shared" si="265"/>
        <v>6.908</v>
      </c>
      <c r="GK555" s="104"/>
      <c r="GL555" s="104"/>
      <c r="GO555" s="94"/>
    </row>
    <row r="556" spans="3:197">
      <c r="C556" s="80" t="str" cm="1">
        <f t="array" ref="C556">_xlfn.IFS(MONTH(D556)&lt;4,1,MONTH(D556)&lt;7,2,MONTH(D556)&lt;10,3,MONTH(D556)&gt;9,4)&amp;"Q"&amp;RIGHT(YEAR(D556),2)</f>
        <v>2Q18</v>
      </c>
      <c r="D556" s="81">
        <f t="shared" si="278"/>
        <v>43220</v>
      </c>
      <c r="E556" s="82">
        <f t="shared" si="275"/>
        <v>43199</v>
      </c>
      <c r="F556" s="83">
        <f t="shared" si="277"/>
        <v>1.129875</v>
      </c>
      <c r="G556" s="83">
        <f t="shared" si="277"/>
        <v>1.02375</v>
      </c>
      <c r="H556" s="81"/>
      <c r="I556" s="146">
        <v>43199</v>
      </c>
      <c r="J556" s="147">
        <v>9.3</v>
      </c>
      <c r="K556" s="147">
        <v>8.63</v>
      </c>
      <c r="L556" s="147">
        <v>9.039</v>
      </c>
      <c r="M556" s="94" cm="1">
        <f t="array" ref="M556">INDEX($BV$29:$BV$1449,MATCH($D556,$BR$29:$BR$1449,0),)</f>
        <v>8.19</v>
      </c>
      <c r="N556" s="150">
        <f t="shared" si="274"/>
        <v>0.000553464688952676</v>
      </c>
      <c r="O556" s="150">
        <f t="shared" si="276"/>
        <v>-0.00198741305067907</v>
      </c>
      <c r="P556" s="150">
        <f t="shared" si="270"/>
        <v>0.000775022143489679</v>
      </c>
      <c r="Q556" s="89">
        <f t="shared" si="273"/>
        <v>0.103663003663004</v>
      </c>
      <c r="AH556" s="90"/>
      <c r="AI556" s="85"/>
      <c r="AJ556" s="36"/>
      <c r="AK556" s="36"/>
      <c r="AL556" s="36"/>
      <c r="AM556" s="36"/>
      <c r="AN556" s="36"/>
      <c r="AO556" s="36"/>
      <c r="AP556" s="36"/>
      <c r="FV556" s="104">
        <f t="shared" si="260"/>
        <v>2012</v>
      </c>
      <c r="FW556" s="104">
        <f t="shared" si="261"/>
        <v>37</v>
      </c>
      <c r="FX556" s="35">
        <v>41167</v>
      </c>
      <c r="FY556" s="26">
        <v>0.86</v>
      </c>
      <c r="FZ556" s="94">
        <f t="shared" si="262"/>
        <v>3.44</v>
      </c>
      <c r="GA556" s="104"/>
      <c r="GB556" s="104"/>
      <c r="GE556" s="94"/>
      <c r="GF556" s="104">
        <f t="shared" si="263"/>
        <v>2015</v>
      </c>
      <c r="GG556" s="104">
        <f t="shared" si="264"/>
        <v>7</v>
      </c>
      <c r="GH556" s="35">
        <v>42046</v>
      </c>
      <c r="GI556" s="26">
        <v>3.43</v>
      </c>
      <c r="GJ556" s="94">
        <f t="shared" si="265"/>
        <v>6.86</v>
      </c>
      <c r="GK556" s="104"/>
      <c r="GL556" s="104"/>
      <c r="GO556" s="94"/>
    </row>
    <row r="557" spans="3:197">
      <c r="C557" s="80" t="str" cm="1">
        <f t="array" ref="C557">_xlfn.IFS(MONTH(D557)&lt;4,1,MONTH(D557)&lt;7,2,MONTH(D557)&lt;10,3,MONTH(D557)&gt;9,4)&amp;"Q"&amp;RIGHT(YEAR(D557),2)</f>
        <v>2Q18</v>
      </c>
      <c r="D557" s="81">
        <f t="shared" si="278"/>
        <v>43220</v>
      </c>
      <c r="E557" s="82">
        <f t="shared" si="275"/>
        <v>43200</v>
      </c>
      <c r="F557" s="83">
        <f t="shared" si="277"/>
        <v>1.12925</v>
      </c>
      <c r="G557" s="83">
        <f t="shared" si="277"/>
        <v>1.02375</v>
      </c>
      <c r="H557" s="81"/>
      <c r="I557" s="146">
        <v>43200</v>
      </c>
      <c r="J557" s="147">
        <v>9.3</v>
      </c>
      <c r="K557" s="147">
        <v>8.63</v>
      </c>
      <c r="L557" s="147">
        <v>9.034</v>
      </c>
      <c r="M557" s="94" cm="1">
        <f t="array" ref="M557">INDEX($BV$29:$BV$1449,MATCH($D557,$BR$29:$BR$1449,0),)</f>
        <v>8.19</v>
      </c>
      <c r="N557" s="150">
        <f t="shared" si="274"/>
        <v>-0.000553158535236076</v>
      </c>
      <c r="O557" s="150">
        <f t="shared" si="276"/>
        <v>0</v>
      </c>
      <c r="P557" s="150">
        <f t="shared" si="270"/>
        <v>-0.00066371681415911</v>
      </c>
      <c r="Q557" s="89">
        <f t="shared" si="273"/>
        <v>0.103052503052503</v>
      </c>
      <c r="AH557" s="90"/>
      <c r="AI557" s="85"/>
      <c r="AJ557" s="36"/>
      <c r="AK557" s="36"/>
      <c r="AL557" s="36"/>
      <c r="AM557" s="36"/>
      <c r="AN557" s="36"/>
      <c r="AO557" s="36"/>
      <c r="AP557" s="36"/>
      <c r="FV557" s="104">
        <f t="shared" si="260"/>
        <v>2012</v>
      </c>
      <c r="FW557" s="104">
        <f t="shared" si="261"/>
        <v>38</v>
      </c>
      <c r="FX557" s="35">
        <v>41168</v>
      </c>
      <c r="FY557" s="26">
        <v>0.86</v>
      </c>
      <c r="FZ557" s="94">
        <f t="shared" si="262"/>
        <v>3.44</v>
      </c>
      <c r="GA557" s="104"/>
      <c r="GB557" s="104"/>
      <c r="GE557" s="94"/>
      <c r="GF557" s="104">
        <f t="shared" si="263"/>
        <v>2015</v>
      </c>
      <c r="GG557" s="104">
        <f t="shared" si="264"/>
        <v>7</v>
      </c>
      <c r="GH557" s="35">
        <v>42047</v>
      </c>
      <c r="GI557" s="26">
        <v>3.404</v>
      </c>
      <c r="GJ557" s="94">
        <f t="shared" si="265"/>
        <v>6.808</v>
      </c>
      <c r="GK557" s="104"/>
      <c r="GL557" s="104"/>
      <c r="GO557" s="94"/>
    </row>
    <row r="558" spans="3:197">
      <c r="C558" s="80" t="str" cm="1">
        <f t="array" ref="C558">_xlfn.IFS(MONTH(D558)&lt;4,1,MONTH(D558)&lt;7,2,MONTH(D558)&lt;10,3,MONTH(D558)&gt;9,4)&amp;"Q"&amp;RIGHT(YEAR(D558),2)</f>
        <v>2Q18</v>
      </c>
      <c r="D558" s="81">
        <f t="shared" si="278"/>
        <v>43220</v>
      </c>
      <c r="E558" s="82">
        <f t="shared" si="275"/>
        <v>43201</v>
      </c>
      <c r="F558" s="83">
        <f t="shared" si="277"/>
        <v>1.12925</v>
      </c>
      <c r="G558" s="83">
        <f t="shared" si="277"/>
        <v>1.02375</v>
      </c>
      <c r="H558" s="81"/>
      <c r="I558" s="146">
        <v>43201</v>
      </c>
      <c r="J558" s="147">
        <v>9.3</v>
      </c>
      <c r="K558" s="147">
        <v>8.63</v>
      </c>
      <c r="L558" s="147">
        <v>9.034</v>
      </c>
      <c r="M558" s="94" cm="1">
        <f t="array" ref="M558">INDEX($BV$29:$BV$1449,MATCH($D558,$BR$29:$BR$1449,0),)</f>
        <v>8.19</v>
      </c>
      <c r="N558" s="150">
        <f t="shared" si="274"/>
        <v>0</v>
      </c>
      <c r="O558" s="150">
        <f t="shared" si="276"/>
        <v>0</v>
      </c>
      <c r="P558" s="150">
        <f t="shared" si="270"/>
        <v>-0.00352967129936022</v>
      </c>
      <c r="Q558" s="89">
        <f t="shared" si="273"/>
        <v>0.103052503052503</v>
      </c>
      <c r="AH558" s="90"/>
      <c r="AI558" s="85"/>
      <c r="AJ558" s="36"/>
      <c r="AK558" s="36"/>
      <c r="AL558" s="36"/>
      <c r="AM558" s="36"/>
      <c r="AN558" s="36"/>
      <c r="AO558" s="36"/>
      <c r="AP558" s="36"/>
      <c r="FV558" s="104">
        <f t="shared" si="260"/>
        <v>2012</v>
      </c>
      <c r="FW558" s="104">
        <f t="shared" si="261"/>
        <v>38</v>
      </c>
      <c r="FX558" s="35">
        <v>41169</v>
      </c>
      <c r="FY558" s="26">
        <v>0.864</v>
      </c>
      <c r="FZ558" s="94">
        <f t="shared" si="262"/>
        <v>3.456</v>
      </c>
      <c r="GA558" s="104"/>
      <c r="GB558" s="104"/>
      <c r="GE558" s="94"/>
      <c r="GF558" s="104">
        <f t="shared" si="263"/>
        <v>2015</v>
      </c>
      <c r="GG558" s="104">
        <f t="shared" si="264"/>
        <v>7</v>
      </c>
      <c r="GH558" s="35">
        <v>42048</v>
      </c>
      <c r="GI558" s="26">
        <v>3.39</v>
      </c>
      <c r="GJ558" s="94">
        <f t="shared" si="265"/>
        <v>6.78</v>
      </c>
      <c r="GK558" s="104"/>
      <c r="GL558" s="104"/>
      <c r="GO558" s="94"/>
    </row>
    <row r="559" spans="3:197">
      <c r="C559" s="80" t="str" cm="1">
        <f t="array" ref="C559">_xlfn.IFS(MONTH(D559)&lt;4,1,MONTH(D559)&lt;7,2,MONTH(D559)&lt;10,3,MONTH(D559)&gt;9,4)&amp;"Q"&amp;RIGHT(YEAR(D559),2)</f>
        <v>2Q18</v>
      </c>
      <c r="D559" s="81">
        <f t="shared" si="278"/>
        <v>43220</v>
      </c>
      <c r="E559" s="82">
        <f t="shared" si="275"/>
        <v>43202</v>
      </c>
      <c r="F559" s="83">
        <f t="shared" si="277"/>
        <v>1.125375</v>
      </c>
      <c r="G559" s="83">
        <f t="shared" si="277"/>
        <v>1.02375</v>
      </c>
      <c r="H559" s="81"/>
      <c r="I559" s="146">
        <v>43202</v>
      </c>
      <c r="J559" s="147">
        <v>9.25</v>
      </c>
      <c r="K559" s="147">
        <v>8.6</v>
      </c>
      <c r="L559" s="147">
        <v>9.003</v>
      </c>
      <c r="M559" s="94" cm="1">
        <f t="array" ref="M559">INDEX($BV$29:$BV$1449,MATCH($D559,$BR$29:$BR$1449,0),)</f>
        <v>8.19</v>
      </c>
      <c r="N559" s="150">
        <f t="shared" si="274"/>
        <v>-0.0034314810715077</v>
      </c>
      <c r="O559" s="150">
        <f t="shared" si="276"/>
        <v>-0.0034314810715077</v>
      </c>
      <c r="P559" s="150">
        <f t="shared" si="270"/>
        <v>-0.00716806352007049</v>
      </c>
      <c r="Q559" s="89">
        <f t="shared" si="273"/>
        <v>0.0992673992673994</v>
      </c>
      <c r="AH559" s="90"/>
      <c r="AI559" s="85"/>
      <c r="AJ559" s="36"/>
      <c r="AK559" s="36"/>
      <c r="AL559" s="36"/>
      <c r="AM559" s="36"/>
      <c r="AN559" s="36"/>
      <c r="AO559" s="36"/>
      <c r="AP559" s="36"/>
      <c r="FV559" s="104">
        <f t="shared" si="260"/>
        <v>2012</v>
      </c>
      <c r="FW559" s="104">
        <f t="shared" si="261"/>
        <v>38</v>
      </c>
      <c r="FX559" s="35">
        <v>41170</v>
      </c>
      <c r="FY559" s="26">
        <v>0.858</v>
      </c>
      <c r="FZ559" s="94">
        <f t="shared" si="262"/>
        <v>3.432</v>
      </c>
      <c r="GA559" s="104"/>
      <c r="GB559" s="104"/>
      <c r="GE559" s="94"/>
      <c r="GF559" s="104">
        <f t="shared" si="263"/>
        <v>2015</v>
      </c>
      <c r="GG559" s="104">
        <f t="shared" si="264"/>
        <v>8</v>
      </c>
      <c r="GH559" s="35">
        <v>42051</v>
      </c>
      <c r="GI559" s="26">
        <v>3.388</v>
      </c>
      <c r="GJ559" s="94">
        <f t="shared" si="265"/>
        <v>6.776</v>
      </c>
      <c r="GK559" s="104"/>
      <c r="GL559" s="104"/>
      <c r="GO559" s="94"/>
    </row>
    <row r="560" spans="3:197">
      <c r="C560" s="80" t="str" cm="1">
        <f t="array" ref="C560">_xlfn.IFS(MONTH(D560)&lt;4,1,MONTH(D560)&lt;7,2,MONTH(D560)&lt;10,3,MONTH(D560)&gt;9,4)&amp;"Q"&amp;RIGHT(YEAR(D560),2)</f>
        <v>2Q18</v>
      </c>
      <c r="D560" s="81">
        <f t="shared" si="278"/>
        <v>43220</v>
      </c>
      <c r="E560" s="82">
        <f t="shared" si="275"/>
        <v>43203</v>
      </c>
      <c r="F560" s="83">
        <f t="shared" si="277"/>
        <v>1.125125</v>
      </c>
      <c r="G560" s="83">
        <f t="shared" si="277"/>
        <v>1.02375</v>
      </c>
      <c r="H560" s="81"/>
      <c r="I560" s="146">
        <v>43203</v>
      </c>
      <c r="J560" s="147">
        <v>9.25</v>
      </c>
      <c r="K560" s="147">
        <v>8.6</v>
      </c>
      <c r="L560" s="147">
        <v>9.001</v>
      </c>
      <c r="M560" s="94" cm="1">
        <f t="array" ref="M560">INDEX($BV$29:$BV$1449,MATCH($D560,$BR$29:$BR$1449,0),)</f>
        <v>8.19</v>
      </c>
      <c r="N560" s="150">
        <f t="shared" si="274"/>
        <v>-0.000222148172831393</v>
      </c>
      <c r="O560" s="150">
        <f t="shared" si="276"/>
        <v>-0.00365286694708888</v>
      </c>
      <c r="P560" s="150">
        <f t="shared" si="270"/>
        <v>-0.0061830628243349</v>
      </c>
      <c r="Q560" s="89">
        <f t="shared" si="273"/>
        <v>0.0990231990231991</v>
      </c>
      <c r="AH560" s="90"/>
      <c r="AI560" s="85"/>
      <c r="AJ560" s="36"/>
      <c r="AK560" s="36"/>
      <c r="AL560" s="36"/>
      <c r="AM560" s="36"/>
      <c r="AN560" s="36"/>
      <c r="AO560" s="36"/>
      <c r="AP560" s="36"/>
      <c r="FV560" s="104">
        <f t="shared" si="260"/>
        <v>2012</v>
      </c>
      <c r="FW560" s="104">
        <f t="shared" si="261"/>
        <v>38</v>
      </c>
      <c r="FX560" s="35">
        <v>41171</v>
      </c>
      <c r="FY560" s="26">
        <v>0.857</v>
      </c>
      <c r="FZ560" s="94">
        <f t="shared" si="262"/>
        <v>3.428</v>
      </c>
      <c r="GA560" s="104"/>
      <c r="GB560" s="104"/>
      <c r="GE560" s="94"/>
      <c r="GF560" s="104">
        <f t="shared" si="263"/>
        <v>2015</v>
      </c>
      <c r="GG560" s="104">
        <f t="shared" si="264"/>
        <v>8</v>
      </c>
      <c r="GH560" s="35">
        <v>42052</v>
      </c>
      <c r="GI560" s="26">
        <v>3.388</v>
      </c>
      <c r="GJ560" s="94">
        <f t="shared" si="265"/>
        <v>6.776</v>
      </c>
      <c r="GK560" s="104"/>
      <c r="GL560" s="104"/>
      <c r="GO560" s="94"/>
    </row>
    <row r="561" spans="3:197">
      <c r="C561" s="80" t="str" cm="1">
        <f t="array" ref="C561">_xlfn.IFS(MONTH(D561)&lt;4,1,MONTH(D561)&lt;7,2,MONTH(D561)&lt;10,3,MONTH(D561)&gt;9,4)&amp;"Q"&amp;RIGHT(YEAR(D561),2)</f>
        <v>2Q18</v>
      </c>
      <c r="D561" s="81">
        <f t="shared" si="278"/>
        <v>43220</v>
      </c>
      <c r="E561" s="82">
        <f t="shared" si="275"/>
        <v>43206</v>
      </c>
      <c r="F561" s="83">
        <f t="shared" si="277"/>
        <v>1.1235</v>
      </c>
      <c r="G561" s="83">
        <f t="shared" si="277"/>
        <v>1.02375</v>
      </c>
      <c r="H561" s="81"/>
      <c r="I561" s="146">
        <v>43206</v>
      </c>
      <c r="J561" s="147">
        <v>9.25</v>
      </c>
      <c r="K561" s="147">
        <v>8.6</v>
      </c>
      <c r="L561" s="147">
        <v>8.988</v>
      </c>
      <c r="M561" s="94" cm="1">
        <f t="array" ref="M561">INDEX($BV$29:$BV$1449,MATCH($D561,$BR$29:$BR$1449,0),)</f>
        <v>8.19</v>
      </c>
      <c r="N561" s="150">
        <f t="shared" si="274"/>
        <v>-0.00144428396844798</v>
      </c>
      <c r="O561" s="150">
        <f t="shared" si="276"/>
        <v>-0.00564221705940926</v>
      </c>
      <c r="P561" s="150">
        <f t="shared" si="270"/>
        <v>-0.00761841669426977</v>
      </c>
      <c r="Q561" s="89">
        <f t="shared" si="273"/>
        <v>0.0974358974358975</v>
      </c>
      <c r="AH561" s="90"/>
      <c r="AI561" s="85"/>
      <c r="AJ561" s="36"/>
      <c r="AK561" s="36"/>
      <c r="AL561" s="36"/>
      <c r="AM561" s="36"/>
      <c r="AN561" s="36"/>
      <c r="AO561" s="36"/>
      <c r="AP561" s="36"/>
      <c r="FV561" s="104">
        <f t="shared" si="260"/>
        <v>2012</v>
      </c>
      <c r="FW561" s="104">
        <f t="shared" si="261"/>
        <v>38</v>
      </c>
      <c r="FX561" s="35">
        <v>41172</v>
      </c>
      <c r="FY561" s="26">
        <v>0.854</v>
      </c>
      <c r="FZ561" s="94">
        <f t="shared" si="262"/>
        <v>3.416</v>
      </c>
      <c r="GA561" s="104"/>
      <c r="GB561" s="104"/>
      <c r="GE561" s="94"/>
      <c r="GF561" s="104">
        <f t="shared" si="263"/>
        <v>2015</v>
      </c>
      <c r="GG561" s="104">
        <f t="shared" si="264"/>
        <v>9</v>
      </c>
      <c r="GH561" s="35">
        <v>42059</v>
      </c>
      <c r="GI561" s="26">
        <v>3.385</v>
      </c>
      <c r="GJ561" s="94">
        <f t="shared" si="265"/>
        <v>6.77</v>
      </c>
      <c r="GK561" s="104"/>
      <c r="GL561" s="104"/>
      <c r="GO561" s="94"/>
    </row>
    <row r="562" spans="3:197">
      <c r="C562" s="80" t="str" cm="1">
        <f t="array" ref="C562">_xlfn.IFS(MONTH(D562)&lt;4,1,MONTH(D562)&lt;7,2,MONTH(D562)&lt;10,3,MONTH(D562)&gt;9,4)&amp;"Q"&amp;RIGHT(YEAR(D562),2)</f>
        <v>2Q18</v>
      </c>
      <c r="D562" s="81">
        <f t="shared" si="278"/>
        <v>43220</v>
      </c>
      <c r="E562" s="82">
        <f t="shared" si="275"/>
        <v>43207</v>
      </c>
      <c r="F562" s="83">
        <f t="shared" si="277"/>
        <v>1.120125</v>
      </c>
      <c r="G562" s="83">
        <f t="shared" si="277"/>
        <v>1.02375</v>
      </c>
      <c r="H562" s="81"/>
      <c r="I562" s="146">
        <v>43207</v>
      </c>
      <c r="J562" s="147">
        <v>9.22</v>
      </c>
      <c r="K562" s="147">
        <v>8.6</v>
      </c>
      <c r="L562" s="147">
        <v>8.961</v>
      </c>
      <c r="M562" s="94" cm="1">
        <f t="array" ref="M562">INDEX($BV$29:$BV$1449,MATCH($D562,$BR$29:$BR$1449,0),)</f>
        <v>8.19</v>
      </c>
      <c r="N562" s="150">
        <f t="shared" si="274"/>
        <v>-0.00300400534045386</v>
      </c>
      <c r="O562" s="150">
        <f t="shared" si="276"/>
        <v>-0.00808058445871163</v>
      </c>
      <c r="P562" s="150">
        <f t="shared" si="270"/>
        <v>-0.00808058445871163</v>
      </c>
      <c r="Q562" s="89">
        <f t="shared" si="273"/>
        <v>0.0941391941391942</v>
      </c>
      <c r="AH562" s="90"/>
      <c r="AI562" s="85"/>
      <c r="AJ562" s="36"/>
      <c r="AK562" s="36"/>
      <c r="AL562" s="36"/>
      <c r="AM562" s="36"/>
      <c r="AN562" s="36"/>
      <c r="AO562" s="36"/>
      <c r="AP562" s="36"/>
      <c r="FV562" s="104">
        <f t="shared" si="260"/>
        <v>2012</v>
      </c>
      <c r="FW562" s="104">
        <f t="shared" si="261"/>
        <v>38</v>
      </c>
      <c r="FX562" s="35">
        <v>41173</v>
      </c>
      <c r="FY562" s="26">
        <v>0.853</v>
      </c>
      <c r="FZ562" s="94">
        <f t="shared" si="262"/>
        <v>3.412</v>
      </c>
      <c r="GA562" s="104"/>
      <c r="GB562" s="104"/>
      <c r="GE562" s="94"/>
      <c r="GF562" s="104">
        <f t="shared" si="263"/>
        <v>2015</v>
      </c>
      <c r="GG562" s="104">
        <f t="shared" si="264"/>
        <v>9</v>
      </c>
      <c r="GH562" s="35">
        <v>42060</v>
      </c>
      <c r="GI562" s="26">
        <v>3.384</v>
      </c>
      <c r="GJ562" s="94">
        <f t="shared" si="265"/>
        <v>6.768</v>
      </c>
      <c r="GK562" s="104"/>
      <c r="GL562" s="104"/>
      <c r="GO562" s="94"/>
    </row>
    <row r="563" spans="3:197">
      <c r="C563" s="80" t="str" cm="1">
        <f t="array" ref="C563">_xlfn.IFS(MONTH(D563)&lt;4,1,MONTH(D563)&lt;7,2,MONTH(D563)&lt;10,3,MONTH(D563)&gt;9,4)&amp;"Q"&amp;RIGHT(YEAR(D563),2)</f>
        <v>2Q18</v>
      </c>
      <c r="D563" s="81">
        <f t="shared" si="278"/>
        <v>43220</v>
      </c>
      <c r="E563" s="82">
        <f t="shared" si="275"/>
        <v>43208</v>
      </c>
      <c r="F563" s="83">
        <f t="shared" si="277"/>
        <v>1.120125</v>
      </c>
      <c r="G563" s="83">
        <f t="shared" si="277"/>
        <v>1.02375</v>
      </c>
      <c r="H563" s="81"/>
      <c r="I563" s="146">
        <v>43208</v>
      </c>
      <c r="J563" s="147">
        <v>9.22</v>
      </c>
      <c r="K563" s="147">
        <v>8.6</v>
      </c>
      <c r="L563" s="147">
        <v>8.961</v>
      </c>
      <c r="M563" s="94" cm="1">
        <f t="array" ref="M563">INDEX($BV$29:$BV$1449,MATCH($D563,$BR$29:$BR$1449,0),)</f>
        <v>8.19</v>
      </c>
      <c r="N563" s="150">
        <f t="shared" si="274"/>
        <v>0</v>
      </c>
      <c r="O563" s="150">
        <f t="shared" si="276"/>
        <v>-0.00808058445871163</v>
      </c>
      <c r="P563" s="150">
        <f t="shared" si="270"/>
        <v>-0.00808058445871163</v>
      </c>
      <c r="Q563" s="89">
        <f t="shared" si="273"/>
        <v>0.0941391941391942</v>
      </c>
      <c r="AH563" s="90"/>
      <c r="AI563" s="85"/>
      <c r="AJ563" s="36"/>
      <c r="AK563" s="36"/>
      <c r="AL563" s="36"/>
      <c r="AM563" s="36"/>
      <c r="AN563" s="36"/>
      <c r="AO563" s="36"/>
      <c r="AP563" s="36"/>
      <c r="FV563" s="104">
        <f t="shared" si="260"/>
        <v>2012</v>
      </c>
      <c r="FW563" s="104">
        <f t="shared" si="261"/>
        <v>38</v>
      </c>
      <c r="FX563" s="35">
        <v>41174</v>
      </c>
      <c r="FY563" s="26">
        <v>0.853</v>
      </c>
      <c r="FZ563" s="94">
        <f t="shared" si="262"/>
        <v>3.412</v>
      </c>
      <c r="GA563" s="104"/>
      <c r="GB563" s="104"/>
      <c r="GE563" s="94"/>
      <c r="GF563" s="104">
        <f t="shared" si="263"/>
        <v>2015</v>
      </c>
      <c r="GG563" s="104">
        <f t="shared" si="264"/>
        <v>9</v>
      </c>
      <c r="GH563" s="35">
        <v>42061</v>
      </c>
      <c r="GI563" s="26">
        <v>3.383</v>
      </c>
      <c r="GJ563" s="94">
        <f t="shared" si="265"/>
        <v>6.766</v>
      </c>
      <c r="GK563" s="104"/>
      <c r="GL563" s="104"/>
      <c r="GO563" s="94"/>
    </row>
    <row r="564" spans="3:197">
      <c r="C564" s="80" t="str" cm="1">
        <f t="array" ref="C564">_xlfn.IFS(MONTH(D564)&lt;4,1,MONTH(D564)&lt;7,2,MONTH(D564)&lt;10,3,MONTH(D564)&gt;9,4)&amp;"Q"&amp;RIGHT(YEAR(D564),2)</f>
        <v>2Q18</v>
      </c>
      <c r="D564" s="81">
        <f t="shared" si="278"/>
        <v>43220</v>
      </c>
      <c r="E564" s="82">
        <f t="shared" si="275"/>
        <v>43209</v>
      </c>
      <c r="F564" s="83">
        <f t="shared" si="277"/>
        <v>1.120125</v>
      </c>
      <c r="G564" s="83">
        <f t="shared" si="277"/>
        <v>1.02375</v>
      </c>
      <c r="H564" s="81"/>
      <c r="I564" s="146">
        <v>43209</v>
      </c>
      <c r="J564" s="147">
        <v>9.22</v>
      </c>
      <c r="K564" s="147">
        <v>8.6</v>
      </c>
      <c r="L564" s="147">
        <v>8.961</v>
      </c>
      <c r="M564" s="94" cm="1">
        <f t="array" ref="M564">INDEX($BV$29:$BV$1449,MATCH($D564,$BR$29:$BR$1449,0),)</f>
        <v>8.19</v>
      </c>
      <c r="N564" s="150">
        <f t="shared" si="274"/>
        <v>0</v>
      </c>
      <c r="O564" s="150">
        <f t="shared" si="276"/>
        <v>-0.00466511162945682</v>
      </c>
      <c r="P564" s="150">
        <f t="shared" si="270"/>
        <v>-0.00808058445871163</v>
      </c>
      <c r="Q564" s="89">
        <f t="shared" si="273"/>
        <v>0.0941391941391942</v>
      </c>
      <c r="AH564" s="90"/>
      <c r="AI564" s="85"/>
      <c r="AJ564" s="36"/>
      <c r="AK564" s="36"/>
      <c r="AL564" s="36"/>
      <c r="AM564" s="36"/>
      <c r="AN564" s="36"/>
      <c r="AO564" s="36"/>
      <c r="AP564" s="36"/>
      <c r="FV564" s="104">
        <f t="shared" ref="FV564:FV627" si="279">YEAR(FX564)</f>
        <v>2012</v>
      </c>
      <c r="FW564" s="104">
        <f t="shared" ref="FW564:FW627" si="280">WEEKNUM(FX564)</f>
        <v>39</v>
      </c>
      <c r="FX564" s="35">
        <v>41175</v>
      </c>
      <c r="FY564" s="26">
        <v>0.853</v>
      </c>
      <c r="FZ564" s="94">
        <f t="shared" ref="FZ564:FZ627" si="281">FY564*4</f>
        <v>3.412</v>
      </c>
      <c r="GA564" s="104"/>
      <c r="GB564" s="104"/>
      <c r="GE564" s="94"/>
      <c r="GF564" s="104">
        <f t="shared" ref="GF564:GF627" si="282">YEAR(GH564)</f>
        <v>2015</v>
      </c>
      <c r="GG564" s="104">
        <f t="shared" ref="GG564:GG627" si="283">WEEKNUM(GH564)</f>
        <v>9</v>
      </c>
      <c r="GH564" s="35">
        <v>42062</v>
      </c>
      <c r="GI564" s="26">
        <v>3.383</v>
      </c>
      <c r="GJ564" s="94">
        <f t="shared" ref="GJ564:GJ627" si="284">GI564*2</f>
        <v>6.766</v>
      </c>
      <c r="GK564" s="104"/>
      <c r="GL564" s="104"/>
      <c r="GO564" s="94"/>
    </row>
    <row r="565" spans="3:197">
      <c r="C565" s="80" t="str" cm="1">
        <f t="array" ref="C565">_xlfn.IFS(MONTH(D565)&lt;4,1,MONTH(D565)&lt;7,2,MONTH(D565)&lt;10,3,MONTH(D565)&gt;9,4)&amp;"Q"&amp;RIGHT(YEAR(D565),2)</f>
        <v>2Q18</v>
      </c>
      <c r="D565" s="81">
        <f t="shared" si="278"/>
        <v>43220</v>
      </c>
      <c r="E565" s="82">
        <f t="shared" si="275"/>
        <v>43210</v>
      </c>
      <c r="F565" s="83">
        <f t="shared" si="277"/>
        <v>1.118625</v>
      </c>
      <c r="G565" s="83">
        <f t="shared" si="277"/>
        <v>1.02375</v>
      </c>
      <c r="H565" s="81"/>
      <c r="I565" s="146">
        <v>43210</v>
      </c>
      <c r="J565" s="147">
        <v>9.22</v>
      </c>
      <c r="K565" s="147">
        <v>8.6</v>
      </c>
      <c r="L565" s="147">
        <v>8.949</v>
      </c>
      <c r="M565" s="94" cm="1">
        <f t="array" ref="M565">INDEX($BV$29:$BV$1449,MATCH($D565,$BR$29:$BR$1449,0),)</f>
        <v>8.19</v>
      </c>
      <c r="N565" s="150">
        <f t="shared" si="274"/>
        <v>-0.00133913625711424</v>
      </c>
      <c r="O565" s="150">
        <f t="shared" si="276"/>
        <v>-0.00577713587379181</v>
      </c>
      <c r="P565" s="150">
        <f t="shared" si="270"/>
        <v>-0.00940889971219849</v>
      </c>
      <c r="Q565" s="89">
        <f t="shared" si="273"/>
        <v>0.0926739926739928</v>
      </c>
      <c r="AH565" s="90"/>
      <c r="AI565" s="85"/>
      <c r="AJ565" s="36"/>
      <c r="AK565" s="36"/>
      <c r="AL565" s="36"/>
      <c r="AM565" s="36"/>
      <c r="AN565" s="36"/>
      <c r="AO565" s="36"/>
      <c r="AP565" s="36"/>
      <c r="FV565" s="104">
        <f t="shared" si="279"/>
        <v>2012</v>
      </c>
      <c r="FW565" s="104">
        <f t="shared" si="280"/>
        <v>39</v>
      </c>
      <c r="FX565" s="35">
        <v>41176</v>
      </c>
      <c r="FY565" s="26">
        <v>0.852</v>
      </c>
      <c r="FZ565" s="94">
        <f t="shared" si="281"/>
        <v>3.408</v>
      </c>
      <c r="GA565" s="104"/>
      <c r="GB565" s="104"/>
      <c r="GE565" s="94"/>
      <c r="GF565" s="104">
        <f t="shared" si="282"/>
        <v>2015</v>
      </c>
      <c r="GG565" s="104">
        <f t="shared" si="283"/>
        <v>10</v>
      </c>
      <c r="GH565" s="35">
        <v>42065</v>
      </c>
      <c r="GI565" s="26">
        <v>3.379</v>
      </c>
      <c r="GJ565" s="94">
        <f t="shared" si="284"/>
        <v>6.758</v>
      </c>
      <c r="GK565" s="104"/>
      <c r="GL565" s="104"/>
      <c r="GO565" s="94"/>
    </row>
    <row r="566" spans="3:197">
      <c r="C566" s="80" t="str" cm="1">
        <f t="array" ref="C566">_xlfn.IFS(MONTH(D566)&lt;4,1,MONTH(D566)&lt;7,2,MONTH(D566)&lt;10,3,MONTH(D566)&gt;9,4)&amp;"Q"&amp;RIGHT(YEAR(D566),2)</f>
        <v>2Q18</v>
      </c>
      <c r="D566" s="81">
        <f t="shared" si="278"/>
        <v>43220</v>
      </c>
      <c r="E566" s="82">
        <f t="shared" si="275"/>
        <v>43213</v>
      </c>
      <c r="F566" s="83">
        <f t="shared" si="277"/>
        <v>1.118625</v>
      </c>
      <c r="G566" s="83">
        <f t="shared" si="277"/>
        <v>1.02375</v>
      </c>
      <c r="H566" s="81"/>
      <c r="I566" s="146">
        <v>43213</v>
      </c>
      <c r="J566" s="147">
        <v>9.22</v>
      </c>
      <c r="K566" s="147">
        <v>8.6</v>
      </c>
      <c r="L566" s="147">
        <v>8.949</v>
      </c>
      <c r="M566" s="94" cm="1">
        <f t="array" ref="M566">INDEX($BV$29:$BV$1449,MATCH($D566,$BR$29:$BR$1449,0),)</f>
        <v>8.19</v>
      </c>
      <c r="N566" s="150">
        <f t="shared" si="274"/>
        <v>0</v>
      </c>
      <c r="O566" s="150">
        <f t="shared" si="276"/>
        <v>-0.00433911882510007</v>
      </c>
      <c r="P566" s="150">
        <f t="shared" si="270"/>
        <v>-0.00995685363425158</v>
      </c>
      <c r="Q566" s="89">
        <f t="shared" si="273"/>
        <v>0.0926739926739928</v>
      </c>
      <c r="AH566" s="90"/>
      <c r="AI566" s="85"/>
      <c r="AJ566" s="36"/>
      <c r="AK566" s="36"/>
      <c r="AL566" s="36"/>
      <c r="AM566" s="36"/>
      <c r="AN566" s="36"/>
      <c r="AO566" s="36"/>
      <c r="AP566" s="36"/>
      <c r="FV566" s="104">
        <f t="shared" si="279"/>
        <v>2012</v>
      </c>
      <c r="FW566" s="104">
        <f t="shared" si="280"/>
        <v>39</v>
      </c>
      <c r="FX566" s="35">
        <v>41177</v>
      </c>
      <c r="FY566" s="26">
        <v>0.846</v>
      </c>
      <c r="FZ566" s="94">
        <f t="shared" si="281"/>
        <v>3.384</v>
      </c>
      <c r="GA566" s="104"/>
      <c r="GB566" s="104"/>
      <c r="GE566" s="94"/>
      <c r="GF566" s="104">
        <f t="shared" si="282"/>
        <v>2015</v>
      </c>
      <c r="GG566" s="104">
        <f t="shared" si="283"/>
        <v>10</v>
      </c>
      <c r="GH566" s="35">
        <v>42066</v>
      </c>
      <c r="GI566" s="26">
        <v>3.373</v>
      </c>
      <c r="GJ566" s="94">
        <f t="shared" si="284"/>
        <v>6.746</v>
      </c>
      <c r="GK566" s="104"/>
      <c r="GL566" s="104"/>
      <c r="GO566" s="94"/>
    </row>
    <row r="567" spans="3:197">
      <c r="C567" s="80" t="str" cm="1">
        <f t="array" ref="C567">_xlfn.IFS(MONTH(D567)&lt;4,1,MONTH(D567)&lt;7,2,MONTH(D567)&lt;10,3,MONTH(D567)&gt;9,4)&amp;"Q"&amp;RIGHT(YEAR(D567),2)</f>
        <v>2Q18</v>
      </c>
      <c r="D567" s="81">
        <f t="shared" si="278"/>
        <v>43220</v>
      </c>
      <c r="E567" s="82">
        <f t="shared" si="275"/>
        <v>43214</v>
      </c>
      <c r="F567" s="83">
        <f t="shared" si="277"/>
        <v>1.116875</v>
      </c>
      <c r="G567" s="83">
        <f t="shared" si="277"/>
        <v>1.02375</v>
      </c>
      <c r="H567" s="81"/>
      <c r="I567" s="146">
        <v>43214</v>
      </c>
      <c r="J567" s="147">
        <v>9.2</v>
      </c>
      <c r="K567" s="147">
        <v>8.5</v>
      </c>
      <c r="L567" s="147">
        <v>8.935</v>
      </c>
      <c r="M567" s="94" cm="1">
        <f t="array" ref="M567">INDEX($BV$29:$BV$1449,MATCH($D567,$BR$29:$BR$1449,0),)</f>
        <v>8.19</v>
      </c>
      <c r="N567" s="150">
        <f t="shared" si="274"/>
        <v>-0.0015644206056542</v>
      </c>
      <c r="O567" s="150">
        <f t="shared" si="276"/>
        <v>-0.00290146189041396</v>
      </c>
      <c r="P567" s="150">
        <f t="shared" si="270"/>
        <v>-0.0109586008412663</v>
      </c>
      <c r="Q567" s="89">
        <f t="shared" si="273"/>
        <v>0.0909645909645911</v>
      </c>
      <c r="AH567" s="90"/>
      <c r="AI567" s="85"/>
      <c r="AJ567" s="36"/>
      <c r="AK567" s="36"/>
      <c r="AL567" s="36"/>
      <c r="AM567" s="36"/>
      <c r="AN567" s="36"/>
      <c r="AO567" s="36"/>
      <c r="AP567" s="36"/>
      <c r="FV567" s="104">
        <f t="shared" si="279"/>
        <v>2012</v>
      </c>
      <c r="FW567" s="104">
        <f t="shared" si="280"/>
        <v>39</v>
      </c>
      <c r="FX567" s="35">
        <v>41178</v>
      </c>
      <c r="FY567" s="26">
        <v>0.846</v>
      </c>
      <c r="FZ567" s="94">
        <f t="shared" si="281"/>
        <v>3.384</v>
      </c>
      <c r="GA567" s="104"/>
      <c r="GB567" s="104"/>
      <c r="GE567" s="94"/>
      <c r="GF567" s="104">
        <f t="shared" si="282"/>
        <v>2015</v>
      </c>
      <c r="GG567" s="104">
        <f t="shared" si="283"/>
        <v>10</v>
      </c>
      <c r="GH567" s="35">
        <v>42067</v>
      </c>
      <c r="GI567" s="26">
        <v>3.372</v>
      </c>
      <c r="GJ567" s="94">
        <f t="shared" si="284"/>
        <v>6.744</v>
      </c>
      <c r="GK567" s="104"/>
      <c r="GL567" s="104"/>
      <c r="GO567" s="94"/>
    </row>
    <row r="568" spans="3:197">
      <c r="C568" s="80" t="str" cm="1">
        <f t="array" ref="C568">_xlfn.IFS(MONTH(D568)&lt;4,1,MONTH(D568)&lt;7,2,MONTH(D568)&lt;10,3,MONTH(D568)&gt;9,4)&amp;"Q"&amp;RIGHT(YEAR(D568),2)</f>
        <v>2Q18</v>
      </c>
      <c r="D568" s="81">
        <f t="shared" si="278"/>
        <v>43220</v>
      </c>
      <c r="E568" s="82">
        <f t="shared" si="275"/>
        <v>43215</v>
      </c>
      <c r="F568" s="83">
        <f t="shared" si="277"/>
        <v>1.115625</v>
      </c>
      <c r="G568" s="83">
        <f t="shared" si="277"/>
        <v>1.02375</v>
      </c>
      <c r="H568" s="81"/>
      <c r="I568" s="146">
        <v>43215</v>
      </c>
      <c r="J568" s="147">
        <v>9.2</v>
      </c>
      <c r="K568" s="147">
        <v>8.45</v>
      </c>
      <c r="L568" s="147">
        <v>8.925</v>
      </c>
      <c r="M568" s="94" cm="1">
        <f t="array" ref="M568">INDEX($BV$29:$BV$1449,MATCH($D568,$BR$29:$BR$1449,0),)</f>
        <v>8.19</v>
      </c>
      <c r="N568" s="150">
        <f t="shared" si="274"/>
        <v>-0.00111919418019024</v>
      </c>
      <c r="O568" s="150">
        <f t="shared" si="276"/>
        <v>-0.00401740877134249</v>
      </c>
      <c r="P568" s="150">
        <f t="shared" si="270"/>
        <v>-0.012065530219172</v>
      </c>
      <c r="Q568" s="89">
        <f t="shared" si="273"/>
        <v>0.0897435897435899</v>
      </c>
      <c r="AH568" s="90"/>
      <c r="AI568" s="85"/>
      <c r="AJ568" s="36"/>
      <c r="AK568" s="36"/>
      <c r="AL568" s="36"/>
      <c r="AM568" s="36"/>
      <c r="AN568" s="36"/>
      <c r="AO568" s="36"/>
      <c r="AP568" s="36"/>
      <c r="FV568" s="104">
        <f t="shared" si="279"/>
        <v>2012</v>
      </c>
      <c r="FW568" s="104">
        <f t="shared" si="280"/>
        <v>39</v>
      </c>
      <c r="FX568" s="35">
        <v>41179</v>
      </c>
      <c r="FY568" s="26">
        <v>0.846</v>
      </c>
      <c r="FZ568" s="94">
        <f t="shared" si="281"/>
        <v>3.384</v>
      </c>
      <c r="GA568" s="104"/>
      <c r="GB568" s="104"/>
      <c r="GE568" s="94"/>
      <c r="GF568" s="104">
        <f t="shared" si="282"/>
        <v>2015</v>
      </c>
      <c r="GG568" s="104">
        <f t="shared" si="283"/>
        <v>10</v>
      </c>
      <c r="GH568" s="35">
        <v>42068</v>
      </c>
      <c r="GI568" s="26">
        <v>3.371</v>
      </c>
      <c r="GJ568" s="94">
        <f t="shared" si="284"/>
        <v>6.742</v>
      </c>
      <c r="GK568" s="104"/>
      <c r="GL568" s="104"/>
      <c r="GO568" s="94"/>
    </row>
    <row r="569" spans="3:197">
      <c r="C569" s="80" t="str" cm="1">
        <f t="array" ref="C569">_xlfn.IFS(MONTH(D569)&lt;4,1,MONTH(D569)&lt;7,2,MONTH(D569)&lt;10,3,MONTH(D569)&gt;9,4)&amp;"Q"&amp;RIGHT(YEAR(D569),2)</f>
        <v>2Q18</v>
      </c>
      <c r="D569" s="81">
        <f t="shared" si="278"/>
        <v>43220</v>
      </c>
      <c r="E569" s="82">
        <f t="shared" si="275"/>
        <v>43216</v>
      </c>
      <c r="F569" s="83">
        <f t="shared" si="277"/>
        <v>1.110625</v>
      </c>
      <c r="G569" s="83">
        <f t="shared" si="277"/>
        <v>1.02375</v>
      </c>
      <c r="H569" s="81"/>
      <c r="I569" s="146">
        <v>43216</v>
      </c>
      <c r="J569" s="147">
        <v>9.15</v>
      </c>
      <c r="K569" s="147">
        <v>8.35</v>
      </c>
      <c r="L569" s="147">
        <v>8.885</v>
      </c>
      <c r="M569" s="94" cm="1">
        <f t="array" ref="M569">INDEX($BV$29:$BV$1449,MATCH($D569,$BR$29:$BR$1449,0),)</f>
        <v>8.19</v>
      </c>
      <c r="N569" s="150">
        <f t="shared" si="274"/>
        <v>-0.00448179271708693</v>
      </c>
      <c r="O569" s="150">
        <f t="shared" si="276"/>
        <v>-0.00848119629505639</v>
      </c>
      <c r="P569" s="150">
        <f t="shared" si="270"/>
        <v>-0.0131067421970454</v>
      </c>
      <c r="Q569" s="89">
        <f t="shared" si="273"/>
        <v>0.084859584859585</v>
      </c>
      <c r="AH569" s="90"/>
      <c r="AI569" s="85"/>
      <c r="AJ569" s="36"/>
      <c r="AK569" s="36"/>
      <c r="AL569" s="36"/>
      <c r="AM569" s="36"/>
      <c r="AN569" s="36"/>
      <c r="AO569" s="36"/>
      <c r="AP569" s="36"/>
      <c r="FV569" s="104">
        <f t="shared" si="279"/>
        <v>2012</v>
      </c>
      <c r="FW569" s="104">
        <f t="shared" si="280"/>
        <v>39</v>
      </c>
      <c r="FX569" s="35">
        <v>41180</v>
      </c>
      <c r="FY569" s="26">
        <v>0.84</v>
      </c>
      <c r="FZ569" s="94">
        <f t="shared" si="281"/>
        <v>3.36</v>
      </c>
      <c r="GA569" s="104"/>
      <c r="GB569" s="104"/>
      <c r="GE569" s="94"/>
      <c r="GF569" s="104">
        <f t="shared" si="282"/>
        <v>2015</v>
      </c>
      <c r="GG569" s="104">
        <f t="shared" si="283"/>
        <v>10</v>
      </c>
      <c r="GH569" s="35">
        <v>42069</v>
      </c>
      <c r="GI569" s="26">
        <v>3.362</v>
      </c>
      <c r="GJ569" s="94">
        <f t="shared" si="284"/>
        <v>6.724</v>
      </c>
      <c r="GK569" s="104"/>
      <c r="GL569" s="104"/>
      <c r="GO569" s="94"/>
    </row>
    <row r="570" spans="3:197">
      <c r="C570" s="80" t="str" cm="1">
        <f t="array" ref="C570">_xlfn.IFS(MONTH(D570)&lt;4,1,MONTH(D570)&lt;7,2,MONTH(D570)&lt;10,3,MONTH(D570)&gt;9,4)&amp;"Q"&amp;RIGHT(YEAR(D570),2)</f>
        <v>2Q18</v>
      </c>
      <c r="D570" s="81">
        <f t="shared" si="278"/>
        <v>43220</v>
      </c>
      <c r="E570" s="82">
        <f t="shared" si="275"/>
        <v>43217</v>
      </c>
      <c r="F570" s="83">
        <f t="shared" si="277"/>
        <v>1.11025</v>
      </c>
      <c r="G570" s="83">
        <f t="shared" si="277"/>
        <v>1.02375</v>
      </c>
      <c r="H570" s="81"/>
      <c r="I570" s="146">
        <v>43217</v>
      </c>
      <c r="J570" s="147">
        <v>9.15</v>
      </c>
      <c r="K570" s="147">
        <v>8.35</v>
      </c>
      <c r="L570" s="147">
        <v>8.882</v>
      </c>
      <c r="M570" s="94" cm="1">
        <f t="array" ref="M570">INDEX($BV$29:$BV$1449,MATCH($D570,$BR$29:$BR$1449,0),)</f>
        <v>8.19</v>
      </c>
      <c r="N570" s="150">
        <f t="shared" si="274"/>
        <v>-0.000337647720877854</v>
      </c>
      <c r="O570" s="150">
        <f t="shared" si="276"/>
        <v>-0.00748687004134541</v>
      </c>
      <c r="P570" s="150">
        <f t="shared" si="270"/>
        <v>-0.0132207532496389</v>
      </c>
      <c r="Q570" s="89">
        <f t="shared" si="273"/>
        <v>0.0844932844932844</v>
      </c>
      <c r="AH570" s="90"/>
      <c r="AI570" s="85"/>
      <c r="AJ570" s="36"/>
      <c r="AK570" s="36"/>
      <c r="AL570" s="36"/>
      <c r="AM570" s="36"/>
      <c r="AN570" s="36"/>
      <c r="AO570" s="36"/>
      <c r="AP570" s="36"/>
      <c r="FV570" s="104">
        <f t="shared" si="279"/>
        <v>2012</v>
      </c>
      <c r="FW570" s="104">
        <f t="shared" si="280"/>
        <v>39</v>
      </c>
      <c r="FX570" s="35">
        <v>41181</v>
      </c>
      <c r="FY570" s="26">
        <v>0.84</v>
      </c>
      <c r="FZ570" s="94">
        <f t="shared" si="281"/>
        <v>3.36</v>
      </c>
      <c r="GA570" s="104"/>
      <c r="GB570" s="104"/>
      <c r="GE570" s="94"/>
      <c r="GF570" s="104">
        <f t="shared" si="282"/>
        <v>2015</v>
      </c>
      <c r="GG570" s="104">
        <f t="shared" si="283"/>
        <v>11</v>
      </c>
      <c r="GH570" s="35">
        <v>42072</v>
      </c>
      <c r="GI570" s="26">
        <v>3.361</v>
      </c>
      <c r="GJ570" s="94">
        <f t="shared" si="284"/>
        <v>6.722</v>
      </c>
      <c r="GK570" s="104"/>
      <c r="GL570" s="104"/>
      <c r="GO570" s="94"/>
    </row>
    <row r="571" spans="3:197">
      <c r="C571" s="80" t="str" cm="1">
        <f t="array" ref="C571">_xlfn.IFS(MONTH(D571)&lt;4,1,MONTH(D571)&lt;7,2,MONTH(D571)&lt;10,3,MONTH(D571)&gt;9,4)&amp;"Q"&amp;RIGHT(YEAR(D571),2)</f>
        <v>2Q18</v>
      </c>
      <c r="D571" s="81">
        <f t="shared" si="278"/>
        <v>43220</v>
      </c>
      <c r="E571" s="82">
        <f t="shared" si="275"/>
        <v>43220</v>
      </c>
      <c r="F571" s="83">
        <f t="shared" si="277"/>
        <v>1.10975</v>
      </c>
      <c r="G571" s="83">
        <f t="shared" si="277"/>
        <v>1.02375</v>
      </c>
      <c r="H571" s="81"/>
      <c r="I571" s="146">
        <v>43220</v>
      </c>
      <c r="J571" s="147">
        <v>9.15</v>
      </c>
      <c r="K571" s="147">
        <v>8.32</v>
      </c>
      <c r="L571" s="147">
        <v>8.878</v>
      </c>
      <c r="M571" s="94" cm="1">
        <f t="array" ref="M571">INDEX($BV$29:$BV$1449,MATCH($D571,$BR$29:$BR$1449,0),)</f>
        <v>8.19</v>
      </c>
      <c r="N571" s="150">
        <f t="shared" si="274"/>
        <v>-0.000450349020490792</v>
      </c>
      <c r="O571" s="150">
        <f t="shared" si="276"/>
        <v>-0.00793384735724656</v>
      </c>
      <c r="P571" s="150">
        <f t="shared" si="270"/>
        <v>-0.0122385402759234</v>
      </c>
      <c r="Q571" s="89">
        <f t="shared" si="273"/>
        <v>0.0840048840048842</v>
      </c>
      <c r="AH571" s="90"/>
      <c r="AI571" s="85"/>
      <c r="AJ571" s="36"/>
      <c r="AK571" s="36"/>
      <c r="AL571" s="36"/>
      <c r="AM571" s="36"/>
      <c r="AN571" s="36"/>
      <c r="AO571" s="36"/>
      <c r="AP571" s="36"/>
      <c r="FV571" s="104">
        <f t="shared" si="279"/>
        <v>2012</v>
      </c>
      <c r="FW571" s="104">
        <f t="shared" si="280"/>
        <v>40</v>
      </c>
      <c r="FX571" s="35">
        <v>41182</v>
      </c>
      <c r="FY571" s="26">
        <v>0.84</v>
      </c>
      <c r="FZ571" s="94">
        <f t="shared" si="281"/>
        <v>3.36</v>
      </c>
      <c r="GA571" s="104"/>
      <c r="GB571" s="104"/>
      <c r="GE571" s="94"/>
      <c r="GF571" s="104">
        <f t="shared" si="282"/>
        <v>2015</v>
      </c>
      <c r="GG571" s="104">
        <f t="shared" si="283"/>
        <v>11</v>
      </c>
      <c r="GH571" s="35">
        <v>42073</v>
      </c>
      <c r="GI571" s="26">
        <v>3.345</v>
      </c>
      <c r="GJ571" s="94">
        <f t="shared" si="284"/>
        <v>6.69</v>
      </c>
      <c r="GK571" s="104"/>
      <c r="GL571" s="104"/>
      <c r="GO571" s="94"/>
    </row>
    <row r="572" spans="3:197">
      <c r="C572" s="80" t="str" cm="1">
        <f t="array" ref="C572">_xlfn.IFS(MONTH(D572)&lt;4,1,MONTH(D572)&lt;7,2,MONTH(D572)&lt;10,3,MONTH(D572)&gt;9,4)&amp;"Q"&amp;RIGHT(YEAR(D572),2)</f>
        <v>2Q18</v>
      </c>
      <c r="D572" s="81">
        <f t="shared" si="278"/>
        <v>43251</v>
      </c>
      <c r="E572" s="82">
        <f t="shared" si="275"/>
        <v>43222</v>
      </c>
      <c r="F572" s="83">
        <f t="shared" si="277"/>
        <v>1.10975</v>
      </c>
      <c r="G572" s="83">
        <f t="shared" si="277"/>
        <v>1.02375</v>
      </c>
      <c r="H572" s="81"/>
      <c r="I572" s="146">
        <v>43222</v>
      </c>
      <c r="J572" s="147">
        <v>9.15</v>
      </c>
      <c r="K572" s="147">
        <v>8.35</v>
      </c>
      <c r="L572" s="147">
        <v>8.878</v>
      </c>
      <c r="M572" s="94" cm="1">
        <f t="array" ref="M572">INDEX($BV$29:$BV$1449,MATCH($D572,$BR$29:$BR$1449,0),)</f>
        <v>8.19</v>
      </c>
      <c r="N572" s="150">
        <f t="shared" si="274"/>
        <v>0</v>
      </c>
      <c r="O572" s="150">
        <f t="shared" si="276"/>
        <v>-0.00637940682708449</v>
      </c>
      <c r="P572" s="150">
        <f t="shared" si="270"/>
        <v>-0.00926235911170625</v>
      </c>
      <c r="Q572" s="89">
        <f t="shared" si="273"/>
        <v>0.0840048840048842</v>
      </c>
      <c r="AH572" s="90"/>
      <c r="AI572" s="85"/>
      <c r="AJ572" s="36"/>
      <c r="AK572" s="36"/>
      <c r="AL572" s="36"/>
      <c r="AM572" s="36"/>
      <c r="AN572" s="36"/>
      <c r="AO572" s="36"/>
      <c r="AP572" s="36"/>
      <c r="FV572" s="104">
        <f t="shared" si="279"/>
        <v>2012</v>
      </c>
      <c r="FW572" s="104">
        <f t="shared" si="280"/>
        <v>40</v>
      </c>
      <c r="FX572" s="35">
        <v>41183</v>
      </c>
      <c r="FY572" s="26">
        <v>0.84</v>
      </c>
      <c r="FZ572" s="94">
        <f t="shared" si="281"/>
        <v>3.36</v>
      </c>
      <c r="GA572" s="104"/>
      <c r="GB572" s="104"/>
      <c r="GE572" s="94"/>
      <c r="GF572" s="104">
        <f t="shared" si="282"/>
        <v>2015</v>
      </c>
      <c r="GG572" s="104">
        <f t="shared" si="283"/>
        <v>11</v>
      </c>
      <c r="GH572" s="35">
        <v>42074</v>
      </c>
      <c r="GI572" s="26">
        <v>3.338</v>
      </c>
      <c r="GJ572" s="94">
        <f t="shared" si="284"/>
        <v>6.676</v>
      </c>
      <c r="GK572" s="104"/>
      <c r="GL572" s="104"/>
      <c r="GO572" s="94"/>
    </row>
    <row r="573" spans="3:197">
      <c r="C573" s="80" t="str" cm="1">
        <f t="array" ref="C573">_xlfn.IFS(MONTH(D573)&lt;4,1,MONTH(D573)&lt;7,2,MONTH(D573)&lt;10,3,MONTH(D573)&gt;9,4)&amp;"Q"&amp;RIGHT(YEAR(D573),2)</f>
        <v>2Q18</v>
      </c>
      <c r="D573" s="81">
        <f t="shared" si="278"/>
        <v>43251</v>
      </c>
      <c r="E573" s="82">
        <f t="shared" si="275"/>
        <v>43223</v>
      </c>
      <c r="F573" s="83">
        <f t="shared" si="277"/>
        <v>1.10975</v>
      </c>
      <c r="G573" s="83">
        <f t="shared" si="277"/>
        <v>1.02375</v>
      </c>
      <c r="H573" s="81"/>
      <c r="I573" s="146">
        <v>43223</v>
      </c>
      <c r="J573" s="147">
        <v>9.15</v>
      </c>
      <c r="K573" s="147">
        <v>8.35</v>
      </c>
      <c r="L573" s="147">
        <v>8.878</v>
      </c>
      <c r="M573" s="94" cm="1">
        <f t="array" ref="M573">INDEX($BV$29:$BV$1449,MATCH($D573,$BR$29:$BR$1449,0),)</f>
        <v>8.19</v>
      </c>
      <c r="N573" s="150">
        <f t="shared" si="274"/>
        <v>0</v>
      </c>
      <c r="O573" s="150">
        <f t="shared" si="276"/>
        <v>-0.00526610644257708</v>
      </c>
      <c r="P573" s="150">
        <f t="shared" si="270"/>
        <v>-0.00926235911170625</v>
      </c>
      <c r="Q573" s="89">
        <f t="shared" si="273"/>
        <v>0.0840048840048842</v>
      </c>
      <c r="AH573" s="90"/>
      <c r="AI573" s="85"/>
      <c r="AJ573" s="36"/>
      <c r="AK573" s="36"/>
      <c r="AL573" s="36"/>
      <c r="AM573" s="36"/>
      <c r="AN573" s="36"/>
      <c r="AO573" s="36"/>
      <c r="AP573" s="36"/>
      <c r="FV573" s="104">
        <f t="shared" si="279"/>
        <v>2012</v>
      </c>
      <c r="FW573" s="104">
        <f t="shared" si="280"/>
        <v>40</v>
      </c>
      <c r="FX573" s="35">
        <v>41184</v>
      </c>
      <c r="FY573" s="26">
        <v>0.84</v>
      </c>
      <c r="FZ573" s="94">
        <f t="shared" si="281"/>
        <v>3.36</v>
      </c>
      <c r="GA573" s="104"/>
      <c r="GB573" s="104"/>
      <c r="GE573" s="94"/>
      <c r="GF573" s="104">
        <f t="shared" si="282"/>
        <v>2015</v>
      </c>
      <c r="GG573" s="104">
        <f t="shared" si="283"/>
        <v>11</v>
      </c>
      <c r="GH573" s="35">
        <v>42075</v>
      </c>
      <c r="GI573" s="26">
        <v>3.308</v>
      </c>
      <c r="GJ573" s="94">
        <f t="shared" si="284"/>
        <v>6.616</v>
      </c>
      <c r="GK573" s="104"/>
      <c r="GL573" s="104"/>
      <c r="GO573" s="94"/>
    </row>
    <row r="574" spans="3:197">
      <c r="C574" s="80" t="str" cm="1">
        <f t="array" ref="C574">_xlfn.IFS(MONTH(D574)&lt;4,1,MONTH(D574)&lt;7,2,MONTH(D574)&lt;10,3,MONTH(D574)&gt;9,4)&amp;"Q"&amp;RIGHT(YEAR(D574),2)</f>
        <v>2Q18</v>
      </c>
      <c r="D574" s="81">
        <f t="shared" si="278"/>
        <v>43251</v>
      </c>
      <c r="E574" s="82">
        <f t="shared" si="275"/>
        <v>43224</v>
      </c>
      <c r="F574" s="83">
        <f t="shared" si="277"/>
        <v>1.10975</v>
      </c>
      <c r="G574" s="83">
        <f t="shared" si="277"/>
        <v>1.02375</v>
      </c>
      <c r="H574" s="81"/>
      <c r="I574" s="146">
        <v>43224</v>
      </c>
      <c r="J574" s="147">
        <v>9.15</v>
      </c>
      <c r="K574" s="147">
        <v>8.35</v>
      </c>
      <c r="L574" s="147">
        <v>8.878</v>
      </c>
      <c r="M574" s="94" cm="1">
        <f t="array" ref="M574">INDEX($BV$29:$BV$1449,MATCH($D574,$BR$29:$BR$1449,0),)</f>
        <v>8.19</v>
      </c>
      <c r="N574" s="150">
        <f t="shared" si="274"/>
        <v>0</v>
      </c>
      <c r="O574" s="150">
        <f t="shared" si="276"/>
        <v>-0.0007878446820484</v>
      </c>
      <c r="P574" s="150">
        <f t="shared" si="270"/>
        <v>-0.00926235911170625</v>
      </c>
      <c r="Q574" s="89">
        <f t="shared" si="273"/>
        <v>0.0840048840048842</v>
      </c>
      <c r="AH574" s="90"/>
      <c r="AI574" s="85"/>
      <c r="AJ574" s="36"/>
      <c r="AK574" s="36"/>
      <c r="AL574" s="36"/>
      <c r="AM574" s="36"/>
      <c r="AN574" s="36"/>
      <c r="AO574" s="36"/>
      <c r="AP574" s="36"/>
      <c r="FV574" s="104">
        <f t="shared" si="279"/>
        <v>2012</v>
      </c>
      <c r="FW574" s="104">
        <f t="shared" si="280"/>
        <v>40</v>
      </c>
      <c r="FX574" s="35">
        <v>41185</v>
      </c>
      <c r="FY574" s="26">
        <v>0.84</v>
      </c>
      <c r="FZ574" s="94">
        <f t="shared" si="281"/>
        <v>3.36</v>
      </c>
      <c r="GA574" s="104"/>
      <c r="GB574" s="104"/>
      <c r="GE574" s="94"/>
      <c r="GF574" s="104">
        <f t="shared" si="282"/>
        <v>2015</v>
      </c>
      <c r="GG574" s="104">
        <f t="shared" si="283"/>
        <v>11</v>
      </c>
      <c r="GH574" s="35">
        <v>42076</v>
      </c>
      <c r="GI574" s="26">
        <v>3.302</v>
      </c>
      <c r="GJ574" s="94">
        <f t="shared" si="284"/>
        <v>6.604</v>
      </c>
      <c r="GK574" s="104"/>
      <c r="GL574" s="104"/>
      <c r="GO574" s="94"/>
    </row>
    <row r="575" spans="3:197">
      <c r="C575" s="80" t="str" cm="1">
        <f t="array" ref="C575">_xlfn.IFS(MONTH(D575)&lt;4,1,MONTH(D575)&lt;7,2,MONTH(D575)&lt;10,3,MONTH(D575)&gt;9,4)&amp;"Q"&amp;RIGHT(YEAR(D575),2)</f>
        <v>2Q18</v>
      </c>
      <c r="D575" s="81">
        <f t="shared" si="278"/>
        <v>43251</v>
      </c>
      <c r="E575" s="82">
        <f t="shared" si="275"/>
        <v>43227</v>
      </c>
      <c r="F575" s="83">
        <f t="shared" si="277"/>
        <v>1.11</v>
      </c>
      <c r="G575" s="83">
        <f t="shared" si="277"/>
        <v>1.02375</v>
      </c>
      <c r="H575" s="81"/>
      <c r="I575" s="146">
        <v>43227</v>
      </c>
      <c r="J575" s="147">
        <v>9.15</v>
      </c>
      <c r="K575" s="147">
        <v>8.37</v>
      </c>
      <c r="L575" s="147">
        <v>8.88</v>
      </c>
      <c r="M575" s="94" cm="1">
        <f t="array" ref="M575">INDEX($BV$29:$BV$1449,MATCH($D575,$BR$29:$BR$1449,0),)</f>
        <v>8.19</v>
      </c>
      <c r="N575" s="150">
        <f t="shared" si="274"/>
        <v>0.000225275963054772</v>
      </c>
      <c r="O575" s="150">
        <f t="shared" si="276"/>
        <v>-0.000225174510245285</v>
      </c>
      <c r="P575" s="150">
        <f t="shared" si="270"/>
        <v>-0.00771035869929593</v>
      </c>
      <c r="Q575" s="89">
        <f t="shared" si="273"/>
        <v>0.0842490842490844</v>
      </c>
      <c r="AH575" s="90"/>
      <c r="AI575" s="85"/>
      <c r="AJ575" s="36"/>
      <c r="AK575" s="36"/>
      <c r="AL575" s="36"/>
      <c r="AM575" s="36"/>
      <c r="AN575" s="36"/>
      <c r="AO575" s="36"/>
      <c r="AP575" s="36"/>
      <c r="FV575" s="104">
        <f t="shared" si="279"/>
        <v>2012</v>
      </c>
      <c r="FW575" s="104">
        <f t="shared" si="280"/>
        <v>40</v>
      </c>
      <c r="FX575" s="35">
        <v>41186</v>
      </c>
      <c r="FY575" s="26">
        <v>0.84</v>
      </c>
      <c r="FZ575" s="94">
        <f t="shared" si="281"/>
        <v>3.36</v>
      </c>
      <c r="GA575" s="104"/>
      <c r="GB575" s="104"/>
      <c r="GE575" s="94"/>
      <c r="GF575" s="104">
        <f t="shared" si="282"/>
        <v>2015</v>
      </c>
      <c r="GG575" s="104">
        <f t="shared" si="283"/>
        <v>12</v>
      </c>
      <c r="GH575" s="35">
        <v>42079</v>
      </c>
      <c r="GI575" s="26">
        <v>3.295</v>
      </c>
      <c r="GJ575" s="94">
        <f t="shared" si="284"/>
        <v>6.59</v>
      </c>
      <c r="GK575" s="104"/>
      <c r="GL575" s="104"/>
      <c r="GO575" s="94"/>
    </row>
    <row r="576" spans="3:197">
      <c r="C576" s="80" t="str" cm="1">
        <f t="array" ref="C576">_xlfn.IFS(MONTH(D576)&lt;4,1,MONTH(D576)&lt;7,2,MONTH(D576)&lt;10,3,MONTH(D576)&gt;9,4)&amp;"Q"&amp;RIGHT(YEAR(D576),2)</f>
        <v>2Q18</v>
      </c>
      <c r="D576" s="81">
        <f t="shared" si="278"/>
        <v>43251</v>
      </c>
      <c r="E576" s="82">
        <f t="shared" si="275"/>
        <v>43228</v>
      </c>
      <c r="F576" s="83">
        <f t="shared" si="277"/>
        <v>1.11</v>
      </c>
      <c r="G576" s="83">
        <f t="shared" si="277"/>
        <v>1.02375</v>
      </c>
      <c r="H576" s="81"/>
      <c r="I576" s="146">
        <v>43228</v>
      </c>
      <c r="J576" s="147">
        <v>9.15</v>
      </c>
      <c r="K576" s="147">
        <v>8.37</v>
      </c>
      <c r="L576" s="147">
        <v>8.88</v>
      </c>
      <c r="M576" s="94" cm="1">
        <f t="array" ref="M576">INDEX($BV$29:$BV$1449,MATCH($D576,$BR$29:$BR$1449,0),)</f>
        <v>8.19</v>
      </c>
      <c r="N576" s="150">
        <f t="shared" si="274"/>
        <v>0</v>
      </c>
      <c r="O576" s="150">
        <f t="shared" si="276"/>
        <v>0.000225275963054772</v>
      </c>
      <c r="P576" s="150">
        <f t="shared" ref="P576:P639" si="285">L576/L566-1</f>
        <v>-0.00771035869929593</v>
      </c>
      <c r="Q576" s="89">
        <f t="shared" si="273"/>
        <v>0.0842490842490844</v>
      </c>
      <c r="AH576" s="90"/>
      <c r="AI576" s="85"/>
      <c r="AJ576" s="36"/>
      <c r="AK576" s="36"/>
      <c r="AL576" s="36"/>
      <c r="AM576" s="36"/>
      <c r="AN576" s="36"/>
      <c r="AO576" s="36"/>
      <c r="AP576" s="36"/>
      <c r="FV576" s="104">
        <f t="shared" si="279"/>
        <v>2012</v>
      </c>
      <c r="FW576" s="104">
        <f t="shared" si="280"/>
        <v>40</v>
      </c>
      <c r="FX576" s="35">
        <v>41187</v>
      </c>
      <c r="FY576" s="26">
        <v>0.84</v>
      </c>
      <c r="FZ576" s="94">
        <f t="shared" si="281"/>
        <v>3.36</v>
      </c>
      <c r="GA576" s="104"/>
      <c r="GB576" s="104"/>
      <c r="GE576" s="94"/>
      <c r="GF576" s="104">
        <f t="shared" si="282"/>
        <v>2015</v>
      </c>
      <c r="GG576" s="104">
        <f t="shared" si="283"/>
        <v>12</v>
      </c>
      <c r="GH576" s="35">
        <v>42080</v>
      </c>
      <c r="GI576" s="26">
        <v>3.274</v>
      </c>
      <c r="GJ576" s="94">
        <f t="shared" si="284"/>
        <v>6.548</v>
      </c>
      <c r="GK576" s="104"/>
      <c r="GL576" s="104"/>
      <c r="GO576" s="94"/>
    </row>
    <row r="577" spans="3:197">
      <c r="C577" s="80" t="str" cm="1">
        <f t="array" ref="C577">_xlfn.IFS(MONTH(D577)&lt;4,1,MONTH(D577)&lt;7,2,MONTH(D577)&lt;10,3,MONTH(D577)&gt;9,4)&amp;"Q"&amp;RIGHT(YEAR(D577),2)</f>
        <v>2Q18</v>
      </c>
      <c r="D577" s="81">
        <f t="shared" si="278"/>
        <v>43251</v>
      </c>
      <c r="E577" s="82">
        <f t="shared" si="275"/>
        <v>43229</v>
      </c>
      <c r="F577" s="83">
        <f t="shared" si="277"/>
        <v>1.11</v>
      </c>
      <c r="G577" s="83">
        <f t="shared" si="277"/>
        <v>1.02375</v>
      </c>
      <c r="H577" s="81"/>
      <c r="I577" s="146">
        <v>43229</v>
      </c>
      <c r="J577" s="147">
        <v>9.15</v>
      </c>
      <c r="K577" s="147">
        <v>8.37</v>
      </c>
      <c r="L577" s="147">
        <v>8.88</v>
      </c>
      <c r="M577" s="94" cm="1">
        <f t="array" ref="M577">INDEX($BV$29:$BV$1449,MATCH($D577,$BR$29:$BR$1449,0),)</f>
        <v>8.19</v>
      </c>
      <c r="N577" s="150">
        <f t="shared" si="274"/>
        <v>0</v>
      </c>
      <c r="O577" s="150">
        <f t="shared" si="276"/>
        <v>0.000225275963054772</v>
      </c>
      <c r="P577" s="150">
        <f t="shared" si="285"/>
        <v>-0.00615556799104644</v>
      </c>
      <c r="Q577" s="89">
        <f t="shared" ref="Q577:Q640" si="286">L577/M577-1</f>
        <v>0.0842490842490844</v>
      </c>
      <c r="AH577" s="90"/>
      <c r="AI577" s="85"/>
      <c r="AJ577" s="36"/>
      <c r="AK577" s="36"/>
      <c r="AL577" s="36"/>
      <c r="AM577" s="36"/>
      <c r="AN577" s="36"/>
      <c r="AO577" s="36"/>
      <c r="AP577" s="36"/>
      <c r="FV577" s="104">
        <f t="shared" si="279"/>
        <v>2012</v>
      </c>
      <c r="FW577" s="104">
        <f t="shared" si="280"/>
        <v>40</v>
      </c>
      <c r="FX577" s="35">
        <v>41188</v>
      </c>
      <c r="FY577" s="26">
        <v>0.84</v>
      </c>
      <c r="FZ577" s="94">
        <f t="shared" si="281"/>
        <v>3.36</v>
      </c>
      <c r="GA577" s="104"/>
      <c r="GB577" s="104"/>
      <c r="GE577" s="94"/>
      <c r="GF577" s="104">
        <f t="shared" si="282"/>
        <v>2015</v>
      </c>
      <c r="GG577" s="104">
        <f t="shared" si="283"/>
        <v>12</v>
      </c>
      <c r="GH577" s="35">
        <v>42081</v>
      </c>
      <c r="GI577" s="26">
        <v>3.268</v>
      </c>
      <c r="GJ577" s="94">
        <f t="shared" si="284"/>
        <v>6.536</v>
      </c>
      <c r="GK577" s="104"/>
      <c r="GL577" s="104"/>
      <c r="GO577" s="94"/>
    </row>
    <row r="578" spans="3:197">
      <c r="C578" s="80" t="str" cm="1">
        <f t="array" ref="C578">_xlfn.IFS(MONTH(D578)&lt;4,1,MONTH(D578)&lt;7,2,MONTH(D578)&lt;10,3,MONTH(D578)&gt;9,4)&amp;"Q"&amp;RIGHT(YEAR(D578),2)</f>
        <v>2Q18</v>
      </c>
      <c r="D578" s="81">
        <f t="shared" si="278"/>
        <v>43251</v>
      </c>
      <c r="E578" s="82">
        <f t="shared" si="275"/>
        <v>43230</v>
      </c>
      <c r="F578" s="83">
        <f t="shared" si="277"/>
        <v>1.11</v>
      </c>
      <c r="G578" s="83">
        <f t="shared" si="277"/>
        <v>1.02375</v>
      </c>
      <c r="H578" s="81"/>
      <c r="I578" s="146">
        <v>43230</v>
      </c>
      <c r="J578" s="147">
        <v>9.15</v>
      </c>
      <c r="K578" s="147">
        <v>8.37</v>
      </c>
      <c r="L578" s="147">
        <v>8.88</v>
      </c>
      <c r="M578" s="94" cm="1">
        <f t="array" ref="M578">INDEX($BV$29:$BV$1449,MATCH($D578,$BR$29:$BR$1449,0),)</f>
        <v>8.19</v>
      </c>
      <c r="N578" s="150">
        <f t="shared" si="274"/>
        <v>0</v>
      </c>
      <c r="O578" s="150">
        <f t="shared" si="276"/>
        <v>0.000225275963054772</v>
      </c>
      <c r="P578" s="150">
        <f t="shared" si="285"/>
        <v>-0.00504201680672267</v>
      </c>
      <c r="Q578" s="89">
        <f t="shared" si="286"/>
        <v>0.0842490842490844</v>
      </c>
      <c r="AH578" s="90"/>
      <c r="AI578" s="85"/>
      <c r="AJ578" s="36"/>
      <c r="AK578" s="36"/>
      <c r="AL578" s="36"/>
      <c r="AM578" s="36"/>
      <c r="AN578" s="36"/>
      <c r="AO578" s="36"/>
      <c r="AP578" s="36"/>
      <c r="FV578" s="104">
        <f t="shared" si="279"/>
        <v>2012</v>
      </c>
      <c r="FW578" s="104">
        <f t="shared" si="280"/>
        <v>41</v>
      </c>
      <c r="FX578" s="35">
        <v>41189</v>
      </c>
      <c r="FY578" s="26">
        <v>0.84</v>
      </c>
      <c r="FZ578" s="94">
        <f t="shared" si="281"/>
        <v>3.36</v>
      </c>
      <c r="GA578" s="104"/>
      <c r="GB578" s="104"/>
      <c r="GE578" s="94"/>
      <c r="GF578" s="104">
        <f t="shared" si="282"/>
        <v>2015</v>
      </c>
      <c r="GG578" s="104">
        <f t="shared" si="283"/>
        <v>12</v>
      </c>
      <c r="GH578" s="35">
        <v>42082</v>
      </c>
      <c r="GI578" s="26">
        <v>3.262</v>
      </c>
      <c r="GJ578" s="94">
        <f t="shared" si="284"/>
        <v>6.524</v>
      </c>
      <c r="GK578" s="104"/>
      <c r="GL578" s="104"/>
      <c r="GO578" s="94"/>
    </row>
    <row r="579" spans="3:197">
      <c r="C579" s="80" t="str" cm="1">
        <f t="array" ref="C579">_xlfn.IFS(MONTH(D579)&lt;4,1,MONTH(D579)&lt;7,2,MONTH(D579)&lt;10,3,MONTH(D579)&gt;9,4)&amp;"Q"&amp;RIGHT(YEAR(D579),2)</f>
        <v>2Q18</v>
      </c>
      <c r="D579" s="81">
        <f t="shared" si="278"/>
        <v>43251</v>
      </c>
      <c r="E579" s="82">
        <f t="shared" si="275"/>
        <v>43231</v>
      </c>
      <c r="F579" s="83">
        <f t="shared" si="277"/>
        <v>1.11</v>
      </c>
      <c r="G579" s="83">
        <f t="shared" si="277"/>
        <v>1.02375</v>
      </c>
      <c r="H579" s="81"/>
      <c r="I579" s="146">
        <v>43231</v>
      </c>
      <c r="J579" s="147">
        <v>9.15</v>
      </c>
      <c r="K579" s="147">
        <v>8.37</v>
      </c>
      <c r="L579" s="147">
        <v>8.88</v>
      </c>
      <c r="M579" s="94" cm="1">
        <f t="array" ref="M579">INDEX($BV$29:$BV$1449,MATCH($D579,$BR$29:$BR$1449,0),)</f>
        <v>8.19</v>
      </c>
      <c r="N579" s="150">
        <f t="shared" si="274"/>
        <v>0</v>
      </c>
      <c r="O579" s="150">
        <f t="shared" si="276"/>
        <v>0.000225275963054772</v>
      </c>
      <c r="P579" s="150">
        <f t="shared" si="285"/>
        <v>-0.000562746201463016</v>
      </c>
      <c r="Q579" s="89">
        <f t="shared" si="286"/>
        <v>0.0842490842490844</v>
      </c>
      <c r="AH579" s="90"/>
      <c r="AI579" s="85"/>
      <c r="AJ579" s="36"/>
      <c r="AK579" s="36"/>
      <c r="AL579" s="36"/>
      <c r="AM579" s="36"/>
      <c r="AN579" s="36"/>
      <c r="AO579" s="36"/>
      <c r="AP579" s="36"/>
      <c r="FV579" s="104">
        <f t="shared" si="279"/>
        <v>2012</v>
      </c>
      <c r="FW579" s="104">
        <f t="shared" si="280"/>
        <v>41</v>
      </c>
      <c r="FX579" s="35">
        <v>41190</v>
      </c>
      <c r="FY579" s="26">
        <v>0.84</v>
      </c>
      <c r="FZ579" s="94">
        <f t="shared" si="281"/>
        <v>3.36</v>
      </c>
      <c r="GA579" s="104"/>
      <c r="GB579" s="104"/>
      <c r="GE579" s="94"/>
      <c r="GF579" s="104">
        <f t="shared" si="282"/>
        <v>2015</v>
      </c>
      <c r="GG579" s="104">
        <f t="shared" si="283"/>
        <v>12</v>
      </c>
      <c r="GH579" s="35">
        <v>42083</v>
      </c>
      <c r="GI579" s="26">
        <v>3.256</v>
      </c>
      <c r="GJ579" s="94">
        <f t="shared" si="284"/>
        <v>6.512</v>
      </c>
      <c r="GK579" s="104"/>
      <c r="GL579" s="104"/>
      <c r="GO579" s="94"/>
    </row>
    <row r="580" spans="3:197">
      <c r="C580" s="80" t="str" cm="1">
        <f t="array" ref="C580">_xlfn.IFS(MONTH(D580)&lt;4,1,MONTH(D580)&lt;7,2,MONTH(D580)&lt;10,3,MONTH(D580)&gt;9,4)&amp;"Q"&amp;RIGHT(YEAR(D580),2)</f>
        <v>2Q18</v>
      </c>
      <c r="D580" s="81">
        <f t="shared" si="278"/>
        <v>43251</v>
      </c>
      <c r="E580" s="82">
        <f t="shared" si="275"/>
        <v>43234</v>
      </c>
      <c r="F580" s="83">
        <f t="shared" si="277"/>
        <v>1.11</v>
      </c>
      <c r="G580" s="83">
        <f t="shared" si="277"/>
        <v>1.02375</v>
      </c>
      <c r="H580" s="81"/>
      <c r="I580" s="146">
        <v>43234</v>
      </c>
      <c r="J580" s="147">
        <v>9.15</v>
      </c>
      <c r="K580" s="147">
        <v>8.37</v>
      </c>
      <c r="L580" s="147">
        <v>8.88</v>
      </c>
      <c r="M580" s="94" cm="1">
        <f t="array" ref="M580">INDEX($BV$29:$BV$1449,MATCH($D580,$BR$29:$BR$1449,0),)</f>
        <v>8.19</v>
      </c>
      <c r="N580" s="150">
        <f t="shared" si="274"/>
        <v>0</v>
      </c>
      <c r="O580" s="150">
        <f t="shared" si="276"/>
        <v>0</v>
      </c>
      <c r="P580" s="150">
        <f t="shared" si="285"/>
        <v>-0.000225174510245285</v>
      </c>
      <c r="Q580" s="89">
        <f t="shared" si="286"/>
        <v>0.0842490842490844</v>
      </c>
      <c r="AH580" s="90"/>
      <c r="AI580" s="85"/>
      <c r="AJ580" s="36"/>
      <c r="AK580" s="36"/>
      <c r="AL580" s="36"/>
      <c r="AM580" s="36"/>
      <c r="AN580" s="36"/>
      <c r="AO580" s="36"/>
      <c r="AP580" s="36"/>
      <c r="FV580" s="104">
        <f t="shared" si="279"/>
        <v>2012</v>
      </c>
      <c r="FW580" s="104">
        <f t="shared" si="280"/>
        <v>41</v>
      </c>
      <c r="FX580" s="35">
        <v>41191</v>
      </c>
      <c r="FY580" s="26">
        <v>0.84</v>
      </c>
      <c r="FZ580" s="94">
        <f t="shared" si="281"/>
        <v>3.36</v>
      </c>
      <c r="GA580" s="104"/>
      <c r="GB580" s="104"/>
      <c r="GE580" s="94"/>
      <c r="GF580" s="104">
        <f t="shared" si="282"/>
        <v>2015</v>
      </c>
      <c r="GG580" s="104">
        <f t="shared" si="283"/>
        <v>13</v>
      </c>
      <c r="GH580" s="35">
        <v>42086</v>
      </c>
      <c r="GI580" s="26">
        <v>3.248</v>
      </c>
      <c r="GJ580" s="94">
        <f t="shared" si="284"/>
        <v>6.496</v>
      </c>
      <c r="GK580" s="104"/>
      <c r="GL580" s="104"/>
      <c r="GO580" s="94"/>
    </row>
    <row r="581" spans="3:197">
      <c r="C581" s="80" t="str" cm="1">
        <f t="array" ref="C581">_xlfn.IFS(MONTH(D581)&lt;4,1,MONTH(D581)&lt;7,2,MONTH(D581)&lt;10,3,MONTH(D581)&gt;9,4)&amp;"Q"&amp;RIGHT(YEAR(D581),2)</f>
        <v>2Q18</v>
      </c>
      <c r="D581" s="81">
        <f t="shared" si="278"/>
        <v>43251</v>
      </c>
      <c r="E581" s="82">
        <f t="shared" si="275"/>
        <v>43235</v>
      </c>
      <c r="F581" s="83">
        <f t="shared" si="277"/>
        <v>1.107</v>
      </c>
      <c r="G581" s="83">
        <f t="shared" si="277"/>
        <v>1.02375</v>
      </c>
      <c r="H581" s="81"/>
      <c r="I581" s="146">
        <v>43235</v>
      </c>
      <c r="J581" s="147">
        <v>9.15</v>
      </c>
      <c r="K581" s="147">
        <v>8.35</v>
      </c>
      <c r="L581" s="147">
        <v>8.856</v>
      </c>
      <c r="M581" s="94" cm="1">
        <f t="array" ref="M581">INDEX($BV$29:$BV$1449,MATCH($D581,$BR$29:$BR$1449,0),)</f>
        <v>8.19</v>
      </c>
      <c r="N581" s="150">
        <f t="shared" si="274"/>
        <v>-0.00270270270270279</v>
      </c>
      <c r="O581" s="150">
        <f t="shared" si="276"/>
        <v>-0.00270270270270279</v>
      </c>
      <c r="P581" s="150">
        <f t="shared" si="285"/>
        <v>-0.00247803559360216</v>
      </c>
      <c r="Q581" s="89">
        <f t="shared" si="286"/>
        <v>0.0813186813186815</v>
      </c>
      <c r="AH581" s="90"/>
      <c r="AI581" s="85"/>
      <c r="AJ581" s="36"/>
      <c r="AK581" s="36"/>
      <c r="AL581" s="36"/>
      <c r="AM581" s="36"/>
      <c r="AN581" s="36"/>
      <c r="AO581" s="36"/>
      <c r="AP581" s="36"/>
      <c r="FV581" s="104">
        <f t="shared" si="279"/>
        <v>2012</v>
      </c>
      <c r="FW581" s="104">
        <f t="shared" si="280"/>
        <v>41</v>
      </c>
      <c r="FX581" s="35">
        <v>41192</v>
      </c>
      <c r="FY581" s="26">
        <v>0.84</v>
      </c>
      <c r="FZ581" s="94">
        <f t="shared" si="281"/>
        <v>3.36</v>
      </c>
      <c r="GA581" s="104"/>
      <c r="GB581" s="104"/>
      <c r="GE581" s="94"/>
      <c r="GF581" s="104">
        <f t="shared" si="282"/>
        <v>2015</v>
      </c>
      <c r="GG581" s="104">
        <f t="shared" si="283"/>
        <v>13</v>
      </c>
      <c r="GH581" s="35">
        <v>42087</v>
      </c>
      <c r="GI581" s="26">
        <v>3.235</v>
      </c>
      <c r="GJ581" s="94">
        <f t="shared" si="284"/>
        <v>6.47</v>
      </c>
      <c r="GK581" s="104"/>
      <c r="GL581" s="104"/>
      <c r="GO581" s="94"/>
    </row>
    <row r="582" spans="3:197">
      <c r="C582" s="80" t="str" cm="1">
        <f t="array" ref="C582">_xlfn.IFS(MONTH(D582)&lt;4,1,MONTH(D582)&lt;7,2,MONTH(D582)&lt;10,3,MONTH(D582)&gt;9,4)&amp;"Q"&amp;RIGHT(YEAR(D582),2)</f>
        <v>2Q18</v>
      </c>
      <c r="D582" s="81">
        <f t="shared" si="278"/>
        <v>43251</v>
      </c>
      <c r="E582" s="82">
        <f t="shared" si="275"/>
        <v>43236</v>
      </c>
      <c r="F582" s="83">
        <f t="shared" si="277"/>
        <v>1.1025</v>
      </c>
      <c r="G582" s="83">
        <f t="shared" si="277"/>
        <v>1.02375</v>
      </c>
      <c r="H582" s="81"/>
      <c r="I582" s="146">
        <v>43236</v>
      </c>
      <c r="J582" s="147">
        <v>9.15</v>
      </c>
      <c r="K582" s="147">
        <v>8.15</v>
      </c>
      <c r="L582" s="147">
        <v>8.82</v>
      </c>
      <c r="M582" s="94" cm="1">
        <f t="array" ref="M582">INDEX($BV$29:$BV$1449,MATCH($D582,$BR$29:$BR$1449,0),)</f>
        <v>8.19</v>
      </c>
      <c r="N582" s="150">
        <f t="shared" si="274"/>
        <v>-0.00406504065040647</v>
      </c>
      <c r="O582" s="150">
        <f t="shared" si="276"/>
        <v>-0.0067567567567568</v>
      </c>
      <c r="P582" s="150">
        <f t="shared" si="285"/>
        <v>-0.00653300292858749</v>
      </c>
      <c r="Q582" s="89">
        <f t="shared" si="286"/>
        <v>0.0769230769230771</v>
      </c>
      <c r="AH582" s="90"/>
      <c r="AI582" s="85"/>
      <c r="AJ582" s="36"/>
      <c r="AK582" s="36"/>
      <c r="AL582" s="36"/>
      <c r="AM582" s="36"/>
      <c r="AN582" s="36"/>
      <c r="AO582" s="36"/>
      <c r="AP582" s="36"/>
      <c r="FV582" s="104">
        <f t="shared" si="279"/>
        <v>2012</v>
      </c>
      <c r="FW582" s="104">
        <f t="shared" si="280"/>
        <v>41</v>
      </c>
      <c r="FX582" s="35">
        <v>41193</v>
      </c>
      <c r="FY582" s="26">
        <v>0.84</v>
      </c>
      <c r="FZ582" s="94">
        <f t="shared" si="281"/>
        <v>3.36</v>
      </c>
      <c r="GA582" s="104"/>
      <c r="GB582" s="104"/>
      <c r="GE582" s="94"/>
      <c r="GF582" s="104">
        <f t="shared" si="282"/>
        <v>2015</v>
      </c>
      <c r="GG582" s="104">
        <f t="shared" si="283"/>
        <v>13</v>
      </c>
      <c r="GH582" s="35">
        <v>42088</v>
      </c>
      <c r="GI582" s="26">
        <v>3.23</v>
      </c>
      <c r="GJ582" s="94">
        <f t="shared" si="284"/>
        <v>6.46</v>
      </c>
      <c r="GK582" s="104"/>
      <c r="GL582" s="104"/>
      <c r="GO582" s="94"/>
    </row>
    <row r="583" spans="3:197">
      <c r="C583" s="80" t="str" cm="1">
        <f t="array" ref="C583">_xlfn.IFS(MONTH(D583)&lt;4,1,MONTH(D583)&lt;7,2,MONTH(D583)&lt;10,3,MONTH(D583)&gt;9,4)&amp;"Q"&amp;RIGHT(YEAR(D583),2)</f>
        <v>2Q18</v>
      </c>
      <c r="D583" s="81">
        <f t="shared" si="278"/>
        <v>43251</v>
      </c>
      <c r="E583" s="82">
        <f t="shared" si="275"/>
        <v>43237</v>
      </c>
      <c r="F583" s="83">
        <f t="shared" si="277"/>
        <v>1.1</v>
      </c>
      <c r="G583" s="83">
        <f t="shared" si="277"/>
        <v>1.02375</v>
      </c>
      <c r="H583" s="81"/>
      <c r="I583" s="146">
        <v>43237</v>
      </c>
      <c r="J583" s="147">
        <v>9.15</v>
      </c>
      <c r="K583" s="147">
        <v>8</v>
      </c>
      <c r="L583" s="147">
        <v>8.8</v>
      </c>
      <c r="M583" s="94" cm="1">
        <f t="array" ref="M583">INDEX($BV$29:$BV$1449,MATCH($D583,$BR$29:$BR$1449,0),)</f>
        <v>8.19</v>
      </c>
      <c r="N583" s="150">
        <f t="shared" si="274"/>
        <v>-0.00226757369614505</v>
      </c>
      <c r="O583" s="150">
        <f t="shared" si="276"/>
        <v>-0.00900900900900903</v>
      </c>
      <c r="P583" s="150">
        <f t="shared" si="285"/>
        <v>-0.00878576255913488</v>
      </c>
      <c r="Q583" s="89">
        <f t="shared" si="286"/>
        <v>0.0744810744810747</v>
      </c>
      <c r="AH583" s="90"/>
      <c r="AI583" s="85"/>
      <c r="AJ583" s="36"/>
      <c r="AK583" s="36"/>
      <c r="AL583" s="36"/>
      <c r="AM583" s="36"/>
      <c r="AN583" s="36"/>
      <c r="AO583" s="36"/>
      <c r="AP583" s="36"/>
      <c r="FV583" s="104">
        <f t="shared" si="279"/>
        <v>2012</v>
      </c>
      <c r="FW583" s="104">
        <f t="shared" si="280"/>
        <v>41</v>
      </c>
      <c r="FX583" s="35">
        <v>41194</v>
      </c>
      <c r="FY583" s="26">
        <v>0.83</v>
      </c>
      <c r="FZ583" s="94">
        <f t="shared" si="281"/>
        <v>3.32</v>
      </c>
      <c r="GA583" s="104"/>
      <c r="GB583" s="104"/>
      <c r="GE583" s="94"/>
      <c r="GF583" s="104">
        <f t="shared" si="282"/>
        <v>2015</v>
      </c>
      <c r="GG583" s="104">
        <f t="shared" si="283"/>
        <v>13</v>
      </c>
      <c r="GH583" s="35">
        <v>42089</v>
      </c>
      <c r="GI583" s="26">
        <v>3.218</v>
      </c>
      <c r="GJ583" s="94">
        <f t="shared" si="284"/>
        <v>6.436</v>
      </c>
      <c r="GK583" s="104"/>
      <c r="GL583" s="104"/>
      <c r="GO583" s="94"/>
    </row>
    <row r="584" spans="3:197">
      <c r="C584" s="80" t="str" cm="1">
        <f t="array" ref="C584">_xlfn.IFS(MONTH(D584)&lt;4,1,MONTH(D584)&lt;7,2,MONTH(D584)&lt;10,3,MONTH(D584)&gt;9,4)&amp;"Q"&amp;RIGHT(YEAR(D584),2)</f>
        <v>2Q18</v>
      </c>
      <c r="D584" s="81">
        <f t="shared" si="278"/>
        <v>43251</v>
      </c>
      <c r="E584" s="82">
        <f t="shared" si="275"/>
        <v>43238</v>
      </c>
      <c r="F584" s="83">
        <f t="shared" si="277"/>
        <v>1.1</v>
      </c>
      <c r="G584" s="83">
        <f t="shared" si="277"/>
        <v>1.02375</v>
      </c>
      <c r="H584" s="81"/>
      <c r="I584" s="146">
        <v>43238</v>
      </c>
      <c r="J584" s="147">
        <v>9.15</v>
      </c>
      <c r="K584" s="147">
        <v>8</v>
      </c>
      <c r="L584" s="147">
        <v>8.8</v>
      </c>
      <c r="M584" s="94" cm="1">
        <f t="array" ref="M584">INDEX($BV$29:$BV$1449,MATCH($D584,$BR$29:$BR$1449,0),)</f>
        <v>8.19</v>
      </c>
      <c r="N584" s="150">
        <f t="shared" si="274"/>
        <v>0</v>
      </c>
      <c r="O584" s="150">
        <f t="shared" si="276"/>
        <v>-0.00900900900900903</v>
      </c>
      <c r="P584" s="150">
        <f t="shared" si="285"/>
        <v>-0.00878576255913488</v>
      </c>
      <c r="Q584" s="89">
        <f t="shared" si="286"/>
        <v>0.0744810744810747</v>
      </c>
      <c r="AH584" s="90"/>
      <c r="AI584" s="85"/>
      <c r="AJ584" s="36"/>
      <c r="AK584" s="36"/>
      <c r="AL584" s="36"/>
      <c r="AM584" s="36"/>
      <c r="AN584" s="36"/>
      <c r="AO584" s="36"/>
      <c r="AP584" s="36"/>
      <c r="FV584" s="104">
        <f t="shared" si="279"/>
        <v>2012</v>
      </c>
      <c r="FW584" s="104">
        <f t="shared" si="280"/>
        <v>41</v>
      </c>
      <c r="FX584" s="35">
        <v>41195</v>
      </c>
      <c r="FY584" s="26">
        <v>0.83</v>
      </c>
      <c r="FZ584" s="94">
        <f t="shared" si="281"/>
        <v>3.32</v>
      </c>
      <c r="GA584" s="104"/>
      <c r="GB584" s="104"/>
      <c r="GE584" s="94"/>
      <c r="GF584" s="104">
        <f t="shared" si="282"/>
        <v>2015</v>
      </c>
      <c r="GG584" s="104">
        <f t="shared" si="283"/>
        <v>13</v>
      </c>
      <c r="GH584" s="35">
        <v>42090</v>
      </c>
      <c r="GI584" s="26">
        <v>3.218</v>
      </c>
      <c r="GJ584" s="94">
        <f t="shared" si="284"/>
        <v>6.436</v>
      </c>
      <c r="GK584" s="104"/>
      <c r="GL584" s="104"/>
      <c r="GO584" s="94"/>
    </row>
    <row r="585" spans="3:197">
      <c r="C585" s="80" t="str" cm="1">
        <f t="array" ref="C585">_xlfn.IFS(MONTH(D585)&lt;4,1,MONTH(D585)&lt;7,2,MONTH(D585)&lt;10,3,MONTH(D585)&gt;9,4)&amp;"Q"&amp;RIGHT(YEAR(D585),2)</f>
        <v>2Q18</v>
      </c>
      <c r="D585" s="81">
        <f t="shared" si="278"/>
        <v>43251</v>
      </c>
      <c r="E585" s="82">
        <f t="shared" si="275"/>
        <v>43241</v>
      </c>
      <c r="F585" s="83">
        <f t="shared" si="277"/>
        <v>1.1</v>
      </c>
      <c r="G585" s="83">
        <f t="shared" si="277"/>
        <v>1.02375</v>
      </c>
      <c r="H585" s="81"/>
      <c r="I585" s="146">
        <v>43241</v>
      </c>
      <c r="J585" s="147">
        <v>9.12</v>
      </c>
      <c r="K585" s="147">
        <v>8</v>
      </c>
      <c r="L585" s="147">
        <v>8.8</v>
      </c>
      <c r="M585" s="94" cm="1">
        <f t="array" ref="M585">INDEX($BV$29:$BV$1449,MATCH($D585,$BR$29:$BR$1449,0),)</f>
        <v>8.19</v>
      </c>
      <c r="N585" s="150">
        <f t="shared" si="274"/>
        <v>0</v>
      </c>
      <c r="O585" s="150">
        <f t="shared" si="276"/>
        <v>-0.00900900900900903</v>
      </c>
      <c r="P585" s="150">
        <f t="shared" si="285"/>
        <v>-0.00900900900900903</v>
      </c>
      <c r="Q585" s="89">
        <f t="shared" si="286"/>
        <v>0.0744810744810747</v>
      </c>
      <c r="AH585" s="90"/>
      <c r="AI585" s="85"/>
      <c r="AJ585" s="36"/>
      <c r="AK585" s="36"/>
      <c r="AL585" s="36"/>
      <c r="AM585" s="36"/>
      <c r="AN585" s="36"/>
      <c r="AO585" s="36"/>
      <c r="AP585" s="36"/>
      <c r="FV585" s="104">
        <f t="shared" si="279"/>
        <v>2012</v>
      </c>
      <c r="FW585" s="104">
        <f t="shared" si="280"/>
        <v>42</v>
      </c>
      <c r="FX585" s="35">
        <v>41196</v>
      </c>
      <c r="FY585" s="26">
        <v>0.83</v>
      </c>
      <c r="FZ585" s="94">
        <f t="shared" si="281"/>
        <v>3.32</v>
      </c>
      <c r="GA585" s="104"/>
      <c r="GB585" s="104"/>
      <c r="GE585" s="94"/>
      <c r="GF585" s="104">
        <f t="shared" si="282"/>
        <v>2015</v>
      </c>
      <c r="GG585" s="104">
        <f t="shared" si="283"/>
        <v>14</v>
      </c>
      <c r="GH585" s="35">
        <v>42093</v>
      </c>
      <c r="GI585" s="26">
        <v>3.218</v>
      </c>
      <c r="GJ585" s="94">
        <f t="shared" si="284"/>
        <v>6.436</v>
      </c>
      <c r="GK585" s="104"/>
      <c r="GL585" s="104"/>
      <c r="GO585" s="94"/>
    </row>
    <row r="586" spans="3:197">
      <c r="C586" s="80" t="str" cm="1">
        <f t="array" ref="C586">_xlfn.IFS(MONTH(D586)&lt;4,1,MONTH(D586)&lt;7,2,MONTH(D586)&lt;10,3,MONTH(D586)&gt;9,4)&amp;"Q"&amp;RIGHT(YEAR(D586),2)</f>
        <v>2Q18</v>
      </c>
      <c r="D586" s="81">
        <f t="shared" si="278"/>
        <v>43251</v>
      </c>
      <c r="E586" s="82">
        <f t="shared" si="275"/>
        <v>43242</v>
      </c>
      <c r="F586" s="83">
        <f t="shared" si="277"/>
        <v>1.0915</v>
      </c>
      <c r="G586" s="83">
        <f t="shared" si="277"/>
        <v>1.02375</v>
      </c>
      <c r="H586" s="81"/>
      <c r="I586" s="146">
        <v>43242</v>
      </c>
      <c r="J586" s="147">
        <v>9.1</v>
      </c>
      <c r="K586" s="147">
        <v>8.05</v>
      </c>
      <c r="L586" s="147">
        <v>8.732</v>
      </c>
      <c r="M586" s="94" cm="1">
        <f t="array" ref="M586">INDEX($BV$29:$BV$1449,MATCH($D586,$BR$29:$BR$1449,0),)</f>
        <v>8.19</v>
      </c>
      <c r="N586" s="150">
        <f t="shared" si="274"/>
        <v>-0.00772727272727292</v>
      </c>
      <c r="O586" s="150">
        <f t="shared" si="276"/>
        <v>-0.0140018066847336</v>
      </c>
      <c r="P586" s="150">
        <f t="shared" si="285"/>
        <v>-0.0166666666666668</v>
      </c>
      <c r="Q586" s="89">
        <f t="shared" si="286"/>
        <v>0.0661782661782662</v>
      </c>
      <c r="AH586" s="90"/>
      <c r="AI586" s="85"/>
      <c r="AJ586" s="36"/>
      <c r="AK586" s="36"/>
      <c r="AL586" s="36"/>
      <c r="AM586" s="36"/>
      <c r="AN586" s="36"/>
      <c r="AO586" s="36"/>
      <c r="AP586" s="36"/>
      <c r="FV586" s="104">
        <f t="shared" si="279"/>
        <v>2012</v>
      </c>
      <c r="FW586" s="104">
        <f t="shared" si="280"/>
        <v>42</v>
      </c>
      <c r="FX586" s="35">
        <v>41197</v>
      </c>
      <c r="FY586" s="26">
        <v>0.83</v>
      </c>
      <c r="FZ586" s="94">
        <f t="shared" si="281"/>
        <v>3.32</v>
      </c>
      <c r="GA586" s="104"/>
      <c r="GB586" s="104"/>
      <c r="GE586" s="94"/>
      <c r="GF586" s="104">
        <f t="shared" si="282"/>
        <v>2015</v>
      </c>
      <c r="GG586" s="104">
        <f t="shared" si="283"/>
        <v>14</v>
      </c>
      <c r="GH586" s="35">
        <v>42094</v>
      </c>
      <c r="GI586" s="26">
        <v>3.208</v>
      </c>
      <c r="GJ586" s="94">
        <f t="shared" si="284"/>
        <v>6.416</v>
      </c>
      <c r="GK586" s="104"/>
      <c r="GL586" s="104"/>
      <c r="GO586" s="94"/>
    </row>
    <row r="587" spans="3:197">
      <c r="C587" s="80" t="str" cm="1">
        <f t="array" ref="C587">_xlfn.IFS(MONTH(D587)&lt;4,1,MONTH(D587)&lt;7,2,MONTH(D587)&lt;10,3,MONTH(D587)&gt;9,4)&amp;"Q"&amp;RIGHT(YEAR(D587),2)</f>
        <v>2Q18</v>
      </c>
      <c r="D587" s="81">
        <f t="shared" si="278"/>
        <v>43251</v>
      </c>
      <c r="E587" s="82">
        <f t="shared" si="275"/>
        <v>43243</v>
      </c>
      <c r="F587" s="83">
        <f t="shared" si="277"/>
        <v>1.090125</v>
      </c>
      <c r="G587" s="83">
        <f t="shared" si="277"/>
        <v>1.02375</v>
      </c>
      <c r="H587" s="81"/>
      <c r="I587" s="146">
        <v>43243</v>
      </c>
      <c r="J587" s="147">
        <v>9.1</v>
      </c>
      <c r="K587" s="147">
        <v>8.13</v>
      </c>
      <c r="L587" s="147">
        <v>8.721</v>
      </c>
      <c r="M587" s="94" cm="1">
        <f t="array" ref="M587">INDEX($BV$29:$BV$1449,MATCH($D587,$BR$29:$BR$1449,0),)</f>
        <v>8.19</v>
      </c>
      <c r="N587" s="150">
        <f t="shared" si="274"/>
        <v>-0.00125973431058168</v>
      </c>
      <c r="O587" s="150">
        <f t="shared" si="276"/>
        <v>-0.0112244897959184</v>
      </c>
      <c r="P587" s="150">
        <f t="shared" si="285"/>
        <v>-0.0179054054054055</v>
      </c>
      <c r="Q587" s="89">
        <f t="shared" si="286"/>
        <v>0.0648351648351648</v>
      </c>
      <c r="AH587" s="90"/>
      <c r="AI587" s="85"/>
      <c r="AJ587" s="36"/>
      <c r="AK587" s="36"/>
      <c r="AL587" s="36"/>
      <c r="AM587" s="36"/>
      <c r="AN587" s="36"/>
      <c r="AO587" s="36"/>
      <c r="AP587" s="36"/>
      <c r="FV587" s="104">
        <f t="shared" si="279"/>
        <v>2012</v>
      </c>
      <c r="FW587" s="104">
        <f t="shared" si="280"/>
        <v>42</v>
      </c>
      <c r="FX587" s="35">
        <v>41198</v>
      </c>
      <c r="FY587" s="26">
        <v>0.83</v>
      </c>
      <c r="FZ587" s="94">
        <f t="shared" si="281"/>
        <v>3.32</v>
      </c>
      <c r="GA587" s="104"/>
      <c r="GB587" s="104"/>
      <c r="GE587" s="94"/>
      <c r="GF587" s="104">
        <f t="shared" si="282"/>
        <v>2015</v>
      </c>
      <c r="GG587" s="104">
        <f t="shared" si="283"/>
        <v>14</v>
      </c>
      <c r="GH587" s="35">
        <v>42095</v>
      </c>
      <c r="GI587" s="26">
        <v>3.199</v>
      </c>
      <c r="GJ587" s="94">
        <f t="shared" si="284"/>
        <v>6.398</v>
      </c>
      <c r="GK587" s="104"/>
      <c r="GL587" s="104"/>
      <c r="GO587" s="94"/>
    </row>
    <row r="588" spans="3:197">
      <c r="C588" s="80" t="str" cm="1">
        <f t="array" ref="C588">_xlfn.IFS(MONTH(D588)&lt;4,1,MONTH(D588)&lt;7,2,MONTH(D588)&lt;10,3,MONTH(D588)&gt;9,4)&amp;"Q"&amp;RIGHT(YEAR(D588),2)</f>
        <v>2Q18</v>
      </c>
      <c r="D588" s="81">
        <f t="shared" si="278"/>
        <v>43251</v>
      </c>
      <c r="E588" s="82">
        <f t="shared" si="275"/>
        <v>43244</v>
      </c>
      <c r="F588" s="83">
        <f t="shared" si="277"/>
        <v>1.0865</v>
      </c>
      <c r="G588" s="83">
        <f t="shared" si="277"/>
        <v>1.02375</v>
      </c>
      <c r="H588" s="81"/>
      <c r="I588" s="146">
        <v>43244</v>
      </c>
      <c r="J588" s="147">
        <v>9</v>
      </c>
      <c r="K588" s="147">
        <v>8.05</v>
      </c>
      <c r="L588" s="147">
        <v>8.692</v>
      </c>
      <c r="M588" s="94" cm="1">
        <f t="array" ref="M588">INDEX($BV$29:$BV$1449,MATCH($D588,$BR$29:$BR$1449,0),)</f>
        <v>8.19</v>
      </c>
      <c r="N588" s="150">
        <f t="shared" si="274"/>
        <v>-0.0033253067308795</v>
      </c>
      <c r="O588" s="150">
        <f t="shared" si="276"/>
        <v>-0.0122727272727273</v>
      </c>
      <c r="P588" s="150">
        <f t="shared" si="285"/>
        <v>-0.0211711711711713</v>
      </c>
      <c r="Q588" s="89">
        <f t="shared" si="286"/>
        <v>0.0612942612942613</v>
      </c>
      <c r="AH588" s="90"/>
      <c r="AI588" s="85"/>
      <c r="AJ588" s="36"/>
      <c r="AK588" s="36"/>
      <c r="AL588" s="36"/>
      <c r="AM588" s="36"/>
      <c r="AN588" s="36"/>
      <c r="AO588" s="36"/>
      <c r="AP588" s="36"/>
      <c r="FV588" s="104">
        <f t="shared" si="279"/>
        <v>2012</v>
      </c>
      <c r="FW588" s="104">
        <f t="shared" si="280"/>
        <v>42</v>
      </c>
      <c r="FX588" s="35">
        <v>41199</v>
      </c>
      <c r="FY588" s="26">
        <v>0.83</v>
      </c>
      <c r="FZ588" s="94">
        <f t="shared" si="281"/>
        <v>3.32</v>
      </c>
      <c r="GA588" s="104"/>
      <c r="GB588" s="104"/>
      <c r="GE588" s="94"/>
      <c r="GF588" s="104">
        <f t="shared" si="282"/>
        <v>2015</v>
      </c>
      <c r="GG588" s="104">
        <f t="shared" si="283"/>
        <v>14</v>
      </c>
      <c r="GH588" s="35">
        <v>42096</v>
      </c>
      <c r="GI588" s="26">
        <v>3.198</v>
      </c>
      <c r="GJ588" s="94">
        <f t="shared" si="284"/>
        <v>6.396</v>
      </c>
      <c r="GK588" s="104"/>
      <c r="GL588" s="104"/>
      <c r="GO588" s="94"/>
    </row>
    <row r="589" spans="3:197">
      <c r="C589" s="80" t="str" cm="1">
        <f t="array" ref="C589">_xlfn.IFS(MONTH(D589)&lt;4,1,MONTH(D589)&lt;7,2,MONTH(D589)&lt;10,3,MONTH(D589)&gt;9,4)&amp;"Q"&amp;RIGHT(YEAR(D589),2)</f>
        <v>2Q18</v>
      </c>
      <c r="D589" s="81">
        <f t="shared" si="278"/>
        <v>43251</v>
      </c>
      <c r="E589" s="82">
        <f t="shared" si="275"/>
        <v>43245</v>
      </c>
      <c r="F589" s="83">
        <f t="shared" si="277"/>
        <v>1.083625</v>
      </c>
      <c r="G589" s="83">
        <f t="shared" si="277"/>
        <v>1.02375</v>
      </c>
      <c r="H589" s="81"/>
      <c r="I589" s="146">
        <v>43245</v>
      </c>
      <c r="J589" s="147">
        <v>9</v>
      </c>
      <c r="K589" s="147">
        <v>8.05</v>
      </c>
      <c r="L589" s="147">
        <v>8.669</v>
      </c>
      <c r="M589" s="94" cm="1">
        <f t="array" ref="M589">INDEX($BV$29:$BV$1449,MATCH($D589,$BR$29:$BR$1449,0),)</f>
        <v>8.19</v>
      </c>
      <c r="N589" s="150">
        <f t="shared" si="274"/>
        <v>-0.00264611136677406</v>
      </c>
      <c r="O589" s="150">
        <f t="shared" si="276"/>
        <v>-0.0148863636363636</v>
      </c>
      <c r="P589" s="150">
        <f t="shared" si="285"/>
        <v>-0.0237612612612613</v>
      </c>
      <c r="Q589" s="89">
        <f t="shared" si="286"/>
        <v>0.0584859584859585</v>
      </c>
      <c r="AH589" s="90"/>
      <c r="AI589" s="85"/>
      <c r="AJ589" s="36"/>
      <c r="AK589" s="36"/>
      <c r="AL589" s="36"/>
      <c r="AM589" s="36"/>
      <c r="AN589" s="36"/>
      <c r="AO589" s="36"/>
      <c r="AP589" s="36"/>
      <c r="FV589" s="104">
        <f t="shared" si="279"/>
        <v>2012</v>
      </c>
      <c r="FW589" s="104">
        <f t="shared" si="280"/>
        <v>42</v>
      </c>
      <c r="FX589" s="35">
        <v>41200</v>
      </c>
      <c r="FY589" s="26">
        <v>0.83</v>
      </c>
      <c r="FZ589" s="94">
        <f t="shared" si="281"/>
        <v>3.32</v>
      </c>
      <c r="GA589" s="104"/>
      <c r="GB589" s="104"/>
      <c r="GE589" s="94"/>
      <c r="GF589" s="104">
        <f t="shared" si="282"/>
        <v>2015</v>
      </c>
      <c r="GG589" s="104">
        <f t="shared" si="283"/>
        <v>14</v>
      </c>
      <c r="GH589" s="35">
        <v>42097</v>
      </c>
      <c r="GI589" s="26">
        <v>3.197</v>
      </c>
      <c r="GJ589" s="94">
        <f t="shared" si="284"/>
        <v>6.394</v>
      </c>
      <c r="GK589" s="104"/>
      <c r="GL589" s="104"/>
      <c r="GO589" s="94"/>
    </row>
    <row r="590" spans="3:197">
      <c r="C590" s="80" t="str" cm="1">
        <f t="array" ref="C590">_xlfn.IFS(MONTH(D590)&lt;4,1,MONTH(D590)&lt;7,2,MONTH(D590)&lt;10,3,MONTH(D590)&gt;9,4)&amp;"Q"&amp;RIGHT(YEAR(D590),2)</f>
        <v>2Q18</v>
      </c>
      <c r="D590" s="81">
        <f t="shared" si="278"/>
        <v>43251</v>
      </c>
      <c r="E590" s="82">
        <f t="shared" si="275"/>
        <v>43248</v>
      </c>
      <c r="F590" s="83">
        <f t="shared" si="277"/>
        <v>1.083625</v>
      </c>
      <c r="G590" s="83">
        <f t="shared" si="277"/>
        <v>1.02375</v>
      </c>
      <c r="H590" s="81"/>
      <c r="I590" s="146">
        <v>43248</v>
      </c>
      <c r="J590" s="147">
        <v>9</v>
      </c>
      <c r="K590" s="147">
        <v>8.05</v>
      </c>
      <c r="L590" s="147">
        <v>8.669</v>
      </c>
      <c r="M590" s="94" cm="1">
        <f t="array" ref="M590">INDEX($BV$29:$BV$1449,MATCH($D590,$BR$29:$BR$1449,0),)</f>
        <v>8.19</v>
      </c>
      <c r="N590" s="150">
        <f t="shared" si="274"/>
        <v>0</v>
      </c>
      <c r="O590" s="150">
        <f t="shared" si="276"/>
        <v>-0.0148863636363636</v>
      </c>
      <c r="P590" s="150">
        <f t="shared" si="285"/>
        <v>-0.0237612612612613</v>
      </c>
      <c r="Q590" s="89">
        <f t="shared" si="286"/>
        <v>0.0584859584859585</v>
      </c>
      <c r="AH590" s="90"/>
      <c r="AI590" s="85"/>
      <c r="AJ590" s="36"/>
      <c r="AK590" s="36"/>
      <c r="AL590" s="36"/>
      <c r="AM590" s="36"/>
      <c r="AN590" s="36"/>
      <c r="AO590" s="36"/>
      <c r="AP590" s="36"/>
      <c r="FV590" s="104">
        <f t="shared" si="279"/>
        <v>2012</v>
      </c>
      <c r="FW590" s="104">
        <f t="shared" si="280"/>
        <v>42</v>
      </c>
      <c r="FX590" s="35">
        <v>41201</v>
      </c>
      <c r="FY590" s="26">
        <v>0.83</v>
      </c>
      <c r="FZ590" s="94">
        <f t="shared" si="281"/>
        <v>3.32</v>
      </c>
      <c r="GA590" s="104"/>
      <c r="GB590" s="104"/>
      <c r="GE590" s="94"/>
      <c r="GF590" s="104">
        <f t="shared" si="282"/>
        <v>2015</v>
      </c>
      <c r="GG590" s="104">
        <f t="shared" si="283"/>
        <v>15</v>
      </c>
      <c r="GH590" s="35">
        <v>42101</v>
      </c>
      <c r="GI590" s="26">
        <v>3.197</v>
      </c>
      <c r="GJ590" s="94">
        <f t="shared" si="284"/>
        <v>6.394</v>
      </c>
      <c r="GK590" s="104"/>
      <c r="GL590" s="104"/>
      <c r="GO590" s="94"/>
    </row>
    <row r="591" spans="3:197">
      <c r="C591" s="80" t="str" cm="1">
        <f t="array" ref="C591">_xlfn.IFS(MONTH(D591)&lt;4,1,MONTH(D591)&lt;7,2,MONTH(D591)&lt;10,3,MONTH(D591)&gt;9,4)&amp;"Q"&amp;RIGHT(YEAR(D591),2)</f>
        <v>2Q18</v>
      </c>
      <c r="D591" s="81">
        <f t="shared" si="278"/>
        <v>43251</v>
      </c>
      <c r="E591" s="82">
        <f t="shared" si="275"/>
        <v>43249</v>
      </c>
      <c r="F591" s="83">
        <f t="shared" si="277"/>
        <v>1.078875</v>
      </c>
      <c r="G591" s="83">
        <f t="shared" si="277"/>
        <v>1.02375</v>
      </c>
      <c r="H591" s="81"/>
      <c r="I591" s="146">
        <v>43249</v>
      </c>
      <c r="J591" s="147">
        <v>9</v>
      </c>
      <c r="K591" s="147">
        <v>8.05</v>
      </c>
      <c r="L591" s="147">
        <v>8.631</v>
      </c>
      <c r="M591" s="94" cm="1">
        <f t="array" ref="M591">INDEX($BV$29:$BV$1449,MATCH($D591,$BR$29:$BR$1449,0),)</f>
        <v>8.19</v>
      </c>
      <c r="N591" s="150">
        <f t="shared" si="274"/>
        <v>-0.00438343522897688</v>
      </c>
      <c r="O591" s="150">
        <f t="shared" si="276"/>
        <v>-0.0115666513971597</v>
      </c>
      <c r="P591" s="150">
        <f t="shared" si="285"/>
        <v>-0.0254065040650406</v>
      </c>
      <c r="Q591" s="89">
        <f t="shared" si="286"/>
        <v>0.0538461538461539</v>
      </c>
      <c r="AH591" s="90"/>
      <c r="AI591" s="85"/>
      <c r="AJ591" s="36"/>
      <c r="AK591" s="36"/>
      <c r="AL591" s="36"/>
      <c r="AM591" s="36"/>
      <c r="AN591" s="36"/>
      <c r="AO591" s="36"/>
      <c r="AP591" s="36"/>
      <c r="FV591" s="104">
        <f t="shared" si="279"/>
        <v>2012</v>
      </c>
      <c r="FW591" s="104">
        <f t="shared" si="280"/>
        <v>42</v>
      </c>
      <c r="FX591" s="35">
        <v>41202</v>
      </c>
      <c r="FY591" s="26">
        <v>0.83</v>
      </c>
      <c r="FZ591" s="94">
        <f t="shared" si="281"/>
        <v>3.32</v>
      </c>
      <c r="GA591" s="104"/>
      <c r="GB591" s="104"/>
      <c r="GE591" s="94"/>
      <c r="GF591" s="104">
        <f t="shared" si="282"/>
        <v>2015</v>
      </c>
      <c r="GG591" s="104">
        <f t="shared" si="283"/>
        <v>15</v>
      </c>
      <c r="GH591" s="35">
        <v>42102</v>
      </c>
      <c r="GI591" s="26">
        <v>3.191</v>
      </c>
      <c r="GJ591" s="94">
        <f t="shared" si="284"/>
        <v>6.382</v>
      </c>
      <c r="GK591" s="104"/>
      <c r="GL591" s="104"/>
      <c r="GO591" s="94"/>
    </row>
    <row r="592" spans="3:197">
      <c r="C592" s="80" t="str" cm="1">
        <f t="array" ref="C592">_xlfn.IFS(MONTH(D592)&lt;4,1,MONTH(D592)&lt;7,2,MONTH(D592)&lt;10,3,MONTH(D592)&gt;9,4)&amp;"Q"&amp;RIGHT(YEAR(D592),2)</f>
        <v>2Q18</v>
      </c>
      <c r="D592" s="81">
        <f t="shared" si="278"/>
        <v>43251</v>
      </c>
      <c r="E592" s="82">
        <f t="shared" si="275"/>
        <v>43250</v>
      </c>
      <c r="F592" s="83">
        <f t="shared" si="277"/>
        <v>1.078875</v>
      </c>
      <c r="G592" s="83">
        <f t="shared" si="277"/>
        <v>1.02375</v>
      </c>
      <c r="H592" s="81"/>
      <c r="I592" s="146">
        <v>43250</v>
      </c>
      <c r="J592" s="147">
        <v>9</v>
      </c>
      <c r="K592" s="147">
        <v>8.05</v>
      </c>
      <c r="L592" s="147">
        <v>8.631</v>
      </c>
      <c r="M592" s="94" cm="1">
        <f t="array" ref="M592">INDEX($BV$29:$BV$1449,MATCH($D592,$BR$29:$BR$1449,0),)</f>
        <v>8.19</v>
      </c>
      <c r="N592" s="150">
        <f t="shared" si="274"/>
        <v>0</v>
      </c>
      <c r="O592" s="150">
        <f t="shared" si="276"/>
        <v>-0.0103199174406604</v>
      </c>
      <c r="P592" s="150">
        <f t="shared" si="285"/>
        <v>-0.0214285714285715</v>
      </c>
      <c r="Q592" s="89">
        <f t="shared" si="286"/>
        <v>0.0538461538461539</v>
      </c>
      <c r="AH592" s="90"/>
      <c r="AI592" s="85"/>
      <c r="AJ592" s="36"/>
      <c r="AK592" s="36"/>
      <c r="AL592" s="36"/>
      <c r="AM592" s="36"/>
      <c r="AN592" s="36"/>
      <c r="AO592" s="36"/>
      <c r="AP592" s="36"/>
      <c r="FV592" s="104">
        <f t="shared" si="279"/>
        <v>2012</v>
      </c>
      <c r="FW592" s="104">
        <f t="shared" si="280"/>
        <v>43</v>
      </c>
      <c r="FX592" s="35">
        <v>41203</v>
      </c>
      <c r="FY592" s="26">
        <v>0.83</v>
      </c>
      <c r="FZ592" s="94">
        <f t="shared" si="281"/>
        <v>3.32</v>
      </c>
      <c r="GA592" s="104"/>
      <c r="GB592" s="104"/>
      <c r="GE592" s="94"/>
      <c r="GF592" s="104">
        <f t="shared" si="282"/>
        <v>2015</v>
      </c>
      <c r="GG592" s="104">
        <f t="shared" si="283"/>
        <v>15</v>
      </c>
      <c r="GH592" s="35">
        <v>42103</v>
      </c>
      <c r="GI592" s="26">
        <v>3.178</v>
      </c>
      <c r="GJ592" s="94">
        <f t="shared" si="284"/>
        <v>6.356</v>
      </c>
      <c r="GK592" s="104"/>
      <c r="GL592" s="104"/>
      <c r="GO592" s="94"/>
    </row>
    <row r="593" spans="3:197">
      <c r="C593" s="80" t="str" cm="1">
        <f t="array" ref="C593">_xlfn.IFS(MONTH(D593)&lt;4,1,MONTH(D593)&lt;7,2,MONTH(D593)&lt;10,3,MONTH(D593)&gt;9,4)&amp;"Q"&amp;RIGHT(YEAR(D593),2)</f>
        <v>2Q18</v>
      </c>
      <c r="D593" s="81">
        <f t="shared" si="278"/>
        <v>43251</v>
      </c>
      <c r="E593" s="82">
        <f t="shared" si="275"/>
        <v>43251</v>
      </c>
      <c r="F593" s="83">
        <f t="shared" si="277"/>
        <v>1.078375</v>
      </c>
      <c r="G593" s="83">
        <f t="shared" si="277"/>
        <v>1.02375</v>
      </c>
      <c r="H593" s="81"/>
      <c r="I593" s="146">
        <v>43251</v>
      </c>
      <c r="J593" s="147">
        <v>9</v>
      </c>
      <c r="K593" s="147">
        <v>8.05</v>
      </c>
      <c r="L593" s="147">
        <v>8.627</v>
      </c>
      <c r="M593" s="94" cm="1">
        <f t="array" ref="M593">INDEX($BV$29:$BV$1449,MATCH($D593,$BR$29:$BR$1449,0),)</f>
        <v>8.19</v>
      </c>
      <c r="N593" s="150">
        <f t="shared" si="274"/>
        <v>-0.000463445718920097</v>
      </c>
      <c r="O593" s="150">
        <f t="shared" si="276"/>
        <v>-0.007478140819144</v>
      </c>
      <c r="P593" s="150">
        <f t="shared" si="285"/>
        <v>-0.0196590909090909</v>
      </c>
      <c r="Q593" s="89">
        <f t="shared" si="286"/>
        <v>0.0533577533577536</v>
      </c>
      <c r="AH593" s="90"/>
      <c r="AI593" s="85"/>
      <c r="AJ593" s="36"/>
      <c r="AK593" s="36"/>
      <c r="AL593" s="36"/>
      <c r="AM593" s="36"/>
      <c r="AN593" s="36"/>
      <c r="AO593" s="36"/>
      <c r="AP593" s="36"/>
      <c r="FV593" s="104">
        <f t="shared" si="279"/>
        <v>2012</v>
      </c>
      <c r="FW593" s="104">
        <f t="shared" si="280"/>
        <v>43</v>
      </c>
      <c r="FX593" s="35">
        <v>41204</v>
      </c>
      <c r="FY593" s="26">
        <v>0.83</v>
      </c>
      <c r="FZ593" s="94">
        <f t="shared" si="281"/>
        <v>3.32</v>
      </c>
      <c r="GA593" s="104"/>
      <c r="GB593" s="104"/>
      <c r="GE593" s="94"/>
      <c r="GF593" s="104">
        <f t="shared" si="282"/>
        <v>2015</v>
      </c>
      <c r="GG593" s="104">
        <f t="shared" si="283"/>
        <v>15</v>
      </c>
      <c r="GH593" s="35">
        <v>42104</v>
      </c>
      <c r="GI593" s="26">
        <v>3.17</v>
      </c>
      <c r="GJ593" s="94">
        <f t="shared" si="284"/>
        <v>6.34</v>
      </c>
      <c r="GK593" s="104"/>
      <c r="GL593" s="104"/>
      <c r="GO593" s="94"/>
    </row>
    <row r="594" spans="3:197">
      <c r="C594" s="80" t="str" cm="1">
        <f t="array" ref="C594">_xlfn.IFS(MONTH(D594)&lt;4,1,MONTH(D594)&lt;7,2,MONTH(D594)&lt;10,3,MONTH(D594)&gt;9,4)&amp;"Q"&amp;RIGHT(YEAR(D594),2)</f>
        <v>2Q18</v>
      </c>
      <c r="D594" s="81">
        <f t="shared" si="278"/>
        <v>43281</v>
      </c>
      <c r="E594" s="82">
        <f t="shared" si="275"/>
        <v>43252</v>
      </c>
      <c r="F594" s="83">
        <f t="shared" si="277"/>
        <v>1.07825</v>
      </c>
      <c r="G594" s="83">
        <f t="shared" si="277"/>
        <v>1.02375</v>
      </c>
      <c r="H594" s="81"/>
      <c r="I594" s="146">
        <v>43252</v>
      </c>
      <c r="J594" s="147">
        <v>9</v>
      </c>
      <c r="K594" s="147">
        <v>8.05</v>
      </c>
      <c r="L594" s="147">
        <v>8.626</v>
      </c>
      <c r="M594" s="94" cm="1">
        <f t="array" ref="M594">INDEX($BV$29:$BV$1449,MATCH($D594,$BR$29:$BR$1449,0),)</f>
        <v>8.19</v>
      </c>
      <c r="N594" s="150">
        <f t="shared" si="274"/>
        <v>-0.000115915150110224</v>
      </c>
      <c r="O594" s="150">
        <f t="shared" si="276"/>
        <v>-0.00496020302226341</v>
      </c>
      <c r="P594" s="150">
        <f t="shared" si="285"/>
        <v>-0.0197727272727274</v>
      </c>
      <c r="Q594" s="89">
        <f t="shared" si="286"/>
        <v>0.0532356532356533</v>
      </c>
      <c r="AH594" s="90"/>
      <c r="AI594" s="85"/>
      <c r="AJ594" s="36"/>
      <c r="AK594" s="36"/>
      <c r="AL594" s="36"/>
      <c r="AM594" s="36"/>
      <c r="AN594" s="36"/>
      <c r="AO594" s="36"/>
      <c r="AP594" s="36"/>
      <c r="FV594" s="104">
        <f t="shared" si="279"/>
        <v>2012</v>
      </c>
      <c r="FW594" s="104">
        <f t="shared" si="280"/>
        <v>43</v>
      </c>
      <c r="FX594" s="35">
        <v>41205</v>
      </c>
      <c r="FY594" s="26">
        <v>0.83</v>
      </c>
      <c r="FZ594" s="94">
        <f t="shared" si="281"/>
        <v>3.32</v>
      </c>
      <c r="GA594" s="104"/>
      <c r="GB594" s="104"/>
      <c r="GE594" s="94"/>
      <c r="GF594" s="104">
        <f t="shared" si="282"/>
        <v>2015</v>
      </c>
      <c r="GG594" s="104">
        <f t="shared" si="283"/>
        <v>16</v>
      </c>
      <c r="GH594" s="35">
        <v>42107</v>
      </c>
      <c r="GI594" s="26">
        <v>3.158</v>
      </c>
      <c r="GJ594" s="94">
        <f t="shared" si="284"/>
        <v>6.316</v>
      </c>
      <c r="GK594" s="104"/>
      <c r="GL594" s="104"/>
      <c r="GO594" s="94"/>
    </row>
    <row r="595" spans="3:197">
      <c r="C595" s="80" t="str" cm="1">
        <f t="array" ref="C595">_xlfn.IFS(MONTH(D595)&lt;4,1,MONTH(D595)&lt;7,2,MONTH(D595)&lt;10,3,MONTH(D595)&gt;9,4)&amp;"Q"&amp;RIGHT(YEAR(D595),2)</f>
        <v>2Q18</v>
      </c>
      <c r="D595" s="81">
        <f t="shared" si="278"/>
        <v>43281</v>
      </c>
      <c r="E595" s="82">
        <f t="shared" si="275"/>
        <v>43255</v>
      </c>
      <c r="F595" s="83">
        <f t="shared" si="277"/>
        <v>1.07825</v>
      </c>
      <c r="G595" s="83">
        <f t="shared" si="277"/>
        <v>1.02375</v>
      </c>
      <c r="H595" s="81"/>
      <c r="I595" s="146">
        <v>43255</v>
      </c>
      <c r="J595" s="147">
        <v>9</v>
      </c>
      <c r="K595" s="147">
        <v>8</v>
      </c>
      <c r="L595" s="147">
        <v>8.626</v>
      </c>
      <c r="M595" s="94" cm="1">
        <f t="array" ref="M595">INDEX($BV$29:$BV$1449,MATCH($D595,$BR$29:$BR$1449,0),)</f>
        <v>8.19</v>
      </c>
      <c r="N595" s="150">
        <f t="shared" ref="N595:N658" si="287">L595/L594-1</f>
        <v>0</v>
      </c>
      <c r="O595" s="150">
        <f t="shared" si="276"/>
        <v>-0.00496020302226341</v>
      </c>
      <c r="P595" s="150">
        <f t="shared" si="285"/>
        <v>-0.0197727272727274</v>
      </c>
      <c r="Q595" s="89">
        <f t="shared" si="286"/>
        <v>0.0532356532356533</v>
      </c>
      <c r="AH595" s="90"/>
      <c r="AI595" s="85"/>
      <c r="AJ595" s="36"/>
      <c r="AK595" s="36"/>
      <c r="AL595" s="36"/>
      <c r="AM595" s="36"/>
      <c r="AN595" s="36"/>
      <c r="AO595" s="36"/>
      <c r="AP595" s="36"/>
      <c r="FV595" s="104">
        <f t="shared" si="279"/>
        <v>2012</v>
      </c>
      <c r="FW595" s="104">
        <f t="shared" si="280"/>
        <v>43</v>
      </c>
      <c r="FX595" s="35">
        <v>41206</v>
      </c>
      <c r="FY595" s="26">
        <v>0.83</v>
      </c>
      <c r="FZ595" s="94">
        <f t="shared" si="281"/>
        <v>3.32</v>
      </c>
      <c r="GA595" s="104"/>
      <c r="GB595" s="104"/>
      <c r="GE595" s="94"/>
      <c r="GF595" s="104">
        <f t="shared" si="282"/>
        <v>2015</v>
      </c>
      <c r="GG595" s="104">
        <f t="shared" si="283"/>
        <v>16</v>
      </c>
      <c r="GH595" s="35">
        <v>42108</v>
      </c>
      <c r="GI595" s="26">
        <v>3.158</v>
      </c>
      <c r="GJ595" s="94">
        <f t="shared" si="284"/>
        <v>6.316</v>
      </c>
      <c r="GK595" s="104"/>
      <c r="GL595" s="104"/>
      <c r="GO595" s="94"/>
    </row>
    <row r="596" spans="3:197">
      <c r="C596" s="80" t="str" cm="1">
        <f t="array" ref="C596">_xlfn.IFS(MONTH(D596)&lt;4,1,MONTH(D596)&lt;7,2,MONTH(D596)&lt;10,3,MONTH(D596)&gt;9,4)&amp;"Q"&amp;RIGHT(YEAR(D596),2)</f>
        <v>2Q18</v>
      </c>
      <c r="D596" s="81">
        <f t="shared" si="278"/>
        <v>43281</v>
      </c>
      <c r="E596" s="82">
        <f t="shared" si="275"/>
        <v>43256</v>
      </c>
      <c r="F596" s="83">
        <f t="shared" si="277"/>
        <v>1.078</v>
      </c>
      <c r="G596" s="83">
        <f t="shared" si="277"/>
        <v>1.02375</v>
      </c>
      <c r="H596" s="81"/>
      <c r="I596" s="146">
        <v>43256</v>
      </c>
      <c r="J596" s="147">
        <v>9</v>
      </c>
      <c r="K596" s="147">
        <v>8</v>
      </c>
      <c r="L596" s="147">
        <v>8.624</v>
      </c>
      <c r="M596" s="94" cm="1">
        <f t="array" ref="M596">INDEX($BV$29:$BV$1449,MATCH($D596,$BR$29:$BR$1449,0),)</f>
        <v>8.19</v>
      </c>
      <c r="N596" s="150">
        <f t="shared" si="287"/>
        <v>-0.000231857175979511</v>
      </c>
      <c r="O596" s="150">
        <f t="shared" si="276"/>
        <v>-0.000811030008110225</v>
      </c>
      <c r="P596" s="150">
        <f t="shared" si="285"/>
        <v>-0.0123683005038936</v>
      </c>
      <c r="Q596" s="89">
        <f t="shared" si="286"/>
        <v>0.052991452991453</v>
      </c>
      <c r="AH596" s="90"/>
      <c r="AI596" s="85"/>
      <c r="AJ596" s="36"/>
      <c r="AK596" s="36"/>
      <c r="AL596" s="36"/>
      <c r="AM596" s="36"/>
      <c r="AN596" s="36"/>
      <c r="AO596" s="36"/>
      <c r="AP596" s="36"/>
      <c r="FV596" s="104">
        <f t="shared" si="279"/>
        <v>2012</v>
      </c>
      <c r="FW596" s="104">
        <f t="shared" si="280"/>
        <v>43</v>
      </c>
      <c r="FX596" s="35">
        <v>41207</v>
      </c>
      <c r="FY596" s="26">
        <v>0.83</v>
      </c>
      <c r="FZ596" s="94">
        <f t="shared" si="281"/>
        <v>3.32</v>
      </c>
      <c r="GA596" s="104"/>
      <c r="GB596" s="104"/>
      <c r="GE596" s="94"/>
      <c r="GF596" s="104">
        <f t="shared" si="282"/>
        <v>2015</v>
      </c>
      <c r="GG596" s="104">
        <f t="shared" si="283"/>
        <v>16</v>
      </c>
      <c r="GH596" s="35">
        <v>42109</v>
      </c>
      <c r="GI596" s="26">
        <v>3.15</v>
      </c>
      <c r="GJ596" s="94">
        <f t="shared" si="284"/>
        <v>6.3</v>
      </c>
      <c r="GK596" s="104"/>
      <c r="GL596" s="104"/>
      <c r="GO596" s="94"/>
    </row>
    <row r="597" spans="3:197">
      <c r="C597" s="80" t="str" cm="1">
        <f t="array" ref="C597">_xlfn.IFS(MONTH(D597)&lt;4,1,MONTH(D597)&lt;7,2,MONTH(D597)&lt;10,3,MONTH(D597)&gt;9,4)&amp;"Q"&amp;RIGHT(YEAR(D597),2)</f>
        <v>2Q18</v>
      </c>
      <c r="D597" s="81">
        <f t="shared" si="278"/>
        <v>43281</v>
      </c>
      <c r="E597" s="82">
        <f t="shared" ref="E597:E660" si="288">I597</f>
        <v>43257</v>
      </c>
      <c r="F597" s="83">
        <f t="shared" si="277"/>
        <v>1.077875</v>
      </c>
      <c r="G597" s="83">
        <f t="shared" si="277"/>
        <v>1.02375</v>
      </c>
      <c r="H597" s="81"/>
      <c r="I597" s="146">
        <v>43257</v>
      </c>
      <c r="J597" s="147">
        <v>9</v>
      </c>
      <c r="K597" s="147">
        <v>8</v>
      </c>
      <c r="L597" s="147">
        <v>8.623</v>
      </c>
      <c r="M597" s="94" cm="1">
        <f t="array" ref="M597">INDEX($BV$29:$BV$1449,MATCH($D597,$BR$29:$BR$1449,0),)</f>
        <v>8.19</v>
      </c>
      <c r="N597" s="150">
        <f t="shared" si="287"/>
        <v>-0.000115955473098506</v>
      </c>
      <c r="O597" s="150">
        <f t="shared" ref="O597:O660" si="289">L597/L592-1</f>
        <v>-0.000926891437840416</v>
      </c>
      <c r="P597" s="150">
        <f t="shared" si="285"/>
        <v>-0.0112372434353859</v>
      </c>
      <c r="Q597" s="89">
        <f t="shared" si="286"/>
        <v>0.0528693528693529</v>
      </c>
      <c r="AH597" s="90"/>
      <c r="AI597" s="85"/>
      <c r="AJ597" s="36"/>
      <c r="AK597" s="36"/>
      <c r="AL597" s="36"/>
      <c r="AM597" s="36"/>
      <c r="AN597" s="36"/>
      <c r="AO597" s="36"/>
      <c r="AP597" s="36"/>
      <c r="FV597" s="104">
        <f t="shared" si="279"/>
        <v>2012</v>
      </c>
      <c r="FW597" s="104">
        <f t="shared" si="280"/>
        <v>43</v>
      </c>
      <c r="FX597" s="35">
        <v>41208</v>
      </c>
      <c r="FY597" s="26">
        <v>0.83</v>
      </c>
      <c r="FZ597" s="94">
        <f t="shared" si="281"/>
        <v>3.32</v>
      </c>
      <c r="GA597" s="104"/>
      <c r="GB597" s="104"/>
      <c r="GE597" s="94"/>
      <c r="GF597" s="104">
        <f t="shared" si="282"/>
        <v>2015</v>
      </c>
      <c r="GG597" s="104">
        <f t="shared" si="283"/>
        <v>16</v>
      </c>
      <c r="GH597" s="35">
        <v>42110</v>
      </c>
      <c r="GI597" s="26">
        <v>3.148</v>
      </c>
      <c r="GJ597" s="94">
        <f t="shared" si="284"/>
        <v>6.296</v>
      </c>
      <c r="GK597" s="104"/>
      <c r="GL597" s="104"/>
      <c r="GO597" s="94"/>
    </row>
    <row r="598" spans="3:197">
      <c r="C598" s="80" t="str" cm="1">
        <f t="array" ref="C598">_xlfn.IFS(MONTH(D598)&lt;4,1,MONTH(D598)&lt;7,2,MONTH(D598)&lt;10,3,MONTH(D598)&gt;9,4)&amp;"Q"&amp;RIGHT(YEAR(D598),2)</f>
        <v>2Q18</v>
      </c>
      <c r="D598" s="81">
        <f t="shared" si="278"/>
        <v>43281</v>
      </c>
      <c r="E598" s="82">
        <f t="shared" si="288"/>
        <v>43258</v>
      </c>
      <c r="F598" s="83">
        <f t="shared" si="277"/>
        <v>1.077625</v>
      </c>
      <c r="G598" s="83">
        <f t="shared" si="277"/>
        <v>1.02375</v>
      </c>
      <c r="H598" s="81"/>
      <c r="I598" s="146">
        <v>43258</v>
      </c>
      <c r="J598" s="147">
        <v>9</v>
      </c>
      <c r="K598" s="147">
        <v>7.98</v>
      </c>
      <c r="L598" s="147">
        <v>8.621</v>
      </c>
      <c r="M598" s="94" cm="1">
        <f t="array" ref="M598">INDEX($BV$29:$BV$1449,MATCH($D598,$BR$29:$BR$1449,0),)</f>
        <v>8.19</v>
      </c>
      <c r="N598" s="150">
        <f t="shared" si="287"/>
        <v>-0.000231937840658558</v>
      </c>
      <c r="O598" s="150">
        <f t="shared" si="289"/>
        <v>-0.000695490900660789</v>
      </c>
      <c r="P598" s="150">
        <f t="shared" si="285"/>
        <v>-0.00816843074091111</v>
      </c>
      <c r="Q598" s="89">
        <f t="shared" si="286"/>
        <v>0.0526251526251527</v>
      </c>
      <c r="AH598" s="90"/>
      <c r="AI598" s="85"/>
      <c r="AJ598" s="36"/>
      <c r="AK598" s="36"/>
      <c r="AL598" s="36"/>
      <c r="AM598" s="36"/>
      <c r="AN598" s="36"/>
      <c r="AO598" s="36"/>
      <c r="AP598" s="36"/>
      <c r="FV598" s="104">
        <f t="shared" si="279"/>
        <v>2012</v>
      </c>
      <c r="FW598" s="104">
        <f t="shared" si="280"/>
        <v>43</v>
      </c>
      <c r="FX598" s="35">
        <v>41209</v>
      </c>
      <c r="FY598" s="26">
        <v>0.83</v>
      </c>
      <c r="FZ598" s="94">
        <f t="shared" si="281"/>
        <v>3.32</v>
      </c>
      <c r="GA598" s="104"/>
      <c r="GB598" s="104"/>
      <c r="GE598" s="94"/>
      <c r="GF598" s="104">
        <f t="shared" si="282"/>
        <v>2015</v>
      </c>
      <c r="GG598" s="104">
        <f t="shared" si="283"/>
        <v>16</v>
      </c>
      <c r="GH598" s="35">
        <v>42111</v>
      </c>
      <c r="GI598" s="26">
        <v>3.142</v>
      </c>
      <c r="GJ598" s="94">
        <f t="shared" si="284"/>
        <v>6.284</v>
      </c>
      <c r="GK598" s="104"/>
      <c r="GL598" s="104"/>
      <c r="GO598" s="94"/>
    </row>
    <row r="599" spans="3:197">
      <c r="C599" s="80" t="str" cm="1">
        <f t="array" ref="C599">_xlfn.IFS(MONTH(D599)&lt;4,1,MONTH(D599)&lt;7,2,MONTH(D599)&lt;10,3,MONTH(D599)&gt;9,4)&amp;"Q"&amp;RIGHT(YEAR(D599),2)</f>
        <v>2Q18</v>
      </c>
      <c r="D599" s="81">
        <f t="shared" si="278"/>
        <v>43281</v>
      </c>
      <c r="E599" s="82">
        <f t="shared" si="288"/>
        <v>43259</v>
      </c>
      <c r="F599" s="83">
        <f t="shared" si="277"/>
        <v>1.07725</v>
      </c>
      <c r="G599" s="83">
        <f t="shared" si="277"/>
        <v>1.02375</v>
      </c>
      <c r="H599" s="81"/>
      <c r="I599" s="146">
        <v>43259</v>
      </c>
      <c r="J599" s="147">
        <v>9</v>
      </c>
      <c r="K599" s="147">
        <v>7.98</v>
      </c>
      <c r="L599" s="147">
        <v>8.618</v>
      </c>
      <c r="M599" s="94" cm="1">
        <f t="array" ref="M599">INDEX($BV$29:$BV$1449,MATCH($D599,$BR$29:$BR$1449,0),)</f>
        <v>8.19</v>
      </c>
      <c r="N599" s="150">
        <f t="shared" si="287"/>
        <v>-0.000347987472451017</v>
      </c>
      <c r="O599" s="150">
        <f t="shared" si="289"/>
        <v>-0.000927428703918265</v>
      </c>
      <c r="P599" s="150">
        <f t="shared" si="285"/>
        <v>-0.00588303149152158</v>
      </c>
      <c r="Q599" s="89">
        <f t="shared" si="286"/>
        <v>0.0522588522588523</v>
      </c>
      <c r="AH599" s="90"/>
      <c r="AI599" s="85"/>
      <c r="AJ599" s="36"/>
      <c r="AK599" s="36"/>
      <c r="AL599" s="36"/>
      <c r="AM599" s="36"/>
      <c r="AN599" s="36"/>
      <c r="AO599" s="36"/>
      <c r="AP599" s="36"/>
      <c r="FV599" s="104">
        <f t="shared" si="279"/>
        <v>2012</v>
      </c>
      <c r="FW599" s="104">
        <f t="shared" si="280"/>
        <v>44</v>
      </c>
      <c r="FX599" s="35">
        <v>41210</v>
      </c>
      <c r="FY599" s="26">
        <v>0.83</v>
      </c>
      <c r="FZ599" s="94">
        <f t="shared" si="281"/>
        <v>3.32</v>
      </c>
      <c r="GA599" s="104"/>
      <c r="GB599" s="104"/>
      <c r="GE599" s="94"/>
      <c r="GF599" s="104">
        <f t="shared" si="282"/>
        <v>2015</v>
      </c>
      <c r="GG599" s="104">
        <f t="shared" si="283"/>
        <v>17</v>
      </c>
      <c r="GH599" s="35">
        <v>42114</v>
      </c>
      <c r="GI599" s="26">
        <v>3.114</v>
      </c>
      <c r="GJ599" s="94">
        <f t="shared" si="284"/>
        <v>6.228</v>
      </c>
      <c r="GK599" s="104"/>
      <c r="GL599" s="104"/>
      <c r="GO599" s="94"/>
    </row>
    <row r="600" spans="3:197">
      <c r="C600" s="80" t="str" cm="1">
        <f t="array" ref="C600">_xlfn.IFS(MONTH(D600)&lt;4,1,MONTH(D600)&lt;7,2,MONTH(D600)&lt;10,3,MONTH(D600)&gt;9,4)&amp;"Q"&amp;RIGHT(YEAR(D600),2)</f>
        <v>2Q18</v>
      </c>
      <c r="D600" s="81">
        <f t="shared" si="278"/>
        <v>43281</v>
      </c>
      <c r="E600" s="82">
        <f t="shared" si="288"/>
        <v>43262</v>
      </c>
      <c r="F600" s="83">
        <f t="shared" si="277"/>
        <v>1.076875</v>
      </c>
      <c r="G600" s="83">
        <f t="shared" si="277"/>
        <v>1.02375</v>
      </c>
      <c r="H600" s="81"/>
      <c r="I600" s="146">
        <v>43262</v>
      </c>
      <c r="J600" s="147">
        <v>9</v>
      </c>
      <c r="K600" s="147">
        <v>7.98</v>
      </c>
      <c r="L600" s="147">
        <v>8.615</v>
      </c>
      <c r="M600" s="94" cm="1">
        <f t="array" ref="M600">INDEX($BV$29:$BV$1449,MATCH($D600,$BR$29:$BR$1449,0),)</f>
        <v>8.19</v>
      </c>
      <c r="N600" s="150">
        <f t="shared" si="287"/>
        <v>-0.000348108609886322</v>
      </c>
      <c r="O600" s="150">
        <f t="shared" si="289"/>
        <v>-0.0012752144678877</v>
      </c>
      <c r="P600" s="150">
        <f t="shared" si="285"/>
        <v>-0.00622909216749334</v>
      </c>
      <c r="Q600" s="89">
        <f t="shared" si="286"/>
        <v>0.0518925518925519</v>
      </c>
      <c r="AH600" s="90"/>
      <c r="AI600" s="85"/>
      <c r="AJ600" s="36"/>
      <c r="AK600" s="36"/>
      <c r="AL600" s="36"/>
      <c r="AM600" s="36"/>
      <c r="AN600" s="36"/>
      <c r="AO600" s="36"/>
      <c r="AP600" s="36"/>
      <c r="FV600" s="104">
        <f t="shared" si="279"/>
        <v>2012</v>
      </c>
      <c r="FW600" s="104">
        <f t="shared" si="280"/>
        <v>44</v>
      </c>
      <c r="FX600" s="35">
        <v>41211</v>
      </c>
      <c r="FY600" s="26">
        <v>0.83</v>
      </c>
      <c r="FZ600" s="94">
        <f t="shared" si="281"/>
        <v>3.32</v>
      </c>
      <c r="GA600" s="104"/>
      <c r="GB600" s="104"/>
      <c r="GE600" s="94"/>
      <c r="GF600" s="104">
        <f t="shared" si="282"/>
        <v>2015</v>
      </c>
      <c r="GG600" s="104">
        <f t="shared" si="283"/>
        <v>17</v>
      </c>
      <c r="GH600" s="35">
        <v>42115</v>
      </c>
      <c r="GI600" s="26">
        <v>3.095</v>
      </c>
      <c r="GJ600" s="94">
        <f t="shared" si="284"/>
        <v>6.19</v>
      </c>
      <c r="GK600" s="104"/>
      <c r="GL600" s="104"/>
      <c r="GO600" s="94"/>
    </row>
    <row r="601" spans="3:197">
      <c r="C601" s="80" t="str" cm="1">
        <f t="array" ref="C601">_xlfn.IFS(MONTH(D601)&lt;4,1,MONTH(D601)&lt;7,2,MONTH(D601)&lt;10,3,MONTH(D601)&gt;9,4)&amp;"Q"&amp;RIGHT(YEAR(D601),2)</f>
        <v>2Q18</v>
      </c>
      <c r="D601" s="81">
        <f t="shared" si="278"/>
        <v>43281</v>
      </c>
      <c r="E601" s="82">
        <f t="shared" si="288"/>
        <v>43263</v>
      </c>
      <c r="F601" s="83">
        <f t="shared" si="277"/>
        <v>1.07675</v>
      </c>
      <c r="G601" s="83">
        <f t="shared" si="277"/>
        <v>1.02375</v>
      </c>
      <c r="H601" s="81"/>
      <c r="I601" s="146">
        <v>43263</v>
      </c>
      <c r="J601" s="147">
        <v>9</v>
      </c>
      <c r="K601" s="147">
        <v>7.97</v>
      </c>
      <c r="L601" s="147">
        <v>8.614</v>
      </c>
      <c r="M601" s="94" cm="1">
        <f t="array" ref="M601">INDEX($BV$29:$BV$1449,MATCH($D601,$BR$29:$BR$1449,0),)</f>
        <v>8.19</v>
      </c>
      <c r="N601" s="150">
        <f t="shared" si="287"/>
        <v>-0.000116076610562899</v>
      </c>
      <c r="O601" s="150">
        <f t="shared" si="289"/>
        <v>-0.00115955473098328</v>
      </c>
      <c r="P601" s="150">
        <f t="shared" si="285"/>
        <v>-0.00196964430541069</v>
      </c>
      <c r="Q601" s="89">
        <f t="shared" si="286"/>
        <v>0.051770451770452</v>
      </c>
      <c r="AH601" s="90"/>
      <c r="AI601" s="85"/>
      <c r="AJ601" s="36"/>
      <c r="AK601" s="36"/>
      <c r="AL601" s="36"/>
      <c r="AM601" s="36"/>
      <c r="AN601" s="36"/>
      <c r="AO601" s="36"/>
      <c r="AP601" s="36"/>
      <c r="FV601" s="104">
        <f t="shared" si="279"/>
        <v>2012</v>
      </c>
      <c r="FW601" s="104">
        <f t="shared" si="280"/>
        <v>44</v>
      </c>
      <c r="FX601" s="35">
        <v>41212</v>
      </c>
      <c r="FY601" s="26">
        <v>0.84</v>
      </c>
      <c r="FZ601" s="94">
        <f t="shared" si="281"/>
        <v>3.36</v>
      </c>
      <c r="GA601" s="104"/>
      <c r="GB601" s="104"/>
      <c r="GE601" s="94"/>
      <c r="GF601" s="104">
        <f t="shared" si="282"/>
        <v>2015</v>
      </c>
      <c r="GG601" s="104">
        <f t="shared" si="283"/>
        <v>17</v>
      </c>
      <c r="GH601" s="35">
        <v>42116</v>
      </c>
      <c r="GI601" s="26">
        <v>3.085</v>
      </c>
      <c r="GJ601" s="94">
        <f t="shared" si="284"/>
        <v>6.17</v>
      </c>
      <c r="GK601" s="104"/>
      <c r="GL601" s="104"/>
      <c r="GO601" s="94"/>
    </row>
    <row r="602" spans="3:197">
      <c r="C602" s="80" t="str" cm="1">
        <f t="array" ref="C602">_xlfn.IFS(MONTH(D602)&lt;4,1,MONTH(D602)&lt;7,2,MONTH(D602)&lt;10,3,MONTH(D602)&gt;9,4)&amp;"Q"&amp;RIGHT(YEAR(D602),2)</f>
        <v>2Q18</v>
      </c>
      <c r="D602" s="81">
        <f t="shared" si="278"/>
        <v>43281</v>
      </c>
      <c r="E602" s="82">
        <f t="shared" si="288"/>
        <v>43264</v>
      </c>
      <c r="F602" s="83">
        <f t="shared" si="277"/>
        <v>1.0765</v>
      </c>
      <c r="G602" s="83">
        <f t="shared" si="277"/>
        <v>1.02375</v>
      </c>
      <c r="H602" s="81"/>
      <c r="I602" s="146">
        <v>43264</v>
      </c>
      <c r="J602" s="147">
        <v>9</v>
      </c>
      <c r="K602" s="147">
        <v>7.97</v>
      </c>
      <c r="L602" s="147">
        <v>8.612</v>
      </c>
      <c r="M602" s="94" cm="1">
        <f t="array" ref="M602">INDEX($BV$29:$BV$1449,MATCH($D602,$BR$29:$BR$1449,0),)</f>
        <v>8.19</v>
      </c>
      <c r="N602" s="150">
        <f t="shared" si="287"/>
        <v>-0.000232180171813368</v>
      </c>
      <c r="O602" s="150">
        <f t="shared" si="289"/>
        <v>-0.00127565812362274</v>
      </c>
      <c r="P602" s="150">
        <f t="shared" si="285"/>
        <v>-0.00220136716487085</v>
      </c>
      <c r="Q602" s="89">
        <f t="shared" si="286"/>
        <v>0.0515262515262516</v>
      </c>
      <c r="AH602" s="90"/>
      <c r="AI602" s="85"/>
      <c r="AJ602" s="36"/>
      <c r="AK602" s="36"/>
      <c r="AL602" s="36"/>
      <c r="AM602" s="36"/>
      <c r="AN602" s="36"/>
      <c r="AO602" s="36"/>
      <c r="AP602" s="36"/>
      <c r="FV602" s="104">
        <f t="shared" si="279"/>
        <v>2012</v>
      </c>
      <c r="FW602" s="104">
        <f t="shared" si="280"/>
        <v>44</v>
      </c>
      <c r="FX602" s="35">
        <v>41213</v>
      </c>
      <c r="FY602" s="26">
        <v>0.84</v>
      </c>
      <c r="FZ602" s="94">
        <f t="shared" si="281"/>
        <v>3.36</v>
      </c>
      <c r="GA602" s="104"/>
      <c r="GB602" s="104"/>
      <c r="GE602" s="94"/>
      <c r="GF602" s="104">
        <f t="shared" si="282"/>
        <v>2015</v>
      </c>
      <c r="GG602" s="104">
        <f t="shared" si="283"/>
        <v>17</v>
      </c>
      <c r="GH602" s="35">
        <v>42117</v>
      </c>
      <c r="GI602" s="26">
        <v>3.08</v>
      </c>
      <c r="GJ602" s="94">
        <f t="shared" si="284"/>
        <v>6.16</v>
      </c>
      <c r="GK602" s="104"/>
      <c r="GL602" s="104"/>
      <c r="GO602" s="94"/>
    </row>
    <row r="603" spans="3:197">
      <c r="C603" s="80" t="str" cm="1">
        <f t="array" ref="C603">_xlfn.IFS(MONTH(D603)&lt;4,1,MONTH(D603)&lt;7,2,MONTH(D603)&lt;10,3,MONTH(D603)&gt;9,4)&amp;"Q"&amp;RIGHT(YEAR(D603),2)</f>
        <v>2Q18</v>
      </c>
      <c r="D603" s="81">
        <f t="shared" si="278"/>
        <v>43281</v>
      </c>
      <c r="E603" s="82">
        <f t="shared" si="288"/>
        <v>43265</v>
      </c>
      <c r="F603" s="83">
        <f t="shared" si="277"/>
        <v>1.076375</v>
      </c>
      <c r="G603" s="83">
        <f t="shared" si="277"/>
        <v>1.02375</v>
      </c>
      <c r="H603" s="81"/>
      <c r="I603" s="146">
        <v>43265</v>
      </c>
      <c r="J603" s="147">
        <v>9</v>
      </c>
      <c r="K603" s="147">
        <v>7.95</v>
      </c>
      <c r="L603" s="147">
        <v>8.611</v>
      </c>
      <c r="M603" s="94" cm="1">
        <f t="array" ref="M603">INDEX($BV$29:$BV$1449,MATCH($D603,$BR$29:$BR$1449,0),)</f>
        <v>8.19</v>
      </c>
      <c r="N603" s="150">
        <f t="shared" si="287"/>
        <v>-0.000116117045982245</v>
      </c>
      <c r="O603" s="150">
        <f t="shared" si="289"/>
        <v>-0.00115995824150328</v>
      </c>
      <c r="P603" s="150">
        <f t="shared" si="285"/>
        <v>-0.00185464240176192</v>
      </c>
      <c r="Q603" s="89">
        <f t="shared" si="286"/>
        <v>0.0514041514041514</v>
      </c>
      <c r="AH603" s="90"/>
      <c r="AI603" s="85"/>
      <c r="AJ603" s="36"/>
      <c r="AK603" s="36"/>
      <c r="AL603" s="36"/>
      <c r="AM603" s="36"/>
      <c r="AN603" s="36"/>
      <c r="AO603" s="36"/>
      <c r="AP603" s="36"/>
      <c r="FV603" s="104">
        <f t="shared" si="279"/>
        <v>2012</v>
      </c>
      <c r="FW603" s="104">
        <f t="shared" si="280"/>
        <v>44</v>
      </c>
      <c r="FX603" s="35">
        <v>41214</v>
      </c>
      <c r="FY603" s="26">
        <v>0.84</v>
      </c>
      <c r="FZ603" s="94">
        <f t="shared" si="281"/>
        <v>3.36</v>
      </c>
      <c r="GA603" s="104"/>
      <c r="GB603" s="104"/>
      <c r="GE603" s="94"/>
      <c r="GF603" s="104">
        <f t="shared" si="282"/>
        <v>2015</v>
      </c>
      <c r="GG603" s="104">
        <f t="shared" si="283"/>
        <v>17</v>
      </c>
      <c r="GH603" s="35">
        <v>42118</v>
      </c>
      <c r="GI603" s="26">
        <v>3.06</v>
      </c>
      <c r="GJ603" s="94">
        <f t="shared" si="284"/>
        <v>6.12</v>
      </c>
      <c r="GK603" s="104"/>
      <c r="GL603" s="104"/>
      <c r="GO603" s="94"/>
    </row>
    <row r="604" spans="3:197">
      <c r="C604" s="80" t="str" cm="1">
        <f t="array" ref="C604">_xlfn.IFS(MONTH(D604)&lt;4,1,MONTH(D604)&lt;7,2,MONTH(D604)&lt;10,3,MONTH(D604)&gt;9,4)&amp;"Q"&amp;RIGHT(YEAR(D604),2)</f>
        <v>2Q18</v>
      </c>
      <c r="D604" s="81">
        <f t="shared" si="278"/>
        <v>43281</v>
      </c>
      <c r="E604" s="82">
        <f t="shared" si="288"/>
        <v>43266</v>
      </c>
      <c r="F604" s="83">
        <f t="shared" si="277"/>
        <v>1.076125</v>
      </c>
      <c r="G604" s="83">
        <f t="shared" si="277"/>
        <v>1.02375</v>
      </c>
      <c r="H604" s="81"/>
      <c r="I604" s="146">
        <v>43266</v>
      </c>
      <c r="J604" s="147">
        <v>9</v>
      </c>
      <c r="K604" s="147">
        <v>7.95</v>
      </c>
      <c r="L604" s="147">
        <v>8.609</v>
      </c>
      <c r="M604" s="94" cm="1">
        <f t="array" ref="M604">INDEX($BV$29:$BV$1449,MATCH($D604,$BR$29:$BR$1449,0),)</f>
        <v>8.19</v>
      </c>
      <c r="N604" s="150">
        <f t="shared" si="287"/>
        <v>-0.000232261061433148</v>
      </c>
      <c r="O604" s="150">
        <f t="shared" si="289"/>
        <v>-0.00104432582965885</v>
      </c>
      <c r="P604" s="150">
        <f t="shared" si="285"/>
        <v>-0.00197078599582656</v>
      </c>
      <c r="Q604" s="89">
        <f t="shared" si="286"/>
        <v>0.0511599511599512</v>
      </c>
      <c r="AH604" s="90"/>
      <c r="AI604" s="85"/>
      <c r="AJ604" s="36"/>
      <c r="AK604" s="36"/>
      <c r="AL604" s="36"/>
      <c r="AM604" s="36"/>
      <c r="AN604" s="36"/>
      <c r="AO604" s="36"/>
      <c r="AP604" s="36"/>
      <c r="FV604" s="104">
        <f t="shared" si="279"/>
        <v>2012</v>
      </c>
      <c r="FW604" s="104">
        <f t="shared" si="280"/>
        <v>44</v>
      </c>
      <c r="FX604" s="35">
        <v>41215</v>
      </c>
      <c r="FY604" s="26">
        <v>0.84</v>
      </c>
      <c r="FZ604" s="94">
        <f t="shared" si="281"/>
        <v>3.36</v>
      </c>
      <c r="GA604" s="104"/>
      <c r="GB604" s="104"/>
      <c r="GE604" s="94"/>
      <c r="GF604" s="104">
        <f t="shared" si="282"/>
        <v>2015</v>
      </c>
      <c r="GG604" s="104">
        <f t="shared" si="283"/>
        <v>18</v>
      </c>
      <c r="GH604" s="35">
        <v>42121</v>
      </c>
      <c r="GI604" s="26">
        <v>3.055</v>
      </c>
      <c r="GJ604" s="94">
        <f t="shared" si="284"/>
        <v>6.11</v>
      </c>
      <c r="GK604" s="104"/>
      <c r="GL604" s="104"/>
      <c r="GO604" s="94"/>
    </row>
    <row r="605" spans="3:197">
      <c r="C605" s="80" t="str" cm="1">
        <f t="array" ref="C605">_xlfn.IFS(MONTH(D605)&lt;4,1,MONTH(D605)&lt;7,2,MONTH(D605)&lt;10,3,MONTH(D605)&gt;9,4)&amp;"Q"&amp;RIGHT(YEAR(D605),2)</f>
        <v>2Q18</v>
      </c>
      <c r="D605" s="81">
        <f t="shared" si="278"/>
        <v>43281</v>
      </c>
      <c r="E605" s="82">
        <f t="shared" si="288"/>
        <v>43270</v>
      </c>
      <c r="F605" s="83">
        <f t="shared" ref="F605:G668" si="290">+L605/8</f>
        <v>1.076125</v>
      </c>
      <c r="G605" s="83">
        <f t="shared" si="290"/>
        <v>1.02375</v>
      </c>
      <c r="H605" s="81"/>
      <c r="I605" s="146">
        <v>43270</v>
      </c>
      <c r="J605" s="147">
        <v>9</v>
      </c>
      <c r="K605" s="147">
        <v>7.95</v>
      </c>
      <c r="L605" s="147">
        <v>8.609</v>
      </c>
      <c r="M605" s="94" cm="1">
        <f t="array" ref="M605">INDEX($BV$29:$BV$1449,MATCH($D605,$BR$29:$BR$1449,0),)</f>
        <v>8.19</v>
      </c>
      <c r="N605" s="150">
        <f t="shared" si="287"/>
        <v>0</v>
      </c>
      <c r="O605" s="150">
        <f t="shared" si="289"/>
        <v>-0.000696459663377835</v>
      </c>
      <c r="P605" s="150">
        <f t="shared" si="285"/>
        <v>-0.00197078599582656</v>
      </c>
      <c r="Q605" s="89">
        <f t="shared" si="286"/>
        <v>0.0511599511599512</v>
      </c>
      <c r="AH605" s="90"/>
      <c r="AI605" s="85"/>
      <c r="AJ605" s="36"/>
      <c r="AK605" s="36"/>
      <c r="AL605" s="36"/>
      <c r="AM605" s="36"/>
      <c r="AN605" s="36"/>
      <c r="AO605" s="36"/>
      <c r="AP605" s="36"/>
      <c r="FV605" s="104">
        <f t="shared" si="279"/>
        <v>2012</v>
      </c>
      <c r="FW605" s="104">
        <f t="shared" si="280"/>
        <v>44</v>
      </c>
      <c r="FX605" s="35">
        <v>41216</v>
      </c>
      <c r="FY605" s="26">
        <v>0.84</v>
      </c>
      <c r="FZ605" s="94">
        <f t="shared" si="281"/>
        <v>3.36</v>
      </c>
      <c r="GA605" s="104"/>
      <c r="GB605" s="104"/>
      <c r="GE605" s="94"/>
      <c r="GF605" s="104">
        <f t="shared" si="282"/>
        <v>2015</v>
      </c>
      <c r="GG605" s="104">
        <f t="shared" si="283"/>
        <v>18</v>
      </c>
      <c r="GH605" s="35">
        <v>42122</v>
      </c>
      <c r="GI605" s="26">
        <v>3.05</v>
      </c>
      <c r="GJ605" s="94">
        <f t="shared" si="284"/>
        <v>6.1</v>
      </c>
      <c r="GK605" s="104"/>
      <c r="GL605" s="104"/>
      <c r="GO605" s="94"/>
    </row>
    <row r="606" spans="3:197">
      <c r="C606" s="80" t="str" cm="1">
        <f t="array" ref="C606">_xlfn.IFS(MONTH(D606)&lt;4,1,MONTH(D606)&lt;7,2,MONTH(D606)&lt;10,3,MONTH(D606)&gt;9,4)&amp;"Q"&amp;RIGHT(YEAR(D606),2)</f>
        <v>2Q18</v>
      </c>
      <c r="D606" s="81">
        <f t="shared" ref="D606:D669" si="291">EOMONTH(E606,0)</f>
        <v>43281</v>
      </c>
      <c r="E606" s="82">
        <f t="shared" si="288"/>
        <v>43271</v>
      </c>
      <c r="F606" s="83">
        <f t="shared" si="290"/>
        <v>1.07525</v>
      </c>
      <c r="G606" s="83">
        <f t="shared" si="290"/>
        <v>1.02375</v>
      </c>
      <c r="H606" s="81"/>
      <c r="I606" s="146">
        <v>43271</v>
      </c>
      <c r="J606" s="147">
        <v>8.95</v>
      </c>
      <c r="K606" s="147">
        <v>7.95</v>
      </c>
      <c r="L606" s="147">
        <v>8.602</v>
      </c>
      <c r="M606" s="94" cm="1">
        <f t="array" ref="M606">INDEX($BV$29:$BV$1449,MATCH($D606,$BR$29:$BR$1449,0),)</f>
        <v>8.19</v>
      </c>
      <c r="N606" s="150">
        <f t="shared" si="287"/>
        <v>-0.000813102567080892</v>
      </c>
      <c r="O606" s="150">
        <f t="shared" si="289"/>
        <v>-0.00139308103087998</v>
      </c>
      <c r="P606" s="150">
        <f t="shared" si="285"/>
        <v>-0.00255102040816324</v>
      </c>
      <c r="Q606" s="89">
        <f t="shared" si="286"/>
        <v>0.0503052503052503</v>
      </c>
      <c r="AH606" s="90"/>
      <c r="AI606" s="85"/>
      <c r="AJ606" s="36"/>
      <c r="AK606" s="36"/>
      <c r="AL606" s="36"/>
      <c r="AM606" s="36"/>
      <c r="AN606" s="36"/>
      <c r="AO606" s="36"/>
      <c r="AP606" s="36"/>
      <c r="FV606" s="104">
        <f t="shared" si="279"/>
        <v>2012</v>
      </c>
      <c r="FW606" s="104">
        <f t="shared" si="280"/>
        <v>45</v>
      </c>
      <c r="FX606" s="35">
        <v>41217</v>
      </c>
      <c r="FY606" s="26">
        <v>0.84</v>
      </c>
      <c r="FZ606" s="94">
        <f t="shared" si="281"/>
        <v>3.36</v>
      </c>
      <c r="GA606" s="104"/>
      <c r="GB606" s="104"/>
      <c r="GE606" s="94"/>
      <c r="GF606" s="104">
        <f t="shared" si="282"/>
        <v>2015</v>
      </c>
      <c r="GG606" s="104">
        <f t="shared" si="283"/>
        <v>18</v>
      </c>
      <c r="GH606" s="35">
        <v>42123</v>
      </c>
      <c r="GI606" s="26">
        <v>3.049</v>
      </c>
      <c r="GJ606" s="94">
        <f t="shared" si="284"/>
        <v>6.098</v>
      </c>
      <c r="GK606" s="104"/>
      <c r="GL606" s="104"/>
      <c r="GO606" s="94"/>
    </row>
    <row r="607" spans="3:197">
      <c r="C607" s="80" t="str" cm="1">
        <f t="array" ref="C607">_xlfn.IFS(MONTH(D607)&lt;4,1,MONTH(D607)&lt;7,2,MONTH(D607)&lt;10,3,MONTH(D607)&gt;9,4)&amp;"Q"&amp;RIGHT(YEAR(D607),2)</f>
        <v>2Q18</v>
      </c>
      <c r="D607" s="81">
        <f t="shared" si="291"/>
        <v>43281</v>
      </c>
      <c r="E607" s="82">
        <f t="shared" si="288"/>
        <v>43272</v>
      </c>
      <c r="F607" s="83">
        <f t="shared" si="290"/>
        <v>1.0705</v>
      </c>
      <c r="G607" s="83">
        <f t="shared" si="290"/>
        <v>1.02375</v>
      </c>
      <c r="H607" s="81"/>
      <c r="I607" s="146">
        <v>43272</v>
      </c>
      <c r="J607" s="147">
        <v>8.95</v>
      </c>
      <c r="K607" s="147">
        <v>7.8</v>
      </c>
      <c r="L607" s="147">
        <v>8.564</v>
      </c>
      <c r="M607" s="94" cm="1">
        <f t="array" ref="M607">INDEX($BV$29:$BV$1449,MATCH($D607,$BR$29:$BR$1449,0),)</f>
        <v>8.19</v>
      </c>
      <c r="N607" s="150">
        <f t="shared" si="287"/>
        <v>-0.00441757730760295</v>
      </c>
      <c r="O607" s="150">
        <f t="shared" si="289"/>
        <v>-0.00557361820715285</v>
      </c>
      <c r="P607" s="150">
        <f t="shared" si="285"/>
        <v>-0.00684216629943168</v>
      </c>
      <c r="Q607" s="89">
        <f t="shared" si="286"/>
        <v>0.0456654456654457</v>
      </c>
      <c r="AH607" s="90"/>
      <c r="AI607" s="85"/>
      <c r="AJ607" s="36"/>
      <c r="AK607" s="36"/>
      <c r="AL607" s="36"/>
      <c r="AM607" s="36"/>
      <c r="AN607" s="36"/>
      <c r="AO607" s="36"/>
      <c r="AP607" s="36"/>
      <c r="FV607" s="104">
        <f t="shared" si="279"/>
        <v>2012</v>
      </c>
      <c r="FW607" s="104">
        <f t="shared" si="280"/>
        <v>45</v>
      </c>
      <c r="FX607" s="35">
        <v>41218</v>
      </c>
      <c r="FY607" s="26">
        <v>0.83</v>
      </c>
      <c r="FZ607" s="94">
        <f t="shared" si="281"/>
        <v>3.32</v>
      </c>
      <c r="GA607" s="104"/>
      <c r="GB607" s="104"/>
      <c r="GE607" s="94"/>
      <c r="GF607" s="104">
        <f t="shared" si="282"/>
        <v>2015</v>
      </c>
      <c r="GG607" s="104">
        <f t="shared" si="283"/>
        <v>18</v>
      </c>
      <c r="GH607" s="35">
        <v>42124</v>
      </c>
      <c r="GI607" s="26">
        <v>3.047</v>
      </c>
      <c r="GJ607" s="94">
        <f t="shared" si="284"/>
        <v>6.094</v>
      </c>
      <c r="GK607" s="104"/>
      <c r="GL607" s="104"/>
      <c r="GO607" s="94"/>
    </row>
    <row r="608" spans="3:197">
      <c r="C608" s="80" t="str" cm="1">
        <f t="array" ref="C608">_xlfn.IFS(MONTH(D608)&lt;4,1,MONTH(D608)&lt;7,2,MONTH(D608)&lt;10,3,MONTH(D608)&gt;9,4)&amp;"Q"&amp;RIGHT(YEAR(D608),2)</f>
        <v>2Q18</v>
      </c>
      <c r="D608" s="81">
        <f t="shared" si="291"/>
        <v>43281</v>
      </c>
      <c r="E608" s="82">
        <f t="shared" si="288"/>
        <v>43273</v>
      </c>
      <c r="F608" s="83">
        <f t="shared" si="290"/>
        <v>1.069625</v>
      </c>
      <c r="G608" s="83">
        <f t="shared" si="290"/>
        <v>1.02375</v>
      </c>
      <c r="H608" s="81"/>
      <c r="I608" s="146">
        <v>43273</v>
      </c>
      <c r="J608" s="147">
        <v>8.95</v>
      </c>
      <c r="K608" s="147">
        <v>7.75</v>
      </c>
      <c r="L608" s="147">
        <v>8.557</v>
      </c>
      <c r="M608" s="94" cm="1">
        <f t="array" ref="M608">INDEX($BV$29:$BV$1449,MATCH($D608,$BR$29:$BR$1449,0),)</f>
        <v>8.19</v>
      </c>
      <c r="N608" s="150">
        <f t="shared" si="287"/>
        <v>-0.000817375058383862</v>
      </c>
      <c r="O608" s="150">
        <f t="shared" si="289"/>
        <v>-0.00627104865869244</v>
      </c>
      <c r="P608" s="150">
        <f t="shared" si="285"/>
        <v>-0.00742373274562114</v>
      </c>
      <c r="Q608" s="89">
        <f t="shared" si="286"/>
        <v>0.0448107448107449</v>
      </c>
      <c r="AH608" s="90"/>
      <c r="AI608" s="85"/>
      <c r="AJ608" s="36"/>
      <c r="AK608" s="36"/>
      <c r="AL608" s="36"/>
      <c r="AM608" s="36"/>
      <c r="AN608" s="36"/>
      <c r="AO608" s="36"/>
      <c r="AP608" s="36"/>
      <c r="FV608" s="104">
        <f t="shared" si="279"/>
        <v>2012</v>
      </c>
      <c r="FW608" s="104">
        <f t="shared" si="280"/>
        <v>45</v>
      </c>
      <c r="FX608" s="35">
        <v>41219</v>
      </c>
      <c r="FY608" s="26">
        <v>0.83</v>
      </c>
      <c r="FZ608" s="94">
        <f t="shared" si="281"/>
        <v>3.32</v>
      </c>
      <c r="GA608" s="104"/>
      <c r="GB608" s="104"/>
      <c r="GE608" s="94"/>
      <c r="GF608" s="104">
        <f t="shared" si="282"/>
        <v>2015</v>
      </c>
      <c r="GG608" s="104">
        <f t="shared" si="283"/>
        <v>19</v>
      </c>
      <c r="GH608" s="35">
        <v>42128</v>
      </c>
      <c r="GI608" s="26">
        <v>3.041</v>
      </c>
      <c r="GJ608" s="94">
        <f t="shared" si="284"/>
        <v>6.082</v>
      </c>
      <c r="GK608" s="104"/>
      <c r="GL608" s="104"/>
      <c r="GO608" s="94"/>
    </row>
    <row r="609" spans="3:197">
      <c r="C609" s="80" t="str" cm="1">
        <f t="array" ref="C609">_xlfn.IFS(MONTH(D609)&lt;4,1,MONTH(D609)&lt;7,2,MONTH(D609)&lt;10,3,MONTH(D609)&gt;9,4)&amp;"Q"&amp;RIGHT(YEAR(D609),2)</f>
        <v>2Q18</v>
      </c>
      <c r="D609" s="81">
        <f t="shared" si="291"/>
        <v>43281</v>
      </c>
      <c r="E609" s="82">
        <f t="shared" si="288"/>
        <v>43276</v>
      </c>
      <c r="F609" s="83">
        <f t="shared" si="290"/>
        <v>1.068875</v>
      </c>
      <c r="G609" s="83">
        <f t="shared" si="290"/>
        <v>1.02375</v>
      </c>
      <c r="H609" s="81"/>
      <c r="I609" s="146">
        <v>43276</v>
      </c>
      <c r="J609" s="147">
        <v>8.95</v>
      </c>
      <c r="K609" s="147">
        <v>7.7</v>
      </c>
      <c r="L609" s="147">
        <v>8.551</v>
      </c>
      <c r="M609" s="94" cm="1">
        <f t="array" ref="M609">INDEX($BV$29:$BV$1449,MATCH($D609,$BR$29:$BR$1449,0),)</f>
        <v>8.19</v>
      </c>
      <c r="N609" s="150">
        <f t="shared" si="287"/>
        <v>-0.000701180320205719</v>
      </c>
      <c r="O609" s="150">
        <f t="shared" si="289"/>
        <v>-0.00673713555581368</v>
      </c>
      <c r="P609" s="150">
        <f t="shared" si="285"/>
        <v>-0.00777442562079367</v>
      </c>
      <c r="Q609" s="89">
        <f t="shared" si="286"/>
        <v>0.0440781440781441</v>
      </c>
      <c r="AH609" s="90"/>
      <c r="AI609" s="85"/>
      <c r="AJ609" s="36"/>
      <c r="AK609" s="36"/>
      <c r="AL609" s="36"/>
      <c r="AM609" s="36"/>
      <c r="AN609" s="36"/>
      <c r="AO609" s="36"/>
      <c r="AP609" s="36"/>
      <c r="FV609" s="104">
        <f t="shared" si="279"/>
        <v>2012</v>
      </c>
      <c r="FW609" s="104">
        <f t="shared" si="280"/>
        <v>45</v>
      </c>
      <c r="FX609" s="35">
        <v>41220</v>
      </c>
      <c r="FY609" s="26">
        <v>0.83</v>
      </c>
      <c r="FZ609" s="94">
        <f t="shared" si="281"/>
        <v>3.32</v>
      </c>
      <c r="GA609" s="104"/>
      <c r="GB609" s="104"/>
      <c r="GE609" s="94"/>
      <c r="GF609" s="104">
        <f t="shared" si="282"/>
        <v>2015</v>
      </c>
      <c r="GG609" s="104">
        <f t="shared" si="283"/>
        <v>19</v>
      </c>
      <c r="GH609" s="35">
        <v>42129</v>
      </c>
      <c r="GI609" s="26">
        <v>3.028</v>
      </c>
      <c r="GJ609" s="94">
        <f t="shared" si="284"/>
        <v>6.056</v>
      </c>
      <c r="GK609" s="104"/>
      <c r="GL609" s="104"/>
      <c r="GO609" s="94"/>
    </row>
    <row r="610" spans="3:197">
      <c r="C610" s="80" t="str" cm="1">
        <f t="array" ref="C610">_xlfn.IFS(MONTH(D610)&lt;4,1,MONTH(D610)&lt;7,2,MONTH(D610)&lt;10,3,MONTH(D610)&gt;9,4)&amp;"Q"&amp;RIGHT(YEAR(D610),2)</f>
        <v>2Q18</v>
      </c>
      <c r="D610" s="81">
        <f t="shared" si="291"/>
        <v>43281</v>
      </c>
      <c r="E610" s="82">
        <f t="shared" si="288"/>
        <v>43277</v>
      </c>
      <c r="F610" s="83">
        <f t="shared" si="290"/>
        <v>1.0665</v>
      </c>
      <c r="G610" s="83">
        <f t="shared" si="290"/>
        <v>1.02375</v>
      </c>
      <c r="H610" s="81"/>
      <c r="I610" s="146">
        <v>43277</v>
      </c>
      <c r="J610" s="147">
        <v>8.9</v>
      </c>
      <c r="K610" s="147">
        <v>7.6</v>
      </c>
      <c r="L610" s="147">
        <v>8.532</v>
      </c>
      <c r="M610" s="94" cm="1">
        <f t="array" ref="M610">INDEX($BV$29:$BV$1449,MATCH($D610,$BR$29:$BR$1449,0),)</f>
        <v>8.19</v>
      </c>
      <c r="N610" s="150">
        <f t="shared" si="287"/>
        <v>-0.00222196234358552</v>
      </c>
      <c r="O610" s="150">
        <f t="shared" si="289"/>
        <v>-0.00894412823789059</v>
      </c>
      <c r="P610" s="150">
        <f t="shared" si="285"/>
        <v>-0.00963435867672668</v>
      </c>
      <c r="Q610" s="89">
        <f t="shared" si="286"/>
        <v>0.0417582417582418</v>
      </c>
      <c r="AH610" s="90"/>
      <c r="AI610" s="85"/>
      <c r="AJ610" s="36"/>
      <c r="AK610" s="36"/>
      <c r="AL610" s="36"/>
      <c r="AM610" s="36"/>
      <c r="AN610" s="36"/>
      <c r="AO610" s="36"/>
      <c r="AP610" s="36"/>
      <c r="FV610" s="104">
        <f t="shared" si="279"/>
        <v>2012</v>
      </c>
      <c r="FW610" s="104">
        <f t="shared" si="280"/>
        <v>45</v>
      </c>
      <c r="FX610" s="35">
        <v>41221</v>
      </c>
      <c r="FY610" s="26">
        <v>0.83</v>
      </c>
      <c r="FZ610" s="94">
        <f t="shared" si="281"/>
        <v>3.32</v>
      </c>
      <c r="GA610" s="104"/>
      <c r="GB610" s="104"/>
      <c r="GE610" s="94"/>
      <c r="GF610" s="104">
        <f t="shared" si="282"/>
        <v>2015</v>
      </c>
      <c r="GG610" s="104">
        <f t="shared" si="283"/>
        <v>19</v>
      </c>
      <c r="GH610" s="35">
        <v>42130</v>
      </c>
      <c r="GI610" s="26">
        <v>3.024</v>
      </c>
      <c r="GJ610" s="94">
        <f t="shared" si="284"/>
        <v>6.048</v>
      </c>
      <c r="GK610" s="104"/>
      <c r="GL610" s="104"/>
      <c r="GO610" s="94"/>
    </row>
    <row r="611" spans="3:197">
      <c r="C611" s="80" t="str" cm="1">
        <f t="array" ref="C611">_xlfn.IFS(MONTH(D611)&lt;4,1,MONTH(D611)&lt;7,2,MONTH(D611)&lt;10,3,MONTH(D611)&gt;9,4)&amp;"Q"&amp;RIGHT(YEAR(D611),2)</f>
        <v>2Q18</v>
      </c>
      <c r="D611" s="81">
        <f t="shared" si="291"/>
        <v>43281</v>
      </c>
      <c r="E611" s="82">
        <f t="shared" si="288"/>
        <v>43278</v>
      </c>
      <c r="F611" s="83">
        <f t="shared" si="290"/>
        <v>1.035375</v>
      </c>
      <c r="G611" s="83">
        <f t="shared" si="290"/>
        <v>1.02375</v>
      </c>
      <c r="H611" s="81"/>
      <c r="I611" s="146">
        <v>43278</v>
      </c>
      <c r="J611" s="147">
        <v>8.8</v>
      </c>
      <c r="K611" s="147">
        <v>7.6</v>
      </c>
      <c r="L611" s="147">
        <v>8.283</v>
      </c>
      <c r="M611" s="94" cm="1">
        <f t="array" ref="M611">INDEX($BV$29:$BV$1449,MATCH($D611,$BR$29:$BR$1449,0),)</f>
        <v>8.19</v>
      </c>
      <c r="N611" s="150">
        <f t="shared" si="287"/>
        <v>-0.029184247538678</v>
      </c>
      <c r="O611" s="150">
        <f t="shared" si="289"/>
        <v>-0.0370843989769822</v>
      </c>
      <c r="P611" s="150">
        <f t="shared" si="285"/>
        <v>-0.0384258184351058</v>
      </c>
      <c r="Q611" s="89">
        <f t="shared" si="286"/>
        <v>0.0113553113553113</v>
      </c>
      <c r="AH611" s="90"/>
      <c r="AI611" s="85"/>
      <c r="AJ611" s="36"/>
      <c r="AK611" s="36"/>
      <c r="AL611" s="36"/>
      <c r="AM611" s="36"/>
      <c r="AN611" s="36"/>
      <c r="AO611" s="36"/>
      <c r="AP611" s="36"/>
      <c r="FV611" s="104">
        <f t="shared" si="279"/>
        <v>2012</v>
      </c>
      <c r="FW611" s="104">
        <f t="shared" si="280"/>
        <v>45</v>
      </c>
      <c r="FX611" s="35">
        <v>41222</v>
      </c>
      <c r="FY611" s="26">
        <v>0.83</v>
      </c>
      <c r="FZ611" s="94">
        <f t="shared" si="281"/>
        <v>3.32</v>
      </c>
      <c r="GA611" s="104"/>
      <c r="GB611" s="104"/>
      <c r="GE611" s="94"/>
      <c r="GF611" s="104">
        <f t="shared" si="282"/>
        <v>2015</v>
      </c>
      <c r="GG611" s="104">
        <f t="shared" si="283"/>
        <v>19</v>
      </c>
      <c r="GH611" s="35">
        <v>42131</v>
      </c>
      <c r="GI611" s="26">
        <v>3.019</v>
      </c>
      <c r="GJ611" s="94">
        <f t="shared" si="284"/>
        <v>6.038</v>
      </c>
      <c r="GK611" s="104"/>
      <c r="GL611" s="104"/>
      <c r="GO611" s="94"/>
    </row>
    <row r="612" spans="3:197">
      <c r="C612" s="80" t="str" cm="1">
        <f t="array" ref="C612">_xlfn.IFS(MONTH(D612)&lt;4,1,MONTH(D612)&lt;7,2,MONTH(D612)&lt;10,3,MONTH(D612)&gt;9,4)&amp;"Q"&amp;RIGHT(YEAR(D612),2)</f>
        <v>2Q18</v>
      </c>
      <c r="D612" s="81">
        <f t="shared" si="291"/>
        <v>43281</v>
      </c>
      <c r="E612" s="82">
        <f t="shared" si="288"/>
        <v>43279</v>
      </c>
      <c r="F612" s="83">
        <f t="shared" si="290"/>
        <v>1.018375</v>
      </c>
      <c r="G612" s="83">
        <f t="shared" si="290"/>
        <v>1.02375</v>
      </c>
      <c r="H612" s="81"/>
      <c r="I612" s="146">
        <v>43279</v>
      </c>
      <c r="J612" s="147">
        <v>8.8</v>
      </c>
      <c r="K612" s="147">
        <v>7.6</v>
      </c>
      <c r="L612" s="147">
        <v>8.147</v>
      </c>
      <c r="M612" s="94" cm="1">
        <f t="array" ref="M612">INDEX($BV$29:$BV$1449,MATCH($D612,$BR$29:$BR$1449,0),)</f>
        <v>8.19</v>
      </c>
      <c r="N612" s="150">
        <f t="shared" si="287"/>
        <v>-0.0164191717976577</v>
      </c>
      <c r="O612" s="150">
        <f t="shared" si="289"/>
        <v>-0.0486921999065857</v>
      </c>
      <c r="P612" s="150">
        <f t="shared" si="285"/>
        <v>-0.0539944263817929</v>
      </c>
      <c r="Q612" s="89">
        <f t="shared" si="286"/>
        <v>-0.00525030525030512</v>
      </c>
      <c r="AH612" s="90"/>
      <c r="AI612" s="85"/>
      <c r="AJ612" s="36"/>
      <c r="AK612" s="36"/>
      <c r="AL612" s="36"/>
      <c r="AM612" s="36"/>
      <c r="AN612" s="36"/>
      <c r="AO612" s="36"/>
      <c r="AP612" s="36"/>
      <c r="FV612" s="104">
        <f t="shared" si="279"/>
        <v>2012</v>
      </c>
      <c r="FW612" s="104">
        <f t="shared" si="280"/>
        <v>45</v>
      </c>
      <c r="FX612" s="35">
        <v>41223</v>
      </c>
      <c r="FY612" s="26">
        <v>0.83</v>
      </c>
      <c r="FZ612" s="94">
        <f t="shared" si="281"/>
        <v>3.32</v>
      </c>
      <c r="GA612" s="104"/>
      <c r="GB612" s="104"/>
      <c r="GE612" s="94"/>
      <c r="GF612" s="104">
        <f t="shared" si="282"/>
        <v>2015</v>
      </c>
      <c r="GG612" s="104">
        <f t="shared" si="283"/>
        <v>19</v>
      </c>
      <c r="GH612" s="35">
        <v>42132</v>
      </c>
      <c r="GI612" s="26">
        <v>2.991</v>
      </c>
      <c r="GJ612" s="94">
        <f t="shared" si="284"/>
        <v>5.982</v>
      </c>
      <c r="GK612" s="104"/>
      <c r="GL612" s="104"/>
      <c r="GO612" s="94"/>
    </row>
    <row r="613" spans="3:197">
      <c r="C613" s="80" t="str" cm="1">
        <f t="array" ref="C613">_xlfn.IFS(MONTH(D613)&lt;4,1,MONTH(D613)&lt;7,2,MONTH(D613)&lt;10,3,MONTH(D613)&gt;9,4)&amp;"Q"&amp;RIGHT(YEAR(D613),2)</f>
        <v>2Q18</v>
      </c>
      <c r="D613" s="81">
        <f t="shared" si="291"/>
        <v>43281</v>
      </c>
      <c r="E613" s="82">
        <f t="shared" si="288"/>
        <v>43280</v>
      </c>
      <c r="F613" s="83">
        <f t="shared" si="290"/>
        <v>1.008125</v>
      </c>
      <c r="G613" s="83">
        <f t="shared" si="290"/>
        <v>1.02375</v>
      </c>
      <c r="H613" s="81"/>
      <c r="I613" s="146">
        <v>43280</v>
      </c>
      <c r="J613" s="147">
        <v>8.8</v>
      </c>
      <c r="K613" s="147">
        <v>7.6</v>
      </c>
      <c r="L613" s="147">
        <v>8.065</v>
      </c>
      <c r="M613" s="94" cm="1">
        <f t="array" ref="M613">INDEX($BV$29:$BV$1449,MATCH($D613,$BR$29:$BR$1449,0),)</f>
        <v>8.19</v>
      </c>
      <c r="N613" s="150">
        <f t="shared" si="287"/>
        <v>-0.0100650546213331</v>
      </c>
      <c r="O613" s="150">
        <f t="shared" si="289"/>
        <v>-0.0574967862568658</v>
      </c>
      <c r="P613" s="150">
        <f t="shared" si="285"/>
        <v>-0.063407269771223</v>
      </c>
      <c r="Q613" s="89">
        <f t="shared" si="286"/>
        <v>-0.0152625152625152</v>
      </c>
      <c r="AH613" s="90"/>
      <c r="AI613" s="85"/>
      <c r="AJ613" s="36"/>
      <c r="AK613" s="36"/>
      <c r="AL613" s="36"/>
      <c r="AM613" s="36"/>
      <c r="AN613" s="36"/>
      <c r="AO613" s="36"/>
      <c r="AP613" s="36"/>
      <c r="FV613" s="104">
        <f t="shared" si="279"/>
        <v>2012</v>
      </c>
      <c r="FW613" s="104">
        <f t="shared" si="280"/>
        <v>46</v>
      </c>
      <c r="FX613" s="35">
        <v>41224</v>
      </c>
      <c r="FY613" s="26">
        <v>0.83</v>
      </c>
      <c r="FZ613" s="94">
        <f t="shared" si="281"/>
        <v>3.32</v>
      </c>
      <c r="GA613" s="104"/>
      <c r="GB613" s="104"/>
      <c r="GE613" s="94"/>
      <c r="GF613" s="104">
        <f t="shared" si="282"/>
        <v>2015</v>
      </c>
      <c r="GG613" s="104">
        <f t="shared" si="283"/>
        <v>20</v>
      </c>
      <c r="GH613" s="35">
        <v>42135</v>
      </c>
      <c r="GI613" s="26">
        <v>2.979</v>
      </c>
      <c r="GJ613" s="94">
        <f t="shared" si="284"/>
        <v>5.958</v>
      </c>
      <c r="GK613" s="104"/>
      <c r="GL613" s="104"/>
      <c r="GO613" s="94"/>
    </row>
    <row r="614" spans="3:197">
      <c r="C614" s="80" t="str" cm="1">
        <f t="array" ref="C614">_xlfn.IFS(MONTH(D614)&lt;4,1,MONTH(D614)&lt;7,2,MONTH(D614)&lt;10,3,MONTH(D614)&gt;9,4)&amp;"Q"&amp;RIGHT(YEAR(D614),2)</f>
        <v>3Q18</v>
      </c>
      <c r="D614" s="81">
        <f t="shared" si="291"/>
        <v>43312</v>
      </c>
      <c r="E614" s="82">
        <f t="shared" si="288"/>
        <v>43283</v>
      </c>
      <c r="F614" s="83">
        <f t="shared" si="290"/>
        <v>1.00575</v>
      </c>
      <c r="G614" s="83">
        <f t="shared" si="290"/>
        <v>1.02375</v>
      </c>
      <c r="H614" s="81"/>
      <c r="I614" s="146">
        <v>43283</v>
      </c>
      <c r="J614" s="147">
        <v>8.8</v>
      </c>
      <c r="K614" s="147">
        <v>7.6</v>
      </c>
      <c r="L614" s="147">
        <v>8.046</v>
      </c>
      <c r="M614" s="94" cm="1">
        <f t="array" ref="M614">INDEX($BV$29:$BV$1449,MATCH($D614,$BR$29:$BR$1449,0),)</f>
        <v>8.19</v>
      </c>
      <c r="N614" s="150">
        <f t="shared" si="287"/>
        <v>-0.00235585864848109</v>
      </c>
      <c r="O614" s="150">
        <f t="shared" si="289"/>
        <v>-0.0590574201847738</v>
      </c>
      <c r="P614" s="150">
        <f t="shared" si="285"/>
        <v>-0.065396677895226</v>
      </c>
      <c r="Q614" s="89">
        <f t="shared" si="286"/>
        <v>-0.0175824175824176</v>
      </c>
      <c r="AH614" s="90"/>
      <c r="AI614" s="85"/>
      <c r="AJ614" s="36"/>
      <c r="AK614" s="36"/>
      <c r="AL614" s="36"/>
      <c r="AM614" s="36"/>
      <c r="AN614" s="36"/>
      <c r="AO614" s="36"/>
      <c r="AP614" s="36"/>
      <c r="FV614" s="104">
        <f t="shared" si="279"/>
        <v>2012</v>
      </c>
      <c r="FW614" s="104">
        <f t="shared" si="280"/>
        <v>46</v>
      </c>
      <c r="FX614" s="35">
        <v>41225</v>
      </c>
      <c r="FY614" s="26">
        <v>0.83</v>
      </c>
      <c r="FZ614" s="94">
        <f t="shared" si="281"/>
        <v>3.32</v>
      </c>
      <c r="GA614" s="104"/>
      <c r="GB614" s="104"/>
      <c r="GE614" s="94"/>
      <c r="GF614" s="104">
        <f t="shared" si="282"/>
        <v>2015</v>
      </c>
      <c r="GG614" s="104">
        <f t="shared" si="283"/>
        <v>20</v>
      </c>
      <c r="GH614" s="35">
        <v>42136</v>
      </c>
      <c r="GI614" s="26">
        <v>2.973</v>
      </c>
      <c r="GJ614" s="94">
        <f t="shared" si="284"/>
        <v>5.946</v>
      </c>
      <c r="GK614" s="104"/>
      <c r="GL614" s="104"/>
      <c r="GO614" s="94"/>
    </row>
    <row r="615" spans="3:197">
      <c r="C615" s="80" t="str" cm="1">
        <f t="array" ref="C615">_xlfn.IFS(MONTH(D615)&lt;4,1,MONTH(D615)&lt;7,2,MONTH(D615)&lt;10,3,MONTH(D615)&gt;9,4)&amp;"Q"&amp;RIGHT(YEAR(D615),2)</f>
        <v>3Q18</v>
      </c>
      <c r="D615" s="81">
        <f t="shared" si="291"/>
        <v>43312</v>
      </c>
      <c r="E615" s="82">
        <f t="shared" si="288"/>
        <v>43284</v>
      </c>
      <c r="F615" s="83">
        <f t="shared" si="290"/>
        <v>1.005125</v>
      </c>
      <c r="G615" s="83">
        <f t="shared" si="290"/>
        <v>1.02375</v>
      </c>
      <c r="H615" s="81"/>
      <c r="I615" s="146">
        <v>43284</v>
      </c>
      <c r="J615" s="147">
        <v>8.8</v>
      </c>
      <c r="K615" s="147">
        <v>7.6</v>
      </c>
      <c r="L615" s="147">
        <v>8.041</v>
      </c>
      <c r="M615" s="94" cm="1">
        <f t="array" ref="M615">INDEX($BV$29:$BV$1449,MATCH($D615,$BR$29:$BR$1449,0),)</f>
        <v>8.19</v>
      </c>
      <c r="N615" s="150">
        <f t="shared" si="287"/>
        <v>-0.000621426795923363</v>
      </c>
      <c r="O615" s="150">
        <f t="shared" si="289"/>
        <v>-0.0575480543834974</v>
      </c>
      <c r="P615" s="150">
        <f t="shared" si="285"/>
        <v>-0.0659774654431409</v>
      </c>
      <c r="Q615" s="89">
        <f t="shared" si="286"/>
        <v>-0.0181929181929181</v>
      </c>
      <c r="AH615" s="90"/>
      <c r="AI615" s="85"/>
      <c r="AJ615" s="36"/>
      <c r="AK615" s="36"/>
      <c r="AL615" s="36"/>
      <c r="AM615" s="36"/>
      <c r="AN615" s="36"/>
      <c r="AO615" s="36"/>
      <c r="AP615" s="36"/>
      <c r="FV615" s="104">
        <f t="shared" si="279"/>
        <v>2012</v>
      </c>
      <c r="FW615" s="104">
        <f t="shared" si="280"/>
        <v>46</v>
      </c>
      <c r="FX615" s="35">
        <v>41226</v>
      </c>
      <c r="FY615" s="26">
        <v>0.83</v>
      </c>
      <c r="FZ615" s="94">
        <f t="shared" si="281"/>
        <v>3.32</v>
      </c>
      <c r="GA615" s="104"/>
      <c r="GB615" s="104"/>
      <c r="GE615" s="94"/>
      <c r="GF615" s="104">
        <f t="shared" si="282"/>
        <v>2015</v>
      </c>
      <c r="GG615" s="104">
        <f t="shared" si="283"/>
        <v>20</v>
      </c>
      <c r="GH615" s="35">
        <v>42137</v>
      </c>
      <c r="GI615" s="26">
        <v>2.967</v>
      </c>
      <c r="GJ615" s="94">
        <f t="shared" si="284"/>
        <v>5.934</v>
      </c>
      <c r="GK615" s="104"/>
      <c r="GL615" s="104"/>
      <c r="GO615" s="94"/>
    </row>
    <row r="616" spans="3:197">
      <c r="C616" s="80" t="str" cm="1">
        <f t="array" ref="C616">_xlfn.IFS(MONTH(D616)&lt;4,1,MONTH(D616)&lt;7,2,MONTH(D616)&lt;10,3,MONTH(D616)&gt;9,4)&amp;"Q"&amp;RIGHT(YEAR(D616),2)</f>
        <v>3Q18</v>
      </c>
      <c r="D616" s="81">
        <f t="shared" si="291"/>
        <v>43312</v>
      </c>
      <c r="E616" s="82">
        <f t="shared" si="288"/>
        <v>43285</v>
      </c>
      <c r="F616" s="83">
        <f t="shared" si="290"/>
        <v>1.002125</v>
      </c>
      <c r="G616" s="83">
        <f t="shared" si="290"/>
        <v>1.02375</v>
      </c>
      <c r="H616" s="81"/>
      <c r="I616" s="146">
        <v>43285</v>
      </c>
      <c r="J616" s="147">
        <v>8.8</v>
      </c>
      <c r="K616" s="147">
        <v>7.55</v>
      </c>
      <c r="L616" s="147">
        <v>8.017</v>
      </c>
      <c r="M616" s="94" cm="1">
        <f t="array" ref="M616">INDEX($BV$29:$BV$1449,MATCH($D616,$BR$29:$BR$1449,0),)</f>
        <v>8.19</v>
      </c>
      <c r="N616" s="150">
        <f t="shared" si="287"/>
        <v>-0.00298470339510026</v>
      </c>
      <c r="O616" s="150">
        <f t="shared" si="289"/>
        <v>-0.0321139683689484</v>
      </c>
      <c r="P616" s="150">
        <f t="shared" si="285"/>
        <v>-0.0680074401302023</v>
      </c>
      <c r="Q616" s="89">
        <f t="shared" si="286"/>
        <v>-0.0211233211233212</v>
      </c>
      <c r="AH616" s="90"/>
      <c r="AI616" s="85"/>
      <c r="AJ616" s="36"/>
      <c r="AK616" s="36"/>
      <c r="AL616" s="36"/>
      <c r="AM616" s="36"/>
      <c r="AN616" s="36"/>
      <c r="AO616" s="36"/>
      <c r="AP616" s="36"/>
      <c r="FV616" s="104">
        <f t="shared" si="279"/>
        <v>2012</v>
      </c>
      <c r="FW616" s="104">
        <f t="shared" si="280"/>
        <v>46</v>
      </c>
      <c r="FX616" s="35">
        <v>41227</v>
      </c>
      <c r="FY616" s="26">
        <v>0.83</v>
      </c>
      <c r="FZ616" s="94">
        <f t="shared" si="281"/>
        <v>3.32</v>
      </c>
      <c r="GA616" s="104"/>
      <c r="GB616" s="104"/>
      <c r="GE616" s="94"/>
      <c r="GF616" s="104">
        <f t="shared" si="282"/>
        <v>2015</v>
      </c>
      <c r="GG616" s="104">
        <f t="shared" si="283"/>
        <v>20</v>
      </c>
      <c r="GH616" s="35">
        <v>42138</v>
      </c>
      <c r="GI616" s="26">
        <v>2.961</v>
      </c>
      <c r="GJ616" s="94">
        <f t="shared" si="284"/>
        <v>5.922</v>
      </c>
      <c r="GK616" s="104"/>
      <c r="GL616" s="104"/>
      <c r="GO616" s="94"/>
    </row>
    <row r="617" spans="3:197">
      <c r="C617" s="80" t="str" cm="1">
        <f t="array" ref="C617">_xlfn.IFS(MONTH(D617)&lt;4,1,MONTH(D617)&lt;7,2,MONTH(D617)&lt;10,3,MONTH(D617)&gt;9,4)&amp;"Q"&amp;RIGHT(YEAR(D617),2)</f>
        <v>3Q18</v>
      </c>
      <c r="D617" s="81">
        <f t="shared" si="291"/>
        <v>43312</v>
      </c>
      <c r="E617" s="82">
        <f t="shared" si="288"/>
        <v>43286</v>
      </c>
      <c r="F617" s="83">
        <f t="shared" si="290"/>
        <v>1.001375</v>
      </c>
      <c r="G617" s="83">
        <f t="shared" si="290"/>
        <v>1.02375</v>
      </c>
      <c r="H617" s="81"/>
      <c r="I617" s="146">
        <v>43286</v>
      </c>
      <c r="J617" s="147">
        <v>8.8</v>
      </c>
      <c r="K617" s="147">
        <v>7.6</v>
      </c>
      <c r="L617" s="147">
        <v>8.011</v>
      </c>
      <c r="M617" s="94" cm="1">
        <f t="array" ref="M617">INDEX($BV$29:$BV$1449,MATCH($D617,$BR$29:$BR$1449,0),)</f>
        <v>8.19</v>
      </c>
      <c r="N617" s="150">
        <f t="shared" si="287"/>
        <v>-0.000748409629537261</v>
      </c>
      <c r="O617" s="150">
        <f t="shared" si="289"/>
        <v>-0.0166932613231866</v>
      </c>
      <c r="P617" s="150">
        <f t="shared" si="285"/>
        <v>-0.0645726296123308</v>
      </c>
      <c r="Q617" s="89">
        <f t="shared" si="286"/>
        <v>-0.0218559218559219</v>
      </c>
      <c r="AH617" s="90"/>
      <c r="AI617" s="85"/>
      <c r="AJ617" s="36"/>
      <c r="AK617" s="36"/>
      <c r="AL617" s="36"/>
      <c r="AM617" s="36"/>
      <c r="AN617" s="36"/>
      <c r="AO617" s="36"/>
      <c r="AP617" s="36"/>
      <c r="FV617" s="104">
        <f t="shared" si="279"/>
        <v>2012</v>
      </c>
      <c r="FW617" s="104">
        <f t="shared" si="280"/>
        <v>46</v>
      </c>
      <c r="FX617" s="35">
        <v>41228</v>
      </c>
      <c r="FY617" s="26">
        <v>0.83</v>
      </c>
      <c r="FZ617" s="94">
        <f t="shared" si="281"/>
        <v>3.32</v>
      </c>
      <c r="GA617" s="104"/>
      <c r="GB617" s="104"/>
      <c r="GE617" s="94"/>
      <c r="GF617" s="104">
        <f t="shared" si="282"/>
        <v>2015</v>
      </c>
      <c r="GG617" s="104">
        <f t="shared" si="283"/>
        <v>20</v>
      </c>
      <c r="GH617" s="35">
        <v>42139</v>
      </c>
      <c r="GI617" s="26">
        <v>2.947</v>
      </c>
      <c r="GJ617" s="94">
        <f t="shared" si="284"/>
        <v>5.894</v>
      </c>
      <c r="GK617" s="104"/>
      <c r="GL617" s="104"/>
      <c r="GO617" s="94"/>
    </row>
    <row r="618" spans="3:197">
      <c r="C618" s="80" t="str" cm="1">
        <f t="array" ref="C618">_xlfn.IFS(MONTH(D618)&lt;4,1,MONTH(D618)&lt;7,2,MONTH(D618)&lt;10,3,MONTH(D618)&gt;9,4)&amp;"Q"&amp;RIGHT(YEAR(D618),2)</f>
        <v>3Q18</v>
      </c>
      <c r="D618" s="81">
        <f t="shared" si="291"/>
        <v>43312</v>
      </c>
      <c r="E618" s="82">
        <f t="shared" si="288"/>
        <v>43287</v>
      </c>
      <c r="F618" s="83">
        <f t="shared" si="290"/>
        <v>1.001375</v>
      </c>
      <c r="G618" s="83">
        <f t="shared" si="290"/>
        <v>1.02375</v>
      </c>
      <c r="H618" s="81"/>
      <c r="I618" s="146">
        <v>43287</v>
      </c>
      <c r="J618" s="147">
        <v>8.8</v>
      </c>
      <c r="K618" s="147">
        <v>7.62</v>
      </c>
      <c r="L618" s="147">
        <v>8.011</v>
      </c>
      <c r="M618" s="94" cm="1">
        <f t="array" ref="M618">INDEX($BV$29:$BV$1449,MATCH($D618,$BR$29:$BR$1449,0),)</f>
        <v>8.19</v>
      </c>
      <c r="N618" s="150">
        <f t="shared" si="287"/>
        <v>0</v>
      </c>
      <c r="O618" s="150">
        <f t="shared" si="289"/>
        <v>-0.00669559826410415</v>
      </c>
      <c r="P618" s="150">
        <f t="shared" si="285"/>
        <v>-0.063807409138717</v>
      </c>
      <c r="Q618" s="89">
        <f t="shared" si="286"/>
        <v>-0.0218559218559219</v>
      </c>
      <c r="AH618" s="90"/>
      <c r="AI618" s="85"/>
      <c r="AJ618" s="36"/>
      <c r="AK618" s="36"/>
      <c r="AL618" s="36"/>
      <c r="AM618" s="36"/>
      <c r="AN618" s="36"/>
      <c r="AO618" s="36"/>
      <c r="AP618" s="36"/>
      <c r="FV618" s="104">
        <f t="shared" si="279"/>
        <v>2012</v>
      </c>
      <c r="FW618" s="104">
        <f t="shared" si="280"/>
        <v>46</v>
      </c>
      <c r="FX618" s="35">
        <v>41229</v>
      </c>
      <c r="FY618" s="26">
        <v>0.83</v>
      </c>
      <c r="FZ618" s="94">
        <f t="shared" si="281"/>
        <v>3.32</v>
      </c>
      <c r="GA618" s="104"/>
      <c r="GB618" s="104"/>
      <c r="GE618" s="94"/>
      <c r="GF618" s="104">
        <f t="shared" si="282"/>
        <v>2015</v>
      </c>
      <c r="GG618" s="104">
        <f t="shared" si="283"/>
        <v>21</v>
      </c>
      <c r="GH618" s="35">
        <v>42142</v>
      </c>
      <c r="GI618" s="26">
        <v>2.946</v>
      </c>
      <c r="GJ618" s="94">
        <f t="shared" si="284"/>
        <v>5.892</v>
      </c>
      <c r="GK618" s="104"/>
      <c r="GL618" s="104"/>
      <c r="GO618" s="94"/>
    </row>
    <row r="619" spans="3:197">
      <c r="C619" s="80" t="str" cm="1">
        <f t="array" ref="C619">_xlfn.IFS(MONTH(D619)&lt;4,1,MONTH(D619)&lt;7,2,MONTH(D619)&lt;10,3,MONTH(D619)&gt;9,4)&amp;"Q"&amp;RIGHT(YEAR(D619),2)</f>
        <v>3Q18</v>
      </c>
      <c r="D619" s="81">
        <f t="shared" si="291"/>
        <v>43312</v>
      </c>
      <c r="E619" s="82">
        <f t="shared" si="288"/>
        <v>43290</v>
      </c>
      <c r="F619" s="83">
        <f t="shared" si="290"/>
        <v>1.0045</v>
      </c>
      <c r="G619" s="83">
        <f t="shared" si="290"/>
        <v>1.02375</v>
      </c>
      <c r="H619" s="81"/>
      <c r="I619" s="146">
        <v>43290</v>
      </c>
      <c r="J619" s="147">
        <v>8.8</v>
      </c>
      <c r="K619" s="147">
        <v>7.65</v>
      </c>
      <c r="L619" s="147">
        <v>8.036</v>
      </c>
      <c r="M619" s="94" cm="1">
        <f t="array" ref="M619">INDEX($BV$29:$BV$1449,MATCH($D619,$BR$29:$BR$1449,0),)</f>
        <v>8.19</v>
      </c>
      <c r="N619" s="150">
        <f t="shared" si="287"/>
        <v>0.00312070902509065</v>
      </c>
      <c r="O619" s="150">
        <f t="shared" si="289"/>
        <v>-0.00124285359184684</v>
      </c>
      <c r="P619" s="150">
        <f t="shared" si="285"/>
        <v>-0.0602268740498187</v>
      </c>
      <c r="Q619" s="89">
        <f t="shared" si="286"/>
        <v>-0.0188034188034188</v>
      </c>
      <c r="AH619" s="90"/>
      <c r="AI619" s="85"/>
      <c r="AJ619" s="36"/>
      <c r="AK619" s="36"/>
      <c r="AL619" s="36"/>
      <c r="AM619" s="36"/>
      <c r="AN619" s="36"/>
      <c r="AO619" s="36"/>
      <c r="AP619" s="36"/>
      <c r="FV619" s="104">
        <f t="shared" si="279"/>
        <v>2012</v>
      </c>
      <c r="FW619" s="104">
        <f t="shared" si="280"/>
        <v>46</v>
      </c>
      <c r="FX619" s="35">
        <v>41230</v>
      </c>
      <c r="FY619" s="26">
        <v>0.83</v>
      </c>
      <c r="FZ619" s="94">
        <f t="shared" si="281"/>
        <v>3.32</v>
      </c>
      <c r="GA619" s="104"/>
      <c r="GB619" s="104"/>
      <c r="GE619" s="94"/>
      <c r="GF619" s="104">
        <f t="shared" si="282"/>
        <v>2015</v>
      </c>
      <c r="GG619" s="104">
        <f t="shared" si="283"/>
        <v>21</v>
      </c>
      <c r="GH619" s="35">
        <v>42143</v>
      </c>
      <c r="GI619" s="26">
        <v>2.943</v>
      </c>
      <c r="GJ619" s="94">
        <f t="shared" si="284"/>
        <v>5.886</v>
      </c>
      <c r="GK619" s="104"/>
      <c r="GL619" s="104"/>
      <c r="GO619" s="94"/>
    </row>
    <row r="620" spans="3:197">
      <c r="C620" s="80" t="str" cm="1">
        <f t="array" ref="C620">_xlfn.IFS(MONTH(D620)&lt;4,1,MONTH(D620)&lt;7,2,MONTH(D620)&lt;10,3,MONTH(D620)&gt;9,4)&amp;"Q"&amp;RIGHT(YEAR(D620),2)</f>
        <v>3Q18</v>
      </c>
      <c r="D620" s="81">
        <f t="shared" si="291"/>
        <v>43312</v>
      </c>
      <c r="E620" s="82">
        <f t="shared" si="288"/>
        <v>43291</v>
      </c>
      <c r="F620" s="83">
        <f t="shared" si="290"/>
        <v>1.0045</v>
      </c>
      <c r="G620" s="83">
        <f t="shared" si="290"/>
        <v>1.02375</v>
      </c>
      <c r="H620" s="81"/>
      <c r="I620" s="146">
        <v>43291</v>
      </c>
      <c r="J620" s="147">
        <v>8.8</v>
      </c>
      <c r="K620" s="147">
        <v>7.65</v>
      </c>
      <c r="L620" s="147">
        <v>8.036</v>
      </c>
      <c r="M620" s="94" cm="1">
        <f t="array" ref="M620">INDEX($BV$29:$BV$1449,MATCH($D620,$BR$29:$BR$1449,0),)</f>
        <v>8.19</v>
      </c>
      <c r="N620" s="150">
        <f t="shared" si="287"/>
        <v>0</v>
      </c>
      <c r="O620" s="150">
        <f t="shared" si="289"/>
        <v>-0.000621813207312583</v>
      </c>
      <c r="P620" s="150">
        <f t="shared" si="285"/>
        <v>-0.0581340834505392</v>
      </c>
      <c r="Q620" s="89">
        <f t="shared" si="286"/>
        <v>-0.0188034188034188</v>
      </c>
      <c r="AH620" s="90"/>
      <c r="AI620" s="85"/>
      <c r="AJ620" s="36"/>
      <c r="AK620" s="36"/>
      <c r="AL620" s="36"/>
      <c r="AM620" s="36"/>
      <c r="AN620" s="36"/>
      <c r="AO620" s="36"/>
      <c r="AP620" s="36"/>
      <c r="FV620" s="104">
        <f t="shared" si="279"/>
        <v>2012</v>
      </c>
      <c r="FW620" s="104">
        <f t="shared" si="280"/>
        <v>47</v>
      </c>
      <c r="FX620" s="35">
        <v>41231</v>
      </c>
      <c r="FY620" s="26">
        <v>0.83</v>
      </c>
      <c r="FZ620" s="94">
        <f t="shared" si="281"/>
        <v>3.32</v>
      </c>
      <c r="GA620" s="104"/>
      <c r="GB620" s="104"/>
      <c r="GE620" s="94"/>
      <c r="GF620" s="104">
        <f t="shared" si="282"/>
        <v>2015</v>
      </c>
      <c r="GG620" s="104">
        <f t="shared" si="283"/>
        <v>21</v>
      </c>
      <c r="GH620" s="35">
        <v>42144</v>
      </c>
      <c r="GI620" s="26">
        <v>2.934</v>
      </c>
      <c r="GJ620" s="94">
        <f t="shared" si="284"/>
        <v>5.868</v>
      </c>
      <c r="GK620" s="104"/>
      <c r="GL620" s="104"/>
      <c r="GO620" s="94"/>
    </row>
    <row r="621" spans="3:197">
      <c r="C621" s="80" t="str" cm="1">
        <f t="array" ref="C621">_xlfn.IFS(MONTH(D621)&lt;4,1,MONTH(D621)&lt;7,2,MONTH(D621)&lt;10,3,MONTH(D621)&gt;9,4)&amp;"Q"&amp;RIGHT(YEAR(D621),2)</f>
        <v>3Q18</v>
      </c>
      <c r="D621" s="81">
        <f t="shared" si="291"/>
        <v>43312</v>
      </c>
      <c r="E621" s="82">
        <f t="shared" si="288"/>
        <v>43292</v>
      </c>
      <c r="F621" s="83">
        <f t="shared" si="290"/>
        <v>1.0045</v>
      </c>
      <c r="G621" s="83">
        <f t="shared" si="290"/>
        <v>1.02375</v>
      </c>
      <c r="H621" s="81"/>
      <c r="I621" s="146">
        <v>43292</v>
      </c>
      <c r="J621" s="147">
        <v>8.8</v>
      </c>
      <c r="K621" s="147">
        <v>7.65</v>
      </c>
      <c r="L621" s="147">
        <v>8.036</v>
      </c>
      <c r="M621" s="94" cm="1">
        <f t="array" ref="M621">INDEX($BV$29:$BV$1449,MATCH($D621,$BR$29:$BR$1449,0),)</f>
        <v>8.19</v>
      </c>
      <c r="N621" s="150">
        <f t="shared" si="287"/>
        <v>0</v>
      </c>
      <c r="O621" s="150">
        <f t="shared" si="289"/>
        <v>0.00236996382686794</v>
      </c>
      <c r="P621" s="150">
        <f t="shared" si="285"/>
        <v>-0.0298201134854521</v>
      </c>
      <c r="Q621" s="89">
        <f t="shared" si="286"/>
        <v>-0.0188034188034188</v>
      </c>
      <c r="AH621" s="90"/>
      <c r="AI621" s="85"/>
      <c r="AJ621" s="36"/>
      <c r="AK621" s="36"/>
      <c r="AL621" s="36"/>
      <c r="AM621" s="36"/>
      <c r="AN621" s="36"/>
      <c r="AO621" s="36"/>
      <c r="AP621" s="36"/>
      <c r="FV621" s="104">
        <f t="shared" si="279"/>
        <v>2012</v>
      </c>
      <c r="FW621" s="104">
        <f t="shared" si="280"/>
        <v>47</v>
      </c>
      <c r="FX621" s="35">
        <v>41232</v>
      </c>
      <c r="FY621" s="26">
        <v>0.83</v>
      </c>
      <c r="FZ621" s="94">
        <f t="shared" si="281"/>
        <v>3.32</v>
      </c>
      <c r="GA621" s="104"/>
      <c r="GB621" s="104"/>
      <c r="GE621" s="94"/>
      <c r="GF621" s="104">
        <f t="shared" si="282"/>
        <v>2015</v>
      </c>
      <c r="GG621" s="104">
        <f t="shared" si="283"/>
        <v>21</v>
      </c>
      <c r="GH621" s="35">
        <v>42145</v>
      </c>
      <c r="GI621" s="26">
        <v>2.922</v>
      </c>
      <c r="GJ621" s="94">
        <f t="shared" si="284"/>
        <v>5.844</v>
      </c>
      <c r="GK621" s="104"/>
      <c r="GL621" s="104"/>
      <c r="GO621" s="94"/>
    </row>
    <row r="622" spans="3:197">
      <c r="C622" s="80" t="str" cm="1">
        <f t="array" ref="C622">_xlfn.IFS(MONTH(D622)&lt;4,1,MONTH(D622)&lt;7,2,MONTH(D622)&lt;10,3,MONTH(D622)&gt;9,4)&amp;"Q"&amp;RIGHT(YEAR(D622),2)</f>
        <v>3Q18</v>
      </c>
      <c r="D622" s="81">
        <f t="shared" si="291"/>
        <v>43312</v>
      </c>
      <c r="E622" s="82">
        <f t="shared" si="288"/>
        <v>43293</v>
      </c>
      <c r="F622" s="83">
        <f t="shared" si="290"/>
        <v>1.01325</v>
      </c>
      <c r="G622" s="83">
        <f t="shared" si="290"/>
        <v>1.02375</v>
      </c>
      <c r="H622" s="81"/>
      <c r="I622" s="146">
        <v>43293</v>
      </c>
      <c r="J622" s="147">
        <v>8.7</v>
      </c>
      <c r="K622" s="147">
        <v>7.65</v>
      </c>
      <c r="L622" s="147">
        <v>8.106</v>
      </c>
      <c r="M622" s="94" cm="1">
        <f t="array" ref="M622">INDEX($BV$29:$BV$1449,MATCH($D622,$BR$29:$BR$1449,0),)</f>
        <v>8.19</v>
      </c>
      <c r="N622" s="150">
        <f t="shared" si="287"/>
        <v>0.00871080139372826</v>
      </c>
      <c r="O622" s="150">
        <f t="shared" si="289"/>
        <v>0.011858694295344</v>
      </c>
      <c r="P622" s="150">
        <f t="shared" si="285"/>
        <v>-0.0050325273106665</v>
      </c>
      <c r="Q622" s="89">
        <f t="shared" si="286"/>
        <v>-0.0102564102564102</v>
      </c>
      <c r="AH622" s="90"/>
      <c r="AI622" s="85"/>
      <c r="AJ622" s="36"/>
      <c r="AK622" s="36"/>
      <c r="AL622" s="36"/>
      <c r="AM622" s="36"/>
      <c r="AN622" s="36"/>
      <c r="AO622" s="36"/>
      <c r="AP622" s="36"/>
      <c r="FV622" s="104">
        <f t="shared" si="279"/>
        <v>2012</v>
      </c>
      <c r="FW622" s="104">
        <f t="shared" si="280"/>
        <v>47</v>
      </c>
      <c r="FX622" s="35">
        <v>41233</v>
      </c>
      <c r="FY622" s="26">
        <v>0.82</v>
      </c>
      <c r="FZ622" s="94">
        <f t="shared" si="281"/>
        <v>3.28</v>
      </c>
      <c r="GA622" s="104"/>
      <c r="GB622" s="104"/>
      <c r="GE622" s="94"/>
      <c r="GF622" s="104">
        <f t="shared" si="282"/>
        <v>2015</v>
      </c>
      <c r="GG622" s="104">
        <f t="shared" si="283"/>
        <v>21</v>
      </c>
      <c r="GH622" s="35">
        <v>42146</v>
      </c>
      <c r="GI622" s="26">
        <v>2.916</v>
      </c>
      <c r="GJ622" s="94">
        <f t="shared" si="284"/>
        <v>5.832</v>
      </c>
      <c r="GK622" s="104"/>
      <c r="GL622" s="104"/>
      <c r="GO622" s="94"/>
    </row>
    <row r="623" spans="3:197">
      <c r="C623" s="80" t="str" cm="1">
        <f t="array" ref="C623">_xlfn.IFS(MONTH(D623)&lt;4,1,MONTH(D623)&lt;7,2,MONTH(D623)&lt;10,3,MONTH(D623)&gt;9,4)&amp;"Q"&amp;RIGHT(YEAR(D623),2)</f>
        <v>3Q18</v>
      </c>
      <c r="D623" s="81">
        <f t="shared" si="291"/>
        <v>43312</v>
      </c>
      <c r="E623" s="82">
        <f t="shared" si="288"/>
        <v>43294</v>
      </c>
      <c r="F623" s="83">
        <f t="shared" si="290"/>
        <v>1.010125</v>
      </c>
      <c r="G623" s="83">
        <f t="shared" si="290"/>
        <v>1.02375</v>
      </c>
      <c r="H623" s="81"/>
      <c r="I623" s="146">
        <v>43294</v>
      </c>
      <c r="J623" s="147">
        <v>8.65</v>
      </c>
      <c r="K623" s="147">
        <v>7.65</v>
      </c>
      <c r="L623" s="147">
        <v>8.081</v>
      </c>
      <c r="M623" s="94" cm="1">
        <f t="array" ref="M623">INDEX($BV$29:$BV$1449,MATCH($D623,$BR$29:$BR$1449,0),)</f>
        <v>8.19</v>
      </c>
      <c r="N623" s="150">
        <f t="shared" si="287"/>
        <v>-0.0030841352084876</v>
      </c>
      <c r="O623" s="150">
        <f t="shared" si="289"/>
        <v>0.00873798527025338</v>
      </c>
      <c r="P623" s="150">
        <f t="shared" si="285"/>
        <v>0.00198388096714197</v>
      </c>
      <c r="Q623" s="89">
        <f t="shared" si="286"/>
        <v>-0.0133089133089133</v>
      </c>
      <c r="AH623" s="90"/>
      <c r="AI623" s="85"/>
      <c r="AJ623" s="36"/>
      <c r="AK623" s="36"/>
      <c r="AL623" s="36"/>
      <c r="AM623" s="36"/>
      <c r="AN623" s="36"/>
      <c r="AO623" s="36"/>
      <c r="AP623" s="36"/>
      <c r="FV623" s="104">
        <f t="shared" si="279"/>
        <v>2012</v>
      </c>
      <c r="FW623" s="104">
        <f t="shared" si="280"/>
        <v>47</v>
      </c>
      <c r="FX623" s="35">
        <v>41234</v>
      </c>
      <c r="FY623" s="26">
        <v>0.82</v>
      </c>
      <c r="FZ623" s="94">
        <f t="shared" si="281"/>
        <v>3.28</v>
      </c>
      <c r="GA623" s="104"/>
      <c r="GB623" s="104"/>
      <c r="GE623" s="94"/>
      <c r="GF623" s="104">
        <f t="shared" si="282"/>
        <v>2015</v>
      </c>
      <c r="GG623" s="104">
        <f t="shared" si="283"/>
        <v>22</v>
      </c>
      <c r="GH623" s="35">
        <v>42149</v>
      </c>
      <c r="GI623" s="26">
        <v>2.913</v>
      </c>
      <c r="GJ623" s="94">
        <f t="shared" si="284"/>
        <v>5.826</v>
      </c>
      <c r="GK623" s="104"/>
      <c r="GL623" s="104"/>
      <c r="GO623" s="94"/>
    </row>
    <row r="624" spans="3:197">
      <c r="C624" s="80" t="str" cm="1">
        <f t="array" ref="C624">_xlfn.IFS(MONTH(D624)&lt;4,1,MONTH(D624)&lt;7,2,MONTH(D624)&lt;10,3,MONTH(D624)&gt;9,4)&amp;"Q"&amp;RIGHT(YEAR(D624),2)</f>
        <v>3Q18</v>
      </c>
      <c r="D624" s="81">
        <f t="shared" si="291"/>
        <v>43312</v>
      </c>
      <c r="E624" s="82">
        <f t="shared" si="288"/>
        <v>43297</v>
      </c>
      <c r="F624" s="83">
        <f t="shared" si="290"/>
        <v>1.008875</v>
      </c>
      <c r="G624" s="83">
        <f t="shared" si="290"/>
        <v>1.02375</v>
      </c>
      <c r="H624" s="81"/>
      <c r="I624" s="146">
        <v>43297</v>
      </c>
      <c r="J624" s="147">
        <v>8.6</v>
      </c>
      <c r="K624" s="147">
        <v>7.65</v>
      </c>
      <c r="L624" s="147">
        <v>8.071</v>
      </c>
      <c r="M624" s="94" cm="1">
        <f t="array" ref="M624">INDEX($BV$29:$BV$1449,MATCH($D624,$BR$29:$BR$1449,0),)</f>
        <v>8.19</v>
      </c>
      <c r="N624" s="150">
        <f t="shared" si="287"/>
        <v>-0.00123747061007295</v>
      </c>
      <c r="O624" s="150">
        <f t="shared" si="289"/>
        <v>0.00435540069686402</v>
      </c>
      <c r="P624" s="150">
        <f t="shared" si="285"/>
        <v>0.00310713397961715</v>
      </c>
      <c r="Q624" s="89">
        <f t="shared" si="286"/>
        <v>-0.0145299145299145</v>
      </c>
      <c r="AH624" s="90"/>
      <c r="AI624" s="85"/>
      <c r="AJ624" s="36"/>
      <c r="AK624" s="36"/>
      <c r="AL624" s="36"/>
      <c r="AM624" s="36"/>
      <c r="AN624" s="36"/>
      <c r="AO624" s="36"/>
      <c r="AP624" s="36"/>
      <c r="FV624" s="104">
        <f t="shared" si="279"/>
        <v>2012</v>
      </c>
      <c r="FW624" s="104">
        <f t="shared" si="280"/>
        <v>47</v>
      </c>
      <c r="FX624" s="35">
        <v>41235</v>
      </c>
      <c r="FY624" s="26">
        <v>0.82</v>
      </c>
      <c r="FZ624" s="94">
        <f t="shared" si="281"/>
        <v>3.28</v>
      </c>
      <c r="GA624" s="104"/>
      <c r="GB624" s="104"/>
      <c r="GE624" s="94"/>
      <c r="GF624" s="104">
        <f t="shared" si="282"/>
        <v>2015</v>
      </c>
      <c r="GG624" s="104">
        <f t="shared" si="283"/>
        <v>22</v>
      </c>
      <c r="GH624" s="35">
        <v>42150</v>
      </c>
      <c r="GI624" s="26">
        <v>2.903</v>
      </c>
      <c r="GJ624" s="94">
        <f t="shared" si="284"/>
        <v>5.806</v>
      </c>
      <c r="GK624" s="104"/>
      <c r="GL624" s="104"/>
      <c r="GO624" s="94"/>
    </row>
    <row r="625" spans="3:197">
      <c r="C625" s="80" t="str" cm="1">
        <f t="array" ref="C625">_xlfn.IFS(MONTH(D625)&lt;4,1,MONTH(D625)&lt;7,2,MONTH(D625)&lt;10,3,MONTH(D625)&gt;9,4)&amp;"Q"&amp;RIGHT(YEAR(D625),2)</f>
        <v>3Q18</v>
      </c>
      <c r="D625" s="81">
        <f t="shared" si="291"/>
        <v>43312</v>
      </c>
      <c r="E625" s="82">
        <f t="shared" si="288"/>
        <v>43298</v>
      </c>
      <c r="F625" s="83">
        <f t="shared" si="290"/>
        <v>1.0015</v>
      </c>
      <c r="G625" s="83">
        <f t="shared" si="290"/>
        <v>1.02375</v>
      </c>
      <c r="H625" s="81"/>
      <c r="I625" s="146">
        <v>43298</v>
      </c>
      <c r="J625" s="147">
        <v>8.6</v>
      </c>
      <c r="K625" s="147">
        <v>7.65</v>
      </c>
      <c r="L625" s="147">
        <v>8.012</v>
      </c>
      <c r="M625" s="94" cm="1">
        <f t="array" ref="M625">INDEX($BV$29:$BV$1449,MATCH($D625,$BR$29:$BR$1449,0),)</f>
        <v>8.19</v>
      </c>
      <c r="N625" s="150">
        <f t="shared" si="287"/>
        <v>-0.0073101226613802</v>
      </c>
      <c r="O625" s="150">
        <f t="shared" si="289"/>
        <v>-0.00298656047784962</v>
      </c>
      <c r="P625" s="150">
        <f t="shared" si="285"/>
        <v>-0.00360651660241262</v>
      </c>
      <c r="Q625" s="89">
        <f t="shared" si="286"/>
        <v>-0.0217338217338217</v>
      </c>
      <c r="AH625" s="90"/>
      <c r="AI625" s="85"/>
      <c r="AJ625" s="36"/>
      <c r="AK625" s="36"/>
      <c r="AL625" s="36"/>
      <c r="AM625" s="36"/>
      <c r="AN625" s="36"/>
      <c r="AO625" s="36"/>
      <c r="AP625" s="36"/>
      <c r="FV625" s="104">
        <f t="shared" si="279"/>
        <v>2012</v>
      </c>
      <c r="FW625" s="104">
        <f t="shared" si="280"/>
        <v>47</v>
      </c>
      <c r="FX625" s="35">
        <v>41236</v>
      </c>
      <c r="FY625" s="26">
        <v>0.82</v>
      </c>
      <c r="FZ625" s="94">
        <f t="shared" si="281"/>
        <v>3.28</v>
      </c>
      <c r="GA625" s="104"/>
      <c r="GB625" s="104"/>
      <c r="GE625" s="94"/>
      <c r="GF625" s="104">
        <f t="shared" si="282"/>
        <v>2015</v>
      </c>
      <c r="GG625" s="104">
        <f t="shared" si="283"/>
        <v>22</v>
      </c>
      <c r="GH625" s="35">
        <v>42151</v>
      </c>
      <c r="GI625" s="26">
        <v>2.902</v>
      </c>
      <c r="GJ625" s="94">
        <f t="shared" si="284"/>
        <v>5.804</v>
      </c>
      <c r="GK625" s="104"/>
      <c r="GL625" s="104"/>
      <c r="GO625" s="94"/>
    </row>
    <row r="626" spans="3:197">
      <c r="C626" s="80" t="str" cm="1">
        <f t="array" ref="C626">_xlfn.IFS(MONTH(D626)&lt;4,1,MONTH(D626)&lt;7,2,MONTH(D626)&lt;10,3,MONTH(D626)&gt;9,4)&amp;"Q"&amp;RIGHT(YEAR(D626),2)</f>
        <v>3Q18</v>
      </c>
      <c r="D626" s="81">
        <f t="shared" si="291"/>
        <v>43312</v>
      </c>
      <c r="E626" s="82">
        <f t="shared" si="288"/>
        <v>43299</v>
      </c>
      <c r="F626" s="83">
        <f t="shared" si="290"/>
        <v>0.997375</v>
      </c>
      <c r="G626" s="83">
        <f t="shared" si="290"/>
        <v>1.02375</v>
      </c>
      <c r="H626" s="81"/>
      <c r="I626" s="146">
        <v>43299</v>
      </c>
      <c r="J626" s="147">
        <v>8.6</v>
      </c>
      <c r="K626" s="147">
        <v>7.6</v>
      </c>
      <c r="L626" s="147">
        <v>7.979</v>
      </c>
      <c r="M626" s="94" cm="1">
        <f t="array" ref="M626">INDEX($BV$29:$BV$1449,MATCH($D626,$BR$29:$BR$1449,0),)</f>
        <v>8.19</v>
      </c>
      <c r="N626" s="150">
        <f t="shared" si="287"/>
        <v>-0.00411882176734901</v>
      </c>
      <c r="O626" s="150">
        <f t="shared" si="289"/>
        <v>-0.00709308113489293</v>
      </c>
      <c r="P626" s="150">
        <f t="shared" si="285"/>
        <v>-0.00473992765373576</v>
      </c>
      <c r="Q626" s="89">
        <f t="shared" si="286"/>
        <v>-0.0257631257631257</v>
      </c>
      <c r="AH626" s="90"/>
      <c r="AI626" s="85"/>
      <c r="AJ626" s="36"/>
      <c r="AK626" s="36"/>
      <c r="AL626" s="36"/>
      <c r="AM626" s="36"/>
      <c r="AN626" s="36"/>
      <c r="AO626" s="36"/>
      <c r="AP626" s="36"/>
      <c r="FV626" s="104">
        <f t="shared" si="279"/>
        <v>2012</v>
      </c>
      <c r="FW626" s="104">
        <f t="shared" si="280"/>
        <v>47</v>
      </c>
      <c r="FX626" s="35">
        <v>41237</v>
      </c>
      <c r="FY626" s="26">
        <v>0.82</v>
      </c>
      <c r="FZ626" s="94">
        <f t="shared" si="281"/>
        <v>3.28</v>
      </c>
      <c r="GA626" s="104"/>
      <c r="GB626" s="104"/>
      <c r="GE626" s="94"/>
      <c r="GF626" s="104">
        <f t="shared" si="282"/>
        <v>2015</v>
      </c>
      <c r="GG626" s="104">
        <f t="shared" si="283"/>
        <v>22</v>
      </c>
      <c r="GH626" s="35">
        <v>42152</v>
      </c>
      <c r="GI626" s="26">
        <v>2.896</v>
      </c>
      <c r="GJ626" s="94">
        <f t="shared" si="284"/>
        <v>5.792</v>
      </c>
      <c r="GK626" s="104"/>
      <c r="GL626" s="104"/>
      <c r="GO626" s="94"/>
    </row>
    <row r="627" spans="3:197">
      <c r="C627" s="80" t="str" cm="1">
        <f t="array" ref="C627">_xlfn.IFS(MONTH(D627)&lt;4,1,MONTH(D627)&lt;7,2,MONTH(D627)&lt;10,3,MONTH(D627)&gt;9,4)&amp;"Q"&amp;RIGHT(YEAR(D627),2)</f>
        <v>3Q18</v>
      </c>
      <c r="D627" s="81">
        <f t="shared" si="291"/>
        <v>43312</v>
      </c>
      <c r="E627" s="82">
        <f t="shared" si="288"/>
        <v>43300</v>
      </c>
      <c r="F627" s="83">
        <f t="shared" si="290"/>
        <v>0.99525</v>
      </c>
      <c r="G627" s="83">
        <f t="shared" si="290"/>
        <v>1.02375</v>
      </c>
      <c r="H627" s="81"/>
      <c r="I627" s="146">
        <v>43300</v>
      </c>
      <c r="J627" s="147">
        <v>8.55</v>
      </c>
      <c r="K627" s="147">
        <v>7.6</v>
      </c>
      <c r="L627" s="147">
        <v>7.962</v>
      </c>
      <c r="M627" s="94" cm="1">
        <f t="array" ref="M627">INDEX($BV$29:$BV$1449,MATCH($D627,$BR$29:$BR$1449,0),)</f>
        <v>8.19</v>
      </c>
      <c r="N627" s="150">
        <f t="shared" si="287"/>
        <v>-0.00213059280611605</v>
      </c>
      <c r="O627" s="150">
        <f t="shared" si="289"/>
        <v>-0.0177646188008882</v>
      </c>
      <c r="P627" s="150">
        <f t="shared" si="285"/>
        <v>-0.00611658968917728</v>
      </c>
      <c r="Q627" s="89">
        <f t="shared" si="286"/>
        <v>-0.0278388278388279</v>
      </c>
      <c r="AH627" s="90"/>
      <c r="AI627" s="85"/>
      <c r="AJ627" s="36"/>
      <c r="AK627" s="36"/>
      <c r="AL627" s="36"/>
      <c r="AM627" s="36"/>
      <c r="AN627" s="36"/>
      <c r="AO627" s="36"/>
      <c r="AP627" s="36"/>
      <c r="FV627" s="104">
        <f t="shared" si="279"/>
        <v>2012</v>
      </c>
      <c r="FW627" s="104">
        <f t="shared" si="280"/>
        <v>48</v>
      </c>
      <c r="FX627" s="35">
        <v>41238</v>
      </c>
      <c r="FY627" s="26">
        <v>0.82</v>
      </c>
      <c r="FZ627" s="94">
        <f t="shared" si="281"/>
        <v>3.28</v>
      </c>
      <c r="GA627" s="104"/>
      <c r="GB627" s="104"/>
      <c r="GE627" s="94"/>
      <c r="GF627" s="104">
        <f t="shared" si="282"/>
        <v>2015</v>
      </c>
      <c r="GG627" s="104">
        <f t="shared" si="283"/>
        <v>22</v>
      </c>
      <c r="GH627" s="35">
        <v>42153</v>
      </c>
      <c r="GI627" s="26">
        <v>2.856</v>
      </c>
      <c r="GJ627" s="94">
        <f t="shared" si="284"/>
        <v>5.712</v>
      </c>
      <c r="GK627" s="104"/>
      <c r="GL627" s="104"/>
      <c r="GO627" s="94"/>
    </row>
    <row r="628" spans="3:197">
      <c r="C628" s="80" t="str" cm="1">
        <f t="array" ref="C628">_xlfn.IFS(MONTH(D628)&lt;4,1,MONTH(D628)&lt;7,2,MONTH(D628)&lt;10,3,MONTH(D628)&gt;9,4)&amp;"Q"&amp;RIGHT(YEAR(D628),2)</f>
        <v>3Q18</v>
      </c>
      <c r="D628" s="81">
        <f t="shared" si="291"/>
        <v>43312</v>
      </c>
      <c r="E628" s="82">
        <f t="shared" si="288"/>
        <v>43301</v>
      </c>
      <c r="F628" s="83">
        <f t="shared" si="290"/>
        <v>0.99375</v>
      </c>
      <c r="G628" s="83">
        <f t="shared" si="290"/>
        <v>1.02375</v>
      </c>
      <c r="H628" s="81"/>
      <c r="I628" s="146">
        <v>43301</v>
      </c>
      <c r="J628" s="147">
        <v>8.55</v>
      </c>
      <c r="K628" s="147">
        <v>7.6</v>
      </c>
      <c r="L628" s="147">
        <v>7.95</v>
      </c>
      <c r="M628" s="94" cm="1">
        <f t="array" ref="M628">INDEX($BV$29:$BV$1449,MATCH($D628,$BR$29:$BR$1449,0),)</f>
        <v>8.19</v>
      </c>
      <c r="N628" s="150">
        <f t="shared" si="287"/>
        <v>-0.00150715900527498</v>
      </c>
      <c r="O628" s="150">
        <f t="shared" si="289"/>
        <v>-0.0162108649919563</v>
      </c>
      <c r="P628" s="150">
        <f t="shared" si="285"/>
        <v>-0.0076145300212207</v>
      </c>
      <c r="Q628" s="89">
        <f t="shared" si="286"/>
        <v>-0.0293040293040292</v>
      </c>
      <c r="AH628" s="90"/>
      <c r="AI628" s="85"/>
      <c r="AJ628" s="36"/>
      <c r="AK628" s="36"/>
      <c r="AL628" s="36"/>
      <c r="AM628" s="36"/>
      <c r="AN628" s="36"/>
      <c r="AO628" s="36"/>
      <c r="AP628" s="36"/>
      <c r="FV628" s="104">
        <f t="shared" ref="FV628:FV691" si="292">YEAR(FX628)</f>
        <v>2012</v>
      </c>
      <c r="FW628" s="104">
        <f t="shared" ref="FW628:FW691" si="293">WEEKNUM(FX628)</f>
        <v>48</v>
      </c>
      <c r="FX628" s="35">
        <v>41239</v>
      </c>
      <c r="FY628" s="26">
        <v>0.82</v>
      </c>
      <c r="FZ628" s="94">
        <f t="shared" ref="FZ628:FZ691" si="294">FY628*4</f>
        <v>3.28</v>
      </c>
      <c r="GA628" s="104"/>
      <c r="GB628" s="104"/>
      <c r="GE628" s="94"/>
      <c r="GF628" s="104">
        <f t="shared" ref="GF628:GF691" si="295">YEAR(GH628)</f>
        <v>2015</v>
      </c>
      <c r="GG628" s="104">
        <f t="shared" ref="GG628:GG691" si="296">WEEKNUM(GH628)</f>
        <v>23</v>
      </c>
      <c r="GH628" s="35">
        <v>42156</v>
      </c>
      <c r="GI628" s="26">
        <v>2.838</v>
      </c>
      <c r="GJ628" s="94">
        <f t="shared" ref="GJ628:GJ691" si="297">GI628*2</f>
        <v>5.676</v>
      </c>
      <c r="GK628" s="104"/>
      <c r="GL628" s="104"/>
      <c r="GO628" s="94"/>
    </row>
    <row r="629" spans="3:197">
      <c r="C629" s="80" t="str" cm="1">
        <f t="array" ref="C629">_xlfn.IFS(MONTH(D629)&lt;4,1,MONTH(D629)&lt;7,2,MONTH(D629)&lt;10,3,MONTH(D629)&gt;9,4)&amp;"Q"&amp;RIGHT(YEAR(D629),2)</f>
        <v>3Q18</v>
      </c>
      <c r="D629" s="81">
        <f t="shared" si="291"/>
        <v>43312</v>
      </c>
      <c r="E629" s="82">
        <f t="shared" si="288"/>
        <v>43304</v>
      </c>
      <c r="F629" s="83">
        <f t="shared" si="290"/>
        <v>0.991625</v>
      </c>
      <c r="G629" s="83">
        <f t="shared" si="290"/>
        <v>1.02375</v>
      </c>
      <c r="H629" s="81"/>
      <c r="I629" s="146">
        <v>43304</v>
      </c>
      <c r="J629" s="147">
        <v>8.55</v>
      </c>
      <c r="K629" s="147">
        <v>7.6</v>
      </c>
      <c r="L629" s="147">
        <v>7.933</v>
      </c>
      <c r="M629" s="94" cm="1">
        <f t="array" ref="M629">INDEX($BV$29:$BV$1449,MATCH($D629,$BR$29:$BR$1449,0),)</f>
        <v>8.19</v>
      </c>
      <c r="N629" s="150">
        <f t="shared" si="287"/>
        <v>-0.00213836477987428</v>
      </c>
      <c r="O629" s="150">
        <f t="shared" si="289"/>
        <v>-0.0170982530045843</v>
      </c>
      <c r="P629" s="150">
        <f t="shared" si="285"/>
        <v>-0.0128173220507715</v>
      </c>
      <c r="Q629" s="89">
        <f t="shared" si="286"/>
        <v>-0.0313797313797314</v>
      </c>
      <c r="AH629" s="90"/>
      <c r="AI629" s="85"/>
      <c r="AJ629" s="36"/>
      <c r="AK629" s="36"/>
      <c r="AL629" s="36"/>
      <c r="AM629" s="36"/>
      <c r="AN629" s="36"/>
      <c r="AO629" s="36"/>
      <c r="AP629" s="36"/>
      <c r="FV629" s="104">
        <f t="shared" si="292"/>
        <v>2012</v>
      </c>
      <c r="FW629" s="104">
        <f t="shared" si="293"/>
        <v>48</v>
      </c>
      <c r="FX629" s="35">
        <v>41240</v>
      </c>
      <c r="FY629" s="26">
        <v>0.82</v>
      </c>
      <c r="FZ629" s="94">
        <f t="shared" si="294"/>
        <v>3.28</v>
      </c>
      <c r="GA629" s="104"/>
      <c r="GB629" s="104"/>
      <c r="GE629" s="94"/>
      <c r="GF629" s="104">
        <f t="shared" si="295"/>
        <v>2015</v>
      </c>
      <c r="GG629" s="104">
        <f t="shared" si="296"/>
        <v>23</v>
      </c>
      <c r="GH629" s="35">
        <v>42157</v>
      </c>
      <c r="GI629" s="26">
        <v>2.806</v>
      </c>
      <c r="GJ629" s="94">
        <f t="shared" si="297"/>
        <v>5.612</v>
      </c>
      <c r="GK629" s="104"/>
      <c r="GL629" s="104"/>
      <c r="GO629" s="94"/>
    </row>
    <row r="630" spans="3:197">
      <c r="C630" s="80" t="str" cm="1">
        <f t="array" ref="C630">_xlfn.IFS(MONTH(D630)&lt;4,1,MONTH(D630)&lt;7,2,MONTH(D630)&lt;10,3,MONTH(D630)&gt;9,4)&amp;"Q"&amp;RIGHT(YEAR(D630),2)</f>
        <v>3Q18</v>
      </c>
      <c r="D630" s="81">
        <f t="shared" si="291"/>
        <v>43312</v>
      </c>
      <c r="E630" s="82">
        <f t="shared" si="288"/>
        <v>43305</v>
      </c>
      <c r="F630" s="83">
        <f t="shared" si="290"/>
        <v>0.99125</v>
      </c>
      <c r="G630" s="83">
        <f t="shared" si="290"/>
        <v>1.02375</v>
      </c>
      <c r="H630" s="81"/>
      <c r="I630" s="146">
        <v>43305</v>
      </c>
      <c r="J630" s="147">
        <v>8.55</v>
      </c>
      <c r="K630" s="147">
        <v>7.6</v>
      </c>
      <c r="L630" s="147">
        <v>7.93</v>
      </c>
      <c r="M630" s="94" cm="1">
        <f t="array" ref="M630">INDEX($BV$29:$BV$1449,MATCH($D630,$BR$29:$BR$1449,0),)</f>
        <v>8.19</v>
      </c>
      <c r="N630" s="150">
        <f t="shared" si="287"/>
        <v>-0.00037816714988026</v>
      </c>
      <c r="O630" s="150">
        <f t="shared" si="289"/>
        <v>-0.0102346480279581</v>
      </c>
      <c r="P630" s="150">
        <f t="shared" si="285"/>
        <v>-0.0131906421105027</v>
      </c>
      <c r="Q630" s="89">
        <f t="shared" si="286"/>
        <v>-0.0317460317460317</v>
      </c>
      <c r="AH630" s="90"/>
      <c r="AI630" s="85"/>
      <c r="AJ630" s="36"/>
      <c r="AK630" s="36"/>
      <c r="AL630" s="36"/>
      <c r="AM630" s="36"/>
      <c r="AN630" s="36"/>
      <c r="AO630" s="36"/>
      <c r="AP630" s="36"/>
      <c r="FV630" s="104">
        <f t="shared" si="292"/>
        <v>2012</v>
      </c>
      <c r="FW630" s="104">
        <f t="shared" si="293"/>
        <v>48</v>
      </c>
      <c r="FX630" s="35">
        <v>41241</v>
      </c>
      <c r="FY630" s="26">
        <v>0.817</v>
      </c>
      <c r="FZ630" s="94">
        <f t="shared" si="294"/>
        <v>3.268</v>
      </c>
      <c r="GA630" s="104"/>
      <c r="GB630" s="104"/>
      <c r="GE630" s="94"/>
      <c r="GF630" s="104">
        <f t="shared" si="295"/>
        <v>2015</v>
      </c>
      <c r="GG630" s="104">
        <f t="shared" si="296"/>
        <v>23</v>
      </c>
      <c r="GH630" s="35">
        <v>42158</v>
      </c>
      <c r="GI630" s="26">
        <v>2.77</v>
      </c>
      <c r="GJ630" s="94">
        <f t="shared" si="297"/>
        <v>5.54</v>
      </c>
      <c r="GK630" s="104"/>
      <c r="GL630" s="104"/>
      <c r="GO630" s="94"/>
    </row>
    <row r="631" spans="3:197">
      <c r="C631" s="80" t="str" cm="1">
        <f t="array" ref="C631">_xlfn.IFS(MONTH(D631)&lt;4,1,MONTH(D631)&lt;7,2,MONTH(D631)&lt;10,3,MONTH(D631)&gt;9,4)&amp;"Q"&amp;RIGHT(YEAR(D631),2)</f>
        <v>3Q18</v>
      </c>
      <c r="D631" s="81">
        <f t="shared" si="291"/>
        <v>43312</v>
      </c>
      <c r="E631" s="82">
        <f t="shared" si="288"/>
        <v>43306</v>
      </c>
      <c r="F631" s="83">
        <f t="shared" si="290"/>
        <v>0.990375</v>
      </c>
      <c r="G631" s="83">
        <f t="shared" si="290"/>
        <v>1.02375</v>
      </c>
      <c r="H631" s="81"/>
      <c r="I631" s="146">
        <v>43306</v>
      </c>
      <c r="J631" s="147">
        <v>8.55</v>
      </c>
      <c r="K631" s="147">
        <v>7.6</v>
      </c>
      <c r="L631" s="147">
        <v>7.923</v>
      </c>
      <c r="M631" s="94" cm="1">
        <f t="array" ref="M631">INDEX($BV$29:$BV$1449,MATCH($D631,$BR$29:$BR$1449,0),)</f>
        <v>8.19</v>
      </c>
      <c r="N631" s="150">
        <f t="shared" si="287"/>
        <v>-0.000882723833543486</v>
      </c>
      <c r="O631" s="150">
        <f t="shared" si="289"/>
        <v>-0.00701842336132352</v>
      </c>
      <c r="P631" s="150">
        <f t="shared" si="285"/>
        <v>-0.0140617222498755</v>
      </c>
      <c r="Q631" s="89">
        <f t="shared" si="286"/>
        <v>-0.0326007326007325</v>
      </c>
      <c r="AH631" s="90"/>
      <c r="AI631" s="85"/>
      <c r="AJ631" s="36"/>
      <c r="AK631" s="36"/>
      <c r="AL631" s="36"/>
      <c r="AM631" s="36"/>
      <c r="AN631" s="36"/>
      <c r="AO631" s="36"/>
      <c r="AP631" s="36"/>
      <c r="FV631" s="104">
        <f t="shared" si="292"/>
        <v>2012</v>
      </c>
      <c r="FW631" s="104">
        <f t="shared" si="293"/>
        <v>48</v>
      </c>
      <c r="FX631" s="35">
        <v>41242</v>
      </c>
      <c r="FY631" s="26">
        <v>0.82</v>
      </c>
      <c r="FZ631" s="94">
        <f t="shared" si="294"/>
        <v>3.28</v>
      </c>
      <c r="GA631" s="104"/>
      <c r="GB631" s="104"/>
      <c r="GE631" s="94"/>
      <c r="GF631" s="104">
        <f t="shared" si="295"/>
        <v>2015</v>
      </c>
      <c r="GG631" s="104">
        <f t="shared" si="296"/>
        <v>23</v>
      </c>
      <c r="GH631" s="35">
        <v>42159</v>
      </c>
      <c r="GI631" s="26">
        <v>2.762</v>
      </c>
      <c r="GJ631" s="94">
        <f t="shared" si="297"/>
        <v>5.524</v>
      </c>
      <c r="GK631" s="104"/>
      <c r="GL631" s="104"/>
      <c r="GO631" s="94"/>
    </row>
    <row r="632" spans="3:197">
      <c r="C632" s="80" t="str" cm="1">
        <f t="array" ref="C632">_xlfn.IFS(MONTH(D632)&lt;4,1,MONTH(D632)&lt;7,2,MONTH(D632)&lt;10,3,MONTH(D632)&gt;9,4)&amp;"Q"&amp;RIGHT(YEAR(D632),2)</f>
        <v>3Q18</v>
      </c>
      <c r="D632" s="81">
        <f t="shared" si="291"/>
        <v>43312</v>
      </c>
      <c r="E632" s="82">
        <f t="shared" si="288"/>
        <v>43307</v>
      </c>
      <c r="F632" s="83">
        <f t="shared" si="290"/>
        <v>0.990375</v>
      </c>
      <c r="G632" s="83">
        <f t="shared" si="290"/>
        <v>1.02375</v>
      </c>
      <c r="H632" s="81"/>
      <c r="I632" s="146">
        <v>43307</v>
      </c>
      <c r="J632" s="147">
        <v>8.55</v>
      </c>
      <c r="K632" s="147">
        <v>7.6</v>
      </c>
      <c r="L632" s="147">
        <v>7.923</v>
      </c>
      <c r="M632" s="94" cm="1">
        <f t="array" ref="M632">INDEX($BV$29:$BV$1449,MATCH($D632,$BR$29:$BR$1449,0),)</f>
        <v>8.19</v>
      </c>
      <c r="N632" s="150">
        <f t="shared" si="287"/>
        <v>0</v>
      </c>
      <c r="O632" s="150">
        <f t="shared" si="289"/>
        <v>-0.00489826676714389</v>
      </c>
      <c r="P632" s="150">
        <f t="shared" si="285"/>
        <v>-0.0225758697261288</v>
      </c>
      <c r="Q632" s="89">
        <f t="shared" si="286"/>
        <v>-0.0326007326007325</v>
      </c>
      <c r="AH632" s="90"/>
      <c r="AI632" s="85"/>
      <c r="AJ632" s="36"/>
      <c r="AK632" s="36"/>
      <c r="AL632" s="36"/>
      <c r="AM632" s="36"/>
      <c r="AN632" s="36"/>
      <c r="AO632" s="36"/>
      <c r="AP632" s="36"/>
      <c r="FV632" s="104">
        <f t="shared" si="292"/>
        <v>2012</v>
      </c>
      <c r="FW632" s="104">
        <f t="shared" si="293"/>
        <v>48</v>
      </c>
      <c r="FX632" s="35">
        <v>41243</v>
      </c>
      <c r="FY632" s="26">
        <v>0.822</v>
      </c>
      <c r="FZ632" s="94">
        <f t="shared" si="294"/>
        <v>3.288</v>
      </c>
      <c r="GA632" s="104"/>
      <c r="GB632" s="104"/>
      <c r="GE632" s="94"/>
      <c r="GF632" s="104">
        <f t="shared" si="295"/>
        <v>2015</v>
      </c>
      <c r="GG632" s="104">
        <f t="shared" si="296"/>
        <v>23</v>
      </c>
      <c r="GH632" s="35">
        <v>42160</v>
      </c>
      <c r="GI632" s="26">
        <v>2.742</v>
      </c>
      <c r="GJ632" s="94">
        <f t="shared" si="297"/>
        <v>5.484</v>
      </c>
      <c r="GK632" s="104"/>
      <c r="GL632" s="104"/>
      <c r="GO632" s="94"/>
    </row>
    <row r="633" spans="3:197">
      <c r="C633" s="80" t="str" cm="1">
        <f t="array" ref="C633">_xlfn.IFS(MONTH(D633)&lt;4,1,MONTH(D633)&lt;7,2,MONTH(D633)&lt;10,3,MONTH(D633)&gt;9,4)&amp;"Q"&amp;RIGHT(YEAR(D633),2)</f>
        <v>3Q18</v>
      </c>
      <c r="D633" s="81">
        <f t="shared" si="291"/>
        <v>43312</v>
      </c>
      <c r="E633" s="82">
        <f t="shared" si="288"/>
        <v>43308</v>
      </c>
      <c r="F633" s="83">
        <f t="shared" si="290"/>
        <v>0.9875</v>
      </c>
      <c r="G633" s="83">
        <f t="shared" si="290"/>
        <v>1.02375</v>
      </c>
      <c r="H633" s="81"/>
      <c r="I633" s="146">
        <v>43308</v>
      </c>
      <c r="J633" s="147">
        <v>8.55</v>
      </c>
      <c r="K633" s="147">
        <v>7.6</v>
      </c>
      <c r="L633" s="147">
        <v>7.9</v>
      </c>
      <c r="M633" s="94" cm="1">
        <f t="array" ref="M633">INDEX($BV$29:$BV$1449,MATCH($D633,$BR$29:$BR$1449,0),)</f>
        <v>8.19</v>
      </c>
      <c r="N633" s="150">
        <f t="shared" si="287"/>
        <v>-0.00290294080525044</v>
      </c>
      <c r="O633" s="150">
        <f t="shared" si="289"/>
        <v>-0.00628930817610063</v>
      </c>
      <c r="P633" s="150">
        <f t="shared" si="285"/>
        <v>-0.0223982180423213</v>
      </c>
      <c r="Q633" s="89">
        <f t="shared" si="286"/>
        <v>-0.0354090354090353</v>
      </c>
      <c r="AH633" s="90"/>
      <c r="AI633" s="85"/>
      <c r="AJ633" s="36"/>
      <c r="AK633" s="36"/>
      <c r="AL633" s="36"/>
      <c r="AM633" s="36"/>
      <c r="AN633" s="36"/>
      <c r="AO633" s="36"/>
      <c r="AP633" s="36"/>
      <c r="FV633" s="104">
        <f t="shared" si="292"/>
        <v>2012</v>
      </c>
      <c r="FW633" s="104">
        <f t="shared" si="293"/>
        <v>48</v>
      </c>
      <c r="FX633" s="35">
        <v>41244</v>
      </c>
      <c r="FY633" s="26">
        <v>0.822</v>
      </c>
      <c r="FZ633" s="94">
        <f t="shared" si="294"/>
        <v>3.288</v>
      </c>
      <c r="GA633" s="104"/>
      <c r="GB633" s="104"/>
      <c r="GE633" s="94"/>
      <c r="GF633" s="104">
        <f t="shared" si="295"/>
        <v>2015</v>
      </c>
      <c r="GG633" s="104">
        <f t="shared" si="296"/>
        <v>24</v>
      </c>
      <c r="GH633" s="35">
        <v>42163</v>
      </c>
      <c r="GI633" s="26">
        <v>2.717</v>
      </c>
      <c r="GJ633" s="94">
        <f t="shared" si="297"/>
        <v>5.434</v>
      </c>
      <c r="GK633" s="104"/>
      <c r="GL633" s="104"/>
      <c r="GO633" s="94"/>
    </row>
    <row r="634" spans="3:197">
      <c r="C634" s="80" t="str" cm="1">
        <f t="array" ref="C634">_xlfn.IFS(MONTH(D634)&lt;4,1,MONTH(D634)&lt;7,2,MONTH(D634)&lt;10,3,MONTH(D634)&gt;9,4)&amp;"Q"&amp;RIGHT(YEAR(D634),2)</f>
        <v>3Q18</v>
      </c>
      <c r="D634" s="81">
        <f t="shared" si="291"/>
        <v>43312</v>
      </c>
      <c r="E634" s="82">
        <f t="shared" si="288"/>
        <v>43311</v>
      </c>
      <c r="F634" s="83">
        <f t="shared" si="290"/>
        <v>0.9875</v>
      </c>
      <c r="G634" s="83">
        <f t="shared" si="290"/>
        <v>1.02375</v>
      </c>
      <c r="H634" s="81"/>
      <c r="I634" s="146">
        <v>43311</v>
      </c>
      <c r="J634" s="147">
        <v>8.55</v>
      </c>
      <c r="K634" s="147">
        <v>7.6</v>
      </c>
      <c r="L634" s="147">
        <v>7.9</v>
      </c>
      <c r="M634" s="94" cm="1">
        <f t="array" ref="M634">INDEX($BV$29:$BV$1449,MATCH($D634,$BR$29:$BR$1449,0),)</f>
        <v>8.19</v>
      </c>
      <c r="N634" s="150">
        <f t="shared" si="287"/>
        <v>0</v>
      </c>
      <c r="O634" s="150">
        <f t="shared" si="289"/>
        <v>-0.00415983864868263</v>
      </c>
      <c r="P634" s="150">
        <f t="shared" si="285"/>
        <v>-0.0211869656795936</v>
      </c>
      <c r="Q634" s="89">
        <f t="shared" si="286"/>
        <v>-0.0354090354090353</v>
      </c>
      <c r="AH634" s="90"/>
      <c r="AI634" s="85"/>
      <c r="AJ634" s="36"/>
      <c r="AK634" s="36"/>
      <c r="AL634" s="36"/>
      <c r="AM634" s="36"/>
      <c r="AN634" s="36"/>
      <c r="AO634" s="36"/>
      <c r="AP634" s="36"/>
      <c r="FV634" s="104">
        <f t="shared" si="292"/>
        <v>2012</v>
      </c>
      <c r="FW634" s="104">
        <f t="shared" si="293"/>
        <v>49</v>
      </c>
      <c r="FX634" s="35">
        <v>41245</v>
      </c>
      <c r="FY634" s="26">
        <v>0.822</v>
      </c>
      <c r="FZ634" s="94">
        <f t="shared" si="294"/>
        <v>3.288</v>
      </c>
      <c r="GA634" s="104"/>
      <c r="GB634" s="104"/>
      <c r="GE634" s="94"/>
      <c r="GF634" s="104">
        <f t="shared" si="295"/>
        <v>2015</v>
      </c>
      <c r="GG634" s="104">
        <f t="shared" si="296"/>
        <v>24</v>
      </c>
      <c r="GH634" s="35">
        <v>42164</v>
      </c>
      <c r="GI634" s="26">
        <v>2.705</v>
      </c>
      <c r="GJ634" s="94">
        <f t="shared" si="297"/>
        <v>5.41</v>
      </c>
      <c r="GK634" s="104"/>
      <c r="GL634" s="104"/>
      <c r="GO634" s="94"/>
    </row>
    <row r="635" spans="3:197">
      <c r="C635" s="80" t="str" cm="1">
        <f t="array" ref="C635">_xlfn.IFS(MONTH(D635)&lt;4,1,MONTH(D635)&lt;7,2,MONTH(D635)&lt;10,3,MONTH(D635)&gt;9,4)&amp;"Q"&amp;RIGHT(YEAR(D635),2)</f>
        <v>3Q18</v>
      </c>
      <c r="D635" s="81">
        <f t="shared" si="291"/>
        <v>43312</v>
      </c>
      <c r="E635" s="82">
        <f t="shared" si="288"/>
        <v>43312</v>
      </c>
      <c r="F635" s="83">
        <f t="shared" si="290"/>
        <v>0.9875</v>
      </c>
      <c r="G635" s="83">
        <f t="shared" si="290"/>
        <v>1.02375</v>
      </c>
      <c r="H635" s="81"/>
      <c r="I635" s="146">
        <v>43312</v>
      </c>
      <c r="J635" s="147">
        <v>8.55</v>
      </c>
      <c r="K635" s="147">
        <v>7.6</v>
      </c>
      <c r="L635" s="147">
        <v>7.9</v>
      </c>
      <c r="M635" s="94" cm="1">
        <f t="array" ref="M635">INDEX($BV$29:$BV$1449,MATCH($D635,$BR$29:$BR$1449,0),)</f>
        <v>8.19</v>
      </c>
      <c r="N635" s="150">
        <f t="shared" si="287"/>
        <v>0</v>
      </c>
      <c r="O635" s="150">
        <f t="shared" si="289"/>
        <v>-0.00378310214375777</v>
      </c>
      <c r="P635" s="150">
        <f t="shared" si="285"/>
        <v>-0.0139790314528208</v>
      </c>
      <c r="Q635" s="89">
        <f t="shared" si="286"/>
        <v>-0.0354090354090353</v>
      </c>
      <c r="AH635" s="90"/>
      <c r="AI635" s="85"/>
      <c r="AJ635" s="36"/>
      <c r="AK635" s="36"/>
      <c r="AL635" s="36"/>
      <c r="AM635" s="36"/>
      <c r="AN635" s="36"/>
      <c r="AO635" s="36"/>
      <c r="AP635" s="36"/>
      <c r="FV635" s="104">
        <f t="shared" si="292"/>
        <v>2012</v>
      </c>
      <c r="FW635" s="104">
        <f t="shared" si="293"/>
        <v>49</v>
      </c>
      <c r="FX635" s="35">
        <v>41246</v>
      </c>
      <c r="FY635" s="26">
        <v>0.833</v>
      </c>
      <c r="FZ635" s="94">
        <f t="shared" si="294"/>
        <v>3.332</v>
      </c>
      <c r="GA635" s="104"/>
      <c r="GB635" s="104"/>
      <c r="GE635" s="94"/>
      <c r="GF635" s="104">
        <f t="shared" si="295"/>
        <v>2015</v>
      </c>
      <c r="GG635" s="104">
        <f t="shared" si="296"/>
        <v>24</v>
      </c>
      <c r="GH635" s="35">
        <v>42165</v>
      </c>
      <c r="GI635" s="26">
        <v>2.7</v>
      </c>
      <c r="GJ635" s="94">
        <f t="shared" si="297"/>
        <v>5.4</v>
      </c>
      <c r="GK635" s="104"/>
      <c r="GL635" s="104"/>
      <c r="GO635" s="94"/>
    </row>
    <row r="636" spans="3:197">
      <c r="C636" s="80" t="str" cm="1">
        <f t="array" ref="C636">_xlfn.IFS(MONTH(D636)&lt;4,1,MONTH(D636)&lt;7,2,MONTH(D636)&lt;10,3,MONTH(D636)&gt;9,4)&amp;"Q"&amp;RIGHT(YEAR(D636),2)</f>
        <v>3Q18</v>
      </c>
      <c r="D636" s="81">
        <f t="shared" si="291"/>
        <v>43343</v>
      </c>
      <c r="E636" s="82">
        <f t="shared" si="288"/>
        <v>43313</v>
      </c>
      <c r="F636" s="83">
        <f t="shared" si="290"/>
        <v>0.987125</v>
      </c>
      <c r="G636" s="83">
        <f t="shared" si="290"/>
        <v>1.02375</v>
      </c>
      <c r="H636" s="81"/>
      <c r="I636" s="146">
        <v>43313</v>
      </c>
      <c r="J636" s="147">
        <v>8.55</v>
      </c>
      <c r="K636" s="147">
        <v>7.6</v>
      </c>
      <c r="L636" s="147">
        <v>7.897</v>
      </c>
      <c r="M636" s="94" cm="1">
        <f t="array" ref="M636">INDEX($BV$29:$BV$1449,MATCH($D636,$BR$29:$BR$1449,0),)</f>
        <v>8.19</v>
      </c>
      <c r="N636" s="150">
        <f t="shared" si="287"/>
        <v>-0.000379746835443062</v>
      </c>
      <c r="O636" s="150">
        <f t="shared" si="289"/>
        <v>-0.00328158525810929</v>
      </c>
      <c r="P636" s="150">
        <f t="shared" si="285"/>
        <v>-0.010276977064795</v>
      </c>
      <c r="Q636" s="89">
        <f t="shared" si="286"/>
        <v>-0.0357753357753356</v>
      </c>
      <c r="AH636" s="90"/>
      <c r="AI636" s="85"/>
      <c r="AJ636" s="36"/>
      <c r="AK636" s="36"/>
      <c r="AL636" s="36"/>
      <c r="AM636" s="36"/>
      <c r="AN636" s="36"/>
      <c r="AO636" s="36"/>
      <c r="AP636" s="36"/>
      <c r="FV636" s="104">
        <f t="shared" si="292"/>
        <v>2012</v>
      </c>
      <c r="FW636" s="104">
        <f t="shared" si="293"/>
        <v>49</v>
      </c>
      <c r="FX636" s="35">
        <v>41247</v>
      </c>
      <c r="FY636" s="26">
        <v>0.841</v>
      </c>
      <c r="FZ636" s="94">
        <f t="shared" si="294"/>
        <v>3.364</v>
      </c>
      <c r="GA636" s="104"/>
      <c r="GB636" s="104"/>
      <c r="GE636" s="94"/>
      <c r="GF636" s="104">
        <f t="shared" si="295"/>
        <v>2015</v>
      </c>
      <c r="GG636" s="104">
        <f t="shared" si="296"/>
        <v>24</v>
      </c>
      <c r="GH636" s="35">
        <v>42166</v>
      </c>
      <c r="GI636" s="26">
        <v>2.697</v>
      </c>
      <c r="GJ636" s="94">
        <f t="shared" si="297"/>
        <v>5.394</v>
      </c>
      <c r="GK636" s="104"/>
      <c r="GL636" s="104"/>
      <c r="GO636" s="94"/>
    </row>
    <row r="637" spans="3:197">
      <c r="C637" s="80" t="str" cm="1">
        <f t="array" ref="C637">_xlfn.IFS(MONTH(D637)&lt;4,1,MONTH(D637)&lt;7,2,MONTH(D637)&lt;10,3,MONTH(D637)&gt;9,4)&amp;"Q"&amp;RIGHT(YEAR(D637),2)</f>
        <v>3Q18</v>
      </c>
      <c r="D637" s="81">
        <f t="shared" si="291"/>
        <v>43343</v>
      </c>
      <c r="E637" s="82">
        <f t="shared" si="288"/>
        <v>43314</v>
      </c>
      <c r="F637" s="83">
        <f t="shared" si="290"/>
        <v>0.986625</v>
      </c>
      <c r="G637" s="83">
        <f t="shared" si="290"/>
        <v>1.02375</v>
      </c>
      <c r="H637" s="81"/>
      <c r="I637" s="146">
        <v>43314</v>
      </c>
      <c r="J637" s="147">
        <v>8.55</v>
      </c>
      <c r="K637" s="147">
        <v>7.6</v>
      </c>
      <c r="L637" s="147">
        <v>7.893</v>
      </c>
      <c r="M637" s="94" cm="1">
        <f t="array" ref="M637">INDEX($BV$29:$BV$1449,MATCH($D637,$BR$29:$BR$1449,0),)</f>
        <v>8.19</v>
      </c>
      <c r="N637" s="150">
        <f t="shared" si="287"/>
        <v>-0.000506521463847109</v>
      </c>
      <c r="O637" s="150">
        <f t="shared" si="289"/>
        <v>-0.00378644452858767</v>
      </c>
      <c r="P637" s="150">
        <f t="shared" si="285"/>
        <v>-0.00866616428033162</v>
      </c>
      <c r="Q637" s="89">
        <f t="shared" si="286"/>
        <v>-0.0362637362637362</v>
      </c>
      <c r="AH637" s="90"/>
      <c r="AI637" s="85"/>
      <c r="AJ637" s="36"/>
      <c r="AK637" s="36"/>
      <c r="AL637" s="36"/>
      <c r="AM637" s="36"/>
      <c r="AN637" s="36"/>
      <c r="AO637" s="36"/>
      <c r="AP637" s="36"/>
      <c r="FV637" s="104">
        <f t="shared" si="292"/>
        <v>2012</v>
      </c>
      <c r="FW637" s="104">
        <f t="shared" si="293"/>
        <v>49</v>
      </c>
      <c r="FX637" s="35">
        <v>41248</v>
      </c>
      <c r="FY637" s="26">
        <v>0.864</v>
      </c>
      <c r="FZ637" s="94">
        <f t="shared" si="294"/>
        <v>3.456</v>
      </c>
      <c r="GA637" s="104"/>
      <c r="GB637" s="104"/>
      <c r="GE637" s="94"/>
      <c r="GF637" s="104">
        <f t="shared" si="295"/>
        <v>2015</v>
      </c>
      <c r="GG637" s="104">
        <f t="shared" si="296"/>
        <v>24</v>
      </c>
      <c r="GH637" s="35">
        <v>42167</v>
      </c>
      <c r="GI637" s="26">
        <v>2.694</v>
      </c>
      <c r="GJ637" s="94">
        <f t="shared" si="297"/>
        <v>5.388</v>
      </c>
      <c r="GK637" s="104"/>
      <c r="GL637" s="104"/>
      <c r="GO637" s="94"/>
    </row>
    <row r="638" spans="3:197">
      <c r="C638" s="80" t="str" cm="1">
        <f t="array" ref="C638">_xlfn.IFS(MONTH(D638)&lt;4,1,MONTH(D638)&lt;7,2,MONTH(D638)&lt;10,3,MONTH(D638)&gt;9,4)&amp;"Q"&amp;RIGHT(YEAR(D638),2)</f>
        <v>3Q18</v>
      </c>
      <c r="D638" s="81">
        <f t="shared" si="291"/>
        <v>43343</v>
      </c>
      <c r="E638" s="82">
        <f t="shared" si="288"/>
        <v>43315</v>
      </c>
      <c r="F638" s="83">
        <f t="shared" si="290"/>
        <v>0.985875</v>
      </c>
      <c r="G638" s="83">
        <f t="shared" si="290"/>
        <v>1.02375</v>
      </c>
      <c r="H638" s="81"/>
      <c r="I638" s="146">
        <v>43315</v>
      </c>
      <c r="J638" s="147">
        <v>8.5</v>
      </c>
      <c r="K638" s="147">
        <v>7.6</v>
      </c>
      <c r="L638" s="147">
        <v>7.887</v>
      </c>
      <c r="M638" s="94" cm="1">
        <f t="array" ref="M638">INDEX($BV$29:$BV$1449,MATCH($D638,$BR$29:$BR$1449,0),)</f>
        <v>8.19</v>
      </c>
      <c r="N638" s="150">
        <f t="shared" si="287"/>
        <v>-0.000760167236792175</v>
      </c>
      <c r="O638" s="150">
        <f t="shared" si="289"/>
        <v>-0.00164556962025331</v>
      </c>
      <c r="P638" s="150">
        <f t="shared" si="285"/>
        <v>-0.00792452830188684</v>
      </c>
      <c r="Q638" s="89">
        <f t="shared" si="286"/>
        <v>-0.036996336996337</v>
      </c>
      <c r="AH638" s="90"/>
      <c r="AI638" s="85"/>
      <c r="AJ638" s="36"/>
      <c r="AK638" s="36"/>
      <c r="AL638" s="36"/>
      <c r="AM638" s="36"/>
      <c r="AN638" s="36"/>
      <c r="AO638" s="36"/>
      <c r="AP638" s="36"/>
      <c r="FV638" s="104">
        <f t="shared" si="292"/>
        <v>2012</v>
      </c>
      <c r="FW638" s="104">
        <f t="shared" si="293"/>
        <v>49</v>
      </c>
      <c r="FX638" s="35">
        <v>41249</v>
      </c>
      <c r="FY638" s="26">
        <v>0.917</v>
      </c>
      <c r="FZ638" s="94">
        <f t="shared" si="294"/>
        <v>3.668</v>
      </c>
      <c r="GA638" s="104"/>
      <c r="GB638" s="104"/>
      <c r="GE638" s="94"/>
      <c r="GF638" s="104">
        <f t="shared" si="295"/>
        <v>2015</v>
      </c>
      <c r="GG638" s="104">
        <f t="shared" si="296"/>
        <v>25</v>
      </c>
      <c r="GH638" s="35">
        <v>42170</v>
      </c>
      <c r="GI638" s="26">
        <v>2.691</v>
      </c>
      <c r="GJ638" s="94">
        <f t="shared" si="297"/>
        <v>5.382</v>
      </c>
      <c r="GK638" s="104"/>
      <c r="GL638" s="104"/>
      <c r="GO638" s="94"/>
    </row>
    <row r="639" spans="3:197">
      <c r="C639" s="80" t="str" cm="1">
        <f t="array" ref="C639">_xlfn.IFS(MONTH(D639)&lt;4,1,MONTH(D639)&lt;7,2,MONTH(D639)&lt;10,3,MONTH(D639)&gt;9,4)&amp;"Q"&amp;RIGHT(YEAR(D639),2)</f>
        <v>3Q18</v>
      </c>
      <c r="D639" s="81">
        <f t="shared" si="291"/>
        <v>43343</v>
      </c>
      <c r="E639" s="82">
        <f t="shared" si="288"/>
        <v>43318</v>
      </c>
      <c r="F639" s="83">
        <f t="shared" si="290"/>
        <v>0.98375</v>
      </c>
      <c r="G639" s="83">
        <f t="shared" si="290"/>
        <v>1.02375</v>
      </c>
      <c r="H639" s="81"/>
      <c r="I639" s="146">
        <v>43318</v>
      </c>
      <c r="J639" s="147">
        <v>8.45</v>
      </c>
      <c r="K639" s="147">
        <v>7.55</v>
      </c>
      <c r="L639" s="147">
        <v>7.87</v>
      </c>
      <c r="M639" s="94" cm="1">
        <f t="array" ref="M639">INDEX($BV$29:$BV$1449,MATCH($D639,$BR$29:$BR$1449,0),)</f>
        <v>8.19</v>
      </c>
      <c r="N639" s="150">
        <f t="shared" si="287"/>
        <v>-0.00215544567008996</v>
      </c>
      <c r="O639" s="150">
        <f t="shared" si="289"/>
        <v>-0.0037974683544304</v>
      </c>
      <c r="P639" s="150">
        <f t="shared" si="285"/>
        <v>-0.00794151014748512</v>
      </c>
      <c r="Q639" s="89">
        <f t="shared" si="286"/>
        <v>-0.039072039072039</v>
      </c>
      <c r="AH639" s="90"/>
      <c r="AI639" s="85"/>
      <c r="AJ639" s="36"/>
      <c r="AK639" s="36"/>
      <c r="AL639" s="36"/>
      <c r="AM639" s="36"/>
      <c r="AN639" s="36"/>
      <c r="AO639" s="36"/>
      <c r="AP639" s="36"/>
      <c r="FV639" s="104">
        <f t="shared" si="292"/>
        <v>2012</v>
      </c>
      <c r="FW639" s="104">
        <f t="shared" si="293"/>
        <v>49</v>
      </c>
      <c r="FX639" s="35">
        <v>41250</v>
      </c>
      <c r="FY639" s="26">
        <v>0.933</v>
      </c>
      <c r="FZ639" s="94">
        <f t="shared" si="294"/>
        <v>3.732</v>
      </c>
      <c r="GA639" s="104"/>
      <c r="GB639" s="104"/>
      <c r="GE639" s="94"/>
      <c r="GF639" s="104">
        <f t="shared" si="295"/>
        <v>2015</v>
      </c>
      <c r="GG639" s="104">
        <f t="shared" si="296"/>
        <v>25</v>
      </c>
      <c r="GH639" s="35">
        <v>42171</v>
      </c>
      <c r="GI639" s="26">
        <v>2.683</v>
      </c>
      <c r="GJ639" s="94">
        <f t="shared" si="297"/>
        <v>5.366</v>
      </c>
      <c r="GK639" s="104"/>
      <c r="GL639" s="104"/>
      <c r="GO639" s="94"/>
    </row>
    <row r="640" spans="3:197">
      <c r="C640" s="80" t="str" cm="1">
        <f t="array" ref="C640">_xlfn.IFS(MONTH(D640)&lt;4,1,MONTH(D640)&lt;7,2,MONTH(D640)&lt;10,3,MONTH(D640)&gt;9,4)&amp;"Q"&amp;RIGHT(YEAR(D640),2)</f>
        <v>3Q18</v>
      </c>
      <c r="D640" s="81">
        <f t="shared" si="291"/>
        <v>43343</v>
      </c>
      <c r="E640" s="82">
        <f t="shared" si="288"/>
        <v>43319</v>
      </c>
      <c r="F640" s="83">
        <f t="shared" si="290"/>
        <v>0.981625</v>
      </c>
      <c r="G640" s="83">
        <f t="shared" si="290"/>
        <v>1.02375</v>
      </c>
      <c r="H640" s="81"/>
      <c r="I640" s="146">
        <v>43319</v>
      </c>
      <c r="J640" s="147">
        <v>8.4</v>
      </c>
      <c r="K640" s="147">
        <v>7.55</v>
      </c>
      <c r="L640" s="147">
        <v>7.853</v>
      </c>
      <c r="M640" s="94" cm="1">
        <f t="array" ref="M640">INDEX($BV$29:$BV$1449,MATCH($D640,$BR$29:$BR$1449,0),)</f>
        <v>8.19</v>
      </c>
      <c r="N640" s="150">
        <f t="shared" si="287"/>
        <v>-0.00216010165184244</v>
      </c>
      <c r="O640" s="150">
        <f t="shared" si="289"/>
        <v>-0.00594936708860772</v>
      </c>
      <c r="P640" s="150">
        <f t="shared" ref="P640:P703" si="298">L640/L630-1</f>
        <v>-0.00970996216897857</v>
      </c>
      <c r="Q640" s="89">
        <f t="shared" si="286"/>
        <v>-0.0411477411477411</v>
      </c>
      <c r="AH640" s="90"/>
      <c r="AI640" s="85"/>
      <c r="AJ640" s="36"/>
      <c r="AK640" s="36"/>
      <c r="AL640" s="36"/>
      <c r="AM640" s="36"/>
      <c r="AN640" s="36"/>
      <c r="AO640" s="36"/>
      <c r="AP640" s="36"/>
      <c r="FV640" s="104">
        <f t="shared" si="292"/>
        <v>2012</v>
      </c>
      <c r="FW640" s="104">
        <f t="shared" si="293"/>
        <v>49</v>
      </c>
      <c r="FX640" s="35">
        <v>41251</v>
      </c>
      <c r="FY640" s="26">
        <v>0.933</v>
      </c>
      <c r="FZ640" s="94">
        <f t="shared" si="294"/>
        <v>3.732</v>
      </c>
      <c r="GA640" s="104"/>
      <c r="GB640" s="104"/>
      <c r="GE640" s="94"/>
      <c r="GF640" s="104">
        <f t="shared" si="295"/>
        <v>2015</v>
      </c>
      <c r="GG640" s="104">
        <f t="shared" si="296"/>
        <v>25</v>
      </c>
      <c r="GH640" s="35">
        <v>42172</v>
      </c>
      <c r="GI640" s="26">
        <v>2.68</v>
      </c>
      <c r="GJ640" s="94">
        <f t="shared" si="297"/>
        <v>5.36</v>
      </c>
      <c r="GK640" s="104"/>
      <c r="GL640" s="104"/>
      <c r="GO640" s="94"/>
    </row>
    <row r="641" spans="3:197">
      <c r="C641" s="80" t="str" cm="1">
        <f t="array" ref="C641">_xlfn.IFS(MONTH(D641)&lt;4,1,MONTH(D641)&lt;7,2,MONTH(D641)&lt;10,3,MONTH(D641)&gt;9,4)&amp;"Q"&amp;RIGHT(YEAR(D641),2)</f>
        <v>3Q18</v>
      </c>
      <c r="D641" s="81">
        <f t="shared" si="291"/>
        <v>43343</v>
      </c>
      <c r="E641" s="82">
        <f t="shared" si="288"/>
        <v>43320</v>
      </c>
      <c r="F641" s="83">
        <f t="shared" si="290"/>
        <v>0.980875</v>
      </c>
      <c r="G641" s="83">
        <f t="shared" si="290"/>
        <v>1.02375</v>
      </c>
      <c r="H641" s="81"/>
      <c r="I641" s="146">
        <v>43320</v>
      </c>
      <c r="J641" s="147">
        <v>8.4</v>
      </c>
      <c r="K641" s="147">
        <v>7.55</v>
      </c>
      <c r="L641" s="147">
        <v>7.847</v>
      </c>
      <c r="M641" s="94" cm="1">
        <f t="array" ref="M641">INDEX($BV$29:$BV$1449,MATCH($D641,$BR$29:$BR$1449,0),)</f>
        <v>8.19</v>
      </c>
      <c r="N641" s="150">
        <f t="shared" si="287"/>
        <v>-0.000764039220679913</v>
      </c>
      <c r="O641" s="150">
        <f t="shared" si="289"/>
        <v>-0.00633151829808787</v>
      </c>
      <c r="P641" s="150">
        <f t="shared" si="298"/>
        <v>-0.00959232613908867</v>
      </c>
      <c r="Q641" s="89">
        <f t="shared" ref="Q641:Q704" si="299">L641/M641-1</f>
        <v>-0.0418803418803417</v>
      </c>
      <c r="AH641" s="90"/>
      <c r="AI641" s="85"/>
      <c r="AJ641" s="36"/>
      <c r="AK641" s="36"/>
      <c r="AL641" s="36"/>
      <c r="AM641" s="36"/>
      <c r="AN641" s="36"/>
      <c r="AO641" s="36"/>
      <c r="AP641" s="36"/>
      <c r="FV641" s="104">
        <f t="shared" si="292"/>
        <v>2012</v>
      </c>
      <c r="FW641" s="104">
        <f t="shared" si="293"/>
        <v>50</v>
      </c>
      <c r="FX641" s="35">
        <v>41252</v>
      </c>
      <c r="FY641" s="26">
        <v>0.933</v>
      </c>
      <c r="FZ641" s="94">
        <f t="shared" si="294"/>
        <v>3.732</v>
      </c>
      <c r="GA641" s="104"/>
      <c r="GB641" s="104"/>
      <c r="GE641" s="94"/>
      <c r="GF641" s="104">
        <f t="shared" si="295"/>
        <v>2015</v>
      </c>
      <c r="GG641" s="104">
        <f t="shared" si="296"/>
        <v>25</v>
      </c>
      <c r="GH641" s="35">
        <v>42173</v>
      </c>
      <c r="GI641" s="26">
        <v>2.673</v>
      </c>
      <c r="GJ641" s="94">
        <f t="shared" si="297"/>
        <v>5.346</v>
      </c>
      <c r="GK641" s="104"/>
      <c r="GL641" s="104"/>
      <c r="GO641" s="94"/>
    </row>
    <row r="642" spans="3:197">
      <c r="C642" s="80" t="str" cm="1">
        <f t="array" ref="C642">_xlfn.IFS(MONTH(D642)&lt;4,1,MONTH(D642)&lt;7,2,MONTH(D642)&lt;10,3,MONTH(D642)&gt;9,4)&amp;"Q"&amp;RIGHT(YEAR(D642),2)</f>
        <v>3Q18</v>
      </c>
      <c r="D642" s="81">
        <f t="shared" si="291"/>
        <v>43343</v>
      </c>
      <c r="E642" s="82">
        <f t="shared" si="288"/>
        <v>43321</v>
      </c>
      <c r="F642" s="83">
        <f t="shared" si="290"/>
        <v>0.98</v>
      </c>
      <c r="G642" s="83">
        <f t="shared" si="290"/>
        <v>1.02375</v>
      </c>
      <c r="H642" s="81"/>
      <c r="I642" s="146">
        <v>43321</v>
      </c>
      <c r="J642" s="147">
        <v>8.35</v>
      </c>
      <c r="K642" s="147">
        <v>7.55</v>
      </c>
      <c r="L642" s="147">
        <v>7.84</v>
      </c>
      <c r="M642" s="94" cm="1">
        <f t="array" ref="M642">INDEX($BV$29:$BV$1449,MATCH($D642,$BR$29:$BR$1449,0),)</f>
        <v>8.19</v>
      </c>
      <c r="N642" s="150">
        <f t="shared" si="287"/>
        <v>-0.000892060660124927</v>
      </c>
      <c r="O642" s="150">
        <f t="shared" si="289"/>
        <v>-0.00671481059166346</v>
      </c>
      <c r="P642" s="150">
        <f t="shared" si="298"/>
        <v>-0.0104758298624259</v>
      </c>
      <c r="Q642" s="89">
        <f t="shared" si="299"/>
        <v>-0.0427350427350427</v>
      </c>
      <c r="AH642" s="90"/>
      <c r="AI642" s="85"/>
      <c r="AJ642" s="36"/>
      <c r="AK642" s="36"/>
      <c r="AL642" s="36"/>
      <c r="AM642" s="36"/>
      <c r="AN642" s="36"/>
      <c r="AO642" s="36"/>
      <c r="AP642" s="36"/>
      <c r="FV642" s="104">
        <f t="shared" si="292"/>
        <v>2012</v>
      </c>
      <c r="FW642" s="104">
        <f t="shared" si="293"/>
        <v>50</v>
      </c>
      <c r="FX642" s="35">
        <v>41253</v>
      </c>
      <c r="FY642" s="26">
        <v>0.942</v>
      </c>
      <c r="FZ642" s="94">
        <f t="shared" si="294"/>
        <v>3.768</v>
      </c>
      <c r="GA642" s="104"/>
      <c r="GB642" s="104"/>
      <c r="GE642" s="94"/>
      <c r="GF642" s="104">
        <f t="shared" si="295"/>
        <v>2015</v>
      </c>
      <c r="GG642" s="104">
        <f t="shared" si="296"/>
        <v>25</v>
      </c>
      <c r="GH642" s="35">
        <v>42174</v>
      </c>
      <c r="GI642" s="26">
        <v>2.672</v>
      </c>
      <c r="GJ642" s="94">
        <f t="shared" si="297"/>
        <v>5.344</v>
      </c>
      <c r="GK642" s="104"/>
      <c r="GL642" s="104"/>
      <c r="GO642" s="94"/>
    </row>
    <row r="643" spans="3:197">
      <c r="C643" s="80" t="str" cm="1">
        <f t="array" ref="C643">_xlfn.IFS(MONTH(D643)&lt;4,1,MONTH(D643)&lt;7,2,MONTH(D643)&lt;10,3,MONTH(D643)&gt;9,4)&amp;"Q"&amp;RIGHT(YEAR(D643),2)</f>
        <v>3Q18</v>
      </c>
      <c r="D643" s="81">
        <f t="shared" si="291"/>
        <v>43343</v>
      </c>
      <c r="E643" s="82">
        <f t="shared" si="288"/>
        <v>43322</v>
      </c>
      <c r="F643" s="83">
        <f t="shared" si="290"/>
        <v>0.975875</v>
      </c>
      <c r="G643" s="83">
        <f t="shared" si="290"/>
        <v>1.02375</v>
      </c>
      <c r="H643" s="81"/>
      <c r="I643" s="146">
        <v>43322</v>
      </c>
      <c r="J643" s="147">
        <v>8.3</v>
      </c>
      <c r="K643" s="147">
        <v>7.45</v>
      </c>
      <c r="L643" s="147">
        <v>7.807</v>
      </c>
      <c r="M643" s="94" cm="1">
        <f t="array" ref="M643">INDEX($BV$29:$BV$1449,MATCH($D643,$BR$29:$BR$1449,0),)</f>
        <v>8.19</v>
      </c>
      <c r="N643" s="150">
        <f t="shared" si="287"/>
        <v>-0.00420918367346934</v>
      </c>
      <c r="O643" s="150">
        <f t="shared" si="289"/>
        <v>-0.0101432737416</v>
      </c>
      <c r="P643" s="150">
        <f t="shared" si="298"/>
        <v>-0.0117721518987342</v>
      </c>
      <c r="Q643" s="89">
        <f t="shared" si="299"/>
        <v>-0.0467643467643467</v>
      </c>
      <c r="AH643" s="90"/>
      <c r="AI643" s="85"/>
      <c r="AJ643" s="36"/>
      <c r="AK643" s="36"/>
      <c r="AL643" s="36"/>
      <c r="AM643" s="36"/>
      <c r="AN643" s="36"/>
      <c r="AO643" s="36"/>
      <c r="AP643" s="36"/>
      <c r="FV643" s="104">
        <f t="shared" si="292"/>
        <v>2012</v>
      </c>
      <c r="FW643" s="104">
        <f t="shared" si="293"/>
        <v>50</v>
      </c>
      <c r="FX643" s="35">
        <v>41254</v>
      </c>
      <c r="FY643" s="26">
        <v>0.938</v>
      </c>
      <c r="FZ643" s="94">
        <f t="shared" si="294"/>
        <v>3.752</v>
      </c>
      <c r="GA643" s="104"/>
      <c r="GB643" s="104"/>
      <c r="GE643" s="94"/>
      <c r="GF643" s="104">
        <f t="shared" si="295"/>
        <v>2015</v>
      </c>
      <c r="GG643" s="104">
        <f t="shared" si="296"/>
        <v>26</v>
      </c>
      <c r="GH643" s="35">
        <v>42177</v>
      </c>
      <c r="GI643" s="26">
        <v>2.672</v>
      </c>
      <c r="GJ643" s="94">
        <f t="shared" si="297"/>
        <v>5.344</v>
      </c>
      <c r="GK643" s="104"/>
      <c r="GL643" s="104"/>
      <c r="GO643" s="94"/>
    </row>
    <row r="644" spans="3:197">
      <c r="C644" s="80" t="str" cm="1">
        <f t="array" ref="C644">_xlfn.IFS(MONTH(D644)&lt;4,1,MONTH(D644)&lt;7,2,MONTH(D644)&lt;10,3,MONTH(D644)&gt;9,4)&amp;"Q"&amp;RIGHT(YEAR(D644),2)</f>
        <v>3Q18</v>
      </c>
      <c r="D644" s="81">
        <f t="shared" si="291"/>
        <v>43343</v>
      </c>
      <c r="E644" s="82">
        <f t="shared" si="288"/>
        <v>43325</v>
      </c>
      <c r="F644" s="83">
        <f t="shared" si="290"/>
        <v>0.9725</v>
      </c>
      <c r="G644" s="83">
        <f t="shared" si="290"/>
        <v>1.02375</v>
      </c>
      <c r="H644" s="81"/>
      <c r="I644" s="146">
        <v>43325</v>
      </c>
      <c r="J644" s="147">
        <v>8.3</v>
      </c>
      <c r="K644" s="147">
        <v>7.35</v>
      </c>
      <c r="L644" s="147">
        <v>7.78</v>
      </c>
      <c r="M644" s="94" cm="1">
        <f t="array" ref="M644">INDEX($BV$29:$BV$1449,MATCH($D644,$BR$29:$BR$1449,0),)</f>
        <v>8.19</v>
      </c>
      <c r="N644" s="150">
        <f t="shared" si="287"/>
        <v>-0.00345843473805563</v>
      </c>
      <c r="O644" s="150">
        <f t="shared" si="289"/>
        <v>-0.01143583227446</v>
      </c>
      <c r="P644" s="150">
        <f t="shared" si="298"/>
        <v>-0.0151898734177215</v>
      </c>
      <c r="Q644" s="89">
        <f t="shared" si="299"/>
        <v>-0.05006105006105</v>
      </c>
      <c r="AH644" s="90"/>
      <c r="AI644" s="85"/>
      <c r="AJ644" s="36"/>
      <c r="AK644" s="36"/>
      <c r="AL644" s="36"/>
      <c r="AM644" s="36"/>
      <c r="AN644" s="36"/>
      <c r="AO644" s="36"/>
      <c r="AP644" s="36"/>
      <c r="FV644" s="104">
        <f t="shared" si="292"/>
        <v>2012</v>
      </c>
      <c r="FW644" s="104">
        <f t="shared" si="293"/>
        <v>50</v>
      </c>
      <c r="FX644" s="35">
        <v>41255</v>
      </c>
      <c r="FY644" s="26">
        <v>0.942</v>
      </c>
      <c r="FZ644" s="94">
        <f t="shared" si="294"/>
        <v>3.768</v>
      </c>
      <c r="GA644" s="104"/>
      <c r="GB644" s="104"/>
      <c r="GE644" s="94"/>
      <c r="GF644" s="104">
        <f t="shared" si="295"/>
        <v>2015</v>
      </c>
      <c r="GG644" s="104">
        <f t="shared" si="296"/>
        <v>26</v>
      </c>
      <c r="GH644" s="35">
        <v>42178</v>
      </c>
      <c r="GI644" s="26">
        <v>2.668</v>
      </c>
      <c r="GJ644" s="94">
        <f t="shared" si="297"/>
        <v>5.336</v>
      </c>
      <c r="GK644" s="104"/>
      <c r="GL644" s="104"/>
      <c r="GO644" s="94"/>
    </row>
    <row r="645" spans="3:197">
      <c r="C645" s="80" t="str" cm="1">
        <f t="array" ref="C645">_xlfn.IFS(MONTH(D645)&lt;4,1,MONTH(D645)&lt;7,2,MONTH(D645)&lt;10,3,MONTH(D645)&gt;9,4)&amp;"Q"&amp;RIGHT(YEAR(D645),2)</f>
        <v>3Q18</v>
      </c>
      <c r="D645" s="81">
        <f t="shared" si="291"/>
        <v>43343</v>
      </c>
      <c r="E645" s="82">
        <f t="shared" si="288"/>
        <v>43326</v>
      </c>
      <c r="F645" s="83">
        <f t="shared" si="290"/>
        <v>0.97</v>
      </c>
      <c r="G645" s="83">
        <f t="shared" si="290"/>
        <v>1.02375</v>
      </c>
      <c r="H645" s="81"/>
      <c r="I645" s="146">
        <v>43326</v>
      </c>
      <c r="J645" s="147">
        <v>8.3</v>
      </c>
      <c r="K645" s="147">
        <v>7.3</v>
      </c>
      <c r="L645" s="147">
        <v>7.76</v>
      </c>
      <c r="M645" s="94" cm="1">
        <f t="array" ref="M645">INDEX($BV$29:$BV$1449,MATCH($D645,$BR$29:$BR$1449,0),)</f>
        <v>8.19</v>
      </c>
      <c r="N645" s="150">
        <f t="shared" si="287"/>
        <v>-0.00257069408740362</v>
      </c>
      <c r="O645" s="150">
        <f t="shared" si="289"/>
        <v>-0.0118426079205399</v>
      </c>
      <c r="P645" s="150">
        <f t="shared" si="298"/>
        <v>-0.0177215189873419</v>
      </c>
      <c r="Q645" s="89">
        <f t="shared" si="299"/>
        <v>-0.0525030525030524</v>
      </c>
      <c r="AH645" s="90"/>
      <c r="AI645" s="85"/>
      <c r="AJ645" s="36"/>
      <c r="AK645" s="36"/>
      <c r="AL645" s="36"/>
      <c r="AM645" s="36"/>
      <c r="AN645" s="36"/>
      <c r="AO645" s="36"/>
      <c r="AP645" s="36"/>
      <c r="FV645" s="104">
        <f t="shared" si="292"/>
        <v>2012</v>
      </c>
      <c r="FW645" s="104">
        <f t="shared" si="293"/>
        <v>50</v>
      </c>
      <c r="FX645" s="35">
        <v>41256</v>
      </c>
      <c r="FY645" s="26">
        <v>0.942</v>
      </c>
      <c r="FZ645" s="94">
        <f t="shared" si="294"/>
        <v>3.768</v>
      </c>
      <c r="GA645" s="104"/>
      <c r="GB645" s="104"/>
      <c r="GE645" s="94"/>
      <c r="GF645" s="104">
        <f t="shared" si="295"/>
        <v>2015</v>
      </c>
      <c r="GG645" s="104">
        <f t="shared" si="296"/>
        <v>26</v>
      </c>
      <c r="GH645" s="35">
        <v>42179</v>
      </c>
      <c r="GI645" s="26">
        <v>2.668</v>
      </c>
      <c r="GJ645" s="94">
        <f t="shared" si="297"/>
        <v>5.336</v>
      </c>
      <c r="GK645" s="104"/>
      <c r="GL645" s="104"/>
      <c r="GO645" s="94"/>
    </row>
    <row r="646" spans="3:197">
      <c r="C646" s="80" t="str" cm="1">
        <f t="array" ref="C646">_xlfn.IFS(MONTH(D646)&lt;4,1,MONTH(D646)&lt;7,2,MONTH(D646)&lt;10,3,MONTH(D646)&gt;9,4)&amp;"Q"&amp;RIGHT(YEAR(D646),2)</f>
        <v>3Q18</v>
      </c>
      <c r="D646" s="81">
        <f t="shared" si="291"/>
        <v>43343</v>
      </c>
      <c r="E646" s="82">
        <f t="shared" si="288"/>
        <v>43327</v>
      </c>
      <c r="F646" s="83">
        <f t="shared" si="290"/>
        <v>0.969125</v>
      </c>
      <c r="G646" s="83">
        <f t="shared" si="290"/>
        <v>1.02375</v>
      </c>
      <c r="H646" s="81"/>
      <c r="I646" s="146">
        <v>43327</v>
      </c>
      <c r="J646" s="147">
        <v>8.3</v>
      </c>
      <c r="K646" s="147">
        <v>7.2</v>
      </c>
      <c r="L646" s="147">
        <v>7.753</v>
      </c>
      <c r="M646" s="94" cm="1">
        <f t="array" ref="M646">INDEX($BV$29:$BV$1449,MATCH($D646,$BR$29:$BR$1449,0),)</f>
        <v>8.19</v>
      </c>
      <c r="N646" s="150">
        <f t="shared" si="287"/>
        <v>-0.0009020618556701</v>
      </c>
      <c r="O646" s="150">
        <f t="shared" si="289"/>
        <v>-0.0119791002931057</v>
      </c>
      <c r="P646" s="150">
        <f t="shared" si="298"/>
        <v>-0.0182347726984932</v>
      </c>
      <c r="Q646" s="89">
        <f t="shared" si="299"/>
        <v>-0.0533577533577533</v>
      </c>
      <c r="AH646" s="90"/>
      <c r="AI646" s="85"/>
      <c r="AJ646" s="36"/>
      <c r="AK646" s="36"/>
      <c r="AL646" s="36"/>
      <c r="AM646" s="36"/>
      <c r="AN646" s="36"/>
      <c r="AO646" s="36"/>
      <c r="AP646" s="36"/>
      <c r="FV646" s="104">
        <f t="shared" si="292"/>
        <v>2012</v>
      </c>
      <c r="FW646" s="104">
        <f t="shared" si="293"/>
        <v>50</v>
      </c>
      <c r="FX646" s="35">
        <v>41257</v>
      </c>
      <c r="FY646" s="26">
        <v>0.991</v>
      </c>
      <c r="FZ646" s="94">
        <f t="shared" si="294"/>
        <v>3.964</v>
      </c>
      <c r="GA646" s="104"/>
      <c r="GB646" s="104"/>
      <c r="GE646" s="94"/>
      <c r="GF646" s="104">
        <f t="shared" si="295"/>
        <v>2015</v>
      </c>
      <c r="GG646" s="104">
        <f t="shared" si="296"/>
        <v>26</v>
      </c>
      <c r="GH646" s="35">
        <v>42180</v>
      </c>
      <c r="GI646" s="26">
        <v>2.668</v>
      </c>
      <c r="GJ646" s="94">
        <f t="shared" si="297"/>
        <v>5.336</v>
      </c>
      <c r="GK646" s="104"/>
      <c r="GL646" s="104"/>
      <c r="GO646" s="94"/>
    </row>
    <row r="647" spans="3:197">
      <c r="C647" s="80" t="str" cm="1">
        <f t="array" ref="C647">_xlfn.IFS(MONTH(D647)&lt;4,1,MONTH(D647)&lt;7,2,MONTH(D647)&lt;10,3,MONTH(D647)&gt;9,4)&amp;"Q"&amp;RIGHT(YEAR(D647),2)</f>
        <v>3Q18</v>
      </c>
      <c r="D647" s="81">
        <f t="shared" si="291"/>
        <v>43343</v>
      </c>
      <c r="E647" s="82">
        <f t="shared" si="288"/>
        <v>43328</v>
      </c>
      <c r="F647" s="83">
        <f t="shared" si="290"/>
        <v>0.96625</v>
      </c>
      <c r="G647" s="83">
        <f t="shared" si="290"/>
        <v>1.02375</v>
      </c>
      <c r="H647" s="81"/>
      <c r="I647" s="146">
        <v>43328</v>
      </c>
      <c r="J647" s="147">
        <v>8.25</v>
      </c>
      <c r="K647" s="147">
        <v>7</v>
      </c>
      <c r="L647" s="147">
        <v>7.73</v>
      </c>
      <c r="M647" s="94" cm="1">
        <f t="array" ref="M647">INDEX($BV$29:$BV$1449,MATCH($D647,$BR$29:$BR$1449,0),)</f>
        <v>8.19</v>
      </c>
      <c r="N647" s="150">
        <f t="shared" si="287"/>
        <v>-0.00296659357667994</v>
      </c>
      <c r="O647" s="150">
        <f t="shared" si="289"/>
        <v>-0.0140306122448979</v>
      </c>
      <c r="P647" s="150">
        <f t="shared" si="298"/>
        <v>-0.0206512099328519</v>
      </c>
      <c r="Q647" s="89">
        <f t="shared" si="299"/>
        <v>-0.0561660561660561</v>
      </c>
      <c r="AH647" s="90"/>
      <c r="AI647" s="85"/>
      <c r="AJ647" s="36"/>
      <c r="AK647" s="36"/>
      <c r="AL647" s="36"/>
      <c r="AM647" s="36"/>
      <c r="AN647" s="36"/>
      <c r="AO647" s="36"/>
      <c r="AP647" s="36"/>
      <c r="FV647" s="104">
        <f t="shared" si="292"/>
        <v>2012</v>
      </c>
      <c r="FW647" s="104">
        <f t="shared" si="293"/>
        <v>51</v>
      </c>
      <c r="FX647" s="35">
        <v>41260</v>
      </c>
      <c r="FY647" s="26">
        <v>1.071</v>
      </c>
      <c r="FZ647" s="94">
        <f t="shared" si="294"/>
        <v>4.284</v>
      </c>
      <c r="GA647" s="104"/>
      <c r="GB647" s="104"/>
      <c r="GE647" s="94"/>
      <c r="GF647" s="104">
        <f t="shared" si="295"/>
        <v>2015</v>
      </c>
      <c r="GG647" s="104">
        <f t="shared" si="296"/>
        <v>26</v>
      </c>
      <c r="GH647" s="35">
        <v>42181</v>
      </c>
      <c r="GI647" s="26">
        <v>2.658</v>
      </c>
      <c r="GJ647" s="94">
        <f t="shared" si="297"/>
        <v>5.316</v>
      </c>
      <c r="GK647" s="104"/>
      <c r="GL647" s="104"/>
      <c r="GO647" s="94"/>
    </row>
    <row r="648" spans="3:197">
      <c r="C648" s="80" t="str" cm="1">
        <f t="array" ref="C648">_xlfn.IFS(MONTH(D648)&lt;4,1,MONTH(D648)&lt;7,2,MONTH(D648)&lt;10,3,MONTH(D648)&gt;9,4)&amp;"Q"&amp;RIGHT(YEAR(D648),2)</f>
        <v>3Q18</v>
      </c>
      <c r="D648" s="81">
        <f t="shared" si="291"/>
        <v>43343</v>
      </c>
      <c r="E648" s="82">
        <f t="shared" si="288"/>
        <v>43329</v>
      </c>
      <c r="F648" s="83">
        <f t="shared" si="290"/>
        <v>0.962125</v>
      </c>
      <c r="G648" s="83">
        <f t="shared" si="290"/>
        <v>1.02375</v>
      </c>
      <c r="H648" s="81"/>
      <c r="I648" s="146">
        <v>43329</v>
      </c>
      <c r="J648" s="147">
        <v>8.25</v>
      </c>
      <c r="K648" s="147">
        <v>6.9</v>
      </c>
      <c r="L648" s="147">
        <v>7.697</v>
      </c>
      <c r="M648" s="94" cm="1">
        <f t="array" ref="M648">INDEX($BV$29:$BV$1449,MATCH($D648,$BR$29:$BR$1449,0),)</f>
        <v>8.19</v>
      </c>
      <c r="N648" s="150">
        <f t="shared" si="287"/>
        <v>-0.00426908150064687</v>
      </c>
      <c r="O648" s="150">
        <f t="shared" si="289"/>
        <v>-0.0140899193031895</v>
      </c>
      <c r="P648" s="150">
        <f t="shared" si="298"/>
        <v>-0.0240902751363001</v>
      </c>
      <c r="Q648" s="89">
        <f t="shared" si="299"/>
        <v>-0.0601953601953601</v>
      </c>
      <c r="AH648" s="90"/>
      <c r="AI648" s="85"/>
      <c r="AJ648" s="36"/>
      <c r="AK648" s="36"/>
      <c r="AL648" s="36"/>
      <c r="AM648" s="36"/>
      <c r="AN648" s="36"/>
      <c r="AO648" s="36"/>
      <c r="AP648" s="36"/>
      <c r="FV648" s="104">
        <f t="shared" si="292"/>
        <v>2012</v>
      </c>
      <c r="FW648" s="104">
        <f t="shared" si="293"/>
        <v>51</v>
      </c>
      <c r="FX648" s="35">
        <v>41261</v>
      </c>
      <c r="FY648" s="26">
        <v>1.061</v>
      </c>
      <c r="FZ648" s="94">
        <f t="shared" si="294"/>
        <v>4.244</v>
      </c>
      <c r="GA648" s="104"/>
      <c r="GB648" s="104"/>
      <c r="GE648" s="94"/>
      <c r="GF648" s="104">
        <f t="shared" si="295"/>
        <v>2015</v>
      </c>
      <c r="GG648" s="104">
        <f t="shared" si="296"/>
        <v>27</v>
      </c>
      <c r="GH648" s="35">
        <v>42184</v>
      </c>
      <c r="GI648" s="26">
        <v>2.636</v>
      </c>
      <c r="GJ648" s="94">
        <f t="shared" si="297"/>
        <v>5.272</v>
      </c>
      <c r="GK648" s="104"/>
      <c r="GL648" s="104"/>
      <c r="GO648" s="94"/>
    </row>
    <row r="649" spans="3:197">
      <c r="C649" s="80" t="str" cm="1">
        <f t="array" ref="C649">_xlfn.IFS(MONTH(D649)&lt;4,1,MONTH(D649)&lt;7,2,MONTH(D649)&lt;10,3,MONTH(D649)&gt;9,4)&amp;"Q"&amp;RIGHT(YEAR(D649),2)</f>
        <v>3Q18</v>
      </c>
      <c r="D649" s="81">
        <f t="shared" si="291"/>
        <v>43343</v>
      </c>
      <c r="E649" s="82">
        <f t="shared" si="288"/>
        <v>43332</v>
      </c>
      <c r="F649" s="83">
        <f t="shared" si="290"/>
        <v>0.952875</v>
      </c>
      <c r="G649" s="83">
        <f t="shared" si="290"/>
        <v>1.02375</v>
      </c>
      <c r="H649" s="81"/>
      <c r="I649" s="146">
        <v>43332</v>
      </c>
      <c r="J649" s="147">
        <v>8.25</v>
      </c>
      <c r="K649" s="147">
        <v>6.8</v>
      </c>
      <c r="L649" s="147">
        <v>7.623</v>
      </c>
      <c r="M649" s="94" cm="1">
        <f t="array" ref="M649">INDEX($BV$29:$BV$1449,MATCH($D649,$BR$29:$BR$1449,0),)</f>
        <v>8.19</v>
      </c>
      <c r="N649" s="150">
        <f t="shared" si="287"/>
        <v>-0.00961413537741973</v>
      </c>
      <c r="O649" s="150">
        <f t="shared" si="289"/>
        <v>-0.0201799485861183</v>
      </c>
      <c r="P649" s="150">
        <f t="shared" si="298"/>
        <v>-0.0313850063532402</v>
      </c>
      <c r="Q649" s="89">
        <f t="shared" si="299"/>
        <v>-0.0692307692307691</v>
      </c>
      <c r="AH649" s="90"/>
      <c r="AI649" s="85"/>
      <c r="AJ649" s="36"/>
      <c r="AK649" s="36"/>
      <c r="AL649" s="36"/>
      <c r="AM649" s="36"/>
      <c r="AN649" s="36"/>
      <c r="AO649" s="36"/>
      <c r="AP649" s="36"/>
      <c r="FV649" s="104">
        <f t="shared" si="292"/>
        <v>2012</v>
      </c>
      <c r="FW649" s="104">
        <f t="shared" si="293"/>
        <v>51</v>
      </c>
      <c r="FX649" s="35">
        <v>41262</v>
      </c>
      <c r="FY649" s="26">
        <v>1.075</v>
      </c>
      <c r="FZ649" s="94">
        <f t="shared" si="294"/>
        <v>4.3</v>
      </c>
      <c r="GA649" s="104"/>
      <c r="GB649" s="104"/>
      <c r="GE649" s="94"/>
      <c r="GF649" s="104">
        <f t="shared" si="295"/>
        <v>2015</v>
      </c>
      <c r="GG649" s="104">
        <f t="shared" si="296"/>
        <v>27</v>
      </c>
      <c r="GH649" s="35">
        <v>42185</v>
      </c>
      <c r="GI649" s="26">
        <v>2.631</v>
      </c>
      <c r="GJ649" s="94">
        <f t="shared" si="297"/>
        <v>5.262</v>
      </c>
      <c r="GK649" s="104"/>
      <c r="GL649" s="104"/>
      <c r="GO649" s="94"/>
    </row>
    <row r="650" spans="3:197">
      <c r="C650" s="80" t="str" cm="1">
        <f t="array" ref="C650">_xlfn.IFS(MONTH(D650)&lt;4,1,MONTH(D650)&lt;7,2,MONTH(D650)&lt;10,3,MONTH(D650)&gt;9,4)&amp;"Q"&amp;RIGHT(YEAR(D650),2)</f>
        <v>3Q18</v>
      </c>
      <c r="D650" s="81">
        <f t="shared" si="291"/>
        <v>43343</v>
      </c>
      <c r="E650" s="82">
        <f t="shared" si="288"/>
        <v>43333</v>
      </c>
      <c r="F650" s="83">
        <f t="shared" si="290"/>
        <v>0.952125</v>
      </c>
      <c r="G650" s="83">
        <f t="shared" si="290"/>
        <v>1.02375</v>
      </c>
      <c r="H650" s="81"/>
      <c r="I650" s="146">
        <v>43333</v>
      </c>
      <c r="J650" s="147">
        <v>8.25</v>
      </c>
      <c r="K650" s="147">
        <v>6.8</v>
      </c>
      <c r="L650" s="147">
        <v>7.617</v>
      </c>
      <c r="M650" s="94" cm="1">
        <f t="array" ref="M650">INDEX($BV$29:$BV$1449,MATCH($D650,$BR$29:$BR$1449,0),)</f>
        <v>8.19</v>
      </c>
      <c r="N650" s="150">
        <f t="shared" si="287"/>
        <v>-0.000787091696182629</v>
      </c>
      <c r="O650" s="150">
        <f t="shared" si="289"/>
        <v>-0.0184278350515463</v>
      </c>
      <c r="P650" s="150">
        <f t="shared" si="298"/>
        <v>-0.0300522093467465</v>
      </c>
      <c r="Q650" s="89">
        <f t="shared" si="299"/>
        <v>-0.0699633699633699</v>
      </c>
      <c r="AH650" s="90"/>
      <c r="AI650" s="85"/>
      <c r="AJ650" s="36"/>
      <c r="AK650" s="36"/>
      <c r="AL650" s="36"/>
      <c r="AM650" s="36"/>
      <c r="AN650" s="36"/>
      <c r="AO650" s="36"/>
      <c r="AP650" s="36"/>
      <c r="FV650" s="104">
        <f t="shared" si="292"/>
        <v>2012</v>
      </c>
      <c r="FW650" s="104">
        <f t="shared" si="293"/>
        <v>51</v>
      </c>
      <c r="FX650" s="35">
        <v>41263</v>
      </c>
      <c r="FY650" s="26">
        <v>1.074</v>
      </c>
      <c r="FZ650" s="94">
        <f t="shared" si="294"/>
        <v>4.296</v>
      </c>
      <c r="GA650" s="104"/>
      <c r="GB650" s="104"/>
      <c r="GE650" s="94"/>
      <c r="GF650" s="104">
        <f t="shared" si="295"/>
        <v>2015</v>
      </c>
      <c r="GG650" s="104">
        <f t="shared" si="296"/>
        <v>27</v>
      </c>
      <c r="GH650" s="35">
        <v>42186</v>
      </c>
      <c r="GI650" s="26">
        <v>2.631</v>
      </c>
      <c r="GJ650" s="94">
        <f t="shared" si="297"/>
        <v>5.262</v>
      </c>
      <c r="GK650" s="104"/>
      <c r="GL650" s="104"/>
      <c r="GO650" s="94"/>
    </row>
    <row r="651" spans="3:197">
      <c r="C651" s="80" t="str" cm="1">
        <f t="array" ref="C651">_xlfn.IFS(MONTH(D651)&lt;4,1,MONTH(D651)&lt;7,2,MONTH(D651)&lt;10,3,MONTH(D651)&gt;9,4)&amp;"Q"&amp;RIGHT(YEAR(D651),2)</f>
        <v>3Q18</v>
      </c>
      <c r="D651" s="81">
        <f t="shared" si="291"/>
        <v>43343</v>
      </c>
      <c r="E651" s="82">
        <f t="shared" si="288"/>
        <v>43334</v>
      </c>
      <c r="F651" s="83">
        <f t="shared" si="290"/>
        <v>0.949875</v>
      </c>
      <c r="G651" s="83">
        <f t="shared" si="290"/>
        <v>1.02375</v>
      </c>
      <c r="H651" s="81"/>
      <c r="I651" s="146">
        <v>43334</v>
      </c>
      <c r="J651" s="147">
        <v>8.15</v>
      </c>
      <c r="K651" s="147">
        <v>6.4</v>
      </c>
      <c r="L651" s="147">
        <v>7.599</v>
      </c>
      <c r="M651" s="94" cm="1">
        <f t="array" ref="M651">INDEX($BV$29:$BV$1449,MATCH($D651,$BR$29:$BR$1449,0),)</f>
        <v>8.19</v>
      </c>
      <c r="N651" s="150">
        <f t="shared" si="287"/>
        <v>-0.00236313509255615</v>
      </c>
      <c r="O651" s="150">
        <f t="shared" si="289"/>
        <v>-0.0198632787308138</v>
      </c>
      <c r="P651" s="150">
        <f t="shared" si="298"/>
        <v>-0.0316044348158532</v>
      </c>
      <c r="Q651" s="89">
        <f t="shared" si="299"/>
        <v>-0.0721611721611721</v>
      </c>
      <c r="AH651" s="90"/>
      <c r="AI651" s="85"/>
      <c r="AJ651" s="36"/>
      <c r="AK651" s="36"/>
      <c r="AL651" s="36"/>
      <c r="AM651" s="36"/>
      <c r="AN651" s="36"/>
      <c r="AO651" s="36"/>
      <c r="AP651" s="36"/>
      <c r="FV651" s="104">
        <f t="shared" si="292"/>
        <v>2012</v>
      </c>
      <c r="FW651" s="104">
        <f t="shared" si="293"/>
        <v>51</v>
      </c>
      <c r="FX651" s="35">
        <v>41264</v>
      </c>
      <c r="FY651" s="26">
        <v>1.065</v>
      </c>
      <c r="FZ651" s="94">
        <f t="shared" si="294"/>
        <v>4.26</v>
      </c>
      <c r="GA651" s="104"/>
      <c r="GB651" s="104"/>
      <c r="GE651" s="94"/>
      <c r="GF651" s="104">
        <f t="shared" si="295"/>
        <v>2015</v>
      </c>
      <c r="GG651" s="104">
        <f t="shared" si="296"/>
        <v>27</v>
      </c>
      <c r="GH651" s="35">
        <v>42187</v>
      </c>
      <c r="GI651" s="26">
        <v>2.624</v>
      </c>
      <c r="GJ651" s="94">
        <f t="shared" si="297"/>
        <v>5.248</v>
      </c>
      <c r="GK651" s="104"/>
      <c r="GL651" s="104"/>
      <c r="GO651" s="94"/>
    </row>
    <row r="652" spans="3:197">
      <c r="C652" s="80" t="str" cm="1">
        <f t="array" ref="C652">_xlfn.IFS(MONTH(D652)&lt;4,1,MONTH(D652)&lt;7,2,MONTH(D652)&lt;10,3,MONTH(D652)&gt;9,4)&amp;"Q"&amp;RIGHT(YEAR(D652),2)</f>
        <v>3Q18</v>
      </c>
      <c r="D652" s="81">
        <f t="shared" si="291"/>
        <v>43343</v>
      </c>
      <c r="E652" s="82">
        <f t="shared" si="288"/>
        <v>43335</v>
      </c>
      <c r="F652" s="83">
        <f t="shared" si="290"/>
        <v>0.94725</v>
      </c>
      <c r="G652" s="83">
        <f t="shared" si="290"/>
        <v>1.02375</v>
      </c>
      <c r="H652" s="81"/>
      <c r="I652" s="146">
        <v>43335</v>
      </c>
      <c r="J652" s="147">
        <v>8.15</v>
      </c>
      <c r="K652" s="147">
        <v>6.4</v>
      </c>
      <c r="L652" s="147">
        <v>7.578</v>
      </c>
      <c r="M652" s="94" cm="1">
        <f t="array" ref="M652">INDEX($BV$29:$BV$1449,MATCH($D652,$BR$29:$BR$1449,0),)</f>
        <v>8.19</v>
      </c>
      <c r="N652" s="150">
        <f t="shared" si="287"/>
        <v>-0.00276352151598891</v>
      </c>
      <c r="O652" s="150">
        <f t="shared" si="289"/>
        <v>-0.0196636481241915</v>
      </c>
      <c r="P652" s="150">
        <f t="shared" si="298"/>
        <v>-0.0334183673469387</v>
      </c>
      <c r="Q652" s="89">
        <f t="shared" si="299"/>
        <v>-0.0747252747252747</v>
      </c>
      <c r="AH652" s="90"/>
      <c r="AI652" s="85"/>
      <c r="AJ652" s="36"/>
      <c r="AK652" s="36"/>
      <c r="AL652" s="36"/>
      <c r="AM652" s="36"/>
      <c r="AN652" s="36"/>
      <c r="AO652" s="36"/>
      <c r="AP652" s="36"/>
      <c r="FV652" s="104">
        <f t="shared" si="292"/>
        <v>2012</v>
      </c>
      <c r="FW652" s="104">
        <f t="shared" si="293"/>
        <v>52</v>
      </c>
      <c r="FX652" s="35">
        <v>41267</v>
      </c>
      <c r="FY652" s="26">
        <v>1.066</v>
      </c>
      <c r="FZ652" s="94">
        <f t="shared" si="294"/>
        <v>4.264</v>
      </c>
      <c r="GA652" s="104"/>
      <c r="GB652" s="104"/>
      <c r="GE652" s="94"/>
      <c r="GF652" s="104">
        <f t="shared" si="295"/>
        <v>2015</v>
      </c>
      <c r="GG652" s="104">
        <f t="shared" si="296"/>
        <v>27</v>
      </c>
      <c r="GH652" s="35">
        <v>42188</v>
      </c>
      <c r="GI652" s="26">
        <v>2.619</v>
      </c>
      <c r="GJ652" s="94">
        <f t="shared" si="297"/>
        <v>5.238</v>
      </c>
      <c r="GK652" s="104"/>
      <c r="GL652" s="104"/>
      <c r="GO652" s="94"/>
    </row>
    <row r="653" spans="3:197">
      <c r="C653" s="80" t="str" cm="1">
        <f t="array" ref="C653">_xlfn.IFS(MONTH(D653)&lt;4,1,MONTH(D653)&lt;7,2,MONTH(D653)&lt;10,3,MONTH(D653)&gt;9,4)&amp;"Q"&amp;RIGHT(YEAR(D653),2)</f>
        <v>3Q18</v>
      </c>
      <c r="D653" s="81">
        <f t="shared" si="291"/>
        <v>43343</v>
      </c>
      <c r="E653" s="82">
        <f t="shared" si="288"/>
        <v>43336</v>
      </c>
      <c r="F653" s="83">
        <f t="shared" si="290"/>
        <v>0.944125</v>
      </c>
      <c r="G653" s="83">
        <f t="shared" si="290"/>
        <v>1.02375</v>
      </c>
      <c r="H653" s="81"/>
      <c r="I653" s="146">
        <v>43336</v>
      </c>
      <c r="J653" s="147">
        <v>8.15</v>
      </c>
      <c r="K653" s="147">
        <v>6.2</v>
      </c>
      <c r="L653" s="147">
        <v>7.553</v>
      </c>
      <c r="M653" s="94" cm="1">
        <f t="array" ref="M653">INDEX($BV$29:$BV$1449,MATCH($D653,$BR$29:$BR$1449,0),)</f>
        <v>8.19</v>
      </c>
      <c r="N653" s="150">
        <f t="shared" si="287"/>
        <v>-0.00329902348904731</v>
      </c>
      <c r="O653" s="150">
        <f t="shared" si="289"/>
        <v>-0.0187085877614656</v>
      </c>
      <c r="P653" s="150">
        <f t="shared" si="298"/>
        <v>-0.0325349045728193</v>
      </c>
      <c r="Q653" s="89">
        <f t="shared" si="299"/>
        <v>-0.0777777777777777</v>
      </c>
      <c r="AH653" s="90"/>
      <c r="AI653" s="85"/>
      <c r="AJ653" s="36"/>
      <c r="AK653" s="36"/>
      <c r="AL653" s="36"/>
      <c r="AM653" s="36"/>
      <c r="AN653" s="36"/>
      <c r="AO653" s="36"/>
      <c r="AP653" s="36"/>
      <c r="FV653" s="104">
        <f t="shared" si="292"/>
        <v>2012</v>
      </c>
      <c r="FW653" s="104">
        <f t="shared" si="293"/>
        <v>52</v>
      </c>
      <c r="FX653" s="35">
        <v>41268</v>
      </c>
      <c r="FY653" s="26">
        <v>1.067</v>
      </c>
      <c r="FZ653" s="94">
        <f t="shared" si="294"/>
        <v>4.268</v>
      </c>
      <c r="GA653" s="104"/>
      <c r="GB653" s="104"/>
      <c r="GE653" s="94"/>
      <c r="GF653" s="104">
        <f t="shared" si="295"/>
        <v>2015</v>
      </c>
      <c r="GG653" s="104">
        <f t="shared" si="296"/>
        <v>28</v>
      </c>
      <c r="GH653" s="35">
        <v>42191</v>
      </c>
      <c r="GI653" s="26">
        <v>2.605</v>
      </c>
      <c r="GJ653" s="94">
        <f t="shared" si="297"/>
        <v>5.21</v>
      </c>
      <c r="GK653" s="104"/>
      <c r="GL653" s="104"/>
      <c r="GO653" s="94"/>
    </row>
    <row r="654" spans="3:197">
      <c r="C654" s="80" t="str" cm="1">
        <f t="array" ref="C654">_xlfn.IFS(MONTH(D654)&lt;4,1,MONTH(D654)&lt;7,2,MONTH(D654)&lt;10,3,MONTH(D654)&gt;9,4)&amp;"Q"&amp;RIGHT(YEAR(D654),2)</f>
        <v>3Q18</v>
      </c>
      <c r="D654" s="81">
        <f t="shared" si="291"/>
        <v>43343</v>
      </c>
      <c r="E654" s="82">
        <f t="shared" si="288"/>
        <v>43339</v>
      </c>
      <c r="F654" s="83">
        <f t="shared" si="290"/>
        <v>0.944125</v>
      </c>
      <c r="G654" s="83">
        <f t="shared" si="290"/>
        <v>1.02375</v>
      </c>
      <c r="H654" s="81"/>
      <c r="I654" s="146">
        <v>43339</v>
      </c>
      <c r="J654" s="147">
        <v>8.15</v>
      </c>
      <c r="K654" s="147">
        <v>6.2</v>
      </c>
      <c r="L654" s="147">
        <v>7.553</v>
      </c>
      <c r="M654" s="94" cm="1">
        <f t="array" ref="M654">INDEX($BV$29:$BV$1449,MATCH($D654,$BR$29:$BR$1449,0),)</f>
        <v>8.19</v>
      </c>
      <c r="N654" s="150">
        <f t="shared" si="287"/>
        <v>0</v>
      </c>
      <c r="O654" s="150">
        <f t="shared" si="289"/>
        <v>-0.00918273645546375</v>
      </c>
      <c r="P654" s="150">
        <f t="shared" si="298"/>
        <v>-0.0291773778920309</v>
      </c>
      <c r="Q654" s="89">
        <f t="shared" si="299"/>
        <v>-0.0777777777777777</v>
      </c>
      <c r="AH654" s="90"/>
      <c r="AI654" s="85"/>
      <c r="AJ654" s="36"/>
      <c r="AK654" s="36"/>
      <c r="AL654" s="36"/>
      <c r="AM654" s="36"/>
      <c r="AN654" s="36"/>
      <c r="AO654" s="36"/>
      <c r="AP654" s="36"/>
      <c r="FV654" s="104">
        <f t="shared" si="292"/>
        <v>2012</v>
      </c>
      <c r="FW654" s="104">
        <f t="shared" si="293"/>
        <v>52</v>
      </c>
      <c r="FX654" s="35">
        <v>41269</v>
      </c>
      <c r="FY654" s="26">
        <v>1.07</v>
      </c>
      <c r="FZ654" s="94">
        <f t="shared" si="294"/>
        <v>4.28</v>
      </c>
      <c r="GA654" s="104"/>
      <c r="GB654" s="104"/>
      <c r="GE654" s="94"/>
      <c r="GF654" s="104">
        <f t="shared" si="295"/>
        <v>2015</v>
      </c>
      <c r="GG654" s="104">
        <f t="shared" si="296"/>
        <v>28</v>
      </c>
      <c r="GH654" s="35">
        <v>42192</v>
      </c>
      <c r="GI654" s="26">
        <v>2.582</v>
      </c>
      <c r="GJ654" s="94">
        <f t="shared" si="297"/>
        <v>5.164</v>
      </c>
      <c r="GK654" s="104"/>
      <c r="GL654" s="104"/>
      <c r="GO654" s="94"/>
    </row>
    <row r="655" spans="3:197">
      <c r="C655" s="80" t="str" cm="1">
        <f t="array" ref="C655">_xlfn.IFS(MONTH(D655)&lt;4,1,MONTH(D655)&lt;7,2,MONTH(D655)&lt;10,3,MONTH(D655)&gt;9,4)&amp;"Q"&amp;RIGHT(YEAR(D655),2)</f>
        <v>3Q18</v>
      </c>
      <c r="D655" s="81">
        <f t="shared" si="291"/>
        <v>43343</v>
      </c>
      <c r="E655" s="82">
        <f t="shared" si="288"/>
        <v>43340</v>
      </c>
      <c r="F655" s="83">
        <f t="shared" si="290"/>
        <v>0.942625</v>
      </c>
      <c r="G655" s="83">
        <f t="shared" si="290"/>
        <v>1.02375</v>
      </c>
      <c r="H655" s="81"/>
      <c r="I655" s="146">
        <v>43340</v>
      </c>
      <c r="J655" s="147">
        <v>8.15</v>
      </c>
      <c r="K655" s="147">
        <v>6.3</v>
      </c>
      <c r="L655" s="147">
        <v>7.541</v>
      </c>
      <c r="M655" s="94" cm="1">
        <f t="array" ref="M655">INDEX($BV$29:$BV$1449,MATCH($D655,$BR$29:$BR$1449,0),)</f>
        <v>8.19</v>
      </c>
      <c r="N655" s="150">
        <f t="shared" si="287"/>
        <v>-0.00158877267310997</v>
      </c>
      <c r="O655" s="150">
        <f t="shared" si="289"/>
        <v>-0.00997768150190359</v>
      </c>
      <c r="P655" s="150">
        <f t="shared" si="298"/>
        <v>-0.028221649484536</v>
      </c>
      <c r="Q655" s="89">
        <f t="shared" si="299"/>
        <v>-0.0792429792429792</v>
      </c>
      <c r="AH655" s="90"/>
      <c r="AI655" s="85"/>
      <c r="AJ655" s="36"/>
      <c r="AK655" s="36"/>
      <c r="AL655" s="36"/>
      <c r="AM655" s="36"/>
      <c r="AN655" s="36"/>
      <c r="AO655" s="36"/>
      <c r="AP655" s="36"/>
      <c r="FV655" s="104">
        <f t="shared" si="292"/>
        <v>2012</v>
      </c>
      <c r="FW655" s="104">
        <f t="shared" si="293"/>
        <v>52</v>
      </c>
      <c r="FX655" s="35">
        <v>41270</v>
      </c>
      <c r="FY655" s="26">
        <v>1.072</v>
      </c>
      <c r="FZ655" s="94">
        <f t="shared" si="294"/>
        <v>4.288</v>
      </c>
      <c r="GA655" s="104"/>
      <c r="GB655" s="104"/>
      <c r="GE655" s="94"/>
      <c r="GF655" s="104">
        <f t="shared" si="295"/>
        <v>2015</v>
      </c>
      <c r="GG655" s="104">
        <f t="shared" si="296"/>
        <v>28</v>
      </c>
      <c r="GH655" s="35">
        <v>42193</v>
      </c>
      <c r="GI655" s="26">
        <v>2.56</v>
      </c>
      <c r="GJ655" s="94">
        <f t="shared" si="297"/>
        <v>5.12</v>
      </c>
      <c r="GK655" s="104"/>
      <c r="GL655" s="104"/>
      <c r="GO655" s="94"/>
    </row>
    <row r="656" spans="3:197">
      <c r="C656" s="80" t="str" cm="1">
        <f t="array" ref="C656">_xlfn.IFS(MONTH(D656)&lt;4,1,MONTH(D656)&lt;7,2,MONTH(D656)&lt;10,3,MONTH(D656)&gt;9,4)&amp;"Q"&amp;RIGHT(YEAR(D656),2)</f>
        <v>3Q18</v>
      </c>
      <c r="D656" s="81">
        <f t="shared" si="291"/>
        <v>43343</v>
      </c>
      <c r="E656" s="82">
        <f t="shared" si="288"/>
        <v>43341</v>
      </c>
      <c r="F656" s="83">
        <f t="shared" si="290"/>
        <v>0.9405</v>
      </c>
      <c r="G656" s="83">
        <f t="shared" si="290"/>
        <v>1.02375</v>
      </c>
      <c r="H656" s="81"/>
      <c r="I656" s="146">
        <v>43341</v>
      </c>
      <c r="J656" s="147">
        <v>8.1</v>
      </c>
      <c r="K656" s="147">
        <v>6.5</v>
      </c>
      <c r="L656" s="147">
        <v>7.524</v>
      </c>
      <c r="M656" s="94" cm="1">
        <f t="array" ref="M656">INDEX($BV$29:$BV$1449,MATCH($D656,$BR$29:$BR$1449,0),)</f>
        <v>8.19</v>
      </c>
      <c r="N656" s="150">
        <f t="shared" si="287"/>
        <v>-0.00225434292534155</v>
      </c>
      <c r="O656" s="150">
        <f t="shared" si="289"/>
        <v>-0.00986971969996053</v>
      </c>
      <c r="P656" s="150">
        <f t="shared" si="298"/>
        <v>-0.0295369534373791</v>
      </c>
      <c r="Q656" s="89">
        <f t="shared" si="299"/>
        <v>-0.0813186813186813</v>
      </c>
      <c r="AH656" s="90"/>
      <c r="AI656" s="85"/>
      <c r="AJ656" s="36"/>
      <c r="AK656" s="36"/>
      <c r="AL656" s="36"/>
      <c r="AM656" s="36"/>
      <c r="AN656" s="36"/>
      <c r="AO656" s="36"/>
      <c r="AP656" s="36"/>
      <c r="FV656" s="104">
        <f t="shared" si="292"/>
        <v>2012</v>
      </c>
      <c r="FW656" s="104">
        <f t="shared" si="293"/>
        <v>52</v>
      </c>
      <c r="FX656" s="35">
        <v>41271</v>
      </c>
      <c r="FY656" s="26">
        <v>1.073</v>
      </c>
      <c r="FZ656" s="94">
        <f t="shared" si="294"/>
        <v>4.292</v>
      </c>
      <c r="GA656" s="104"/>
      <c r="GB656" s="104"/>
      <c r="GE656" s="94"/>
      <c r="GF656" s="104">
        <f t="shared" si="295"/>
        <v>2015</v>
      </c>
      <c r="GG656" s="104">
        <f t="shared" si="296"/>
        <v>28</v>
      </c>
      <c r="GH656" s="35">
        <v>42194</v>
      </c>
      <c r="GI656" s="26">
        <v>2.558</v>
      </c>
      <c r="GJ656" s="94">
        <f t="shared" si="297"/>
        <v>5.116</v>
      </c>
      <c r="GK656" s="104"/>
      <c r="GL656" s="104"/>
      <c r="GO656" s="94"/>
    </row>
    <row r="657" spans="3:197">
      <c r="C657" s="80" t="str" cm="1">
        <f t="array" ref="C657">_xlfn.IFS(MONTH(D657)&lt;4,1,MONTH(D657)&lt;7,2,MONTH(D657)&lt;10,3,MONTH(D657)&gt;9,4)&amp;"Q"&amp;RIGHT(YEAR(D657),2)</f>
        <v>3Q18</v>
      </c>
      <c r="D657" s="81">
        <f t="shared" si="291"/>
        <v>43343</v>
      </c>
      <c r="E657" s="82">
        <f t="shared" si="288"/>
        <v>43342</v>
      </c>
      <c r="F657" s="83">
        <f t="shared" si="290"/>
        <v>0.94</v>
      </c>
      <c r="G657" s="83">
        <f t="shared" si="290"/>
        <v>1.02375</v>
      </c>
      <c r="H657" s="81"/>
      <c r="I657" s="146">
        <v>43342</v>
      </c>
      <c r="J657" s="147">
        <v>8</v>
      </c>
      <c r="K657" s="147">
        <v>6.6</v>
      </c>
      <c r="L657" s="147">
        <v>7.52</v>
      </c>
      <c r="M657" s="94" cm="1">
        <f t="array" ref="M657">INDEX($BV$29:$BV$1449,MATCH($D657,$BR$29:$BR$1449,0),)</f>
        <v>8.19</v>
      </c>
      <c r="N657" s="150">
        <f t="shared" si="287"/>
        <v>-0.000531632110579494</v>
      </c>
      <c r="O657" s="150">
        <f t="shared" si="289"/>
        <v>-0.00765373449458973</v>
      </c>
      <c r="P657" s="150">
        <f t="shared" si="298"/>
        <v>-0.0271668822768436</v>
      </c>
      <c r="Q657" s="89">
        <f t="shared" si="299"/>
        <v>-0.0818070818070818</v>
      </c>
      <c r="AH657" s="90"/>
      <c r="AI657" s="85"/>
      <c r="AJ657" s="36"/>
      <c r="AK657" s="36"/>
      <c r="AL657" s="36"/>
      <c r="AM657" s="36"/>
      <c r="AN657" s="36"/>
      <c r="AO657" s="36"/>
      <c r="AP657" s="36"/>
      <c r="FV657" s="104">
        <f t="shared" si="292"/>
        <v>2013</v>
      </c>
      <c r="FW657" s="104">
        <f t="shared" si="293"/>
        <v>1</v>
      </c>
      <c r="FX657" s="35">
        <v>41276</v>
      </c>
      <c r="FY657" s="26">
        <v>1.051</v>
      </c>
      <c r="FZ657" s="94">
        <f t="shared" si="294"/>
        <v>4.204</v>
      </c>
      <c r="GA657" s="104"/>
      <c r="GB657" s="104"/>
      <c r="GE657" s="94"/>
      <c r="GF657" s="104">
        <f t="shared" si="295"/>
        <v>2015</v>
      </c>
      <c r="GG657" s="104">
        <f t="shared" si="296"/>
        <v>28</v>
      </c>
      <c r="GH657" s="35">
        <v>42195</v>
      </c>
      <c r="GI657" s="26">
        <v>2.555</v>
      </c>
      <c r="GJ657" s="94">
        <f t="shared" si="297"/>
        <v>5.11</v>
      </c>
      <c r="GK657" s="104"/>
      <c r="GL657" s="104"/>
      <c r="GO657" s="94"/>
    </row>
    <row r="658" spans="3:197">
      <c r="C658" s="80" t="str" cm="1">
        <f t="array" ref="C658">_xlfn.IFS(MONTH(D658)&lt;4,1,MONTH(D658)&lt;7,2,MONTH(D658)&lt;10,3,MONTH(D658)&gt;9,4)&amp;"Q"&amp;RIGHT(YEAR(D658),2)</f>
        <v>3Q18</v>
      </c>
      <c r="D658" s="81">
        <f t="shared" si="291"/>
        <v>43343</v>
      </c>
      <c r="E658" s="82">
        <f t="shared" si="288"/>
        <v>43343</v>
      </c>
      <c r="F658" s="83">
        <f t="shared" si="290"/>
        <v>0.936125</v>
      </c>
      <c r="G658" s="83">
        <f t="shared" si="290"/>
        <v>1.02375</v>
      </c>
      <c r="H658" s="81"/>
      <c r="I658" s="146">
        <v>43343</v>
      </c>
      <c r="J658" s="147">
        <v>7.95</v>
      </c>
      <c r="K658" s="147">
        <v>6.6</v>
      </c>
      <c r="L658" s="147">
        <v>7.489</v>
      </c>
      <c r="M658" s="94" cm="1">
        <f t="array" ref="M658">INDEX($BV$29:$BV$1449,MATCH($D658,$BR$29:$BR$1449,0),)</f>
        <v>8.19</v>
      </c>
      <c r="N658" s="150">
        <f t="shared" si="287"/>
        <v>-0.00412234042553183</v>
      </c>
      <c r="O658" s="150">
        <f t="shared" si="289"/>
        <v>-0.00847345425658674</v>
      </c>
      <c r="P658" s="150">
        <f t="shared" si="298"/>
        <v>-0.0270235156554502</v>
      </c>
      <c r="Q658" s="89">
        <f t="shared" si="299"/>
        <v>-0.0855921855921855</v>
      </c>
      <c r="AH658" s="90"/>
      <c r="AI658" s="85"/>
      <c r="AJ658" s="36"/>
      <c r="AK658" s="36"/>
      <c r="AL658" s="36"/>
      <c r="AM658" s="36"/>
      <c r="AN658" s="36"/>
      <c r="AO658" s="36"/>
      <c r="AP658" s="36"/>
      <c r="FV658" s="104">
        <f t="shared" si="292"/>
        <v>2013</v>
      </c>
      <c r="FW658" s="104">
        <f t="shared" si="293"/>
        <v>1</v>
      </c>
      <c r="FX658" s="35">
        <v>41277</v>
      </c>
      <c r="FY658" s="26">
        <v>1.051</v>
      </c>
      <c r="FZ658" s="94">
        <f t="shared" si="294"/>
        <v>4.204</v>
      </c>
      <c r="GA658" s="104"/>
      <c r="GB658" s="104"/>
      <c r="GE658" s="94"/>
      <c r="GF658" s="104">
        <f t="shared" si="295"/>
        <v>2015</v>
      </c>
      <c r="GG658" s="104">
        <f t="shared" si="296"/>
        <v>29</v>
      </c>
      <c r="GH658" s="35">
        <v>42198</v>
      </c>
      <c r="GI658" s="26">
        <v>2.545</v>
      </c>
      <c r="GJ658" s="94">
        <f t="shared" si="297"/>
        <v>5.09</v>
      </c>
      <c r="GK658" s="104"/>
      <c r="GL658" s="104"/>
      <c r="GO658" s="94"/>
    </row>
    <row r="659" spans="3:197">
      <c r="C659" s="80" t="str" cm="1">
        <f t="array" ref="C659">_xlfn.IFS(MONTH(D659)&lt;4,1,MONTH(D659)&lt;7,2,MONTH(D659)&lt;10,3,MONTH(D659)&gt;9,4)&amp;"Q"&amp;RIGHT(YEAR(D659),2)</f>
        <v>3Q18</v>
      </c>
      <c r="D659" s="81">
        <f t="shared" si="291"/>
        <v>43373</v>
      </c>
      <c r="E659" s="82">
        <f t="shared" si="288"/>
        <v>43346</v>
      </c>
      <c r="F659" s="83">
        <f t="shared" si="290"/>
        <v>0.93525</v>
      </c>
      <c r="G659" s="83">
        <f t="shared" si="290"/>
        <v>1.02375</v>
      </c>
      <c r="H659" s="81"/>
      <c r="I659" s="146">
        <v>43346</v>
      </c>
      <c r="J659" s="147">
        <v>7.9</v>
      </c>
      <c r="K659" s="147">
        <v>6.6</v>
      </c>
      <c r="L659" s="147">
        <v>7.482</v>
      </c>
      <c r="M659" s="94" cm="1">
        <f t="array" ref="M659">INDEX($BV$29:$BV$1449,MATCH($D659,$BR$29:$BR$1449,0),)</f>
        <v>8.19</v>
      </c>
      <c r="N659" s="150">
        <f t="shared" ref="N659:N722" si="300">L659/L658-1</f>
        <v>-0.000934704232874894</v>
      </c>
      <c r="O659" s="150">
        <f t="shared" si="289"/>
        <v>-0.00940023831590098</v>
      </c>
      <c r="P659" s="150">
        <f t="shared" si="298"/>
        <v>-0.0184966548602912</v>
      </c>
      <c r="Q659" s="89">
        <f t="shared" si="299"/>
        <v>-0.0864468864468864</v>
      </c>
      <c r="AH659" s="90"/>
      <c r="AI659" s="85"/>
      <c r="AJ659" s="36"/>
      <c r="AK659" s="36"/>
      <c r="AL659" s="36"/>
      <c r="AM659" s="36"/>
      <c r="AN659" s="36"/>
      <c r="AO659" s="36"/>
      <c r="AP659" s="36"/>
      <c r="FV659" s="104">
        <f t="shared" si="292"/>
        <v>2013</v>
      </c>
      <c r="FW659" s="104">
        <f t="shared" si="293"/>
        <v>1</v>
      </c>
      <c r="FX659" s="35">
        <v>41278</v>
      </c>
      <c r="FY659" s="26">
        <v>1.051</v>
      </c>
      <c r="FZ659" s="94">
        <f t="shared" si="294"/>
        <v>4.204</v>
      </c>
      <c r="GA659" s="104"/>
      <c r="GB659" s="104"/>
      <c r="GE659" s="94"/>
      <c r="GF659" s="104">
        <f t="shared" si="295"/>
        <v>2015</v>
      </c>
      <c r="GG659" s="104">
        <f t="shared" si="296"/>
        <v>29</v>
      </c>
      <c r="GH659" s="35">
        <v>42199</v>
      </c>
      <c r="GI659" s="26">
        <v>2.539</v>
      </c>
      <c r="GJ659" s="94">
        <f t="shared" si="297"/>
        <v>5.078</v>
      </c>
      <c r="GK659" s="104"/>
      <c r="GL659" s="104"/>
      <c r="GO659" s="94"/>
    </row>
    <row r="660" spans="3:197">
      <c r="C660" s="80" t="str" cm="1">
        <f t="array" ref="C660">_xlfn.IFS(MONTH(D660)&lt;4,1,MONTH(D660)&lt;7,2,MONTH(D660)&lt;10,3,MONTH(D660)&gt;9,4)&amp;"Q"&amp;RIGHT(YEAR(D660),2)</f>
        <v>3Q18</v>
      </c>
      <c r="D660" s="81">
        <f t="shared" si="291"/>
        <v>43373</v>
      </c>
      <c r="E660" s="82">
        <f t="shared" si="288"/>
        <v>43347</v>
      </c>
      <c r="F660" s="83">
        <f t="shared" si="290"/>
        <v>0.934125</v>
      </c>
      <c r="G660" s="83">
        <f t="shared" si="290"/>
        <v>1.02375</v>
      </c>
      <c r="H660" s="81"/>
      <c r="I660" s="146">
        <v>43347</v>
      </c>
      <c r="J660" s="147">
        <v>7.9</v>
      </c>
      <c r="K660" s="147">
        <v>6.6</v>
      </c>
      <c r="L660" s="147">
        <v>7.473</v>
      </c>
      <c r="M660" s="94" cm="1">
        <f t="array" ref="M660">INDEX($BV$29:$BV$1449,MATCH($D660,$BR$29:$BR$1449,0),)</f>
        <v>8.19</v>
      </c>
      <c r="N660" s="150">
        <f t="shared" si="300"/>
        <v>-0.0012028869286288</v>
      </c>
      <c r="O660" s="150">
        <f t="shared" si="289"/>
        <v>-0.00901737170136596</v>
      </c>
      <c r="P660" s="150">
        <f t="shared" si="298"/>
        <v>-0.0189050807404491</v>
      </c>
      <c r="Q660" s="89">
        <f t="shared" si="299"/>
        <v>-0.0875457875457875</v>
      </c>
      <c r="AH660" s="90"/>
      <c r="AI660" s="85"/>
      <c r="AJ660" s="36"/>
      <c r="AK660" s="36"/>
      <c r="AL660" s="36"/>
      <c r="AM660" s="36"/>
      <c r="AN660" s="36"/>
      <c r="AO660" s="36"/>
      <c r="AP660" s="36"/>
      <c r="FV660" s="104">
        <f t="shared" si="292"/>
        <v>2013</v>
      </c>
      <c r="FW660" s="104">
        <f t="shared" si="293"/>
        <v>2</v>
      </c>
      <c r="FX660" s="35">
        <v>41281</v>
      </c>
      <c r="FY660" s="26">
        <v>1.051</v>
      </c>
      <c r="FZ660" s="94">
        <f t="shared" si="294"/>
        <v>4.204</v>
      </c>
      <c r="GA660" s="104"/>
      <c r="GB660" s="104"/>
      <c r="GE660" s="94"/>
      <c r="GF660" s="104">
        <f t="shared" si="295"/>
        <v>2015</v>
      </c>
      <c r="GG660" s="104">
        <f t="shared" si="296"/>
        <v>29</v>
      </c>
      <c r="GH660" s="35">
        <v>42200</v>
      </c>
      <c r="GI660" s="26">
        <v>2.525</v>
      </c>
      <c r="GJ660" s="94">
        <f t="shared" si="297"/>
        <v>5.05</v>
      </c>
      <c r="GK660" s="104"/>
      <c r="GL660" s="104"/>
      <c r="GO660" s="94"/>
    </row>
    <row r="661" spans="3:197">
      <c r="C661" s="80" t="str" cm="1">
        <f t="array" ref="C661">_xlfn.IFS(MONTH(D661)&lt;4,1,MONTH(D661)&lt;7,2,MONTH(D661)&lt;10,3,MONTH(D661)&gt;9,4)&amp;"Q"&amp;RIGHT(YEAR(D661),2)</f>
        <v>3Q18</v>
      </c>
      <c r="D661" s="81">
        <f t="shared" si="291"/>
        <v>43373</v>
      </c>
      <c r="E661" s="82">
        <f t="shared" ref="E661:E724" si="301">I661</f>
        <v>43348</v>
      </c>
      <c r="F661" s="83">
        <f t="shared" si="290"/>
        <v>0.9335</v>
      </c>
      <c r="G661" s="83">
        <f t="shared" si="290"/>
        <v>1.02375</v>
      </c>
      <c r="H661" s="81"/>
      <c r="I661" s="146">
        <v>43348</v>
      </c>
      <c r="J661" s="147">
        <v>7.85</v>
      </c>
      <c r="K661" s="147">
        <v>6.5</v>
      </c>
      <c r="L661" s="147">
        <v>7.468</v>
      </c>
      <c r="M661" s="94" cm="1">
        <f t="array" ref="M661">INDEX($BV$29:$BV$1449,MATCH($D661,$BR$29:$BR$1449,0),)</f>
        <v>8.19</v>
      </c>
      <c r="N661" s="150">
        <f t="shared" si="300"/>
        <v>-0.000669075337883074</v>
      </c>
      <c r="O661" s="150">
        <f t="shared" ref="O661:O724" si="302">L661/L656-1</f>
        <v>-0.0074428495481127</v>
      </c>
      <c r="P661" s="150">
        <f t="shared" si="298"/>
        <v>-0.0172391104092644</v>
      </c>
      <c r="Q661" s="89">
        <f t="shared" si="299"/>
        <v>-0.0881562881562881</v>
      </c>
      <c r="AH661" s="90"/>
      <c r="AI661" s="85"/>
      <c r="AJ661" s="36"/>
      <c r="AK661" s="36"/>
      <c r="AL661" s="36"/>
      <c r="AM661" s="36"/>
      <c r="AN661" s="36"/>
      <c r="AO661" s="36"/>
      <c r="AP661" s="36"/>
      <c r="FV661" s="104">
        <f t="shared" si="292"/>
        <v>2013</v>
      </c>
      <c r="FW661" s="104">
        <f t="shared" si="293"/>
        <v>2</v>
      </c>
      <c r="FX661" s="35">
        <v>41282</v>
      </c>
      <c r="FY661" s="26">
        <v>1.052</v>
      </c>
      <c r="FZ661" s="94">
        <f t="shared" si="294"/>
        <v>4.208</v>
      </c>
      <c r="GA661" s="104"/>
      <c r="GB661" s="104"/>
      <c r="GE661" s="94"/>
      <c r="GF661" s="104">
        <f t="shared" si="295"/>
        <v>2015</v>
      </c>
      <c r="GG661" s="104">
        <f t="shared" si="296"/>
        <v>29</v>
      </c>
      <c r="GH661" s="35">
        <v>42201</v>
      </c>
      <c r="GI661" s="26">
        <v>2.507</v>
      </c>
      <c r="GJ661" s="94">
        <f t="shared" si="297"/>
        <v>5.014</v>
      </c>
      <c r="GK661" s="104"/>
      <c r="GL661" s="104"/>
      <c r="GO661" s="94"/>
    </row>
    <row r="662" spans="3:197">
      <c r="C662" s="80" t="str" cm="1">
        <f t="array" ref="C662">_xlfn.IFS(MONTH(D662)&lt;4,1,MONTH(D662)&lt;7,2,MONTH(D662)&lt;10,3,MONTH(D662)&gt;9,4)&amp;"Q"&amp;RIGHT(YEAR(D662),2)</f>
        <v>3Q18</v>
      </c>
      <c r="D662" s="81">
        <f t="shared" si="291"/>
        <v>43373</v>
      </c>
      <c r="E662" s="82">
        <f t="shared" si="301"/>
        <v>43349</v>
      </c>
      <c r="F662" s="83">
        <f t="shared" si="290"/>
        <v>0.93275</v>
      </c>
      <c r="G662" s="83">
        <f t="shared" si="290"/>
        <v>1.02375</v>
      </c>
      <c r="H662" s="81"/>
      <c r="I662" s="146">
        <v>43349</v>
      </c>
      <c r="J662" s="147">
        <v>7.8</v>
      </c>
      <c r="K662" s="147">
        <v>6.5</v>
      </c>
      <c r="L662" s="147">
        <v>7.462</v>
      </c>
      <c r="M662" s="94" cm="1">
        <f t="array" ref="M662">INDEX($BV$29:$BV$1449,MATCH($D662,$BR$29:$BR$1449,0),)</f>
        <v>8.19</v>
      </c>
      <c r="N662" s="150">
        <f t="shared" si="300"/>
        <v>-0.000803427959293002</v>
      </c>
      <c r="O662" s="150">
        <f t="shared" si="302"/>
        <v>-0.00771276595744674</v>
      </c>
      <c r="P662" s="150">
        <f t="shared" si="298"/>
        <v>-0.0153074689891792</v>
      </c>
      <c r="Q662" s="89">
        <f t="shared" si="299"/>
        <v>-0.0888888888888889</v>
      </c>
      <c r="AH662" s="90"/>
      <c r="AI662" s="85"/>
      <c r="AJ662" s="36"/>
      <c r="AK662" s="36"/>
      <c r="AL662" s="36"/>
      <c r="AM662" s="36"/>
      <c r="AN662" s="36"/>
      <c r="AO662" s="36"/>
      <c r="AP662" s="36"/>
      <c r="FV662" s="104">
        <f t="shared" si="292"/>
        <v>2013</v>
      </c>
      <c r="FW662" s="104">
        <f t="shared" si="293"/>
        <v>2</v>
      </c>
      <c r="FX662" s="35">
        <v>41283</v>
      </c>
      <c r="FY662" s="26">
        <v>1.071</v>
      </c>
      <c r="FZ662" s="94">
        <f t="shared" si="294"/>
        <v>4.284</v>
      </c>
      <c r="GA662" s="104"/>
      <c r="GB662" s="104"/>
      <c r="GE662" s="94"/>
      <c r="GF662" s="104">
        <f t="shared" si="295"/>
        <v>2015</v>
      </c>
      <c r="GG662" s="104">
        <f t="shared" si="296"/>
        <v>29</v>
      </c>
      <c r="GH662" s="35">
        <v>42202</v>
      </c>
      <c r="GI662" s="26">
        <v>2.505</v>
      </c>
      <c r="GJ662" s="94">
        <f t="shared" si="297"/>
        <v>5.01</v>
      </c>
      <c r="GK662" s="104"/>
      <c r="GL662" s="104"/>
      <c r="GO662" s="94"/>
    </row>
    <row r="663" spans="3:197">
      <c r="C663" s="80" t="str" cm="1">
        <f t="array" ref="C663">_xlfn.IFS(MONTH(D663)&lt;4,1,MONTH(D663)&lt;7,2,MONTH(D663)&lt;10,3,MONTH(D663)&gt;9,4)&amp;"Q"&amp;RIGHT(YEAR(D663),2)</f>
        <v>3Q18</v>
      </c>
      <c r="D663" s="81">
        <f t="shared" si="291"/>
        <v>43373</v>
      </c>
      <c r="E663" s="82">
        <f t="shared" si="301"/>
        <v>43350</v>
      </c>
      <c r="F663" s="83">
        <f t="shared" si="290"/>
        <v>0.9235</v>
      </c>
      <c r="G663" s="83">
        <f t="shared" si="290"/>
        <v>1.02375</v>
      </c>
      <c r="H663" s="81"/>
      <c r="I663" s="146">
        <v>43350</v>
      </c>
      <c r="J663" s="147">
        <v>7.8</v>
      </c>
      <c r="K663" s="147">
        <v>6.4</v>
      </c>
      <c r="L663" s="147">
        <v>7.388</v>
      </c>
      <c r="M663" s="94" cm="1">
        <f t="array" ref="M663">INDEX($BV$29:$BV$1449,MATCH($D663,$BR$29:$BR$1449,0),)</f>
        <v>8.19</v>
      </c>
      <c r="N663" s="150">
        <f t="shared" si="300"/>
        <v>-0.00991691235593672</v>
      </c>
      <c r="O663" s="150">
        <f t="shared" si="302"/>
        <v>-0.0134864467886233</v>
      </c>
      <c r="P663" s="150">
        <f t="shared" si="298"/>
        <v>-0.0218456242552628</v>
      </c>
      <c r="Q663" s="89">
        <f t="shared" si="299"/>
        <v>-0.0979242979242979</v>
      </c>
      <c r="AH663" s="90"/>
      <c r="AI663" s="85"/>
      <c r="AJ663" s="36"/>
      <c r="AK663" s="36"/>
      <c r="AL663" s="36"/>
      <c r="AM663" s="36"/>
      <c r="AN663" s="36"/>
      <c r="AO663" s="36"/>
      <c r="AP663" s="36"/>
      <c r="FV663" s="104">
        <f t="shared" si="292"/>
        <v>2013</v>
      </c>
      <c r="FW663" s="104">
        <f t="shared" si="293"/>
        <v>2</v>
      </c>
      <c r="FX663" s="35">
        <v>41284</v>
      </c>
      <c r="FY663" s="26">
        <v>1.104</v>
      </c>
      <c r="FZ663" s="94">
        <f t="shared" si="294"/>
        <v>4.416</v>
      </c>
      <c r="GA663" s="104"/>
      <c r="GB663" s="104"/>
      <c r="GE663" s="94"/>
      <c r="GF663" s="104">
        <f t="shared" si="295"/>
        <v>2015</v>
      </c>
      <c r="GG663" s="104">
        <f t="shared" si="296"/>
        <v>30</v>
      </c>
      <c r="GH663" s="35">
        <v>42205</v>
      </c>
      <c r="GI663" s="26">
        <v>2.456</v>
      </c>
      <c r="GJ663" s="94">
        <f t="shared" si="297"/>
        <v>4.912</v>
      </c>
      <c r="GK663" s="104"/>
      <c r="GL663" s="104"/>
      <c r="GO663" s="94"/>
    </row>
    <row r="664" spans="3:197">
      <c r="C664" s="80" t="str" cm="1">
        <f t="array" ref="C664">_xlfn.IFS(MONTH(D664)&lt;4,1,MONTH(D664)&lt;7,2,MONTH(D664)&lt;10,3,MONTH(D664)&gt;9,4)&amp;"Q"&amp;RIGHT(YEAR(D664),2)</f>
        <v>3Q18</v>
      </c>
      <c r="D664" s="81">
        <f t="shared" si="291"/>
        <v>43373</v>
      </c>
      <c r="E664" s="82">
        <f t="shared" si="301"/>
        <v>43353</v>
      </c>
      <c r="F664" s="83">
        <f t="shared" si="290"/>
        <v>0.923</v>
      </c>
      <c r="G664" s="83">
        <f t="shared" si="290"/>
        <v>1.02375</v>
      </c>
      <c r="H664" s="81"/>
      <c r="I664" s="146">
        <v>43353</v>
      </c>
      <c r="J664" s="147">
        <v>7.8</v>
      </c>
      <c r="K664" s="147">
        <v>6.4</v>
      </c>
      <c r="L664" s="147">
        <v>7.384</v>
      </c>
      <c r="M664" s="94" cm="1">
        <f t="array" ref="M664">INDEX($BV$29:$BV$1449,MATCH($D664,$BR$29:$BR$1449,0),)</f>
        <v>8.19</v>
      </c>
      <c r="N664" s="150">
        <f t="shared" si="300"/>
        <v>-0.000541418516513237</v>
      </c>
      <c r="O664" s="150">
        <f t="shared" si="302"/>
        <v>-0.0130981021117348</v>
      </c>
      <c r="P664" s="150">
        <f t="shared" si="298"/>
        <v>-0.0223752151462995</v>
      </c>
      <c r="Q664" s="89">
        <f t="shared" si="299"/>
        <v>-0.0984126984126983</v>
      </c>
      <c r="AH664" s="90"/>
      <c r="AI664" s="85"/>
      <c r="AJ664" s="36"/>
      <c r="AK664" s="36"/>
      <c r="AL664" s="36"/>
      <c r="AM664" s="36"/>
      <c r="AN664" s="36"/>
      <c r="AO664" s="36"/>
      <c r="AP664" s="36"/>
      <c r="FV664" s="104">
        <f t="shared" si="292"/>
        <v>2013</v>
      </c>
      <c r="FW664" s="104">
        <f t="shared" si="293"/>
        <v>2</v>
      </c>
      <c r="FX664" s="35">
        <v>41285</v>
      </c>
      <c r="FY664" s="26">
        <v>1.154</v>
      </c>
      <c r="FZ664" s="94">
        <f t="shared" si="294"/>
        <v>4.616</v>
      </c>
      <c r="GA664" s="104"/>
      <c r="GB664" s="104"/>
      <c r="GE664" s="94"/>
      <c r="GF664" s="104">
        <f t="shared" si="295"/>
        <v>2015</v>
      </c>
      <c r="GG664" s="104">
        <f t="shared" si="296"/>
        <v>30</v>
      </c>
      <c r="GH664" s="35">
        <v>42206</v>
      </c>
      <c r="GI664" s="26">
        <v>2.411</v>
      </c>
      <c r="GJ664" s="94">
        <f t="shared" si="297"/>
        <v>4.822</v>
      </c>
      <c r="GK664" s="104"/>
      <c r="GL664" s="104"/>
      <c r="GO664" s="94"/>
    </row>
    <row r="665" spans="3:197">
      <c r="C665" s="80" t="str" cm="1">
        <f t="array" ref="C665">_xlfn.IFS(MONTH(D665)&lt;4,1,MONTH(D665)&lt;7,2,MONTH(D665)&lt;10,3,MONTH(D665)&gt;9,4)&amp;"Q"&amp;RIGHT(YEAR(D665),2)</f>
        <v>3Q18</v>
      </c>
      <c r="D665" s="81">
        <f t="shared" si="291"/>
        <v>43373</v>
      </c>
      <c r="E665" s="82">
        <f t="shared" si="301"/>
        <v>43354</v>
      </c>
      <c r="F665" s="83">
        <f t="shared" si="290"/>
        <v>0.9215</v>
      </c>
      <c r="G665" s="83">
        <f t="shared" si="290"/>
        <v>1.02375</v>
      </c>
      <c r="H665" s="81"/>
      <c r="I665" s="146">
        <v>43354</v>
      </c>
      <c r="J665" s="147">
        <v>7.8</v>
      </c>
      <c r="K665" s="147">
        <v>6.4</v>
      </c>
      <c r="L665" s="147">
        <v>7.372</v>
      </c>
      <c r="M665" s="94" cm="1">
        <f t="array" ref="M665">INDEX($BV$29:$BV$1449,MATCH($D665,$BR$29:$BR$1449,0),)</f>
        <v>8.19</v>
      </c>
      <c r="N665" s="150">
        <f t="shared" si="300"/>
        <v>-0.0016251354279524</v>
      </c>
      <c r="O665" s="150">
        <f t="shared" si="302"/>
        <v>-0.0135153218252375</v>
      </c>
      <c r="P665" s="150">
        <f t="shared" si="298"/>
        <v>-0.0224108208460417</v>
      </c>
      <c r="Q665" s="89">
        <f t="shared" si="299"/>
        <v>-0.0998778998778999</v>
      </c>
      <c r="AH665" s="90"/>
      <c r="AI665" s="85"/>
      <c r="AJ665" s="36"/>
      <c r="AK665" s="36"/>
      <c r="AL665" s="36"/>
      <c r="AM665" s="36"/>
      <c r="AN665" s="36"/>
      <c r="AO665" s="36"/>
      <c r="AP665" s="36"/>
      <c r="FV665" s="104">
        <f t="shared" si="292"/>
        <v>2013</v>
      </c>
      <c r="FW665" s="104">
        <f t="shared" si="293"/>
        <v>3</v>
      </c>
      <c r="FX665" s="35">
        <v>41288</v>
      </c>
      <c r="FY665" s="26">
        <v>1.188</v>
      </c>
      <c r="FZ665" s="94">
        <f t="shared" si="294"/>
        <v>4.752</v>
      </c>
      <c r="GA665" s="104"/>
      <c r="GB665" s="104"/>
      <c r="GE665" s="94"/>
      <c r="GF665" s="104">
        <f t="shared" si="295"/>
        <v>2015</v>
      </c>
      <c r="GG665" s="104">
        <f t="shared" si="296"/>
        <v>30</v>
      </c>
      <c r="GH665" s="35">
        <v>42207</v>
      </c>
      <c r="GI665" s="26">
        <v>2.405</v>
      </c>
      <c r="GJ665" s="94">
        <f t="shared" si="297"/>
        <v>4.81</v>
      </c>
      <c r="GK665" s="104"/>
      <c r="GL665" s="104"/>
      <c r="GO665" s="94"/>
    </row>
    <row r="666" spans="3:197">
      <c r="C666" s="80" t="str" cm="1">
        <f t="array" ref="C666">_xlfn.IFS(MONTH(D666)&lt;4,1,MONTH(D666)&lt;7,2,MONTH(D666)&lt;10,3,MONTH(D666)&gt;9,4)&amp;"Q"&amp;RIGHT(YEAR(D666),2)</f>
        <v>3Q18</v>
      </c>
      <c r="D666" s="81">
        <f t="shared" si="291"/>
        <v>43373</v>
      </c>
      <c r="E666" s="82">
        <f t="shared" si="301"/>
        <v>43355</v>
      </c>
      <c r="F666" s="83">
        <f t="shared" si="290"/>
        <v>0.921</v>
      </c>
      <c r="G666" s="83">
        <f t="shared" si="290"/>
        <v>1.02375</v>
      </c>
      <c r="H666" s="81"/>
      <c r="I666" s="146">
        <v>43355</v>
      </c>
      <c r="J666" s="147">
        <v>7.8</v>
      </c>
      <c r="K666" s="147">
        <v>6.4</v>
      </c>
      <c r="L666" s="147">
        <v>7.368</v>
      </c>
      <c r="M666" s="94" cm="1">
        <f t="array" ref="M666">INDEX($BV$29:$BV$1449,MATCH($D666,$BR$29:$BR$1449,0),)</f>
        <v>8.19</v>
      </c>
      <c r="N666" s="150">
        <f t="shared" si="300"/>
        <v>-0.000542593597395502</v>
      </c>
      <c r="O666" s="150">
        <f t="shared" si="302"/>
        <v>-0.0133904659882164</v>
      </c>
      <c r="P666" s="150">
        <f t="shared" si="298"/>
        <v>-0.0207336523125996</v>
      </c>
      <c r="Q666" s="89">
        <f t="shared" si="299"/>
        <v>-0.1003663003663</v>
      </c>
      <c r="AH666" s="90"/>
      <c r="AI666" s="85"/>
      <c r="AJ666" s="36"/>
      <c r="AK666" s="36"/>
      <c r="AL666" s="36"/>
      <c r="AM666" s="36"/>
      <c r="AN666" s="36"/>
      <c r="AO666" s="36"/>
      <c r="AP666" s="36"/>
      <c r="FV666" s="104">
        <f t="shared" si="292"/>
        <v>2013</v>
      </c>
      <c r="FW666" s="104">
        <f t="shared" si="293"/>
        <v>3</v>
      </c>
      <c r="FX666" s="35">
        <v>41289</v>
      </c>
      <c r="FY666" s="26">
        <v>1.213</v>
      </c>
      <c r="FZ666" s="94">
        <f t="shared" si="294"/>
        <v>4.852</v>
      </c>
      <c r="GA666" s="104"/>
      <c r="GB666" s="104"/>
      <c r="GE666" s="94"/>
      <c r="GF666" s="104">
        <f t="shared" si="295"/>
        <v>2015</v>
      </c>
      <c r="GG666" s="104">
        <f t="shared" si="296"/>
        <v>30</v>
      </c>
      <c r="GH666" s="35">
        <v>42208</v>
      </c>
      <c r="GI666" s="26">
        <v>2.37</v>
      </c>
      <c r="GJ666" s="94">
        <f t="shared" si="297"/>
        <v>4.74</v>
      </c>
      <c r="GK666" s="104"/>
      <c r="GL666" s="104"/>
      <c r="GO666" s="94"/>
    </row>
    <row r="667" spans="3:197">
      <c r="C667" s="80" t="str" cm="1">
        <f t="array" ref="C667">_xlfn.IFS(MONTH(D667)&lt;4,1,MONTH(D667)&lt;7,2,MONTH(D667)&lt;10,3,MONTH(D667)&gt;9,4)&amp;"Q"&amp;RIGHT(YEAR(D667),2)</f>
        <v>3Q18</v>
      </c>
      <c r="D667" s="81">
        <f t="shared" si="291"/>
        <v>43373</v>
      </c>
      <c r="E667" s="82">
        <f t="shared" si="301"/>
        <v>43356</v>
      </c>
      <c r="F667" s="83">
        <f t="shared" si="290"/>
        <v>0.9205</v>
      </c>
      <c r="G667" s="83">
        <f t="shared" si="290"/>
        <v>1.02375</v>
      </c>
      <c r="H667" s="81"/>
      <c r="I667" s="146">
        <v>43356</v>
      </c>
      <c r="J667" s="147">
        <v>7.8</v>
      </c>
      <c r="K667" s="147">
        <v>6.4</v>
      </c>
      <c r="L667" s="147">
        <v>7.364</v>
      </c>
      <c r="M667" s="94" cm="1">
        <f t="array" ref="M667">INDEX($BV$29:$BV$1449,MATCH($D667,$BR$29:$BR$1449,0),)</f>
        <v>8.19</v>
      </c>
      <c r="N667" s="150">
        <f t="shared" si="300"/>
        <v>-0.000542888165038113</v>
      </c>
      <c r="O667" s="150">
        <f t="shared" si="302"/>
        <v>-0.0131332082551595</v>
      </c>
      <c r="P667" s="150">
        <f t="shared" si="298"/>
        <v>-0.0207446808510638</v>
      </c>
      <c r="Q667" s="89">
        <f t="shared" si="299"/>
        <v>-0.100854700854701</v>
      </c>
      <c r="AH667" s="90"/>
      <c r="AI667" s="85"/>
      <c r="AJ667" s="36"/>
      <c r="AK667" s="36"/>
      <c r="AL667" s="36"/>
      <c r="AM667" s="36"/>
      <c r="AN667" s="36"/>
      <c r="AO667" s="36"/>
      <c r="AP667" s="36"/>
      <c r="FV667" s="104">
        <f t="shared" si="292"/>
        <v>2013</v>
      </c>
      <c r="FW667" s="104">
        <f t="shared" si="293"/>
        <v>3</v>
      </c>
      <c r="FX667" s="35">
        <v>41290</v>
      </c>
      <c r="FY667" s="26">
        <v>1.225</v>
      </c>
      <c r="FZ667" s="94">
        <f t="shared" si="294"/>
        <v>4.9</v>
      </c>
      <c r="GA667" s="104"/>
      <c r="GB667" s="104"/>
      <c r="GE667" s="94"/>
      <c r="GF667" s="104">
        <f t="shared" si="295"/>
        <v>2015</v>
      </c>
      <c r="GG667" s="104">
        <f t="shared" si="296"/>
        <v>30</v>
      </c>
      <c r="GH667" s="35">
        <v>42209</v>
      </c>
      <c r="GI667" s="26">
        <v>2.348</v>
      </c>
      <c r="GJ667" s="94">
        <f t="shared" si="297"/>
        <v>4.696</v>
      </c>
      <c r="GK667" s="104"/>
      <c r="GL667" s="104"/>
      <c r="GO667" s="94"/>
    </row>
    <row r="668" spans="3:197">
      <c r="C668" s="80" t="str" cm="1">
        <f t="array" ref="C668">_xlfn.IFS(MONTH(D668)&lt;4,1,MONTH(D668)&lt;7,2,MONTH(D668)&lt;10,3,MONTH(D668)&gt;9,4)&amp;"Q"&amp;RIGHT(YEAR(D668),2)</f>
        <v>3Q18</v>
      </c>
      <c r="D668" s="81">
        <f t="shared" si="291"/>
        <v>43373</v>
      </c>
      <c r="E668" s="82">
        <f t="shared" si="301"/>
        <v>43357</v>
      </c>
      <c r="F668" s="83">
        <f t="shared" si="290"/>
        <v>0.922</v>
      </c>
      <c r="G668" s="83">
        <f t="shared" si="290"/>
        <v>1.02375</v>
      </c>
      <c r="H668" s="81"/>
      <c r="I668" s="146">
        <v>43357</v>
      </c>
      <c r="J668" s="147">
        <v>7.85</v>
      </c>
      <c r="K668" s="147">
        <v>6.4</v>
      </c>
      <c r="L668" s="147">
        <v>7.376</v>
      </c>
      <c r="M668" s="94" cm="1">
        <f t="array" ref="M668">INDEX($BV$29:$BV$1449,MATCH($D668,$BR$29:$BR$1449,0),)</f>
        <v>8.19</v>
      </c>
      <c r="N668" s="150">
        <f t="shared" si="300"/>
        <v>0.00162954915806623</v>
      </c>
      <c r="O668" s="150">
        <f t="shared" si="302"/>
        <v>-0.00162425554953971</v>
      </c>
      <c r="P668" s="150">
        <f t="shared" si="298"/>
        <v>-0.0150887969021231</v>
      </c>
      <c r="Q668" s="89">
        <f t="shared" si="299"/>
        <v>-0.0993894993894993</v>
      </c>
      <c r="AH668" s="90"/>
      <c r="AI668" s="85"/>
      <c r="AJ668" s="36"/>
      <c r="AK668" s="36"/>
      <c r="AL668" s="36"/>
      <c r="AM668" s="36"/>
      <c r="AN668" s="36"/>
      <c r="AO668" s="36"/>
      <c r="AP668" s="36"/>
      <c r="FV668" s="104">
        <f t="shared" si="292"/>
        <v>2013</v>
      </c>
      <c r="FW668" s="104">
        <f t="shared" si="293"/>
        <v>3</v>
      </c>
      <c r="FX668" s="35">
        <v>41291</v>
      </c>
      <c r="FY668" s="26">
        <v>1.225</v>
      </c>
      <c r="FZ668" s="94">
        <f t="shared" si="294"/>
        <v>4.9</v>
      </c>
      <c r="GA668" s="104"/>
      <c r="GB668" s="104"/>
      <c r="GE668" s="94"/>
      <c r="GF668" s="104">
        <f t="shared" si="295"/>
        <v>2015</v>
      </c>
      <c r="GG668" s="104">
        <f t="shared" si="296"/>
        <v>31</v>
      </c>
      <c r="GH668" s="35">
        <v>42212</v>
      </c>
      <c r="GI668" s="26">
        <v>2.336</v>
      </c>
      <c r="GJ668" s="94">
        <f t="shared" si="297"/>
        <v>4.672</v>
      </c>
      <c r="GK668" s="104"/>
      <c r="GL668" s="104"/>
      <c r="GO668" s="94"/>
    </row>
    <row r="669" spans="3:197">
      <c r="C669" s="80" t="str" cm="1">
        <f t="array" ref="C669">_xlfn.IFS(MONTH(D669)&lt;4,1,MONTH(D669)&lt;7,2,MONTH(D669)&lt;10,3,MONTH(D669)&gt;9,4)&amp;"Q"&amp;RIGHT(YEAR(D669),2)</f>
        <v>3Q18</v>
      </c>
      <c r="D669" s="81">
        <f t="shared" si="291"/>
        <v>43373</v>
      </c>
      <c r="E669" s="82">
        <f t="shared" si="301"/>
        <v>43360</v>
      </c>
      <c r="F669" s="83">
        <f t="shared" ref="F669:G722" si="303">+L669/8</f>
        <v>0.922</v>
      </c>
      <c r="G669" s="83">
        <f t="shared" si="303"/>
        <v>1.02375</v>
      </c>
      <c r="H669" s="81"/>
      <c r="I669" s="146">
        <v>43360</v>
      </c>
      <c r="J669" s="147">
        <v>7.85</v>
      </c>
      <c r="K669" s="147">
        <v>6.4</v>
      </c>
      <c r="L669" s="147">
        <v>7.376</v>
      </c>
      <c r="M669" s="94" cm="1">
        <f t="array" ref="M669">INDEX($BV$29:$BV$1449,MATCH($D669,$BR$29:$BR$1449,0),)</f>
        <v>8.19</v>
      </c>
      <c r="N669" s="150">
        <f t="shared" si="300"/>
        <v>0</v>
      </c>
      <c r="O669" s="150">
        <f t="shared" si="302"/>
        <v>-0.00108342361863489</v>
      </c>
      <c r="P669" s="150">
        <f t="shared" si="298"/>
        <v>-0.0141673349371826</v>
      </c>
      <c r="Q669" s="89">
        <f t="shared" si="299"/>
        <v>-0.0993894993894993</v>
      </c>
      <c r="AH669" s="90"/>
      <c r="AI669" s="85"/>
      <c r="AJ669" s="36"/>
      <c r="AK669" s="36"/>
      <c r="AL669" s="36"/>
      <c r="AM669" s="36"/>
      <c r="AN669" s="36"/>
      <c r="AO669" s="36"/>
      <c r="AP669" s="36"/>
      <c r="FV669" s="104">
        <f t="shared" si="292"/>
        <v>2013</v>
      </c>
      <c r="FW669" s="104">
        <f t="shared" si="293"/>
        <v>3</v>
      </c>
      <c r="FX669" s="35">
        <v>41292</v>
      </c>
      <c r="FY669" s="26">
        <v>1.218</v>
      </c>
      <c r="FZ669" s="94">
        <f t="shared" si="294"/>
        <v>4.872</v>
      </c>
      <c r="GA669" s="104"/>
      <c r="GB669" s="104"/>
      <c r="GE669" s="94"/>
      <c r="GF669" s="104">
        <f t="shared" si="295"/>
        <v>2015</v>
      </c>
      <c r="GG669" s="104">
        <f t="shared" si="296"/>
        <v>31</v>
      </c>
      <c r="GH669" s="35">
        <v>42213</v>
      </c>
      <c r="GI669" s="26">
        <v>2.334</v>
      </c>
      <c r="GJ669" s="94">
        <f t="shared" si="297"/>
        <v>4.668</v>
      </c>
      <c r="GK669" s="104"/>
      <c r="GL669" s="104"/>
      <c r="GO669" s="94"/>
    </row>
    <row r="670" spans="3:197">
      <c r="C670" s="80" t="str" cm="1">
        <f t="array" ref="C670">_xlfn.IFS(MONTH(D670)&lt;4,1,MONTH(D670)&lt;7,2,MONTH(D670)&lt;10,3,MONTH(D670)&gt;9,4)&amp;"Q"&amp;RIGHT(YEAR(D670),2)</f>
        <v>3Q18</v>
      </c>
      <c r="D670" s="81">
        <f t="shared" ref="D670:D733" si="304">EOMONTH(E670,0)</f>
        <v>43373</v>
      </c>
      <c r="E670" s="82">
        <f t="shared" si="301"/>
        <v>43361</v>
      </c>
      <c r="F670" s="83">
        <f t="shared" si="303"/>
        <v>0.922</v>
      </c>
      <c r="G670" s="83">
        <f t="shared" si="303"/>
        <v>1.02375</v>
      </c>
      <c r="H670" s="81"/>
      <c r="I670" s="146">
        <v>43361</v>
      </c>
      <c r="J670" s="147">
        <v>7.8</v>
      </c>
      <c r="K670" s="147">
        <v>6.4</v>
      </c>
      <c r="L670" s="147">
        <v>7.376</v>
      </c>
      <c r="M670" s="94" cm="1">
        <f t="array" ref="M670">INDEX($BV$29:$BV$1449,MATCH($D670,$BR$29:$BR$1449,0),)</f>
        <v>8.19</v>
      </c>
      <c r="N670" s="150">
        <f t="shared" si="300"/>
        <v>0</v>
      </c>
      <c r="O670" s="150">
        <f t="shared" si="302"/>
        <v>0.000542593597395502</v>
      </c>
      <c r="P670" s="150">
        <f t="shared" si="298"/>
        <v>-0.012980061554931</v>
      </c>
      <c r="Q670" s="89">
        <f t="shared" si="299"/>
        <v>-0.0993894993894993</v>
      </c>
      <c r="AH670" s="90"/>
      <c r="AI670" s="85"/>
      <c r="AJ670" s="36"/>
      <c r="AK670" s="36"/>
      <c r="AL670" s="36"/>
      <c r="AM670" s="36"/>
      <c r="AN670" s="36"/>
      <c r="AO670" s="36"/>
      <c r="AP670" s="36"/>
      <c r="FV670" s="104">
        <f t="shared" si="292"/>
        <v>2013</v>
      </c>
      <c r="FW670" s="104">
        <f t="shared" si="293"/>
        <v>4</v>
      </c>
      <c r="FX670" s="35">
        <v>41295</v>
      </c>
      <c r="FY670" s="26">
        <v>1.218</v>
      </c>
      <c r="FZ670" s="94">
        <f t="shared" si="294"/>
        <v>4.872</v>
      </c>
      <c r="GA670" s="104"/>
      <c r="GB670" s="104"/>
      <c r="GE670" s="94"/>
      <c r="GF670" s="104">
        <f t="shared" si="295"/>
        <v>2015</v>
      </c>
      <c r="GG670" s="104">
        <f t="shared" si="296"/>
        <v>31</v>
      </c>
      <c r="GH670" s="35">
        <v>42214</v>
      </c>
      <c r="GI670" s="26">
        <v>2.319</v>
      </c>
      <c r="GJ670" s="94">
        <f t="shared" si="297"/>
        <v>4.638</v>
      </c>
      <c r="GK670" s="104"/>
      <c r="GL670" s="104"/>
      <c r="GO670" s="94"/>
    </row>
    <row r="671" spans="3:197">
      <c r="C671" s="80" t="str" cm="1">
        <f t="array" ref="C671">_xlfn.IFS(MONTH(D671)&lt;4,1,MONTH(D671)&lt;7,2,MONTH(D671)&lt;10,3,MONTH(D671)&gt;9,4)&amp;"Q"&amp;RIGHT(YEAR(D671),2)</f>
        <v>3Q18</v>
      </c>
      <c r="D671" s="81">
        <f t="shared" si="304"/>
        <v>43373</v>
      </c>
      <c r="E671" s="82">
        <f t="shared" si="301"/>
        <v>43362</v>
      </c>
      <c r="F671" s="83">
        <f t="shared" si="303"/>
        <v>0.922</v>
      </c>
      <c r="G671" s="83">
        <f t="shared" si="303"/>
        <v>1.02375</v>
      </c>
      <c r="H671" s="81"/>
      <c r="I671" s="146">
        <v>43362</v>
      </c>
      <c r="J671" s="147">
        <v>7.8</v>
      </c>
      <c r="K671" s="147">
        <v>6.4</v>
      </c>
      <c r="L671" s="147">
        <v>7.376</v>
      </c>
      <c r="M671" s="94" cm="1">
        <f t="array" ref="M671">INDEX($BV$29:$BV$1449,MATCH($D671,$BR$29:$BR$1449,0),)</f>
        <v>8.19</v>
      </c>
      <c r="N671" s="150">
        <f t="shared" si="300"/>
        <v>0</v>
      </c>
      <c r="O671" s="150">
        <f t="shared" si="302"/>
        <v>0.001085776330076</v>
      </c>
      <c r="P671" s="150">
        <f t="shared" si="298"/>
        <v>-0.012319228709159</v>
      </c>
      <c r="Q671" s="89">
        <f t="shared" si="299"/>
        <v>-0.0993894993894993</v>
      </c>
      <c r="AH671" s="90"/>
      <c r="AI671" s="85"/>
      <c r="AJ671" s="36"/>
      <c r="AK671" s="36"/>
      <c r="AL671" s="36"/>
      <c r="AM671" s="36"/>
      <c r="AN671" s="36"/>
      <c r="AO671" s="36"/>
      <c r="AP671" s="36"/>
      <c r="FV671" s="104">
        <f t="shared" si="292"/>
        <v>2013</v>
      </c>
      <c r="FW671" s="104">
        <f t="shared" si="293"/>
        <v>4</v>
      </c>
      <c r="FX671" s="35">
        <v>41296</v>
      </c>
      <c r="FY671" s="26">
        <v>1.203</v>
      </c>
      <c r="FZ671" s="94">
        <f t="shared" si="294"/>
        <v>4.812</v>
      </c>
      <c r="GA671" s="104"/>
      <c r="GB671" s="104"/>
      <c r="GE671" s="94"/>
      <c r="GF671" s="104">
        <f t="shared" si="295"/>
        <v>2015</v>
      </c>
      <c r="GG671" s="104">
        <f t="shared" si="296"/>
        <v>31</v>
      </c>
      <c r="GH671" s="35">
        <v>42215</v>
      </c>
      <c r="GI671" s="26">
        <v>2.309</v>
      </c>
      <c r="GJ671" s="94">
        <f t="shared" si="297"/>
        <v>4.618</v>
      </c>
      <c r="GK671" s="104"/>
      <c r="GL671" s="104"/>
      <c r="GO671" s="94"/>
    </row>
    <row r="672" spans="3:197">
      <c r="C672" s="80" t="str" cm="1">
        <f t="array" ref="C672">_xlfn.IFS(MONTH(D672)&lt;4,1,MONTH(D672)&lt;7,2,MONTH(D672)&lt;10,3,MONTH(D672)&gt;9,4)&amp;"Q"&amp;RIGHT(YEAR(D672),2)</f>
        <v>3Q18</v>
      </c>
      <c r="D672" s="81">
        <f t="shared" si="304"/>
        <v>43373</v>
      </c>
      <c r="E672" s="82">
        <f t="shared" si="301"/>
        <v>43363</v>
      </c>
      <c r="F672" s="83">
        <f t="shared" si="303"/>
        <v>0.921</v>
      </c>
      <c r="G672" s="83">
        <f t="shared" si="303"/>
        <v>1.02375</v>
      </c>
      <c r="H672" s="81"/>
      <c r="I672" s="146">
        <v>43363</v>
      </c>
      <c r="J672" s="147">
        <v>7.8</v>
      </c>
      <c r="K672" s="147">
        <v>6.4</v>
      </c>
      <c r="L672" s="147">
        <v>7.368</v>
      </c>
      <c r="M672" s="94" cm="1">
        <f t="array" ref="M672">INDEX($BV$29:$BV$1449,MATCH($D672,$BR$29:$BR$1449,0),)</f>
        <v>8.19</v>
      </c>
      <c r="N672" s="150">
        <f t="shared" si="300"/>
        <v>-0.00108459869848154</v>
      </c>
      <c r="O672" s="150">
        <f t="shared" si="302"/>
        <v>0.000543183052688745</v>
      </c>
      <c r="P672" s="150">
        <f t="shared" si="298"/>
        <v>-0.0125971589386222</v>
      </c>
      <c r="Q672" s="89">
        <f t="shared" si="299"/>
        <v>-0.1003663003663</v>
      </c>
      <c r="AH672" s="90"/>
      <c r="AI672" s="85"/>
      <c r="AJ672" s="36"/>
      <c r="AK672" s="36"/>
      <c r="AL672" s="36"/>
      <c r="AM672" s="36"/>
      <c r="AN672" s="36"/>
      <c r="AO672" s="36"/>
      <c r="AP672" s="36"/>
      <c r="FV672" s="104">
        <f t="shared" si="292"/>
        <v>2013</v>
      </c>
      <c r="FW672" s="104">
        <f t="shared" si="293"/>
        <v>4</v>
      </c>
      <c r="FX672" s="35">
        <v>41297</v>
      </c>
      <c r="FY672" s="26">
        <v>1.212</v>
      </c>
      <c r="FZ672" s="94">
        <f t="shared" si="294"/>
        <v>4.848</v>
      </c>
      <c r="GA672" s="104"/>
      <c r="GB672" s="104"/>
      <c r="GE672" s="94"/>
      <c r="GF672" s="104">
        <f t="shared" si="295"/>
        <v>2015</v>
      </c>
      <c r="GG672" s="104">
        <f t="shared" si="296"/>
        <v>31</v>
      </c>
      <c r="GH672" s="35">
        <v>42216</v>
      </c>
      <c r="GI672" s="26">
        <v>2.293</v>
      </c>
      <c r="GJ672" s="94">
        <f t="shared" si="297"/>
        <v>4.586</v>
      </c>
      <c r="GK672" s="104"/>
      <c r="GL672" s="104"/>
      <c r="GO672" s="94"/>
    </row>
    <row r="673" spans="3:197">
      <c r="C673" s="80" t="str" cm="1">
        <f t="array" ref="C673">_xlfn.IFS(MONTH(D673)&lt;4,1,MONTH(D673)&lt;7,2,MONTH(D673)&lt;10,3,MONTH(D673)&gt;9,4)&amp;"Q"&amp;RIGHT(YEAR(D673),2)</f>
        <v>3Q18</v>
      </c>
      <c r="D673" s="81">
        <f t="shared" si="304"/>
        <v>43373</v>
      </c>
      <c r="E673" s="82">
        <f t="shared" si="301"/>
        <v>43364</v>
      </c>
      <c r="F673" s="83">
        <f t="shared" si="303"/>
        <v>0.918625</v>
      </c>
      <c r="G673" s="83">
        <f t="shared" si="303"/>
        <v>1.02375</v>
      </c>
      <c r="H673" s="81"/>
      <c r="I673" s="146">
        <v>43364</v>
      </c>
      <c r="J673" s="147">
        <v>7.8</v>
      </c>
      <c r="K673" s="147">
        <v>6.4</v>
      </c>
      <c r="L673" s="147">
        <v>7.349</v>
      </c>
      <c r="M673" s="94" cm="1">
        <f t="array" ref="M673">INDEX($BV$29:$BV$1449,MATCH($D673,$BR$29:$BR$1449,0),)</f>
        <v>8.19</v>
      </c>
      <c r="N673" s="150">
        <f t="shared" si="300"/>
        <v>-0.00257871878393057</v>
      </c>
      <c r="O673" s="150">
        <f t="shared" si="302"/>
        <v>-0.00366052060737532</v>
      </c>
      <c r="P673" s="150">
        <f t="shared" si="298"/>
        <v>-0.00527883053600431</v>
      </c>
      <c r="Q673" s="89">
        <f t="shared" si="299"/>
        <v>-0.102686202686203</v>
      </c>
      <c r="AH673" s="90"/>
      <c r="AI673" s="85"/>
      <c r="AJ673" s="36"/>
      <c r="AK673" s="36"/>
      <c r="AL673" s="36"/>
      <c r="AM673" s="36"/>
      <c r="AN673" s="36"/>
      <c r="AO673" s="36"/>
      <c r="AP673" s="36"/>
      <c r="FV673" s="104">
        <f t="shared" si="292"/>
        <v>2013</v>
      </c>
      <c r="FW673" s="104">
        <f t="shared" si="293"/>
        <v>4</v>
      </c>
      <c r="FX673" s="35">
        <v>41298</v>
      </c>
      <c r="FY673" s="26">
        <v>1.2</v>
      </c>
      <c r="FZ673" s="94">
        <f t="shared" si="294"/>
        <v>4.8</v>
      </c>
      <c r="GA673" s="104"/>
      <c r="GB673" s="104"/>
      <c r="GE673" s="94"/>
      <c r="GF673" s="104">
        <f t="shared" si="295"/>
        <v>2015</v>
      </c>
      <c r="GG673" s="104">
        <f t="shared" si="296"/>
        <v>32</v>
      </c>
      <c r="GH673" s="35">
        <v>42219</v>
      </c>
      <c r="GI673" s="26">
        <v>2.275</v>
      </c>
      <c r="GJ673" s="94">
        <f t="shared" si="297"/>
        <v>4.55</v>
      </c>
      <c r="GK673" s="104"/>
      <c r="GL673" s="104"/>
      <c r="GO673" s="94"/>
    </row>
    <row r="674" spans="3:197">
      <c r="C674" s="80" t="str" cm="1">
        <f t="array" ref="C674">_xlfn.IFS(MONTH(D674)&lt;4,1,MONTH(D674)&lt;7,2,MONTH(D674)&lt;10,3,MONTH(D674)&gt;9,4)&amp;"Q"&amp;RIGHT(YEAR(D674),2)</f>
        <v>3Q18</v>
      </c>
      <c r="D674" s="81">
        <f t="shared" si="304"/>
        <v>43373</v>
      </c>
      <c r="E674" s="82">
        <f t="shared" si="301"/>
        <v>43368</v>
      </c>
      <c r="F674" s="83">
        <f t="shared" si="303"/>
        <v>0.918625</v>
      </c>
      <c r="G674" s="83">
        <f t="shared" si="303"/>
        <v>1.02375</v>
      </c>
      <c r="H674" s="81"/>
      <c r="I674" s="146">
        <v>43368</v>
      </c>
      <c r="J674" s="147">
        <v>7.8</v>
      </c>
      <c r="K674" s="147">
        <v>6.4</v>
      </c>
      <c r="L674" s="147">
        <v>7.349</v>
      </c>
      <c r="M674" s="94" cm="1">
        <f t="array" ref="M674">INDEX($BV$29:$BV$1449,MATCH($D674,$BR$29:$BR$1449,0),)</f>
        <v>8.19</v>
      </c>
      <c r="N674" s="150">
        <f t="shared" si="300"/>
        <v>0</v>
      </c>
      <c r="O674" s="150">
        <f t="shared" si="302"/>
        <v>-0.00366052060737532</v>
      </c>
      <c r="P674" s="150">
        <f t="shared" si="298"/>
        <v>-0.00473997833152762</v>
      </c>
      <c r="Q674" s="89">
        <f t="shared" si="299"/>
        <v>-0.102686202686203</v>
      </c>
      <c r="AH674" s="90"/>
      <c r="AI674" s="85"/>
      <c r="AJ674" s="36"/>
      <c r="AK674" s="36"/>
      <c r="AL674" s="36"/>
      <c r="AM674" s="36"/>
      <c r="AN674" s="36"/>
      <c r="AO674" s="36"/>
      <c r="AP674" s="36"/>
      <c r="FV674" s="104">
        <f t="shared" si="292"/>
        <v>2013</v>
      </c>
      <c r="FW674" s="104">
        <f t="shared" si="293"/>
        <v>4</v>
      </c>
      <c r="FX674" s="35">
        <v>41299</v>
      </c>
      <c r="FY674" s="26">
        <v>1.202</v>
      </c>
      <c r="FZ674" s="94">
        <f t="shared" si="294"/>
        <v>4.808</v>
      </c>
      <c r="GA674" s="104"/>
      <c r="GB674" s="104"/>
      <c r="GE674" s="94"/>
      <c r="GF674" s="104">
        <f t="shared" si="295"/>
        <v>2015</v>
      </c>
      <c r="GG674" s="104">
        <f t="shared" si="296"/>
        <v>32</v>
      </c>
      <c r="GH674" s="35">
        <v>42220</v>
      </c>
      <c r="GI674" s="26">
        <v>2.26</v>
      </c>
      <c r="GJ674" s="94">
        <f t="shared" si="297"/>
        <v>4.52</v>
      </c>
      <c r="GK674" s="104"/>
      <c r="GL674" s="104"/>
      <c r="GO674" s="94"/>
    </row>
    <row r="675" spans="3:197">
      <c r="C675" s="80" t="str" cm="1">
        <f t="array" ref="C675">_xlfn.IFS(MONTH(D675)&lt;4,1,MONTH(D675)&lt;7,2,MONTH(D675)&lt;10,3,MONTH(D675)&gt;9,4)&amp;"Q"&amp;RIGHT(YEAR(D675),2)</f>
        <v>3Q18</v>
      </c>
      <c r="D675" s="81">
        <f t="shared" si="304"/>
        <v>43373</v>
      </c>
      <c r="E675" s="82">
        <f t="shared" si="301"/>
        <v>43369</v>
      </c>
      <c r="F675" s="83">
        <f t="shared" si="303"/>
        <v>0.917625</v>
      </c>
      <c r="G675" s="83">
        <f t="shared" si="303"/>
        <v>1.02375</v>
      </c>
      <c r="H675" s="81"/>
      <c r="I675" s="146">
        <v>43369</v>
      </c>
      <c r="J675" s="147">
        <v>7.8</v>
      </c>
      <c r="K675" s="147">
        <v>6.4</v>
      </c>
      <c r="L675" s="147">
        <v>7.341</v>
      </c>
      <c r="M675" s="94" cm="1">
        <f t="array" ref="M675">INDEX($BV$29:$BV$1449,MATCH($D675,$BR$29:$BR$1449,0),)</f>
        <v>8.19</v>
      </c>
      <c r="N675" s="150">
        <f t="shared" si="300"/>
        <v>-0.0010885834807457</v>
      </c>
      <c r="O675" s="150">
        <f t="shared" si="302"/>
        <v>-0.00474511930585686</v>
      </c>
      <c r="P675" s="150">
        <f t="shared" si="298"/>
        <v>-0.00420510037981547</v>
      </c>
      <c r="Q675" s="89">
        <f t="shared" si="299"/>
        <v>-0.103663003663004</v>
      </c>
      <c r="AH675" s="90"/>
      <c r="AI675" s="85"/>
      <c r="AJ675" s="36"/>
      <c r="AK675" s="36"/>
      <c r="AL675" s="36"/>
      <c r="AM675" s="36"/>
      <c r="AN675" s="36"/>
      <c r="AO675" s="36"/>
      <c r="AP675" s="36"/>
      <c r="FV675" s="104">
        <f t="shared" si="292"/>
        <v>2013</v>
      </c>
      <c r="FW675" s="104">
        <f t="shared" si="293"/>
        <v>5</v>
      </c>
      <c r="FX675" s="35">
        <v>41302</v>
      </c>
      <c r="FY675" s="26">
        <v>1.202</v>
      </c>
      <c r="FZ675" s="94">
        <f t="shared" si="294"/>
        <v>4.808</v>
      </c>
      <c r="GA675" s="104"/>
      <c r="GB675" s="104"/>
      <c r="GE675" s="94"/>
      <c r="GF675" s="104">
        <f t="shared" si="295"/>
        <v>2015</v>
      </c>
      <c r="GG675" s="104">
        <f t="shared" si="296"/>
        <v>32</v>
      </c>
      <c r="GH675" s="35">
        <v>42221</v>
      </c>
      <c r="GI675" s="26">
        <v>2.254</v>
      </c>
      <c r="GJ675" s="94">
        <f t="shared" si="297"/>
        <v>4.508</v>
      </c>
      <c r="GK675" s="104"/>
      <c r="GL675" s="104"/>
      <c r="GO675" s="94"/>
    </row>
    <row r="676" spans="3:197">
      <c r="C676" s="80" t="str" cm="1">
        <f t="array" ref="C676">_xlfn.IFS(MONTH(D676)&lt;4,1,MONTH(D676)&lt;7,2,MONTH(D676)&lt;10,3,MONTH(D676)&gt;9,4)&amp;"Q"&amp;RIGHT(YEAR(D676),2)</f>
        <v>3Q18</v>
      </c>
      <c r="D676" s="81">
        <f t="shared" si="304"/>
        <v>43373</v>
      </c>
      <c r="E676" s="82">
        <f t="shared" si="301"/>
        <v>43370</v>
      </c>
      <c r="F676" s="83">
        <f t="shared" si="303"/>
        <v>0.90875</v>
      </c>
      <c r="G676" s="83">
        <f t="shared" si="303"/>
        <v>1.02375</v>
      </c>
      <c r="H676" s="81"/>
      <c r="I676" s="146">
        <v>43370</v>
      </c>
      <c r="J676" s="147">
        <v>7.9</v>
      </c>
      <c r="K676" s="147">
        <v>6.4</v>
      </c>
      <c r="L676" s="147">
        <v>7.27</v>
      </c>
      <c r="M676" s="94" cm="1">
        <f t="array" ref="M676">INDEX($BV$29:$BV$1449,MATCH($D676,$BR$29:$BR$1449,0),)</f>
        <v>8.19</v>
      </c>
      <c r="N676" s="150">
        <f t="shared" si="300"/>
        <v>-0.00967170685192764</v>
      </c>
      <c r="O676" s="150">
        <f t="shared" si="302"/>
        <v>-0.0143709327548808</v>
      </c>
      <c r="P676" s="150">
        <f t="shared" si="298"/>
        <v>-0.0133007600434312</v>
      </c>
      <c r="Q676" s="89">
        <f t="shared" si="299"/>
        <v>-0.112332112332112</v>
      </c>
      <c r="AH676" s="90"/>
      <c r="AI676" s="85"/>
      <c r="AJ676" s="36"/>
      <c r="AK676" s="36"/>
      <c r="AL676" s="36"/>
      <c r="AM676" s="36"/>
      <c r="AN676" s="36"/>
      <c r="AO676" s="36"/>
      <c r="AP676" s="36"/>
      <c r="FV676" s="104">
        <f t="shared" si="292"/>
        <v>2013</v>
      </c>
      <c r="FW676" s="104">
        <f t="shared" si="293"/>
        <v>5</v>
      </c>
      <c r="FX676" s="35">
        <v>41303</v>
      </c>
      <c r="FY676" s="26">
        <v>1.198</v>
      </c>
      <c r="FZ676" s="94">
        <f t="shared" si="294"/>
        <v>4.792</v>
      </c>
      <c r="GA676" s="104"/>
      <c r="GB676" s="104"/>
      <c r="GE676" s="94"/>
      <c r="GF676" s="104">
        <f t="shared" si="295"/>
        <v>2015</v>
      </c>
      <c r="GG676" s="104">
        <f t="shared" si="296"/>
        <v>32</v>
      </c>
      <c r="GH676" s="35">
        <v>42222</v>
      </c>
      <c r="GI676" s="26">
        <v>2.237</v>
      </c>
      <c r="GJ676" s="94">
        <f t="shared" si="297"/>
        <v>4.474</v>
      </c>
      <c r="GK676" s="104"/>
      <c r="GL676" s="104"/>
      <c r="GO676" s="94"/>
    </row>
    <row r="677" spans="3:197">
      <c r="C677" s="80" t="str" cm="1">
        <f t="array" ref="C677">_xlfn.IFS(MONTH(D677)&lt;4,1,MONTH(D677)&lt;7,2,MONTH(D677)&lt;10,3,MONTH(D677)&gt;9,4)&amp;"Q"&amp;RIGHT(YEAR(D677),2)</f>
        <v>3Q18</v>
      </c>
      <c r="D677" s="81">
        <f t="shared" si="304"/>
        <v>43373</v>
      </c>
      <c r="E677" s="82">
        <f t="shared" si="301"/>
        <v>43371</v>
      </c>
      <c r="F677" s="83">
        <f t="shared" si="303"/>
        <v>0.901375</v>
      </c>
      <c r="G677" s="83">
        <f t="shared" si="303"/>
        <v>1.02375</v>
      </c>
      <c r="H677" s="81"/>
      <c r="I677" s="146">
        <v>43371</v>
      </c>
      <c r="J677" s="147">
        <v>7.9</v>
      </c>
      <c r="K677" s="147">
        <v>6.4</v>
      </c>
      <c r="L677" s="147">
        <v>7.211</v>
      </c>
      <c r="M677" s="94" cm="1">
        <f t="array" ref="M677">INDEX($BV$29:$BV$1449,MATCH($D677,$BR$29:$BR$1449,0),)</f>
        <v>8.19</v>
      </c>
      <c r="N677" s="150">
        <f t="shared" si="300"/>
        <v>-0.0081155433287482</v>
      </c>
      <c r="O677" s="150">
        <f t="shared" si="302"/>
        <v>-0.0213083604777415</v>
      </c>
      <c r="P677" s="150">
        <f t="shared" si="298"/>
        <v>-0.0207767517653449</v>
      </c>
      <c r="Q677" s="89">
        <f t="shared" si="299"/>
        <v>-0.119536019536019</v>
      </c>
      <c r="AH677" s="90"/>
      <c r="AI677" s="85"/>
      <c r="AJ677" s="36"/>
      <c r="AK677" s="36"/>
      <c r="AL677" s="36"/>
      <c r="AM677" s="36"/>
      <c r="AN677" s="36"/>
      <c r="AO677" s="36"/>
      <c r="AP677" s="36"/>
      <c r="FV677" s="104">
        <f t="shared" si="292"/>
        <v>2013</v>
      </c>
      <c r="FW677" s="104">
        <f t="shared" si="293"/>
        <v>5</v>
      </c>
      <c r="FX677" s="35">
        <v>41304</v>
      </c>
      <c r="FY677" s="26">
        <v>1.213</v>
      </c>
      <c r="FZ677" s="94">
        <f t="shared" si="294"/>
        <v>4.852</v>
      </c>
      <c r="GA677" s="104"/>
      <c r="GB677" s="104"/>
      <c r="GE677" s="94"/>
      <c r="GF677" s="104">
        <f t="shared" si="295"/>
        <v>2015</v>
      </c>
      <c r="GG677" s="104">
        <f t="shared" si="296"/>
        <v>32</v>
      </c>
      <c r="GH677" s="35">
        <v>42223</v>
      </c>
      <c r="GI677" s="26">
        <v>2.234</v>
      </c>
      <c r="GJ677" s="94">
        <f t="shared" si="297"/>
        <v>4.468</v>
      </c>
      <c r="GK677" s="104"/>
      <c r="GL677" s="104"/>
      <c r="GO677" s="94"/>
    </row>
    <row r="678" spans="3:197">
      <c r="C678" s="80" t="str" cm="1">
        <f t="array" ref="C678">_xlfn.IFS(MONTH(D678)&lt;4,1,MONTH(D678)&lt;7,2,MONTH(D678)&lt;10,3,MONTH(D678)&gt;9,4)&amp;"Q"&amp;RIGHT(YEAR(D678),2)</f>
        <v>4Q18</v>
      </c>
      <c r="D678" s="81">
        <f t="shared" si="304"/>
        <v>43404</v>
      </c>
      <c r="E678" s="82">
        <f t="shared" si="301"/>
        <v>43374</v>
      </c>
      <c r="F678" s="83">
        <f t="shared" si="303"/>
        <v>0.90075</v>
      </c>
      <c r="G678" s="83">
        <f t="shared" si="303"/>
        <v>0.91375</v>
      </c>
      <c r="H678" s="81"/>
      <c r="I678" s="146">
        <v>43374</v>
      </c>
      <c r="J678" s="147">
        <v>7.9</v>
      </c>
      <c r="K678" s="147">
        <v>6.4</v>
      </c>
      <c r="L678" s="147">
        <v>7.206</v>
      </c>
      <c r="M678" s="94" cm="1">
        <f t="array" ref="M678">INDEX($BV$29:$BV$1449,MATCH($D678,$BR$29:$BR$1449,0),)</f>
        <v>7.31</v>
      </c>
      <c r="N678" s="150">
        <f t="shared" si="300"/>
        <v>-0.000693385106087852</v>
      </c>
      <c r="O678" s="150">
        <f t="shared" si="302"/>
        <v>-0.019458429718329</v>
      </c>
      <c r="P678" s="150">
        <f t="shared" si="298"/>
        <v>-0.0230477223427332</v>
      </c>
      <c r="Q678" s="89">
        <f t="shared" si="299"/>
        <v>-0.0142270861833105</v>
      </c>
      <c r="AH678" s="90"/>
      <c r="AI678" s="85"/>
      <c r="AJ678" s="36"/>
      <c r="AK678" s="36"/>
      <c r="AL678" s="36"/>
      <c r="AM678" s="36"/>
      <c r="AN678" s="36"/>
      <c r="AO678" s="36"/>
      <c r="AP678" s="36"/>
      <c r="BT678" s="59">
        <f>M678/M677-1</f>
        <v>-0.107448107448107</v>
      </c>
      <c r="FV678" s="104">
        <f t="shared" si="292"/>
        <v>2013</v>
      </c>
      <c r="FW678" s="104">
        <f t="shared" si="293"/>
        <v>5</v>
      </c>
      <c r="FX678" s="35">
        <v>41305</v>
      </c>
      <c r="FY678" s="26">
        <v>1.259</v>
      </c>
      <c r="FZ678" s="94">
        <f t="shared" si="294"/>
        <v>5.036</v>
      </c>
      <c r="GA678" s="104"/>
      <c r="GB678" s="104"/>
      <c r="GE678" s="94"/>
      <c r="GF678" s="104">
        <f t="shared" si="295"/>
        <v>2015</v>
      </c>
      <c r="GG678" s="104">
        <f t="shared" si="296"/>
        <v>33</v>
      </c>
      <c r="GH678" s="35">
        <v>42226</v>
      </c>
      <c r="GI678" s="26">
        <v>2.231</v>
      </c>
      <c r="GJ678" s="94">
        <f t="shared" si="297"/>
        <v>4.462</v>
      </c>
      <c r="GK678" s="104"/>
      <c r="GL678" s="104"/>
      <c r="GO678" s="94"/>
    </row>
    <row r="679" spans="3:197">
      <c r="C679" s="80" t="str" cm="1">
        <f t="array" ref="C679">_xlfn.IFS(MONTH(D679)&lt;4,1,MONTH(D679)&lt;7,2,MONTH(D679)&lt;10,3,MONTH(D679)&gt;9,4)&amp;"Q"&amp;RIGHT(YEAR(D679),2)</f>
        <v>4Q18</v>
      </c>
      <c r="D679" s="81">
        <f t="shared" si="304"/>
        <v>43404</v>
      </c>
      <c r="E679" s="82">
        <f t="shared" si="301"/>
        <v>43375</v>
      </c>
      <c r="F679" s="83">
        <f t="shared" si="303"/>
        <v>0.9005</v>
      </c>
      <c r="G679" s="83">
        <f t="shared" si="303"/>
        <v>0.91375</v>
      </c>
      <c r="H679" s="81"/>
      <c r="I679" s="146">
        <v>43375</v>
      </c>
      <c r="J679" s="147">
        <v>7.9</v>
      </c>
      <c r="K679" s="147">
        <v>6.4</v>
      </c>
      <c r="L679" s="147">
        <v>7.204</v>
      </c>
      <c r="M679" s="94" cm="1">
        <f t="array" ref="M679">INDEX($BV$29:$BV$1449,MATCH($D679,$BR$29:$BR$1449,0),)</f>
        <v>7.31</v>
      </c>
      <c r="N679" s="150">
        <f t="shared" si="300"/>
        <v>-0.000277546489036995</v>
      </c>
      <c r="O679" s="150">
        <f t="shared" si="302"/>
        <v>-0.0197305755885155</v>
      </c>
      <c r="P679" s="150">
        <f t="shared" si="298"/>
        <v>-0.0233188720173536</v>
      </c>
      <c r="Q679" s="89">
        <f t="shared" si="299"/>
        <v>-0.014500683994528</v>
      </c>
      <c r="AH679" s="90"/>
      <c r="AI679" s="85"/>
      <c r="AJ679" s="36"/>
      <c r="AK679" s="36"/>
      <c r="AL679" s="36"/>
      <c r="AM679" s="36"/>
      <c r="AN679" s="36"/>
      <c r="AO679" s="36"/>
      <c r="AP679" s="36"/>
      <c r="FV679" s="104">
        <f t="shared" si="292"/>
        <v>2013</v>
      </c>
      <c r="FW679" s="104">
        <f t="shared" si="293"/>
        <v>5</v>
      </c>
      <c r="FX679" s="35">
        <v>41306</v>
      </c>
      <c r="FY679" s="26">
        <v>1.259</v>
      </c>
      <c r="FZ679" s="94">
        <f t="shared" si="294"/>
        <v>5.036</v>
      </c>
      <c r="GA679" s="104"/>
      <c r="GB679" s="104"/>
      <c r="GE679" s="94"/>
      <c r="GF679" s="104">
        <f t="shared" si="295"/>
        <v>2015</v>
      </c>
      <c r="GG679" s="104">
        <f t="shared" si="296"/>
        <v>33</v>
      </c>
      <c r="GH679" s="35">
        <v>42227</v>
      </c>
      <c r="GI679" s="26">
        <v>2.227</v>
      </c>
      <c r="GJ679" s="94">
        <f t="shared" si="297"/>
        <v>4.454</v>
      </c>
      <c r="GK679" s="104"/>
      <c r="GL679" s="104"/>
      <c r="GO679" s="94"/>
    </row>
    <row r="680" spans="3:197">
      <c r="C680" s="80" t="str" cm="1">
        <f t="array" ref="C680">_xlfn.IFS(MONTH(D680)&lt;4,1,MONTH(D680)&lt;7,2,MONTH(D680)&lt;10,3,MONTH(D680)&gt;9,4)&amp;"Q"&amp;RIGHT(YEAR(D680),2)</f>
        <v>4Q18</v>
      </c>
      <c r="D680" s="81">
        <f t="shared" si="304"/>
        <v>43404</v>
      </c>
      <c r="E680" s="82">
        <f t="shared" si="301"/>
        <v>43376</v>
      </c>
      <c r="F680" s="83">
        <f t="shared" si="303"/>
        <v>0.9</v>
      </c>
      <c r="G680" s="83">
        <f t="shared" si="303"/>
        <v>0.91375</v>
      </c>
      <c r="H680" s="81"/>
      <c r="I680" s="146">
        <v>43376</v>
      </c>
      <c r="J680" s="147">
        <v>7.9</v>
      </c>
      <c r="K680" s="147">
        <v>6.4</v>
      </c>
      <c r="L680" s="147">
        <v>7.2</v>
      </c>
      <c r="M680" s="94" cm="1">
        <f t="array" ref="M680">INDEX($BV$29:$BV$1449,MATCH($D680,$BR$29:$BR$1449,0),)</f>
        <v>7.31</v>
      </c>
      <c r="N680" s="150">
        <f t="shared" si="300"/>
        <v>-0.000555247084952692</v>
      </c>
      <c r="O680" s="150">
        <f t="shared" si="302"/>
        <v>-0.0192071924805884</v>
      </c>
      <c r="P680" s="150">
        <f t="shared" si="298"/>
        <v>-0.0238611713665944</v>
      </c>
      <c r="Q680" s="89">
        <f t="shared" si="299"/>
        <v>-0.015047879616963</v>
      </c>
      <c r="AH680" s="90"/>
      <c r="AI680" s="85"/>
      <c r="AJ680" s="36"/>
      <c r="AK680" s="36"/>
      <c r="AL680" s="36"/>
      <c r="AM680" s="36"/>
      <c r="AN680" s="36"/>
      <c r="AO680" s="36"/>
      <c r="AP680" s="36"/>
      <c r="FV680" s="104">
        <f t="shared" si="292"/>
        <v>2013</v>
      </c>
      <c r="FW680" s="104">
        <f t="shared" si="293"/>
        <v>6</v>
      </c>
      <c r="FX680" s="35">
        <v>41309</v>
      </c>
      <c r="FY680" s="26">
        <v>1.293</v>
      </c>
      <c r="FZ680" s="94">
        <f t="shared" si="294"/>
        <v>5.172</v>
      </c>
      <c r="GA680" s="104"/>
      <c r="GB680" s="104"/>
      <c r="GE680" s="94"/>
      <c r="GF680" s="104">
        <f t="shared" si="295"/>
        <v>2015</v>
      </c>
      <c r="GG680" s="104">
        <f t="shared" si="296"/>
        <v>33</v>
      </c>
      <c r="GH680" s="35">
        <v>42228</v>
      </c>
      <c r="GI680" s="26">
        <v>2.213</v>
      </c>
      <c r="GJ680" s="94">
        <f t="shared" si="297"/>
        <v>4.426</v>
      </c>
      <c r="GK680" s="104"/>
      <c r="GL680" s="104"/>
      <c r="GO680" s="94"/>
    </row>
    <row r="681" spans="3:197">
      <c r="C681" s="80" t="str" cm="1">
        <f t="array" ref="C681">_xlfn.IFS(MONTH(D681)&lt;4,1,MONTH(D681)&lt;7,2,MONTH(D681)&lt;10,3,MONTH(D681)&gt;9,4)&amp;"Q"&amp;RIGHT(YEAR(D681),2)</f>
        <v>4Q18</v>
      </c>
      <c r="D681" s="81">
        <f t="shared" si="304"/>
        <v>43404</v>
      </c>
      <c r="E681" s="82">
        <f t="shared" si="301"/>
        <v>43377</v>
      </c>
      <c r="F681" s="83">
        <f t="shared" si="303"/>
        <v>0.9</v>
      </c>
      <c r="G681" s="83">
        <f t="shared" si="303"/>
        <v>0.91375</v>
      </c>
      <c r="H681" s="81"/>
      <c r="I681" s="146">
        <v>43377</v>
      </c>
      <c r="J681" s="147">
        <v>7.9</v>
      </c>
      <c r="K681" s="147">
        <v>6.4</v>
      </c>
      <c r="L681" s="147">
        <v>7.2</v>
      </c>
      <c r="M681" s="94" cm="1">
        <f t="array" ref="M681">INDEX($BV$29:$BV$1449,MATCH($D681,$BR$29:$BR$1449,0),)</f>
        <v>7.31</v>
      </c>
      <c r="N681" s="150">
        <f t="shared" si="300"/>
        <v>0</v>
      </c>
      <c r="O681" s="150">
        <f t="shared" si="302"/>
        <v>-0.00962861072902332</v>
      </c>
      <c r="P681" s="150">
        <f t="shared" si="298"/>
        <v>-0.0238611713665944</v>
      </c>
      <c r="Q681" s="89">
        <f t="shared" si="299"/>
        <v>-0.015047879616963</v>
      </c>
      <c r="AH681" s="90"/>
      <c r="AI681" s="85"/>
      <c r="AJ681" s="36"/>
      <c r="AK681" s="36"/>
      <c r="AL681" s="36"/>
      <c r="AM681" s="36"/>
      <c r="AN681" s="36"/>
      <c r="AO681" s="36"/>
      <c r="AP681" s="36"/>
      <c r="FV681" s="104">
        <f t="shared" si="292"/>
        <v>2013</v>
      </c>
      <c r="FW681" s="104">
        <f t="shared" si="293"/>
        <v>6</v>
      </c>
      <c r="FX681" s="35">
        <v>41310</v>
      </c>
      <c r="FY681" s="26">
        <v>1.297</v>
      </c>
      <c r="FZ681" s="94">
        <f t="shared" si="294"/>
        <v>5.188</v>
      </c>
      <c r="GA681" s="104"/>
      <c r="GB681" s="104"/>
      <c r="GE681" s="94"/>
      <c r="GF681" s="104">
        <f t="shared" si="295"/>
        <v>2015</v>
      </c>
      <c r="GG681" s="104">
        <f t="shared" si="296"/>
        <v>33</v>
      </c>
      <c r="GH681" s="35">
        <v>42229</v>
      </c>
      <c r="GI681" s="26">
        <v>2.209</v>
      </c>
      <c r="GJ681" s="94">
        <f t="shared" si="297"/>
        <v>4.418</v>
      </c>
      <c r="GK681" s="104"/>
      <c r="GL681" s="104"/>
      <c r="GO681" s="94"/>
    </row>
    <row r="682" spans="3:197">
      <c r="C682" s="80" t="str" cm="1">
        <f t="array" ref="C682">_xlfn.IFS(MONTH(D682)&lt;4,1,MONTH(D682)&lt;7,2,MONTH(D682)&lt;10,3,MONTH(D682)&gt;9,4)&amp;"Q"&amp;RIGHT(YEAR(D682),2)</f>
        <v>4Q18</v>
      </c>
      <c r="D682" s="81">
        <f t="shared" si="304"/>
        <v>43404</v>
      </c>
      <c r="E682" s="82">
        <f t="shared" si="301"/>
        <v>43378</v>
      </c>
      <c r="F682" s="83">
        <f t="shared" si="303"/>
        <v>0.9</v>
      </c>
      <c r="G682" s="83">
        <f t="shared" si="303"/>
        <v>0.91375</v>
      </c>
      <c r="H682" s="81"/>
      <c r="I682" s="146">
        <v>43378</v>
      </c>
      <c r="J682" s="147">
        <v>7.9</v>
      </c>
      <c r="K682" s="147">
        <v>6.35</v>
      </c>
      <c r="L682" s="147">
        <v>7.2</v>
      </c>
      <c r="M682" s="94" cm="1">
        <f t="array" ref="M682">INDEX($BV$29:$BV$1449,MATCH($D682,$BR$29:$BR$1449,0),)</f>
        <v>7.31</v>
      </c>
      <c r="N682" s="150">
        <f t="shared" si="300"/>
        <v>0</v>
      </c>
      <c r="O682" s="150">
        <f t="shared" si="302"/>
        <v>-0.00152544723339343</v>
      </c>
      <c r="P682" s="150">
        <f t="shared" si="298"/>
        <v>-0.0228013029315961</v>
      </c>
      <c r="Q682" s="89">
        <f t="shared" si="299"/>
        <v>-0.015047879616963</v>
      </c>
      <c r="AH682" s="90"/>
      <c r="AI682" s="85"/>
      <c r="AJ682" s="36"/>
      <c r="AK682" s="36"/>
      <c r="AL682" s="36"/>
      <c r="AM682" s="36"/>
      <c r="AN682" s="36"/>
      <c r="AO682" s="36"/>
      <c r="AP682" s="36"/>
      <c r="FV682" s="104">
        <f t="shared" si="292"/>
        <v>2013</v>
      </c>
      <c r="FW682" s="104">
        <f t="shared" si="293"/>
        <v>6</v>
      </c>
      <c r="FX682" s="35">
        <v>41311</v>
      </c>
      <c r="FY682" s="26">
        <v>1.3</v>
      </c>
      <c r="FZ682" s="94">
        <f t="shared" si="294"/>
        <v>5.2</v>
      </c>
      <c r="GA682" s="104"/>
      <c r="GB682" s="104"/>
      <c r="GE682" s="94"/>
      <c r="GF682" s="104">
        <f t="shared" si="295"/>
        <v>2015</v>
      </c>
      <c r="GG682" s="104">
        <f t="shared" si="296"/>
        <v>33</v>
      </c>
      <c r="GH682" s="35">
        <v>42230</v>
      </c>
      <c r="GI682" s="26">
        <v>2.192</v>
      </c>
      <c r="GJ682" s="94">
        <f t="shared" si="297"/>
        <v>4.384</v>
      </c>
      <c r="GK682" s="104"/>
      <c r="GL682" s="104"/>
      <c r="GO682" s="94"/>
    </row>
    <row r="683" spans="3:197">
      <c r="C683" s="80" t="str" cm="1">
        <f t="array" ref="C683">_xlfn.IFS(MONTH(D683)&lt;4,1,MONTH(D683)&lt;7,2,MONTH(D683)&lt;10,3,MONTH(D683)&gt;9,4)&amp;"Q"&amp;RIGHT(YEAR(D683),2)</f>
        <v>4Q18</v>
      </c>
      <c r="D683" s="81">
        <f t="shared" si="304"/>
        <v>43404</v>
      </c>
      <c r="E683" s="82">
        <f t="shared" si="301"/>
        <v>43381</v>
      </c>
      <c r="F683" s="83">
        <f t="shared" si="303"/>
        <v>0.9</v>
      </c>
      <c r="G683" s="83">
        <f t="shared" si="303"/>
        <v>0.91375</v>
      </c>
      <c r="H683" s="81"/>
      <c r="I683" s="146">
        <v>43381</v>
      </c>
      <c r="J683" s="147">
        <v>7.9</v>
      </c>
      <c r="K683" s="147">
        <v>6.35</v>
      </c>
      <c r="L683" s="147">
        <v>7.2</v>
      </c>
      <c r="M683" s="94" cm="1">
        <f t="array" ref="M683">INDEX($BV$29:$BV$1449,MATCH($D683,$BR$29:$BR$1449,0),)</f>
        <v>7.31</v>
      </c>
      <c r="N683" s="150">
        <f t="shared" si="300"/>
        <v>0</v>
      </c>
      <c r="O683" s="150">
        <f t="shared" si="302"/>
        <v>-0.000832639467110763</v>
      </c>
      <c r="P683" s="150">
        <f t="shared" si="298"/>
        <v>-0.0202748673288883</v>
      </c>
      <c r="Q683" s="89">
        <f t="shared" si="299"/>
        <v>-0.015047879616963</v>
      </c>
      <c r="AH683" s="90"/>
      <c r="AI683" s="85"/>
      <c r="AJ683" s="36"/>
      <c r="AK683" s="36"/>
      <c r="AL683" s="36"/>
      <c r="AM683" s="36"/>
      <c r="AN683" s="36"/>
      <c r="AO683" s="36"/>
      <c r="AP683" s="36"/>
      <c r="FV683" s="104">
        <f t="shared" si="292"/>
        <v>2013</v>
      </c>
      <c r="FW683" s="104">
        <f t="shared" si="293"/>
        <v>6</v>
      </c>
      <c r="FX683" s="35">
        <v>41312</v>
      </c>
      <c r="FY683" s="26">
        <v>1.3</v>
      </c>
      <c r="FZ683" s="94">
        <f t="shared" si="294"/>
        <v>5.2</v>
      </c>
      <c r="GA683" s="104"/>
      <c r="GB683" s="104"/>
      <c r="GE683" s="94"/>
      <c r="GF683" s="104">
        <f t="shared" si="295"/>
        <v>2015</v>
      </c>
      <c r="GG683" s="104">
        <f t="shared" si="296"/>
        <v>34</v>
      </c>
      <c r="GH683" s="35">
        <v>42233</v>
      </c>
      <c r="GI683" s="26">
        <v>2.18</v>
      </c>
      <c r="GJ683" s="94">
        <f t="shared" si="297"/>
        <v>4.36</v>
      </c>
      <c r="GK683" s="104"/>
      <c r="GL683" s="104"/>
      <c r="GO683" s="94"/>
    </row>
    <row r="684" spans="3:197">
      <c r="C684" s="80" t="str" cm="1">
        <f t="array" ref="C684">_xlfn.IFS(MONTH(D684)&lt;4,1,MONTH(D684)&lt;7,2,MONTH(D684)&lt;10,3,MONTH(D684)&gt;9,4)&amp;"Q"&amp;RIGHT(YEAR(D684),2)</f>
        <v>4Q18</v>
      </c>
      <c r="D684" s="81">
        <f t="shared" si="304"/>
        <v>43404</v>
      </c>
      <c r="E684" s="82">
        <f t="shared" si="301"/>
        <v>43382</v>
      </c>
      <c r="F684" s="83">
        <f t="shared" si="303"/>
        <v>0.8985</v>
      </c>
      <c r="G684" s="83">
        <f t="shared" si="303"/>
        <v>0.91375</v>
      </c>
      <c r="H684" s="81"/>
      <c r="I684" s="146">
        <v>43382</v>
      </c>
      <c r="J684" s="147">
        <v>7.9</v>
      </c>
      <c r="K684" s="147">
        <v>6.35</v>
      </c>
      <c r="L684" s="147">
        <v>7.188</v>
      </c>
      <c r="M684" s="94" cm="1">
        <f t="array" ref="M684">INDEX($BV$29:$BV$1449,MATCH($D684,$BR$29:$BR$1449,0),)</f>
        <v>7.31</v>
      </c>
      <c r="N684" s="150">
        <f t="shared" si="300"/>
        <v>-0.00166666666666671</v>
      </c>
      <c r="O684" s="150">
        <f t="shared" si="302"/>
        <v>-0.00222098833981121</v>
      </c>
      <c r="P684" s="150">
        <f t="shared" si="298"/>
        <v>-0.0219077425500068</v>
      </c>
      <c r="Q684" s="89">
        <f t="shared" si="299"/>
        <v>-0.0166894664842681</v>
      </c>
      <c r="AH684" s="90"/>
      <c r="AI684" s="85"/>
      <c r="AJ684" s="36"/>
      <c r="AK684" s="36"/>
      <c r="AL684" s="36"/>
      <c r="AM684" s="36"/>
      <c r="AN684" s="36"/>
      <c r="AO684" s="36"/>
      <c r="AP684" s="36"/>
      <c r="FV684" s="104">
        <f t="shared" si="292"/>
        <v>2013</v>
      </c>
      <c r="FW684" s="104">
        <f t="shared" si="293"/>
        <v>6</v>
      </c>
      <c r="FX684" s="35">
        <v>41313</v>
      </c>
      <c r="FY684" s="26">
        <v>1.3</v>
      </c>
      <c r="FZ684" s="94">
        <f t="shared" si="294"/>
        <v>5.2</v>
      </c>
      <c r="GA684" s="104"/>
      <c r="GB684" s="104"/>
      <c r="GE684" s="94"/>
      <c r="GF684" s="104">
        <f t="shared" si="295"/>
        <v>2015</v>
      </c>
      <c r="GG684" s="104">
        <f t="shared" si="296"/>
        <v>34</v>
      </c>
      <c r="GH684" s="35">
        <v>42234</v>
      </c>
      <c r="GI684" s="26">
        <v>2.17</v>
      </c>
      <c r="GJ684" s="94">
        <f t="shared" si="297"/>
        <v>4.34</v>
      </c>
      <c r="GK684" s="104"/>
      <c r="GL684" s="104"/>
      <c r="GO684" s="94"/>
    </row>
    <row r="685" spans="3:197">
      <c r="C685" s="80" t="str" cm="1">
        <f t="array" ref="C685">_xlfn.IFS(MONTH(D685)&lt;4,1,MONTH(D685)&lt;7,2,MONTH(D685)&lt;10,3,MONTH(D685)&gt;9,4)&amp;"Q"&amp;RIGHT(YEAR(D685),2)</f>
        <v>4Q18</v>
      </c>
      <c r="D685" s="81">
        <f t="shared" si="304"/>
        <v>43404</v>
      </c>
      <c r="E685" s="82">
        <f t="shared" si="301"/>
        <v>43383</v>
      </c>
      <c r="F685" s="83">
        <f t="shared" si="303"/>
        <v>0.89775</v>
      </c>
      <c r="G685" s="83">
        <f t="shared" si="303"/>
        <v>0.91375</v>
      </c>
      <c r="H685" s="81"/>
      <c r="I685" s="146">
        <v>43383</v>
      </c>
      <c r="J685" s="147">
        <v>7.9</v>
      </c>
      <c r="K685" s="147">
        <v>6.35</v>
      </c>
      <c r="L685" s="147">
        <v>7.182</v>
      </c>
      <c r="M685" s="94" cm="1">
        <f t="array" ref="M685">INDEX($BV$29:$BV$1449,MATCH($D685,$BR$29:$BR$1449,0),)</f>
        <v>7.31</v>
      </c>
      <c r="N685" s="150">
        <f t="shared" si="300"/>
        <v>-0.000834724540901388</v>
      </c>
      <c r="O685" s="150">
        <f t="shared" si="302"/>
        <v>-0.00249999999999995</v>
      </c>
      <c r="P685" s="150">
        <f t="shared" si="298"/>
        <v>-0.0216591744993869</v>
      </c>
      <c r="Q685" s="89">
        <f t="shared" si="299"/>
        <v>-0.0175102599179205</v>
      </c>
      <c r="AH685" s="90"/>
      <c r="AI685" s="85"/>
      <c r="AJ685" s="36"/>
      <c r="AK685" s="36"/>
      <c r="AL685" s="36"/>
      <c r="AM685" s="36"/>
      <c r="AN685" s="36"/>
      <c r="AO685" s="36"/>
      <c r="AP685" s="36"/>
      <c r="FV685" s="104">
        <f t="shared" si="292"/>
        <v>2013</v>
      </c>
      <c r="FW685" s="104">
        <f t="shared" si="293"/>
        <v>8</v>
      </c>
      <c r="FX685" s="35">
        <v>41323</v>
      </c>
      <c r="FY685" s="26">
        <v>1.3</v>
      </c>
      <c r="FZ685" s="94">
        <f t="shared" si="294"/>
        <v>5.2</v>
      </c>
      <c r="GA685" s="104"/>
      <c r="GB685" s="104"/>
      <c r="GE685" s="94"/>
      <c r="GF685" s="104">
        <f t="shared" si="295"/>
        <v>2015</v>
      </c>
      <c r="GG685" s="104">
        <f t="shared" si="296"/>
        <v>34</v>
      </c>
      <c r="GH685" s="35">
        <v>42235</v>
      </c>
      <c r="GI685" s="26">
        <v>2.17</v>
      </c>
      <c r="GJ685" s="94">
        <f t="shared" si="297"/>
        <v>4.34</v>
      </c>
      <c r="GK685" s="104"/>
      <c r="GL685" s="104"/>
      <c r="GO685" s="94"/>
    </row>
    <row r="686" spans="3:197">
      <c r="C686" s="80" t="str" cm="1">
        <f t="array" ref="C686">_xlfn.IFS(MONTH(D686)&lt;4,1,MONTH(D686)&lt;7,2,MONTH(D686)&lt;10,3,MONTH(D686)&gt;9,4)&amp;"Q"&amp;RIGHT(YEAR(D686),2)</f>
        <v>4Q18</v>
      </c>
      <c r="D686" s="81">
        <f t="shared" si="304"/>
        <v>43404</v>
      </c>
      <c r="E686" s="82">
        <f t="shared" si="301"/>
        <v>43384</v>
      </c>
      <c r="F686" s="83">
        <f t="shared" si="303"/>
        <v>0.89375</v>
      </c>
      <c r="G686" s="83">
        <f t="shared" si="303"/>
        <v>0.91375</v>
      </c>
      <c r="H686" s="81"/>
      <c r="I686" s="146">
        <v>43384</v>
      </c>
      <c r="J686" s="147">
        <v>7.9</v>
      </c>
      <c r="K686" s="147">
        <v>6.35</v>
      </c>
      <c r="L686" s="147">
        <v>7.15</v>
      </c>
      <c r="M686" s="94" cm="1">
        <f t="array" ref="M686">INDEX($BV$29:$BV$1449,MATCH($D686,$BR$29:$BR$1449,0),)</f>
        <v>7.31</v>
      </c>
      <c r="N686" s="150">
        <f t="shared" si="300"/>
        <v>-0.00445558340295182</v>
      </c>
      <c r="O686" s="150">
        <f t="shared" si="302"/>
        <v>-0.00694444444444442</v>
      </c>
      <c r="P686" s="150">
        <f t="shared" si="298"/>
        <v>-0.0165061898211828</v>
      </c>
      <c r="Q686" s="89">
        <f t="shared" si="299"/>
        <v>-0.0218878248974007</v>
      </c>
      <c r="AH686" s="90"/>
      <c r="AI686" s="85"/>
      <c r="AJ686" s="36"/>
      <c r="AK686" s="36"/>
      <c r="AL686" s="36"/>
      <c r="AM686" s="36"/>
      <c r="AN686" s="36"/>
      <c r="AO686" s="36"/>
      <c r="AP686" s="36"/>
      <c r="FV686" s="104">
        <f t="shared" si="292"/>
        <v>2013</v>
      </c>
      <c r="FW686" s="104">
        <f t="shared" si="293"/>
        <v>8</v>
      </c>
      <c r="FX686" s="35">
        <v>41324</v>
      </c>
      <c r="FY686" s="26">
        <v>1.312</v>
      </c>
      <c r="FZ686" s="94">
        <f t="shared" si="294"/>
        <v>5.248</v>
      </c>
      <c r="GA686" s="104"/>
      <c r="GB686" s="104"/>
      <c r="GE686" s="94"/>
      <c r="GF686" s="104">
        <f t="shared" si="295"/>
        <v>2015</v>
      </c>
      <c r="GG686" s="104">
        <f t="shared" si="296"/>
        <v>34</v>
      </c>
      <c r="GH686" s="35">
        <v>42236</v>
      </c>
      <c r="GI686" s="26">
        <v>2.17</v>
      </c>
      <c r="GJ686" s="94">
        <f t="shared" si="297"/>
        <v>4.34</v>
      </c>
      <c r="GK686" s="104"/>
      <c r="GL686" s="104"/>
      <c r="GO686" s="94"/>
    </row>
    <row r="687" spans="3:197">
      <c r="C687" s="80" t="str" cm="1">
        <f t="array" ref="C687">_xlfn.IFS(MONTH(D687)&lt;4,1,MONTH(D687)&lt;7,2,MONTH(D687)&lt;10,3,MONTH(D687)&gt;9,4)&amp;"Q"&amp;RIGHT(YEAR(D687),2)</f>
        <v>4Q18</v>
      </c>
      <c r="D687" s="81">
        <f t="shared" si="304"/>
        <v>43404</v>
      </c>
      <c r="E687" s="82">
        <f t="shared" si="301"/>
        <v>43385</v>
      </c>
      <c r="F687" s="83">
        <f t="shared" si="303"/>
        <v>0.89075</v>
      </c>
      <c r="G687" s="83">
        <f t="shared" si="303"/>
        <v>0.91375</v>
      </c>
      <c r="H687" s="81"/>
      <c r="I687" s="146">
        <v>43385</v>
      </c>
      <c r="J687" s="147">
        <v>7.9</v>
      </c>
      <c r="K687" s="147">
        <v>6.35</v>
      </c>
      <c r="L687" s="147">
        <v>7.126</v>
      </c>
      <c r="M687" s="94" cm="1">
        <f t="array" ref="M687">INDEX($BV$29:$BV$1449,MATCH($D687,$BR$29:$BR$1449,0),)</f>
        <v>7.31</v>
      </c>
      <c r="N687" s="150">
        <f t="shared" si="300"/>
        <v>-0.00335664335664332</v>
      </c>
      <c r="O687" s="150">
        <f t="shared" si="302"/>
        <v>-0.0102777777777777</v>
      </c>
      <c r="P687" s="150">
        <f t="shared" si="298"/>
        <v>-0.0117875468034947</v>
      </c>
      <c r="Q687" s="89">
        <f t="shared" si="299"/>
        <v>-0.0251709986320109</v>
      </c>
      <c r="AH687" s="90"/>
      <c r="AI687" s="85"/>
      <c r="AJ687" s="36"/>
      <c r="AK687" s="36"/>
      <c r="AL687" s="36"/>
      <c r="AM687" s="36"/>
      <c r="AN687" s="36"/>
      <c r="AO687" s="36"/>
      <c r="AP687" s="36"/>
      <c r="FV687" s="104">
        <f t="shared" si="292"/>
        <v>2013</v>
      </c>
      <c r="FW687" s="104">
        <f t="shared" si="293"/>
        <v>8</v>
      </c>
      <c r="FX687" s="35">
        <v>41325</v>
      </c>
      <c r="FY687" s="26">
        <v>1.325</v>
      </c>
      <c r="FZ687" s="94">
        <f t="shared" si="294"/>
        <v>5.3</v>
      </c>
      <c r="GA687" s="104"/>
      <c r="GB687" s="104"/>
      <c r="GE687" s="94"/>
      <c r="GF687" s="104">
        <f t="shared" si="295"/>
        <v>2015</v>
      </c>
      <c r="GG687" s="104">
        <f t="shared" si="296"/>
        <v>34</v>
      </c>
      <c r="GH687" s="35">
        <v>42237</v>
      </c>
      <c r="GI687" s="26">
        <v>2.192</v>
      </c>
      <c r="GJ687" s="94">
        <f t="shared" si="297"/>
        <v>4.384</v>
      </c>
      <c r="GK687" s="104"/>
      <c r="GL687" s="104"/>
      <c r="GO687" s="94"/>
    </row>
    <row r="688" spans="3:197">
      <c r="C688" s="80" t="str" cm="1">
        <f t="array" ref="C688">_xlfn.IFS(MONTH(D688)&lt;4,1,MONTH(D688)&lt;7,2,MONTH(D688)&lt;10,3,MONTH(D688)&gt;9,4)&amp;"Q"&amp;RIGHT(YEAR(D688),2)</f>
        <v>4Q18</v>
      </c>
      <c r="D688" s="81">
        <f t="shared" si="304"/>
        <v>43404</v>
      </c>
      <c r="E688" s="82">
        <f t="shared" si="301"/>
        <v>43388</v>
      </c>
      <c r="F688" s="83">
        <f t="shared" si="303"/>
        <v>0.888875</v>
      </c>
      <c r="G688" s="83">
        <f t="shared" si="303"/>
        <v>0.91375</v>
      </c>
      <c r="H688" s="81"/>
      <c r="I688" s="146">
        <v>43388</v>
      </c>
      <c r="J688" s="147">
        <v>7.9</v>
      </c>
      <c r="K688" s="147">
        <v>6.35</v>
      </c>
      <c r="L688" s="147">
        <v>7.111</v>
      </c>
      <c r="M688" s="94" cm="1">
        <f t="array" ref="M688">INDEX($BV$29:$BV$1449,MATCH($D688,$BR$29:$BR$1449,0),)</f>
        <v>7.31</v>
      </c>
      <c r="N688" s="150">
        <f t="shared" si="300"/>
        <v>-0.00210496772382829</v>
      </c>
      <c r="O688" s="150">
        <f t="shared" si="302"/>
        <v>-0.0123611111111112</v>
      </c>
      <c r="P688" s="150">
        <f t="shared" si="298"/>
        <v>-0.0131834582292535</v>
      </c>
      <c r="Q688" s="89">
        <f t="shared" si="299"/>
        <v>-0.0272229822161423</v>
      </c>
      <c r="AH688" s="90"/>
      <c r="AI688" s="85"/>
      <c r="AJ688" s="36"/>
      <c r="AK688" s="36"/>
      <c r="AL688" s="36"/>
      <c r="AM688" s="36"/>
      <c r="AN688" s="36"/>
      <c r="AO688" s="36"/>
      <c r="AP688" s="36"/>
      <c r="FV688" s="104">
        <f t="shared" si="292"/>
        <v>2013</v>
      </c>
      <c r="FW688" s="104">
        <f t="shared" si="293"/>
        <v>8</v>
      </c>
      <c r="FX688" s="35">
        <v>41326</v>
      </c>
      <c r="FY688" s="26">
        <v>1.347</v>
      </c>
      <c r="FZ688" s="94">
        <f t="shared" si="294"/>
        <v>5.388</v>
      </c>
      <c r="GA688" s="104"/>
      <c r="GB688" s="104"/>
      <c r="GE688" s="94"/>
      <c r="GF688" s="104">
        <f t="shared" si="295"/>
        <v>2015</v>
      </c>
      <c r="GG688" s="104">
        <f t="shared" si="296"/>
        <v>35</v>
      </c>
      <c r="GH688" s="35">
        <v>42240</v>
      </c>
      <c r="GI688" s="26">
        <v>2.247</v>
      </c>
      <c r="GJ688" s="94">
        <f t="shared" si="297"/>
        <v>4.494</v>
      </c>
      <c r="GK688" s="104"/>
      <c r="GL688" s="104"/>
      <c r="GO688" s="94"/>
    </row>
    <row r="689" spans="3:197">
      <c r="C689" s="80" t="str" cm="1">
        <f t="array" ref="C689">_xlfn.IFS(MONTH(D689)&lt;4,1,MONTH(D689)&lt;7,2,MONTH(D689)&lt;10,3,MONTH(D689)&gt;9,4)&amp;"Q"&amp;RIGHT(YEAR(D689),2)</f>
        <v>4Q18</v>
      </c>
      <c r="D689" s="81">
        <f t="shared" si="304"/>
        <v>43404</v>
      </c>
      <c r="E689" s="82">
        <f t="shared" si="301"/>
        <v>43389</v>
      </c>
      <c r="F689" s="83">
        <f t="shared" si="303"/>
        <v>0.887875</v>
      </c>
      <c r="G689" s="83">
        <f t="shared" si="303"/>
        <v>0.91375</v>
      </c>
      <c r="H689" s="81"/>
      <c r="I689" s="146">
        <v>43389</v>
      </c>
      <c r="J689" s="147">
        <v>7.9</v>
      </c>
      <c r="K689" s="147">
        <v>6.35</v>
      </c>
      <c r="L689" s="147">
        <v>7.103</v>
      </c>
      <c r="M689" s="94" cm="1">
        <f t="array" ref="M689">INDEX($BV$29:$BV$1449,MATCH($D689,$BR$29:$BR$1449,0),)</f>
        <v>7.31</v>
      </c>
      <c r="N689" s="150">
        <f t="shared" si="300"/>
        <v>-0.00112501757839967</v>
      </c>
      <c r="O689" s="150">
        <f t="shared" si="302"/>
        <v>-0.011825264329438</v>
      </c>
      <c r="P689" s="150">
        <f t="shared" si="298"/>
        <v>-0.0140199888950583</v>
      </c>
      <c r="Q689" s="89">
        <f t="shared" si="299"/>
        <v>-0.0283173734610123</v>
      </c>
      <c r="AH689" s="90"/>
      <c r="AI689" s="85"/>
      <c r="AJ689" s="36"/>
      <c r="AK689" s="36"/>
      <c r="AL689" s="36"/>
      <c r="AM689" s="36"/>
      <c r="AN689" s="36"/>
      <c r="AO689" s="36"/>
      <c r="AP689" s="36"/>
      <c r="FV689" s="104">
        <f t="shared" si="292"/>
        <v>2013</v>
      </c>
      <c r="FW689" s="104">
        <f t="shared" si="293"/>
        <v>8</v>
      </c>
      <c r="FX689" s="35">
        <v>41327</v>
      </c>
      <c r="FY689" s="26">
        <v>1.361</v>
      </c>
      <c r="FZ689" s="94">
        <f t="shared" si="294"/>
        <v>5.444</v>
      </c>
      <c r="GA689" s="104"/>
      <c r="GB689" s="104"/>
      <c r="GE689" s="94"/>
      <c r="GF689" s="104">
        <f t="shared" si="295"/>
        <v>2015</v>
      </c>
      <c r="GG689" s="104">
        <f t="shared" si="296"/>
        <v>35</v>
      </c>
      <c r="GH689" s="35">
        <v>42241</v>
      </c>
      <c r="GI689" s="26">
        <v>2.26</v>
      </c>
      <c r="GJ689" s="94">
        <f t="shared" si="297"/>
        <v>4.52</v>
      </c>
      <c r="GK689" s="104"/>
      <c r="GL689" s="104"/>
      <c r="GO689" s="94"/>
    </row>
    <row r="690" spans="3:197">
      <c r="C690" s="80" t="str" cm="1">
        <f t="array" ref="C690">_xlfn.IFS(MONTH(D690)&lt;4,1,MONTH(D690)&lt;7,2,MONTH(D690)&lt;10,3,MONTH(D690)&gt;9,4)&amp;"Q"&amp;RIGHT(YEAR(D690),2)</f>
        <v>4Q18</v>
      </c>
      <c r="D690" s="81">
        <f t="shared" si="304"/>
        <v>43404</v>
      </c>
      <c r="E690" s="82">
        <f t="shared" si="301"/>
        <v>43390</v>
      </c>
      <c r="F690" s="83">
        <f t="shared" si="303"/>
        <v>0.883875</v>
      </c>
      <c r="G690" s="83">
        <f t="shared" si="303"/>
        <v>0.91375</v>
      </c>
      <c r="H690" s="81"/>
      <c r="I690" s="146">
        <v>43390</v>
      </c>
      <c r="J690" s="147">
        <v>7.8</v>
      </c>
      <c r="K690" s="147">
        <v>6.35</v>
      </c>
      <c r="L690" s="147">
        <v>7.071</v>
      </c>
      <c r="M690" s="94" cm="1">
        <f t="array" ref="M690">INDEX($BV$29:$BV$1449,MATCH($D690,$BR$29:$BR$1449,0),)</f>
        <v>7.31</v>
      </c>
      <c r="N690" s="150">
        <f t="shared" si="300"/>
        <v>-0.00450513867379976</v>
      </c>
      <c r="O690" s="150">
        <f t="shared" si="302"/>
        <v>-0.0154553049289893</v>
      </c>
      <c r="P690" s="150">
        <f t="shared" si="298"/>
        <v>-0.0179166666666667</v>
      </c>
      <c r="Q690" s="89">
        <f t="shared" si="299"/>
        <v>-0.0326949384404924</v>
      </c>
      <c r="AH690" s="90"/>
      <c r="AI690" s="85"/>
      <c r="AJ690" s="36"/>
      <c r="AK690" s="36"/>
      <c r="AL690" s="36"/>
      <c r="AM690" s="36"/>
      <c r="AN690" s="36"/>
      <c r="AO690" s="36"/>
      <c r="AP690" s="36"/>
      <c r="FV690" s="104">
        <f t="shared" si="292"/>
        <v>2013</v>
      </c>
      <c r="FW690" s="104">
        <f t="shared" si="293"/>
        <v>9</v>
      </c>
      <c r="FX690" s="35">
        <v>41330</v>
      </c>
      <c r="FY690" s="26">
        <v>1.37</v>
      </c>
      <c r="FZ690" s="94">
        <f t="shared" si="294"/>
        <v>5.48</v>
      </c>
      <c r="GA690" s="104"/>
      <c r="GB690" s="104"/>
      <c r="GE690" s="94"/>
      <c r="GF690" s="104">
        <f t="shared" si="295"/>
        <v>2015</v>
      </c>
      <c r="GG690" s="104">
        <f t="shared" si="296"/>
        <v>35</v>
      </c>
      <c r="GH690" s="35">
        <v>42242</v>
      </c>
      <c r="GI690" s="26">
        <v>2.263</v>
      </c>
      <c r="GJ690" s="94">
        <f t="shared" si="297"/>
        <v>4.526</v>
      </c>
      <c r="GK690" s="104"/>
      <c r="GL690" s="104"/>
      <c r="GO690" s="94"/>
    </row>
    <row r="691" spans="3:197">
      <c r="C691" s="80" t="str" cm="1">
        <f t="array" ref="C691">_xlfn.IFS(MONTH(D691)&lt;4,1,MONTH(D691)&lt;7,2,MONTH(D691)&lt;10,3,MONTH(D691)&gt;9,4)&amp;"Q"&amp;RIGHT(YEAR(D691),2)</f>
        <v>4Q18</v>
      </c>
      <c r="D691" s="81">
        <f t="shared" si="304"/>
        <v>43404</v>
      </c>
      <c r="E691" s="82">
        <f t="shared" si="301"/>
        <v>43391</v>
      </c>
      <c r="F691" s="83">
        <f t="shared" si="303"/>
        <v>0.882375</v>
      </c>
      <c r="G691" s="83">
        <f t="shared" si="303"/>
        <v>0.91375</v>
      </c>
      <c r="H691" s="81"/>
      <c r="I691" s="146">
        <v>43391</v>
      </c>
      <c r="J691" s="147">
        <v>7.8</v>
      </c>
      <c r="K691" s="147">
        <v>6.35</v>
      </c>
      <c r="L691" s="147">
        <v>7.059</v>
      </c>
      <c r="M691" s="94" cm="1">
        <f t="array" ref="M691">INDEX($BV$29:$BV$1449,MATCH($D691,$BR$29:$BR$1449,0),)</f>
        <v>7.31</v>
      </c>
      <c r="N691" s="150">
        <f t="shared" si="300"/>
        <v>-0.00169707254985141</v>
      </c>
      <c r="O691" s="150">
        <f t="shared" si="302"/>
        <v>-0.0127272727272727</v>
      </c>
      <c r="P691" s="150">
        <f t="shared" si="298"/>
        <v>-0.0195833333333333</v>
      </c>
      <c r="Q691" s="89">
        <f t="shared" si="299"/>
        <v>-0.0343365253077975</v>
      </c>
      <c r="AH691" s="90"/>
      <c r="AI691" s="85"/>
      <c r="AJ691" s="36"/>
      <c r="AK691" s="36"/>
      <c r="AL691" s="36"/>
      <c r="AM691" s="36"/>
      <c r="AN691" s="36"/>
      <c r="AO691" s="36"/>
      <c r="AP691" s="36"/>
      <c r="FV691" s="104">
        <f t="shared" si="292"/>
        <v>2013</v>
      </c>
      <c r="FW691" s="104">
        <f t="shared" si="293"/>
        <v>9</v>
      </c>
      <c r="FX691" s="35">
        <v>41331</v>
      </c>
      <c r="FY691" s="26">
        <v>1.388</v>
      </c>
      <c r="FZ691" s="94">
        <f t="shared" si="294"/>
        <v>5.552</v>
      </c>
      <c r="GA691" s="104"/>
      <c r="GB691" s="104"/>
      <c r="GE691" s="94"/>
      <c r="GF691" s="104">
        <f t="shared" si="295"/>
        <v>2015</v>
      </c>
      <c r="GG691" s="104">
        <f t="shared" si="296"/>
        <v>35</v>
      </c>
      <c r="GH691" s="35">
        <v>42243</v>
      </c>
      <c r="GI691" s="26">
        <v>2.292</v>
      </c>
      <c r="GJ691" s="94">
        <f t="shared" si="297"/>
        <v>4.584</v>
      </c>
      <c r="GK691" s="104"/>
      <c r="GL691" s="104"/>
      <c r="GO691" s="94"/>
    </row>
    <row r="692" spans="3:197">
      <c r="C692" s="80" t="str" cm="1">
        <f t="array" ref="C692">_xlfn.IFS(MONTH(D692)&lt;4,1,MONTH(D692)&lt;7,2,MONTH(D692)&lt;10,3,MONTH(D692)&gt;9,4)&amp;"Q"&amp;RIGHT(YEAR(D692),2)</f>
        <v>4Q18</v>
      </c>
      <c r="D692" s="81">
        <f t="shared" si="304"/>
        <v>43404</v>
      </c>
      <c r="E692" s="82">
        <f t="shared" si="301"/>
        <v>43392</v>
      </c>
      <c r="F692" s="83">
        <f t="shared" si="303"/>
        <v>0.882375</v>
      </c>
      <c r="G692" s="83">
        <f t="shared" si="303"/>
        <v>0.91375</v>
      </c>
      <c r="H692" s="81"/>
      <c r="I692" s="146">
        <v>43392</v>
      </c>
      <c r="J692" s="147">
        <v>7.8</v>
      </c>
      <c r="K692" s="147">
        <v>6.35</v>
      </c>
      <c r="L692" s="147">
        <v>7.059</v>
      </c>
      <c r="M692" s="94" cm="1">
        <f t="array" ref="M692">INDEX($BV$29:$BV$1449,MATCH($D692,$BR$29:$BR$1449,0),)</f>
        <v>7.31</v>
      </c>
      <c r="N692" s="150">
        <f t="shared" si="300"/>
        <v>0</v>
      </c>
      <c r="O692" s="150">
        <f t="shared" si="302"/>
        <v>-0.00940218916643276</v>
      </c>
      <c r="P692" s="150">
        <f t="shared" si="298"/>
        <v>-0.0195833333333333</v>
      </c>
      <c r="Q692" s="89">
        <f t="shared" si="299"/>
        <v>-0.0343365253077975</v>
      </c>
      <c r="AH692" s="90"/>
      <c r="AI692" s="85"/>
      <c r="AJ692" s="36"/>
      <c r="AK692" s="36"/>
      <c r="AL692" s="36"/>
      <c r="AM692" s="36"/>
      <c r="AN692" s="36"/>
      <c r="AO692" s="36"/>
      <c r="AP692" s="36"/>
      <c r="FV692" s="104">
        <f t="shared" ref="FV692:FV755" si="305">YEAR(FX692)</f>
        <v>2013</v>
      </c>
      <c r="FW692" s="104">
        <f t="shared" ref="FW692:FW755" si="306">WEEKNUM(FX692)</f>
        <v>9</v>
      </c>
      <c r="FX692" s="35">
        <v>41332</v>
      </c>
      <c r="FY692" s="26">
        <v>1.39</v>
      </c>
      <c r="FZ692" s="94">
        <f t="shared" ref="FZ692:FZ755" si="307">FY692*4</f>
        <v>5.56</v>
      </c>
      <c r="GA692" s="104"/>
      <c r="GB692" s="104"/>
      <c r="GE692" s="94"/>
      <c r="GF692" s="104">
        <f t="shared" ref="GF692:GF755" si="308">YEAR(GH692)</f>
        <v>2015</v>
      </c>
      <c r="GG692" s="104">
        <f t="shared" ref="GG692:GG755" si="309">WEEKNUM(GH692)</f>
        <v>35</v>
      </c>
      <c r="GH692" s="35">
        <v>42244</v>
      </c>
      <c r="GI692" s="26">
        <v>2.266</v>
      </c>
      <c r="GJ692" s="94">
        <f t="shared" ref="GJ692:GJ755" si="310">GI692*2</f>
        <v>4.532</v>
      </c>
      <c r="GK692" s="104"/>
      <c r="GL692" s="104"/>
      <c r="GO692" s="94"/>
    </row>
    <row r="693" spans="3:197">
      <c r="C693" s="80" t="str" cm="1">
        <f t="array" ref="C693">_xlfn.IFS(MONTH(D693)&lt;4,1,MONTH(D693)&lt;7,2,MONTH(D693)&lt;10,3,MONTH(D693)&gt;9,4)&amp;"Q"&amp;RIGHT(YEAR(D693),2)</f>
        <v>4Q18</v>
      </c>
      <c r="D693" s="81">
        <f t="shared" si="304"/>
        <v>43404</v>
      </c>
      <c r="E693" s="82">
        <f t="shared" si="301"/>
        <v>43395</v>
      </c>
      <c r="F693" s="83">
        <f t="shared" si="303"/>
        <v>0.881875</v>
      </c>
      <c r="G693" s="83">
        <f t="shared" si="303"/>
        <v>0.91375</v>
      </c>
      <c r="H693" s="81"/>
      <c r="I693" s="146">
        <v>43395</v>
      </c>
      <c r="J693" s="147">
        <v>7.8</v>
      </c>
      <c r="K693" s="147">
        <v>6.35</v>
      </c>
      <c r="L693" s="147">
        <v>7.055</v>
      </c>
      <c r="M693" s="94" cm="1">
        <f t="array" ref="M693">INDEX($BV$29:$BV$1449,MATCH($D693,$BR$29:$BR$1449,0),)</f>
        <v>7.31</v>
      </c>
      <c r="N693" s="150">
        <f t="shared" si="300"/>
        <v>-0.000566652500354259</v>
      </c>
      <c r="O693" s="150">
        <f t="shared" si="302"/>
        <v>-0.00787512304879767</v>
      </c>
      <c r="P693" s="150">
        <f t="shared" si="298"/>
        <v>-0.0201388888888889</v>
      </c>
      <c r="Q693" s="89">
        <f t="shared" si="299"/>
        <v>-0.0348837209302325</v>
      </c>
      <c r="AH693" s="90"/>
      <c r="AI693" s="85"/>
      <c r="AJ693" s="36"/>
      <c r="AK693" s="36"/>
      <c r="AL693" s="36"/>
      <c r="AM693" s="36"/>
      <c r="AN693" s="36"/>
      <c r="AO693" s="36"/>
      <c r="AP693" s="36"/>
      <c r="FV693" s="104">
        <f t="shared" si="305"/>
        <v>2013</v>
      </c>
      <c r="FW693" s="104">
        <f t="shared" si="306"/>
        <v>9</v>
      </c>
      <c r="FX693" s="35">
        <v>41333</v>
      </c>
      <c r="FY693" s="26">
        <v>1.395</v>
      </c>
      <c r="FZ693" s="94">
        <f t="shared" si="307"/>
        <v>5.58</v>
      </c>
      <c r="GA693" s="104"/>
      <c r="GB693" s="104"/>
      <c r="GE693" s="94"/>
      <c r="GF693" s="104">
        <f t="shared" si="308"/>
        <v>2015</v>
      </c>
      <c r="GG693" s="104">
        <f t="shared" si="309"/>
        <v>36</v>
      </c>
      <c r="GH693" s="35">
        <v>42247</v>
      </c>
      <c r="GI693" s="26">
        <v>2.256</v>
      </c>
      <c r="GJ693" s="94">
        <f t="shared" si="310"/>
        <v>4.512</v>
      </c>
      <c r="GK693" s="104"/>
      <c r="GL693" s="104"/>
      <c r="GO693" s="94"/>
    </row>
    <row r="694" spans="3:197">
      <c r="C694" s="80" t="str" cm="1">
        <f t="array" ref="C694">_xlfn.IFS(MONTH(D694)&lt;4,1,MONTH(D694)&lt;7,2,MONTH(D694)&lt;10,3,MONTH(D694)&gt;9,4)&amp;"Q"&amp;RIGHT(YEAR(D694),2)</f>
        <v>4Q18</v>
      </c>
      <c r="D694" s="81">
        <f t="shared" si="304"/>
        <v>43404</v>
      </c>
      <c r="E694" s="82">
        <f t="shared" si="301"/>
        <v>43396</v>
      </c>
      <c r="F694" s="83">
        <f t="shared" si="303"/>
        <v>0.881875</v>
      </c>
      <c r="G694" s="83">
        <f t="shared" si="303"/>
        <v>0.91375</v>
      </c>
      <c r="H694" s="81"/>
      <c r="I694" s="146">
        <v>43396</v>
      </c>
      <c r="J694" s="147">
        <v>7.8</v>
      </c>
      <c r="K694" s="147">
        <v>6.35</v>
      </c>
      <c r="L694" s="147">
        <v>7.055</v>
      </c>
      <c r="M694" s="94" cm="1">
        <f t="array" ref="M694">INDEX($BV$29:$BV$1449,MATCH($D694,$BR$29:$BR$1449,0),)</f>
        <v>7.31</v>
      </c>
      <c r="N694" s="150">
        <f t="shared" si="300"/>
        <v>0</v>
      </c>
      <c r="O694" s="150">
        <f t="shared" si="302"/>
        <v>-0.00675770801069975</v>
      </c>
      <c r="P694" s="150">
        <f t="shared" si="298"/>
        <v>-0.01850306065665</v>
      </c>
      <c r="Q694" s="89">
        <f t="shared" si="299"/>
        <v>-0.0348837209302325</v>
      </c>
      <c r="AH694" s="90"/>
      <c r="AI694" s="85"/>
      <c r="AJ694" s="36"/>
      <c r="AK694" s="36"/>
      <c r="AL694" s="36"/>
      <c r="AM694" s="36"/>
      <c r="AN694" s="36"/>
      <c r="AO694" s="36"/>
      <c r="AP694" s="36"/>
      <c r="FV694" s="104">
        <f t="shared" si="305"/>
        <v>2013</v>
      </c>
      <c r="FW694" s="104">
        <f t="shared" si="306"/>
        <v>9</v>
      </c>
      <c r="FX694" s="35">
        <v>41334</v>
      </c>
      <c r="FY694" s="26">
        <v>1.417</v>
      </c>
      <c r="FZ694" s="94">
        <f t="shared" si="307"/>
        <v>5.668</v>
      </c>
      <c r="GA694" s="104"/>
      <c r="GB694" s="104"/>
      <c r="GE694" s="94"/>
      <c r="GF694" s="104">
        <f t="shared" si="308"/>
        <v>2015</v>
      </c>
      <c r="GG694" s="104">
        <f t="shared" si="309"/>
        <v>36</v>
      </c>
      <c r="GH694" s="35">
        <v>42248</v>
      </c>
      <c r="GI694" s="26">
        <v>2.254</v>
      </c>
      <c r="GJ694" s="94">
        <f t="shared" si="310"/>
        <v>4.508</v>
      </c>
      <c r="GK694" s="104"/>
      <c r="GL694" s="104"/>
      <c r="GO694" s="94"/>
    </row>
    <row r="695" spans="3:197">
      <c r="C695" s="80" t="str" cm="1">
        <f t="array" ref="C695">_xlfn.IFS(MONTH(D695)&lt;4,1,MONTH(D695)&lt;7,2,MONTH(D695)&lt;10,3,MONTH(D695)&gt;9,4)&amp;"Q"&amp;RIGHT(YEAR(D695),2)</f>
        <v>4Q18</v>
      </c>
      <c r="D695" s="81">
        <f t="shared" si="304"/>
        <v>43404</v>
      </c>
      <c r="E695" s="82">
        <f t="shared" si="301"/>
        <v>43397</v>
      </c>
      <c r="F695" s="83">
        <f t="shared" si="303"/>
        <v>0.871625</v>
      </c>
      <c r="G695" s="83">
        <f t="shared" si="303"/>
        <v>0.91375</v>
      </c>
      <c r="H695" s="81"/>
      <c r="I695" s="146">
        <v>43397</v>
      </c>
      <c r="J695" s="147">
        <v>7.8</v>
      </c>
      <c r="K695" s="147">
        <v>6</v>
      </c>
      <c r="L695" s="147">
        <v>6.973</v>
      </c>
      <c r="M695" s="94" cm="1">
        <f t="array" ref="M695">INDEX($BV$29:$BV$1449,MATCH($D695,$BR$29:$BR$1449,0),)</f>
        <v>7.31</v>
      </c>
      <c r="N695" s="150">
        <f t="shared" si="300"/>
        <v>-0.0116229624379872</v>
      </c>
      <c r="O695" s="150">
        <f t="shared" si="302"/>
        <v>-0.0138594258237873</v>
      </c>
      <c r="P695" s="150">
        <f t="shared" si="298"/>
        <v>-0.0291005291005292</v>
      </c>
      <c r="Q695" s="89">
        <f t="shared" si="299"/>
        <v>-0.0461012311901504</v>
      </c>
      <c r="AH695" s="90"/>
      <c r="AI695" s="85"/>
      <c r="AJ695" s="36"/>
      <c r="AK695" s="36"/>
      <c r="AL695" s="36"/>
      <c r="AM695" s="36"/>
      <c r="AN695" s="36"/>
      <c r="AO695" s="36"/>
      <c r="AP695" s="36"/>
      <c r="FV695" s="104">
        <f t="shared" si="305"/>
        <v>2013</v>
      </c>
      <c r="FW695" s="104">
        <f t="shared" si="306"/>
        <v>10</v>
      </c>
      <c r="FX695" s="35">
        <v>41337</v>
      </c>
      <c r="FY695" s="26">
        <v>1.497</v>
      </c>
      <c r="FZ695" s="94">
        <f t="shared" si="307"/>
        <v>5.988</v>
      </c>
      <c r="GA695" s="104"/>
      <c r="GB695" s="104"/>
      <c r="GE695" s="94"/>
      <c r="GF695" s="104">
        <f t="shared" si="308"/>
        <v>2015</v>
      </c>
      <c r="GG695" s="104">
        <f t="shared" si="309"/>
        <v>36</v>
      </c>
      <c r="GH695" s="35">
        <v>42249</v>
      </c>
      <c r="GI695" s="26">
        <v>2.254</v>
      </c>
      <c r="GJ695" s="94">
        <f t="shared" si="310"/>
        <v>4.508</v>
      </c>
      <c r="GK695" s="104"/>
      <c r="GL695" s="104"/>
      <c r="GO695" s="94"/>
    </row>
    <row r="696" spans="3:197">
      <c r="C696" s="80" t="str" cm="1">
        <f t="array" ref="C696">_xlfn.IFS(MONTH(D696)&lt;4,1,MONTH(D696)&lt;7,2,MONTH(D696)&lt;10,3,MONTH(D696)&gt;9,4)&amp;"Q"&amp;RIGHT(YEAR(D696),2)</f>
        <v>4Q18</v>
      </c>
      <c r="D696" s="81">
        <f t="shared" si="304"/>
        <v>43404</v>
      </c>
      <c r="E696" s="82">
        <f t="shared" si="301"/>
        <v>43398</v>
      </c>
      <c r="F696" s="83">
        <f t="shared" si="303"/>
        <v>0.871125</v>
      </c>
      <c r="G696" s="83">
        <f t="shared" si="303"/>
        <v>0.91375</v>
      </c>
      <c r="H696" s="81"/>
      <c r="I696" s="146">
        <v>43398</v>
      </c>
      <c r="J696" s="147">
        <v>7.8</v>
      </c>
      <c r="K696" s="147">
        <v>6</v>
      </c>
      <c r="L696" s="147">
        <v>6.969</v>
      </c>
      <c r="M696" s="94" cm="1">
        <f t="array" ref="M696">INDEX($BV$29:$BV$1449,MATCH($D696,$BR$29:$BR$1449,0),)</f>
        <v>7.31</v>
      </c>
      <c r="N696" s="150">
        <f t="shared" si="300"/>
        <v>-0.000573641187437191</v>
      </c>
      <c r="O696" s="150">
        <f t="shared" si="302"/>
        <v>-0.0127496812579685</v>
      </c>
      <c r="P696" s="150">
        <f t="shared" si="298"/>
        <v>-0.0253146853146853</v>
      </c>
      <c r="Q696" s="89">
        <f t="shared" si="299"/>
        <v>-0.0466484268125854</v>
      </c>
      <c r="AH696" s="90"/>
      <c r="AI696" s="85"/>
      <c r="AJ696" s="36"/>
      <c r="AK696" s="36"/>
      <c r="AL696" s="36"/>
      <c r="AM696" s="36"/>
      <c r="AN696" s="36"/>
      <c r="AO696" s="36"/>
      <c r="AP696" s="36"/>
      <c r="FV696" s="104">
        <f t="shared" si="305"/>
        <v>2013</v>
      </c>
      <c r="FW696" s="104">
        <f t="shared" si="306"/>
        <v>10</v>
      </c>
      <c r="FX696" s="35">
        <v>41338</v>
      </c>
      <c r="FY696" s="26">
        <v>1.59</v>
      </c>
      <c r="FZ696" s="94">
        <f t="shared" si="307"/>
        <v>6.36</v>
      </c>
      <c r="GA696" s="104"/>
      <c r="GB696" s="104"/>
      <c r="GE696" s="94"/>
      <c r="GF696" s="104">
        <f t="shared" si="308"/>
        <v>2015</v>
      </c>
      <c r="GG696" s="104">
        <f t="shared" si="309"/>
        <v>36</v>
      </c>
      <c r="GH696" s="35">
        <v>42250</v>
      </c>
      <c r="GI696" s="26">
        <v>2.243</v>
      </c>
      <c r="GJ696" s="94">
        <f t="shared" si="310"/>
        <v>4.486</v>
      </c>
      <c r="GK696" s="104"/>
      <c r="GL696" s="104"/>
      <c r="GO696" s="94"/>
    </row>
    <row r="697" spans="3:197">
      <c r="C697" s="80" t="str" cm="1">
        <f t="array" ref="C697">_xlfn.IFS(MONTH(D697)&lt;4,1,MONTH(D697)&lt;7,2,MONTH(D697)&lt;10,3,MONTH(D697)&gt;9,4)&amp;"Q"&amp;RIGHT(YEAR(D697),2)</f>
        <v>4Q18</v>
      </c>
      <c r="D697" s="81">
        <f t="shared" si="304"/>
        <v>43404</v>
      </c>
      <c r="E697" s="82">
        <f t="shared" si="301"/>
        <v>43399</v>
      </c>
      <c r="F697" s="83">
        <f t="shared" si="303"/>
        <v>0.870625</v>
      </c>
      <c r="G697" s="83">
        <f t="shared" si="303"/>
        <v>0.91375</v>
      </c>
      <c r="H697" s="81"/>
      <c r="I697" s="146">
        <v>43399</v>
      </c>
      <c r="J697" s="147">
        <v>7.7</v>
      </c>
      <c r="K697" s="147">
        <v>6</v>
      </c>
      <c r="L697" s="147">
        <v>6.965</v>
      </c>
      <c r="M697" s="94" cm="1">
        <f t="array" ref="M697">INDEX($BV$29:$BV$1449,MATCH($D697,$BR$29:$BR$1449,0),)</f>
        <v>7.31</v>
      </c>
      <c r="N697" s="150">
        <f t="shared" si="300"/>
        <v>-0.000573970440522431</v>
      </c>
      <c r="O697" s="150">
        <f t="shared" si="302"/>
        <v>-0.0133163337583228</v>
      </c>
      <c r="P697" s="150">
        <f t="shared" si="298"/>
        <v>-0.0225933202357564</v>
      </c>
      <c r="Q697" s="89">
        <f t="shared" si="299"/>
        <v>-0.0471956224350205</v>
      </c>
      <c r="AH697" s="90"/>
      <c r="AI697" s="85"/>
      <c r="AJ697" s="36"/>
      <c r="AK697" s="36"/>
      <c r="AL697" s="36"/>
      <c r="AM697" s="36"/>
      <c r="AN697" s="36"/>
      <c r="AO697" s="36"/>
      <c r="AP697" s="36"/>
      <c r="FV697" s="104">
        <f t="shared" si="305"/>
        <v>2013</v>
      </c>
      <c r="FW697" s="104">
        <f t="shared" si="306"/>
        <v>10</v>
      </c>
      <c r="FX697" s="35">
        <v>41339</v>
      </c>
      <c r="FY697" s="26">
        <v>1.633</v>
      </c>
      <c r="FZ697" s="94">
        <f t="shared" si="307"/>
        <v>6.532</v>
      </c>
      <c r="GA697" s="104"/>
      <c r="GB697" s="104"/>
      <c r="GE697" s="94"/>
      <c r="GF697" s="104">
        <f t="shared" si="308"/>
        <v>2015</v>
      </c>
      <c r="GG697" s="104">
        <f t="shared" si="309"/>
        <v>36</v>
      </c>
      <c r="GH697" s="35">
        <v>42251</v>
      </c>
      <c r="GI697" s="26">
        <v>2.238</v>
      </c>
      <c r="GJ697" s="94">
        <f t="shared" si="310"/>
        <v>4.476</v>
      </c>
      <c r="GK697" s="104"/>
      <c r="GL697" s="104"/>
      <c r="GO697" s="94"/>
    </row>
    <row r="698" spans="3:197">
      <c r="C698" s="80" t="str" cm="1">
        <f t="array" ref="C698">_xlfn.IFS(MONTH(D698)&lt;4,1,MONTH(D698)&lt;7,2,MONTH(D698)&lt;10,3,MONTH(D698)&gt;9,4)&amp;"Q"&amp;RIGHT(YEAR(D698),2)</f>
        <v>4Q18</v>
      </c>
      <c r="D698" s="81">
        <f t="shared" si="304"/>
        <v>43404</v>
      </c>
      <c r="E698" s="82">
        <f t="shared" si="301"/>
        <v>43402</v>
      </c>
      <c r="F698" s="83">
        <f t="shared" si="303"/>
        <v>0.870625</v>
      </c>
      <c r="G698" s="83">
        <f t="shared" si="303"/>
        <v>0.91375</v>
      </c>
      <c r="H698" s="81"/>
      <c r="I698" s="146">
        <v>43402</v>
      </c>
      <c r="J698" s="147">
        <v>7.7</v>
      </c>
      <c r="K698" s="147">
        <v>6</v>
      </c>
      <c r="L698" s="147">
        <v>6.965</v>
      </c>
      <c r="M698" s="94" cm="1">
        <f t="array" ref="M698">INDEX($BV$29:$BV$1449,MATCH($D698,$BR$29:$BR$1449,0),)</f>
        <v>7.31</v>
      </c>
      <c r="N698" s="150">
        <f t="shared" si="300"/>
        <v>0</v>
      </c>
      <c r="O698" s="150">
        <f t="shared" si="302"/>
        <v>-0.0127569099929128</v>
      </c>
      <c r="P698" s="150">
        <f t="shared" si="298"/>
        <v>-0.0205315708057938</v>
      </c>
      <c r="Q698" s="89">
        <f t="shared" si="299"/>
        <v>-0.0471956224350205</v>
      </c>
      <c r="AH698" s="90"/>
      <c r="AI698" s="85"/>
      <c r="AJ698" s="36"/>
      <c r="AK698" s="36"/>
      <c r="AL698" s="36"/>
      <c r="AM698" s="36"/>
      <c r="AN698" s="36"/>
      <c r="AO698" s="36"/>
      <c r="AP698" s="36"/>
      <c r="FV698" s="104">
        <f t="shared" si="305"/>
        <v>2013</v>
      </c>
      <c r="FW698" s="104">
        <f t="shared" si="306"/>
        <v>10</v>
      </c>
      <c r="FX698" s="35">
        <v>41340</v>
      </c>
      <c r="FY698" s="26">
        <v>1.668</v>
      </c>
      <c r="FZ698" s="94">
        <f t="shared" si="307"/>
        <v>6.672</v>
      </c>
      <c r="GA698" s="104"/>
      <c r="GB698" s="104"/>
      <c r="GE698" s="94"/>
      <c r="GF698" s="104">
        <f t="shared" si="308"/>
        <v>2015</v>
      </c>
      <c r="GG698" s="104">
        <f t="shared" si="309"/>
        <v>37</v>
      </c>
      <c r="GH698" s="35">
        <v>42254</v>
      </c>
      <c r="GI698" s="26">
        <v>2.226</v>
      </c>
      <c r="GJ698" s="94">
        <f t="shared" si="310"/>
        <v>4.452</v>
      </c>
      <c r="GK698" s="104"/>
      <c r="GL698" s="104"/>
      <c r="GO698" s="94"/>
    </row>
    <row r="699" spans="3:197">
      <c r="C699" s="80" t="str" cm="1">
        <f t="array" ref="C699">_xlfn.IFS(MONTH(D699)&lt;4,1,MONTH(D699)&lt;7,2,MONTH(D699)&lt;10,3,MONTH(D699)&gt;9,4)&amp;"Q"&amp;RIGHT(YEAR(D699),2)</f>
        <v>4Q18</v>
      </c>
      <c r="D699" s="81">
        <f t="shared" si="304"/>
        <v>43404</v>
      </c>
      <c r="E699" s="82">
        <f t="shared" si="301"/>
        <v>43403</v>
      </c>
      <c r="F699" s="83">
        <f t="shared" si="303"/>
        <v>0.86825</v>
      </c>
      <c r="G699" s="83">
        <f t="shared" si="303"/>
        <v>0.91375</v>
      </c>
      <c r="H699" s="81"/>
      <c r="I699" s="146">
        <v>43403</v>
      </c>
      <c r="J699" s="147">
        <v>7.7</v>
      </c>
      <c r="K699" s="147">
        <v>6</v>
      </c>
      <c r="L699" s="147">
        <v>6.946</v>
      </c>
      <c r="M699" s="94" cm="1">
        <f t="array" ref="M699">INDEX($BV$29:$BV$1449,MATCH($D699,$BR$29:$BR$1449,0),)</f>
        <v>7.31</v>
      </c>
      <c r="N699" s="150">
        <f t="shared" si="300"/>
        <v>-0.00272792534099064</v>
      </c>
      <c r="O699" s="150">
        <f t="shared" si="302"/>
        <v>-0.0154500354358611</v>
      </c>
      <c r="P699" s="150">
        <f t="shared" si="298"/>
        <v>-0.0221033366183303</v>
      </c>
      <c r="Q699" s="89">
        <f t="shared" si="299"/>
        <v>-0.0497948016415869</v>
      </c>
      <c r="AH699" s="90"/>
      <c r="AI699" s="85"/>
      <c r="AJ699" s="36"/>
      <c r="AK699" s="36"/>
      <c r="AL699" s="36"/>
      <c r="AM699" s="36"/>
      <c r="AN699" s="36"/>
      <c r="AO699" s="36"/>
      <c r="AP699" s="36"/>
      <c r="FV699" s="104">
        <f t="shared" si="305"/>
        <v>2013</v>
      </c>
      <c r="FW699" s="104">
        <f t="shared" si="306"/>
        <v>10</v>
      </c>
      <c r="FX699" s="35">
        <v>41341</v>
      </c>
      <c r="FY699" s="26">
        <v>1.741</v>
      </c>
      <c r="FZ699" s="94">
        <f t="shared" si="307"/>
        <v>6.964</v>
      </c>
      <c r="GA699" s="104"/>
      <c r="GB699" s="104"/>
      <c r="GE699" s="94"/>
      <c r="GF699" s="104">
        <f t="shared" si="308"/>
        <v>2015</v>
      </c>
      <c r="GG699" s="104">
        <f t="shared" si="309"/>
        <v>37</v>
      </c>
      <c r="GH699" s="35">
        <v>42255</v>
      </c>
      <c r="GI699" s="26">
        <v>2.217</v>
      </c>
      <c r="GJ699" s="94">
        <f t="shared" si="310"/>
        <v>4.434</v>
      </c>
      <c r="GK699" s="104"/>
      <c r="GL699" s="104"/>
      <c r="GO699" s="94"/>
    </row>
    <row r="700" spans="3:197">
      <c r="C700" s="80" t="str" cm="1">
        <f t="array" ref="C700">_xlfn.IFS(MONTH(D700)&lt;4,1,MONTH(D700)&lt;7,2,MONTH(D700)&lt;10,3,MONTH(D700)&gt;9,4)&amp;"Q"&amp;RIGHT(YEAR(D700),2)</f>
        <v>4Q18</v>
      </c>
      <c r="D700" s="81">
        <f t="shared" si="304"/>
        <v>43404</v>
      </c>
      <c r="E700" s="82">
        <f t="shared" si="301"/>
        <v>43404</v>
      </c>
      <c r="F700" s="83">
        <f t="shared" si="303"/>
        <v>0.866</v>
      </c>
      <c r="G700" s="83">
        <f t="shared" si="303"/>
        <v>0.91375</v>
      </c>
      <c r="H700" s="81"/>
      <c r="I700" s="146">
        <v>43404</v>
      </c>
      <c r="J700" s="147">
        <v>7.65</v>
      </c>
      <c r="K700" s="147">
        <v>6</v>
      </c>
      <c r="L700" s="147">
        <v>6.928</v>
      </c>
      <c r="M700" s="94" cm="1">
        <f t="array" ref="M700">INDEX($BV$29:$BV$1449,MATCH($D700,$BR$29:$BR$1449,0),)</f>
        <v>7.31</v>
      </c>
      <c r="N700" s="150">
        <f t="shared" si="300"/>
        <v>-0.00259141952202702</v>
      </c>
      <c r="O700" s="150">
        <f t="shared" si="302"/>
        <v>-0.00645346335866914</v>
      </c>
      <c r="P700" s="150">
        <f t="shared" si="298"/>
        <v>-0.0202234478857304</v>
      </c>
      <c r="Q700" s="89">
        <f t="shared" si="299"/>
        <v>-0.0522571819425445</v>
      </c>
      <c r="AH700" s="90"/>
      <c r="AI700" s="85"/>
      <c r="AJ700" s="36"/>
      <c r="AK700" s="36"/>
      <c r="AL700" s="36"/>
      <c r="AM700" s="36"/>
      <c r="AN700" s="36"/>
      <c r="AO700" s="36"/>
      <c r="AP700" s="36"/>
      <c r="FV700" s="104">
        <f t="shared" si="305"/>
        <v>2013</v>
      </c>
      <c r="FW700" s="104">
        <f t="shared" si="306"/>
        <v>11</v>
      </c>
      <c r="FX700" s="35">
        <v>41344</v>
      </c>
      <c r="FY700" s="26">
        <v>1.751</v>
      </c>
      <c r="FZ700" s="94">
        <f t="shared" si="307"/>
        <v>7.004</v>
      </c>
      <c r="GA700" s="104"/>
      <c r="GB700" s="104"/>
      <c r="GE700" s="94"/>
      <c r="GF700" s="104">
        <f t="shared" si="308"/>
        <v>2015</v>
      </c>
      <c r="GG700" s="104">
        <f t="shared" si="309"/>
        <v>37</v>
      </c>
      <c r="GH700" s="35">
        <v>42256</v>
      </c>
      <c r="GI700" s="26">
        <v>2.214</v>
      </c>
      <c r="GJ700" s="94">
        <f t="shared" si="310"/>
        <v>4.428</v>
      </c>
      <c r="GK700" s="104"/>
      <c r="GL700" s="104"/>
      <c r="GO700" s="94"/>
    </row>
    <row r="701" spans="3:197">
      <c r="C701" s="80" t="str" cm="1">
        <f t="array" ref="C701">_xlfn.IFS(MONTH(D701)&lt;4,1,MONTH(D701)&lt;7,2,MONTH(D701)&lt;10,3,MONTH(D701)&gt;9,4)&amp;"Q"&amp;RIGHT(YEAR(D701),2)</f>
        <v>4Q18</v>
      </c>
      <c r="D701" s="81">
        <f t="shared" si="304"/>
        <v>43434</v>
      </c>
      <c r="E701" s="82">
        <f t="shared" si="301"/>
        <v>43405</v>
      </c>
      <c r="F701" s="83">
        <f t="shared" si="303"/>
        <v>0.865</v>
      </c>
      <c r="G701" s="83">
        <f t="shared" si="303"/>
        <v>0.89875</v>
      </c>
      <c r="H701" s="81"/>
      <c r="I701" s="146">
        <v>43405</v>
      </c>
      <c r="J701" s="147">
        <v>7.65</v>
      </c>
      <c r="K701" s="147">
        <v>6</v>
      </c>
      <c r="L701" s="147">
        <v>6.92</v>
      </c>
      <c r="M701" s="94" cm="1">
        <f t="array" ref="M701">INDEX($BV$29:$BV$1449,MATCH($D701,$BR$29:$BR$1449,0),)</f>
        <v>7.19</v>
      </c>
      <c r="N701" s="150">
        <f t="shared" si="300"/>
        <v>-0.00115473441108549</v>
      </c>
      <c r="O701" s="150">
        <f t="shared" si="302"/>
        <v>-0.00703113789639842</v>
      </c>
      <c r="P701" s="150">
        <f t="shared" si="298"/>
        <v>-0.0196911743873071</v>
      </c>
      <c r="Q701" s="89">
        <f t="shared" si="299"/>
        <v>-0.0375521557719055</v>
      </c>
      <c r="AH701" s="90"/>
      <c r="AI701" s="85"/>
      <c r="AJ701" s="36"/>
      <c r="AK701" s="36"/>
      <c r="AL701" s="36"/>
      <c r="AM701" s="36"/>
      <c r="AN701" s="36"/>
      <c r="AO701" s="36"/>
      <c r="AP701" s="36"/>
      <c r="BT701" s="59">
        <f>M701/M700-1</f>
        <v>-0.0164158686730506</v>
      </c>
      <c r="FV701" s="104">
        <f t="shared" si="305"/>
        <v>2013</v>
      </c>
      <c r="FW701" s="104">
        <f t="shared" si="306"/>
        <v>11</v>
      </c>
      <c r="FX701" s="35">
        <v>41345</v>
      </c>
      <c r="FY701" s="26">
        <v>1.752</v>
      </c>
      <c r="FZ701" s="94">
        <f t="shared" si="307"/>
        <v>7.008</v>
      </c>
      <c r="GA701" s="104"/>
      <c r="GB701" s="104"/>
      <c r="GE701" s="94"/>
      <c r="GF701" s="104">
        <f t="shared" si="308"/>
        <v>2015</v>
      </c>
      <c r="GG701" s="104">
        <f t="shared" si="309"/>
        <v>37</v>
      </c>
      <c r="GH701" s="35">
        <v>42257</v>
      </c>
      <c r="GI701" s="26">
        <v>2.211</v>
      </c>
      <c r="GJ701" s="94">
        <f t="shared" si="310"/>
        <v>4.422</v>
      </c>
      <c r="GK701" s="104"/>
      <c r="GL701" s="104"/>
      <c r="GO701" s="94"/>
    </row>
    <row r="702" spans="3:197">
      <c r="C702" s="80" t="str" cm="1">
        <f t="array" ref="C702">_xlfn.IFS(MONTH(D702)&lt;4,1,MONTH(D702)&lt;7,2,MONTH(D702)&lt;10,3,MONTH(D702)&gt;9,4)&amp;"Q"&amp;RIGHT(YEAR(D702),2)</f>
        <v>4Q18</v>
      </c>
      <c r="D702" s="81">
        <f t="shared" si="304"/>
        <v>43434</v>
      </c>
      <c r="E702" s="82">
        <f t="shared" si="301"/>
        <v>43406</v>
      </c>
      <c r="F702" s="83">
        <f t="shared" si="303"/>
        <v>0.864125</v>
      </c>
      <c r="G702" s="83">
        <f t="shared" si="303"/>
        <v>0.89875</v>
      </c>
      <c r="H702" s="81"/>
      <c r="I702" s="146">
        <v>43406</v>
      </c>
      <c r="J702" s="147">
        <v>7.65</v>
      </c>
      <c r="K702" s="147">
        <v>6</v>
      </c>
      <c r="L702" s="147">
        <v>6.913</v>
      </c>
      <c r="M702" s="94" cm="1">
        <f t="array" ref="M702">INDEX($BV$29:$BV$1449,MATCH($D702,$BR$29:$BR$1449,0),)</f>
        <v>7.19</v>
      </c>
      <c r="N702" s="150">
        <f t="shared" si="300"/>
        <v>-0.00101156069364161</v>
      </c>
      <c r="O702" s="150">
        <f t="shared" si="302"/>
        <v>-0.00746590093323751</v>
      </c>
      <c r="P702" s="150">
        <f t="shared" si="298"/>
        <v>-0.0206828162629268</v>
      </c>
      <c r="Q702" s="89">
        <f t="shared" si="299"/>
        <v>-0.0385257301808067</v>
      </c>
      <c r="AH702" s="90"/>
      <c r="AI702" s="85"/>
      <c r="AJ702" s="36"/>
      <c r="AK702" s="36"/>
      <c r="AL702" s="36"/>
      <c r="AM702" s="36"/>
      <c r="AN702" s="36"/>
      <c r="AO702" s="36"/>
      <c r="AP702" s="36"/>
      <c r="FV702" s="104">
        <f t="shared" si="305"/>
        <v>2013</v>
      </c>
      <c r="FW702" s="104">
        <f t="shared" si="306"/>
        <v>11</v>
      </c>
      <c r="FX702" s="35">
        <v>41346</v>
      </c>
      <c r="FY702" s="26">
        <v>1.748</v>
      </c>
      <c r="FZ702" s="94">
        <f t="shared" si="307"/>
        <v>6.992</v>
      </c>
      <c r="GA702" s="104"/>
      <c r="GB702" s="104"/>
      <c r="GE702" s="94"/>
      <c r="GF702" s="104">
        <f t="shared" si="308"/>
        <v>2015</v>
      </c>
      <c r="GG702" s="104">
        <f t="shared" si="309"/>
        <v>37</v>
      </c>
      <c r="GH702" s="35">
        <v>42258</v>
      </c>
      <c r="GI702" s="26">
        <v>2.204</v>
      </c>
      <c r="GJ702" s="94">
        <f t="shared" si="310"/>
        <v>4.408</v>
      </c>
      <c r="GK702" s="104"/>
      <c r="GL702" s="104"/>
      <c r="GO702" s="94"/>
    </row>
    <row r="703" spans="3:197">
      <c r="C703" s="80" t="str" cm="1">
        <f t="array" ref="C703">_xlfn.IFS(MONTH(D703)&lt;4,1,MONTH(D703)&lt;7,2,MONTH(D703)&lt;10,3,MONTH(D703)&gt;9,4)&amp;"Q"&amp;RIGHT(YEAR(D703),2)</f>
        <v>4Q18</v>
      </c>
      <c r="D703" s="81">
        <f t="shared" si="304"/>
        <v>43434</v>
      </c>
      <c r="E703" s="82">
        <f t="shared" si="301"/>
        <v>43409</v>
      </c>
      <c r="F703" s="83">
        <f t="shared" si="303"/>
        <v>0.864125</v>
      </c>
      <c r="G703" s="83">
        <f t="shared" si="303"/>
        <v>0.89875</v>
      </c>
      <c r="H703" s="81"/>
      <c r="I703" s="146">
        <v>43409</v>
      </c>
      <c r="J703" s="147">
        <v>7.65</v>
      </c>
      <c r="K703" s="147">
        <v>6</v>
      </c>
      <c r="L703" s="147">
        <v>6.913</v>
      </c>
      <c r="M703" s="94" cm="1">
        <f t="array" ref="M703">INDEX($BV$29:$BV$1449,MATCH($D703,$BR$29:$BR$1449,0),)</f>
        <v>7.19</v>
      </c>
      <c r="N703" s="150">
        <f t="shared" si="300"/>
        <v>0</v>
      </c>
      <c r="O703" s="150">
        <f t="shared" si="302"/>
        <v>-0.00746590093323751</v>
      </c>
      <c r="P703" s="150">
        <f t="shared" si="298"/>
        <v>-0.0201275690999291</v>
      </c>
      <c r="Q703" s="89">
        <f t="shared" si="299"/>
        <v>-0.0385257301808067</v>
      </c>
      <c r="AH703" s="90"/>
      <c r="AI703" s="85"/>
      <c r="AJ703" s="36"/>
      <c r="AK703" s="36"/>
      <c r="AL703" s="36"/>
      <c r="AM703" s="36"/>
      <c r="AN703" s="36"/>
      <c r="AO703" s="36"/>
      <c r="AP703" s="36"/>
      <c r="FV703" s="104">
        <f t="shared" si="305"/>
        <v>2013</v>
      </c>
      <c r="FW703" s="104">
        <f t="shared" si="306"/>
        <v>11</v>
      </c>
      <c r="FX703" s="35">
        <v>41347</v>
      </c>
      <c r="FY703" s="26">
        <v>1.738</v>
      </c>
      <c r="FZ703" s="94">
        <f t="shared" si="307"/>
        <v>6.952</v>
      </c>
      <c r="GA703" s="104"/>
      <c r="GB703" s="104"/>
      <c r="GE703" s="94"/>
      <c r="GF703" s="104">
        <f t="shared" si="308"/>
        <v>2015</v>
      </c>
      <c r="GG703" s="104">
        <f t="shared" si="309"/>
        <v>38</v>
      </c>
      <c r="GH703" s="35">
        <v>42261</v>
      </c>
      <c r="GI703" s="26">
        <v>2.195</v>
      </c>
      <c r="GJ703" s="94">
        <f t="shared" si="310"/>
        <v>4.39</v>
      </c>
      <c r="GK703" s="104"/>
      <c r="GL703" s="104"/>
      <c r="GO703" s="94"/>
    </row>
    <row r="704" spans="3:197">
      <c r="C704" s="80" t="str" cm="1">
        <f t="array" ref="C704">_xlfn.IFS(MONTH(D704)&lt;4,1,MONTH(D704)&lt;7,2,MONTH(D704)&lt;10,3,MONTH(D704)&gt;9,4)&amp;"Q"&amp;RIGHT(YEAR(D704),2)</f>
        <v>4Q18</v>
      </c>
      <c r="D704" s="81">
        <f t="shared" si="304"/>
        <v>43434</v>
      </c>
      <c r="E704" s="82">
        <f t="shared" si="301"/>
        <v>43410</v>
      </c>
      <c r="F704" s="83">
        <f t="shared" si="303"/>
        <v>0.863625</v>
      </c>
      <c r="G704" s="83">
        <f t="shared" si="303"/>
        <v>0.89875</v>
      </c>
      <c r="H704" s="81"/>
      <c r="I704" s="146">
        <v>43410</v>
      </c>
      <c r="J704" s="147">
        <v>7.65</v>
      </c>
      <c r="K704" s="147">
        <v>6</v>
      </c>
      <c r="L704" s="147">
        <v>6.909</v>
      </c>
      <c r="M704" s="94" cm="1">
        <f t="array" ref="M704">INDEX($BV$29:$BV$1449,MATCH($D704,$BR$29:$BR$1449,0),)</f>
        <v>7.19</v>
      </c>
      <c r="N704" s="150">
        <f t="shared" si="300"/>
        <v>-0.000578619991320806</v>
      </c>
      <c r="O704" s="150">
        <f t="shared" si="302"/>
        <v>-0.00532680679527786</v>
      </c>
      <c r="P704" s="150">
        <f t="shared" ref="P704:P767" si="311">L704/L694-1</f>
        <v>-0.0206945428773919</v>
      </c>
      <c r="Q704" s="89">
        <f t="shared" si="299"/>
        <v>-0.0390820584144647</v>
      </c>
      <c r="AH704" s="90"/>
      <c r="AI704" s="85"/>
      <c r="AJ704" s="36"/>
      <c r="AK704" s="36"/>
      <c r="AL704" s="36"/>
      <c r="AM704" s="36"/>
      <c r="AN704" s="36"/>
      <c r="AO704" s="36"/>
      <c r="AP704" s="36"/>
      <c r="FV704" s="104">
        <f t="shared" si="305"/>
        <v>2013</v>
      </c>
      <c r="FW704" s="104">
        <f t="shared" si="306"/>
        <v>11</v>
      </c>
      <c r="FX704" s="35">
        <v>41348</v>
      </c>
      <c r="FY704" s="26">
        <v>1.736</v>
      </c>
      <c r="FZ704" s="94">
        <f t="shared" si="307"/>
        <v>6.944</v>
      </c>
      <c r="GA704" s="104"/>
      <c r="GB704" s="104"/>
      <c r="GE704" s="94"/>
      <c r="GF704" s="104">
        <f t="shared" si="308"/>
        <v>2015</v>
      </c>
      <c r="GG704" s="104">
        <f t="shared" si="309"/>
        <v>38</v>
      </c>
      <c r="GH704" s="35">
        <v>42262</v>
      </c>
      <c r="GI704" s="26">
        <v>2.185</v>
      </c>
      <c r="GJ704" s="94">
        <f t="shared" si="310"/>
        <v>4.37</v>
      </c>
      <c r="GK704" s="104"/>
      <c r="GL704" s="104"/>
      <c r="GO704" s="94"/>
    </row>
    <row r="705" spans="3:197">
      <c r="C705" s="80" t="str" cm="1">
        <f t="array" ref="C705">_xlfn.IFS(MONTH(D705)&lt;4,1,MONTH(D705)&lt;7,2,MONTH(D705)&lt;10,3,MONTH(D705)&gt;9,4)&amp;"Q"&amp;RIGHT(YEAR(D705),2)</f>
        <v>4Q18</v>
      </c>
      <c r="D705" s="81">
        <f t="shared" si="304"/>
        <v>43434</v>
      </c>
      <c r="E705" s="82">
        <f t="shared" si="301"/>
        <v>43411</v>
      </c>
      <c r="F705" s="83">
        <f t="shared" si="303"/>
        <v>0.8575</v>
      </c>
      <c r="G705" s="83">
        <f t="shared" si="303"/>
        <v>0.89875</v>
      </c>
      <c r="H705" s="81"/>
      <c r="I705" s="146">
        <v>43411</v>
      </c>
      <c r="J705" s="147">
        <v>7.5</v>
      </c>
      <c r="K705" s="147">
        <v>6</v>
      </c>
      <c r="L705" s="147">
        <v>6.86</v>
      </c>
      <c r="M705" s="94" cm="1">
        <f t="array" ref="M705">INDEX($BV$29:$BV$1449,MATCH($D705,$BR$29:$BR$1449,0),)</f>
        <v>7.19</v>
      </c>
      <c r="N705" s="150">
        <f t="shared" si="300"/>
        <v>-0.00709219858156018</v>
      </c>
      <c r="O705" s="150">
        <f t="shared" si="302"/>
        <v>-0.00981524249422627</v>
      </c>
      <c r="P705" s="150">
        <f t="shared" si="311"/>
        <v>-0.0162053635451025</v>
      </c>
      <c r="Q705" s="89">
        <f t="shared" ref="Q705:Q768" si="312">L705/M705-1</f>
        <v>-0.0458970792767733</v>
      </c>
      <c r="AH705" s="90"/>
      <c r="AI705" s="85"/>
      <c r="AJ705" s="36"/>
      <c r="AK705" s="36"/>
      <c r="AL705" s="36"/>
      <c r="AM705" s="36"/>
      <c r="AN705" s="36"/>
      <c r="AO705" s="36"/>
      <c r="AP705" s="36"/>
      <c r="FV705" s="104">
        <f t="shared" si="305"/>
        <v>2013</v>
      </c>
      <c r="FW705" s="104">
        <f t="shared" si="306"/>
        <v>12</v>
      </c>
      <c r="FX705" s="35">
        <v>41351</v>
      </c>
      <c r="FY705" s="26">
        <v>1.72</v>
      </c>
      <c r="FZ705" s="94">
        <f t="shared" si="307"/>
        <v>6.88</v>
      </c>
      <c r="GA705" s="104"/>
      <c r="GB705" s="104"/>
      <c r="GE705" s="94"/>
      <c r="GF705" s="104">
        <f t="shared" si="308"/>
        <v>2015</v>
      </c>
      <c r="GG705" s="104">
        <f t="shared" si="309"/>
        <v>38</v>
      </c>
      <c r="GH705" s="35">
        <v>42263</v>
      </c>
      <c r="GI705" s="26">
        <v>2.184</v>
      </c>
      <c r="GJ705" s="94">
        <f t="shared" si="310"/>
        <v>4.368</v>
      </c>
      <c r="GK705" s="104"/>
      <c r="GL705" s="104"/>
      <c r="GO705" s="94"/>
    </row>
    <row r="706" spans="3:197">
      <c r="C706" s="80" t="str" cm="1">
        <f t="array" ref="C706">_xlfn.IFS(MONTH(D706)&lt;4,1,MONTH(D706)&lt;7,2,MONTH(D706)&lt;10,3,MONTH(D706)&gt;9,4)&amp;"Q"&amp;RIGHT(YEAR(D706),2)</f>
        <v>4Q18</v>
      </c>
      <c r="D706" s="81">
        <f t="shared" si="304"/>
        <v>43434</v>
      </c>
      <c r="E706" s="82">
        <f t="shared" si="301"/>
        <v>43412</v>
      </c>
      <c r="F706" s="83">
        <f t="shared" si="303"/>
        <v>0.851375</v>
      </c>
      <c r="G706" s="83">
        <f t="shared" si="303"/>
        <v>0.89875</v>
      </c>
      <c r="H706" s="81"/>
      <c r="I706" s="146">
        <v>43412</v>
      </c>
      <c r="J706" s="147">
        <v>7.4</v>
      </c>
      <c r="K706" s="147">
        <v>6</v>
      </c>
      <c r="L706" s="147">
        <v>6.811</v>
      </c>
      <c r="M706" s="94" cm="1">
        <f t="array" ref="M706">INDEX($BV$29:$BV$1449,MATCH($D706,$BR$29:$BR$1449,0),)</f>
        <v>7.19</v>
      </c>
      <c r="N706" s="150">
        <f t="shared" si="300"/>
        <v>-0.00714285714285723</v>
      </c>
      <c r="O706" s="150">
        <f t="shared" si="302"/>
        <v>-0.0157514450867052</v>
      </c>
      <c r="P706" s="150">
        <f t="shared" si="311"/>
        <v>-0.0226718324006314</v>
      </c>
      <c r="Q706" s="89">
        <f t="shared" si="312"/>
        <v>-0.0527121001390821</v>
      </c>
      <c r="AH706" s="90"/>
      <c r="AI706" s="85"/>
      <c r="AJ706" s="36"/>
      <c r="AK706" s="36"/>
      <c r="AL706" s="36"/>
      <c r="AM706" s="36"/>
      <c r="AN706" s="36"/>
      <c r="AO706" s="36"/>
      <c r="AP706" s="36"/>
      <c r="FV706" s="104">
        <f t="shared" si="305"/>
        <v>2013</v>
      </c>
      <c r="FW706" s="104">
        <f t="shared" si="306"/>
        <v>12</v>
      </c>
      <c r="FX706" s="35">
        <v>41352</v>
      </c>
      <c r="FY706" s="26">
        <v>1.71</v>
      </c>
      <c r="FZ706" s="94">
        <f t="shared" si="307"/>
        <v>6.84</v>
      </c>
      <c r="GA706" s="104"/>
      <c r="GB706" s="104"/>
      <c r="GE706" s="94"/>
      <c r="GF706" s="104">
        <f t="shared" si="308"/>
        <v>2015</v>
      </c>
      <c r="GG706" s="104">
        <f t="shared" si="309"/>
        <v>38</v>
      </c>
      <c r="GH706" s="35">
        <v>42264</v>
      </c>
      <c r="GI706" s="26">
        <v>2.181</v>
      </c>
      <c r="GJ706" s="94">
        <f t="shared" si="310"/>
        <v>4.362</v>
      </c>
      <c r="GK706" s="104"/>
      <c r="GL706" s="104"/>
      <c r="GO706" s="94"/>
    </row>
    <row r="707" spans="3:197">
      <c r="C707" s="80" t="str" cm="1">
        <f t="array" ref="C707">_xlfn.IFS(MONTH(D707)&lt;4,1,MONTH(D707)&lt;7,2,MONTH(D707)&lt;10,3,MONTH(D707)&gt;9,4)&amp;"Q"&amp;RIGHT(YEAR(D707),2)</f>
        <v>4Q18</v>
      </c>
      <c r="D707" s="81">
        <f t="shared" si="304"/>
        <v>43434</v>
      </c>
      <c r="E707" s="82">
        <f t="shared" si="301"/>
        <v>43413</v>
      </c>
      <c r="F707" s="83">
        <f t="shared" si="303"/>
        <v>0.85075</v>
      </c>
      <c r="G707" s="83">
        <f t="shared" si="303"/>
        <v>0.89875</v>
      </c>
      <c r="H707" s="81"/>
      <c r="I707" s="146">
        <v>43413</v>
      </c>
      <c r="J707" s="147">
        <v>7.35</v>
      </c>
      <c r="K707" s="147">
        <v>6</v>
      </c>
      <c r="L707" s="147">
        <v>6.806</v>
      </c>
      <c r="M707" s="94" cm="1">
        <f t="array" ref="M707">INDEX($BV$29:$BV$1449,MATCH($D707,$BR$29:$BR$1449,0),)</f>
        <v>7.19</v>
      </c>
      <c r="N707" s="150">
        <f t="shared" si="300"/>
        <v>-0.000734106592277128</v>
      </c>
      <c r="O707" s="150">
        <f t="shared" si="302"/>
        <v>-0.0154780847678287</v>
      </c>
      <c r="P707" s="150">
        <f t="shared" si="311"/>
        <v>-0.0228284278535534</v>
      </c>
      <c r="Q707" s="89">
        <f t="shared" si="312"/>
        <v>-0.0534075104311544</v>
      </c>
      <c r="AH707" s="90"/>
      <c r="AI707" s="85"/>
      <c r="AJ707" s="36"/>
      <c r="AK707" s="36"/>
      <c r="AL707" s="36"/>
      <c r="AM707" s="36"/>
      <c r="AN707" s="36"/>
      <c r="AO707" s="36"/>
      <c r="AP707" s="36"/>
      <c r="FV707" s="104">
        <f t="shared" si="305"/>
        <v>2013</v>
      </c>
      <c r="FW707" s="104">
        <f t="shared" si="306"/>
        <v>12</v>
      </c>
      <c r="FX707" s="35">
        <v>41353</v>
      </c>
      <c r="FY707" s="26">
        <v>1.68</v>
      </c>
      <c r="FZ707" s="94">
        <f t="shared" si="307"/>
        <v>6.72</v>
      </c>
      <c r="GA707" s="104"/>
      <c r="GB707" s="104"/>
      <c r="GE707" s="94"/>
      <c r="GF707" s="104">
        <f t="shared" si="308"/>
        <v>2015</v>
      </c>
      <c r="GG707" s="104">
        <f t="shared" si="309"/>
        <v>38</v>
      </c>
      <c r="GH707" s="35">
        <v>42265</v>
      </c>
      <c r="GI707" s="26">
        <v>2.172</v>
      </c>
      <c r="GJ707" s="94">
        <f t="shared" si="310"/>
        <v>4.344</v>
      </c>
      <c r="GK707" s="104"/>
      <c r="GL707" s="104"/>
      <c r="GO707" s="94"/>
    </row>
    <row r="708" spans="3:197">
      <c r="C708" s="80" t="str" cm="1">
        <f t="array" ref="C708">_xlfn.IFS(MONTH(D708)&lt;4,1,MONTH(D708)&lt;7,2,MONTH(D708)&lt;10,3,MONTH(D708)&gt;9,4)&amp;"Q"&amp;RIGHT(YEAR(D708),2)</f>
        <v>4Q18</v>
      </c>
      <c r="D708" s="81">
        <f t="shared" si="304"/>
        <v>43434</v>
      </c>
      <c r="E708" s="82">
        <f t="shared" si="301"/>
        <v>43416</v>
      </c>
      <c r="F708" s="83">
        <f t="shared" si="303"/>
        <v>0.849875</v>
      </c>
      <c r="G708" s="83">
        <f t="shared" si="303"/>
        <v>0.89875</v>
      </c>
      <c r="H708" s="81"/>
      <c r="I708" s="146">
        <v>43416</v>
      </c>
      <c r="J708" s="147">
        <v>7.35</v>
      </c>
      <c r="K708" s="147">
        <v>6</v>
      </c>
      <c r="L708" s="147">
        <v>6.799</v>
      </c>
      <c r="M708" s="94" cm="1">
        <f t="array" ref="M708">INDEX($BV$29:$BV$1449,MATCH($D708,$BR$29:$BR$1449,0),)</f>
        <v>7.19</v>
      </c>
      <c r="N708" s="150">
        <f t="shared" si="300"/>
        <v>-0.00102850426094614</v>
      </c>
      <c r="O708" s="150">
        <f t="shared" si="302"/>
        <v>-0.0164906697526399</v>
      </c>
      <c r="P708" s="150">
        <f t="shared" si="311"/>
        <v>-0.0238334529791816</v>
      </c>
      <c r="Q708" s="89">
        <f t="shared" si="312"/>
        <v>-0.0543810848400557</v>
      </c>
      <c r="AH708" s="90"/>
      <c r="AI708" s="85"/>
      <c r="AJ708" s="36"/>
      <c r="AK708" s="36"/>
      <c r="AL708" s="36"/>
      <c r="AM708" s="36"/>
      <c r="AN708" s="36"/>
      <c r="AO708" s="36"/>
      <c r="AP708" s="36"/>
      <c r="FV708" s="104">
        <f t="shared" si="305"/>
        <v>2013</v>
      </c>
      <c r="FW708" s="104">
        <f t="shared" si="306"/>
        <v>12</v>
      </c>
      <c r="FX708" s="35">
        <v>41354</v>
      </c>
      <c r="FY708" s="26">
        <v>1.695</v>
      </c>
      <c r="FZ708" s="94">
        <f t="shared" si="307"/>
        <v>6.78</v>
      </c>
      <c r="GA708" s="104"/>
      <c r="GB708" s="104"/>
      <c r="GE708" s="94"/>
      <c r="GF708" s="104">
        <f t="shared" si="308"/>
        <v>2015</v>
      </c>
      <c r="GG708" s="104">
        <f t="shared" si="309"/>
        <v>39</v>
      </c>
      <c r="GH708" s="35">
        <v>42268</v>
      </c>
      <c r="GI708" s="26">
        <v>2.172</v>
      </c>
      <c r="GJ708" s="94">
        <f t="shared" si="310"/>
        <v>4.344</v>
      </c>
      <c r="GK708" s="104"/>
      <c r="GL708" s="104"/>
      <c r="GO708" s="94"/>
    </row>
    <row r="709" spans="3:197">
      <c r="C709" s="80" t="str" cm="1">
        <f t="array" ref="C709">_xlfn.IFS(MONTH(D709)&lt;4,1,MONTH(D709)&lt;7,2,MONTH(D709)&lt;10,3,MONTH(D709)&gt;9,4)&amp;"Q"&amp;RIGHT(YEAR(D709),2)</f>
        <v>4Q18</v>
      </c>
      <c r="D709" s="81">
        <f t="shared" si="304"/>
        <v>43434</v>
      </c>
      <c r="E709" s="82">
        <f t="shared" si="301"/>
        <v>43417</v>
      </c>
      <c r="F709" s="83">
        <f t="shared" si="303"/>
        <v>0.8485</v>
      </c>
      <c r="G709" s="83">
        <f t="shared" si="303"/>
        <v>0.89875</v>
      </c>
      <c r="H709" s="81"/>
      <c r="I709" s="146">
        <v>43417</v>
      </c>
      <c r="J709" s="147">
        <v>7.35</v>
      </c>
      <c r="K709" s="147">
        <v>6</v>
      </c>
      <c r="L709" s="147">
        <v>6.788</v>
      </c>
      <c r="M709" s="94" cm="1">
        <f t="array" ref="M709">INDEX($BV$29:$BV$1449,MATCH($D709,$BR$29:$BR$1449,0),)</f>
        <v>7.19</v>
      </c>
      <c r="N709" s="150">
        <f t="shared" si="300"/>
        <v>-0.00161788498308579</v>
      </c>
      <c r="O709" s="150">
        <f t="shared" si="302"/>
        <v>-0.0175133883340569</v>
      </c>
      <c r="P709" s="150">
        <f t="shared" si="311"/>
        <v>-0.0227469046933486</v>
      </c>
      <c r="Q709" s="89">
        <f t="shared" si="312"/>
        <v>-0.0559109874826148</v>
      </c>
      <c r="AH709" s="90"/>
      <c r="AI709" s="85"/>
      <c r="AJ709" s="36"/>
      <c r="AK709" s="36"/>
      <c r="AL709" s="36"/>
      <c r="AM709" s="36"/>
      <c r="AN709" s="36"/>
      <c r="AO709" s="36"/>
      <c r="AP709" s="36"/>
      <c r="FV709" s="104">
        <f t="shared" si="305"/>
        <v>2013</v>
      </c>
      <c r="FW709" s="104">
        <f t="shared" si="306"/>
        <v>12</v>
      </c>
      <c r="FX709" s="35">
        <v>41355</v>
      </c>
      <c r="FY709" s="26">
        <v>1.72</v>
      </c>
      <c r="FZ709" s="94">
        <f t="shared" si="307"/>
        <v>6.88</v>
      </c>
      <c r="GA709" s="104"/>
      <c r="GB709" s="104"/>
      <c r="GE709" s="94"/>
      <c r="GF709" s="104">
        <f t="shared" si="308"/>
        <v>2015</v>
      </c>
      <c r="GG709" s="104">
        <f t="shared" si="309"/>
        <v>39</v>
      </c>
      <c r="GH709" s="35">
        <v>42269</v>
      </c>
      <c r="GI709" s="26">
        <v>2.158</v>
      </c>
      <c r="GJ709" s="94">
        <f t="shared" si="310"/>
        <v>4.316</v>
      </c>
      <c r="GK709" s="104"/>
      <c r="GL709" s="104"/>
      <c r="GO709" s="94"/>
    </row>
    <row r="710" spans="3:197">
      <c r="C710" s="80" t="str" cm="1">
        <f t="array" ref="C710">_xlfn.IFS(MONTH(D710)&lt;4,1,MONTH(D710)&lt;7,2,MONTH(D710)&lt;10,3,MONTH(D710)&gt;9,4)&amp;"Q"&amp;RIGHT(YEAR(D710),2)</f>
        <v>4Q18</v>
      </c>
      <c r="D710" s="81">
        <f t="shared" si="304"/>
        <v>43434</v>
      </c>
      <c r="E710" s="82">
        <f t="shared" si="301"/>
        <v>43418</v>
      </c>
      <c r="F710" s="83">
        <f t="shared" si="303"/>
        <v>0.8485</v>
      </c>
      <c r="G710" s="83">
        <f t="shared" si="303"/>
        <v>0.89875</v>
      </c>
      <c r="H710" s="81"/>
      <c r="I710" s="146">
        <v>43418</v>
      </c>
      <c r="J710" s="147">
        <v>7.35</v>
      </c>
      <c r="K710" s="147">
        <v>6</v>
      </c>
      <c r="L710" s="147">
        <v>6.788</v>
      </c>
      <c r="M710" s="94" cm="1">
        <f t="array" ref="M710">INDEX($BV$29:$BV$1449,MATCH($D710,$BR$29:$BR$1449,0),)</f>
        <v>7.19</v>
      </c>
      <c r="N710" s="150">
        <f t="shared" si="300"/>
        <v>0</v>
      </c>
      <c r="O710" s="150">
        <f t="shared" si="302"/>
        <v>-0.0104956268221574</v>
      </c>
      <c r="P710" s="150">
        <f t="shared" si="311"/>
        <v>-0.0202078521939953</v>
      </c>
      <c r="Q710" s="89">
        <f t="shared" si="312"/>
        <v>-0.0559109874826148</v>
      </c>
      <c r="AH710" s="90"/>
      <c r="AI710" s="85"/>
      <c r="AJ710" s="36"/>
      <c r="AK710" s="36"/>
      <c r="AL710" s="36"/>
      <c r="AM710" s="36"/>
      <c r="AN710" s="36"/>
      <c r="AO710" s="36"/>
      <c r="AP710" s="36"/>
      <c r="FV710" s="104">
        <f t="shared" si="305"/>
        <v>2013</v>
      </c>
      <c r="FW710" s="104">
        <f t="shared" si="306"/>
        <v>13</v>
      </c>
      <c r="FX710" s="35">
        <v>41358</v>
      </c>
      <c r="FY710" s="26">
        <v>1.71</v>
      </c>
      <c r="FZ710" s="94">
        <f t="shared" si="307"/>
        <v>6.84</v>
      </c>
      <c r="GA710" s="104"/>
      <c r="GB710" s="104"/>
      <c r="GE710" s="94"/>
      <c r="GF710" s="104">
        <f t="shared" si="308"/>
        <v>2015</v>
      </c>
      <c r="GG710" s="104">
        <f t="shared" si="309"/>
        <v>39</v>
      </c>
      <c r="GH710" s="35">
        <v>42270</v>
      </c>
      <c r="GI710" s="26">
        <v>2.137</v>
      </c>
      <c r="GJ710" s="94">
        <f t="shared" si="310"/>
        <v>4.274</v>
      </c>
      <c r="GK710" s="104"/>
      <c r="GL710" s="104"/>
      <c r="GO710" s="94"/>
    </row>
    <row r="711" spans="3:197">
      <c r="C711" s="80" t="str" cm="1">
        <f t="array" ref="C711">_xlfn.IFS(MONTH(D711)&lt;4,1,MONTH(D711)&lt;7,2,MONTH(D711)&lt;10,3,MONTH(D711)&gt;9,4)&amp;"Q"&amp;RIGHT(YEAR(D711),2)</f>
        <v>4Q18</v>
      </c>
      <c r="D711" s="81">
        <f t="shared" si="304"/>
        <v>43434</v>
      </c>
      <c r="E711" s="82">
        <f t="shared" si="301"/>
        <v>43419</v>
      </c>
      <c r="F711" s="83">
        <f t="shared" si="303"/>
        <v>0.847</v>
      </c>
      <c r="G711" s="83">
        <f t="shared" si="303"/>
        <v>0.89875</v>
      </c>
      <c r="H711" s="81"/>
      <c r="I711" s="146">
        <v>43419</v>
      </c>
      <c r="J711" s="147">
        <v>7.35</v>
      </c>
      <c r="K711" s="147">
        <v>6</v>
      </c>
      <c r="L711" s="147">
        <v>6.776</v>
      </c>
      <c r="M711" s="94" cm="1">
        <f t="array" ref="M711">INDEX($BV$29:$BV$1449,MATCH($D711,$BR$29:$BR$1449,0),)</f>
        <v>7.19</v>
      </c>
      <c r="N711" s="150">
        <f t="shared" si="300"/>
        <v>-0.00176782557454336</v>
      </c>
      <c r="O711" s="150">
        <f t="shared" si="302"/>
        <v>-0.00513874614594045</v>
      </c>
      <c r="P711" s="150">
        <f t="shared" si="311"/>
        <v>-0.0208092485549133</v>
      </c>
      <c r="Q711" s="89">
        <f t="shared" si="312"/>
        <v>-0.0575799721835883</v>
      </c>
      <c r="AH711" s="90"/>
      <c r="AI711" s="85"/>
      <c r="AJ711" s="36"/>
      <c r="AK711" s="36"/>
      <c r="AL711" s="36"/>
      <c r="AM711" s="36"/>
      <c r="AN711" s="36"/>
      <c r="AO711" s="36"/>
      <c r="AP711" s="36"/>
      <c r="FV711" s="104">
        <f t="shared" si="305"/>
        <v>2013</v>
      </c>
      <c r="FW711" s="104">
        <f t="shared" si="306"/>
        <v>13</v>
      </c>
      <c r="FX711" s="35">
        <v>41359</v>
      </c>
      <c r="FY711" s="26">
        <v>1.705</v>
      </c>
      <c r="FZ711" s="94">
        <f t="shared" si="307"/>
        <v>6.82</v>
      </c>
      <c r="GA711" s="104"/>
      <c r="GB711" s="104"/>
      <c r="GE711" s="94"/>
      <c r="GF711" s="104">
        <f t="shared" si="308"/>
        <v>2015</v>
      </c>
      <c r="GG711" s="104">
        <f t="shared" si="309"/>
        <v>39</v>
      </c>
      <c r="GH711" s="35">
        <v>42271</v>
      </c>
      <c r="GI711" s="26">
        <v>2.135</v>
      </c>
      <c r="GJ711" s="94">
        <f t="shared" si="310"/>
        <v>4.27</v>
      </c>
      <c r="GK711" s="104"/>
      <c r="GL711" s="104"/>
      <c r="GO711" s="94"/>
    </row>
    <row r="712" spans="3:197">
      <c r="C712" s="80" t="str" cm="1">
        <f t="array" ref="C712">_xlfn.IFS(MONTH(D712)&lt;4,1,MONTH(D712)&lt;7,2,MONTH(D712)&lt;10,3,MONTH(D712)&gt;9,4)&amp;"Q"&amp;RIGHT(YEAR(D712),2)</f>
        <v>4Q18</v>
      </c>
      <c r="D712" s="81">
        <f t="shared" si="304"/>
        <v>43434</v>
      </c>
      <c r="E712" s="82">
        <f t="shared" si="301"/>
        <v>43420</v>
      </c>
      <c r="F712" s="83">
        <f t="shared" si="303"/>
        <v>0.847</v>
      </c>
      <c r="G712" s="83">
        <f t="shared" si="303"/>
        <v>0.89875</v>
      </c>
      <c r="H712" s="81"/>
      <c r="I712" s="146">
        <v>43420</v>
      </c>
      <c r="J712" s="147">
        <v>7.35</v>
      </c>
      <c r="K712" s="147">
        <v>6</v>
      </c>
      <c r="L712" s="147">
        <v>6.776</v>
      </c>
      <c r="M712" s="94" cm="1">
        <f t="array" ref="M712">INDEX($BV$29:$BV$1449,MATCH($D712,$BR$29:$BR$1449,0),)</f>
        <v>7.19</v>
      </c>
      <c r="N712" s="150">
        <f t="shared" si="300"/>
        <v>0</v>
      </c>
      <c r="O712" s="150">
        <f t="shared" si="302"/>
        <v>-0.00440787540405529</v>
      </c>
      <c r="P712" s="150">
        <f t="shared" si="311"/>
        <v>-0.0198177347027341</v>
      </c>
      <c r="Q712" s="89">
        <f t="shared" si="312"/>
        <v>-0.0575799721835883</v>
      </c>
      <c r="AH712" s="90"/>
      <c r="AI712" s="85"/>
      <c r="AJ712" s="36"/>
      <c r="AK712" s="36"/>
      <c r="AL712" s="36"/>
      <c r="AM712" s="36"/>
      <c r="AN712" s="36"/>
      <c r="AO712" s="36"/>
      <c r="AP712" s="36"/>
      <c r="FV712" s="104">
        <f t="shared" si="305"/>
        <v>2013</v>
      </c>
      <c r="FW712" s="104">
        <f t="shared" si="306"/>
        <v>13</v>
      </c>
      <c r="FX712" s="35">
        <v>41360</v>
      </c>
      <c r="FY712" s="26">
        <v>1.69</v>
      </c>
      <c r="FZ712" s="94">
        <f t="shared" si="307"/>
        <v>6.76</v>
      </c>
      <c r="GA712" s="104"/>
      <c r="GB712" s="104"/>
      <c r="GE712" s="94"/>
      <c r="GF712" s="104">
        <f t="shared" si="308"/>
        <v>2015</v>
      </c>
      <c r="GG712" s="104">
        <f t="shared" si="309"/>
        <v>39</v>
      </c>
      <c r="GH712" s="35">
        <v>42272</v>
      </c>
      <c r="GI712" s="26">
        <v>2.13</v>
      </c>
      <c r="GJ712" s="94">
        <f t="shared" si="310"/>
        <v>4.26</v>
      </c>
      <c r="GK712" s="104"/>
      <c r="GL712" s="104"/>
      <c r="GO712" s="94"/>
    </row>
    <row r="713" spans="3:197">
      <c r="C713" s="80" t="str" cm="1">
        <f t="array" ref="C713">_xlfn.IFS(MONTH(D713)&lt;4,1,MONTH(D713)&lt;7,2,MONTH(D713)&lt;10,3,MONTH(D713)&gt;9,4)&amp;"Q"&amp;RIGHT(YEAR(D713),2)</f>
        <v>4Q18</v>
      </c>
      <c r="D713" s="81">
        <f t="shared" si="304"/>
        <v>43434</v>
      </c>
      <c r="E713" s="82">
        <f t="shared" si="301"/>
        <v>43423</v>
      </c>
      <c r="F713" s="83">
        <f t="shared" si="303"/>
        <v>0.846125</v>
      </c>
      <c r="G713" s="83">
        <f t="shared" si="303"/>
        <v>0.89875</v>
      </c>
      <c r="H713" s="81"/>
      <c r="I713" s="146">
        <v>43423</v>
      </c>
      <c r="J713" s="147">
        <v>7.35</v>
      </c>
      <c r="K713" s="147">
        <v>6</v>
      </c>
      <c r="L713" s="147">
        <v>6.769</v>
      </c>
      <c r="M713" s="94" cm="1">
        <f t="array" ref="M713">INDEX($BV$29:$BV$1449,MATCH($D713,$BR$29:$BR$1449,0),)</f>
        <v>7.19</v>
      </c>
      <c r="N713" s="150">
        <f t="shared" si="300"/>
        <v>-0.00103305785123964</v>
      </c>
      <c r="O713" s="150">
        <f t="shared" si="302"/>
        <v>-0.00441241359023392</v>
      </c>
      <c r="P713" s="150">
        <f t="shared" si="311"/>
        <v>-0.0208303196875452</v>
      </c>
      <c r="Q713" s="89">
        <f t="shared" si="312"/>
        <v>-0.0585535465924896</v>
      </c>
      <c r="AH713" s="90"/>
      <c r="AI713" s="85"/>
      <c r="AJ713" s="36"/>
      <c r="AK713" s="36"/>
      <c r="AL713" s="36"/>
      <c r="AM713" s="36"/>
      <c r="AN713" s="36"/>
      <c r="AO713" s="36"/>
      <c r="AP713" s="36"/>
      <c r="FV713" s="104">
        <f t="shared" si="305"/>
        <v>2013</v>
      </c>
      <c r="FW713" s="104">
        <f t="shared" si="306"/>
        <v>13</v>
      </c>
      <c r="FX713" s="35">
        <v>41361</v>
      </c>
      <c r="FY713" s="26">
        <v>1.678</v>
      </c>
      <c r="FZ713" s="94">
        <f t="shared" si="307"/>
        <v>6.712</v>
      </c>
      <c r="GA713" s="104"/>
      <c r="GB713" s="104"/>
      <c r="GE713" s="94"/>
      <c r="GF713" s="104">
        <f t="shared" si="308"/>
        <v>2015</v>
      </c>
      <c r="GG713" s="104">
        <f t="shared" si="309"/>
        <v>40</v>
      </c>
      <c r="GH713" s="35">
        <v>42276</v>
      </c>
      <c r="GI713" s="26">
        <v>2.128</v>
      </c>
      <c r="GJ713" s="94">
        <f t="shared" si="310"/>
        <v>4.256</v>
      </c>
      <c r="GK713" s="104"/>
      <c r="GL713" s="104"/>
      <c r="GO713" s="94"/>
    </row>
    <row r="714" spans="3:197">
      <c r="C714" s="80" t="str" cm="1">
        <f t="array" ref="C714">_xlfn.IFS(MONTH(D714)&lt;4,1,MONTH(D714)&lt;7,2,MONTH(D714)&lt;10,3,MONTH(D714)&gt;9,4)&amp;"Q"&amp;RIGHT(YEAR(D714),2)</f>
        <v>4Q18</v>
      </c>
      <c r="D714" s="81">
        <f t="shared" si="304"/>
        <v>43434</v>
      </c>
      <c r="E714" s="82">
        <f t="shared" si="301"/>
        <v>43424</v>
      </c>
      <c r="F714" s="83">
        <f t="shared" si="303"/>
        <v>0.846125</v>
      </c>
      <c r="G714" s="83">
        <f t="shared" si="303"/>
        <v>0.89875</v>
      </c>
      <c r="H714" s="81"/>
      <c r="I714" s="146">
        <v>43424</v>
      </c>
      <c r="J714" s="147">
        <v>7.35</v>
      </c>
      <c r="K714" s="147">
        <v>6</v>
      </c>
      <c r="L714" s="147">
        <v>6.769</v>
      </c>
      <c r="M714" s="94" cm="1">
        <f t="array" ref="M714">INDEX($BV$29:$BV$1449,MATCH($D714,$BR$29:$BR$1449,0),)</f>
        <v>7.19</v>
      </c>
      <c r="N714" s="150">
        <f t="shared" si="300"/>
        <v>0</v>
      </c>
      <c r="O714" s="150">
        <f t="shared" si="302"/>
        <v>-0.00279905715969364</v>
      </c>
      <c r="P714" s="150">
        <f t="shared" si="311"/>
        <v>-0.0202634245187436</v>
      </c>
      <c r="Q714" s="89">
        <f t="shared" si="312"/>
        <v>-0.0585535465924896</v>
      </c>
      <c r="AH714" s="90"/>
      <c r="AI714" s="85"/>
      <c r="AJ714" s="36"/>
      <c r="AK714" s="36"/>
      <c r="AL714" s="36"/>
      <c r="AM714" s="36"/>
      <c r="AN714" s="36"/>
      <c r="AO714" s="36"/>
      <c r="AP714" s="36"/>
      <c r="FV714" s="104">
        <f t="shared" si="305"/>
        <v>2013</v>
      </c>
      <c r="FW714" s="104">
        <f t="shared" si="306"/>
        <v>13</v>
      </c>
      <c r="FX714" s="35">
        <v>41362</v>
      </c>
      <c r="FY714" s="26">
        <v>1.695</v>
      </c>
      <c r="FZ714" s="94">
        <f t="shared" si="307"/>
        <v>6.78</v>
      </c>
      <c r="GA714" s="104"/>
      <c r="GB714" s="104"/>
      <c r="GE714" s="94"/>
      <c r="GF714" s="104">
        <f t="shared" si="308"/>
        <v>2015</v>
      </c>
      <c r="GG714" s="104">
        <f t="shared" si="309"/>
        <v>40</v>
      </c>
      <c r="GH714" s="35">
        <v>42277</v>
      </c>
      <c r="GI714" s="26">
        <v>2.124</v>
      </c>
      <c r="GJ714" s="94">
        <f t="shared" si="310"/>
        <v>4.248</v>
      </c>
      <c r="GK714" s="104"/>
      <c r="GL714" s="104"/>
      <c r="GO714" s="94"/>
    </row>
    <row r="715" spans="3:197">
      <c r="C715" s="80" t="str" cm="1">
        <f t="array" ref="C715">_xlfn.IFS(MONTH(D715)&lt;4,1,MONTH(D715)&lt;7,2,MONTH(D715)&lt;10,3,MONTH(D715)&gt;9,4)&amp;"Q"&amp;RIGHT(YEAR(D715),2)</f>
        <v>4Q18</v>
      </c>
      <c r="D715" s="81">
        <f t="shared" si="304"/>
        <v>43434</v>
      </c>
      <c r="E715" s="82">
        <f t="shared" si="301"/>
        <v>43425</v>
      </c>
      <c r="F715" s="83">
        <f t="shared" si="303"/>
        <v>0.846125</v>
      </c>
      <c r="G715" s="83">
        <f t="shared" si="303"/>
        <v>0.89875</v>
      </c>
      <c r="H715" s="81"/>
      <c r="I715" s="146">
        <v>43425</v>
      </c>
      <c r="J715" s="147">
        <v>7.35</v>
      </c>
      <c r="K715" s="147">
        <v>6</v>
      </c>
      <c r="L715" s="147">
        <v>6.769</v>
      </c>
      <c r="M715" s="94" cm="1">
        <f t="array" ref="M715">INDEX($BV$29:$BV$1449,MATCH($D715,$BR$29:$BR$1449,0),)</f>
        <v>7.19</v>
      </c>
      <c r="N715" s="150">
        <f t="shared" si="300"/>
        <v>0</v>
      </c>
      <c r="O715" s="150">
        <f t="shared" si="302"/>
        <v>-0.00279905715969364</v>
      </c>
      <c r="P715" s="150">
        <f t="shared" si="311"/>
        <v>-0.013265306122449</v>
      </c>
      <c r="Q715" s="89">
        <f t="shared" si="312"/>
        <v>-0.0585535465924896</v>
      </c>
      <c r="AH715" s="90"/>
      <c r="AI715" s="85"/>
      <c r="AJ715" s="36"/>
      <c r="AK715" s="36"/>
      <c r="AL715" s="36"/>
      <c r="AM715" s="36"/>
      <c r="AN715" s="36"/>
      <c r="AO715" s="36"/>
      <c r="AP715" s="36"/>
      <c r="FV715" s="104">
        <f t="shared" si="305"/>
        <v>2013</v>
      </c>
      <c r="FW715" s="104">
        <f t="shared" si="306"/>
        <v>14</v>
      </c>
      <c r="FX715" s="35">
        <v>41365</v>
      </c>
      <c r="FY715" s="26">
        <v>1.696</v>
      </c>
      <c r="FZ715" s="94">
        <f t="shared" si="307"/>
        <v>6.784</v>
      </c>
      <c r="GA715" s="104"/>
      <c r="GB715" s="104"/>
      <c r="GE715" s="94"/>
      <c r="GF715" s="104">
        <f t="shared" si="308"/>
        <v>2015</v>
      </c>
      <c r="GG715" s="104">
        <f t="shared" si="309"/>
        <v>40</v>
      </c>
      <c r="GH715" s="35">
        <v>42278</v>
      </c>
      <c r="GI715" s="26">
        <v>2.124</v>
      </c>
      <c r="GJ715" s="94">
        <f t="shared" si="310"/>
        <v>4.248</v>
      </c>
      <c r="GK715" s="104"/>
      <c r="GL715" s="104"/>
      <c r="GO715" s="94"/>
    </row>
    <row r="716" spans="3:197">
      <c r="C716" s="80" t="str" cm="1">
        <f t="array" ref="C716">_xlfn.IFS(MONTH(D716)&lt;4,1,MONTH(D716)&lt;7,2,MONTH(D716)&lt;10,3,MONTH(D716)&gt;9,4)&amp;"Q"&amp;RIGHT(YEAR(D716),2)</f>
        <v>4Q18</v>
      </c>
      <c r="D716" s="81">
        <f t="shared" si="304"/>
        <v>43434</v>
      </c>
      <c r="E716" s="82">
        <f t="shared" si="301"/>
        <v>43426</v>
      </c>
      <c r="F716" s="83">
        <f t="shared" si="303"/>
        <v>0.84375</v>
      </c>
      <c r="G716" s="83">
        <f t="shared" si="303"/>
        <v>0.89875</v>
      </c>
      <c r="H716" s="81"/>
      <c r="I716" s="146">
        <v>43426</v>
      </c>
      <c r="J716" s="147">
        <v>7.15</v>
      </c>
      <c r="K716" s="147">
        <v>6</v>
      </c>
      <c r="L716" s="147">
        <v>6.75</v>
      </c>
      <c r="M716" s="94" cm="1">
        <f t="array" ref="M716">INDEX($BV$29:$BV$1449,MATCH($D716,$BR$29:$BR$1449,0),)</f>
        <v>7.19</v>
      </c>
      <c r="N716" s="150">
        <f t="shared" si="300"/>
        <v>-0.00280691387206389</v>
      </c>
      <c r="O716" s="150">
        <f t="shared" si="302"/>
        <v>-0.00383707201889016</v>
      </c>
      <c r="P716" s="150">
        <f t="shared" si="311"/>
        <v>-0.00895610042578177</v>
      </c>
      <c r="Q716" s="89">
        <f t="shared" si="312"/>
        <v>-0.0611961057023644</v>
      </c>
      <c r="AH716" s="90"/>
      <c r="AI716" s="85"/>
      <c r="AJ716" s="36"/>
      <c r="AK716" s="36"/>
      <c r="AL716" s="36"/>
      <c r="AM716" s="36"/>
      <c r="AN716" s="36"/>
      <c r="AO716" s="36"/>
      <c r="AP716" s="36"/>
      <c r="FV716" s="104">
        <f t="shared" si="305"/>
        <v>2013</v>
      </c>
      <c r="FW716" s="104">
        <f t="shared" si="306"/>
        <v>14</v>
      </c>
      <c r="FX716" s="35">
        <v>41366</v>
      </c>
      <c r="FY716" s="26">
        <v>1.698</v>
      </c>
      <c r="FZ716" s="94">
        <f t="shared" si="307"/>
        <v>6.792</v>
      </c>
      <c r="GA716" s="104"/>
      <c r="GB716" s="104"/>
      <c r="GE716" s="94"/>
      <c r="GF716" s="104">
        <f t="shared" si="308"/>
        <v>2015</v>
      </c>
      <c r="GG716" s="104">
        <f t="shared" si="309"/>
        <v>40</v>
      </c>
      <c r="GH716" s="35">
        <v>42279</v>
      </c>
      <c r="GI716" s="26">
        <v>2.124</v>
      </c>
      <c r="GJ716" s="94">
        <f t="shared" si="310"/>
        <v>4.248</v>
      </c>
      <c r="GK716" s="104"/>
      <c r="GL716" s="104"/>
      <c r="GO716" s="94"/>
    </row>
    <row r="717" spans="3:197">
      <c r="C717" s="80" t="str" cm="1">
        <f t="array" ref="C717">_xlfn.IFS(MONTH(D717)&lt;4,1,MONTH(D717)&lt;7,2,MONTH(D717)&lt;10,3,MONTH(D717)&gt;9,4)&amp;"Q"&amp;RIGHT(YEAR(D717),2)</f>
        <v>4Q18</v>
      </c>
      <c r="D717" s="81">
        <f t="shared" si="304"/>
        <v>43434</v>
      </c>
      <c r="E717" s="82">
        <f t="shared" si="301"/>
        <v>43427</v>
      </c>
      <c r="F717" s="83">
        <f t="shared" si="303"/>
        <v>0.84375</v>
      </c>
      <c r="G717" s="83">
        <f t="shared" si="303"/>
        <v>0.89875</v>
      </c>
      <c r="H717" s="81"/>
      <c r="I717" s="146">
        <v>43427</v>
      </c>
      <c r="J717" s="147">
        <v>7.15</v>
      </c>
      <c r="K717" s="147">
        <v>6</v>
      </c>
      <c r="L717" s="147">
        <v>6.75</v>
      </c>
      <c r="M717" s="94" cm="1">
        <f t="array" ref="M717">INDEX($BV$29:$BV$1449,MATCH($D717,$BR$29:$BR$1449,0),)</f>
        <v>7.19</v>
      </c>
      <c r="N717" s="150">
        <f t="shared" si="300"/>
        <v>0</v>
      </c>
      <c r="O717" s="150">
        <f t="shared" si="302"/>
        <v>-0.00383707201889016</v>
      </c>
      <c r="P717" s="150">
        <f t="shared" si="311"/>
        <v>-0.00822803408756978</v>
      </c>
      <c r="Q717" s="89">
        <f t="shared" si="312"/>
        <v>-0.0611961057023644</v>
      </c>
      <c r="AH717" s="90"/>
      <c r="AI717" s="85"/>
      <c r="AJ717" s="36"/>
      <c r="AK717" s="36"/>
      <c r="AL717" s="36"/>
      <c r="AM717" s="36"/>
      <c r="AN717" s="36"/>
      <c r="AO717" s="36"/>
      <c r="AP717" s="36"/>
      <c r="FV717" s="104">
        <f t="shared" si="305"/>
        <v>2013</v>
      </c>
      <c r="FW717" s="104">
        <f t="shared" si="306"/>
        <v>14</v>
      </c>
      <c r="FX717" s="35">
        <v>41367</v>
      </c>
      <c r="FY717" s="26">
        <v>1.7</v>
      </c>
      <c r="FZ717" s="94">
        <f t="shared" si="307"/>
        <v>6.8</v>
      </c>
      <c r="GA717" s="104"/>
      <c r="GB717" s="104"/>
      <c r="GE717" s="94"/>
      <c r="GF717" s="104">
        <f t="shared" si="308"/>
        <v>2015</v>
      </c>
      <c r="GG717" s="104">
        <f t="shared" si="309"/>
        <v>41</v>
      </c>
      <c r="GH717" s="35">
        <v>42282</v>
      </c>
      <c r="GI717" s="26">
        <v>2.122</v>
      </c>
      <c r="GJ717" s="94">
        <f t="shared" si="310"/>
        <v>4.244</v>
      </c>
      <c r="GK717" s="104"/>
      <c r="GL717" s="104"/>
      <c r="GO717" s="94"/>
    </row>
    <row r="718" spans="3:197">
      <c r="C718" s="80" t="str" cm="1">
        <f t="array" ref="C718">_xlfn.IFS(MONTH(D718)&lt;4,1,MONTH(D718)&lt;7,2,MONTH(D718)&lt;10,3,MONTH(D718)&gt;9,4)&amp;"Q"&amp;RIGHT(YEAR(D718),2)</f>
        <v>4Q18</v>
      </c>
      <c r="D718" s="81">
        <f t="shared" si="304"/>
        <v>43434</v>
      </c>
      <c r="E718" s="82">
        <f t="shared" si="301"/>
        <v>43430</v>
      </c>
      <c r="F718" s="83">
        <f t="shared" si="303"/>
        <v>0.839125</v>
      </c>
      <c r="G718" s="83">
        <f t="shared" si="303"/>
        <v>0.89875</v>
      </c>
      <c r="H718" s="81"/>
      <c r="I718" s="146">
        <v>43430</v>
      </c>
      <c r="J718" s="147">
        <v>7.15</v>
      </c>
      <c r="K718" s="147">
        <v>6</v>
      </c>
      <c r="L718" s="147">
        <v>6.713</v>
      </c>
      <c r="M718" s="94" cm="1">
        <f t="array" ref="M718">INDEX($BV$29:$BV$1449,MATCH($D718,$BR$29:$BR$1449,0),)</f>
        <v>7.19</v>
      </c>
      <c r="N718" s="150">
        <f t="shared" si="300"/>
        <v>-0.00548148148148142</v>
      </c>
      <c r="O718" s="150">
        <f t="shared" si="302"/>
        <v>-0.00827300930713548</v>
      </c>
      <c r="P718" s="150">
        <f t="shared" si="311"/>
        <v>-0.0126489189586705</v>
      </c>
      <c r="Q718" s="89">
        <f t="shared" si="312"/>
        <v>-0.0663421418636996</v>
      </c>
      <c r="AH718" s="90"/>
      <c r="AI718" s="85"/>
      <c r="AJ718" s="36"/>
      <c r="AK718" s="36"/>
      <c r="AL718" s="36"/>
      <c r="AM718" s="36"/>
      <c r="AN718" s="36"/>
      <c r="AO718" s="36"/>
      <c r="AP718" s="36"/>
      <c r="FV718" s="104">
        <f t="shared" si="305"/>
        <v>2013</v>
      </c>
      <c r="FW718" s="104">
        <f t="shared" si="306"/>
        <v>15</v>
      </c>
      <c r="FX718" s="35">
        <v>41372</v>
      </c>
      <c r="FY718" s="26">
        <v>1.714</v>
      </c>
      <c r="FZ718" s="94">
        <f t="shared" si="307"/>
        <v>6.856</v>
      </c>
      <c r="GA718" s="104"/>
      <c r="GB718" s="104"/>
      <c r="GE718" s="94"/>
      <c r="GF718" s="104">
        <f t="shared" si="308"/>
        <v>2015</v>
      </c>
      <c r="GG718" s="104">
        <f t="shared" si="309"/>
        <v>41</v>
      </c>
      <c r="GH718" s="35">
        <v>42283</v>
      </c>
      <c r="GI718" s="26">
        <v>2.122</v>
      </c>
      <c r="GJ718" s="94">
        <f t="shared" si="310"/>
        <v>4.244</v>
      </c>
      <c r="GK718" s="104"/>
      <c r="GL718" s="104"/>
      <c r="GO718" s="94"/>
    </row>
    <row r="719" spans="3:197">
      <c r="C719" s="80" t="str" cm="1">
        <f t="array" ref="C719">_xlfn.IFS(MONTH(D719)&lt;4,1,MONTH(D719)&lt;7,2,MONTH(D719)&lt;10,3,MONTH(D719)&gt;9,4)&amp;"Q"&amp;RIGHT(YEAR(D719),2)</f>
        <v>4Q18</v>
      </c>
      <c r="D719" s="81">
        <f t="shared" si="304"/>
        <v>43434</v>
      </c>
      <c r="E719" s="82">
        <f t="shared" si="301"/>
        <v>43431</v>
      </c>
      <c r="F719" s="83">
        <f t="shared" si="303"/>
        <v>0.839125</v>
      </c>
      <c r="G719" s="83">
        <f t="shared" si="303"/>
        <v>0.89875</v>
      </c>
      <c r="H719" s="81"/>
      <c r="I719" s="146">
        <v>43431</v>
      </c>
      <c r="J719" s="147">
        <v>7.15</v>
      </c>
      <c r="K719" s="147">
        <v>6</v>
      </c>
      <c r="L719" s="147">
        <v>6.713</v>
      </c>
      <c r="M719" s="94" cm="1">
        <f t="array" ref="M719">INDEX($BV$29:$BV$1449,MATCH($D719,$BR$29:$BR$1449,0),)</f>
        <v>7.19</v>
      </c>
      <c r="N719" s="150">
        <f t="shared" si="300"/>
        <v>0</v>
      </c>
      <c r="O719" s="150">
        <f t="shared" si="302"/>
        <v>-0.00827300930713548</v>
      </c>
      <c r="P719" s="150">
        <f t="shared" si="311"/>
        <v>-0.0110489098408957</v>
      </c>
      <c r="Q719" s="89">
        <f t="shared" si="312"/>
        <v>-0.0663421418636996</v>
      </c>
      <c r="AH719" s="90"/>
      <c r="AI719" s="85"/>
      <c r="AJ719" s="36"/>
      <c r="AK719" s="36"/>
      <c r="AL719" s="36"/>
      <c r="AM719" s="36"/>
      <c r="AN719" s="36"/>
      <c r="AO719" s="36"/>
      <c r="AP719" s="36"/>
      <c r="FV719" s="104">
        <f t="shared" si="305"/>
        <v>2013</v>
      </c>
      <c r="FW719" s="104">
        <f t="shared" si="306"/>
        <v>15</v>
      </c>
      <c r="FX719" s="35">
        <v>41373</v>
      </c>
      <c r="FY719" s="26">
        <v>1.725</v>
      </c>
      <c r="FZ719" s="94">
        <f t="shared" si="307"/>
        <v>6.9</v>
      </c>
      <c r="GA719" s="104"/>
      <c r="GB719" s="104"/>
      <c r="GE719" s="94"/>
      <c r="GF719" s="104">
        <f t="shared" si="308"/>
        <v>2015</v>
      </c>
      <c r="GG719" s="104">
        <f t="shared" si="309"/>
        <v>41</v>
      </c>
      <c r="GH719" s="35">
        <v>42284</v>
      </c>
      <c r="GI719" s="26">
        <v>2.112</v>
      </c>
      <c r="GJ719" s="94">
        <f t="shared" si="310"/>
        <v>4.224</v>
      </c>
      <c r="GK719" s="104"/>
      <c r="GL719" s="104"/>
      <c r="GO719" s="94"/>
    </row>
    <row r="720" spans="3:197">
      <c r="C720" s="80" t="str" cm="1">
        <f t="array" ref="C720">_xlfn.IFS(MONTH(D720)&lt;4,1,MONTH(D720)&lt;7,2,MONTH(D720)&lt;10,3,MONTH(D720)&gt;9,4)&amp;"Q"&amp;RIGHT(YEAR(D720),2)</f>
        <v>4Q18</v>
      </c>
      <c r="D720" s="81">
        <f t="shared" si="304"/>
        <v>43434</v>
      </c>
      <c r="E720" s="82">
        <f t="shared" si="301"/>
        <v>43432</v>
      </c>
      <c r="F720" s="83">
        <f t="shared" si="303"/>
        <v>0.837625</v>
      </c>
      <c r="G720" s="83">
        <f t="shared" si="303"/>
        <v>0.89875</v>
      </c>
      <c r="H720" s="81"/>
      <c r="I720" s="146">
        <v>43432</v>
      </c>
      <c r="J720" s="147">
        <v>7.15</v>
      </c>
      <c r="K720" s="147">
        <v>6</v>
      </c>
      <c r="L720" s="147">
        <v>6.701</v>
      </c>
      <c r="M720" s="94" cm="1">
        <f t="array" ref="M720">INDEX($BV$29:$BV$1449,MATCH($D720,$BR$29:$BR$1449,0),)</f>
        <v>7.19</v>
      </c>
      <c r="N720" s="150">
        <f t="shared" si="300"/>
        <v>-0.00178757634440641</v>
      </c>
      <c r="O720" s="150">
        <f t="shared" si="302"/>
        <v>-0.0100457970158074</v>
      </c>
      <c r="P720" s="150">
        <f t="shared" si="311"/>
        <v>-0.0128167354154392</v>
      </c>
      <c r="Q720" s="89">
        <f t="shared" si="312"/>
        <v>-0.0680111265646732</v>
      </c>
      <c r="AH720" s="90"/>
      <c r="AI720" s="85"/>
      <c r="AJ720" s="36"/>
      <c r="AK720" s="36"/>
      <c r="AL720" s="36"/>
      <c r="AM720" s="36"/>
      <c r="AN720" s="36"/>
      <c r="AO720" s="36"/>
      <c r="AP720" s="36"/>
      <c r="FV720" s="104">
        <f t="shared" si="305"/>
        <v>2013</v>
      </c>
      <c r="FW720" s="104">
        <f t="shared" si="306"/>
        <v>15</v>
      </c>
      <c r="FX720" s="35">
        <v>41374</v>
      </c>
      <c r="FY720" s="26">
        <v>1.75</v>
      </c>
      <c r="FZ720" s="94">
        <f t="shared" si="307"/>
        <v>7</v>
      </c>
      <c r="GA720" s="104"/>
      <c r="GB720" s="104"/>
      <c r="GE720" s="94"/>
      <c r="GF720" s="104">
        <f t="shared" si="308"/>
        <v>2015</v>
      </c>
      <c r="GG720" s="104">
        <f t="shared" si="309"/>
        <v>41</v>
      </c>
      <c r="GH720" s="35">
        <v>42285</v>
      </c>
      <c r="GI720" s="26">
        <v>2.103</v>
      </c>
      <c r="GJ720" s="94">
        <f t="shared" si="310"/>
        <v>4.206</v>
      </c>
      <c r="GK720" s="104"/>
      <c r="GL720" s="104"/>
      <c r="GO720" s="94"/>
    </row>
    <row r="721" spans="3:197">
      <c r="C721" s="80" t="str" cm="1">
        <f t="array" ref="C721">_xlfn.IFS(MONTH(D721)&lt;4,1,MONTH(D721)&lt;7,2,MONTH(D721)&lt;10,3,MONTH(D721)&gt;9,4)&amp;"Q"&amp;RIGHT(YEAR(D721),2)</f>
        <v>4Q18</v>
      </c>
      <c r="D721" s="81">
        <f t="shared" si="304"/>
        <v>43434</v>
      </c>
      <c r="E721" s="82">
        <f t="shared" si="301"/>
        <v>43433</v>
      </c>
      <c r="F721" s="83">
        <f t="shared" si="303"/>
        <v>0.836375</v>
      </c>
      <c r="G721" s="83">
        <f t="shared" si="303"/>
        <v>0.89875</v>
      </c>
      <c r="H721" s="81"/>
      <c r="I721" s="146">
        <v>43433</v>
      </c>
      <c r="J721" s="147">
        <v>7.15</v>
      </c>
      <c r="K721" s="147">
        <v>5.8</v>
      </c>
      <c r="L721" s="147">
        <v>6.691</v>
      </c>
      <c r="M721" s="94" cm="1">
        <f t="array" ref="M721">INDEX($BV$29:$BV$1449,MATCH($D721,$BR$29:$BR$1449,0),)</f>
        <v>7.19</v>
      </c>
      <c r="N721" s="150">
        <f t="shared" si="300"/>
        <v>-0.00149231457991339</v>
      </c>
      <c r="O721" s="150">
        <f t="shared" si="302"/>
        <v>-0.00874074074074072</v>
      </c>
      <c r="P721" s="150">
        <f t="shared" si="311"/>
        <v>-0.0125442739079102</v>
      </c>
      <c r="Q721" s="89">
        <f t="shared" si="312"/>
        <v>-0.0694019471488179</v>
      </c>
      <c r="AH721" s="90"/>
      <c r="AI721" s="85"/>
      <c r="AJ721" s="36"/>
      <c r="AK721" s="36"/>
      <c r="AL721" s="36"/>
      <c r="AM721" s="36"/>
      <c r="AN721" s="36"/>
      <c r="AO721" s="36"/>
      <c r="AP721" s="36"/>
      <c r="FV721" s="104">
        <f t="shared" si="305"/>
        <v>2013</v>
      </c>
      <c r="FW721" s="104">
        <f t="shared" si="306"/>
        <v>15</v>
      </c>
      <c r="FX721" s="35">
        <v>41375</v>
      </c>
      <c r="FY721" s="26">
        <v>1.754</v>
      </c>
      <c r="FZ721" s="94">
        <f t="shared" si="307"/>
        <v>7.016</v>
      </c>
      <c r="GA721" s="104"/>
      <c r="GB721" s="104"/>
      <c r="GE721" s="94"/>
      <c r="GF721" s="104">
        <f t="shared" si="308"/>
        <v>2015</v>
      </c>
      <c r="GG721" s="104">
        <f t="shared" si="309"/>
        <v>41</v>
      </c>
      <c r="GH721" s="35">
        <v>42286</v>
      </c>
      <c r="GI721" s="26">
        <v>2.101</v>
      </c>
      <c r="GJ721" s="94">
        <f t="shared" si="310"/>
        <v>4.202</v>
      </c>
      <c r="GK721" s="104"/>
      <c r="GL721" s="104"/>
      <c r="GO721" s="94"/>
    </row>
    <row r="722" spans="3:197">
      <c r="C722" s="80" t="str" cm="1">
        <f t="array" ref="C722">_xlfn.IFS(MONTH(D722)&lt;4,1,MONTH(D722)&lt;7,2,MONTH(D722)&lt;10,3,MONTH(D722)&gt;9,4)&amp;"Q"&amp;RIGHT(YEAR(D722),2)</f>
        <v>4Q18</v>
      </c>
      <c r="D722" s="81">
        <f t="shared" si="304"/>
        <v>43434</v>
      </c>
      <c r="E722" s="82">
        <f t="shared" si="301"/>
        <v>43434</v>
      </c>
      <c r="F722" s="83">
        <f t="shared" si="303"/>
        <v>0.834</v>
      </c>
      <c r="G722" s="83">
        <f t="shared" si="303"/>
        <v>0.89875</v>
      </c>
      <c r="H722" s="81"/>
      <c r="I722" s="146">
        <v>43434</v>
      </c>
      <c r="J722" s="147">
        <v>7.15</v>
      </c>
      <c r="K722" s="147">
        <v>5.8</v>
      </c>
      <c r="L722" s="147">
        <v>6.672</v>
      </c>
      <c r="M722" s="94" cm="1">
        <f t="array" ref="M722">INDEX($BV$29:$BV$1449,MATCH($D722,$BR$29:$BR$1449,0),)</f>
        <v>7.19</v>
      </c>
      <c r="N722" s="150">
        <f t="shared" si="300"/>
        <v>-0.0028396353310417</v>
      </c>
      <c r="O722" s="150">
        <f t="shared" si="302"/>
        <v>-0.0115555555555557</v>
      </c>
      <c r="P722" s="150">
        <f t="shared" si="311"/>
        <v>-0.0153482880755608</v>
      </c>
      <c r="Q722" s="89">
        <f t="shared" si="312"/>
        <v>-0.0720445062586927</v>
      </c>
      <c r="AH722" s="90"/>
      <c r="AI722" s="85"/>
      <c r="AJ722" s="36"/>
      <c r="AK722" s="36"/>
      <c r="AL722" s="36"/>
      <c r="AM722" s="36"/>
      <c r="AN722" s="36"/>
      <c r="AO722" s="36"/>
      <c r="AP722" s="36"/>
      <c r="FV722" s="104">
        <f t="shared" si="305"/>
        <v>2013</v>
      </c>
      <c r="FW722" s="104">
        <f t="shared" si="306"/>
        <v>15</v>
      </c>
      <c r="FX722" s="35">
        <v>41376</v>
      </c>
      <c r="FY722" s="26">
        <v>1.745</v>
      </c>
      <c r="FZ722" s="94">
        <f t="shared" si="307"/>
        <v>6.98</v>
      </c>
      <c r="GA722" s="104"/>
      <c r="GB722" s="104"/>
      <c r="GE722" s="94"/>
      <c r="GF722" s="104">
        <f t="shared" si="308"/>
        <v>2015</v>
      </c>
      <c r="GG722" s="104">
        <f t="shared" si="309"/>
        <v>42</v>
      </c>
      <c r="GH722" s="35">
        <v>42289</v>
      </c>
      <c r="GI722" s="26">
        <v>2.094</v>
      </c>
      <c r="GJ722" s="94">
        <f t="shared" si="310"/>
        <v>4.188</v>
      </c>
      <c r="GK722" s="104"/>
      <c r="GL722" s="104"/>
      <c r="GO722" s="94"/>
    </row>
    <row r="723" spans="3:197">
      <c r="C723" s="80" t="str" cm="1">
        <f t="array" ref="C723">_xlfn.IFS(MONTH(D723)&lt;4,1,MONTH(D723)&lt;7,2,MONTH(D723)&lt;10,3,MONTH(D723)&gt;9,4)&amp;"Q"&amp;RIGHT(YEAR(D723),2)</f>
        <v>4Q18</v>
      </c>
      <c r="D723" s="81">
        <f t="shared" si="304"/>
        <v>43465</v>
      </c>
      <c r="E723" s="82">
        <f t="shared" si="301"/>
        <v>43437</v>
      </c>
      <c r="F723" s="83">
        <f t="shared" ref="F723:G741" si="313">+L723/8</f>
        <v>0.832</v>
      </c>
      <c r="G723" s="83">
        <f t="shared" si="313"/>
        <v>0.90625</v>
      </c>
      <c r="H723" s="81"/>
      <c r="I723" s="146">
        <v>43437</v>
      </c>
      <c r="J723" s="147">
        <v>7.15</v>
      </c>
      <c r="K723" s="147">
        <v>5.8</v>
      </c>
      <c r="L723" s="147">
        <v>6.656</v>
      </c>
      <c r="M723" s="94" cm="1">
        <f t="array" ref="M723">INDEX($BV$29:$BV$1449,MATCH($D723,$BR$29:$BR$1449,0),)</f>
        <v>7.25</v>
      </c>
      <c r="N723" s="150">
        <f t="shared" ref="N723:N786" si="314">L723/L722-1</f>
        <v>-0.00239808153477217</v>
      </c>
      <c r="O723" s="150">
        <f t="shared" si="302"/>
        <v>-0.00849098763593037</v>
      </c>
      <c r="P723" s="150">
        <f t="shared" si="311"/>
        <v>-0.016693750923327</v>
      </c>
      <c r="Q723" s="89">
        <f t="shared" si="312"/>
        <v>-0.0819310344827586</v>
      </c>
      <c r="AH723" s="90"/>
      <c r="AI723" s="85"/>
      <c r="AJ723" s="36"/>
      <c r="AK723" s="36"/>
      <c r="AL723" s="36"/>
      <c r="AM723" s="36"/>
      <c r="AN723" s="36"/>
      <c r="AO723" s="36"/>
      <c r="AP723" s="36"/>
      <c r="FV723" s="104">
        <f t="shared" si="305"/>
        <v>2013</v>
      </c>
      <c r="FW723" s="104">
        <f t="shared" si="306"/>
        <v>16</v>
      </c>
      <c r="FX723" s="35">
        <v>41379</v>
      </c>
      <c r="FY723" s="26">
        <v>1.743</v>
      </c>
      <c r="FZ723" s="94">
        <f t="shared" si="307"/>
        <v>6.972</v>
      </c>
      <c r="GA723" s="104"/>
      <c r="GB723" s="104"/>
      <c r="GE723" s="94"/>
      <c r="GF723" s="104">
        <f t="shared" si="308"/>
        <v>2015</v>
      </c>
      <c r="GG723" s="104">
        <f t="shared" si="309"/>
        <v>42</v>
      </c>
      <c r="GH723" s="35">
        <v>42290</v>
      </c>
      <c r="GI723" s="26">
        <v>2.086</v>
      </c>
      <c r="GJ723" s="94">
        <f t="shared" si="310"/>
        <v>4.172</v>
      </c>
      <c r="GK723" s="104"/>
      <c r="GL723" s="104"/>
      <c r="GO723" s="94"/>
    </row>
    <row r="724" spans="3:197">
      <c r="C724" s="80" t="str" cm="1">
        <f t="array" ref="C724">_xlfn.IFS(MONTH(D724)&lt;4,1,MONTH(D724)&lt;7,2,MONTH(D724)&lt;10,3,MONTH(D724)&gt;9,4)&amp;"Q"&amp;RIGHT(YEAR(D724),2)</f>
        <v>4Q18</v>
      </c>
      <c r="D724" s="81">
        <f t="shared" si="304"/>
        <v>43465</v>
      </c>
      <c r="E724" s="82">
        <f t="shared" si="301"/>
        <v>43438</v>
      </c>
      <c r="F724" s="83">
        <f t="shared" si="313"/>
        <v>0.824875</v>
      </c>
      <c r="G724" s="83">
        <f t="shared" si="313"/>
        <v>0.90625</v>
      </c>
      <c r="H724" s="81"/>
      <c r="I724" s="146">
        <v>43438</v>
      </c>
      <c r="J724" s="147">
        <v>7.15</v>
      </c>
      <c r="K724" s="147">
        <v>5.8</v>
      </c>
      <c r="L724" s="147">
        <v>6.599</v>
      </c>
      <c r="M724" s="94" cm="1">
        <f t="array" ref="M724">INDEX($BV$29:$BV$1449,MATCH($D724,$BR$29:$BR$1449,0),)</f>
        <v>7.25</v>
      </c>
      <c r="N724" s="150">
        <f t="shared" si="314"/>
        <v>-0.00856370192307687</v>
      </c>
      <c r="O724" s="150">
        <f t="shared" si="302"/>
        <v>-0.0169819752718605</v>
      </c>
      <c r="P724" s="150">
        <f t="shared" si="311"/>
        <v>-0.0251144925395184</v>
      </c>
      <c r="Q724" s="89">
        <f t="shared" si="312"/>
        <v>-0.0897931034482758</v>
      </c>
      <c r="AH724" s="90"/>
      <c r="AI724" s="85"/>
      <c r="AJ724" s="36"/>
      <c r="AK724" s="36"/>
      <c r="AL724" s="36"/>
      <c r="AM724" s="36"/>
      <c r="AN724" s="36"/>
      <c r="AO724" s="36"/>
      <c r="AP724" s="36"/>
      <c r="FV724" s="104">
        <f t="shared" si="305"/>
        <v>2013</v>
      </c>
      <c r="FW724" s="104">
        <f t="shared" si="306"/>
        <v>16</v>
      </c>
      <c r="FX724" s="35">
        <v>41380</v>
      </c>
      <c r="FY724" s="26">
        <v>1.74</v>
      </c>
      <c r="FZ724" s="94">
        <f t="shared" si="307"/>
        <v>6.96</v>
      </c>
      <c r="GA724" s="104"/>
      <c r="GB724" s="104"/>
      <c r="GE724" s="94"/>
      <c r="GF724" s="104">
        <f t="shared" si="308"/>
        <v>2015</v>
      </c>
      <c r="GG724" s="104">
        <f t="shared" si="309"/>
        <v>42</v>
      </c>
      <c r="GH724" s="35">
        <v>42291</v>
      </c>
      <c r="GI724" s="26">
        <v>2.083</v>
      </c>
      <c r="GJ724" s="94">
        <f t="shared" si="310"/>
        <v>4.166</v>
      </c>
      <c r="GK724" s="104"/>
      <c r="GL724" s="104"/>
      <c r="GO724" s="94"/>
    </row>
    <row r="725" spans="3:197">
      <c r="C725" s="80" t="str" cm="1">
        <f t="array" ref="C725">_xlfn.IFS(MONTH(D725)&lt;4,1,MONTH(D725)&lt;7,2,MONTH(D725)&lt;10,3,MONTH(D725)&gt;9,4)&amp;"Q"&amp;RIGHT(YEAR(D725),2)</f>
        <v>4Q18</v>
      </c>
      <c r="D725" s="81">
        <f t="shared" si="304"/>
        <v>43465</v>
      </c>
      <c r="E725" s="82">
        <f t="shared" ref="E725:E788" si="315">I725</f>
        <v>43439</v>
      </c>
      <c r="F725" s="83">
        <f t="shared" si="313"/>
        <v>0.82</v>
      </c>
      <c r="G725" s="83">
        <f t="shared" si="313"/>
        <v>0.90625</v>
      </c>
      <c r="H725" s="81"/>
      <c r="I725" s="146">
        <v>43439</v>
      </c>
      <c r="J725" s="147">
        <v>7.15</v>
      </c>
      <c r="K725" s="147">
        <v>5.8</v>
      </c>
      <c r="L725" s="147">
        <v>6.56</v>
      </c>
      <c r="M725" s="94" cm="1">
        <f t="array" ref="M725">INDEX($BV$29:$BV$1449,MATCH($D725,$BR$29:$BR$1449,0),)</f>
        <v>7.25</v>
      </c>
      <c r="N725" s="150">
        <f t="shared" si="314"/>
        <v>-0.00590998636157003</v>
      </c>
      <c r="O725" s="150">
        <f t="shared" ref="O725:O788" si="316">L725/L720-1</f>
        <v>-0.0210416355767796</v>
      </c>
      <c r="P725" s="150">
        <f t="shared" si="311"/>
        <v>-0.0308760525927021</v>
      </c>
      <c r="Q725" s="89">
        <f t="shared" si="312"/>
        <v>-0.0951724137931035</v>
      </c>
      <c r="AH725" s="90"/>
      <c r="AI725" s="85"/>
      <c r="AJ725" s="36"/>
      <c r="AK725" s="36"/>
      <c r="AL725" s="36"/>
      <c r="AM725" s="36"/>
      <c r="AN725" s="36"/>
      <c r="AO725" s="36"/>
      <c r="AP725" s="36"/>
      <c r="FV725" s="104">
        <f t="shared" si="305"/>
        <v>2013</v>
      </c>
      <c r="FW725" s="104">
        <f t="shared" si="306"/>
        <v>16</v>
      </c>
      <c r="FX725" s="35">
        <v>41381</v>
      </c>
      <c r="FY725" s="26">
        <v>1.711</v>
      </c>
      <c r="FZ725" s="94">
        <f t="shared" si="307"/>
        <v>6.844</v>
      </c>
      <c r="GA725" s="104"/>
      <c r="GB725" s="104"/>
      <c r="GE725" s="94"/>
      <c r="GF725" s="104">
        <f t="shared" si="308"/>
        <v>2015</v>
      </c>
      <c r="GG725" s="104">
        <f t="shared" si="309"/>
        <v>42</v>
      </c>
      <c r="GH725" s="35">
        <v>42292</v>
      </c>
      <c r="GI725" s="26">
        <v>2.079</v>
      </c>
      <c r="GJ725" s="94">
        <f t="shared" si="310"/>
        <v>4.158</v>
      </c>
      <c r="GK725" s="104"/>
      <c r="GL725" s="104"/>
      <c r="GO725" s="94"/>
    </row>
    <row r="726" spans="3:197">
      <c r="C726" s="80" t="str" cm="1">
        <f t="array" ref="C726">_xlfn.IFS(MONTH(D726)&lt;4,1,MONTH(D726)&lt;7,2,MONTH(D726)&lt;10,3,MONTH(D726)&gt;9,4)&amp;"Q"&amp;RIGHT(YEAR(D726),2)</f>
        <v>4Q18</v>
      </c>
      <c r="D726" s="81">
        <f t="shared" si="304"/>
        <v>43465</v>
      </c>
      <c r="E726" s="82">
        <f t="shared" si="315"/>
        <v>43440</v>
      </c>
      <c r="F726" s="83">
        <f t="shared" si="313"/>
        <v>0.817625</v>
      </c>
      <c r="G726" s="83">
        <f t="shared" si="313"/>
        <v>0.90625</v>
      </c>
      <c r="H726" s="81"/>
      <c r="I726" s="146">
        <v>43440</v>
      </c>
      <c r="J726" s="147">
        <v>7.15</v>
      </c>
      <c r="K726" s="147">
        <v>5.8</v>
      </c>
      <c r="L726" s="147">
        <v>6.541</v>
      </c>
      <c r="M726" s="94" cm="1">
        <f t="array" ref="M726">INDEX($BV$29:$BV$1449,MATCH($D726,$BR$29:$BR$1449,0),)</f>
        <v>7.25</v>
      </c>
      <c r="N726" s="150">
        <f t="shared" si="314"/>
        <v>-0.00289634146341455</v>
      </c>
      <c r="O726" s="150">
        <f t="shared" si="316"/>
        <v>-0.0224181736661185</v>
      </c>
      <c r="P726" s="150">
        <f t="shared" si="311"/>
        <v>-0.0309629629629629</v>
      </c>
      <c r="Q726" s="89">
        <f t="shared" si="312"/>
        <v>-0.0977931034482759</v>
      </c>
      <c r="AH726" s="90"/>
      <c r="AI726" s="85"/>
      <c r="AJ726" s="36"/>
      <c r="AK726" s="36"/>
      <c r="AL726" s="36"/>
      <c r="AM726" s="36"/>
      <c r="AN726" s="36"/>
      <c r="AO726" s="36"/>
      <c r="AP726" s="36"/>
      <c r="FV726" s="104">
        <f t="shared" si="305"/>
        <v>2013</v>
      </c>
      <c r="FW726" s="104">
        <f t="shared" si="306"/>
        <v>16</v>
      </c>
      <c r="FX726" s="35">
        <v>41382</v>
      </c>
      <c r="FY726" s="26">
        <v>1.705</v>
      </c>
      <c r="FZ726" s="94">
        <f t="shared" si="307"/>
        <v>6.82</v>
      </c>
      <c r="GA726" s="104"/>
      <c r="GB726" s="104"/>
      <c r="GE726" s="94"/>
      <c r="GF726" s="104">
        <f t="shared" si="308"/>
        <v>2015</v>
      </c>
      <c r="GG726" s="104">
        <f t="shared" si="309"/>
        <v>42</v>
      </c>
      <c r="GH726" s="35">
        <v>42293</v>
      </c>
      <c r="GI726" s="26">
        <v>2.079</v>
      </c>
      <c r="GJ726" s="94">
        <f t="shared" si="310"/>
        <v>4.158</v>
      </c>
      <c r="GK726" s="104"/>
      <c r="GL726" s="104"/>
      <c r="GO726" s="94"/>
    </row>
    <row r="727" spans="3:197">
      <c r="C727" s="80" t="str" cm="1">
        <f t="array" ref="C727">_xlfn.IFS(MONTH(D727)&lt;4,1,MONTH(D727)&lt;7,2,MONTH(D727)&lt;10,3,MONTH(D727)&gt;9,4)&amp;"Q"&amp;RIGHT(YEAR(D727),2)</f>
        <v>4Q18</v>
      </c>
      <c r="D727" s="81">
        <f t="shared" si="304"/>
        <v>43465</v>
      </c>
      <c r="E727" s="82">
        <f t="shared" si="315"/>
        <v>43441</v>
      </c>
      <c r="F727" s="83">
        <f t="shared" si="313"/>
        <v>0.81625</v>
      </c>
      <c r="G727" s="83">
        <f t="shared" si="313"/>
        <v>0.90625</v>
      </c>
      <c r="H727" s="81"/>
      <c r="I727" s="146">
        <v>43441</v>
      </c>
      <c r="J727" s="147">
        <v>7.15</v>
      </c>
      <c r="K727" s="147">
        <v>5.8</v>
      </c>
      <c r="L727" s="147">
        <v>6.53</v>
      </c>
      <c r="M727" s="94" cm="1">
        <f t="array" ref="M727">INDEX($BV$29:$BV$1449,MATCH($D727,$BR$29:$BR$1449,0),)</f>
        <v>7.25</v>
      </c>
      <c r="N727" s="150">
        <f t="shared" si="314"/>
        <v>-0.00168170004586454</v>
      </c>
      <c r="O727" s="150">
        <f t="shared" si="316"/>
        <v>-0.021282973621103</v>
      </c>
      <c r="P727" s="150">
        <f t="shared" si="311"/>
        <v>-0.0325925925925925</v>
      </c>
      <c r="Q727" s="89">
        <f t="shared" si="312"/>
        <v>-0.0993103448275862</v>
      </c>
      <c r="AH727" s="90"/>
      <c r="AI727" s="85"/>
      <c r="AJ727" s="36"/>
      <c r="AK727" s="36"/>
      <c r="AL727" s="36"/>
      <c r="AM727" s="36"/>
      <c r="AN727" s="36"/>
      <c r="AO727" s="36"/>
      <c r="AP727" s="36"/>
      <c r="FV727" s="104">
        <f t="shared" si="305"/>
        <v>2013</v>
      </c>
      <c r="FW727" s="104">
        <f t="shared" si="306"/>
        <v>16</v>
      </c>
      <c r="FX727" s="35">
        <v>41383</v>
      </c>
      <c r="FY727" s="26">
        <v>1.705</v>
      </c>
      <c r="FZ727" s="94">
        <f t="shared" si="307"/>
        <v>6.82</v>
      </c>
      <c r="GA727" s="104"/>
      <c r="GB727" s="104"/>
      <c r="GE727" s="94"/>
      <c r="GF727" s="104">
        <f t="shared" si="308"/>
        <v>2015</v>
      </c>
      <c r="GG727" s="104">
        <f t="shared" si="309"/>
        <v>43</v>
      </c>
      <c r="GH727" s="35">
        <v>42296</v>
      </c>
      <c r="GI727" s="26">
        <v>2.072</v>
      </c>
      <c r="GJ727" s="94">
        <f t="shared" si="310"/>
        <v>4.144</v>
      </c>
      <c r="GK727" s="104"/>
      <c r="GL727" s="104"/>
      <c r="GO727" s="94"/>
    </row>
    <row r="728" spans="3:197">
      <c r="C728" s="80" t="str" cm="1">
        <f t="array" ref="C728">_xlfn.IFS(MONTH(D728)&lt;4,1,MONTH(D728)&lt;7,2,MONTH(D728)&lt;10,3,MONTH(D728)&gt;9,4)&amp;"Q"&amp;RIGHT(YEAR(D728),2)</f>
        <v>4Q18</v>
      </c>
      <c r="D728" s="81">
        <f t="shared" si="304"/>
        <v>43465</v>
      </c>
      <c r="E728" s="82">
        <f t="shared" si="315"/>
        <v>43444</v>
      </c>
      <c r="F728" s="83">
        <f t="shared" si="313"/>
        <v>0.815625</v>
      </c>
      <c r="G728" s="83">
        <f t="shared" si="313"/>
        <v>0.90625</v>
      </c>
      <c r="H728" s="81"/>
      <c r="I728" s="146">
        <v>43444</v>
      </c>
      <c r="J728" s="147">
        <v>7.15</v>
      </c>
      <c r="K728" s="147">
        <v>5.8</v>
      </c>
      <c r="L728" s="147">
        <v>6.525</v>
      </c>
      <c r="M728" s="94" cm="1">
        <f t="array" ref="M728">INDEX($BV$29:$BV$1449,MATCH($D728,$BR$29:$BR$1449,0),)</f>
        <v>7.25</v>
      </c>
      <c r="N728" s="150">
        <f t="shared" si="314"/>
        <v>-0.000765696784073455</v>
      </c>
      <c r="O728" s="150">
        <f t="shared" si="316"/>
        <v>-0.0196814903846153</v>
      </c>
      <c r="P728" s="150">
        <f t="shared" si="311"/>
        <v>-0.0280053627290332</v>
      </c>
      <c r="Q728" s="89">
        <f t="shared" si="312"/>
        <v>-0.1</v>
      </c>
      <c r="AH728" s="90"/>
      <c r="AI728" s="85"/>
      <c r="AJ728" s="36"/>
      <c r="AK728" s="36"/>
      <c r="AL728" s="36"/>
      <c r="AM728" s="36"/>
      <c r="AN728" s="36"/>
      <c r="AO728" s="36"/>
      <c r="AP728" s="36"/>
      <c r="FV728" s="104">
        <f t="shared" si="305"/>
        <v>2013</v>
      </c>
      <c r="FW728" s="104">
        <f t="shared" si="306"/>
        <v>17</v>
      </c>
      <c r="FX728" s="35">
        <v>41386</v>
      </c>
      <c r="FY728" s="26">
        <v>1.705</v>
      </c>
      <c r="FZ728" s="94">
        <f t="shared" si="307"/>
        <v>6.82</v>
      </c>
      <c r="GA728" s="104"/>
      <c r="GB728" s="104"/>
      <c r="GE728" s="94"/>
      <c r="GF728" s="104">
        <f t="shared" si="308"/>
        <v>2015</v>
      </c>
      <c r="GG728" s="104">
        <f t="shared" si="309"/>
        <v>43</v>
      </c>
      <c r="GH728" s="35">
        <v>42297</v>
      </c>
      <c r="GI728" s="26">
        <v>2.067</v>
      </c>
      <c r="GJ728" s="94">
        <f t="shared" si="310"/>
        <v>4.134</v>
      </c>
      <c r="GK728" s="104"/>
      <c r="GL728" s="104"/>
      <c r="GO728" s="94"/>
    </row>
    <row r="729" spans="3:197">
      <c r="C729" s="80" t="str" cm="1">
        <f t="array" ref="C729">_xlfn.IFS(MONTH(D729)&lt;4,1,MONTH(D729)&lt;7,2,MONTH(D729)&lt;10,3,MONTH(D729)&gt;9,4)&amp;"Q"&amp;RIGHT(YEAR(D729),2)</f>
        <v>4Q18</v>
      </c>
      <c r="D729" s="81">
        <f t="shared" si="304"/>
        <v>43465</v>
      </c>
      <c r="E729" s="82">
        <f t="shared" si="315"/>
        <v>43445</v>
      </c>
      <c r="F729" s="83">
        <f t="shared" si="313"/>
        <v>0.815625</v>
      </c>
      <c r="G729" s="83">
        <f t="shared" si="313"/>
        <v>0.90625</v>
      </c>
      <c r="H729" s="81"/>
      <c r="I729" s="146">
        <v>43445</v>
      </c>
      <c r="J729" s="147">
        <v>7.15</v>
      </c>
      <c r="K729" s="147">
        <v>5.8</v>
      </c>
      <c r="L729" s="147">
        <v>6.525</v>
      </c>
      <c r="M729" s="94" cm="1">
        <f t="array" ref="M729">INDEX($BV$29:$BV$1449,MATCH($D729,$BR$29:$BR$1449,0),)</f>
        <v>7.25</v>
      </c>
      <c r="N729" s="150">
        <f t="shared" si="314"/>
        <v>0</v>
      </c>
      <c r="O729" s="150">
        <f t="shared" si="316"/>
        <v>-0.0112138202757993</v>
      </c>
      <c r="P729" s="150">
        <f t="shared" si="311"/>
        <v>-0.0280053627290332</v>
      </c>
      <c r="Q729" s="89">
        <f t="shared" si="312"/>
        <v>-0.1</v>
      </c>
      <c r="AH729" s="90"/>
      <c r="AI729" s="85"/>
      <c r="AJ729" s="36"/>
      <c r="AK729" s="36"/>
      <c r="AL729" s="36"/>
      <c r="AM729" s="36"/>
      <c r="AN729" s="36"/>
      <c r="AO729" s="36"/>
      <c r="AP729" s="36"/>
      <c r="FV729" s="104">
        <f t="shared" si="305"/>
        <v>2013</v>
      </c>
      <c r="FW729" s="104">
        <f t="shared" si="306"/>
        <v>17</v>
      </c>
      <c r="FX729" s="35">
        <v>41387</v>
      </c>
      <c r="FY729" s="26">
        <v>1.688</v>
      </c>
      <c r="FZ729" s="94">
        <f t="shared" si="307"/>
        <v>6.752</v>
      </c>
      <c r="GA729" s="104"/>
      <c r="GB729" s="104"/>
      <c r="GE729" s="94"/>
      <c r="GF729" s="104">
        <f t="shared" si="308"/>
        <v>2015</v>
      </c>
      <c r="GG729" s="104">
        <f t="shared" si="309"/>
        <v>43</v>
      </c>
      <c r="GH729" s="35">
        <v>42298</v>
      </c>
      <c r="GI729" s="26">
        <v>2.067</v>
      </c>
      <c r="GJ729" s="94">
        <f t="shared" si="310"/>
        <v>4.134</v>
      </c>
      <c r="GK729" s="104"/>
      <c r="GL729" s="104"/>
      <c r="GO729" s="94"/>
    </row>
    <row r="730" spans="3:197">
      <c r="C730" s="80" t="str" cm="1">
        <f t="array" ref="C730">_xlfn.IFS(MONTH(D730)&lt;4,1,MONTH(D730)&lt;7,2,MONTH(D730)&lt;10,3,MONTH(D730)&gt;9,4)&amp;"Q"&amp;RIGHT(YEAR(D730),2)</f>
        <v>4Q18</v>
      </c>
      <c r="D730" s="81">
        <f t="shared" si="304"/>
        <v>43465</v>
      </c>
      <c r="E730" s="82">
        <f t="shared" si="315"/>
        <v>43446</v>
      </c>
      <c r="F730" s="83">
        <f t="shared" si="313"/>
        <v>0.812875</v>
      </c>
      <c r="G730" s="83">
        <f t="shared" si="313"/>
        <v>0.90625</v>
      </c>
      <c r="H730" s="81"/>
      <c r="I730" s="146">
        <v>43446</v>
      </c>
      <c r="J730" s="147">
        <v>7.1</v>
      </c>
      <c r="K730" s="147">
        <v>5.65</v>
      </c>
      <c r="L730" s="147">
        <v>6.503</v>
      </c>
      <c r="M730" s="94" cm="1">
        <f t="array" ref="M730">INDEX($BV$29:$BV$1449,MATCH($D730,$BR$29:$BR$1449,0),)</f>
        <v>7.25</v>
      </c>
      <c r="N730" s="150">
        <f t="shared" si="314"/>
        <v>-0.00337164750957863</v>
      </c>
      <c r="O730" s="150">
        <f t="shared" si="316"/>
        <v>-0.00868902439024377</v>
      </c>
      <c r="P730" s="150">
        <f t="shared" si="311"/>
        <v>-0.0295478286822861</v>
      </c>
      <c r="Q730" s="89">
        <f t="shared" si="312"/>
        <v>-0.103034482758621</v>
      </c>
      <c r="AH730" s="90"/>
      <c r="AI730" s="85"/>
      <c r="AJ730" s="36"/>
      <c r="AK730" s="36"/>
      <c r="AL730" s="36"/>
      <c r="AM730" s="36"/>
      <c r="AN730" s="36"/>
      <c r="AO730" s="36"/>
      <c r="AP730" s="36"/>
      <c r="FV730" s="104">
        <f t="shared" si="305"/>
        <v>2013</v>
      </c>
      <c r="FW730" s="104">
        <f t="shared" si="306"/>
        <v>17</v>
      </c>
      <c r="FX730" s="35">
        <v>41388</v>
      </c>
      <c r="FY730" s="26">
        <v>1.684</v>
      </c>
      <c r="FZ730" s="94">
        <f t="shared" si="307"/>
        <v>6.736</v>
      </c>
      <c r="GA730" s="104"/>
      <c r="GB730" s="104"/>
      <c r="GE730" s="94"/>
      <c r="GF730" s="104">
        <f t="shared" si="308"/>
        <v>2015</v>
      </c>
      <c r="GG730" s="104">
        <f t="shared" si="309"/>
        <v>43</v>
      </c>
      <c r="GH730" s="35">
        <v>42299</v>
      </c>
      <c r="GI730" s="26">
        <v>2.067</v>
      </c>
      <c r="GJ730" s="94">
        <f t="shared" si="310"/>
        <v>4.134</v>
      </c>
      <c r="GK730" s="104"/>
      <c r="GL730" s="104"/>
      <c r="GO730" s="94"/>
    </row>
    <row r="731" spans="3:197">
      <c r="C731" s="80" t="str" cm="1">
        <f t="array" ref="C731">_xlfn.IFS(MONTH(D731)&lt;4,1,MONTH(D731)&lt;7,2,MONTH(D731)&lt;10,3,MONTH(D731)&gt;9,4)&amp;"Q"&amp;RIGHT(YEAR(D731),2)</f>
        <v>4Q18</v>
      </c>
      <c r="D731" s="81">
        <f t="shared" si="304"/>
        <v>43465</v>
      </c>
      <c r="E731" s="82">
        <f t="shared" si="315"/>
        <v>43447</v>
      </c>
      <c r="F731" s="83">
        <f t="shared" si="313"/>
        <v>0.812875</v>
      </c>
      <c r="G731" s="83">
        <f t="shared" si="313"/>
        <v>0.90625</v>
      </c>
      <c r="H731" s="81"/>
      <c r="I731" s="146">
        <v>43447</v>
      </c>
      <c r="J731" s="147">
        <v>7.1</v>
      </c>
      <c r="K731" s="147">
        <v>5.65</v>
      </c>
      <c r="L731" s="147">
        <v>6.503</v>
      </c>
      <c r="M731" s="94" cm="1">
        <f t="array" ref="M731">INDEX($BV$29:$BV$1449,MATCH($D731,$BR$29:$BR$1449,0),)</f>
        <v>7.25</v>
      </c>
      <c r="N731" s="150">
        <f t="shared" si="314"/>
        <v>0</v>
      </c>
      <c r="O731" s="150">
        <f t="shared" si="316"/>
        <v>-0.00580950924935031</v>
      </c>
      <c r="P731" s="150">
        <f t="shared" si="311"/>
        <v>-0.028097444328202</v>
      </c>
      <c r="Q731" s="89">
        <f t="shared" si="312"/>
        <v>-0.103034482758621</v>
      </c>
      <c r="AH731" s="90"/>
      <c r="AI731" s="85"/>
      <c r="AJ731" s="36"/>
      <c r="AK731" s="36"/>
      <c r="AL731" s="36"/>
      <c r="AM731" s="36"/>
      <c r="AN731" s="36"/>
      <c r="AO731" s="36"/>
      <c r="AP731" s="36"/>
      <c r="FV731" s="104">
        <f t="shared" si="305"/>
        <v>2013</v>
      </c>
      <c r="FW731" s="104">
        <f t="shared" si="306"/>
        <v>17</v>
      </c>
      <c r="FX731" s="35">
        <v>41389</v>
      </c>
      <c r="FY731" s="26">
        <v>1.678</v>
      </c>
      <c r="FZ731" s="94">
        <f t="shared" si="307"/>
        <v>6.712</v>
      </c>
      <c r="GA731" s="104"/>
      <c r="GB731" s="104"/>
      <c r="GE731" s="94"/>
      <c r="GF731" s="104">
        <f t="shared" si="308"/>
        <v>2015</v>
      </c>
      <c r="GG731" s="104">
        <f t="shared" si="309"/>
        <v>43</v>
      </c>
      <c r="GH731" s="35">
        <v>42300</v>
      </c>
      <c r="GI731" s="26">
        <v>2.065</v>
      </c>
      <c r="GJ731" s="94">
        <f t="shared" si="310"/>
        <v>4.13</v>
      </c>
      <c r="GK731" s="104"/>
      <c r="GL731" s="104"/>
      <c r="GO731" s="94"/>
    </row>
    <row r="732" spans="3:197">
      <c r="C732" s="80" t="str" cm="1">
        <f t="array" ref="C732">_xlfn.IFS(MONTH(D732)&lt;4,1,MONTH(D732)&lt;7,2,MONTH(D732)&lt;10,3,MONTH(D732)&gt;9,4)&amp;"Q"&amp;RIGHT(YEAR(D732),2)</f>
        <v>4Q18</v>
      </c>
      <c r="D732" s="81">
        <f t="shared" si="304"/>
        <v>43465</v>
      </c>
      <c r="E732" s="82">
        <f t="shared" si="315"/>
        <v>43448</v>
      </c>
      <c r="F732" s="83">
        <f t="shared" si="313"/>
        <v>0.811375</v>
      </c>
      <c r="G732" s="83">
        <f t="shared" si="313"/>
        <v>0.90625</v>
      </c>
      <c r="H732" s="81"/>
      <c r="I732" s="146">
        <v>43448</v>
      </c>
      <c r="J732" s="147">
        <v>7</v>
      </c>
      <c r="K732" s="147">
        <v>5.65</v>
      </c>
      <c r="L732" s="147">
        <v>6.491</v>
      </c>
      <c r="M732" s="94" cm="1">
        <f t="array" ref="M732">INDEX($BV$29:$BV$1449,MATCH($D732,$BR$29:$BR$1449,0),)</f>
        <v>7.25</v>
      </c>
      <c r="N732" s="150">
        <f t="shared" si="314"/>
        <v>-0.00184530216823009</v>
      </c>
      <c r="O732" s="150">
        <f t="shared" si="316"/>
        <v>-0.00597243491577348</v>
      </c>
      <c r="P732" s="150">
        <f t="shared" si="311"/>
        <v>-0.0271282973621103</v>
      </c>
      <c r="Q732" s="89">
        <f t="shared" si="312"/>
        <v>-0.104689655172414</v>
      </c>
      <c r="AH732" s="90"/>
      <c r="AI732" s="85"/>
      <c r="AJ732" s="36"/>
      <c r="AK732" s="36"/>
      <c r="AL732" s="36"/>
      <c r="AM732" s="36"/>
      <c r="AN732" s="36"/>
      <c r="AO732" s="36"/>
      <c r="AP732" s="36"/>
      <c r="FV732" s="104">
        <f t="shared" si="305"/>
        <v>2013</v>
      </c>
      <c r="FW732" s="104">
        <f t="shared" si="306"/>
        <v>17</v>
      </c>
      <c r="FX732" s="35">
        <v>41390</v>
      </c>
      <c r="FY732" s="26">
        <v>1.678</v>
      </c>
      <c r="FZ732" s="94">
        <f t="shared" si="307"/>
        <v>6.712</v>
      </c>
      <c r="GA732" s="104"/>
      <c r="GB732" s="104"/>
      <c r="GE732" s="94"/>
      <c r="GF732" s="104">
        <f t="shared" si="308"/>
        <v>2015</v>
      </c>
      <c r="GG732" s="104">
        <f t="shared" si="309"/>
        <v>44</v>
      </c>
      <c r="GH732" s="35">
        <v>42303</v>
      </c>
      <c r="GI732" s="26">
        <v>2.061</v>
      </c>
      <c r="GJ732" s="94">
        <f t="shared" si="310"/>
        <v>4.122</v>
      </c>
      <c r="GK732" s="104"/>
      <c r="GL732" s="104"/>
      <c r="GO732" s="94"/>
    </row>
    <row r="733" spans="3:197">
      <c r="C733" s="80" t="str" cm="1">
        <f t="array" ref="C733">_xlfn.IFS(MONTH(D733)&lt;4,1,MONTH(D733)&lt;7,2,MONTH(D733)&lt;10,3,MONTH(D733)&gt;9,4)&amp;"Q"&amp;RIGHT(YEAR(D733),2)</f>
        <v>4Q18</v>
      </c>
      <c r="D733" s="81">
        <f t="shared" si="304"/>
        <v>43465</v>
      </c>
      <c r="E733" s="82">
        <f t="shared" si="315"/>
        <v>43451</v>
      </c>
      <c r="F733" s="83">
        <f t="shared" si="313"/>
        <v>0.809</v>
      </c>
      <c r="G733" s="83">
        <f t="shared" si="313"/>
        <v>0.90625</v>
      </c>
      <c r="H733" s="81"/>
      <c r="I733" s="146">
        <v>43451</v>
      </c>
      <c r="J733" s="147">
        <v>7</v>
      </c>
      <c r="K733" s="147">
        <v>5.65</v>
      </c>
      <c r="L733" s="147">
        <v>6.472</v>
      </c>
      <c r="M733" s="94" cm="1">
        <f t="array" ref="M733">INDEX($BV$29:$BV$1449,MATCH($D733,$BR$29:$BR$1449,0),)</f>
        <v>7.25</v>
      </c>
      <c r="N733" s="150">
        <f t="shared" si="314"/>
        <v>-0.00292712987213051</v>
      </c>
      <c r="O733" s="150">
        <f t="shared" si="316"/>
        <v>-0.00812260536398468</v>
      </c>
      <c r="P733" s="150">
        <f t="shared" si="311"/>
        <v>-0.0276442307692306</v>
      </c>
      <c r="Q733" s="89">
        <f t="shared" si="312"/>
        <v>-0.107310344827586</v>
      </c>
      <c r="AH733" s="90"/>
      <c r="AI733" s="85"/>
      <c r="AJ733" s="36"/>
      <c r="AK733" s="36"/>
      <c r="AL733" s="36"/>
      <c r="AM733" s="36"/>
      <c r="AN733" s="36"/>
      <c r="AO733" s="36"/>
      <c r="AP733" s="36"/>
      <c r="FV733" s="104">
        <f t="shared" si="305"/>
        <v>2013</v>
      </c>
      <c r="FW733" s="104">
        <f t="shared" si="306"/>
        <v>18</v>
      </c>
      <c r="FX733" s="35">
        <v>41393</v>
      </c>
      <c r="FY733" s="26">
        <v>1.679</v>
      </c>
      <c r="FZ733" s="94">
        <f t="shared" si="307"/>
        <v>6.716</v>
      </c>
      <c r="GA733" s="104"/>
      <c r="GB733" s="104"/>
      <c r="GE733" s="94"/>
      <c r="GF733" s="104">
        <f t="shared" si="308"/>
        <v>2015</v>
      </c>
      <c r="GG733" s="104">
        <f t="shared" si="309"/>
        <v>44</v>
      </c>
      <c r="GH733" s="35">
        <v>42304</v>
      </c>
      <c r="GI733" s="26">
        <v>2.055</v>
      </c>
      <c r="GJ733" s="94">
        <f t="shared" si="310"/>
        <v>4.11</v>
      </c>
      <c r="GK733" s="104"/>
      <c r="GL733" s="104"/>
      <c r="GO733" s="94"/>
    </row>
    <row r="734" spans="3:197">
      <c r="C734" s="80" t="str" cm="1">
        <f t="array" ref="C734">_xlfn.IFS(MONTH(D734)&lt;4,1,MONTH(D734)&lt;7,2,MONTH(D734)&lt;10,3,MONTH(D734)&gt;9,4)&amp;"Q"&amp;RIGHT(YEAR(D734),2)</f>
        <v>4Q18</v>
      </c>
      <c r="D734" s="81">
        <f t="shared" ref="D734:D797" si="317">EOMONTH(E734,0)</f>
        <v>43465</v>
      </c>
      <c r="E734" s="82">
        <f t="shared" si="315"/>
        <v>43452</v>
      </c>
      <c r="F734" s="83">
        <f t="shared" si="313"/>
        <v>0.809</v>
      </c>
      <c r="G734" s="83">
        <f t="shared" si="313"/>
        <v>0.90625</v>
      </c>
      <c r="H734" s="81"/>
      <c r="I734" s="146">
        <v>43452</v>
      </c>
      <c r="J734" s="147">
        <v>7</v>
      </c>
      <c r="K734" s="147">
        <v>5.65</v>
      </c>
      <c r="L734" s="147">
        <v>6.472</v>
      </c>
      <c r="M734" s="94" cm="1">
        <f t="array" ref="M734">INDEX($BV$29:$BV$1449,MATCH($D734,$BR$29:$BR$1449,0),)</f>
        <v>7.25</v>
      </c>
      <c r="N734" s="150">
        <f t="shared" si="314"/>
        <v>0</v>
      </c>
      <c r="O734" s="150">
        <f t="shared" si="316"/>
        <v>-0.00812260536398468</v>
      </c>
      <c r="P734" s="150">
        <f t="shared" si="311"/>
        <v>-0.019245340203061</v>
      </c>
      <c r="Q734" s="89">
        <f t="shared" si="312"/>
        <v>-0.107310344827586</v>
      </c>
      <c r="AH734" s="90"/>
      <c r="AI734" s="85"/>
      <c r="AJ734" s="36"/>
      <c r="AK734" s="36"/>
      <c r="AL734" s="36"/>
      <c r="AM734" s="36"/>
      <c r="AN734" s="36"/>
      <c r="AO734" s="36"/>
      <c r="AP734" s="36"/>
      <c r="FV734" s="104">
        <f t="shared" si="305"/>
        <v>2013</v>
      </c>
      <c r="FW734" s="104">
        <f t="shared" si="306"/>
        <v>18</v>
      </c>
      <c r="FX734" s="35">
        <v>41394</v>
      </c>
      <c r="FY734" s="26">
        <v>1.687</v>
      </c>
      <c r="FZ734" s="94">
        <f t="shared" si="307"/>
        <v>6.748</v>
      </c>
      <c r="GA734" s="104"/>
      <c r="GB734" s="104"/>
      <c r="GE734" s="94"/>
      <c r="GF734" s="104">
        <f t="shared" si="308"/>
        <v>2015</v>
      </c>
      <c r="GG734" s="104">
        <f t="shared" si="309"/>
        <v>44</v>
      </c>
      <c r="GH734" s="35">
        <v>42305</v>
      </c>
      <c r="GI734" s="26">
        <v>2.042</v>
      </c>
      <c r="GJ734" s="94">
        <f t="shared" si="310"/>
        <v>4.084</v>
      </c>
      <c r="GK734" s="104"/>
      <c r="GL734" s="104"/>
      <c r="GO734" s="94"/>
    </row>
    <row r="735" spans="3:197">
      <c r="C735" s="80" t="str" cm="1">
        <f t="array" ref="C735">_xlfn.IFS(MONTH(D735)&lt;4,1,MONTH(D735)&lt;7,2,MONTH(D735)&lt;10,3,MONTH(D735)&gt;9,4)&amp;"Q"&amp;RIGHT(YEAR(D735),2)</f>
        <v>4Q18</v>
      </c>
      <c r="D735" s="81">
        <f t="shared" si="317"/>
        <v>43465</v>
      </c>
      <c r="E735" s="82">
        <f t="shared" si="315"/>
        <v>43453</v>
      </c>
      <c r="F735" s="83">
        <f t="shared" si="313"/>
        <v>0.801875</v>
      </c>
      <c r="G735" s="83">
        <f t="shared" si="313"/>
        <v>0.90625</v>
      </c>
      <c r="H735" s="81"/>
      <c r="I735" s="146">
        <v>43453</v>
      </c>
      <c r="J735" s="147">
        <v>7</v>
      </c>
      <c r="K735" s="147">
        <v>5.5</v>
      </c>
      <c r="L735" s="147">
        <v>6.415</v>
      </c>
      <c r="M735" s="94" cm="1">
        <f t="array" ref="M735">INDEX($BV$29:$BV$1449,MATCH($D735,$BR$29:$BR$1449,0),)</f>
        <v>7.25</v>
      </c>
      <c r="N735" s="150">
        <f t="shared" si="314"/>
        <v>-0.00880716934487025</v>
      </c>
      <c r="O735" s="150">
        <f t="shared" si="316"/>
        <v>-0.0135322159003537</v>
      </c>
      <c r="P735" s="150">
        <f t="shared" si="311"/>
        <v>-0.0221036585365852</v>
      </c>
      <c r="Q735" s="89">
        <f t="shared" si="312"/>
        <v>-0.115172413793103</v>
      </c>
      <c r="AH735" s="90"/>
      <c r="AI735" s="85"/>
      <c r="AJ735" s="36"/>
      <c r="AK735" s="36"/>
      <c r="AL735" s="36"/>
      <c r="AM735" s="36"/>
      <c r="AN735" s="36"/>
      <c r="AO735" s="36"/>
      <c r="AP735" s="36"/>
      <c r="FV735" s="104">
        <f t="shared" si="305"/>
        <v>2013</v>
      </c>
      <c r="FW735" s="104">
        <f t="shared" si="306"/>
        <v>18</v>
      </c>
      <c r="FX735" s="35">
        <v>41396</v>
      </c>
      <c r="FY735" s="26">
        <v>1.695</v>
      </c>
      <c r="FZ735" s="94">
        <f t="shared" si="307"/>
        <v>6.78</v>
      </c>
      <c r="GA735" s="104"/>
      <c r="GB735" s="104"/>
      <c r="GE735" s="94"/>
      <c r="GF735" s="104">
        <f t="shared" si="308"/>
        <v>2015</v>
      </c>
      <c r="GG735" s="104">
        <f t="shared" si="309"/>
        <v>44</v>
      </c>
      <c r="GH735" s="35">
        <v>42306</v>
      </c>
      <c r="GI735" s="26">
        <v>2.013</v>
      </c>
      <c r="GJ735" s="94">
        <f t="shared" si="310"/>
        <v>4.026</v>
      </c>
      <c r="GK735" s="104"/>
      <c r="GL735" s="104"/>
      <c r="GO735" s="94"/>
    </row>
    <row r="736" spans="3:197">
      <c r="C736" s="80" t="str" cm="1">
        <f t="array" ref="C736">_xlfn.IFS(MONTH(D736)&lt;4,1,MONTH(D736)&lt;7,2,MONTH(D736)&lt;10,3,MONTH(D736)&gt;9,4)&amp;"Q"&amp;RIGHT(YEAR(D736),2)</f>
        <v>4Q18</v>
      </c>
      <c r="D736" s="81">
        <f t="shared" si="317"/>
        <v>43465</v>
      </c>
      <c r="E736" s="82">
        <f t="shared" si="315"/>
        <v>43454</v>
      </c>
      <c r="F736" s="83">
        <f t="shared" si="313"/>
        <v>0.8005</v>
      </c>
      <c r="G736" s="83">
        <f t="shared" si="313"/>
        <v>0.90625</v>
      </c>
      <c r="H736" s="81"/>
      <c r="I736" s="146">
        <v>43454</v>
      </c>
      <c r="J736" s="147">
        <v>7</v>
      </c>
      <c r="K736" s="147">
        <v>5.35</v>
      </c>
      <c r="L736" s="147">
        <v>6.404</v>
      </c>
      <c r="M736" s="94" cm="1">
        <f t="array" ref="M736">INDEX($BV$29:$BV$1449,MATCH($D736,$BR$29:$BR$1449,0),)</f>
        <v>7.25</v>
      </c>
      <c r="N736" s="150">
        <f t="shared" si="314"/>
        <v>-0.00171473109898679</v>
      </c>
      <c r="O736" s="150">
        <f t="shared" si="316"/>
        <v>-0.015223742887898</v>
      </c>
      <c r="P736" s="150">
        <f t="shared" si="311"/>
        <v>-0.0209448096621312</v>
      </c>
      <c r="Q736" s="89">
        <f t="shared" si="312"/>
        <v>-0.116689655172414</v>
      </c>
      <c r="AH736" s="90"/>
      <c r="AI736" s="85"/>
      <c r="AJ736" s="36"/>
      <c r="AK736" s="36"/>
      <c r="AL736" s="36"/>
      <c r="AM736" s="36"/>
      <c r="AN736" s="36"/>
      <c r="AO736" s="36"/>
      <c r="AP736" s="36"/>
      <c r="FV736" s="104">
        <f t="shared" si="305"/>
        <v>2013</v>
      </c>
      <c r="FW736" s="104">
        <f t="shared" si="306"/>
        <v>18</v>
      </c>
      <c r="FX736" s="35">
        <v>41397</v>
      </c>
      <c r="FY736" s="26">
        <v>1.703</v>
      </c>
      <c r="FZ736" s="94">
        <f t="shared" si="307"/>
        <v>6.812</v>
      </c>
      <c r="GA736" s="104"/>
      <c r="GB736" s="104"/>
      <c r="GE736" s="94"/>
      <c r="GF736" s="104">
        <f t="shared" si="308"/>
        <v>2015</v>
      </c>
      <c r="GG736" s="104">
        <f t="shared" si="309"/>
        <v>44</v>
      </c>
      <c r="GH736" s="35">
        <v>42307</v>
      </c>
      <c r="GI736" s="26">
        <v>2.009</v>
      </c>
      <c r="GJ736" s="94">
        <f t="shared" si="310"/>
        <v>4.018</v>
      </c>
      <c r="GK736" s="104"/>
      <c r="GL736" s="104"/>
      <c r="GO736" s="94"/>
    </row>
    <row r="737" spans="3:197">
      <c r="C737" s="80" t="str" cm="1">
        <f t="array" ref="C737">_xlfn.IFS(MONTH(D737)&lt;4,1,MONTH(D737)&lt;7,2,MONTH(D737)&lt;10,3,MONTH(D737)&gt;9,4)&amp;"Q"&amp;RIGHT(YEAR(D737),2)</f>
        <v>4Q18</v>
      </c>
      <c r="D737" s="81">
        <f t="shared" si="317"/>
        <v>43465</v>
      </c>
      <c r="E737" s="82">
        <f t="shared" si="315"/>
        <v>43455</v>
      </c>
      <c r="F737" s="83">
        <f t="shared" si="313"/>
        <v>0.797625</v>
      </c>
      <c r="G737" s="83">
        <f t="shared" si="313"/>
        <v>0.90625</v>
      </c>
      <c r="H737" s="81"/>
      <c r="I737" s="146">
        <v>43455</v>
      </c>
      <c r="J737" s="147">
        <v>7</v>
      </c>
      <c r="K737" s="147">
        <v>5.25</v>
      </c>
      <c r="L737" s="147">
        <v>6.381</v>
      </c>
      <c r="M737" s="94" cm="1">
        <f t="array" ref="M737">INDEX($BV$29:$BV$1449,MATCH($D737,$BR$29:$BR$1449,0),)</f>
        <v>7.25</v>
      </c>
      <c r="N737" s="150">
        <f t="shared" si="314"/>
        <v>-0.00359150530918173</v>
      </c>
      <c r="O737" s="150">
        <f t="shared" si="316"/>
        <v>-0.0169465413649668</v>
      </c>
      <c r="P737" s="150">
        <f t="shared" si="311"/>
        <v>-0.0228177641653905</v>
      </c>
      <c r="Q737" s="89">
        <f t="shared" si="312"/>
        <v>-0.119862068965517</v>
      </c>
      <c r="AH737" s="90"/>
      <c r="AI737" s="85"/>
      <c r="AJ737" s="36"/>
      <c r="AK737" s="36"/>
      <c r="AL737" s="36"/>
      <c r="AM737" s="36"/>
      <c r="AN737" s="36"/>
      <c r="AO737" s="36"/>
      <c r="AP737" s="36"/>
      <c r="FV737" s="104">
        <f t="shared" si="305"/>
        <v>2013</v>
      </c>
      <c r="FW737" s="104">
        <f t="shared" si="306"/>
        <v>19</v>
      </c>
      <c r="FX737" s="35">
        <v>41400</v>
      </c>
      <c r="FY737" s="26">
        <v>1.706</v>
      </c>
      <c r="FZ737" s="94">
        <f t="shared" si="307"/>
        <v>6.824</v>
      </c>
      <c r="GA737" s="104"/>
      <c r="GB737" s="104"/>
      <c r="GE737" s="94"/>
      <c r="GF737" s="104">
        <f t="shared" si="308"/>
        <v>2015</v>
      </c>
      <c r="GG737" s="104">
        <f t="shared" si="309"/>
        <v>45</v>
      </c>
      <c r="GH737" s="35">
        <v>42310</v>
      </c>
      <c r="GI737" s="26">
        <v>2.004</v>
      </c>
      <c r="GJ737" s="94">
        <f t="shared" si="310"/>
        <v>4.008</v>
      </c>
      <c r="GK737" s="104"/>
      <c r="GL737" s="104"/>
      <c r="GO737" s="94"/>
    </row>
    <row r="738" spans="3:197">
      <c r="C738" s="80" t="str" cm="1">
        <f t="array" ref="C738">_xlfn.IFS(MONTH(D738)&lt;4,1,MONTH(D738)&lt;7,2,MONTH(D738)&lt;10,3,MONTH(D738)&gt;9,4)&amp;"Q"&amp;RIGHT(YEAR(D738),2)</f>
        <v>4Q18</v>
      </c>
      <c r="D738" s="81">
        <f t="shared" si="317"/>
        <v>43465</v>
      </c>
      <c r="E738" s="82">
        <f t="shared" si="315"/>
        <v>43458</v>
      </c>
      <c r="F738" s="83">
        <f t="shared" si="313"/>
        <v>0.79625</v>
      </c>
      <c r="G738" s="83">
        <f t="shared" si="313"/>
        <v>0.90625</v>
      </c>
      <c r="H738" s="81"/>
      <c r="I738" s="146">
        <v>43458</v>
      </c>
      <c r="J738" s="147">
        <v>7</v>
      </c>
      <c r="K738" s="147">
        <v>5.15</v>
      </c>
      <c r="L738" s="147">
        <v>6.37</v>
      </c>
      <c r="M738" s="94" cm="1">
        <f t="array" ref="M738">INDEX($BV$29:$BV$1449,MATCH($D738,$BR$29:$BR$1449,0),)</f>
        <v>7.25</v>
      </c>
      <c r="N738" s="150">
        <f t="shared" si="314"/>
        <v>-0.00172386773233035</v>
      </c>
      <c r="O738" s="150">
        <f t="shared" si="316"/>
        <v>-0.0157601977750309</v>
      </c>
      <c r="P738" s="150">
        <f t="shared" si="311"/>
        <v>-0.0237547892720307</v>
      </c>
      <c r="Q738" s="89">
        <f t="shared" si="312"/>
        <v>-0.121379310344828</v>
      </c>
      <c r="AH738" s="90"/>
      <c r="AI738" s="85"/>
      <c r="AJ738" s="36"/>
      <c r="AK738" s="36"/>
      <c r="AL738" s="36"/>
      <c r="AM738" s="36"/>
      <c r="AN738" s="36"/>
      <c r="AO738" s="36"/>
      <c r="AP738" s="36"/>
      <c r="FV738" s="104">
        <f t="shared" si="305"/>
        <v>2013</v>
      </c>
      <c r="FW738" s="104">
        <f t="shared" si="306"/>
        <v>19</v>
      </c>
      <c r="FX738" s="35">
        <v>41401</v>
      </c>
      <c r="FY738" s="26">
        <v>1.707</v>
      </c>
      <c r="FZ738" s="94">
        <f t="shared" si="307"/>
        <v>6.828</v>
      </c>
      <c r="GA738" s="104"/>
      <c r="GB738" s="104"/>
      <c r="GE738" s="94"/>
      <c r="GF738" s="104">
        <f t="shared" si="308"/>
        <v>2015</v>
      </c>
      <c r="GG738" s="104">
        <f t="shared" si="309"/>
        <v>45</v>
      </c>
      <c r="GH738" s="35">
        <v>42311</v>
      </c>
      <c r="GI738" s="26">
        <v>2</v>
      </c>
      <c r="GJ738" s="94">
        <f t="shared" si="310"/>
        <v>4</v>
      </c>
      <c r="GK738" s="104"/>
      <c r="GL738" s="104"/>
      <c r="GO738" s="94"/>
    </row>
    <row r="739" spans="3:197">
      <c r="C739" s="80" t="str" cm="1">
        <f t="array" ref="C739">_xlfn.IFS(MONTH(D739)&lt;4,1,MONTH(D739)&lt;7,2,MONTH(D739)&lt;10,3,MONTH(D739)&gt;9,4)&amp;"Q"&amp;RIGHT(YEAR(D739),2)</f>
        <v>4Q18</v>
      </c>
      <c r="D739" s="81">
        <f t="shared" si="317"/>
        <v>43465</v>
      </c>
      <c r="E739" s="82">
        <f t="shared" si="315"/>
        <v>43459</v>
      </c>
      <c r="F739" s="83">
        <f t="shared" si="313"/>
        <v>0.79475</v>
      </c>
      <c r="G739" s="83">
        <f t="shared" si="313"/>
        <v>0.90625</v>
      </c>
      <c r="H739" s="81"/>
      <c r="I739" s="146">
        <v>43459</v>
      </c>
      <c r="J739" s="147">
        <v>7</v>
      </c>
      <c r="K739" s="147">
        <v>5.15</v>
      </c>
      <c r="L739" s="147">
        <v>6.358</v>
      </c>
      <c r="M739" s="94" cm="1">
        <f t="array" ref="M739">INDEX($BV$29:$BV$1449,MATCH($D739,$BR$29:$BR$1449,0),)</f>
        <v>7.25</v>
      </c>
      <c r="N739" s="150">
        <f t="shared" si="314"/>
        <v>-0.00188383045525908</v>
      </c>
      <c r="O739" s="150">
        <f t="shared" si="316"/>
        <v>-0.0176143386897405</v>
      </c>
      <c r="P739" s="150">
        <f t="shared" si="311"/>
        <v>-0.0255938697318009</v>
      </c>
      <c r="Q739" s="89">
        <f t="shared" si="312"/>
        <v>-0.123034482758621</v>
      </c>
      <c r="AH739" s="90"/>
      <c r="AI739" s="85"/>
      <c r="AJ739" s="36"/>
      <c r="AK739" s="36"/>
      <c r="AL739" s="36"/>
      <c r="AM739" s="36"/>
      <c r="AN739" s="36"/>
      <c r="AO739" s="36"/>
      <c r="AP739" s="36"/>
      <c r="FV739" s="104">
        <f t="shared" si="305"/>
        <v>2013</v>
      </c>
      <c r="FW739" s="104">
        <f t="shared" si="306"/>
        <v>19</v>
      </c>
      <c r="FX739" s="35">
        <v>41402</v>
      </c>
      <c r="FY739" s="26">
        <v>1.705</v>
      </c>
      <c r="FZ739" s="94">
        <f t="shared" si="307"/>
        <v>6.82</v>
      </c>
      <c r="GA739" s="104"/>
      <c r="GB739" s="104"/>
      <c r="GE739" s="94"/>
      <c r="GF739" s="104">
        <f t="shared" si="308"/>
        <v>2015</v>
      </c>
      <c r="GG739" s="104">
        <f t="shared" si="309"/>
        <v>45</v>
      </c>
      <c r="GH739" s="35">
        <v>42312</v>
      </c>
      <c r="GI739" s="26">
        <v>1.982</v>
      </c>
      <c r="GJ739" s="94">
        <f t="shared" si="310"/>
        <v>3.964</v>
      </c>
      <c r="GK739" s="104"/>
      <c r="GL739" s="104"/>
      <c r="GO739" s="94"/>
    </row>
    <row r="740" spans="3:197">
      <c r="C740" s="80" t="str" cm="1">
        <f t="array" ref="C740">_xlfn.IFS(MONTH(D740)&lt;4,1,MONTH(D740)&lt;7,2,MONTH(D740)&lt;10,3,MONTH(D740)&gt;9,4)&amp;"Q"&amp;RIGHT(YEAR(D740),2)</f>
        <v>4Q18</v>
      </c>
      <c r="D740" s="81">
        <f t="shared" si="317"/>
        <v>43465</v>
      </c>
      <c r="E740" s="82">
        <f t="shared" si="315"/>
        <v>43460</v>
      </c>
      <c r="F740" s="83">
        <f t="shared" si="313"/>
        <v>0.794375</v>
      </c>
      <c r="G740" s="83">
        <f t="shared" si="313"/>
        <v>0.90625</v>
      </c>
      <c r="H740" s="81"/>
      <c r="I740" s="146">
        <v>43460</v>
      </c>
      <c r="J740" s="147">
        <v>7</v>
      </c>
      <c r="K740" s="147">
        <v>5.15</v>
      </c>
      <c r="L740" s="147">
        <v>6.355</v>
      </c>
      <c r="M740" s="94" cm="1">
        <f t="array" ref="M740">INDEX($BV$29:$BV$1449,MATCH($D740,$BR$29:$BR$1449,0),)</f>
        <v>7.25</v>
      </c>
      <c r="N740" s="150">
        <f t="shared" si="314"/>
        <v>-0.000471846492607564</v>
      </c>
      <c r="O740" s="150">
        <f t="shared" si="316"/>
        <v>-0.00935307872174584</v>
      </c>
      <c r="P740" s="150">
        <f t="shared" si="311"/>
        <v>-0.0227587267415039</v>
      </c>
      <c r="Q740" s="89">
        <f t="shared" si="312"/>
        <v>-0.123448275862069</v>
      </c>
      <c r="AH740" s="90"/>
      <c r="AI740" s="85"/>
      <c r="AJ740" s="36"/>
      <c r="AK740" s="36"/>
      <c r="AL740" s="36"/>
      <c r="AM740" s="36"/>
      <c r="AN740" s="36"/>
      <c r="AO740" s="36"/>
      <c r="AP740" s="36"/>
      <c r="FV740" s="104">
        <f t="shared" si="305"/>
        <v>2013</v>
      </c>
      <c r="FW740" s="104">
        <f t="shared" si="306"/>
        <v>19</v>
      </c>
      <c r="FX740" s="35">
        <v>41403</v>
      </c>
      <c r="FY740" s="26">
        <v>1.696</v>
      </c>
      <c r="FZ740" s="94">
        <f t="shared" si="307"/>
        <v>6.784</v>
      </c>
      <c r="GA740" s="104"/>
      <c r="GB740" s="104"/>
      <c r="GE740" s="94"/>
      <c r="GF740" s="104">
        <f t="shared" si="308"/>
        <v>2015</v>
      </c>
      <c r="GG740" s="104">
        <f t="shared" si="309"/>
        <v>45</v>
      </c>
      <c r="GH740" s="35">
        <v>42313</v>
      </c>
      <c r="GI740" s="26">
        <v>1.963</v>
      </c>
      <c r="GJ740" s="94">
        <f t="shared" si="310"/>
        <v>3.926</v>
      </c>
      <c r="GK740" s="104"/>
      <c r="GL740" s="104"/>
      <c r="GO740" s="94"/>
    </row>
    <row r="741" spans="3:197">
      <c r="C741" s="80" t="str" cm="1">
        <f t="array" ref="C741">_xlfn.IFS(MONTH(D741)&lt;4,1,MONTH(D741)&lt;7,2,MONTH(D741)&lt;10,3,MONTH(D741)&gt;9,4)&amp;"Q"&amp;RIGHT(YEAR(D741),2)</f>
        <v>4Q18</v>
      </c>
      <c r="D741" s="81">
        <f t="shared" si="317"/>
        <v>43465</v>
      </c>
      <c r="E741" s="82">
        <f t="shared" si="315"/>
        <v>43461</v>
      </c>
      <c r="F741" s="83">
        <f t="shared" si="313"/>
        <v>0.794</v>
      </c>
      <c r="G741" s="83">
        <f t="shared" si="313"/>
        <v>0.90625</v>
      </c>
      <c r="H741" s="81"/>
      <c r="I741" s="146">
        <v>43461</v>
      </c>
      <c r="J741" s="147">
        <v>7</v>
      </c>
      <c r="K741" s="147">
        <v>5.15</v>
      </c>
      <c r="L741" s="147">
        <v>6.352</v>
      </c>
      <c r="M741" s="94" cm="1">
        <f t="array" ref="M741">INDEX($BV$29:$BV$1449,MATCH($D741,$BR$29:$BR$1449,0),)</f>
        <v>7.25</v>
      </c>
      <c r="N741" s="150">
        <f t="shared" si="314"/>
        <v>-0.000472069236821415</v>
      </c>
      <c r="O741" s="150">
        <f t="shared" si="316"/>
        <v>-0.00811992504684567</v>
      </c>
      <c r="P741" s="150">
        <f t="shared" si="311"/>
        <v>-0.0232200522835614</v>
      </c>
      <c r="Q741" s="89">
        <f t="shared" si="312"/>
        <v>-0.123862068965517</v>
      </c>
      <c r="AH741" s="90"/>
      <c r="AI741" s="85"/>
      <c r="AJ741" s="36"/>
      <c r="AK741" s="36"/>
      <c r="AL741" s="36"/>
      <c r="AM741" s="36"/>
      <c r="AN741" s="36"/>
      <c r="AO741" s="36"/>
      <c r="AP741" s="36"/>
      <c r="FV741" s="104">
        <f t="shared" si="305"/>
        <v>2013</v>
      </c>
      <c r="FW741" s="104">
        <f t="shared" si="306"/>
        <v>19</v>
      </c>
      <c r="FX741" s="35">
        <v>41404</v>
      </c>
      <c r="FY741" s="26">
        <v>1.692</v>
      </c>
      <c r="FZ741" s="94">
        <f t="shared" si="307"/>
        <v>6.768</v>
      </c>
      <c r="GA741" s="104"/>
      <c r="GB741" s="104"/>
      <c r="GE741" s="94"/>
      <c r="GF741" s="104">
        <f t="shared" si="308"/>
        <v>2015</v>
      </c>
      <c r="GG741" s="104">
        <f t="shared" si="309"/>
        <v>45</v>
      </c>
      <c r="GH741" s="35">
        <v>42314</v>
      </c>
      <c r="GI741" s="26">
        <v>1.962</v>
      </c>
      <c r="GJ741" s="94">
        <f t="shared" si="310"/>
        <v>3.924</v>
      </c>
      <c r="GK741" s="104"/>
      <c r="GL741" s="104"/>
      <c r="GO741" s="94"/>
    </row>
    <row r="742" spans="3:197">
      <c r="C742" s="80" t="str" cm="1">
        <f t="array" ref="C742">_xlfn.IFS(MONTH(D742)&lt;4,1,MONTH(D742)&lt;7,2,MONTH(D742)&lt;10,3,MONTH(D742)&gt;9,4)&amp;"Q"&amp;RIGHT(YEAR(D742),2)</f>
        <v>4Q18</v>
      </c>
      <c r="D742" s="81">
        <f t="shared" si="317"/>
        <v>43465</v>
      </c>
      <c r="E742" s="82">
        <f t="shared" si="315"/>
        <v>43462</v>
      </c>
      <c r="F742" s="83">
        <f t="shared" ref="F742:G763" si="318">+L742/8</f>
        <v>0.794</v>
      </c>
      <c r="G742" s="83">
        <f t="shared" si="318"/>
        <v>0.90625</v>
      </c>
      <c r="H742" s="81"/>
      <c r="I742" s="146">
        <v>43462</v>
      </c>
      <c r="J742" s="147">
        <v>7</v>
      </c>
      <c r="K742" s="147">
        <v>5.15</v>
      </c>
      <c r="L742" s="147">
        <v>6.352</v>
      </c>
      <c r="M742" s="94" cm="1">
        <f t="array" ref="M742">INDEX($BV$29:$BV$1449,MATCH($D742,$BR$29:$BR$1449,0),)</f>
        <v>7.25</v>
      </c>
      <c r="N742" s="150">
        <f t="shared" si="314"/>
        <v>0</v>
      </c>
      <c r="O742" s="150">
        <f t="shared" si="316"/>
        <v>-0.00454474220341639</v>
      </c>
      <c r="P742" s="150">
        <f t="shared" si="311"/>
        <v>-0.0214142659066399</v>
      </c>
      <c r="Q742" s="89">
        <f t="shared" si="312"/>
        <v>-0.123862068965517</v>
      </c>
      <c r="AH742" s="90"/>
      <c r="AI742" s="85"/>
      <c r="AJ742" s="36"/>
      <c r="AK742" s="36"/>
      <c r="AL742" s="36"/>
      <c r="AM742" s="36"/>
      <c r="AN742" s="36"/>
      <c r="AO742" s="36"/>
      <c r="AP742" s="36"/>
      <c r="FV742" s="104">
        <f t="shared" si="305"/>
        <v>2013</v>
      </c>
      <c r="FW742" s="104">
        <f t="shared" si="306"/>
        <v>20</v>
      </c>
      <c r="FX742" s="35">
        <v>41407</v>
      </c>
      <c r="FY742" s="26">
        <v>1.683</v>
      </c>
      <c r="FZ742" s="94">
        <f t="shared" si="307"/>
        <v>6.732</v>
      </c>
      <c r="GA742" s="104"/>
      <c r="GB742" s="104"/>
      <c r="GE742" s="94"/>
      <c r="GF742" s="104">
        <f t="shared" si="308"/>
        <v>2015</v>
      </c>
      <c r="GG742" s="104">
        <f t="shared" si="309"/>
        <v>46</v>
      </c>
      <c r="GH742" s="35">
        <v>42317</v>
      </c>
      <c r="GI742" s="26">
        <v>1.958</v>
      </c>
      <c r="GJ742" s="94">
        <f t="shared" si="310"/>
        <v>3.916</v>
      </c>
      <c r="GK742" s="104"/>
      <c r="GL742" s="104"/>
      <c r="GO742" s="94"/>
    </row>
    <row r="743" spans="3:197">
      <c r="C743" s="80" t="str" cm="1">
        <f t="array" ref="C743">_xlfn.IFS(MONTH(D743)&lt;4,1,MONTH(D743)&lt;7,2,MONTH(D743)&lt;10,3,MONTH(D743)&gt;9,4)&amp;"Q"&amp;RIGHT(YEAR(D743),2)</f>
        <v>1Q19</v>
      </c>
      <c r="D743" s="81">
        <f t="shared" si="317"/>
        <v>43496</v>
      </c>
      <c r="E743" s="82">
        <f t="shared" si="315"/>
        <v>43467</v>
      </c>
      <c r="F743" s="83">
        <f t="shared" si="318"/>
        <v>0.794</v>
      </c>
      <c r="G743" s="83">
        <f t="shared" si="318"/>
        <v>0.75</v>
      </c>
      <c r="H743" s="81"/>
      <c r="I743" s="146">
        <v>43467</v>
      </c>
      <c r="J743" s="147">
        <v>7</v>
      </c>
      <c r="K743" s="147">
        <v>5.15</v>
      </c>
      <c r="L743" s="147">
        <v>6.352</v>
      </c>
      <c r="M743" s="94" cm="1">
        <f t="array" ref="M743">INDEX($BV$29:$BV$1449,MATCH($D743,$BR$29:$BR$1449,0),)</f>
        <v>6</v>
      </c>
      <c r="N743" s="150">
        <f t="shared" si="314"/>
        <v>0</v>
      </c>
      <c r="O743" s="150">
        <f t="shared" si="316"/>
        <v>-0.00282574568288851</v>
      </c>
      <c r="P743" s="150">
        <f t="shared" si="311"/>
        <v>-0.0185414091470952</v>
      </c>
      <c r="Q743" s="89">
        <f t="shared" si="312"/>
        <v>0.0586666666666666</v>
      </c>
      <c r="AH743" s="90"/>
      <c r="AI743" s="85"/>
      <c r="AJ743" s="36"/>
      <c r="AK743" s="36"/>
      <c r="AL743" s="36"/>
      <c r="AM743" s="36"/>
      <c r="AN743" s="36"/>
      <c r="AO743" s="36"/>
      <c r="AP743" s="36"/>
      <c r="FV743" s="104">
        <f t="shared" si="305"/>
        <v>2013</v>
      </c>
      <c r="FW743" s="104">
        <f t="shared" si="306"/>
        <v>20</v>
      </c>
      <c r="FX743" s="35">
        <v>41408</v>
      </c>
      <c r="FY743" s="26">
        <v>1.671</v>
      </c>
      <c r="FZ743" s="94">
        <f t="shared" si="307"/>
        <v>6.684</v>
      </c>
      <c r="GA743" s="104"/>
      <c r="GB743" s="104"/>
      <c r="GE743" s="94"/>
      <c r="GF743" s="104">
        <f t="shared" si="308"/>
        <v>2015</v>
      </c>
      <c r="GG743" s="104">
        <f t="shared" si="309"/>
        <v>46</v>
      </c>
      <c r="GH743" s="35">
        <v>42318</v>
      </c>
      <c r="GI743" s="26">
        <v>1.953</v>
      </c>
      <c r="GJ743" s="94">
        <f t="shared" si="310"/>
        <v>3.906</v>
      </c>
      <c r="GK743" s="104"/>
      <c r="GL743" s="104"/>
      <c r="GO743" s="94"/>
    </row>
    <row r="744" spans="3:197">
      <c r="C744" s="80" t="str" cm="1">
        <f t="array" ref="C744">_xlfn.IFS(MONTH(D744)&lt;4,1,MONTH(D744)&lt;7,2,MONTH(D744)&lt;10,3,MONTH(D744)&gt;9,4)&amp;"Q"&amp;RIGHT(YEAR(D744),2)</f>
        <v>1Q19</v>
      </c>
      <c r="D744" s="81">
        <f t="shared" si="317"/>
        <v>43496</v>
      </c>
      <c r="E744" s="82">
        <f t="shared" si="315"/>
        <v>43468</v>
      </c>
      <c r="F744" s="83">
        <f t="shared" si="318"/>
        <v>0.78675</v>
      </c>
      <c r="G744" s="83">
        <f t="shared" si="318"/>
        <v>0.75</v>
      </c>
      <c r="H744" s="81"/>
      <c r="I744" s="146">
        <v>43468</v>
      </c>
      <c r="J744" s="147">
        <v>7</v>
      </c>
      <c r="K744" s="147">
        <v>5.15</v>
      </c>
      <c r="L744" s="147">
        <v>6.294</v>
      </c>
      <c r="M744" s="94" cm="1">
        <f t="array" ref="M744">INDEX($BV$29:$BV$1449,MATCH($D744,$BR$29:$BR$1449,0),)</f>
        <v>6</v>
      </c>
      <c r="N744" s="150">
        <f t="shared" si="314"/>
        <v>-0.00913098236775833</v>
      </c>
      <c r="O744" s="150">
        <f t="shared" si="316"/>
        <v>-0.0100660585089651</v>
      </c>
      <c r="P744" s="150">
        <f t="shared" si="311"/>
        <v>-0.027503090234858</v>
      </c>
      <c r="Q744" s="89">
        <f t="shared" si="312"/>
        <v>0.0489999999999999</v>
      </c>
      <c r="AH744" s="90"/>
      <c r="AI744" s="85"/>
      <c r="AJ744" s="36"/>
      <c r="AK744" s="36"/>
      <c r="AL744" s="36"/>
      <c r="AM744" s="36"/>
      <c r="AN744" s="36"/>
      <c r="AO744" s="36"/>
      <c r="AP744" s="36"/>
      <c r="FV744" s="104">
        <f t="shared" si="305"/>
        <v>2013</v>
      </c>
      <c r="FW744" s="104">
        <f t="shared" si="306"/>
        <v>20</v>
      </c>
      <c r="FX744" s="35">
        <v>41409</v>
      </c>
      <c r="FY744" s="26">
        <v>1.665</v>
      </c>
      <c r="FZ744" s="94">
        <f t="shared" si="307"/>
        <v>6.66</v>
      </c>
      <c r="GA744" s="104"/>
      <c r="GB744" s="104"/>
      <c r="GE744" s="94"/>
      <c r="GF744" s="104">
        <f t="shared" si="308"/>
        <v>2015</v>
      </c>
      <c r="GG744" s="104">
        <f t="shared" si="309"/>
        <v>46</v>
      </c>
      <c r="GH744" s="35">
        <v>42319</v>
      </c>
      <c r="GI744" s="26">
        <v>1.951</v>
      </c>
      <c r="GJ744" s="94">
        <f t="shared" si="310"/>
        <v>3.902</v>
      </c>
      <c r="GK744" s="104"/>
      <c r="GL744" s="104"/>
      <c r="GO744" s="94"/>
    </row>
    <row r="745" spans="3:197">
      <c r="C745" s="80" t="str" cm="1">
        <f t="array" ref="C745">_xlfn.IFS(MONTH(D745)&lt;4,1,MONTH(D745)&lt;7,2,MONTH(D745)&lt;10,3,MONTH(D745)&gt;9,4)&amp;"Q"&amp;RIGHT(YEAR(D745),2)</f>
        <v>1Q19</v>
      </c>
      <c r="D745" s="81">
        <f t="shared" si="317"/>
        <v>43496</v>
      </c>
      <c r="E745" s="82">
        <f t="shared" si="315"/>
        <v>43469</v>
      </c>
      <c r="F745" s="83">
        <f t="shared" si="318"/>
        <v>0.77475</v>
      </c>
      <c r="G745" s="83">
        <f t="shared" si="318"/>
        <v>0.75</v>
      </c>
      <c r="H745" s="81"/>
      <c r="I745" s="146">
        <v>43469</v>
      </c>
      <c r="J745" s="147">
        <v>6.95</v>
      </c>
      <c r="K745" s="147">
        <v>5.15</v>
      </c>
      <c r="L745" s="147">
        <v>6.198</v>
      </c>
      <c r="M745" s="94" cm="1">
        <f t="array" ref="M745">INDEX($BV$29:$BV$1449,MATCH($D745,$BR$29:$BR$1449,0),)</f>
        <v>6</v>
      </c>
      <c r="N745" s="150">
        <f t="shared" si="314"/>
        <v>-0.0152526215443278</v>
      </c>
      <c r="O745" s="150">
        <f t="shared" si="316"/>
        <v>-0.0247049567269866</v>
      </c>
      <c r="P745" s="150">
        <f t="shared" si="311"/>
        <v>-0.0338269680436476</v>
      </c>
      <c r="Q745" s="89">
        <f t="shared" si="312"/>
        <v>0.0330000000000001</v>
      </c>
      <c r="AH745" s="90"/>
      <c r="AI745" s="85"/>
      <c r="AJ745" s="36"/>
      <c r="AK745" s="36"/>
      <c r="AL745" s="36"/>
      <c r="AM745" s="36"/>
      <c r="AN745" s="36"/>
      <c r="AO745" s="36"/>
      <c r="AP745" s="36"/>
      <c r="FV745" s="104">
        <f t="shared" si="305"/>
        <v>2013</v>
      </c>
      <c r="FW745" s="104">
        <f t="shared" si="306"/>
        <v>20</v>
      </c>
      <c r="FX745" s="35">
        <v>41410</v>
      </c>
      <c r="FY745" s="26">
        <v>1.654</v>
      </c>
      <c r="FZ745" s="94">
        <f t="shared" si="307"/>
        <v>6.616</v>
      </c>
      <c r="GA745" s="104"/>
      <c r="GB745" s="104"/>
      <c r="GE745" s="94"/>
      <c r="GF745" s="104">
        <f t="shared" si="308"/>
        <v>2015</v>
      </c>
      <c r="GG745" s="104">
        <f t="shared" si="309"/>
        <v>46</v>
      </c>
      <c r="GH745" s="35">
        <v>42320</v>
      </c>
      <c r="GI745" s="26">
        <v>1.948</v>
      </c>
      <c r="GJ745" s="94">
        <f t="shared" si="310"/>
        <v>3.896</v>
      </c>
      <c r="GK745" s="104"/>
      <c r="GL745" s="104"/>
      <c r="GO745" s="94"/>
    </row>
    <row r="746" spans="3:197">
      <c r="C746" s="80" t="str" cm="1">
        <f t="array" ref="C746">_xlfn.IFS(MONTH(D746)&lt;4,1,MONTH(D746)&lt;7,2,MONTH(D746)&lt;10,3,MONTH(D746)&gt;9,4)&amp;"Q"&amp;RIGHT(YEAR(D746),2)</f>
        <v>1Q19</v>
      </c>
      <c r="D746" s="81">
        <f t="shared" si="317"/>
        <v>43496</v>
      </c>
      <c r="E746" s="82">
        <f t="shared" si="315"/>
        <v>43472</v>
      </c>
      <c r="F746" s="83">
        <f t="shared" si="318"/>
        <v>0.77225</v>
      </c>
      <c r="G746" s="83">
        <f t="shared" si="318"/>
        <v>0.75</v>
      </c>
      <c r="H746" s="81"/>
      <c r="I746" s="146">
        <v>43472</v>
      </c>
      <c r="J746" s="147">
        <v>6.95</v>
      </c>
      <c r="K746" s="147">
        <v>5.15</v>
      </c>
      <c r="L746" s="147">
        <v>6.178</v>
      </c>
      <c r="M746" s="94" cm="1">
        <f t="array" ref="M746">INDEX($BV$29:$BV$1449,MATCH($D746,$BR$29:$BR$1449,0),)</f>
        <v>6</v>
      </c>
      <c r="N746" s="150">
        <f t="shared" si="314"/>
        <v>-0.00322684737011947</v>
      </c>
      <c r="O746" s="150">
        <f t="shared" si="316"/>
        <v>-0.0273929471032747</v>
      </c>
      <c r="P746" s="150">
        <f t="shared" si="311"/>
        <v>-0.0352904434728295</v>
      </c>
      <c r="Q746" s="89">
        <f t="shared" si="312"/>
        <v>0.0296666666666667</v>
      </c>
      <c r="AH746" s="90"/>
      <c r="AI746" s="85"/>
      <c r="AJ746" s="36"/>
      <c r="AK746" s="36"/>
      <c r="AL746" s="36"/>
      <c r="AM746" s="36"/>
      <c r="AN746" s="36"/>
      <c r="AO746" s="36"/>
      <c r="AP746" s="36"/>
      <c r="FV746" s="104">
        <f t="shared" si="305"/>
        <v>2013</v>
      </c>
      <c r="FW746" s="104">
        <f t="shared" si="306"/>
        <v>20</v>
      </c>
      <c r="FX746" s="35">
        <v>41411</v>
      </c>
      <c r="FY746" s="26">
        <v>1.654</v>
      </c>
      <c r="FZ746" s="94">
        <f t="shared" si="307"/>
        <v>6.616</v>
      </c>
      <c r="GA746" s="104"/>
      <c r="GB746" s="104"/>
      <c r="GE746" s="94"/>
      <c r="GF746" s="104">
        <f t="shared" si="308"/>
        <v>2015</v>
      </c>
      <c r="GG746" s="104">
        <f t="shared" si="309"/>
        <v>46</v>
      </c>
      <c r="GH746" s="35">
        <v>42321</v>
      </c>
      <c r="GI746" s="26">
        <v>1.944</v>
      </c>
      <c r="GJ746" s="94">
        <f t="shared" si="310"/>
        <v>3.888</v>
      </c>
      <c r="GK746" s="104"/>
      <c r="GL746" s="104"/>
      <c r="GO746" s="94"/>
    </row>
    <row r="747" spans="3:197">
      <c r="C747" s="80" t="str" cm="1">
        <f t="array" ref="C747">_xlfn.IFS(MONTH(D747)&lt;4,1,MONTH(D747)&lt;7,2,MONTH(D747)&lt;10,3,MONTH(D747)&gt;9,4)&amp;"Q"&amp;RIGHT(YEAR(D747),2)</f>
        <v>1Q19</v>
      </c>
      <c r="D747" s="81">
        <f t="shared" si="317"/>
        <v>43496</v>
      </c>
      <c r="E747" s="82">
        <f t="shared" si="315"/>
        <v>43473</v>
      </c>
      <c r="F747" s="83">
        <f t="shared" si="318"/>
        <v>0.769875</v>
      </c>
      <c r="G747" s="83">
        <f t="shared" si="318"/>
        <v>0.75</v>
      </c>
      <c r="H747" s="81"/>
      <c r="I747" s="146">
        <v>43473</v>
      </c>
      <c r="J747" s="147">
        <v>6.85</v>
      </c>
      <c r="K747" s="147">
        <v>5.15</v>
      </c>
      <c r="L747" s="147">
        <v>6.159</v>
      </c>
      <c r="M747" s="94" cm="1">
        <f t="array" ref="M747">INDEX($BV$29:$BV$1449,MATCH($D747,$BR$29:$BR$1449,0),)</f>
        <v>6</v>
      </c>
      <c r="N747" s="150">
        <f t="shared" si="314"/>
        <v>-0.003075428941405</v>
      </c>
      <c r="O747" s="150">
        <f t="shared" si="316"/>
        <v>-0.0303841309823678</v>
      </c>
      <c r="P747" s="150">
        <f t="shared" si="311"/>
        <v>-0.0347907851433945</v>
      </c>
      <c r="Q747" s="89">
        <f t="shared" si="312"/>
        <v>0.0265</v>
      </c>
      <c r="AH747" s="90"/>
      <c r="AI747" s="85"/>
      <c r="AJ747" s="36"/>
      <c r="AK747" s="36"/>
      <c r="AL747" s="36"/>
      <c r="AM747" s="36"/>
      <c r="AN747" s="36"/>
      <c r="AO747" s="36"/>
      <c r="AP747" s="36"/>
      <c r="FV747" s="104">
        <f t="shared" si="305"/>
        <v>2013</v>
      </c>
      <c r="FW747" s="104">
        <f t="shared" si="306"/>
        <v>21</v>
      </c>
      <c r="FX747" s="35">
        <v>41414</v>
      </c>
      <c r="FY747" s="26">
        <v>1.652</v>
      </c>
      <c r="FZ747" s="94">
        <f t="shared" si="307"/>
        <v>6.608</v>
      </c>
      <c r="GA747" s="104"/>
      <c r="GB747" s="104"/>
      <c r="GE747" s="94"/>
      <c r="GF747" s="104">
        <f t="shared" si="308"/>
        <v>2015</v>
      </c>
      <c r="GG747" s="104">
        <f t="shared" si="309"/>
        <v>47</v>
      </c>
      <c r="GH747" s="35">
        <v>42324</v>
      </c>
      <c r="GI747" s="26">
        <v>1.939</v>
      </c>
      <c r="GJ747" s="94">
        <f t="shared" si="310"/>
        <v>3.878</v>
      </c>
      <c r="GK747" s="104"/>
      <c r="GL747" s="104"/>
      <c r="GO747" s="94"/>
    </row>
    <row r="748" spans="3:197">
      <c r="C748" s="80" t="str" cm="1">
        <f t="array" ref="C748">_xlfn.IFS(MONTH(D748)&lt;4,1,MONTH(D748)&lt;7,2,MONTH(D748)&lt;10,3,MONTH(D748)&gt;9,4)&amp;"Q"&amp;RIGHT(YEAR(D748),2)</f>
        <v>1Q19</v>
      </c>
      <c r="D748" s="81">
        <f t="shared" si="317"/>
        <v>43496</v>
      </c>
      <c r="E748" s="82">
        <f t="shared" si="315"/>
        <v>43474</v>
      </c>
      <c r="F748" s="83">
        <f t="shared" si="318"/>
        <v>0.765</v>
      </c>
      <c r="G748" s="83">
        <f t="shared" si="318"/>
        <v>0.75</v>
      </c>
      <c r="H748" s="81"/>
      <c r="I748" s="146">
        <v>43474</v>
      </c>
      <c r="J748" s="147">
        <v>6.85</v>
      </c>
      <c r="K748" s="147">
        <v>5.15</v>
      </c>
      <c r="L748" s="147">
        <v>6.12</v>
      </c>
      <c r="M748" s="94" cm="1">
        <f t="array" ref="M748">INDEX($BV$29:$BV$1449,MATCH($D748,$BR$29:$BR$1449,0),)</f>
        <v>6</v>
      </c>
      <c r="N748" s="150">
        <f t="shared" si="314"/>
        <v>-0.00633219678519237</v>
      </c>
      <c r="O748" s="150">
        <f t="shared" si="316"/>
        <v>-0.0365239294710328</v>
      </c>
      <c r="P748" s="150">
        <f t="shared" si="311"/>
        <v>-0.0392464678178964</v>
      </c>
      <c r="Q748" s="89">
        <f t="shared" si="312"/>
        <v>0.02</v>
      </c>
      <c r="AH748" s="90"/>
      <c r="AI748" s="85"/>
      <c r="AJ748" s="36"/>
      <c r="AK748" s="36"/>
      <c r="AL748" s="36"/>
      <c r="AM748" s="36"/>
      <c r="AN748" s="36"/>
      <c r="AO748" s="36"/>
      <c r="AP748" s="36"/>
      <c r="FV748" s="104">
        <f t="shared" si="305"/>
        <v>2013</v>
      </c>
      <c r="FW748" s="104">
        <f t="shared" si="306"/>
        <v>21</v>
      </c>
      <c r="FX748" s="35">
        <v>41415</v>
      </c>
      <c r="FY748" s="26">
        <v>1.662</v>
      </c>
      <c r="FZ748" s="94">
        <f t="shared" si="307"/>
        <v>6.648</v>
      </c>
      <c r="GA748" s="104"/>
      <c r="GB748" s="104"/>
      <c r="GE748" s="94"/>
      <c r="GF748" s="104">
        <f t="shared" si="308"/>
        <v>2015</v>
      </c>
      <c r="GG748" s="104">
        <f t="shared" si="309"/>
        <v>47</v>
      </c>
      <c r="GH748" s="35">
        <v>42325</v>
      </c>
      <c r="GI748" s="26">
        <v>1.938</v>
      </c>
      <c r="GJ748" s="94">
        <f t="shared" si="310"/>
        <v>3.876</v>
      </c>
      <c r="GK748" s="104"/>
      <c r="GL748" s="104"/>
      <c r="GO748" s="94"/>
    </row>
    <row r="749" spans="3:197">
      <c r="C749" s="80" t="str" cm="1">
        <f t="array" ref="C749">_xlfn.IFS(MONTH(D749)&lt;4,1,MONTH(D749)&lt;7,2,MONTH(D749)&lt;10,3,MONTH(D749)&gt;9,4)&amp;"Q"&amp;RIGHT(YEAR(D749),2)</f>
        <v>1Q19</v>
      </c>
      <c r="D749" s="81">
        <f t="shared" si="317"/>
        <v>43496</v>
      </c>
      <c r="E749" s="82">
        <f t="shared" si="315"/>
        <v>43475</v>
      </c>
      <c r="F749" s="83">
        <f t="shared" si="318"/>
        <v>0.764125</v>
      </c>
      <c r="G749" s="83">
        <f t="shared" si="318"/>
        <v>0.75</v>
      </c>
      <c r="H749" s="81"/>
      <c r="I749" s="146">
        <v>43475</v>
      </c>
      <c r="J749" s="147">
        <v>6.85</v>
      </c>
      <c r="K749" s="147">
        <v>5.15</v>
      </c>
      <c r="L749" s="147">
        <v>6.113</v>
      </c>
      <c r="M749" s="94" cm="1">
        <f t="array" ref="M749">INDEX($BV$29:$BV$1449,MATCH($D749,$BR$29:$BR$1449,0),)</f>
        <v>6</v>
      </c>
      <c r="N749" s="150">
        <f t="shared" si="314"/>
        <v>-0.0011437908496732</v>
      </c>
      <c r="O749" s="150">
        <f t="shared" si="316"/>
        <v>-0.0287575468700348</v>
      </c>
      <c r="P749" s="150">
        <f t="shared" si="311"/>
        <v>-0.0385341302296318</v>
      </c>
      <c r="Q749" s="89">
        <f t="shared" si="312"/>
        <v>0.0188333333333335</v>
      </c>
      <c r="AH749" s="90"/>
      <c r="AI749" s="85"/>
      <c r="AJ749" s="36"/>
      <c r="AK749" s="36"/>
      <c r="AL749" s="36"/>
      <c r="AM749" s="36"/>
      <c r="AN749" s="36"/>
      <c r="AO749" s="36"/>
      <c r="AP749" s="36"/>
      <c r="FV749" s="104">
        <f t="shared" si="305"/>
        <v>2013</v>
      </c>
      <c r="FW749" s="104">
        <f t="shared" si="306"/>
        <v>21</v>
      </c>
      <c r="FX749" s="35">
        <v>41416</v>
      </c>
      <c r="FY749" s="26">
        <v>1.677</v>
      </c>
      <c r="FZ749" s="94">
        <f t="shared" si="307"/>
        <v>6.708</v>
      </c>
      <c r="GA749" s="104"/>
      <c r="GB749" s="104"/>
      <c r="GE749" s="94"/>
      <c r="GF749" s="104">
        <f t="shared" si="308"/>
        <v>2015</v>
      </c>
      <c r="GG749" s="104">
        <f t="shared" si="309"/>
        <v>47</v>
      </c>
      <c r="GH749" s="35">
        <v>42326</v>
      </c>
      <c r="GI749" s="26">
        <v>1.934</v>
      </c>
      <c r="GJ749" s="94">
        <f t="shared" si="310"/>
        <v>3.868</v>
      </c>
      <c r="GK749" s="104"/>
      <c r="GL749" s="104"/>
      <c r="GO749" s="94"/>
    </row>
    <row r="750" spans="3:197">
      <c r="C750" s="80" t="str" cm="1">
        <f t="array" ref="C750">_xlfn.IFS(MONTH(D750)&lt;4,1,MONTH(D750)&lt;7,2,MONTH(D750)&lt;10,3,MONTH(D750)&gt;9,4)&amp;"Q"&amp;RIGHT(YEAR(D750),2)</f>
        <v>1Q19</v>
      </c>
      <c r="D750" s="81">
        <f t="shared" si="317"/>
        <v>43496</v>
      </c>
      <c r="E750" s="82">
        <f t="shared" si="315"/>
        <v>43476</v>
      </c>
      <c r="F750" s="83">
        <f t="shared" si="318"/>
        <v>0.76375</v>
      </c>
      <c r="G750" s="83">
        <f t="shared" si="318"/>
        <v>0.75</v>
      </c>
      <c r="H750" s="81"/>
      <c r="I750" s="146">
        <v>43476</v>
      </c>
      <c r="J750" s="147">
        <v>6.85</v>
      </c>
      <c r="K750" s="147">
        <v>5.15</v>
      </c>
      <c r="L750" s="147">
        <v>6.11</v>
      </c>
      <c r="M750" s="94" cm="1">
        <f t="array" ref="M750">INDEX($BV$29:$BV$1449,MATCH($D750,$BR$29:$BR$1449,0),)</f>
        <v>6</v>
      </c>
      <c r="N750" s="150">
        <f t="shared" si="314"/>
        <v>-0.000490757402257458</v>
      </c>
      <c r="O750" s="150">
        <f t="shared" si="316"/>
        <v>-0.0141981284285253</v>
      </c>
      <c r="P750" s="150">
        <f t="shared" si="311"/>
        <v>-0.0385523210070811</v>
      </c>
      <c r="Q750" s="89">
        <f t="shared" si="312"/>
        <v>0.0183333333333333</v>
      </c>
      <c r="AH750" s="90"/>
      <c r="AI750" s="85"/>
      <c r="AJ750" s="36"/>
      <c r="AK750" s="36"/>
      <c r="AL750" s="36"/>
      <c r="AM750" s="36"/>
      <c r="AN750" s="36"/>
      <c r="AO750" s="36"/>
      <c r="AP750" s="36"/>
      <c r="FV750" s="104">
        <f t="shared" si="305"/>
        <v>2013</v>
      </c>
      <c r="FW750" s="104">
        <f t="shared" si="306"/>
        <v>21</v>
      </c>
      <c r="FX750" s="35">
        <v>41417</v>
      </c>
      <c r="FY750" s="26">
        <v>1.701</v>
      </c>
      <c r="FZ750" s="94">
        <f t="shared" si="307"/>
        <v>6.804</v>
      </c>
      <c r="GA750" s="104"/>
      <c r="GB750" s="104"/>
      <c r="GE750" s="94"/>
      <c r="GF750" s="104">
        <f t="shared" si="308"/>
        <v>2015</v>
      </c>
      <c r="GG750" s="104">
        <f t="shared" si="309"/>
        <v>47</v>
      </c>
      <c r="GH750" s="35">
        <v>42327</v>
      </c>
      <c r="GI750" s="26">
        <v>1.933</v>
      </c>
      <c r="GJ750" s="94">
        <f t="shared" si="310"/>
        <v>3.866</v>
      </c>
      <c r="GK750" s="104"/>
      <c r="GL750" s="104"/>
      <c r="GO750" s="94"/>
    </row>
    <row r="751" spans="3:197">
      <c r="C751" s="80" t="str" cm="1">
        <f t="array" ref="C751">_xlfn.IFS(MONTH(D751)&lt;4,1,MONTH(D751)&lt;7,2,MONTH(D751)&lt;10,3,MONTH(D751)&gt;9,4)&amp;"Q"&amp;RIGHT(YEAR(D751),2)</f>
        <v>1Q19</v>
      </c>
      <c r="D751" s="81">
        <f t="shared" si="317"/>
        <v>43496</v>
      </c>
      <c r="E751" s="82">
        <f t="shared" si="315"/>
        <v>43479</v>
      </c>
      <c r="F751" s="83">
        <f t="shared" si="318"/>
        <v>0.763375</v>
      </c>
      <c r="G751" s="83">
        <f t="shared" si="318"/>
        <v>0.75</v>
      </c>
      <c r="H751" s="81"/>
      <c r="I751" s="146">
        <v>43479</v>
      </c>
      <c r="J751" s="147">
        <v>6.85</v>
      </c>
      <c r="K751" s="147">
        <v>5.15</v>
      </c>
      <c r="L751" s="147">
        <v>6.107</v>
      </c>
      <c r="M751" s="94" cm="1">
        <f t="array" ref="M751">INDEX($BV$29:$BV$1449,MATCH($D751,$BR$29:$BR$1449,0),)</f>
        <v>6</v>
      </c>
      <c r="N751" s="150">
        <f t="shared" si="314"/>
        <v>-0.000490998363338768</v>
      </c>
      <c r="O751" s="150">
        <f t="shared" si="316"/>
        <v>-0.011492392359987</v>
      </c>
      <c r="P751" s="150">
        <f t="shared" si="311"/>
        <v>-0.0385705289672544</v>
      </c>
      <c r="Q751" s="89">
        <f t="shared" si="312"/>
        <v>0.0178333333333334</v>
      </c>
      <c r="AH751" s="90"/>
      <c r="AI751" s="85"/>
      <c r="AJ751" s="36"/>
      <c r="AK751" s="36"/>
      <c r="AL751" s="36"/>
      <c r="AM751" s="36"/>
      <c r="AN751" s="36"/>
      <c r="AO751" s="36"/>
      <c r="AP751" s="36"/>
      <c r="FV751" s="104">
        <f t="shared" si="305"/>
        <v>2013</v>
      </c>
      <c r="FW751" s="104">
        <f t="shared" si="306"/>
        <v>21</v>
      </c>
      <c r="FX751" s="35">
        <v>41418</v>
      </c>
      <c r="FY751" s="26">
        <v>1.71</v>
      </c>
      <c r="FZ751" s="94">
        <f t="shared" si="307"/>
        <v>6.84</v>
      </c>
      <c r="GA751" s="104"/>
      <c r="GB751" s="104"/>
      <c r="GE751" s="94"/>
      <c r="GF751" s="104">
        <f t="shared" si="308"/>
        <v>2015</v>
      </c>
      <c r="GG751" s="104">
        <f t="shared" si="309"/>
        <v>47</v>
      </c>
      <c r="GH751" s="35">
        <v>42328</v>
      </c>
      <c r="GI751" s="26">
        <v>1.932</v>
      </c>
      <c r="GJ751" s="94">
        <f t="shared" si="310"/>
        <v>3.864</v>
      </c>
      <c r="GK751" s="104"/>
      <c r="GL751" s="104"/>
      <c r="GO751" s="94"/>
    </row>
    <row r="752" spans="3:197">
      <c r="C752" s="80" t="str" cm="1">
        <f t="array" ref="C752">_xlfn.IFS(MONTH(D752)&lt;4,1,MONTH(D752)&lt;7,2,MONTH(D752)&lt;10,3,MONTH(D752)&gt;9,4)&amp;"Q"&amp;RIGHT(YEAR(D752),2)</f>
        <v>1Q19</v>
      </c>
      <c r="D752" s="81">
        <f t="shared" si="317"/>
        <v>43496</v>
      </c>
      <c r="E752" s="82">
        <f t="shared" si="315"/>
        <v>43480</v>
      </c>
      <c r="F752" s="83">
        <f t="shared" si="318"/>
        <v>0.762375</v>
      </c>
      <c r="G752" s="83">
        <f t="shared" si="318"/>
        <v>0.75</v>
      </c>
      <c r="H752" s="81"/>
      <c r="I752" s="146">
        <v>43480</v>
      </c>
      <c r="J752" s="147">
        <v>6.85</v>
      </c>
      <c r="K752" s="147">
        <v>5.15</v>
      </c>
      <c r="L752" s="147">
        <v>6.099</v>
      </c>
      <c r="M752" s="94" cm="1">
        <f t="array" ref="M752">INDEX($BV$29:$BV$1449,MATCH($D752,$BR$29:$BR$1449,0),)</f>
        <v>6</v>
      </c>
      <c r="N752" s="150">
        <f t="shared" si="314"/>
        <v>-0.00130997216309159</v>
      </c>
      <c r="O752" s="150">
        <f t="shared" si="316"/>
        <v>-0.00974184120798827</v>
      </c>
      <c r="P752" s="150">
        <f t="shared" si="311"/>
        <v>-0.0398299748110832</v>
      </c>
      <c r="Q752" s="89">
        <f t="shared" si="312"/>
        <v>0.0165</v>
      </c>
      <c r="AH752" s="90"/>
      <c r="AI752" s="85"/>
      <c r="AJ752" s="36"/>
      <c r="AK752" s="36"/>
      <c r="AL752" s="36"/>
      <c r="AM752" s="36"/>
      <c r="AN752" s="36"/>
      <c r="AO752" s="36"/>
      <c r="AP752" s="36"/>
      <c r="FV752" s="104">
        <f t="shared" si="305"/>
        <v>2013</v>
      </c>
      <c r="FW752" s="104">
        <f t="shared" si="306"/>
        <v>22</v>
      </c>
      <c r="FX752" s="35">
        <v>41421</v>
      </c>
      <c r="FY752" s="26">
        <v>1.724</v>
      </c>
      <c r="FZ752" s="94">
        <f t="shared" si="307"/>
        <v>6.896</v>
      </c>
      <c r="GA752" s="104"/>
      <c r="GB752" s="104"/>
      <c r="GE752" s="94"/>
      <c r="GF752" s="104">
        <f t="shared" si="308"/>
        <v>2015</v>
      </c>
      <c r="GG752" s="104">
        <f t="shared" si="309"/>
        <v>48</v>
      </c>
      <c r="GH752" s="35">
        <v>42331</v>
      </c>
      <c r="GI752" s="26">
        <v>1.928</v>
      </c>
      <c r="GJ752" s="94">
        <f t="shared" si="310"/>
        <v>3.856</v>
      </c>
      <c r="GK752" s="104"/>
      <c r="GL752" s="104"/>
      <c r="GO752" s="94"/>
    </row>
    <row r="753" spans="3:197">
      <c r="C753" s="80" t="str" cm="1">
        <f t="array" ref="C753">_xlfn.IFS(MONTH(D753)&lt;4,1,MONTH(D753)&lt;7,2,MONTH(D753)&lt;10,3,MONTH(D753)&gt;9,4)&amp;"Q"&amp;RIGHT(YEAR(D753),2)</f>
        <v>1Q19</v>
      </c>
      <c r="D753" s="81">
        <f t="shared" si="317"/>
        <v>43496</v>
      </c>
      <c r="E753" s="82">
        <f t="shared" si="315"/>
        <v>43481</v>
      </c>
      <c r="F753" s="83">
        <f t="shared" si="318"/>
        <v>0.75025</v>
      </c>
      <c r="G753" s="83">
        <f t="shared" si="318"/>
        <v>0.75</v>
      </c>
      <c r="H753" s="81"/>
      <c r="I753" s="146">
        <v>43481</v>
      </c>
      <c r="J753" s="147">
        <v>6.75</v>
      </c>
      <c r="K753" s="147">
        <v>5.15</v>
      </c>
      <c r="L753" s="147">
        <v>6.002</v>
      </c>
      <c r="M753" s="94" cm="1">
        <f t="array" ref="M753">INDEX($BV$29:$BV$1449,MATCH($D753,$BR$29:$BR$1449,0),)</f>
        <v>6</v>
      </c>
      <c r="N753" s="150">
        <f t="shared" si="314"/>
        <v>-0.015904246597803</v>
      </c>
      <c r="O753" s="150">
        <f t="shared" si="316"/>
        <v>-0.019281045751634</v>
      </c>
      <c r="P753" s="150">
        <f t="shared" si="311"/>
        <v>-0.0551007556675064</v>
      </c>
      <c r="Q753" s="89">
        <f t="shared" si="312"/>
        <v>0.000333333333333297</v>
      </c>
      <c r="AH753" s="90"/>
      <c r="AI753" s="85"/>
      <c r="AJ753" s="36"/>
      <c r="AK753" s="36"/>
      <c r="AL753" s="36"/>
      <c r="AM753" s="36"/>
      <c r="AN753" s="36"/>
      <c r="AO753" s="36"/>
      <c r="AP753" s="36"/>
      <c r="FV753" s="104">
        <f t="shared" si="305"/>
        <v>2013</v>
      </c>
      <c r="FW753" s="104">
        <f t="shared" si="306"/>
        <v>22</v>
      </c>
      <c r="FX753" s="35">
        <v>41422</v>
      </c>
      <c r="FY753" s="26">
        <v>1.728</v>
      </c>
      <c r="FZ753" s="94">
        <f t="shared" si="307"/>
        <v>6.912</v>
      </c>
      <c r="GA753" s="104"/>
      <c r="GB753" s="104"/>
      <c r="GE753" s="94"/>
      <c r="GF753" s="104">
        <f t="shared" si="308"/>
        <v>2015</v>
      </c>
      <c r="GG753" s="104">
        <f t="shared" si="309"/>
        <v>48</v>
      </c>
      <c r="GH753" s="35">
        <v>42332</v>
      </c>
      <c r="GI753" s="26">
        <v>1.927</v>
      </c>
      <c r="GJ753" s="94">
        <f t="shared" si="310"/>
        <v>3.854</v>
      </c>
      <c r="GK753" s="104"/>
      <c r="GL753" s="104"/>
      <c r="GO753" s="94"/>
    </row>
    <row r="754" spans="3:197">
      <c r="C754" s="80" t="str" cm="1">
        <f t="array" ref="C754">_xlfn.IFS(MONTH(D754)&lt;4,1,MONTH(D754)&lt;7,2,MONTH(D754)&lt;10,3,MONTH(D754)&gt;9,4)&amp;"Q"&amp;RIGHT(YEAR(D754),2)</f>
        <v>1Q19</v>
      </c>
      <c r="D754" s="81">
        <f t="shared" si="317"/>
        <v>43496</v>
      </c>
      <c r="E754" s="82">
        <f t="shared" si="315"/>
        <v>43482</v>
      </c>
      <c r="F754" s="83">
        <f t="shared" si="318"/>
        <v>0.747875</v>
      </c>
      <c r="G754" s="83">
        <f t="shared" si="318"/>
        <v>0.75</v>
      </c>
      <c r="H754" s="81"/>
      <c r="I754" s="146">
        <v>43482</v>
      </c>
      <c r="J754" s="147">
        <v>6.7</v>
      </c>
      <c r="K754" s="147">
        <v>5.15</v>
      </c>
      <c r="L754" s="147">
        <v>5.983</v>
      </c>
      <c r="M754" s="94" cm="1">
        <f t="array" ref="M754">INDEX($BV$29:$BV$1449,MATCH($D754,$BR$29:$BR$1449,0),)</f>
        <v>6</v>
      </c>
      <c r="N754" s="150">
        <f t="shared" si="314"/>
        <v>-0.00316561146284577</v>
      </c>
      <c r="O754" s="150">
        <f t="shared" si="316"/>
        <v>-0.0212661540978244</v>
      </c>
      <c r="P754" s="150">
        <f t="shared" si="311"/>
        <v>-0.0494121385446457</v>
      </c>
      <c r="Q754" s="89">
        <f t="shared" si="312"/>
        <v>-0.00283333333333335</v>
      </c>
      <c r="AH754" s="90"/>
      <c r="AI754" s="85"/>
      <c r="AJ754" s="36"/>
      <c r="AK754" s="36"/>
      <c r="AL754" s="36"/>
      <c r="AM754" s="36"/>
      <c r="AN754" s="36"/>
      <c r="AO754" s="36"/>
      <c r="AP754" s="36"/>
      <c r="FV754" s="104">
        <f t="shared" si="305"/>
        <v>2013</v>
      </c>
      <c r="FW754" s="104">
        <f t="shared" si="306"/>
        <v>22</v>
      </c>
      <c r="FX754" s="35">
        <v>41423</v>
      </c>
      <c r="FY754" s="26">
        <v>1.736</v>
      </c>
      <c r="FZ754" s="94">
        <f t="shared" si="307"/>
        <v>6.944</v>
      </c>
      <c r="GA754" s="104"/>
      <c r="GB754" s="104"/>
      <c r="GE754" s="94"/>
      <c r="GF754" s="104">
        <f t="shared" si="308"/>
        <v>2015</v>
      </c>
      <c r="GG754" s="104">
        <f t="shared" si="309"/>
        <v>48</v>
      </c>
      <c r="GH754" s="35">
        <v>42333</v>
      </c>
      <c r="GI754" s="26">
        <v>1.927</v>
      </c>
      <c r="GJ754" s="94">
        <f t="shared" si="310"/>
        <v>3.854</v>
      </c>
      <c r="GK754" s="104"/>
      <c r="GL754" s="104"/>
      <c r="GO754" s="94"/>
    </row>
    <row r="755" spans="3:197">
      <c r="C755" s="80" t="str" cm="1">
        <f t="array" ref="C755">_xlfn.IFS(MONTH(D755)&lt;4,1,MONTH(D755)&lt;7,2,MONTH(D755)&lt;10,3,MONTH(D755)&gt;9,4)&amp;"Q"&amp;RIGHT(YEAR(D755),2)</f>
        <v>1Q19</v>
      </c>
      <c r="D755" s="81">
        <f t="shared" si="317"/>
        <v>43496</v>
      </c>
      <c r="E755" s="82">
        <f t="shared" si="315"/>
        <v>43483</v>
      </c>
      <c r="F755" s="83">
        <f t="shared" si="318"/>
        <v>0.745125</v>
      </c>
      <c r="G755" s="83">
        <f t="shared" si="318"/>
        <v>0.75</v>
      </c>
      <c r="H755" s="81"/>
      <c r="I755" s="146">
        <v>43483</v>
      </c>
      <c r="J755" s="147">
        <v>6.65</v>
      </c>
      <c r="K755" s="147">
        <v>5.15</v>
      </c>
      <c r="L755" s="147">
        <v>5.961</v>
      </c>
      <c r="M755" s="94" cm="1">
        <f t="array" ref="M755">INDEX($BV$29:$BV$1449,MATCH($D755,$BR$29:$BR$1449,0),)</f>
        <v>6</v>
      </c>
      <c r="N755" s="150">
        <f t="shared" si="314"/>
        <v>-0.00367708507437725</v>
      </c>
      <c r="O755" s="150">
        <f t="shared" si="316"/>
        <v>-0.0243862520458266</v>
      </c>
      <c r="P755" s="150">
        <f t="shared" si="311"/>
        <v>-0.0382381413359149</v>
      </c>
      <c r="Q755" s="89">
        <f t="shared" si="312"/>
        <v>-0.00649999999999995</v>
      </c>
      <c r="AH755" s="90"/>
      <c r="AI755" s="85"/>
      <c r="AJ755" s="36"/>
      <c r="AK755" s="36"/>
      <c r="AL755" s="36"/>
      <c r="AM755" s="36"/>
      <c r="AN755" s="36"/>
      <c r="AO755" s="36"/>
      <c r="AP755" s="36"/>
      <c r="FV755" s="104">
        <f t="shared" si="305"/>
        <v>2013</v>
      </c>
      <c r="FW755" s="104">
        <f t="shared" si="306"/>
        <v>22</v>
      </c>
      <c r="FX755" s="35">
        <v>41424</v>
      </c>
      <c r="FY755" s="26">
        <v>1.744</v>
      </c>
      <c r="FZ755" s="94">
        <f t="shared" si="307"/>
        <v>6.976</v>
      </c>
      <c r="GA755" s="104"/>
      <c r="GB755" s="104"/>
      <c r="GE755" s="94"/>
      <c r="GF755" s="104">
        <f t="shared" si="308"/>
        <v>2015</v>
      </c>
      <c r="GG755" s="104">
        <f t="shared" si="309"/>
        <v>48</v>
      </c>
      <c r="GH755" s="35">
        <v>42334</v>
      </c>
      <c r="GI755" s="26">
        <v>1.926</v>
      </c>
      <c r="GJ755" s="94">
        <f t="shared" si="310"/>
        <v>3.852</v>
      </c>
      <c r="GK755" s="104"/>
      <c r="GL755" s="104"/>
      <c r="GO755" s="94"/>
    </row>
    <row r="756" spans="3:197">
      <c r="C756" s="80" t="str" cm="1">
        <f t="array" ref="C756">_xlfn.IFS(MONTH(D756)&lt;4,1,MONTH(D756)&lt;7,2,MONTH(D756)&lt;10,3,MONTH(D756)&gt;9,4)&amp;"Q"&amp;RIGHT(YEAR(D756),2)</f>
        <v>1Q19</v>
      </c>
      <c r="D756" s="81">
        <f t="shared" si="317"/>
        <v>43496</v>
      </c>
      <c r="E756" s="82">
        <f t="shared" si="315"/>
        <v>43486</v>
      </c>
      <c r="F756" s="83">
        <f t="shared" si="318"/>
        <v>0.744625</v>
      </c>
      <c r="G756" s="83">
        <f t="shared" si="318"/>
        <v>0.75</v>
      </c>
      <c r="H756" s="81"/>
      <c r="I756" s="146">
        <v>43486</v>
      </c>
      <c r="J756" s="147">
        <v>6.65</v>
      </c>
      <c r="K756" s="147">
        <v>5.15</v>
      </c>
      <c r="L756" s="147">
        <v>5.957</v>
      </c>
      <c r="M756" s="94" cm="1">
        <f t="array" ref="M756">INDEX($BV$29:$BV$1449,MATCH($D756,$BR$29:$BR$1449,0),)</f>
        <v>6</v>
      </c>
      <c r="N756" s="150">
        <f t="shared" si="314"/>
        <v>-0.0006710283509479</v>
      </c>
      <c r="O756" s="150">
        <f t="shared" si="316"/>
        <v>-0.0245619780579663</v>
      </c>
      <c r="P756" s="150">
        <f t="shared" si="311"/>
        <v>-0.0357720945289738</v>
      </c>
      <c r="Q756" s="89">
        <f t="shared" si="312"/>
        <v>-0.00716666666666665</v>
      </c>
      <c r="AH756" s="90"/>
      <c r="AI756" s="85"/>
      <c r="AJ756" s="36"/>
      <c r="AK756" s="36"/>
      <c r="AL756" s="36"/>
      <c r="AM756" s="36"/>
      <c r="AN756" s="36"/>
      <c r="AO756" s="36"/>
      <c r="AP756" s="36"/>
      <c r="FV756" s="104">
        <f t="shared" ref="FV756:FV819" si="319">YEAR(FX756)</f>
        <v>2013</v>
      </c>
      <c r="FW756" s="104">
        <f t="shared" ref="FW756:FW819" si="320">WEEKNUM(FX756)</f>
        <v>22</v>
      </c>
      <c r="FX756" s="35">
        <v>41425</v>
      </c>
      <c r="FY756" s="26">
        <v>1.748</v>
      </c>
      <c r="FZ756" s="94">
        <f t="shared" ref="FZ756:FZ819" si="321">FY756*4</f>
        <v>6.992</v>
      </c>
      <c r="GA756" s="104"/>
      <c r="GB756" s="104"/>
      <c r="GE756" s="94"/>
      <c r="GF756" s="104">
        <f t="shared" ref="GF756:GF819" si="322">YEAR(GH756)</f>
        <v>2015</v>
      </c>
      <c r="GG756" s="104">
        <f t="shared" ref="GG756:GG819" si="323">WEEKNUM(GH756)</f>
        <v>48</v>
      </c>
      <c r="GH756" s="35">
        <v>42335</v>
      </c>
      <c r="GI756" s="26">
        <v>1.926</v>
      </c>
      <c r="GJ756" s="94">
        <f t="shared" ref="GJ756:GJ819" si="324">GI756*2</f>
        <v>3.852</v>
      </c>
      <c r="GK756" s="104"/>
      <c r="GL756" s="104"/>
      <c r="GO756" s="94"/>
    </row>
    <row r="757" spans="3:197">
      <c r="C757" s="80" t="str" cm="1">
        <f t="array" ref="C757">_xlfn.IFS(MONTH(D757)&lt;4,1,MONTH(D757)&lt;7,2,MONTH(D757)&lt;10,3,MONTH(D757)&gt;9,4)&amp;"Q"&amp;RIGHT(YEAR(D757),2)</f>
        <v>1Q19</v>
      </c>
      <c r="D757" s="81">
        <f t="shared" si="317"/>
        <v>43496</v>
      </c>
      <c r="E757" s="82">
        <f t="shared" si="315"/>
        <v>43487</v>
      </c>
      <c r="F757" s="83">
        <f t="shared" si="318"/>
        <v>0.744125</v>
      </c>
      <c r="G757" s="83">
        <f t="shared" si="318"/>
        <v>0.75</v>
      </c>
      <c r="H757" s="81"/>
      <c r="I757" s="146">
        <v>43487</v>
      </c>
      <c r="J757" s="147">
        <v>6.6</v>
      </c>
      <c r="K757" s="147">
        <v>5.15</v>
      </c>
      <c r="L757" s="147">
        <v>5.953</v>
      </c>
      <c r="M757" s="94" cm="1">
        <f t="array" ref="M757">INDEX($BV$29:$BV$1449,MATCH($D757,$BR$29:$BR$1449,0),)</f>
        <v>6</v>
      </c>
      <c r="N757" s="150">
        <f t="shared" si="314"/>
        <v>-0.000671478932348424</v>
      </c>
      <c r="O757" s="150">
        <f t="shared" si="316"/>
        <v>-0.0239383505492704</v>
      </c>
      <c r="P757" s="150">
        <f t="shared" si="311"/>
        <v>-0.0334469881474264</v>
      </c>
      <c r="Q757" s="89">
        <f t="shared" si="312"/>
        <v>-0.00783333333333325</v>
      </c>
      <c r="AH757" s="90"/>
      <c r="AI757" s="85"/>
      <c r="AJ757" s="36"/>
      <c r="AK757" s="36"/>
      <c r="AL757" s="36"/>
      <c r="AM757" s="36"/>
      <c r="AN757" s="36"/>
      <c r="AO757" s="36"/>
      <c r="AP757" s="36"/>
      <c r="FV757" s="104">
        <f t="shared" si="319"/>
        <v>2013</v>
      </c>
      <c r="FW757" s="104">
        <f t="shared" si="320"/>
        <v>23</v>
      </c>
      <c r="FX757" s="35">
        <v>41428</v>
      </c>
      <c r="FY757" s="26">
        <v>1.771</v>
      </c>
      <c r="FZ757" s="94">
        <f t="shared" si="321"/>
        <v>7.084</v>
      </c>
      <c r="GA757" s="104"/>
      <c r="GB757" s="104"/>
      <c r="GE757" s="94"/>
      <c r="GF757" s="104">
        <f t="shared" si="322"/>
        <v>2015</v>
      </c>
      <c r="GG757" s="104">
        <f t="shared" si="323"/>
        <v>49</v>
      </c>
      <c r="GH757" s="35">
        <v>42338</v>
      </c>
      <c r="GI757" s="26">
        <v>1.916</v>
      </c>
      <c r="GJ757" s="94">
        <f t="shared" si="324"/>
        <v>3.832</v>
      </c>
      <c r="GK757" s="104"/>
      <c r="GL757" s="104"/>
      <c r="GO757" s="94"/>
    </row>
    <row r="758" spans="3:197">
      <c r="C758" s="80" t="str" cm="1">
        <f t="array" ref="C758">_xlfn.IFS(MONTH(D758)&lt;4,1,MONTH(D758)&lt;7,2,MONTH(D758)&lt;10,3,MONTH(D758)&gt;9,4)&amp;"Q"&amp;RIGHT(YEAR(D758),2)</f>
        <v>1Q19</v>
      </c>
      <c r="D758" s="81">
        <f t="shared" si="317"/>
        <v>43496</v>
      </c>
      <c r="E758" s="82">
        <f t="shared" si="315"/>
        <v>43488</v>
      </c>
      <c r="F758" s="83">
        <f t="shared" si="318"/>
        <v>0.744125</v>
      </c>
      <c r="G758" s="83">
        <f t="shared" si="318"/>
        <v>0.75</v>
      </c>
      <c r="H758" s="81"/>
      <c r="I758" s="146">
        <v>43488</v>
      </c>
      <c r="J758" s="147">
        <v>6.65</v>
      </c>
      <c r="K758" s="147">
        <v>5.15</v>
      </c>
      <c r="L758" s="147">
        <v>5.953</v>
      </c>
      <c r="M758" s="94" cm="1">
        <f t="array" ref="M758">INDEX($BV$29:$BV$1449,MATCH($D758,$BR$29:$BR$1449,0),)</f>
        <v>6</v>
      </c>
      <c r="N758" s="150">
        <f t="shared" si="314"/>
        <v>0</v>
      </c>
      <c r="O758" s="150">
        <f t="shared" si="316"/>
        <v>-0.00816394535154941</v>
      </c>
      <c r="P758" s="150">
        <f t="shared" si="311"/>
        <v>-0.0272875816993464</v>
      </c>
      <c r="Q758" s="89">
        <f t="shared" si="312"/>
        <v>-0.00783333333333325</v>
      </c>
      <c r="AH758" s="90"/>
      <c r="AI758" s="85"/>
      <c r="AJ758" s="36"/>
      <c r="AK758" s="36"/>
      <c r="AL758" s="36"/>
      <c r="AM758" s="36"/>
      <c r="AN758" s="36"/>
      <c r="AO758" s="36"/>
      <c r="AP758" s="36"/>
      <c r="FV758" s="104">
        <f t="shared" si="319"/>
        <v>2013</v>
      </c>
      <c r="FW758" s="104">
        <f t="shared" si="320"/>
        <v>23</v>
      </c>
      <c r="FX758" s="35">
        <v>41429</v>
      </c>
      <c r="FY758" s="26">
        <v>1.797</v>
      </c>
      <c r="FZ758" s="94">
        <f t="shared" si="321"/>
        <v>7.188</v>
      </c>
      <c r="GA758" s="104"/>
      <c r="GB758" s="104"/>
      <c r="GE758" s="94"/>
      <c r="GF758" s="104">
        <f t="shared" si="322"/>
        <v>2015</v>
      </c>
      <c r="GG758" s="104">
        <f t="shared" si="323"/>
        <v>49</v>
      </c>
      <c r="GH758" s="35">
        <v>42339</v>
      </c>
      <c r="GI758" s="26">
        <v>1.911</v>
      </c>
      <c r="GJ758" s="94">
        <f t="shared" si="324"/>
        <v>3.822</v>
      </c>
      <c r="GK758" s="104"/>
      <c r="GL758" s="104"/>
      <c r="GO758" s="94"/>
    </row>
    <row r="759" spans="3:197">
      <c r="C759" s="80" t="str" cm="1">
        <f t="array" ref="C759">_xlfn.IFS(MONTH(D759)&lt;4,1,MONTH(D759)&lt;7,2,MONTH(D759)&lt;10,3,MONTH(D759)&gt;9,4)&amp;"Q"&amp;RIGHT(YEAR(D759),2)</f>
        <v>1Q19</v>
      </c>
      <c r="D759" s="81">
        <f t="shared" si="317"/>
        <v>43496</v>
      </c>
      <c r="E759" s="82">
        <f t="shared" si="315"/>
        <v>43489</v>
      </c>
      <c r="F759" s="83">
        <f t="shared" si="318"/>
        <v>0.744</v>
      </c>
      <c r="G759" s="83">
        <f t="shared" si="318"/>
        <v>0.75</v>
      </c>
      <c r="H759" s="81"/>
      <c r="I759" s="146">
        <v>43489</v>
      </c>
      <c r="J759" s="147">
        <v>6.65</v>
      </c>
      <c r="K759" s="147">
        <v>5.15</v>
      </c>
      <c r="L759" s="147">
        <v>5.952</v>
      </c>
      <c r="M759" s="94" cm="1">
        <f t="array" ref="M759">INDEX($BV$29:$BV$1449,MATCH($D759,$BR$29:$BR$1449,0),)</f>
        <v>6</v>
      </c>
      <c r="N759" s="150">
        <f t="shared" si="314"/>
        <v>-0.000167982529816979</v>
      </c>
      <c r="O759" s="150">
        <f t="shared" si="316"/>
        <v>-0.00518134715025897</v>
      </c>
      <c r="P759" s="150">
        <f t="shared" si="311"/>
        <v>-0.0263373139211517</v>
      </c>
      <c r="Q759" s="89">
        <f t="shared" si="312"/>
        <v>-0.00800000000000001</v>
      </c>
      <c r="AH759" s="90"/>
      <c r="AI759" s="85"/>
      <c r="AJ759" s="36"/>
      <c r="AK759" s="36"/>
      <c r="AL759" s="36"/>
      <c r="AM759" s="36"/>
      <c r="AN759" s="36"/>
      <c r="AO759" s="36"/>
      <c r="AP759" s="36"/>
      <c r="FV759" s="104">
        <f t="shared" si="319"/>
        <v>2013</v>
      </c>
      <c r="FW759" s="104">
        <f t="shared" si="320"/>
        <v>23</v>
      </c>
      <c r="FX759" s="35">
        <v>41430</v>
      </c>
      <c r="FY759" s="26">
        <v>1.836</v>
      </c>
      <c r="FZ759" s="94">
        <f t="shared" si="321"/>
        <v>7.344</v>
      </c>
      <c r="GA759" s="104"/>
      <c r="GB759" s="104"/>
      <c r="GE759" s="94"/>
      <c r="GF759" s="104">
        <f t="shared" si="322"/>
        <v>2015</v>
      </c>
      <c r="GG759" s="104">
        <f t="shared" si="323"/>
        <v>49</v>
      </c>
      <c r="GH759" s="35">
        <v>42340</v>
      </c>
      <c r="GI759" s="26">
        <v>1.906</v>
      </c>
      <c r="GJ759" s="94">
        <f t="shared" si="324"/>
        <v>3.812</v>
      </c>
      <c r="GK759" s="104"/>
      <c r="GL759" s="104"/>
      <c r="GO759" s="94"/>
    </row>
    <row r="760" spans="3:197">
      <c r="C760" s="80" t="str" cm="1">
        <f t="array" ref="C760">_xlfn.IFS(MONTH(D760)&lt;4,1,MONTH(D760)&lt;7,2,MONTH(D760)&lt;10,3,MONTH(D760)&gt;9,4)&amp;"Q"&amp;RIGHT(YEAR(D760),2)</f>
        <v>1Q19</v>
      </c>
      <c r="D760" s="81">
        <f t="shared" si="317"/>
        <v>43496</v>
      </c>
      <c r="E760" s="82">
        <f t="shared" si="315"/>
        <v>43490</v>
      </c>
      <c r="F760" s="83">
        <f t="shared" si="318"/>
        <v>0.744</v>
      </c>
      <c r="G760" s="83">
        <f t="shared" si="318"/>
        <v>0.75</v>
      </c>
      <c r="H760" s="81"/>
      <c r="I760" s="146">
        <v>43490</v>
      </c>
      <c r="J760" s="147">
        <v>6.65</v>
      </c>
      <c r="K760" s="147">
        <v>5.15</v>
      </c>
      <c r="L760" s="147">
        <v>5.952</v>
      </c>
      <c r="M760" s="94" cm="1">
        <f t="array" ref="M760">INDEX($BV$29:$BV$1449,MATCH($D760,$BR$29:$BR$1449,0),)</f>
        <v>6</v>
      </c>
      <c r="N760" s="150">
        <f t="shared" si="314"/>
        <v>0</v>
      </c>
      <c r="O760" s="150">
        <f t="shared" si="316"/>
        <v>-0.00150981378963266</v>
      </c>
      <c r="P760" s="150">
        <f t="shared" si="311"/>
        <v>-0.025859247135843</v>
      </c>
      <c r="Q760" s="89">
        <f t="shared" si="312"/>
        <v>-0.00800000000000001</v>
      </c>
      <c r="AH760" s="90"/>
      <c r="AI760" s="85"/>
      <c r="AJ760" s="36"/>
      <c r="AK760" s="36"/>
      <c r="AL760" s="36"/>
      <c r="AM760" s="36"/>
      <c r="AN760" s="36"/>
      <c r="AO760" s="36"/>
      <c r="AP760" s="36"/>
      <c r="FV760" s="104">
        <f t="shared" si="319"/>
        <v>2013</v>
      </c>
      <c r="FW760" s="104">
        <f t="shared" si="320"/>
        <v>23</v>
      </c>
      <c r="FX760" s="35">
        <v>41431</v>
      </c>
      <c r="FY760" s="26">
        <v>1.841</v>
      </c>
      <c r="FZ760" s="94">
        <f t="shared" si="321"/>
        <v>7.364</v>
      </c>
      <c r="GA760" s="104"/>
      <c r="GB760" s="104"/>
      <c r="GE760" s="94"/>
      <c r="GF760" s="104">
        <f t="shared" si="322"/>
        <v>2015</v>
      </c>
      <c r="GG760" s="104">
        <f t="shared" si="323"/>
        <v>49</v>
      </c>
      <c r="GH760" s="35">
        <v>42341</v>
      </c>
      <c r="GI760" s="26">
        <v>1.89</v>
      </c>
      <c r="GJ760" s="94">
        <f t="shared" si="324"/>
        <v>3.78</v>
      </c>
      <c r="GK760" s="104"/>
      <c r="GL760" s="104"/>
      <c r="GO760" s="94"/>
    </row>
    <row r="761" spans="3:197">
      <c r="C761" s="80" t="str" cm="1">
        <f t="array" ref="C761">_xlfn.IFS(MONTH(D761)&lt;4,1,MONTH(D761)&lt;7,2,MONTH(D761)&lt;10,3,MONTH(D761)&gt;9,4)&amp;"Q"&amp;RIGHT(YEAR(D761),2)</f>
        <v>1Q19</v>
      </c>
      <c r="D761" s="81">
        <f t="shared" si="317"/>
        <v>43496</v>
      </c>
      <c r="E761" s="82">
        <f t="shared" si="315"/>
        <v>43493</v>
      </c>
      <c r="F761" s="83">
        <f t="shared" si="318"/>
        <v>0.7435</v>
      </c>
      <c r="G761" s="83">
        <f t="shared" si="318"/>
        <v>0.75</v>
      </c>
      <c r="H761" s="81"/>
      <c r="I761" s="146">
        <v>43493</v>
      </c>
      <c r="J761" s="147">
        <v>6.65</v>
      </c>
      <c r="K761" s="147">
        <v>5.15</v>
      </c>
      <c r="L761" s="147">
        <v>5.948</v>
      </c>
      <c r="M761" s="94" cm="1">
        <f t="array" ref="M761">INDEX($BV$29:$BV$1449,MATCH($D761,$BR$29:$BR$1449,0),)</f>
        <v>6</v>
      </c>
      <c r="N761" s="150">
        <f t="shared" si="314"/>
        <v>-0.000672043010752632</v>
      </c>
      <c r="O761" s="150">
        <f t="shared" si="316"/>
        <v>-0.00151082759778398</v>
      </c>
      <c r="P761" s="150">
        <f t="shared" si="311"/>
        <v>-0.0260356967414442</v>
      </c>
      <c r="Q761" s="89">
        <f t="shared" si="312"/>
        <v>-0.0086666666666666</v>
      </c>
      <c r="AH761" s="90"/>
      <c r="AI761" s="85"/>
      <c r="AJ761" s="36"/>
      <c r="AK761" s="36"/>
      <c r="AL761" s="36"/>
      <c r="AM761" s="36"/>
      <c r="AN761" s="36"/>
      <c r="AO761" s="36"/>
      <c r="AP761" s="36"/>
      <c r="FV761" s="104">
        <f t="shared" si="319"/>
        <v>2013</v>
      </c>
      <c r="FW761" s="104">
        <f t="shared" si="320"/>
        <v>23</v>
      </c>
      <c r="FX761" s="35">
        <v>41432</v>
      </c>
      <c r="FY761" s="26">
        <v>1.852</v>
      </c>
      <c r="FZ761" s="94">
        <f t="shared" si="321"/>
        <v>7.408</v>
      </c>
      <c r="GA761" s="104"/>
      <c r="GB761" s="104"/>
      <c r="GE761" s="94"/>
      <c r="GF761" s="104">
        <f t="shared" si="322"/>
        <v>2015</v>
      </c>
      <c r="GG761" s="104">
        <f t="shared" si="323"/>
        <v>49</v>
      </c>
      <c r="GH761" s="35">
        <v>42342</v>
      </c>
      <c r="GI761" s="26">
        <v>1.885</v>
      </c>
      <c r="GJ761" s="94">
        <f t="shared" si="324"/>
        <v>3.77</v>
      </c>
      <c r="GK761" s="104"/>
      <c r="GL761" s="104"/>
      <c r="GO761" s="94"/>
    </row>
    <row r="762" spans="3:197">
      <c r="C762" s="80" t="str" cm="1">
        <f t="array" ref="C762">_xlfn.IFS(MONTH(D762)&lt;4,1,MONTH(D762)&lt;7,2,MONTH(D762)&lt;10,3,MONTH(D762)&gt;9,4)&amp;"Q"&amp;RIGHT(YEAR(D762),2)</f>
        <v>1Q19</v>
      </c>
      <c r="D762" s="81">
        <f t="shared" si="317"/>
        <v>43496</v>
      </c>
      <c r="E762" s="82">
        <f t="shared" si="315"/>
        <v>43494</v>
      </c>
      <c r="F762" s="83">
        <f t="shared" si="318"/>
        <v>0.74325</v>
      </c>
      <c r="G762" s="83">
        <f t="shared" si="318"/>
        <v>0.75</v>
      </c>
      <c r="H762" s="81"/>
      <c r="I762" s="146">
        <v>43494</v>
      </c>
      <c r="J762" s="147">
        <v>6.65</v>
      </c>
      <c r="K762" s="147">
        <v>5.15</v>
      </c>
      <c r="L762" s="147">
        <v>5.946</v>
      </c>
      <c r="M762" s="94" cm="1">
        <f t="array" ref="M762">INDEX($BV$29:$BV$1449,MATCH($D762,$BR$29:$BR$1449,0),)</f>
        <v>6</v>
      </c>
      <c r="N762" s="150">
        <f t="shared" si="314"/>
        <v>-0.000336247478143981</v>
      </c>
      <c r="O762" s="150">
        <f t="shared" si="316"/>
        <v>-0.00117587770871841</v>
      </c>
      <c r="P762" s="150">
        <f t="shared" si="311"/>
        <v>-0.0250860796851944</v>
      </c>
      <c r="Q762" s="89">
        <f t="shared" si="312"/>
        <v>-0.00900000000000001</v>
      </c>
      <c r="AH762" s="90"/>
      <c r="AI762" s="85"/>
      <c r="AJ762" s="36"/>
      <c r="AK762" s="36"/>
      <c r="AL762" s="36"/>
      <c r="AM762" s="36"/>
      <c r="AN762" s="36"/>
      <c r="AO762" s="36"/>
      <c r="AP762" s="36"/>
      <c r="FV762" s="104">
        <f t="shared" si="319"/>
        <v>2013</v>
      </c>
      <c r="FW762" s="104">
        <f t="shared" si="320"/>
        <v>24</v>
      </c>
      <c r="FX762" s="35">
        <v>41435</v>
      </c>
      <c r="FY762" s="26">
        <v>1.865</v>
      </c>
      <c r="FZ762" s="94">
        <f t="shared" si="321"/>
        <v>7.46</v>
      </c>
      <c r="GA762" s="104"/>
      <c r="GB762" s="104"/>
      <c r="GE762" s="94"/>
      <c r="GF762" s="104">
        <f t="shared" si="322"/>
        <v>2015</v>
      </c>
      <c r="GG762" s="104">
        <f t="shared" si="323"/>
        <v>50</v>
      </c>
      <c r="GH762" s="35">
        <v>42345</v>
      </c>
      <c r="GI762" s="26">
        <v>1.883</v>
      </c>
      <c r="GJ762" s="94">
        <f t="shared" si="324"/>
        <v>3.766</v>
      </c>
      <c r="GK762" s="104"/>
      <c r="GL762" s="104"/>
      <c r="GO762" s="94"/>
    </row>
    <row r="763" spans="3:197">
      <c r="C763" s="80" t="str" cm="1">
        <f t="array" ref="C763">_xlfn.IFS(MONTH(D763)&lt;4,1,MONTH(D763)&lt;7,2,MONTH(D763)&lt;10,3,MONTH(D763)&gt;9,4)&amp;"Q"&amp;RIGHT(YEAR(D763),2)</f>
        <v>1Q19</v>
      </c>
      <c r="D763" s="81">
        <f t="shared" si="317"/>
        <v>43496</v>
      </c>
      <c r="E763" s="82">
        <f t="shared" si="315"/>
        <v>43495</v>
      </c>
      <c r="F763" s="83">
        <f t="shared" si="318"/>
        <v>0.74325</v>
      </c>
      <c r="G763" s="83">
        <f t="shared" si="318"/>
        <v>0.75</v>
      </c>
      <c r="H763" s="81"/>
      <c r="I763" s="146">
        <v>43495</v>
      </c>
      <c r="J763" s="147">
        <v>6.65</v>
      </c>
      <c r="K763" s="147">
        <v>5.2</v>
      </c>
      <c r="L763" s="147">
        <v>5.946</v>
      </c>
      <c r="M763" s="94" cm="1">
        <f t="array" ref="M763">INDEX($BV$29:$BV$1449,MATCH($D763,$BR$29:$BR$1449,0),)</f>
        <v>6</v>
      </c>
      <c r="N763" s="150">
        <f t="shared" si="314"/>
        <v>0</v>
      </c>
      <c r="O763" s="150">
        <f t="shared" si="316"/>
        <v>-0.00117587770871841</v>
      </c>
      <c r="P763" s="150">
        <f t="shared" si="311"/>
        <v>-0.00933022325891375</v>
      </c>
      <c r="Q763" s="89">
        <f t="shared" si="312"/>
        <v>-0.00900000000000001</v>
      </c>
      <c r="AH763" s="90"/>
      <c r="AI763" s="85"/>
      <c r="AJ763" s="36"/>
      <c r="AK763" s="36"/>
      <c r="AL763" s="36"/>
      <c r="AM763" s="36"/>
      <c r="AN763" s="36"/>
      <c r="AO763" s="36"/>
      <c r="AP763" s="36"/>
      <c r="FV763" s="104">
        <f t="shared" si="319"/>
        <v>2013</v>
      </c>
      <c r="FW763" s="104">
        <f t="shared" si="320"/>
        <v>24</v>
      </c>
      <c r="FX763" s="35">
        <v>41436</v>
      </c>
      <c r="FY763" s="26">
        <v>1.871</v>
      </c>
      <c r="FZ763" s="94">
        <f t="shared" si="321"/>
        <v>7.484</v>
      </c>
      <c r="GA763" s="104"/>
      <c r="GB763" s="104"/>
      <c r="GE763" s="94"/>
      <c r="GF763" s="104">
        <f t="shared" si="322"/>
        <v>2015</v>
      </c>
      <c r="GG763" s="104">
        <f t="shared" si="323"/>
        <v>50</v>
      </c>
      <c r="GH763" s="35">
        <v>42346</v>
      </c>
      <c r="GI763" s="26">
        <v>1.881</v>
      </c>
      <c r="GJ763" s="94">
        <f t="shared" si="324"/>
        <v>3.762</v>
      </c>
      <c r="GK763" s="104"/>
      <c r="GL763" s="104"/>
      <c r="GO763" s="94"/>
    </row>
    <row r="764" spans="3:197">
      <c r="C764" s="80" t="str" cm="1">
        <f t="array" ref="C764">_xlfn.IFS(MONTH(D764)&lt;4,1,MONTH(D764)&lt;7,2,MONTH(D764)&lt;10,3,MONTH(D764)&gt;9,4)&amp;"Q"&amp;RIGHT(YEAR(D764),2)</f>
        <v>1Q19</v>
      </c>
      <c r="D764" s="81">
        <f t="shared" si="317"/>
        <v>43496</v>
      </c>
      <c r="E764" s="82">
        <f t="shared" si="315"/>
        <v>43496</v>
      </c>
      <c r="F764" s="83">
        <f t="shared" ref="F764:G779" si="325">+L764/8</f>
        <v>0.74275</v>
      </c>
      <c r="G764" s="83">
        <f t="shared" si="325"/>
        <v>0.75</v>
      </c>
      <c r="H764" s="81"/>
      <c r="I764" s="146">
        <v>43496</v>
      </c>
      <c r="J764" s="147">
        <v>6.65</v>
      </c>
      <c r="K764" s="147">
        <v>5.2</v>
      </c>
      <c r="L764" s="147">
        <v>5.942</v>
      </c>
      <c r="M764" s="94" cm="1">
        <f t="array" ref="M764">INDEX($BV$29:$BV$1449,MATCH($D764,$BR$29:$BR$1449,0),)</f>
        <v>6</v>
      </c>
      <c r="N764" s="150">
        <f t="shared" si="314"/>
        <v>-0.00067272115708028</v>
      </c>
      <c r="O764" s="150">
        <f t="shared" si="316"/>
        <v>-0.00168010752688164</v>
      </c>
      <c r="P764" s="150">
        <f t="shared" si="311"/>
        <v>-0.00685274945679415</v>
      </c>
      <c r="Q764" s="89">
        <f t="shared" si="312"/>
        <v>-0.0096666666666666</v>
      </c>
      <c r="AH764" s="90"/>
      <c r="AI764" s="85"/>
      <c r="AJ764" s="36"/>
      <c r="AK764" s="36"/>
      <c r="AL764" s="36"/>
      <c r="AM764" s="36"/>
      <c r="AN764" s="36"/>
      <c r="AO764" s="36"/>
      <c r="AP764" s="36"/>
      <c r="FV764" s="104">
        <f t="shared" si="319"/>
        <v>2013</v>
      </c>
      <c r="FW764" s="104">
        <f t="shared" si="320"/>
        <v>24</v>
      </c>
      <c r="FX764" s="35">
        <v>41438</v>
      </c>
      <c r="FY764" s="26">
        <v>1.885</v>
      </c>
      <c r="FZ764" s="94">
        <f t="shared" si="321"/>
        <v>7.54</v>
      </c>
      <c r="GA764" s="104"/>
      <c r="GB764" s="104"/>
      <c r="GE764" s="94"/>
      <c r="GF764" s="104">
        <f t="shared" si="322"/>
        <v>2015</v>
      </c>
      <c r="GG764" s="104">
        <f t="shared" si="323"/>
        <v>50</v>
      </c>
      <c r="GH764" s="35">
        <v>42347</v>
      </c>
      <c r="GI764" s="26">
        <v>1.88</v>
      </c>
      <c r="GJ764" s="94">
        <f t="shared" si="324"/>
        <v>3.76</v>
      </c>
      <c r="GK764" s="104"/>
      <c r="GL764" s="104"/>
      <c r="GO764" s="94"/>
    </row>
    <row r="765" spans="3:197">
      <c r="C765" s="80" t="str" cm="1">
        <f t="array" ref="C765">_xlfn.IFS(MONTH(D765)&lt;4,1,MONTH(D765)&lt;7,2,MONTH(D765)&lt;10,3,MONTH(D765)&gt;9,4)&amp;"Q"&amp;RIGHT(YEAR(D765),2)</f>
        <v>1Q19</v>
      </c>
      <c r="D765" s="81">
        <f t="shared" si="317"/>
        <v>43524</v>
      </c>
      <c r="E765" s="82">
        <f t="shared" si="315"/>
        <v>43497</v>
      </c>
      <c r="F765" s="83">
        <f t="shared" si="325"/>
        <v>0.74275</v>
      </c>
      <c r="G765" s="83">
        <f t="shared" si="325"/>
        <v>0.64125</v>
      </c>
      <c r="H765" s="81"/>
      <c r="I765" s="146">
        <v>43497</v>
      </c>
      <c r="J765" s="147">
        <v>6.65</v>
      </c>
      <c r="K765" s="147">
        <v>5.2</v>
      </c>
      <c r="L765" s="147">
        <v>5.942</v>
      </c>
      <c r="M765" s="94" cm="1">
        <f t="array" ref="M765">INDEX($BV$29:$BV$1449,MATCH($D765,$BR$29:$BR$1449,0),)</f>
        <v>5.13</v>
      </c>
      <c r="N765" s="150">
        <f t="shared" si="314"/>
        <v>0</v>
      </c>
      <c r="O765" s="150">
        <f t="shared" si="316"/>
        <v>-0.00168010752688164</v>
      </c>
      <c r="P765" s="150">
        <f t="shared" si="311"/>
        <v>-0.00318738466700219</v>
      </c>
      <c r="Q765" s="89">
        <f t="shared" si="312"/>
        <v>0.158284600389864</v>
      </c>
      <c r="AH765" s="90"/>
      <c r="AI765" s="85"/>
      <c r="AJ765" s="36"/>
      <c r="AK765" s="36"/>
      <c r="AL765" s="36"/>
      <c r="AM765" s="36"/>
      <c r="AN765" s="36"/>
      <c r="AO765" s="36"/>
      <c r="AP765" s="36"/>
      <c r="FV765" s="104">
        <f t="shared" si="319"/>
        <v>2013</v>
      </c>
      <c r="FW765" s="104">
        <f t="shared" si="320"/>
        <v>24</v>
      </c>
      <c r="FX765" s="35">
        <v>41439</v>
      </c>
      <c r="FY765" s="26">
        <v>1.896</v>
      </c>
      <c r="FZ765" s="94">
        <f t="shared" si="321"/>
        <v>7.584</v>
      </c>
      <c r="GA765" s="104"/>
      <c r="GB765" s="104"/>
      <c r="GE765" s="94"/>
      <c r="GF765" s="104">
        <f t="shared" si="322"/>
        <v>2015</v>
      </c>
      <c r="GG765" s="104">
        <f t="shared" si="323"/>
        <v>50</v>
      </c>
      <c r="GH765" s="35">
        <v>42348</v>
      </c>
      <c r="GI765" s="26">
        <v>1.879</v>
      </c>
      <c r="GJ765" s="94">
        <f t="shared" si="324"/>
        <v>3.758</v>
      </c>
      <c r="GK765" s="104"/>
      <c r="GL765" s="104"/>
      <c r="GO765" s="94"/>
    </row>
    <row r="766" spans="3:197">
      <c r="C766" s="80" t="str" cm="1">
        <f t="array" ref="C766">_xlfn.IFS(MONTH(D766)&lt;4,1,MONTH(D766)&lt;7,2,MONTH(D766)&lt;10,3,MONTH(D766)&gt;9,4)&amp;"Q"&amp;RIGHT(YEAR(D766),2)</f>
        <v>1Q19</v>
      </c>
      <c r="D766" s="81">
        <f t="shared" si="317"/>
        <v>43524</v>
      </c>
      <c r="E766" s="82">
        <f t="shared" si="315"/>
        <v>43507</v>
      </c>
      <c r="F766" s="83">
        <f t="shared" si="325"/>
        <v>0.7425</v>
      </c>
      <c r="G766" s="83">
        <f t="shared" si="325"/>
        <v>0.64125</v>
      </c>
      <c r="H766" s="81"/>
      <c r="I766" s="146">
        <v>43507</v>
      </c>
      <c r="J766" s="147">
        <v>6.65</v>
      </c>
      <c r="K766" s="147">
        <v>5.2</v>
      </c>
      <c r="L766" s="147">
        <v>5.94</v>
      </c>
      <c r="M766" s="94" cm="1">
        <f t="array" ref="M766">INDEX($BV$29:$BV$1449,MATCH($D766,$BR$29:$BR$1449,0),)</f>
        <v>5.13</v>
      </c>
      <c r="N766" s="150">
        <f t="shared" si="314"/>
        <v>-0.000336587007741418</v>
      </c>
      <c r="O766" s="150">
        <f t="shared" si="316"/>
        <v>-0.0013449899125757</v>
      </c>
      <c r="P766" s="150">
        <f t="shared" si="311"/>
        <v>-0.00285378546248105</v>
      </c>
      <c r="Q766" s="89">
        <f t="shared" si="312"/>
        <v>0.157894736842105</v>
      </c>
      <c r="AH766" s="90"/>
      <c r="AI766" s="85"/>
      <c r="AJ766" s="36"/>
      <c r="AK766" s="36"/>
      <c r="AL766" s="36"/>
      <c r="AM766" s="36"/>
      <c r="AN766" s="36"/>
      <c r="AO766" s="36"/>
      <c r="AP766" s="36"/>
      <c r="FV766" s="104">
        <f t="shared" si="319"/>
        <v>2013</v>
      </c>
      <c r="FW766" s="104">
        <f t="shared" si="320"/>
        <v>25</v>
      </c>
      <c r="FX766" s="35">
        <v>41442</v>
      </c>
      <c r="FY766" s="26">
        <v>1.932</v>
      </c>
      <c r="FZ766" s="94">
        <f t="shared" si="321"/>
        <v>7.728</v>
      </c>
      <c r="GA766" s="104"/>
      <c r="GB766" s="104"/>
      <c r="GE766" s="94"/>
      <c r="GF766" s="104">
        <f t="shared" si="322"/>
        <v>2015</v>
      </c>
      <c r="GG766" s="104">
        <f t="shared" si="323"/>
        <v>50</v>
      </c>
      <c r="GH766" s="35">
        <v>42349</v>
      </c>
      <c r="GI766" s="26">
        <v>1.877</v>
      </c>
      <c r="GJ766" s="94">
        <f t="shared" si="324"/>
        <v>3.754</v>
      </c>
      <c r="GK766" s="104"/>
      <c r="GL766" s="104"/>
      <c r="GO766" s="94"/>
    </row>
    <row r="767" spans="3:197">
      <c r="C767" s="80" t="str" cm="1">
        <f t="array" ref="C767">_xlfn.IFS(MONTH(D767)&lt;4,1,MONTH(D767)&lt;7,2,MONTH(D767)&lt;10,3,MONTH(D767)&gt;9,4)&amp;"Q"&amp;RIGHT(YEAR(D767),2)</f>
        <v>1Q19</v>
      </c>
      <c r="D767" s="81">
        <f t="shared" si="317"/>
        <v>43524</v>
      </c>
      <c r="E767" s="82">
        <f t="shared" si="315"/>
        <v>43508</v>
      </c>
      <c r="F767" s="83">
        <f t="shared" si="325"/>
        <v>0.74225</v>
      </c>
      <c r="G767" s="83">
        <f t="shared" si="325"/>
        <v>0.64125</v>
      </c>
      <c r="H767" s="81"/>
      <c r="I767" s="146">
        <v>43508</v>
      </c>
      <c r="J767" s="147">
        <v>6.65</v>
      </c>
      <c r="K767" s="147">
        <v>5.2</v>
      </c>
      <c r="L767" s="147">
        <v>5.938</v>
      </c>
      <c r="M767" s="94" cm="1">
        <f t="array" ref="M767">INDEX($BV$29:$BV$1449,MATCH($D767,$BR$29:$BR$1449,0),)</f>
        <v>5.13</v>
      </c>
      <c r="N767" s="150">
        <f t="shared" si="314"/>
        <v>-0.000336700336700413</v>
      </c>
      <c r="O767" s="150">
        <f t="shared" si="316"/>
        <v>-0.00134544231416078</v>
      </c>
      <c r="P767" s="150">
        <f t="shared" si="311"/>
        <v>-0.00251973794725358</v>
      </c>
      <c r="Q767" s="89">
        <f t="shared" si="312"/>
        <v>0.157504873294347</v>
      </c>
      <c r="AH767" s="90"/>
      <c r="AI767" s="85"/>
      <c r="AJ767" s="36"/>
      <c r="AK767" s="36"/>
      <c r="AL767" s="36"/>
      <c r="AM767" s="36"/>
      <c r="AN767" s="36"/>
      <c r="AO767" s="36"/>
      <c r="AP767" s="36"/>
      <c r="FV767" s="104">
        <f t="shared" si="319"/>
        <v>2013</v>
      </c>
      <c r="FW767" s="104">
        <f t="shared" si="320"/>
        <v>25</v>
      </c>
      <c r="FX767" s="35">
        <v>41443</v>
      </c>
      <c r="FY767" s="26">
        <v>1.932</v>
      </c>
      <c r="FZ767" s="94">
        <f t="shared" si="321"/>
        <v>7.728</v>
      </c>
      <c r="GA767" s="104"/>
      <c r="GB767" s="104"/>
      <c r="GE767" s="94"/>
      <c r="GF767" s="104">
        <f t="shared" si="322"/>
        <v>2015</v>
      </c>
      <c r="GG767" s="104">
        <f t="shared" si="323"/>
        <v>51</v>
      </c>
      <c r="GH767" s="35">
        <v>42352</v>
      </c>
      <c r="GI767" s="26">
        <v>1.877</v>
      </c>
      <c r="GJ767" s="94">
        <f t="shared" si="324"/>
        <v>3.754</v>
      </c>
      <c r="GK767" s="104"/>
      <c r="GL767" s="104"/>
      <c r="GO767" s="94"/>
    </row>
    <row r="768" spans="3:197">
      <c r="C768" s="80" t="str" cm="1">
        <f t="array" ref="C768">_xlfn.IFS(MONTH(D768)&lt;4,1,MONTH(D768)&lt;7,2,MONTH(D768)&lt;10,3,MONTH(D768)&gt;9,4)&amp;"Q"&amp;RIGHT(YEAR(D768),2)</f>
        <v>1Q19</v>
      </c>
      <c r="D768" s="81">
        <f t="shared" si="317"/>
        <v>43524</v>
      </c>
      <c r="E768" s="82">
        <f t="shared" si="315"/>
        <v>43509</v>
      </c>
      <c r="F768" s="83">
        <f t="shared" si="325"/>
        <v>0.740375</v>
      </c>
      <c r="G768" s="83">
        <f t="shared" si="325"/>
        <v>0.64125</v>
      </c>
      <c r="H768" s="81"/>
      <c r="I768" s="146">
        <v>43509</v>
      </c>
      <c r="J768" s="147">
        <v>6.65</v>
      </c>
      <c r="K768" s="147">
        <v>5.2</v>
      </c>
      <c r="L768" s="147">
        <v>5.923</v>
      </c>
      <c r="M768" s="94" cm="1">
        <f t="array" ref="M768">INDEX($BV$29:$BV$1449,MATCH($D768,$BR$29:$BR$1449,0),)</f>
        <v>5.13</v>
      </c>
      <c r="N768" s="150">
        <f t="shared" si="314"/>
        <v>-0.002526103065005</v>
      </c>
      <c r="O768" s="150">
        <f t="shared" si="316"/>
        <v>-0.00386814665321222</v>
      </c>
      <c r="P768" s="150">
        <f t="shared" ref="P768:P831" si="326">L768/L758-1</f>
        <v>-0.00503947589450704</v>
      </c>
      <c r="Q768" s="89">
        <f t="shared" si="312"/>
        <v>0.15458089668616</v>
      </c>
      <c r="AH768" s="90"/>
      <c r="AI768" s="85"/>
      <c r="AJ768" s="36"/>
      <c r="AK768" s="36"/>
      <c r="AL768" s="36"/>
      <c r="AM768" s="36"/>
      <c r="AN768" s="36"/>
      <c r="AO768" s="36"/>
      <c r="AP768" s="36"/>
      <c r="FV768" s="104">
        <f t="shared" si="319"/>
        <v>2013</v>
      </c>
      <c r="FW768" s="104">
        <f t="shared" si="320"/>
        <v>25</v>
      </c>
      <c r="FX768" s="35">
        <v>41444</v>
      </c>
      <c r="FY768" s="26">
        <v>1.935</v>
      </c>
      <c r="FZ768" s="94">
        <f t="shared" si="321"/>
        <v>7.74</v>
      </c>
      <c r="GA768" s="104"/>
      <c r="GB768" s="104"/>
      <c r="GE768" s="94"/>
      <c r="GF768" s="104">
        <f t="shared" si="322"/>
        <v>2015</v>
      </c>
      <c r="GG768" s="104">
        <f t="shared" si="323"/>
        <v>51</v>
      </c>
      <c r="GH768" s="35">
        <v>42353</v>
      </c>
      <c r="GI768" s="26">
        <v>1.875</v>
      </c>
      <c r="GJ768" s="94">
        <f t="shared" si="324"/>
        <v>3.75</v>
      </c>
      <c r="GK768" s="104"/>
      <c r="GL768" s="104"/>
      <c r="GO768" s="94"/>
    </row>
    <row r="769" spans="3:197">
      <c r="C769" s="80" t="str" cm="1">
        <f t="array" ref="C769">_xlfn.IFS(MONTH(D769)&lt;4,1,MONTH(D769)&lt;7,2,MONTH(D769)&lt;10,3,MONTH(D769)&gt;9,4)&amp;"Q"&amp;RIGHT(YEAR(D769),2)</f>
        <v>1Q19</v>
      </c>
      <c r="D769" s="81">
        <f t="shared" si="317"/>
        <v>43524</v>
      </c>
      <c r="E769" s="82">
        <f t="shared" si="315"/>
        <v>43510</v>
      </c>
      <c r="F769" s="83">
        <f t="shared" si="325"/>
        <v>0.733125</v>
      </c>
      <c r="G769" s="83">
        <f t="shared" si="325"/>
        <v>0.64125</v>
      </c>
      <c r="H769" s="81"/>
      <c r="I769" s="146">
        <v>43510</v>
      </c>
      <c r="J769" s="147">
        <v>6.65</v>
      </c>
      <c r="K769" s="147">
        <v>5.2</v>
      </c>
      <c r="L769" s="147">
        <v>5.865</v>
      </c>
      <c r="M769" s="94" cm="1">
        <f t="array" ref="M769">INDEX($BV$29:$BV$1449,MATCH($D769,$BR$29:$BR$1449,0),)</f>
        <v>5.13</v>
      </c>
      <c r="N769" s="150">
        <f t="shared" si="314"/>
        <v>-0.00979233496538912</v>
      </c>
      <c r="O769" s="150">
        <f t="shared" si="316"/>
        <v>-0.0129585997980478</v>
      </c>
      <c r="P769" s="150">
        <f t="shared" si="326"/>
        <v>-0.0146169354838709</v>
      </c>
      <c r="Q769" s="89">
        <f t="shared" ref="Q769:Q832" si="327">L769/M769-1</f>
        <v>0.14327485380117</v>
      </c>
      <c r="AH769" s="90"/>
      <c r="AI769" s="85"/>
      <c r="AJ769" s="36"/>
      <c r="AK769" s="36"/>
      <c r="AL769" s="36"/>
      <c r="AM769" s="36"/>
      <c r="AN769" s="36"/>
      <c r="AO769" s="36"/>
      <c r="AP769" s="36"/>
      <c r="FV769" s="104">
        <f t="shared" si="319"/>
        <v>2013</v>
      </c>
      <c r="FW769" s="104">
        <f t="shared" si="320"/>
        <v>25</v>
      </c>
      <c r="FX769" s="35">
        <v>41445</v>
      </c>
      <c r="FY769" s="26">
        <v>1.928</v>
      </c>
      <c r="FZ769" s="94">
        <f t="shared" si="321"/>
        <v>7.712</v>
      </c>
      <c r="GA769" s="104"/>
      <c r="GB769" s="104"/>
      <c r="GE769" s="94"/>
      <c r="GF769" s="104">
        <f t="shared" si="322"/>
        <v>2015</v>
      </c>
      <c r="GG769" s="104">
        <f t="shared" si="323"/>
        <v>51</v>
      </c>
      <c r="GH769" s="35">
        <v>42354</v>
      </c>
      <c r="GI769" s="26">
        <v>1.876</v>
      </c>
      <c r="GJ769" s="94">
        <f t="shared" si="324"/>
        <v>3.752</v>
      </c>
      <c r="GK769" s="104"/>
      <c r="GL769" s="104"/>
      <c r="GO769" s="94"/>
    </row>
    <row r="770" spans="3:197">
      <c r="C770" s="80" t="str" cm="1">
        <f t="array" ref="C770">_xlfn.IFS(MONTH(D770)&lt;4,1,MONTH(D770)&lt;7,2,MONTH(D770)&lt;10,3,MONTH(D770)&gt;9,4)&amp;"Q"&amp;RIGHT(YEAR(D770),2)</f>
        <v>1Q19</v>
      </c>
      <c r="D770" s="81">
        <f t="shared" si="317"/>
        <v>43524</v>
      </c>
      <c r="E770" s="82">
        <f t="shared" si="315"/>
        <v>43511</v>
      </c>
      <c r="F770" s="83">
        <f t="shared" si="325"/>
        <v>0.73075</v>
      </c>
      <c r="G770" s="83">
        <f t="shared" si="325"/>
        <v>0.64125</v>
      </c>
      <c r="H770" s="81"/>
      <c r="I770" s="146">
        <v>43511</v>
      </c>
      <c r="J770" s="147">
        <v>6.65</v>
      </c>
      <c r="K770" s="147">
        <v>5.2</v>
      </c>
      <c r="L770" s="147">
        <v>5.846</v>
      </c>
      <c r="M770" s="94" cm="1">
        <f t="array" ref="M770">INDEX($BV$29:$BV$1449,MATCH($D770,$BR$29:$BR$1449,0),)</f>
        <v>5.13</v>
      </c>
      <c r="N770" s="150">
        <f t="shared" si="314"/>
        <v>-0.00323955669224218</v>
      </c>
      <c r="O770" s="150">
        <f t="shared" si="316"/>
        <v>-0.0161561763715921</v>
      </c>
      <c r="P770" s="150">
        <f t="shared" si="326"/>
        <v>-0.0178091397849462</v>
      </c>
      <c r="Q770" s="89">
        <f t="shared" si="327"/>
        <v>0.139571150097466</v>
      </c>
      <c r="AH770" s="90"/>
      <c r="AI770" s="85"/>
      <c r="AJ770" s="36"/>
      <c r="AK770" s="36"/>
      <c r="AL770" s="36"/>
      <c r="AM770" s="36"/>
      <c r="AN770" s="36"/>
      <c r="AO770" s="36"/>
      <c r="AP770" s="36"/>
      <c r="FV770" s="104">
        <f t="shared" si="319"/>
        <v>2013</v>
      </c>
      <c r="FW770" s="104">
        <f t="shared" si="320"/>
        <v>25</v>
      </c>
      <c r="FX770" s="35">
        <v>41446</v>
      </c>
      <c r="FY770" s="26">
        <v>1.926</v>
      </c>
      <c r="FZ770" s="94">
        <f t="shared" si="321"/>
        <v>7.704</v>
      </c>
      <c r="GA770" s="104"/>
      <c r="GB770" s="104"/>
      <c r="GE770" s="94"/>
      <c r="GF770" s="104">
        <f t="shared" si="322"/>
        <v>2015</v>
      </c>
      <c r="GG770" s="104">
        <f t="shared" si="323"/>
        <v>51</v>
      </c>
      <c r="GH770" s="35">
        <v>42355</v>
      </c>
      <c r="GI770" s="26">
        <v>1.878</v>
      </c>
      <c r="GJ770" s="94">
        <f t="shared" si="324"/>
        <v>3.756</v>
      </c>
      <c r="GK770" s="104"/>
      <c r="GL770" s="104"/>
      <c r="GO770" s="94"/>
    </row>
    <row r="771" spans="3:197">
      <c r="C771" s="80" t="str" cm="1">
        <f t="array" ref="C771">_xlfn.IFS(MONTH(D771)&lt;4,1,MONTH(D771)&lt;7,2,MONTH(D771)&lt;10,3,MONTH(D771)&gt;9,4)&amp;"Q"&amp;RIGHT(YEAR(D771),2)</f>
        <v>1Q19</v>
      </c>
      <c r="D771" s="81">
        <f t="shared" si="317"/>
        <v>43524</v>
      </c>
      <c r="E771" s="82">
        <f t="shared" si="315"/>
        <v>43514</v>
      </c>
      <c r="F771" s="83">
        <f t="shared" si="325"/>
        <v>0.72825</v>
      </c>
      <c r="G771" s="83">
        <f t="shared" si="325"/>
        <v>0.64125</v>
      </c>
      <c r="H771" s="81"/>
      <c r="I771" s="146">
        <v>43514</v>
      </c>
      <c r="J771" s="147">
        <v>6.5</v>
      </c>
      <c r="K771" s="147">
        <v>5.2</v>
      </c>
      <c r="L771" s="147">
        <v>5.826</v>
      </c>
      <c r="M771" s="94" cm="1">
        <f t="array" ref="M771">INDEX($BV$29:$BV$1449,MATCH($D771,$BR$29:$BR$1449,0),)</f>
        <v>5.13</v>
      </c>
      <c r="N771" s="150">
        <f t="shared" si="314"/>
        <v>-0.00342114266164906</v>
      </c>
      <c r="O771" s="150">
        <f t="shared" si="316"/>
        <v>-0.0191919191919193</v>
      </c>
      <c r="P771" s="150">
        <f t="shared" si="326"/>
        <v>-0.0205110961667789</v>
      </c>
      <c r="Q771" s="89">
        <f t="shared" si="327"/>
        <v>0.135672514619883</v>
      </c>
      <c r="AH771" s="90"/>
      <c r="AI771" s="85"/>
      <c r="AJ771" s="36"/>
      <c r="AK771" s="36"/>
      <c r="AL771" s="36"/>
      <c r="AM771" s="36"/>
      <c r="AN771" s="36"/>
      <c r="AO771" s="36"/>
      <c r="AP771" s="36"/>
      <c r="FV771" s="104">
        <f t="shared" si="319"/>
        <v>2013</v>
      </c>
      <c r="FW771" s="104">
        <f t="shared" si="320"/>
        <v>26</v>
      </c>
      <c r="FX771" s="35">
        <v>41449</v>
      </c>
      <c r="FY771" s="26">
        <v>1.915</v>
      </c>
      <c r="FZ771" s="94">
        <f t="shared" si="321"/>
        <v>7.66</v>
      </c>
      <c r="GA771" s="104"/>
      <c r="GB771" s="104"/>
      <c r="GE771" s="94"/>
      <c r="GF771" s="104">
        <f t="shared" si="322"/>
        <v>2015</v>
      </c>
      <c r="GG771" s="104">
        <f t="shared" si="323"/>
        <v>51</v>
      </c>
      <c r="GH771" s="35">
        <v>42356</v>
      </c>
      <c r="GI771" s="26">
        <v>1.878</v>
      </c>
      <c r="GJ771" s="94">
        <f t="shared" si="324"/>
        <v>3.756</v>
      </c>
      <c r="GK771" s="104"/>
      <c r="GL771" s="104"/>
      <c r="GO771" s="94"/>
    </row>
    <row r="772" spans="3:197">
      <c r="C772" s="80" t="str" cm="1">
        <f t="array" ref="C772">_xlfn.IFS(MONTH(D772)&lt;4,1,MONTH(D772)&lt;7,2,MONTH(D772)&lt;10,3,MONTH(D772)&gt;9,4)&amp;"Q"&amp;RIGHT(YEAR(D772),2)</f>
        <v>1Q19</v>
      </c>
      <c r="D772" s="81">
        <f t="shared" si="317"/>
        <v>43524</v>
      </c>
      <c r="E772" s="82">
        <f t="shared" si="315"/>
        <v>43515</v>
      </c>
      <c r="F772" s="83">
        <f t="shared" si="325"/>
        <v>0.725875</v>
      </c>
      <c r="G772" s="83">
        <f t="shared" si="325"/>
        <v>0.64125</v>
      </c>
      <c r="H772" s="81"/>
      <c r="I772" s="146">
        <v>43515</v>
      </c>
      <c r="J772" s="147">
        <v>6.5</v>
      </c>
      <c r="K772" s="147">
        <v>5.2</v>
      </c>
      <c r="L772" s="147">
        <v>5.807</v>
      </c>
      <c r="M772" s="94" cm="1">
        <f t="array" ref="M772">INDEX($BV$29:$BV$1449,MATCH($D772,$BR$29:$BR$1449,0),)</f>
        <v>5.13</v>
      </c>
      <c r="N772" s="150">
        <f t="shared" si="314"/>
        <v>-0.00326124270511485</v>
      </c>
      <c r="O772" s="150">
        <f t="shared" si="316"/>
        <v>-0.022061300101044</v>
      </c>
      <c r="P772" s="150">
        <f t="shared" si="326"/>
        <v>-0.0233770602085435</v>
      </c>
      <c r="Q772" s="89">
        <f t="shared" si="327"/>
        <v>0.131968810916179</v>
      </c>
      <c r="AH772" s="90"/>
      <c r="AI772" s="85"/>
      <c r="AJ772" s="36"/>
      <c r="AK772" s="36"/>
      <c r="AL772" s="36"/>
      <c r="AM772" s="36"/>
      <c r="AN772" s="36"/>
      <c r="AO772" s="36"/>
      <c r="AP772" s="36"/>
      <c r="FV772" s="104">
        <f t="shared" si="319"/>
        <v>2013</v>
      </c>
      <c r="FW772" s="104">
        <f t="shared" si="320"/>
        <v>26</v>
      </c>
      <c r="FX772" s="35">
        <v>41450</v>
      </c>
      <c r="FY772" s="26">
        <v>1.911</v>
      </c>
      <c r="FZ772" s="94">
        <f t="shared" si="321"/>
        <v>7.644</v>
      </c>
      <c r="GA772" s="104"/>
      <c r="GB772" s="104"/>
      <c r="GE772" s="94"/>
      <c r="GF772" s="104">
        <f t="shared" si="322"/>
        <v>2015</v>
      </c>
      <c r="GG772" s="104">
        <f t="shared" si="323"/>
        <v>52</v>
      </c>
      <c r="GH772" s="35">
        <v>42359</v>
      </c>
      <c r="GI772" s="26">
        <v>1.878</v>
      </c>
      <c r="GJ772" s="94">
        <f t="shared" si="324"/>
        <v>3.756</v>
      </c>
      <c r="GK772" s="104"/>
      <c r="GL772" s="104"/>
      <c r="GO772" s="94"/>
    </row>
    <row r="773" spans="3:197">
      <c r="C773" s="80" t="str" cm="1">
        <f t="array" ref="C773">_xlfn.IFS(MONTH(D773)&lt;4,1,MONTH(D773)&lt;7,2,MONTH(D773)&lt;10,3,MONTH(D773)&gt;9,4)&amp;"Q"&amp;RIGHT(YEAR(D773),2)</f>
        <v>1Q19</v>
      </c>
      <c r="D773" s="81">
        <f t="shared" si="317"/>
        <v>43524</v>
      </c>
      <c r="E773" s="82">
        <f t="shared" si="315"/>
        <v>43516</v>
      </c>
      <c r="F773" s="83">
        <f t="shared" si="325"/>
        <v>0.7215</v>
      </c>
      <c r="G773" s="83">
        <f t="shared" si="325"/>
        <v>0.64125</v>
      </c>
      <c r="H773" s="81"/>
      <c r="I773" s="146">
        <v>43516</v>
      </c>
      <c r="J773" s="147">
        <v>6.5</v>
      </c>
      <c r="K773" s="147">
        <v>5.1</v>
      </c>
      <c r="L773" s="147">
        <v>5.772</v>
      </c>
      <c r="M773" s="94" cm="1">
        <f t="array" ref="M773">INDEX($BV$29:$BV$1449,MATCH($D773,$BR$29:$BR$1449,0),)</f>
        <v>5.13</v>
      </c>
      <c r="N773" s="150">
        <f t="shared" si="314"/>
        <v>-0.00602720854141559</v>
      </c>
      <c r="O773" s="150">
        <f t="shared" si="316"/>
        <v>-0.0254938375823063</v>
      </c>
      <c r="P773" s="150">
        <f t="shared" si="326"/>
        <v>-0.0292633703329969</v>
      </c>
      <c r="Q773" s="89">
        <f t="shared" si="327"/>
        <v>0.125146198830409</v>
      </c>
      <c r="AH773" s="90"/>
      <c r="AI773" s="85"/>
      <c r="AJ773" s="36"/>
      <c r="AK773" s="36"/>
      <c r="AL773" s="36"/>
      <c r="AM773" s="36"/>
      <c r="AN773" s="36"/>
      <c r="AO773" s="36"/>
      <c r="AP773" s="36"/>
      <c r="FV773" s="104">
        <f t="shared" si="319"/>
        <v>2013</v>
      </c>
      <c r="FW773" s="104">
        <f t="shared" si="320"/>
        <v>26</v>
      </c>
      <c r="FX773" s="35">
        <v>41451</v>
      </c>
      <c r="FY773" s="26">
        <v>1.906</v>
      </c>
      <c r="FZ773" s="94">
        <f t="shared" si="321"/>
        <v>7.624</v>
      </c>
      <c r="GA773" s="104"/>
      <c r="GB773" s="104"/>
      <c r="GE773" s="94"/>
      <c r="GF773" s="104">
        <f t="shared" si="322"/>
        <v>2015</v>
      </c>
      <c r="GG773" s="104">
        <f t="shared" si="323"/>
        <v>52</v>
      </c>
      <c r="GH773" s="35">
        <v>42360</v>
      </c>
      <c r="GI773" s="26">
        <v>1.878</v>
      </c>
      <c r="GJ773" s="94">
        <f t="shared" si="324"/>
        <v>3.756</v>
      </c>
      <c r="GK773" s="104"/>
      <c r="GL773" s="104"/>
      <c r="GO773" s="94"/>
    </row>
    <row r="774" spans="3:197">
      <c r="C774" s="80" t="str" cm="1">
        <f t="array" ref="C774">_xlfn.IFS(MONTH(D774)&lt;4,1,MONTH(D774)&lt;7,2,MONTH(D774)&lt;10,3,MONTH(D774)&gt;9,4)&amp;"Q"&amp;RIGHT(YEAR(D774),2)</f>
        <v>1Q19</v>
      </c>
      <c r="D774" s="81">
        <f t="shared" si="317"/>
        <v>43524</v>
      </c>
      <c r="E774" s="82">
        <f t="shared" si="315"/>
        <v>43517</v>
      </c>
      <c r="F774" s="83">
        <f t="shared" si="325"/>
        <v>0.72</v>
      </c>
      <c r="G774" s="83">
        <f t="shared" si="325"/>
        <v>0.64125</v>
      </c>
      <c r="H774" s="81"/>
      <c r="I774" s="146">
        <v>43517</v>
      </c>
      <c r="J774" s="147">
        <v>6.5</v>
      </c>
      <c r="K774" s="147">
        <v>5.1</v>
      </c>
      <c r="L774" s="147">
        <v>5.76</v>
      </c>
      <c r="M774" s="94" cm="1">
        <f t="array" ref="M774">INDEX($BV$29:$BV$1449,MATCH($D774,$BR$29:$BR$1449,0),)</f>
        <v>5.13</v>
      </c>
      <c r="N774" s="150">
        <f t="shared" si="314"/>
        <v>-0.00207900207900213</v>
      </c>
      <c r="O774" s="150">
        <f t="shared" si="316"/>
        <v>-0.0179028132992328</v>
      </c>
      <c r="P774" s="150">
        <f t="shared" si="326"/>
        <v>-0.0306294177044767</v>
      </c>
      <c r="Q774" s="89">
        <f t="shared" si="327"/>
        <v>0.12280701754386</v>
      </c>
      <c r="AH774" s="90"/>
      <c r="AI774" s="85"/>
      <c r="AJ774" s="36"/>
      <c r="AK774" s="36"/>
      <c r="AL774" s="36"/>
      <c r="AM774" s="36"/>
      <c r="AN774" s="36"/>
      <c r="AO774" s="36"/>
      <c r="AP774" s="36"/>
      <c r="FV774" s="104">
        <f t="shared" si="319"/>
        <v>2013</v>
      </c>
      <c r="FW774" s="104">
        <f t="shared" si="320"/>
        <v>26</v>
      </c>
      <c r="FX774" s="35">
        <v>41452</v>
      </c>
      <c r="FY774" s="26">
        <v>1.905</v>
      </c>
      <c r="FZ774" s="94">
        <f t="shared" si="321"/>
        <v>7.62</v>
      </c>
      <c r="GA774" s="104"/>
      <c r="GB774" s="104"/>
      <c r="GE774" s="94"/>
      <c r="GF774" s="104">
        <f t="shared" si="322"/>
        <v>2015</v>
      </c>
      <c r="GG774" s="104">
        <f t="shared" si="323"/>
        <v>52</v>
      </c>
      <c r="GH774" s="35">
        <v>42361</v>
      </c>
      <c r="GI774" s="26">
        <v>1.877</v>
      </c>
      <c r="GJ774" s="94">
        <f t="shared" si="324"/>
        <v>3.754</v>
      </c>
      <c r="GK774" s="104"/>
      <c r="GL774" s="104"/>
      <c r="GO774" s="94"/>
    </row>
    <row r="775" spans="3:197">
      <c r="C775" s="80" t="str" cm="1">
        <f t="array" ref="C775">_xlfn.IFS(MONTH(D775)&lt;4,1,MONTH(D775)&lt;7,2,MONTH(D775)&lt;10,3,MONTH(D775)&gt;9,4)&amp;"Q"&amp;RIGHT(YEAR(D775),2)</f>
        <v>1Q19</v>
      </c>
      <c r="D775" s="81">
        <f t="shared" si="317"/>
        <v>43524</v>
      </c>
      <c r="E775" s="82">
        <f t="shared" si="315"/>
        <v>43518</v>
      </c>
      <c r="F775" s="83">
        <f t="shared" si="325"/>
        <v>0.7185</v>
      </c>
      <c r="G775" s="83">
        <f t="shared" si="325"/>
        <v>0.64125</v>
      </c>
      <c r="H775" s="81"/>
      <c r="I775" s="146">
        <v>43518</v>
      </c>
      <c r="J775" s="147">
        <v>6.35</v>
      </c>
      <c r="K775" s="147">
        <v>5.05</v>
      </c>
      <c r="L775" s="147">
        <v>5.748</v>
      </c>
      <c r="M775" s="94" cm="1">
        <f t="array" ref="M775">INDEX($BV$29:$BV$1449,MATCH($D775,$BR$29:$BR$1449,0),)</f>
        <v>5.13</v>
      </c>
      <c r="N775" s="150">
        <f t="shared" si="314"/>
        <v>-0.00208333333333321</v>
      </c>
      <c r="O775" s="150">
        <f t="shared" si="316"/>
        <v>-0.01676359904208</v>
      </c>
      <c r="P775" s="150">
        <f t="shared" si="326"/>
        <v>-0.0326489397509256</v>
      </c>
      <c r="Q775" s="89">
        <f t="shared" si="327"/>
        <v>0.12046783625731</v>
      </c>
      <c r="AH775" s="90"/>
      <c r="AI775" s="85"/>
      <c r="AJ775" s="36"/>
      <c r="AK775" s="36"/>
      <c r="AL775" s="36"/>
      <c r="AM775" s="36"/>
      <c r="AN775" s="36"/>
      <c r="AO775" s="36"/>
      <c r="AP775" s="36"/>
      <c r="FV775" s="104">
        <f t="shared" si="319"/>
        <v>2013</v>
      </c>
      <c r="FW775" s="104">
        <f t="shared" si="320"/>
        <v>26</v>
      </c>
      <c r="FX775" s="35">
        <v>41453</v>
      </c>
      <c r="FY775" s="26">
        <v>1.901</v>
      </c>
      <c r="FZ775" s="94">
        <f t="shared" si="321"/>
        <v>7.604</v>
      </c>
      <c r="GA775" s="104"/>
      <c r="GB775" s="104"/>
      <c r="GE775" s="94"/>
      <c r="GF775" s="104">
        <f t="shared" si="322"/>
        <v>2015</v>
      </c>
      <c r="GG775" s="104">
        <f t="shared" si="323"/>
        <v>52</v>
      </c>
      <c r="GH775" s="35">
        <v>42362</v>
      </c>
      <c r="GI775" s="26">
        <v>1.874</v>
      </c>
      <c r="GJ775" s="94">
        <f t="shared" si="324"/>
        <v>3.748</v>
      </c>
      <c r="GK775" s="104"/>
      <c r="GL775" s="104"/>
      <c r="GO775" s="94"/>
    </row>
    <row r="776" spans="3:197">
      <c r="C776" s="80" t="str" cm="1">
        <f t="array" ref="C776">_xlfn.IFS(MONTH(D776)&lt;4,1,MONTH(D776)&lt;7,2,MONTH(D776)&lt;10,3,MONTH(D776)&gt;9,4)&amp;"Q"&amp;RIGHT(YEAR(D776),2)</f>
        <v>1Q19</v>
      </c>
      <c r="D776" s="81">
        <f t="shared" si="317"/>
        <v>43524</v>
      </c>
      <c r="E776" s="82">
        <f t="shared" si="315"/>
        <v>43521</v>
      </c>
      <c r="F776" s="83">
        <f t="shared" si="325"/>
        <v>0.716625</v>
      </c>
      <c r="G776" s="83">
        <f t="shared" si="325"/>
        <v>0.64125</v>
      </c>
      <c r="H776" s="81"/>
      <c r="I776" s="146">
        <v>43521</v>
      </c>
      <c r="J776" s="147">
        <v>6.35</v>
      </c>
      <c r="K776" s="147">
        <v>5.05</v>
      </c>
      <c r="L776" s="147">
        <v>5.733</v>
      </c>
      <c r="M776" s="94" cm="1">
        <f t="array" ref="M776">INDEX($BV$29:$BV$1449,MATCH($D776,$BR$29:$BR$1449,0),)</f>
        <v>5.13</v>
      </c>
      <c r="N776" s="150">
        <f t="shared" si="314"/>
        <v>-0.00260960334029237</v>
      </c>
      <c r="O776" s="150">
        <f t="shared" si="316"/>
        <v>-0.0159629248197735</v>
      </c>
      <c r="P776" s="150">
        <f t="shared" si="326"/>
        <v>-0.034848484848485</v>
      </c>
      <c r="Q776" s="89">
        <f t="shared" si="327"/>
        <v>0.117543859649123</v>
      </c>
      <c r="AH776" s="90"/>
      <c r="AI776" s="85"/>
      <c r="AJ776" s="36"/>
      <c r="AK776" s="36"/>
      <c r="AL776" s="36"/>
      <c r="AM776" s="36"/>
      <c r="AN776" s="36"/>
      <c r="AO776" s="36"/>
      <c r="AP776" s="36"/>
      <c r="FV776" s="104">
        <f t="shared" si="319"/>
        <v>2013</v>
      </c>
      <c r="FW776" s="104">
        <f t="shared" si="320"/>
        <v>27</v>
      </c>
      <c r="FX776" s="35">
        <v>41456</v>
      </c>
      <c r="FY776" s="26">
        <v>1.905</v>
      </c>
      <c r="FZ776" s="94">
        <f t="shared" si="321"/>
        <v>7.62</v>
      </c>
      <c r="GA776" s="104"/>
      <c r="GB776" s="104"/>
      <c r="GE776" s="94"/>
      <c r="GF776" s="104">
        <f t="shared" si="322"/>
        <v>2015</v>
      </c>
      <c r="GG776" s="104">
        <f t="shared" si="323"/>
        <v>52</v>
      </c>
      <c r="GH776" s="35">
        <v>42363</v>
      </c>
      <c r="GI776" s="26">
        <v>1.873</v>
      </c>
      <c r="GJ776" s="94">
        <f t="shared" si="324"/>
        <v>3.746</v>
      </c>
      <c r="GK776" s="104"/>
      <c r="GL776" s="104"/>
      <c r="GO776" s="94"/>
    </row>
    <row r="777" spans="3:197">
      <c r="C777" s="80" t="str" cm="1">
        <f t="array" ref="C777">_xlfn.IFS(MONTH(D777)&lt;4,1,MONTH(D777)&lt;7,2,MONTH(D777)&lt;10,3,MONTH(D777)&gt;9,4)&amp;"Q"&amp;RIGHT(YEAR(D777),2)</f>
        <v>1Q19</v>
      </c>
      <c r="D777" s="81">
        <f t="shared" si="317"/>
        <v>43524</v>
      </c>
      <c r="E777" s="82">
        <f t="shared" si="315"/>
        <v>43522</v>
      </c>
      <c r="F777" s="83">
        <f t="shared" si="325"/>
        <v>0.704375</v>
      </c>
      <c r="G777" s="83">
        <f t="shared" si="325"/>
        <v>0.64125</v>
      </c>
      <c r="H777" s="81"/>
      <c r="I777" s="152">
        <v>43522</v>
      </c>
      <c r="J777" s="153">
        <v>6.25</v>
      </c>
      <c r="K777" s="153">
        <v>4.5</v>
      </c>
      <c r="L777" s="153">
        <v>5.635</v>
      </c>
      <c r="M777" s="94" cm="1">
        <f t="array" ref="M777">INDEX($BV$29:$BV$1449,MATCH($D777,$BR$29:$BR$1449,0),)</f>
        <v>5.13</v>
      </c>
      <c r="N777" s="150">
        <f t="shared" si="314"/>
        <v>-0.017094017094017</v>
      </c>
      <c r="O777" s="150">
        <f t="shared" si="316"/>
        <v>-0.0296194248320993</v>
      </c>
      <c r="P777" s="150">
        <f t="shared" si="326"/>
        <v>-0.051027281913102</v>
      </c>
      <c r="Q777" s="89">
        <f t="shared" si="327"/>
        <v>0.0984405458089668</v>
      </c>
      <c r="AH777" s="90"/>
      <c r="AI777" s="85"/>
      <c r="AJ777" s="36"/>
      <c r="AK777" s="36"/>
      <c r="AL777" s="36"/>
      <c r="AM777" s="36"/>
      <c r="AN777" s="36"/>
      <c r="AO777" s="36"/>
      <c r="AP777" s="36"/>
      <c r="FV777" s="104">
        <f t="shared" si="319"/>
        <v>2013</v>
      </c>
      <c r="FW777" s="104">
        <f t="shared" si="320"/>
        <v>27</v>
      </c>
      <c r="FX777" s="35">
        <v>41457</v>
      </c>
      <c r="FY777" s="26">
        <v>1.905</v>
      </c>
      <c r="FZ777" s="94">
        <f t="shared" si="321"/>
        <v>7.62</v>
      </c>
      <c r="GA777" s="104"/>
      <c r="GB777" s="104"/>
      <c r="GE777" s="94"/>
      <c r="GF777" s="104">
        <f t="shared" si="322"/>
        <v>2015</v>
      </c>
      <c r="GG777" s="104">
        <f t="shared" si="323"/>
        <v>53</v>
      </c>
      <c r="GH777" s="35">
        <v>42366</v>
      </c>
      <c r="GI777" s="26">
        <v>1.872</v>
      </c>
      <c r="GJ777" s="94">
        <f t="shared" si="324"/>
        <v>3.744</v>
      </c>
      <c r="GK777" s="104"/>
      <c r="GL777" s="104"/>
      <c r="GO777" s="94"/>
    </row>
    <row r="778" spans="3:197">
      <c r="C778" s="80" t="str" cm="1">
        <f t="array" ref="C778">_xlfn.IFS(MONTH(D778)&lt;4,1,MONTH(D778)&lt;7,2,MONTH(D778)&lt;10,3,MONTH(D778)&gt;9,4)&amp;"Q"&amp;RIGHT(YEAR(D778),2)</f>
        <v>1Q19</v>
      </c>
      <c r="D778" s="81">
        <f t="shared" si="317"/>
        <v>43524</v>
      </c>
      <c r="E778" s="82">
        <f t="shared" si="315"/>
        <v>43523</v>
      </c>
      <c r="F778" s="83">
        <f t="shared" si="325"/>
        <v>0.696625</v>
      </c>
      <c r="G778" s="83">
        <f t="shared" si="325"/>
        <v>0.64125</v>
      </c>
      <c r="H778" s="81"/>
      <c r="I778" s="152">
        <v>43523</v>
      </c>
      <c r="J778" s="153">
        <v>6.25</v>
      </c>
      <c r="K778" s="153">
        <v>4.5</v>
      </c>
      <c r="L778" s="153">
        <v>5.573</v>
      </c>
      <c r="M778" s="94" cm="1">
        <f t="array" ref="M778">INDEX($BV$29:$BV$1449,MATCH($D778,$BR$29:$BR$1449,0),)</f>
        <v>5.13</v>
      </c>
      <c r="N778" s="150">
        <f t="shared" si="314"/>
        <v>-0.0110026619343389</v>
      </c>
      <c r="O778" s="150">
        <f t="shared" si="316"/>
        <v>-0.0344767844767845</v>
      </c>
      <c r="P778" s="150">
        <f t="shared" si="326"/>
        <v>-0.0590916765152794</v>
      </c>
      <c r="Q778" s="89">
        <f t="shared" si="327"/>
        <v>0.0863547758284602</v>
      </c>
      <c r="AH778" s="90"/>
      <c r="AI778" s="85"/>
      <c r="AJ778" s="36"/>
      <c r="AK778" s="36"/>
      <c r="AL778" s="36"/>
      <c r="AM778" s="36"/>
      <c r="AN778" s="36"/>
      <c r="AO778" s="36"/>
      <c r="AP778" s="36"/>
      <c r="FV778" s="104">
        <f t="shared" si="319"/>
        <v>2013</v>
      </c>
      <c r="FW778" s="104">
        <f t="shared" si="320"/>
        <v>27</v>
      </c>
      <c r="FX778" s="35">
        <v>41458</v>
      </c>
      <c r="FY778" s="26">
        <v>1.905</v>
      </c>
      <c r="FZ778" s="94">
        <f t="shared" si="321"/>
        <v>7.62</v>
      </c>
      <c r="GA778" s="104"/>
      <c r="GB778" s="104"/>
      <c r="GE778" s="94"/>
      <c r="GF778" s="104">
        <f t="shared" si="322"/>
        <v>2015</v>
      </c>
      <c r="GG778" s="104">
        <f t="shared" si="323"/>
        <v>53</v>
      </c>
      <c r="GH778" s="35">
        <v>42367</v>
      </c>
      <c r="GI778" s="26">
        <v>1.871</v>
      </c>
      <c r="GJ778" s="94">
        <f t="shared" si="324"/>
        <v>3.742</v>
      </c>
      <c r="GK778" s="104"/>
      <c r="GL778" s="104"/>
      <c r="GO778" s="94"/>
    </row>
    <row r="779" spans="3:197">
      <c r="C779" s="80" t="str" cm="1">
        <f t="array" ref="C779">_xlfn.IFS(MONTH(D779)&lt;4,1,MONTH(D779)&lt;7,2,MONTH(D779)&lt;10,3,MONTH(D779)&gt;9,4)&amp;"Q"&amp;RIGHT(YEAR(D779),2)</f>
        <v>1Q19</v>
      </c>
      <c r="D779" s="81">
        <f t="shared" si="317"/>
        <v>43524</v>
      </c>
      <c r="E779" s="82">
        <f t="shared" si="315"/>
        <v>43524</v>
      </c>
      <c r="F779" s="83">
        <f t="shared" si="325"/>
        <v>0.688</v>
      </c>
      <c r="G779" s="83">
        <f t="shared" si="325"/>
        <v>0.64125</v>
      </c>
      <c r="H779" s="81"/>
      <c r="I779" s="152">
        <v>43524</v>
      </c>
      <c r="J779" s="153">
        <v>6.15</v>
      </c>
      <c r="K779" s="153">
        <v>4.4</v>
      </c>
      <c r="L779" s="153">
        <v>5.504</v>
      </c>
      <c r="M779" s="94" cm="1">
        <f t="array" ref="M779">INDEX($BV$29:$BV$1449,MATCH($D779,$BR$29:$BR$1449,0),)</f>
        <v>5.13</v>
      </c>
      <c r="N779" s="150">
        <f t="shared" si="314"/>
        <v>-0.0123811232729232</v>
      </c>
      <c r="O779" s="150">
        <f t="shared" si="316"/>
        <v>-0.0444444444444445</v>
      </c>
      <c r="P779" s="150">
        <f t="shared" si="326"/>
        <v>-0.0615515771526003</v>
      </c>
      <c r="Q779" s="89">
        <f t="shared" si="327"/>
        <v>0.0729044834307992</v>
      </c>
      <c r="AH779" s="90"/>
      <c r="AI779" s="85"/>
      <c r="AJ779" s="36"/>
      <c r="AK779" s="36"/>
      <c r="AL779" s="36"/>
      <c r="AM779" s="36"/>
      <c r="AN779" s="36"/>
      <c r="AO779" s="36"/>
      <c r="AP779" s="36"/>
      <c r="FV779" s="104">
        <f t="shared" si="319"/>
        <v>2013</v>
      </c>
      <c r="FW779" s="104">
        <f t="shared" si="320"/>
        <v>27</v>
      </c>
      <c r="FX779" s="35">
        <v>41459</v>
      </c>
      <c r="FY779" s="26">
        <v>1.9</v>
      </c>
      <c r="FZ779" s="94">
        <f t="shared" si="321"/>
        <v>7.6</v>
      </c>
      <c r="GA779" s="104"/>
      <c r="GB779" s="104"/>
      <c r="GE779" s="94"/>
      <c r="GF779" s="104">
        <f t="shared" si="322"/>
        <v>2015</v>
      </c>
      <c r="GG779" s="104">
        <f t="shared" si="323"/>
        <v>53</v>
      </c>
      <c r="GH779" s="35">
        <v>42368</v>
      </c>
      <c r="GI779" s="26">
        <v>1.871</v>
      </c>
      <c r="GJ779" s="94">
        <f t="shared" si="324"/>
        <v>3.742</v>
      </c>
      <c r="GK779" s="104"/>
      <c r="GL779" s="104"/>
      <c r="GO779" s="94"/>
    </row>
    <row r="780" spans="3:197">
      <c r="C780" s="80" t="str" cm="1">
        <f t="array" ref="C780">_xlfn.IFS(MONTH(D780)&lt;4,1,MONTH(D780)&lt;7,2,MONTH(D780)&lt;10,3,MONTH(D780)&gt;9,4)&amp;"Q"&amp;RIGHT(YEAR(D780),2)</f>
        <v>1Q19</v>
      </c>
      <c r="D780" s="81">
        <f t="shared" si="317"/>
        <v>43555</v>
      </c>
      <c r="E780" s="82">
        <f t="shared" si="315"/>
        <v>43525</v>
      </c>
      <c r="F780" s="83">
        <f t="shared" ref="F780:G801" si="328">+L780/8</f>
        <v>0.684625</v>
      </c>
      <c r="G780" s="83">
        <f t="shared" si="328"/>
        <v>0.57</v>
      </c>
      <c r="H780" s="81"/>
      <c r="I780" s="152">
        <v>43525</v>
      </c>
      <c r="J780" s="153">
        <v>6.1</v>
      </c>
      <c r="K780" s="153">
        <v>4.4</v>
      </c>
      <c r="L780" s="153">
        <v>5.477</v>
      </c>
      <c r="M780" s="94" cm="1">
        <f t="array" ref="M780">INDEX($BV$29:$BV$1449,MATCH($D780,$BR$29:$BR$1449,0),)</f>
        <v>4.56</v>
      </c>
      <c r="N780" s="150">
        <f t="shared" si="314"/>
        <v>-0.00490552325581384</v>
      </c>
      <c r="O780" s="150">
        <f t="shared" si="316"/>
        <v>-0.0471468336812805</v>
      </c>
      <c r="P780" s="150">
        <f t="shared" si="326"/>
        <v>-0.0631200821074238</v>
      </c>
      <c r="Q780" s="89">
        <f t="shared" si="327"/>
        <v>0.20109649122807</v>
      </c>
      <c r="AH780" s="90"/>
      <c r="AI780" s="85"/>
      <c r="AJ780" s="36"/>
      <c r="AK780" s="36"/>
      <c r="AL780" s="36"/>
      <c r="AM780" s="36"/>
      <c r="AN780" s="36"/>
      <c r="AO780" s="36"/>
      <c r="AP780" s="36"/>
      <c r="FV780" s="104">
        <f t="shared" si="319"/>
        <v>2013</v>
      </c>
      <c r="FW780" s="104">
        <f t="shared" si="320"/>
        <v>27</v>
      </c>
      <c r="FX780" s="35">
        <v>41460</v>
      </c>
      <c r="FY780" s="26">
        <v>1.88</v>
      </c>
      <c r="FZ780" s="94">
        <f t="shared" si="321"/>
        <v>7.52</v>
      </c>
      <c r="GA780" s="104"/>
      <c r="GB780" s="104"/>
      <c r="GE780" s="94"/>
      <c r="GF780" s="104">
        <f t="shared" si="322"/>
        <v>2015</v>
      </c>
      <c r="GG780" s="104">
        <f t="shared" si="323"/>
        <v>53</v>
      </c>
      <c r="GH780" s="35">
        <v>42369</v>
      </c>
      <c r="GI780" s="26">
        <v>1.871</v>
      </c>
      <c r="GJ780" s="94">
        <f t="shared" si="324"/>
        <v>3.742</v>
      </c>
      <c r="GK780" s="104"/>
      <c r="GL780" s="104"/>
      <c r="GO780" s="94"/>
    </row>
    <row r="781" spans="3:197">
      <c r="C781" s="80" t="str" cm="1">
        <f t="array" ref="C781">_xlfn.IFS(MONTH(D781)&lt;4,1,MONTH(D781)&lt;7,2,MONTH(D781)&lt;10,3,MONTH(D781)&gt;9,4)&amp;"Q"&amp;RIGHT(YEAR(D781),2)</f>
        <v>1Q19</v>
      </c>
      <c r="D781" s="81">
        <f t="shared" si="317"/>
        <v>43555</v>
      </c>
      <c r="E781" s="82">
        <f t="shared" si="315"/>
        <v>43528</v>
      </c>
      <c r="F781" s="83">
        <f t="shared" si="328"/>
        <v>0.681625</v>
      </c>
      <c r="G781" s="83">
        <f t="shared" si="328"/>
        <v>0.57</v>
      </c>
      <c r="H781" s="81"/>
      <c r="I781" s="152">
        <v>43528</v>
      </c>
      <c r="J781" s="153">
        <v>6</v>
      </c>
      <c r="K781" s="153">
        <v>4.4</v>
      </c>
      <c r="L781" s="153">
        <v>5.453</v>
      </c>
      <c r="M781" s="94" cm="1">
        <f t="array" ref="M781">INDEX($BV$29:$BV$1449,MATCH($D781,$BR$29:$BR$1449,0),)</f>
        <v>4.56</v>
      </c>
      <c r="N781" s="150">
        <f t="shared" si="314"/>
        <v>-0.00438196092751508</v>
      </c>
      <c r="O781" s="150">
        <f t="shared" si="316"/>
        <v>-0.0488400488400488</v>
      </c>
      <c r="P781" s="150">
        <f t="shared" si="326"/>
        <v>-0.0640233436319944</v>
      </c>
      <c r="Q781" s="89">
        <f t="shared" si="327"/>
        <v>0.195833333333334</v>
      </c>
      <c r="AH781" s="90"/>
      <c r="AI781" s="85"/>
      <c r="AJ781" s="36"/>
      <c r="AK781" s="36"/>
      <c r="AL781" s="36"/>
      <c r="AM781" s="36"/>
      <c r="AN781" s="36"/>
      <c r="AO781" s="36"/>
      <c r="AP781" s="36"/>
      <c r="FV781" s="104">
        <f t="shared" si="319"/>
        <v>2013</v>
      </c>
      <c r="FW781" s="104">
        <f t="shared" si="320"/>
        <v>28</v>
      </c>
      <c r="FX781" s="35">
        <v>41463</v>
      </c>
      <c r="FY781" s="26">
        <v>1.88</v>
      </c>
      <c r="FZ781" s="94">
        <f t="shared" si="321"/>
        <v>7.52</v>
      </c>
      <c r="GA781" s="104"/>
      <c r="GB781" s="104"/>
      <c r="GE781" s="94"/>
      <c r="GF781" s="104">
        <f t="shared" si="322"/>
        <v>2016</v>
      </c>
      <c r="GG781" s="104">
        <f t="shared" si="323"/>
        <v>2</v>
      </c>
      <c r="GH781" s="35">
        <v>42373</v>
      </c>
      <c r="GI781" s="26">
        <v>1.871</v>
      </c>
      <c r="GJ781" s="94">
        <f t="shared" si="324"/>
        <v>3.742</v>
      </c>
      <c r="GK781" s="104"/>
      <c r="GL781" s="104"/>
      <c r="GO781" s="94"/>
    </row>
    <row r="782" spans="3:197">
      <c r="C782" s="80" t="str" cm="1">
        <f t="array" ref="C782">_xlfn.IFS(MONTH(D782)&lt;4,1,MONTH(D782)&lt;7,2,MONTH(D782)&lt;10,3,MONTH(D782)&gt;9,4)&amp;"Q"&amp;RIGHT(YEAR(D782),2)</f>
        <v>1Q19</v>
      </c>
      <c r="D782" s="81">
        <f t="shared" si="317"/>
        <v>43555</v>
      </c>
      <c r="E782" s="82">
        <f t="shared" si="315"/>
        <v>43529</v>
      </c>
      <c r="F782" s="83">
        <f t="shared" si="328"/>
        <v>0.68125</v>
      </c>
      <c r="G782" s="83">
        <f t="shared" si="328"/>
        <v>0.57</v>
      </c>
      <c r="H782" s="81"/>
      <c r="I782" s="152">
        <v>43529</v>
      </c>
      <c r="J782" s="153">
        <v>6</v>
      </c>
      <c r="K782" s="153">
        <v>4.4</v>
      </c>
      <c r="L782" s="153">
        <v>5.45</v>
      </c>
      <c r="M782" s="94" cm="1">
        <f t="array" ref="M782">INDEX($BV$29:$BV$1449,MATCH($D782,$BR$29:$BR$1449,0),)</f>
        <v>4.56</v>
      </c>
      <c r="N782" s="150">
        <f t="shared" si="314"/>
        <v>-0.000550155877498626</v>
      </c>
      <c r="O782" s="150">
        <f t="shared" si="316"/>
        <v>-0.0328305235137533</v>
      </c>
      <c r="P782" s="150">
        <f t="shared" si="326"/>
        <v>-0.0614775271224385</v>
      </c>
      <c r="Q782" s="89">
        <f t="shared" si="327"/>
        <v>0.195175438596491</v>
      </c>
      <c r="AH782" s="90"/>
      <c r="AI782" s="85"/>
      <c r="AJ782" s="36"/>
      <c r="AK782" s="36"/>
      <c r="AL782" s="36"/>
      <c r="AM782" s="36"/>
      <c r="AN782" s="36"/>
      <c r="AO782" s="36"/>
      <c r="AP782" s="36"/>
      <c r="FV782" s="104">
        <f t="shared" si="319"/>
        <v>2013</v>
      </c>
      <c r="FW782" s="104">
        <f t="shared" si="320"/>
        <v>28</v>
      </c>
      <c r="FX782" s="35">
        <v>41464</v>
      </c>
      <c r="FY782" s="26">
        <v>1.851</v>
      </c>
      <c r="FZ782" s="94">
        <f t="shared" si="321"/>
        <v>7.404</v>
      </c>
      <c r="GA782" s="104"/>
      <c r="GB782" s="104"/>
      <c r="GE782" s="94"/>
      <c r="GF782" s="104">
        <f t="shared" si="322"/>
        <v>2016</v>
      </c>
      <c r="GG782" s="104">
        <f t="shared" si="323"/>
        <v>2</v>
      </c>
      <c r="GH782" s="35">
        <v>42374</v>
      </c>
      <c r="GI782" s="26">
        <v>1.871</v>
      </c>
      <c r="GJ782" s="94">
        <f t="shared" si="324"/>
        <v>3.742</v>
      </c>
      <c r="GK782" s="104"/>
      <c r="GL782" s="104"/>
      <c r="GO782" s="94"/>
    </row>
    <row r="783" spans="3:197">
      <c r="C783" s="80" t="str" cm="1">
        <f t="array" ref="C783">_xlfn.IFS(MONTH(D783)&lt;4,1,MONTH(D783)&lt;7,2,MONTH(D783)&lt;10,3,MONTH(D783)&gt;9,4)&amp;"Q"&amp;RIGHT(YEAR(D783),2)</f>
        <v>1Q19</v>
      </c>
      <c r="D783" s="81">
        <f t="shared" si="317"/>
        <v>43555</v>
      </c>
      <c r="E783" s="82">
        <f t="shared" si="315"/>
        <v>43530</v>
      </c>
      <c r="F783" s="83">
        <f t="shared" si="328"/>
        <v>0.66875</v>
      </c>
      <c r="G783" s="83">
        <f t="shared" si="328"/>
        <v>0.57</v>
      </c>
      <c r="H783" s="81"/>
      <c r="I783" s="152">
        <v>43530</v>
      </c>
      <c r="J783" s="153">
        <v>5.9</v>
      </c>
      <c r="K783" s="153">
        <v>4.2</v>
      </c>
      <c r="L783" s="153">
        <v>5.35</v>
      </c>
      <c r="M783" s="94" cm="1">
        <f t="array" ref="M783">INDEX($BV$29:$BV$1449,MATCH($D783,$BR$29:$BR$1449,0),)</f>
        <v>4.56</v>
      </c>
      <c r="N783" s="150">
        <f t="shared" si="314"/>
        <v>-0.0183486238532111</v>
      </c>
      <c r="O783" s="150">
        <f t="shared" si="316"/>
        <v>-0.040014354925534</v>
      </c>
      <c r="P783" s="150">
        <f t="shared" si="326"/>
        <v>-0.0731115731115732</v>
      </c>
      <c r="Q783" s="89">
        <f t="shared" si="327"/>
        <v>0.173245614035088</v>
      </c>
      <c r="AH783" s="90"/>
      <c r="AI783" s="85"/>
      <c r="AJ783" s="36"/>
      <c r="AK783" s="36"/>
      <c r="AL783" s="36"/>
      <c r="AM783" s="36"/>
      <c r="AN783" s="36"/>
      <c r="AO783" s="36"/>
      <c r="AP783" s="36"/>
      <c r="FV783" s="104">
        <f t="shared" si="319"/>
        <v>2013</v>
      </c>
      <c r="FW783" s="104">
        <f t="shared" si="320"/>
        <v>28</v>
      </c>
      <c r="FX783" s="35">
        <v>41465</v>
      </c>
      <c r="FY783" s="26">
        <v>1.814</v>
      </c>
      <c r="FZ783" s="94">
        <f t="shared" si="321"/>
        <v>7.256</v>
      </c>
      <c r="GA783" s="104"/>
      <c r="GB783" s="104"/>
      <c r="GE783" s="94"/>
      <c r="GF783" s="104">
        <f t="shared" si="322"/>
        <v>2016</v>
      </c>
      <c r="GG783" s="104">
        <f t="shared" si="323"/>
        <v>2</v>
      </c>
      <c r="GH783" s="35">
        <v>42375</v>
      </c>
      <c r="GI783" s="26">
        <v>1.871</v>
      </c>
      <c r="GJ783" s="94">
        <f t="shared" si="324"/>
        <v>3.742</v>
      </c>
      <c r="GK783" s="104"/>
      <c r="GL783" s="104"/>
      <c r="GO783" s="94"/>
    </row>
    <row r="784" spans="3:197">
      <c r="C784" s="80" t="str" cm="1">
        <f t="array" ref="C784">_xlfn.IFS(MONTH(D784)&lt;4,1,MONTH(D784)&lt;7,2,MONTH(D784)&lt;10,3,MONTH(D784)&gt;9,4)&amp;"Q"&amp;RIGHT(YEAR(D784),2)</f>
        <v>1Q19</v>
      </c>
      <c r="D784" s="81">
        <f t="shared" si="317"/>
        <v>43555</v>
      </c>
      <c r="E784" s="82">
        <f t="shared" si="315"/>
        <v>43531</v>
      </c>
      <c r="F784" s="83">
        <f t="shared" si="328"/>
        <v>0.66875</v>
      </c>
      <c r="G784" s="83">
        <f t="shared" si="328"/>
        <v>0.57</v>
      </c>
      <c r="H784" s="81"/>
      <c r="I784" s="152">
        <v>43531</v>
      </c>
      <c r="J784" s="153">
        <v>6</v>
      </c>
      <c r="K784" s="153">
        <v>4.2</v>
      </c>
      <c r="L784" s="153">
        <v>5.35</v>
      </c>
      <c r="M784" s="94" cm="1">
        <f t="array" ref="M784">INDEX($BV$29:$BV$1449,MATCH($D784,$BR$29:$BR$1449,0),)</f>
        <v>4.56</v>
      </c>
      <c r="N784" s="150">
        <f t="shared" si="314"/>
        <v>0</v>
      </c>
      <c r="O784" s="150">
        <f t="shared" si="316"/>
        <v>-0.0279796511627907</v>
      </c>
      <c r="P784" s="150">
        <f t="shared" si="326"/>
        <v>-0.0711805555555556</v>
      </c>
      <c r="Q784" s="89">
        <f t="shared" si="327"/>
        <v>0.173245614035088</v>
      </c>
      <c r="AH784" s="90"/>
      <c r="AI784" s="85"/>
      <c r="AJ784" s="36"/>
      <c r="AK784" s="36"/>
      <c r="AL784" s="36"/>
      <c r="AM784" s="36"/>
      <c r="AN784" s="36"/>
      <c r="AO784" s="36"/>
      <c r="AP784" s="36"/>
      <c r="FV784" s="104">
        <f t="shared" si="319"/>
        <v>2013</v>
      </c>
      <c r="FW784" s="104">
        <f t="shared" si="320"/>
        <v>28</v>
      </c>
      <c r="FX784" s="35">
        <v>41466</v>
      </c>
      <c r="FY784" s="26">
        <v>1.783</v>
      </c>
      <c r="FZ784" s="94">
        <f t="shared" si="321"/>
        <v>7.132</v>
      </c>
      <c r="GA784" s="104"/>
      <c r="GB784" s="104"/>
      <c r="GE784" s="94"/>
      <c r="GF784" s="104">
        <f t="shared" si="322"/>
        <v>2016</v>
      </c>
      <c r="GG784" s="104">
        <f t="shared" si="323"/>
        <v>2</v>
      </c>
      <c r="GH784" s="35">
        <v>42376</v>
      </c>
      <c r="GI784" s="26">
        <v>1.881</v>
      </c>
      <c r="GJ784" s="94">
        <f t="shared" si="324"/>
        <v>3.762</v>
      </c>
      <c r="GK784" s="104"/>
      <c r="GL784" s="104"/>
      <c r="GO784" s="94"/>
    </row>
    <row r="785" spans="3:197">
      <c r="C785" s="80" t="str" cm="1">
        <f t="array" ref="C785">_xlfn.IFS(MONTH(D785)&lt;4,1,MONTH(D785)&lt;7,2,MONTH(D785)&lt;10,3,MONTH(D785)&gt;9,4)&amp;"Q"&amp;RIGHT(YEAR(D785),2)</f>
        <v>1Q19</v>
      </c>
      <c r="D785" s="81">
        <f t="shared" si="317"/>
        <v>43555</v>
      </c>
      <c r="E785" s="82">
        <f t="shared" si="315"/>
        <v>43532</v>
      </c>
      <c r="F785" s="83">
        <f t="shared" si="328"/>
        <v>0.667875</v>
      </c>
      <c r="G785" s="83">
        <f t="shared" si="328"/>
        <v>0.57</v>
      </c>
      <c r="H785" s="81"/>
      <c r="I785" s="152">
        <v>43532</v>
      </c>
      <c r="J785" s="153">
        <v>6</v>
      </c>
      <c r="K785" s="153">
        <v>4.2</v>
      </c>
      <c r="L785" s="153">
        <v>5.343</v>
      </c>
      <c r="M785" s="94" cm="1">
        <f t="array" ref="M785">INDEX($BV$29:$BV$1449,MATCH($D785,$BR$29:$BR$1449,0),)</f>
        <v>4.56</v>
      </c>
      <c r="N785" s="150">
        <f t="shared" si="314"/>
        <v>-0.00130841121495318</v>
      </c>
      <c r="O785" s="150">
        <f t="shared" si="316"/>
        <v>-0.0244659485119592</v>
      </c>
      <c r="P785" s="150">
        <f t="shared" si="326"/>
        <v>-0.0704592901878914</v>
      </c>
      <c r="Q785" s="89">
        <f t="shared" si="327"/>
        <v>0.17171052631579</v>
      </c>
      <c r="AH785" s="90"/>
      <c r="AI785" s="85"/>
      <c r="AJ785" s="36"/>
      <c r="AK785" s="36"/>
      <c r="AL785" s="36"/>
      <c r="AM785" s="36"/>
      <c r="AN785" s="36"/>
      <c r="AO785" s="36"/>
      <c r="AP785" s="36"/>
      <c r="FV785" s="104">
        <f t="shared" si="319"/>
        <v>2013</v>
      </c>
      <c r="FW785" s="104">
        <f t="shared" si="320"/>
        <v>28</v>
      </c>
      <c r="FX785" s="35">
        <v>41467</v>
      </c>
      <c r="FY785" s="26">
        <v>1.781</v>
      </c>
      <c r="FZ785" s="94">
        <f t="shared" si="321"/>
        <v>7.124</v>
      </c>
      <c r="GA785" s="104"/>
      <c r="GB785" s="104"/>
      <c r="GE785" s="94"/>
      <c r="GF785" s="104">
        <f t="shared" si="322"/>
        <v>2016</v>
      </c>
      <c r="GG785" s="104">
        <f t="shared" si="323"/>
        <v>2</v>
      </c>
      <c r="GH785" s="35">
        <v>42377</v>
      </c>
      <c r="GI785" s="26">
        <v>1.882</v>
      </c>
      <c r="GJ785" s="94">
        <f t="shared" si="324"/>
        <v>3.764</v>
      </c>
      <c r="GK785" s="104"/>
      <c r="GL785" s="104"/>
      <c r="GO785" s="94"/>
    </row>
    <row r="786" spans="3:197">
      <c r="C786" s="80" t="str" cm="1">
        <f t="array" ref="C786">_xlfn.IFS(MONTH(D786)&lt;4,1,MONTH(D786)&lt;7,2,MONTH(D786)&lt;10,3,MONTH(D786)&gt;9,4)&amp;"Q"&amp;RIGHT(YEAR(D786),2)</f>
        <v>1Q19</v>
      </c>
      <c r="D786" s="81">
        <f t="shared" si="317"/>
        <v>43555</v>
      </c>
      <c r="E786" s="82">
        <f t="shared" si="315"/>
        <v>43535</v>
      </c>
      <c r="F786" s="83">
        <f t="shared" si="328"/>
        <v>0.65625</v>
      </c>
      <c r="G786" s="83">
        <f t="shared" si="328"/>
        <v>0.57</v>
      </c>
      <c r="H786" s="81"/>
      <c r="I786" s="146">
        <v>43535</v>
      </c>
      <c r="J786" s="147">
        <v>5.95</v>
      </c>
      <c r="K786" s="147">
        <v>4.2</v>
      </c>
      <c r="L786" s="147">
        <v>5.25</v>
      </c>
      <c r="M786" s="94" cm="1">
        <f t="array" ref="M786">INDEX($BV$29:$BV$1449,MATCH($D786,$BR$29:$BR$1449,0),)</f>
        <v>4.56</v>
      </c>
      <c r="N786" s="150">
        <f t="shared" si="314"/>
        <v>-0.017405951712521</v>
      </c>
      <c r="O786" s="150">
        <f t="shared" si="316"/>
        <v>-0.0372272143774069</v>
      </c>
      <c r="P786" s="150">
        <f t="shared" si="326"/>
        <v>-0.0842490842490842</v>
      </c>
      <c r="Q786" s="89">
        <f t="shared" si="327"/>
        <v>0.151315789473684</v>
      </c>
      <c r="AH786" s="90"/>
      <c r="AI786" s="85"/>
      <c r="AJ786" s="36"/>
      <c r="AK786" s="36"/>
      <c r="AL786" s="36"/>
      <c r="AM786" s="36"/>
      <c r="AN786" s="36"/>
      <c r="AO786" s="36"/>
      <c r="AP786" s="36"/>
      <c r="FV786" s="104">
        <f t="shared" si="319"/>
        <v>2013</v>
      </c>
      <c r="FW786" s="104">
        <f t="shared" si="320"/>
        <v>29</v>
      </c>
      <c r="FX786" s="35">
        <v>41470</v>
      </c>
      <c r="FY786" s="26">
        <v>1.781</v>
      </c>
      <c r="FZ786" s="94">
        <f t="shared" si="321"/>
        <v>7.124</v>
      </c>
      <c r="GA786" s="104"/>
      <c r="GB786" s="104"/>
      <c r="GE786" s="94"/>
      <c r="GF786" s="104">
        <f t="shared" si="322"/>
        <v>2016</v>
      </c>
      <c r="GG786" s="104">
        <f t="shared" si="323"/>
        <v>3</v>
      </c>
      <c r="GH786" s="35">
        <v>42380</v>
      </c>
      <c r="GI786" s="26">
        <v>1.883</v>
      </c>
      <c r="GJ786" s="94">
        <f t="shared" si="324"/>
        <v>3.766</v>
      </c>
      <c r="GK786" s="104"/>
      <c r="GL786" s="104"/>
      <c r="GO786" s="94"/>
    </row>
    <row r="787" spans="3:197">
      <c r="C787" s="80" t="str" cm="1">
        <f t="array" ref="C787">_xlfn.IFS(MONTH(D787)&lt;4,1,MONTH(D787)&lt;7,2,MONTH(D787)&lt;10,3,MONTH(D787)&gt;9,4)&amp;"Q"&amp;RIGHT(YEAR(D787),2)</f>
        <v>1Q19</v>
      </c>
      <c r="D787" s="81">
        <f t="shared" si="317"/>
        <v>43555</v>
      </c>
      <c r="E787" s="82">
        <f t="shared" si="315"/>
        <v>43536</v>
      </c>
      <c r="F787" s="83">
        <f t="shared" si="328"/>
        <v>0.648625</v>
      </c>
      <c r="G787" s="83">
        <f t="shared" si="328"/>
        <v>0.57</v>
      </c>
      <c r="H787" s="81"/>
      <c r="I787" s="146">
        <v>43536</v>
      </c>
      <c r="J787" s="147">
        <v>5.9</v>
      </c>
      <c r="K787" s="147">
        <v>4.1</v>
      </c>
      <c r="L787" s="147">
        <v>5.189</v>
      </c>
      <c r="M787" s="94" cm="1">
        <f t="array" ref="M787">INDEX($BV$29:$BV$1449,MATCH($D787,$BR$29:$BR$1449,0),)</f>
        <v>4.56</v>
      </c>
      <c r="N787" s="150">
        <f t="shared" ref="N787:N850" si="329">L787/L786-1</f>
        <v>-0.0116190476190476</v>
      </c>
      <c r="O787" s="150">
        <f t="shared" si="316"/>
        <v>-0.0478899082568808</v>
      </c>
      <c r="P787" s="150">
        <f t="shared" si="326"/>
        <v>-0.079148181011535</v>
      </c>
      <c r="Q787" s="89">
        <f t="shared" si="327"/>
        <v>0.137938596491228</v>
      </c>
      <c r="AH787" s="90"/>
      <c r="AI787" s="85"/>
      <c r="AJ787" s="36"/>
      <c r="AK787" s="36"/>
      <c r="AL787" s="36"/>
      <c r="AM787" s="36"/>
      <c r="AN787" s="36"/>
      <c r="AO787" s="36"/>
      <c r="AP787" s="36"/>
      <c r="FV787" s="104">
        <f t="shared" si="319"/>
        <v>2013</v>
      </c>
      <c r="FW787" s="104">
        <f t="shared" si="320"/>
        <v>29</v>
      </c>
      <c r="FX787" s="35">
        <v>41471</v>
      </c>
      <c r="FY787" s="26">
        <v>1.753</v>
      </c>
      <c r="FZ787" s="94">
        <f t="shared" si="321"/>
        <v>7.012</v>
      </c>
      <c r="GA787" s="104"/>
      <c r="GB787" s="104"/>
      <c r="GE787" s="94"/>
      <c r="GF787" s="104">
        <f t="shared" si="322"/>
        <v>2016</v>
      </c>
      <c r="GG787" s="104">
        <f t="shared" si="323"/>
        <v>3</v>
      </c>
      <c r="GH787" s="35">
        <v>42381</v>
      </c>
      <c r="GI787" s="26">
        <v>1.884</v>
      </c>
      <c r="GJ787" s="94">
        <f t="shared" si="324"/>
        <v>3.768</v>
      </c>
      <c r="GK787" s="104"/>
      <c r="GL787" s="104"/>
      <c r="GO787" s="94"/>
    </row>
    <row r="788" spans="3:197">
      <c r="C788" s="80" t="str" cm="1">
        <f t="array" ref="C788">_xlfn.IFS(MONTH(D788)&lt;4,1,MONTH(D788)&lt;7,2,MONTH(D788)&lt;10,3,MONTH(D788)&gt;9,4)&amp;"Q"&amp;RIGHT(YEAR(D788),2)</f>
        <v>1Q19</v>
      </c>
      <c r="D788" s="81">
        <f t="shared" si="317"/>
        <v>43555</v>
      </c>
      <c r="E788" s="82">
        <f t="shared" si="315"/>
        <v>43537</v>
      </c>
      <c r="F788" s="83">
        <f t="shared" si="328"/>
        <v>0.64575</v>
      </c>
      <c r="G788" s="83">
        <f t="shared" si="328"/>
        <v>0.57</v>
      </c>
      <c r="H788" s="81"/>
      <c r="I788" s="146">
        <v>43537</v>
      </c>
      <c r="J788" s="147">
        <v>5.9</v>
      </c>
      <c r="K788" s="147">
        <v>4</v>
      </c>
      <c r="L788" s="147">
        <v>5.166</v>
      </c>
      <c r="M788" s="94" cm="1">
        <f t="array" ref="M788">INDEX($BV$29:$BV$1449,MATCH($D788,$BR$29:$BR$1449,0),)</f>
        <v>4.56</v>
      </c>
      <c r="N788" s="150">
        <f t="shared" si="329"/>
        <v>-0.0044324532665253</v>
      </c>
      <c r="O788" s="150">
        <f t="shared" si="316"/>
        <v>-0.0343925233644858</v>
      </c>
      <c r="P788" s="150">
        <f t="shared" si="326"/>
        <v>-0.0730306836533285</v>
      </c>
      <c r="Q788" s="89">
        <f t="shared" si="327"/>
        <v>0.132894736842105</v>
      </c>
      <c r="AH788" s="90"/>
      <c r="AI788" s="85"/>
      <c r="AJ788" s="36"/>
      <c r="AK788" s="36"/>
      <c r="AL788" s="36"/>
      <c r="AM788" s="36"/>
      <c r="AN788" s="36"/>
      <c r="AO788" s="36"/>
      <c r="AP788" s="36"/>
      <c r="FV788" s="104">
        <f t="shared" si="319"/>
        <v>2013</v>
      </c>
      <c r="FW788" s="104">
        <f t="shared" si="320"/>
        <v>29</v>
      </c>
      <c r="FX788" s="35">
        <v>41472</v>
      </c>
      <c r="FY788" s="26">
        <v>1.76</v>
      </c>
      <c r="FZ788" s="94">
        <f t="shared" si="321"/>
        <v>7.04</v>
      </c>
      <c r="GA788" s="104"/>
      <c r="GB788" s="104"/>
      <c r="GE788" s="94"/>
      <c r="GF788" s="104">
        <f t="shared" si="322"/>
        <v>2016</v>
      </c>
      <c r="GG788" s="104">
        <f t="shared" si="323"/>
        <v>3</v>
      </c>
      <c r="GH788" s="35">
        <v>42382</v>
      </c>
      <c r="GI788" s="26">
        <v>1.884</v>
      </c>
      <c r="GJ788" s="94">
        <f t="shared" si="324"/>
        <v>3.768</v>
      </c>
      <c r="GK788" s="104"/>
      <c r="GL788" s="104"/>
      <c r="GO788" s="94"/>
    </row>
    <row r="789" spans="3:197">
      <c r="C789" s="80" t="str" cm="1">
        <f t="array" ref="C789">_xlfn.IFS(MONTH(D789)&lt;4,1,MONTH(D789)&lt;7,2,MONTH(D789)&lt;10,3,MONTH(D789)&gt;9,4)&amp;"Q"&amp;RIGHT(YEAR(D789),2)</f>
        <v>1Q19</v>
      </c>
      <c r="D789" s="81">
        <f t="shared" si="317"/>
        <v>43555</v>
      </c>
      <c r="E789" s="82">
        <f t="shared" ref="E789:E852" si="330">I789</f>
        <v>43538</v>
      </c>
      <c r="F789" s="83">
        <f t="shared" si="328"/>
        <v>0.636125</v>
      </c>
      <c r="G789" s="83">
        <f t="shared" si="328"/>
        <v>0.57</v>
      </c>
      <c r="H789" s="81"/>
      <c r="I789" s="146">
        <v>43538</v>
      </c>
      <c r="J789" s="147">
        <v>5.9</v>
      </c>
      <c r="K789" s="147">
        <v>4</v>
      </c>
      <c r="L789" s="147">
        <v>5.089</v>
      </c>
      <c r="M789" s="94" cm="1">
        <f t="array" ref="M789">INDEX($BV$29:$BV$1449,MATCH($D789,$BR$29:$BR$1449,0),)</f>
        <v>4.56</v>
      </c>
      <c r="N789" s="150">
        <f t="shared" si="329"/>
        <v>-0.0149051490514905</v>
      </c>
      <c r="O789" s="150">
        <f t="shared" ref="O789:O852" si="331">L789/L784-1</f>
        <v>-0.0487850467289718</v>
      </c>
      <c r="P789" s="150">
        <f t="shared" si="326"/>
        <v>-0.0753997093023254</v>
      </c>
      <c r="Q789" s="89">
        <f t="shared" si="327"/>
        <v>0.116008771929825</v>
      </c>
      <c r="AH789" s="90"/>
      <c r="AI789" s="85"/>
      <c r="AJ789" s="36"/>
      <c r="AK789" s="36"/>
      <c r="AL789" s="36"/>
      <c r="AM789" s="36"/>
      <c r="AN789" s="36"/>
      <c r="AO789" s="36"/>
      <c r="AP789" s="36"/>
      <c r="FV789" s="104">
        <f t="shared" si="319"/>
        <v>2013</v>
      </c>
      <c r="FW789" s="104">
        <f t="shared" si="320"/>
        <v>29</v>
      </c>
      <c r="FX789" s="35">
        <v>41473</v>
      </c>
      <c r="FY789" s="26">
        <v>1.756</v>
      </c>
      <c r="FZ789" s="94">
        <f t="shared" si="321"/>
        <v>7.024</v>
      </c>
      <c r="GA789" s="104"/>
      <c r="GB789" s="104"/>
      <c r="GE789" s="94"/>
      <c r="GF789" s="104">
        <f t="shared" si="322"/>
        <v>2016</v>
      </c>
      <c r="GG789" s="104">
        <f t="shared" si="323"/>
        <v>3</v>
      </c>
      <c r="GH789" s="35">
        <v>42383</v>
      </c>
      <c r="GI789" s="26">
        <v>1.885</v>
      </c>
      <c r="GJ789" s="94">
        <f t="shared" si="324"/>
        <v>3.77</v>
      </c>
      <c r="GK789" s="104"/>
      <c r="GL789" s="104"/>
      <c r="GO789" s="94"/>
    </row>
    <row r="790" spans="3:197">
      <c r="C790" s="80" t="str" cm="1">
        <f t="array" ref="C790">_xlfn.IFS(MONTH(D790)&lt;4,1,MONTH(D790)&lt;7,2,MONTH(D790)&lt;10,3,MONTH(D790)&gt;9,4)&amp;"Q"&amp;RIGHT(YEAR(D790),2)</f>
        <v>1Q19</v>
      </c>
      <c r="D790" s="81">
        <f t="shared" si="317"/>
        <v>43555</v>
      </c>
      <c r="E790" s="82">
        <f t="shared" si="330"/>
        <v>43539</v>
      </c>
      <c r="F790" s="83">
        <f t="shared" si="328"/>
        <v>0.634625</v>
      </c>
      <c r="G790" s="83">
        <f t="shared" si="328"/>
        <v>0.57</v>
      </c>
      <c r="H790" s="81"/>
      <c r="I790" s="146">
        <v>43539</v>
      </c>
      <c r="J790" s="147">
        <v>5.9</v>
      </c>
      <c r="K790" s="147">
        <v>4</v>
      </c>
      <c r="L790" s="147">
        <v>5.077</v>
      </c>
      <c r="M790" s="94" cm="1">
        <f t="array" ref="M790">INDEX($BV$29:$BV$1449,MATCH($D790,$BR$29:$BR$1449,0),)</f>
        <v>4.56</v>
      </c>
      <c r="N790" s="150">
        <f t="shared" si="329"/>
        <v>-0.00235802711731192</v>
      </c>
      <c r="O790" s="150">
        <f t="shared" si="331"/>
        <v>-0.0497847651132323</v>
      </c>
      <c r="P790" s="150">
        <f t="shared" si="326"/>
        <v>-0.0730326821252512</v>
      </c>
      <c r="Q790" s="89">
        <f t="shared" si="327"/>
        <v>0.113377192982456</v>
      </c>
      <c r="AH790" s="90"/>
      <c r="AI790" s="85"/>
      <c r="AJ790" s="36"/>
      <c r="AK790" s="36"/>
      <c r="AL790" s="36"/>
      <c r="AM790" s="36"/>
      <c r="AN790" s="36"/>
      <c r="AO790" s="36"/>
      <c r="AP790" s="36"/>
      <c r="FV790" s="104">
        <f t="shared" si="319"/>
        <v>2013</v>
      </c>
      <c r="FW790" s="104">
        <f t="shared" si="320"/>
        <v>29</v>
      </c>
      <c r="FX790" s="35">
        <v>41474</v>
      </c>
      <c r="FY790" s="26">
        <v>1.76</v>
      </c>
      <c r="FZ790" s="94">
        <f t="shared" si="321"/>
        <v>7.04</v>
      </c>
      <c r="GA790" s="104"/>
      <c r="GB790" s="104"/>
      <c r="GE790" s="94"/>
      <c r="GF790" s="104">
        <f t="shared" si="322"/>
        <v>2016</v>
      </c>
      <c r="GG790" s="104">
        <f t="shared" si="323"/>
        <v>3</v>
      </c>
      <c r="GH790" s="35">
        <v>42384</v>
      </c>
      <c r="GI790" s="26">
        <v>1.885</v>
      </c>
      <c r="GJ790" s="94">
        <f t="shared" si="324"/>
        <v>3.77</v>
      </c>
      <c r="GK790" s="104"/>
      <c r="GL790" s="104"/>
      <c r="GO790" s="94"/>
    </row>
    <row r="791" spans="3:197">
      <c r="C791" s="80" t="str" cm="1">
        <f t="array" ref="C791">_xlfn.IFS(MONTH(D791)&lt;4,1,MONTH(D791)&lt;7,2,MONTH(D791)&lt;10,3,MONTH(D791)&gt;9,4)&amp;"Q"&amp;RIGHT(YEAR(D791),2)</f>
        <v>1Q19</v>
      </c>
      <c r="D791" s="81">
        <f t="shared" si="317"/>
        <v>43555</v>
      </c>
      <c r="E791" s="82">
        <f t="shared" si="330"/>
        <v>43542</v>
      </c>
      <c r="F791" s="83">
        <f t="shared" si="328"/>
        <v>0.634625</v>
      </c>
      <c r="G791" s="83">
        <f t="shared" si="328"/>
        <v>0.57</v>
      </c>
      <c r="H791" s="81"/>
      <c r="I791" s="146">
        <v>43542</v>
      </c>
      <c r="J791" s="147">
        <v>5.85</v>
      </c>
      <c r="K791" s="147">
        <v>4</v>
      </c>
      <c r="L791" s="147">
        <v>5.077</v>
      </c>
      <c r="M791" s="94" cm="1">
        <f t="array" ref="M791">INDEX($BV$29:$BV$1449,MATCH($D791,$BR$29:$BR$1449,0),)</f>
        <v>4.56</v>
      </c>
      <c r="N791" s="150">
        <f t="shared" si="329"/>
        <v>0</v>
      </c>
      <c r="O791" s="150">
        <f t="shared" si="331"/>
        <v>-0.032952380952381</v>
      </c>
      <c r="P791" s="150">
        <f t="shared" si="326"/>
        <v>-0.0689528699798276</v>
      </c>
      <c r="Q791" s="89">
        <f t="shared" si="327"/>
        <v>0.113377192982456</v>
      </c>
      <c r="AH791" s="90"/>
      <c r="AI791" s="85"/>
      <c r="AJ791" s="36"/>
      <c r="AK791" s="36"/>
      <c r="AL791" s="36"/>
      <c r="AM791" s="36"/>
      <c r="AN791" s="36"/>
      <c r="AO791" s="36"/>
      <c r="AP791" s="36"/>
      <c r="FV791" s="104">
        <f t="shared" si="319"/>
        <v>2013</v>
      </c>
      <c r="FW791" s="104">
        <f t="shared" si="320"/>
        <v>30</v>
      </c>
      <c r="FX791" s="35">
        <v>41477</v>
      </c>
      <c r="FY791" s="26">
        <v>1.764</v>
      </c>
      <c r="FZ791" s="94">
        <f t="shared" si="321"/>
        <v>7.056</v>
      </c>
      <c r="GA791" s="104"/>
      <c r="GB791" s="104"/>
      <c r="GE791" s="94"/>
      <c r="GF791" s="104">
        <f t="shared" si="322"/>
        <v>2016</v>
      </c>
      <c r="GG791" s="104">
        <f t="shared" si="323"/>
        <v>4</v>
      </c>
      <c r="GH791" s="35">
        <v>42387</v>
      </c>
      <c r="GI791" s="26">
        <v>1.897</v>
      </c>
      <c r="GJ791" s="94">
        <f t="shared" si="324"/>
        <v>3.794</v>
      </c>
      <c r="GK791" s="104"/>
      <c r="GL791" s="104"/>
      <c r="GO791" s="94"/>
    </row>
    <row r="792" spans="3:197">
      <c r="C792" s="80" t="str" cm="1">
        <f t="array" ref="C792">_xlfn.IFS(MONTH(D792)&lt;4,1,MONTH(D792)&lt;7,2,MONTH(D792)&lt;10,3,MONTH(D792)&gt;9,4)&amp;"Q"&amp;RIGHT(YEAR(D792),2)</f>
        <v>1Q19</v>
      </c>
      <c r="D792" s="81">
        <f t="shared" si="317"/>
        <v>43555</v>
      </c>
      <c r="E792" s="82">
        <f t="shared" si="330"/>
        <v>43543</v>
      </c>
      <c r="F792" s="83">
        <f t="shared" si="328"/>
        <v>0.62975</v>
      </c>
      <c r="G792" s="83">
        <f t="shared" si="328"/>
        <v>0.57</v>
      </c>
      <c r="H792" s="81"/>
      <c r="I792" s="146">
        <v>43543</v>
      </c>
      <c r="J792" s="147">
        <v>5.8</v>
      </c>
      <c r="K792" s="147">
        <v>4</v>
      </c>
      <c r="L792" s="147">
        <v>5.038</v>
      </c>
      <c r="M792" s="94" cm="1">
        <f t="array" ref="M792">INDEX($BV$29:$BV$1449,MATCH($D792,$BR$29:$BR$1449,0),)</f>
        <v>4.56</v>
      </c>
      <c r="N792" s="150">
        <f t="shared" si="329"/>
        <v>-0.00768170179239702</v>
      </c>
      <c r="O792" s="150">
        <f t="shared" si="331"/>
        <v>-0.0291000192715359</v>
      </c>
      <c r="P792" s="150">
        <f t="shared" si="326"/>
        <v>-0.0755963302752294</v>
      </c>
      <c r="Q792" s="89">
        <f t="shared" si="327"/>
        <v>0.104824561403509</v>
      </c>
      <c r="AH792" s="90"/>
      <c r="AI792" s="85"/>
      <c r="AJ792" s="36"/>
      <c r="AK792" s="36"/>
      <c r="AL792" s="36"/>
      <c r="AM792" s="36"/>
      <c r="AN792" s="36"/>
      <c r="AO792" s="36"/>
      <c r="AP792" s="36"/>
      <c r="FV792" s="104">
        <f t="shared" si="319"/>
        <v>2013</v>
      </c>
      <c r="FW792" s="104">
        <f t="shared" si="320"/>
        <v>30</v>
      </c>
      <c r="FX792" s="35">
        <v>41478</v>
      </c>
      <c r="FY792" s="26">
        <v>1.769</v>
      </c>
      <c r="FZ792" s="94">
        <f t="shared" si="321"/>
        <v>7.076</v>
      </c>
      <c r="GA792" s="104"/>
      <c r="GB792" s="104"/>
      <c r="GE792" s="94"/>
      <c r="GF792" s="104">
        <f t="shared" si="322"/>
        <v>2016</v>
      </c>
      <c r="GG792" s="104">
        <f t="shared" si="323"/>
        <v>4</v>
      </c>
      <c r="GH792" s="35">
        <v>42388</v>
      </c>
      <c r="GI792" s="26">
        <v>1.899</v>
      </c>
      <c r="GJ792" s="94">
        <f t="shared" si="324"/>
        <v>3.798</v>
      </c>
      <c r="GK792" s="104"/>
      <c r="GL792" s="104"/>
      <c r="GO792" s="94"/>
    </row>
    <row r="793" spans="3:197">
      <c r="C793" s="80" t="str" cm="1">
        <f t="array" ref="C793">_xlfn.IFS(MONTH(D793)&lt;4,1,MONTH(D793)&lt;7,2,MONTH(D793)&lt;10,3,MONTH(D793)&gt;9,4)&amp;"Q"&amp;RIGHT(YEAR(D793),2)</f>
        <v>1Q19</v>
      </c>
      <c r="D793" s="81">
        <f t="shared" si="317"/>
        <v>43555</v>
      </c>
      <c r="E793" s="82">
        <f t="shared" si="330"/>
        <v>43544</v>
      </c>
      <c r="F793" s="83">
        <f t="shared" si="328"/>
        <v>0.611875</v>
      </c>
      <c r="G793" s="83">
        <f t="shared" si="328"/>
        <v>0.57</v>
      </c>
      <c r="H793" s="81"/>
      <c r="I793" s="146">
        <v>43544</v>
      </c>
      <c r="J793" s="147">
        <v>5.75</v>
      </c>
      <c r="K793" s="147">
        <v>4</v>
      </c>
      <c r="L793" s="147">
        <v>4.895</v>
      </c>
      <c r="M793" s="94" cm="1">
        <f t="array" ref="M793">INDEX($BV$29:$BV$1449,MATCH($D793,$BR$29:$BR$1449,0),)</f>
        <v>4.56</v>
      </c>
      <c r="N793" s="150">
        <f t="shared" si="329"/>
        <v>-0.0283842794759827</v>
      </c>
      <c r="O793" s="150">
        <f t="shared" si="331"/>
        <v>-0.0524583817266746</v>
      </c>
      <c r="P793" s="150">
        <f t="shared" si="326"/>
        <v>-0.0850467289719626</v>
      </c>
      <c r="Q793" s="89">
        <f t="shared" si="327"/>
        <v>0.0734649122807018</v>
      </c>
      <c r="AH793" s="90"/>
      <c r="AI793" s="85"/>
      <c r="AJ793" s="36"/>
      <c r="AK793" s="36"/>
      <c r="AL793" s="36"/>
      <c r="AM793" s="36"/>
      <c r="AN793" s="36"/>
      <c r="AO793" s="36"/>
      <c r="AP793" s="36"/>
      <c r="FV793" s="104">
        <f t="shared" si="319"/>
        <v>2013</v>
      </c>
      <c r="FW793" s="104">
        <f t="shared" si="320"/>
        <v>30</v>
      </c>
      <c r="FX793" s="35">
        <v>41479</v>
      </c>
      <c r="FY793" s="26">
        <v>1.769</v>
      </c>
      <c r="FZ793" s="94">
        <f t="shared" si="321"/>
        <v>7.076</v>
      </c>
      <c r="GA793" s="104"/>
      <c r="GB793" s="104"/>
      <c r="GE793" s="94"/>
      <c r="GF793" s="104">
        <f t="shared" si="322"/>
        <v>2016</v>
      </c>
      <c r="GG793" s="104">
        <f t="shared" si="323"/>
        <v>4</v>
      </c>
      <c r="GH793" s="35">
        <v>42389</v>
      </c>
      <c r="GI793" s="26">
        <v>1.898</v>
      </c>
      <c r="GJ793" s="94">
        <f t="shared" si="324"/>
        <v>3.796</v>
      </c>
      <c r="GK793" s="104"/>
      <c r="GL793" s="104"/>
      <c r="GO793" s="94"/>
    </row>
    <row r="794" spans="3:197">
      <c r="C794" s="80" t="str" cm="1">
        <f t="array" ref="C794">_xlfn.IFS(MONTH(D794)&lt;4,1,MONTH(D794)&lt;7,2,MONTH(D794)&lt;10,3,MONTH(D794)&gt;9,4)&amp;"Q"&amp;RIGHT(YEAR(D794),2)</f>
        <v>1Q19</v>
      </c>
      <c r="D794" s="81">
        <f t="shared" si="317"/>
        <v>43555</v>
      </c>
      <c r="E794" s="82">
        <f t="shared" si="330"/>
        <v>43545</v>
      </c>
      <c r="F794" s="83">
        <f t="shared" si="328"/>
        <v>0.607125</v>
      </c>
      <c r="G794" s="83">
        <f t="shared" si="328"/>
        <v>0.57</v>
      </c>
      <c r="H794" s="81"/>
      <c r="I794" s="146">
        <v>43545</v>
      </c>
      <c r="J794" s="147">
        <v>5.65</v>
      </c>
      <c r="K794" s="147">
        <v>4</v>
      </c>
      <c r="L794" s="147">
        <v>4.857</v>
      </c>
      <c r="M794" s="94" cm="1">
        <f t="array" ref="M794">INDEX($BV$29:$BV$1449,MATCH($D794,$BR$29:$BR$1449,0),)</f>
        <v>4.56</v>
      </c>
      <c r="N794" s="150">
        <f t="shared" si="329"/>
        <v>-0.00776302349336044</v>
      </c>
      <c r="O794" s="150">
        <f t="shared" si="331"/>
        <v>-0.0455885242680292</v>
      </c>
      <c r="P794" s="150">
        <f t="shared" si="326"/>
        <v>-0.0921495327102803</v>
      </c>
      <c r="Q794" s="89">
        <f t="shared" si="327"/>
        <v>0.0651315789473685</v>
      </c>
      <c r="AH794" s="90"/>
      <c r="AI794" s="85"/>
      <c r="AJ794" s="36"/>
      <c r="AK794" s="36"/>
      <c r="AL794" s="36"/>
      <c r="AM794" s="36"/>
      <c r="AN794" s="36"/>
      <c r="AO794" s="36"/>
      <c r="AP794" s="36"/>
      <c r="FV794" s="104">
        <f t="shared" si="319"/>
        <v>2013</v>
      </c>
      <c r="FW794" s="104">
        <f t="shared" si="320"/>
        <v>30</v>
      </c>
      <c r="FX794" s="35">
        <v>41480</v>
      </c>
      <c r="FY794" s="26">
        <v>1.754</v>
      </c>
      <c r="FZ794" s="94">
        <f t="shared" si="321"/>
        <v>7.016</v>
      </c>
      <c r="GA794" s="104"/>
      <c r="GB794" s="104"/>
      <c r="GE794" s="94"/>
      <c r="GF794" s="104">
        <f t="shared" si="322"/>
        <v>2016</v>
      </c>
      <c r="GG794" s="104">
        <f t="shared" si="323"/>
        <v>4</v>
      </c>
      <c r="GH794" s="35">
        <v>42390</v>
      </c>
      <c r="GI794" s="26">
        <v>1.898</v>
      </c>
      <c r="GJ794" s="94">
        <f t="shared" si="324"/>
        <v>3.796</v>
      </c>
      <c r="GK794" s="104"/>
      <c r="GL794" s="104"/>
      <c r="GO794" s="94"/>
    </row>
    <row r="795" spans="3:197">
      <c r="C795" s="80" t="str" cm="1">
        <f t="array" ref="C795">_xlfn.IFS(MONTH(D795)&lt;4,1,MONTH(D795)&lt;7,2,MONTH(D795)&lt;10,3,MONTH(D795)&gt;9,4)&amp;"Q"&amp;RIGHT(YEAR(D795),2)</f>
        <v>1Q19</v>
      </c>
      <c r="D795" s="81">
        <f t="shared" si="317"/>
        <v>43555</v>
      </c>
      <c r="E795" s="82">
        <f t="shared" si="330"/>
        <v>43546</v>
      </c>
      <c r="F795" s="83">
        <f t="shared" si="328"/>
        <v>0.59325</v>
      </c>
      <c r="G795" s="83">
        <f t="shared" si="328"/>
        <v>0.57</v>
      </c>
      <c r="H795" s="81"/>
      <c r="I795" s="146">
        <v>43546</v>
      </c>
      <c r="J795" s="147">
        <v>5.6</v>
      </c>
      <c r="K795" s="147">
        <v>4</v>
      </c>
      <c r="L795" s="147">
        <v>4.746</v>
      </c>
      <c r="M795" s="94" cm="1">
        <f t="array" ref="M795">INDEX($BV$29:$BV$1449,MATCH($D795,$BR$29:$BR$1449,0),)</f>
        <v>4.56</v>
      </c>
      <c r="N795" s="150">
        <f t="shared" si="329"/>
        <v>-0.0228536133415688</v>
      </c>
      <c r="O795" s="150">
        <f t="shared" si="331"/>
        <v>-0.0651959818790624</v>
      </c>
      <c r="P795" s="150">
        <f t="shared" si="326"/>
        <v>-0.111734980348119</v>
      </c>
      <c r="Q795" s="89">
        <f t="shared" si="327"/>
        <v>0.0407894736842107</v>
      </c>
      <c r="AH795" s="90"/>
      <c r="AI795" s="85"/>
      <c r="AJ795" s="36"/>
      <c r="AK795" s="36"/>
      <c r="AL795" s="36"/>
      <c r="AM795" s="36"/>
      <c r="AN795" s="36"/>
      <c r="AO795" s="36"/>
      <c r="AP795" s="36"/>
      <c r="FV795" s="104">
        <f t="shared" si="319"/>
        <v>2013</v>
      </c>
      <c r="FW795" s="104">
        <f t="shared" si="320"/>
        <v>30</v>
      </c>
      <c r="FX795" s="35">
        <v>41481</v>
      </c>
      <c r="FY795" s="26">
        <v>1.696</v>
      </c>
      <c r="FZ795" s="94">
        <f t="shared" si="321"/>
        <v>6.784</v>
      </c>
      <c r="GA795" s="104"/>
      <c r="GB795" s="104"/>
      <c r="GE795" s="94"/>
      <c r="GF795" s="104">
        <f t="shared" si="322"/>
        <v>2016</v>
      </c>
      <c r="GG795" s="104">
        <f t="shared" si="323"/>
        <v>4</v>
      </c>
      <c r="GH795" s="35">
        <v>42391</v>
      </c>
      <c r="GI795" s="26">
        <v>1.904</v>
      </c>
      <c r="GJ795" s="94">
        <f t="shared" si="324"/>
        <v>3.808</v>
      </c>
      <c r="GK795" s="104"/>
      <c r="GL795" s="104"/>
      <c r="GO795" s="94"/>
    </row>
    <row r="796" spans="3:197">
      <c r="C796" s="80" t="str" cm="1">
        <f t="array" ref="C796">_xlfn.IFS(MONTH(D796)&lt;4,1,MONTH(D796)&lt;7,2,MONTH(D796)&lt;10,3,MONTH(D796)&gt;9,4)&amp;"Q"&amp;RIGHT(YEAR(D796),2)</f>
        <v>1Q19</v>
      </c>
      <c r="D796" s="81">
        <f t="shared" si="317"/>
        <v>43555</v>
      </c>
      <c r="E796" s="82">
        <f t="shared" si="330"/>
        <v>43549</v>
      </c>
      <c r="F796" s="83">
        <f t="shared" si="328"/>
        <v>0.592375</v>
      </c>
      <c r="G796" s="83">
        <f t="shared" si="328"/>
        <v>0.57</v>
      </c>
      <c r="H796" s="81"/>
      <c r="I796" s="146">
        <v>43549</v>
      </c>
      <c r="J796" s="147">
        <v>5.55</v>
      </c>
      <c r="K796" s="147">
        <v>4</v>
      </c>
      <c r="L796" s="147">
        <v>4.739</v>
      </c>
      <c r="M796" s="94" cm="1">
        <f t="array" ref="M796">INDEX($BV$29:$BV$1449,MATCH($D796,$BR$29:$BR$1449,0),)</f>
        <v>4.56</v>
      </c>
      <c r="N796" s="150">
        <f t="shared" si="329"/>
        <v>-0.00147492625368739</v>
      </c>
      <c r="O796" s="150">
        <f t="shared" si="331"/>
        <v>-0.0665747488674414</v>
      </c>
      <c r="P796" s="150">
        <f t="shared" si="326"/>
        <v>-0.0973333333333334</v>
      </c>
      <c r="Q796" s="89">
        <f t="shared" si="327"/>
        <v>0.0392543859649124</v>
      </c>
      <c r="AH796" s="90"/>
      <c r="AI796" s="85"/>
      <c r="AJ796" s="36"/>
      <c r="AK796" s="36"/>
      <c r="AL796" s="36"/>
      <c r="AM796" s="36"/>
      <c r="AN796" s="36"/>
      <c r="AO796" s="36"/>
      <c r="AP796" s="36"/>
      <c r="FV796" s="104">
        <f t="shared" si="319"/>
        <v>2013</v>
      </c>
      <c r="FW796" s="104">
        <f t="shared" si="320"/>
        <v>31</v>
      </c>
      <c r="FX796" s="35">
        <v>41484</v>
      </c>
      <c r="FY796" s="26">
        <v>1.694</v>
      </c>
      <c r="FZ796" s="94">
        <f t="shared" si="321"/>
        <v>6.776</v>
      </c>
      <c r="GA796" s="104"/>
      <c r="GB796" s="104"/>
      <c r="GE796" s="94"/>
      <c r="GF796" s="104">
        <f t="shared" si="322"/>
        <v>2016</v>
      </c>
      <c r="GG796" s="104">
        <f t="shared" si="323"/>
        <v>5</v>
      </c>
      <c r="GH796" s="35">
        <v>42394</v>
      </c>
      <c r="GI796" s="26">
        <v>1.904</v>
      </c>
      <c r="GJ796" s="94">
        <f t="shared" si="324"/>
        <v>3.808</v>
      </c>
      <c r="GK796" s="104"/>
      <c r="GL796" s="104"/>
      <c r="GO796" s="94"/>
    </row>
    <row r="797" spans="3:197">
      <c r="C797" s="80" t="str" cm="1">
        <f t="array" ref="C797">_xlfn.IFS(MONTH(D797)&lt;4,1,MONTH(D797)&lt;7,2,MONTH(D797)&lt;10,3,MONTH(D797)&gt;9,4)&amp;"Q"&amp;RIGHT(YEAR(D797),2)</f>
        <v>1Q19</v>
      </c>
      <c r="D797" s="81">
        <f t="shared" si="317"/>
        <v>43555</v>
      </c>
      <c r="E797" s="82">
        <f t="shared" si="330"/>
        <v>43550</v>
      </c>
      <c r="F797" s="83">
        <f t="shared" si="328"/>
        <v>0.5795</v>
      </c>
      <c r="G797" s="83">
        <f t="shared" si="328"/>
        <v>0.57</v>
      </c>
      <c r="H797" s="81"/>
      <c r="I797" s="146">
        <v>43550</v>
      </c>
      <c r="J797" s="147">
        <v>5.45</v>
      </c>
      <c r="K797" s="147">
        <v>4</v>
      </c>
      <c r="L797" s="147">
        <v>4.636</v>
      </c>
      <c r="M797" s="94" cm="1">
        <f t="array" ref="M797">INDEX($BV$29:$BV$1449,MATCH($D797,$BR$29:$BR$1449,0),)</f>
        <v>4.56</v>
      </c>
      <c r="N797" s="150">
        <f t="shared" si="329"/>
        <v>-0.0217345431525637</v>
      </c>
      <c r="O797" s="150">
        <f t="shared" si="331"/>
        <v>-0.0797935688765383</v>
      </c>
      <c r="P797" s="150">
        <f t="shared" si="326"/>
        <v>-0.106571593756022</v>
      </c>
      <c r="Q797" s="89">
        <f t="shared" si="327"/>
        <v>0.0166666666666668</v>
      </c>
      <c r="AH797" s="90"/>
      <c r="AI797" s="85"/>
      <c r="AJ797" s="36"/>
      <c r="AK797" s="36"/>
      <c r="AL797" s="36"/>
      <c r="AM797" s="36"/>
      <c r="AN797" s="36"/>
      <c r="AO797" s="36"/>
      <c r="AP797" s="36"/>
      <c r="FV797" s="104">
        <f t="shared" si="319"/>
        <v>2013</v>
      </c>
      <c r="FW797" s="104">
        <f t="shared" si="320"/>
        <v>31</v>
      </c>
      <c r="FX797" s="35">
        <v>41485</v>
      </c>
      <c r="FY797" s="26">
        <v>1.658</v>
      </c>
      <c r="FZ797" s="94">
        <f t="shared" si="321"/>
        <v>6.632</v>
      </c>
      <c r="GA797" s="104"/>
      <c r="GB797" s="104"/>
      <c r="GE797" s="94"/>
      <c r="GF797" s="104">
        <f t="shared" si="322"/>
        <v>2016</v>
      </c>
      <c r="GG797" s="104">
        <f t="shared" si="323"/>
        <v>5</v>
      </c>
      <c r="GH797" s="35">
        <v>42395</v>
      </c>
      <c r="GI797" s="26">
        <v>1.904</v>
      </c>
      <c r="GJ797" s="94">
        <f t="shared" si="324"/>
        <v>3.808</v>
      </c>
      <c r="GK797" s="104"/>
      <c r="GL797" s="104"/>
      <c r="GO797" s="94"/>
    </row>
    <row r="798" spans="3:197">
      <c r="C798" s="80" t="str" cm="1">
        <f t="array" ref="C798">_xlfn.IFS(MONTH(D798)&lt;4,1,MONTH(D798)&lt;7,2,MONTH(D798)&lt;10,3,MONTH(D798)&gt;9,4)&amp;"Q"&amp;RIGHT(YEAR(D798),2)</f>
        <v>1Q19</v>
      </c>
      <c r="D798" s="81">
        <f t="shared" ref="D798:D861" si="332">EOMONTH(E798,0)</f>
        <v>43555</v>
      </c>
      <c r="E798" s="82">
        <f t="shared" si="330"/>
        <v>43551</v>
      </c>
      <c r="F798" s="83">
        <f t="shared" si="328"/>
        <v>0.5755</v>
      </c>
      <c r="G798" s="83">
        <f t="shared" si="328"/>
        <v>0.57</v>
      </c>
      <c r="H798" s="81"/>
      <c r="I798" s="146">
        <v>43551</v>
      </c>
      <c r="J798" s="147">
        <v>5.45</v>
      </c>
      <c r="K798" s="147">
        <v>4</v>
      </c>
      <c r="L798" s="147">
        <v>4.604</v>
      </c>
      <c r="M798" s="94" cm="1">
        <f t="array" ref="M798">INDEX($BV$29:$BV$1449,MATCH($D798,$BR$29:$BR$1449,0),)</f>
        <v>4.56</v>
      </c>
      <c r="N798" s="150">
        <f t="shared" si="329"/>
        <v>-0.00690250215703192</v>
      </c>
      <c r="O798" s="150">
        <f t="shared" si="331"/>
        <v>-0.0594484167517875</v>
      </c>
      <c r="P798" s="150">
        <f t="shared" si="326"/>
        <v>-0.10878823073945</v>
      </c>
      <c r="Q798" s="89">
        <f t="shared" si="327"/>
        <v>0.00964912280701768</v>
      </c>
      <c r="AH798" s="90"/>
      <c r="AI798" s="85"/>
      <c r="AJ798" s="36"/>
      <c r="AK798" s="36"/>
      <c r="AL798" s="36"/>
      <c r="AM798" s="36"/>
      <c r="AN798" s="36"/>
      <c r="AO798" s="36"/>
      <c r="AP798" s="36"/>
      <c r="FV798" s="104">
        <f t="shared" si="319"/>
        <v>2013</v>
      </c>
      <c r="FW798" s="104">
        <f t="shared" si="320"/>
        <v>31</v>
      </c>
      <c r="FX798" s="35">
        <v>41486</v>
      </c>
      <c r="FY798" s="26">
        <v>1.605</v>
      </c>
      <c r="FZ798" s="94">
        <f t="shared" si="321"/>
        <v>6.42</v>
      </c>
      <c r="GA798" s="104"/>
      <c r="GB798" s="104"/>
      <c r="GE798" s="94"/>
      <c r="GF798" s="104">
        <f t="shared" si="322"/>
        <v>2016</v>
      </c>
      <c r="GG798" s="104">
        <f t="shared" si="323"/>
        <v>5</v>
      </c>
      <c r="GH798" s="35">
        <v>42396</v>
      </c>
      <c r="GI798" s="26">
        <v>1.895</v>
      </c>
      <c r="GJ798" s="94">
        <f t="shared" si="324"/>
        <v>3.79</v>
      </c>
      <c r="GK798" s="104"/>
      <c r="GL798" s="104"/>
      <c r="GO798" s="94"/>
    </row>
    <row r="799" spans="3:197">
      <c r="C799" s="80" t="str" cm="1">
        <f t="array" ref="C799">_xlfn.IFS(MONTH(D799)&lt;4,1,MONTH(D799)&lt;7,2,MONTH(D799)&lt;10,3,MONTH(D799)&gt;9,4)&amp;"Q"&amp;RIGHT(YEAR(D799),2)</f>
        <v>1Q19</v>
      </c>
      <c r="D799" s="81">
        <f t="shared" si="332"/>
        <v>43555</v>
      </c>
      <c r="E799" s="82">
        <f t="shared" si="330"/>
        <v>43552</v>
      </c>
      <c r="F799" s="83">
        <f t="shared" si="328"/>
        <v>0.573</v>
      </c>
      <c r="G799" s="83">
        <f t="shared" si="328"/>
        <v>0.57</v>
      </c>
      <c r="H799" s="81"/>
      <c r="I799" s="146">
        <v>43552</v>
      </c>
      <c r="J799" s="147">
        <v>5.3</v>
      </c>
      <c r="K799" s="147">
        <v>4</v>
      </c>
      <c r="L799" s="147">
        <v>4.584</v>
      </c>
      <c r="M799" s="94" cm="1">
        <f t="array" ref="M799">INDEX($BV$29:$BV$1449,MATCH($D799,$BR$29:$BR$1449,0),)</f>
        <v>4.56</v>
      </c>
      <c r="N799" s="150">
        <f t="shared" si="329"/>
        <v>-0.00434404865334503</v>
      </c>
      <c r="O799" s="150">
        <f t="shared" si="331"/>
        <v>-0.0562075355157505</v>
      </c>
      <c r="P799" s="150">
        <f t="shared" si="326"/>
        <v>-0.0992336411868738</v>
      </c>
      <c r="Q799" s="89">
        <f t="shared" si="327"/>
        <v>0.00526315789473686</v>
      </c>
      <c r="AH799" s="90"/>
      <c r="AI799" s="85"/>
      <c r="AJ799" s="36"/>
      <c r="AK799" s="36"/>
      <c r="AL799" s="36"/>
      <c r="AM799" s="36"/>
      <c r="AN799" s="36"/>
      <c r="AO799" s="36"/>
      <c r="AP799" s="36"/>
      <c r="FV799" s="104">
        <f t="shared" si="319"/>
        <v>2013</v>
      </c>
      <c r="FW799" s="104">
        <f t="shared" si="320"/>
        <v>31</v>
      </c>
      <c r="FX799" s="35">
        <v>41487</v>
      </c>
      <c r="FY799" s="26">
        <v>1.606</v>
      </c>
      <c r="FZ799" s="94">
        <f t="shared" si="321"/>
        <v>6.424</v>
      </c>
      <c r="GA799" s="104"/>
      <c r="GB799" s="104"/>
      <c r="GE799" s="94"/>
      <c r="GF799" s="104">
        <f t="shared" si="322"/>
        <v>2016</v>
      </c>
      <c r="GG799" s="104">
        <f t="shared" si="323"/>
        <v>5</v>
      </c>
      <c r="GH799" s="35">
        <v>42397</v>
      </c>
      <c r="GI799" s="26">
        <v>1.892</v>
      </c>
      <c r="GJ799" s="94">
        <f t="shared" si="324"/>
        <v>3.784</v>
      </c>
      <c r="GK799" s="104"/>
      <c r="GL799" s="104"/>
      <c r="GO799" s="94"/>
    </row>
    <row r="800" spans="3:197">
      <c r="C800" s="80" t="str" cm="1">
        <f t="array" ref="C800">_xlfn.IFS(MONTH(D800)&lt;4,1,MONTH(D800)&lt;7,2,MONTH(D800)&lt;10,3,MONTH(D800)&gt;9,4)&amp;"Q"&amp;RIGHT(YEAR(D800),2)</f>
        <v>1Q19</v>
      </c>
      <c r="D800" s="81">
        <f t="shared" si="332"/>
        <v>43555</v>
      </c>
      <c r="E800" s="82">
        <f t="shared" si="330"/>
        <v>43553</v>
      </c>
      <c r="F800" s="83">
        <f t="shared" si="328"/>
        <v>0.57175</v>
      </c>
      <c r="G800" s="83">
        <f t="shared" si="328"/>
        <v>0.57</v>
      </c>
      <c r="H800" s="81"/>
      <c r="I800" s="146">
        <v>43553</v>
      </c>
      <c r="J800" s="147">
        <v>5.3</v>
      </c>
      <c r="K800" s="147">
        <v>4</v>
      </c>
      <c r="L800" s="147">
        <v>4.574</v>
      </c>
      <c r="M800" s="94" cm="1">
        <f t="array" ref="M800">INDEX($BV$29:$BV$1449,MATCH($D800,$BR$29:$BR$1449,0),)</f>
        <v>4.56</v>
      </c>
      <c r="N800" s="150">
        <f t="shared" si="329"/>
        <v>-0.00218150087260027</v>
      </c>
      <c r="O800" s="150">
        <f t="shared" si="331"/>
        <v>-0.0362410450906028</v>
      </c>
      <c r="P800" s="150">
        <f t="shared" si="326"/>
        <v>-0.0990742564506598</v>
      </c>
      <c r="Q800" s="89">
        <f t="shared" si="327"/>
        <v>0.00307017543859645</v>
      </c>
      <c r="AH800" s="90"/>
      <c r="AI800" s="85"/>
      <c r="AJ800" s="36"/>
      <c r="AK800" s="36"/>
      <c r="AL800" s="36"/>
      <c r="AM800" s="36"/>
      <c r="AN800" s="36"/>
      <c r="AO800" s="36"/>
      <c r="AP800" s="36"/>
      <c r="FV800" s="104">
        <f t="shared" si="319"/>
        <v>2013</v>
      </c>
      <c r="FW800" s="104">
        <f t="shared" si="320"/>
        <v>31</v>
      </c>
      <c r="FX800" s="35">
        <v>41488</v>
      </c>
      <c r="FY800" s="26">
        <v>1.606</v>
      </c>
      <c r="FZ800" s="94">
        <f t="shared" si="321"/>
        <v>6.424</v>
      </c>
      <c r="GA800" s="104"/>
      <c r="GB800" s="104"/>
      <c r="GE800" s="94"/>
      <c r="GF800" s="104">
        <f t="shared" si="322"/>
        <v>2016</v>
      </c>
      <c r="GG800" s="104">
        <f t="shared" si="323"/>
        <v>5</v>
      </c>
      <c r="GH800" s="35">
        <v>42398</v>
      </c>
      <c r="GI800" s="26">
        <v>1.892</v>
      </c>
      <c r="GJ800" s="94">
        <f t="shared" si="324"/>
        <v>3.784</v>
      </c>
      <c r="GK800" s="104"/>
      <c r="GL800" s="104"/>
      <c r="GO800" s="94"/>
    </row>
    <row r="801" spans="3:197">
      <c r="C801" s="80" t="str" cm="1">
        <f t="array" ref="C801">_xlfn.IFS(MONTH(D801)&lt;4,1,MONTH(D801)&lt;7,2,MONTH(D801)&lt;10,3,MONTH(D801)&gt;9,4)&amp;"Q"&amp;RIGHT(YEAR(D801),2)</f>
        <v>2Q19</v>
      </c>
      <c r="D801" s="81">
        <f t="shared" si="332"/>
        <v>43585</v>
      </c>
      <c r="E801" s="82">
        <f t="shared" si="330"/>
        <v>43556</v>
      </c>
      <c r="F801" s="83">
        <f t="shared" si="328"/>
        <v>0.56675</v>
      </c>
      <c r="G801" s="83">
        <f t="shared" si="328"/>
        <v>0.5</v>
      </c>
      <c r="H801" s="81"/>
      <c r="I801" s="146">
        <v>43556</v>
      </c>
      <c r="J801" s="147">
        <v>5.1</v>
      </c>
      <c r="K801" s="147">
        <v>4</v>
      </c>
      <c r="L801" s="147">
        <v>4.534</v>
      </c>
      <c r="M801" s="94" cm="1">
        <f t="array" ref="M801">INDEX($BV$29:$BV$1449,MATCH($D801,$BR$29:$BR$1449,0),)</f>
        <v>4</v>
      </c>
      <c r="N801" s="150">
        <f t="shared" si="329"/>
        <v>-0.00874508089199821</v>
      </c>
      <c r="O801" s="150">
        <f t="shared" si="331"/>
        <v>-0.0432580713230639</v>
      </c>
      <c r="P801" s="150">
        <f t="shared" si="326"/>
        <v>-0.106952924955683</v>
      </c>
      <c r="Q801" s="89">
        <f t="shared" si="327"/>
        <v>0.1335</v>
      </c>
      <c r="AH801" s="90"/>
      <c r="AI801" s="85"/>
      <c r="AJ801" s="36"/>
      <c r="AK801" s="36"/>
      <c r="AL801" s="36"/>
      <c r="AM801" s="36"/>
      <c r="AN801" s="36"/>
      <c r="AO801" s="36"/>
      <c r="AP801" s="36"/>
      <c r="FV801" s="104">
        <f t="shared" si="319"/>
        <v>2013</v>
      </c>
      <c r="FW801" s="104">
        <f t="shared" si="320"/>
        <v>32</v>
      </c>
      <c r="FX801" s="35">
        <v>41491</v>
      </c>
      <c r="FY801" s="26">
        <v>1.606</v>
      </c>
      <c r="FZ801" s="94">
        <f t="shared" si="321"/>
        <v>6.424</v>
      </c>
      <c r="GA801" s="104"/>
      <c r="GB801" s="104"/>
      <c r="GE801" s="94"/>
      <c r="GF801" s="104">
        <f t="shared" si="322"/>
        <v>2016</v>
      </c>
      <c r="GG801" s="104">
        <f t="shared" si="323"/>
        <v>6</v>
      </c>
      <c r="GH801" s="35">
        <v>42401</v>
      </c>
      <c r="GI801" s="26">
        <v>1.867</v>
      </c>
      <c r="GJ801" s="94">
        <f t="shared" si="324"/>
        <v>3.734</v>
      </c>
      <c r="GK801" s="104"/>
      <c r="GL801" s="104"/>
      <c r="GO801" s="94"/>
    </row>
    <row r="802" spans="3:197">
      <c r="C802" s="80" t="str" cm="1">
        <f t="array" ref="C802">_xlfn.IFS(MONTH(D802)&lt;4,1,MONTH(D802)&lt;7,2,MONTH(D802)&lt;10,3,MONTH(D802)&gt;9,4)&amp;"Q"&amp;RIGHT(YEAR(D802),2)</f>
        <v>2Q19</v>
      </c>
      <c r="D802" s="81">
        <f t="shared" si="332"/>
        <v>43585</v>
      </c>
      <c r="E802" s="82">
        <f t="shared" si="330"/>
        <v>43557</v>
      </c>
      <c r="F802" s="83">
        <f t="shared" ref="F802:G843" si="333">+L802/8</f>
        <v>0.56425</v>
      </c>
      <c r="G802" s="83">
        <f t="shared" si="333"/>
        <v>0.5</v>
      </c>
      <c r="H802" s="81"/>
      <c r="I802" s="146">
        <v>43557</v>
      </c>
      <c r="J802" s="147">
        <v>4.95</v>
      </c>
      <c r="K802" s="147">
        <v>4</v>
      </c>
      <c r="L802" s="147">
        <v>4.514</v>
      </c>
      <c r="M802" s="94" cm="1">
        <f t="array" ref="M802">INDEX($BV$29:$BV$1449,MATCH($D802,$BR$29:$BR$1449,0),)</f>
        <v>4</v>
      </c>
      <c r="N802" s="150">
        <f t="shared" si="329"/>
        <v>-0.004411116012351</v>
      </c>
      <c r="O802" s="150">
        <f t="shared" si="331"/>
        <v>-0.0263157894736842</v>
      </c>
      <c r="P802" s="150">
        <f t="shared" si="326"/>
        <v>-0.104009527590314</v>
      </c>
      <c r="Q802" s="89">
        <f t="shared" si="327"/>
        <v>0.1285</v>
      </c>
      <c r="AH802" s="90"/>
      <c r="AI802" s="85"/>
      <c r="AJ802" s="36"/>
      <c r="AK802" s="36"/>
      <c r="AL802" s="36"/>
      <c r="AM802" s="36"/>
      <c r="AN802" s="36"/>
      <c r="AO802" s="36"/>
      <c r="AP802" s="36"/>
      <c r="FV802" s="104">
        <f t="shared" si="319"/>
        <v>2013</v>
      </c>
      <c r="FW802" s="104">
        <f t="shared" si="320"/>
        <v>32</v>
      </c>
      <c r="FX802" s="35">
        <v>41492</v>
      </c>
      <c r="FY802" s="26">
        <v>1.569</v>
      </c>
      <c r="FZ802" s="94">
        <f t="shared" si="321"/>
        <v>6.276</v>
      </c>
      <c r="GA802" s="104"/>
      <c r="GB802" s="104"/>
      <c r="GE802" s="94"/>
      <c r="GF802" s="104">
        <f t="shared" si="322"/>
        <v>2016</v>
      </c>
      <c r="GG802" s="104">
        <f t="shared" si="323"/>
        <v>6</v>
      </c>
      <c r="GH802" s="35">
        <v>42402</v>
      </c>
      <c r="GI802" s="26">
        <v>1.866</v>
      </c>
      <c r="GJ802" s="94">
        <f t="shared" si="324"/>
        <v>3.732</v>
      </c>
      <c r="GK802" s="104"/>
      <c r="GL802" s="104"/>
      <c r="GO802" s="94"/>
    </row>
    <row r="803" spans="3:197">
      <c r="C803" s="80" t="str" cm="1">
        <f t="array" ref="C803">_xlfn.IFS(MONTH(D803)&lt;4,1,MONTH(D803)&lt;7,2,MONTH(D803)&lt;10,3,MONTH(D803)&gt;9,4)&amp;"Q"&amp;RIGHT(YEAR(D803),2)</f>
        <v>2Q19</v>
      </c>
      <c r="D803" s="81">
        <f t="shared" si="332"/>
        <v>43585</v>
      </c>
      <c r="E803" s="82">
        <f t="shared" si="330"/>
        <v>43558</v>
      </c>
      <c r="F803" s="83">
        <f t="shared" si="333"/>
        <v>0.5605</v>
      </c>
      <c r="G803" s="83">
        <f t="shared" si="333"/>
        <v>0.5</v>
      </c>
      <c r="H803" s="81"/>
      <c r="I803" s="146">
        <v>43558</v>
      </c>
      <c r="J803" s="147">
        <v>4.9</v>
      </c>
      <c r="K803" s="147">
        <v>4</v>
      </c>
      <c r="L803" s="147">
        <v>4.484</v>
      </c>
      <c r="M803" s="94" cm="1">
        <f t="array" ref="M803">INDEX($BV$29:$BV$1449,MATCH($D803,$BR$29:$BR$1449,0),)</f>
        <v>4</v>
      </c>
      <c r="N803" s="150">
        <f t="shared" si="329"/>
        <v>-0.00664599025254764</v>
      </c>
      <c r="O803" s="150">
        <f t="shared" si="331"/>
        <v>-0.0260642919200695</v>
      </c>
      <c r="P803" s="150">
        <f t="shared" si="326"/>
        <v>-0.0839632277834524</v>
      </c>
      <c r="Q803" s="89">
        <f t="shared" si="327"/>
        <v>0.121</v>
      </c>
      <c r="AH803" s="90"/>
      <c r="AI803" s="85"/>
      <c r="AJ803" s="36"/>
      <c r="AK803" s="36"/>
      <c r="AL803" s="36"/>
      <c r="AM803" s="36"/>
      <c r="AN803" s="36"/>
      <c r="AO803" s="36"/>
      <c r="AP803" s="36"/>
      <c r="FV803" s="104">
        <f t="shared" si="319"/>
        <v>2013</v>
      </c>
      <c r="FW803" s="104">
        <f t="shared" si="320"/>
        <v>32</v>
      </c>
      <c r="FX803" s="35">
        <v>41493</v>
      </c>
      <c r="FY803" s="26">
        <v>1.545</v>
      </c>
      <c r="FZ803" s="94">
        <f t="shared" si="321"/>
        <v>6.18</v>
      </c>
      <c r="GA803" s="104"/>
      <c r="GB803" s="104"/>
      <c r="GE803" s="94"/>
      <c r="GF803" s="104">
        <f t="shared" si="322"/>
        <v>2016</v>
      </c>
      <c r="GG803" s="104">
        <f t="shared" si="323"/>
        <v>6</v>
      </c>
      <c r="GH803" s="35">
        <v>42403</v>
      </c>
      <c r="GI803" s="26">
        <v>1.863</v>
      </c>
      <c r="GJ803" s="94">
        <f t="shared" si="324"/>
        <v>3.726</v>
      </c>
      <c r="GK803" s="104"/>
      <c r="GL803" s="104"/>
      <c r="GO803" s="94"/>
    </row>
    <row r="804" spans="3:197">
      <c r="C804" s="80" t="str" cm="1">
        <f t="array" ref="C804">_xlfn.IFS(MONTH(D804)&lt;4,1,MONTH(D804)&lt;7,2,MONTH(D804)&lt;10,3,MONTH(D804)&gt;9,4)&amp;"Q"&amp;RIGHT(YEAR(D804),2)</f>
        <v>2Q19</v>
      </c>
      <c r="D804" s="81">
        <f t="shared" si="332"/>
        <v>43585</v>
      </c>
      <c r="E804" s="82">
        <f t="shared" si="330"/>
        <v>43559</v>
      </c>
      <c r="F804" s="83">
        <f t="shared" si="333"/>
        <v>0.55675</v>
      </c>
      <c r="G804" s="83">
        <f t="shared" si="333"/>
        <v>0.5</v>
      </c>
      <c r="H804" s="81"/>
      <c r="I804" s="146">
        <v>43559</v>
      </c>
      <c r="J804" s="147">
        <v>4.9</v>
      </c>
      <c r="K804" s="147">
        <v>4</v>
      </c>
      <c r="L804" s="147">
        <v>4.454</v>
      </c>
      <c r="M804" s="94" cm="1">
        <f t="array" ref="M804">INDEX($BV$29:$BV$1449,MATCH($D804,$BR$29:$BR$1449,0),)</f>
        <v>4</v>
      </c>
      <c r="N804" s="150">
        <f t="shared" si="329"/>
        <v>-0.00669045495093668</v>
      </c>
      <c r="O804" s="150">
        <f t="shared" si="331"/>
        <v>-0.0283595113438045</v>
      </c>
      <c r="P804" s="150">
        <f t="shared" si="326"/>
        <v>-0.0829730286184889</v>
      </c>
      <c r="Q804" s="89">
        <f t="shared" si="327"/>
        <v>0.1135</v>
      </c>
      <c r="AH804" s="90"/>
      <c r="AI804" s="85"/>
      <c r="AJ804" s="36"/>
      <c r="AK804" s="36"/>
      <c r="AL804" s="36"/>
      <c r="AM804" s="36"/>
      <c r="AN804" s="36"/>
      <c r="AO804" s="36"/>
      <c r="AP804" s="36"/>
      <c r="FV804" s="104">
        <f t="shared" si="319"/>
        <v>2013</v>
      </c>
      <c r="FW804" s="104">
        <f t="shared" si="320"/>
        <v>32</v>
      </c>
      <c r="FX804" s="35">
        <v>41494</v>
      </c>
      <c r="FY804" s="26">
        <v>1.484</v>
      </c>
      <c r="FZ804" s="94">
        <f t="shared" si="321"/>
        <v>5.936</v>
      </c>
      <c r="GA804" s="104"/>
      <c r="GB804" s="104"/>
      <c r="GE804" s="94"/>
      <c r="GF804" s="104">
        <f t="shared" si="322"/>
        <v>2016</v>
      </c>
      <c r="GG804" s="104">
        <f t="shared" si="323"/>
        <v>6</v>
      </c>
      <c r="GH804" s="35">
        <v>42404</v>
      </c>
      <c r="GI804" s="26">
        <v>1.858</v>
      </c>
      <c r="GJ804" s="94">
        <f t="shared" si="324"/>
        <v>3.716</v>
      </c>
      <c r="GK804" s="104"/>
      <c r="GL804" s="104"/>
      <c r="GO804" s="94"/>
    </row>
    <row r="805" spans="3:197">
      <c r="C805" s="80" t="str" cm="1">
        <f t="array" ref="C805">_xlfn.IFS(MONTH(D805)&lt;4,1,MONTH(D805)&lt;7,2,MONTH(D805)&lt;10,3,MONTH(D805)&gt;9,4)&amp;"Q"&amp;RIGHT(YEAR(D805),2)</f>
        <v>2Q19</v>
      </c>
      <c r="D805" s="81">
        <f t="shared" si="332"/>
        <v>43585</v>
      </c>
      <c r="E805" s="82">
        <f t="shared" si="330"/>
        <v>43563</v>
      </c>
      <c r="F805" s="83">
        <f t="shared" si="333"/>
        <v>0.55625</v>
      </c>
      <c r="G805" s="83">
        <f t="shared" si="333"/>
        <v>0.5</v>
      </c>
      <c r="H805" s="81"/>
      <c r="I805" s="146">
        <v>43563</v>
      </c>
      <c r="J805" s="147">
        <v>4.9</v>
      </c>
      <c r="K805" s="147">
        <v>4</v>
      </c>
      <c r="L805" s="147">
        <v>4.45</v>
      </c>
      <c r="M805" s="94" cm="1">
        <f t="array" ref="M805">INDEX($BV$29:$BV$1449,MATCH($D805,$BR$29:$BR$1449,0),)</f>
        <v>4</v>
      </c>
      <c r="N805" s="150">
        <f t="shared" si="329"/>
        <v>-0.00089806915132451</v>
      </c>
      <c r="O805" s="150">
        <f t="shared" si="331"/>
        <v>-0.0271097507651945</v>
      </c>
      <c r="P805" s="150">
        <f t="shared" si="326"/>
        <v>-0.0623683101559208</v>
      </c>
      <c r="Q805" s="89">
        <f t="shared" si="327"/>
        <v>0.1125</v>
      </c>
      <c r="AH805" s="90"/>
      <c r="AI805" s="85"/>
      <c r="AJ805" s="36"/>
      <c r="AK805" s="36"/>
      <c r="AL805" s="36"/>
      <c r="AM805" s="36"/>
      <c r="AN805" s="36"/>
      <c r="AO805" s="36"/>
      <c r="AP805" s="36"/>
      <c r="FV805" s="104">
        <f t="shared" si="319"/>
        <v>2013</v>
      </c>
      <c r="FW805" s="104">
        <f t="shared" si="320"/>
        <v>32</v>
      </c>
      <c r="FX805" s="35">
        <v>41495</v>
      </c>
      <c r="FY805" s="26">
        <v>1.484</v>
      </c>
      <c r="FZ805" s="94">
        <f t="shared" si="321"/>
        <v>5.936</v>
      </c>
      <c r="GA805" s="104"/>
      <c r="GB805" s="104"/>
      <c r="GE805" s="94"/>
      <c r="GF805" s="104">
        <f t="shared" si="322"/>
        <v>2016</v>
      </c>
      <c r="GG805" s="104">
        <f t="shared" si="323"/>
        <v>6</v>
      </c>
      <c r="GH805" s="35">
        <v>42405</v>
      </c>
      <c r="GI805" s="26">
        <v>1.855</v>
      </c>
      <c r="GJ805" s="94">
        <f t="shared" si="324"/>
        <v>3.71</v>
      </c>
      <c r="GK805" s="104"/>
      <c r="GL805" s="104"/>
      <c r="GO805" s="94"/>
    </row>
    <row r="806" spans="3:197">
      <c r="C806" s="80" t="str" cm="1">
        <f t="array" ref="C806">_xlfn.IFS(MONTH(D806)&lt;4,1,MONTH(D806)&lt;7,2,MONTH(D806)&lt;10,3,MONTH(D806)&gt;9,4)&amp;"Q"&amp;RIGHT(YEAR(D806),2)</f>
        <v>2Q19</v>
      </c>
      <c r="D806" s="81">
        <f t="shared" si="332"/>
        <v>43585</v>
      </c>
      <c r="E806" s="82">
        <f t="shared" si="330"/>
        <v>43564</v>
      </c>
      <c r="F806" s="83">
        <f t="shared" si="333"/>
        <v>0.54925</v>
      </c>
      <c r="G806" s="83">
        <f t="shared" si="333"/>
        <v>0.5</v>
      </c>
      <c r="H806" s="81"/>
      <c r="I806" s="146">
        <v>43564</v>
      </c>
      <c r="J806" s="147">
        <v>4.8</v>
      </c>
      <c r="K806" s="147">
        <v>4</v>
      </c>
      <c r="L806" s="147">
        <v>4.394</v>
      </c>
      <c r="M806" s="94" cm="1">
        <f t="array" ref="M806">INDEX($BV$29:$BV$1449,MATCH($D806,$BR$29:$BR$1449,0),)</f>
        <v>4</v>
      </c>
      <c r="N806" s="150">
        <f t="shared" si="329"/>
        <v>-0.0125842696629214</v>
      </c>
      <c r="O806" s="150">
        <f t="shared" si="331"/>
        <v>-0.0308778120864578</v>
      </c>
      <c r="P806" s="150">
        <f t="shared" si="326"/>
        <v>-0.0728001688119856</v>
      </c>
      <c r="Q806" s="89">
        <f t="shared" si="327"/>
        <v>0.0985</v>
      </c>
      <c r="AH806" s="90"/>
      <c r="AI806" s="85"/>
      <c r="AJ806" s="36"/>
      <c r="AK806" s="36"/>
      <c r="AL806" s="36"/>
      <c r="AM806" s="36"/>
      <c r="AN806" s="36"/>
      <c r="AO806" s="36"/>
      <c r="AP806" s="36"/>
      <c r="FV806" s="104">
        <f t="shared" si="319"/>
        <v>2013</v>
      </c>
      <c r="FW806" s="104">
        <f t="shared" si="320"/>
        <v>33</v>
      </c>
      <c r="FX806" s="35">
        <v>41498</v>
      </c>
      <c r="FY806" s="26">
        <v>1.498</v>
      </c>
      <c r="FZ806" s="94">
        <f t="shared" si="321"/>
        <v>5.992</v>
      </c>
      <c r="GA806" s="104"/>
      <c r="GB806" s="104"/>
      <c r="GE806" s="94"/>
      <c r="GF806" s="104">
        <f t="shared" si="322"/>
        <v>2016</v>
      </c>
      <c r="GG806" s="104">
        <f t="shared" si="323"/>
        <v>8</v>
      </c>
      <c r="GH806" s="35">
        <v>42415</v>
      </c>
      <c r="GI806" s="26">
        <v>1.854</v>
      </c>
      <c r="GJ806" s="94">
        <f t="shared" si="324"/>
        <v>3.708</v>
      </c>
      <c r="GK806" s="104"/>
      <c r="GL806" s="104"/>
      <c r="GO806" s="94"/>
    </row>
    <row r="807" spans="3:197">
      <c r="C807" s="80" t="str" cm="1">
        <f t="array" ref="C807">_xlfn.IFS(MONTH(D807)&lt;4,1,MONTH(D807)&lt;7,2,MONTH(D807)&lt;10,3,MONTH(D807)&gt;9,4)&amp;"Q"&amp;RIGHT(YEAR(D807),2)</f>
        <v>2Q19</v>
      </c>
      <c r="D807" s="81">
        <f t="shared" si="332"/>
        <v>43585</v>
      </c>
      <c r="E807" s="82">
        <f t="shared" si="330"/>
        <v>43565</v>
      </c>
      <c r="F807" s="83">
        <f t="shared" si="333"/>
        <v>0.543375</v>
      </c>
      <c r="G807" s="83">
        <f t="shared" si="333"/>
        <v>0.5</v>
      </c>
      <c r="H807" s="81"/>
      <c r="I807" s="146">
        <v>43565</v>
      </c>
      <c r="J807" s="147">
        <v>4.8</v>
      </c>
      <c r="K807" s="147">
        <v>4</v>
      </c>
      <c r="L807" s="147">
        <v>4.347</v>
      </c>
      <c r="M807" s="94" cm="1">
        <f t="array" ref="M807">INDEX($BV$29:$BV$1449,MATCH($D807,$BR$29:$BR$1449,0),)</f>
        <v>4</v>
      </c>
      <c r="N807" s="150">
        <f t="shared" si="329"/>
        <v>-0.0106964041875284</v>
      </c>
      <c r="O807" s="150">
        <f t="shared" si="331"/>
        <v>-0.0369960124058484</v>
      </c>
      <c r="P807" s="150">
        <f t="shared" si="326"/>
        <v>-0.0623382226056945</v>
      </c>
      <c r="Q807" s="89">
        <f t="shared" si="327"/>
        <v>0.0867500000000001</v>
      </c>
      <c r="AH807" s="90"/>
      <c r="AI807" s="85"/>
      <c r="AJ807" s="36"/>
      <c r="AK807" s="36"/>
      <c r="AL807" s="36"/>
      <c r="AM807" s="36"/>
      <c r="AN807" s="36"/>
      <c r="AO807" s="36"/>
      <c r="AP807" s="36"/>
      <c r="FV807" s="104">
        <f t="shared" si="319"/>
        <v>2013</v>
      </c>
      <c r="FW807" s="104">
        <f t="shared" si="320"/>
        <v>33</v>
      </c>
      <c r="FX807" s="35">
        <v>41499</v>
      </c>
      <c r="FY807" s="26">
        <v>1.61</v>
      </c>
      <c r="FZ807" s="94">
        <f t="shared" si="321"/>
        <v>6.44</v>
      </c>
      <c r="GA807" s="104"/>
      <c r="GB807" s="104"/>
      <c r="GE807" s="94"/>
      <c r="GF807" s="104">
        <f t="shared" si="322"/>
        <v>2016</v>
      </c>
      <c r="GG807" s="104">
        <f t="shared" si="323"/>
        <v>8</v>
      </c>
      <c r="GH807" s="35">
        <v>42416</v>
      </c>
      <c r="GI807" s="26">
        <v>1.851</v>
      </c>
      <c r="GJ807" s="94">
        <f t="shared" si="324"/>
        <v>3.702</v>
      </c>
      <c r="GK807" s="104"/>
      <c r="GL807" s="104"/>
      <c r="GO807" s="94"/>
    </row>
    <row r="808" spans="3:197">
      <c r="C808" s="80" t="str" cm="1">
        <f t="array" ref="C808">_xlfn.IFS(MONTH(D808)&lt;4,1,MONTH(D808)&lt;7,2,MONTH(D808)&lt;10,3,MONTH(D808)&gt;9,4)&amp;"Q"&amp;RIGHT(YEAR(D808),2)</f>
        <v>2Q19</v>
      </c>
      <c r="D808" s="81">
        <f t="shared" si="332"/>
        <v>43585</v>
      </c>
      <c r="E808" s="82">
        <f t="shared" si="330"/>
        <v>43566</v>
      </c>
      <c r="F808" s="83">
        <f t="shared" si="333"/>
        <v>0.540625</v>
      </c>
      <c r="G808" s="83">
        <f t="shared" si="333"/>
        <v>0.5</v>
      </c>
      <c r="H808" s="81"/>
      <c r="I808" s="146">
        <v>43566</v>
      </c>
      <c r="J808" s="147">
        <v>4.8</v>
      </c>
      <c r="K808" s="147">
        <v>4</v>
      </c>
      <c r="L808" s="147">
        <v>4.325</v>
      </c>
      <c r="M808" s="94" cm="1">
        <f t="array" ref="M808">INDEX($BV$29:$BV$1449,MATCH($D808,$BR$29:$BR$1449,0),)</f>
        <v>4</v>
      </c>
      <c r="N808" s="150">
        <f t="shared" si="329"/>
        <v>-0.00506096158270075</v>
      </c>
      <c r="O808" s="150">
        <f t="shared" si="331"/>
        <v>-0.0354594112399643</v>
      </c>
      <c r="P808" s="150">
        <f t="shared" si="326"/>
        <v>-0.0605994787141616</v>
      </c>
      <c r="Q808" s="89">
        <f t="shared" si="327"/>
        <v>0.08125</v>
      </c>
      <c r="AH808" s="90"/>
      <c r="AI808" s="85"/>
      <c r="AJ808" s="36"/>
      <c r="AK808" s="36"/>
      <c r="AL808" s="36"/>
      <c r="AM808" s="36"/>
      <c r="AN808" s="36"/>
      <c r="AO808" s="36"/>
      <c r="AP808" s="36"/>
      <c r="FV808" s="104">
        <f t="shared" si="319"/>
        <v>2013</v>
      </c>
      <c r="FW808" s="104">
        <f t="shared" si="320"/>
        <v>33</v>
      </c>
      <c r="FX808" s="35">
        <v>41500</v>
      </c>
      <c r="FY808" s="26">
        <v>1.65</v>
      </c>
      <c r="FZ808" s="94">
        <f t="shared" si="321"/>
        <v>6.6</v>
      </c>
      <c r="GA808" s="104"/>
      <c r="GB808" s="104"/>
      <c r="GE808" s="94"/>
      <c r="GF808" s="104">
        <f t="shared" si="322"/>
        <v>2016</v>
      </c>
      <c r="GG808" s="104">
        <f t="shared" si="323"/>
        <v>8</v>
      </c>
      <c r="GH808" s="35">
        <v>42417</v>
      </c>
      <c r="GI808" s="26">
        <v>1.849</v>
      </c>
      <c r="GJ808" s="94">
        <f t="shared" si="324"/>
        <v>3.698</v>
      </c>
      <c r="GK808" s="104"/>
      <c r="GL808" s="104"/>
      <c r="GO808" s="94"/>
    </row>
    <row r="809" spans="3:197">
      <c r="C809" s="80" t="str" cm="1">
        <f t="array" ref="C809">_xlfn.IFS(MONTH(D809)&lt;4,1,MONTH(D809)&lt;7,2,MONTH(D809)&lt;10,3,MONTH(D809)&gt;9,4)&amp;"Q"&amp;RIGHT(YEAR(D809),2)</f>
        <v>2Q19</v>
      </c>
      <c r="D809" s="81">
        <f t="shared" si="332"/>
        <v>43585</v>
      </c>
      <c r="E809" s="82">
        <f t="shared" si="330"/>
        <v>43567</v>
      </c>
      <c r="F809" s="83">
        <f t="shared" si="333"/>
        <v>0.538125</v>
      </c>
      <c r="G809" s="83">
        <f t="shared" si="333"/>
        <v>0.5</v>
      </c>
      <c r="H809" s="81"/>
      <c r="I809" s="146">
        <v>43567</v>
      </c>
      <c r="J809" s="147">
        <v>4.8</v>
      </c>
      <c r="K809" s="147">
        <v>4</v>
      </c>
      <c r="L809" s="147">
        <v>4.305</v>
      </c>
      <c r="M809" s="94" cm="1">
        <f t="array" ref="M809">INDEX($BV$29:$BV$1449,MATCH($D809,$BR$29:$BR$1449,0),)</f>
        <v>4</v>
      </c>
      <c r="N809" s="150">
        <f t="shared" si="329"/>
        <v>-0.00462427745664751</v>
      </c>
      <c r="O809" s="150">
        <f t="shared" si="331"/>
        <v>-0.0334530758868433</v>
      </c>
      <c r="P809" s="150">
        <f t="shared" si="326"/>
        <v>-0.0608638743455497</v>
      </c>
      <c r="Q809" s="89">
        <f t="shared" si="327"/>
        <v>0.0762499999999999</v>
      </c>
      <c r="AH809" s="90"/>
      <c r="AI809" s="85"/>
      <c r="AJ809" s="36"/>
      <c r="AK809" s="36"/>
      <c r="AL809" s="36"/>
      <c r="AM809" s="36"/>
      <c r="AN809" s="36"/>
      <c r="AO809" s="36"/>
      <c r="AP809" s="36"/>
      <c r="FV809" s="104">
        <f t="shared" si="319"/>
        <v>2013</v>
      </c>
      <c r="FW809" s="104">
        <f t="shared" si="320"/>
        <v>33</v>
      </c>
      <c r="FX809" s="35">
        <v>41501</v>
      </c>
      <c r="FY809" s="26">
        <v>1.64</v>
      </c>
      <c r="FZ809" s="94">
        <f t="shared" si="321"/>
        <v>6.56</v>
      </c>
      <c r="GA809" s="104"/>
      <c r="GB809" s="104"/>
      <c r="GE809" s="94"/>
      <c r="GF809" s="104">
        <f t="shared" si="322"/>
        <v>2016</v>
      </c>
      <c r="GG809" s="104">
        <f t="shared" si="323"/>
        <v>8</v>
      </c>
      <c r="GH809" s="35">
        <v>42418</v>
      </c>
      <c r="GI809" s="26">
        <v>1.821</v>
      </c>
      <c r="GJ809" s="94">
        <f t="shared" si="324"/>
        <v>3.642</v>
      </c>
      <c r="GK809" s="104"/>
      <c r="GL809" s="104"/>
      <c r="GO809" s="94"/>
    </row>
    <row r="810" spans="3:197">
      <c r="C810" s="80" t="str" cm="1">
        <f t="array" ref="C810">_xlfn.IFS(MONTH(D810)&lt;4,1,MONTH(D810)&lt;7,2,MONTH(D810)&lt;10,3,MONTH(D810)&gt;9,4)&amp;"Q"&amp;RIGHT(YEAR(D810),2)</f>
        <v>2Q19</v>
      </c>
      <c r="D810" s="81">
        <f t="shared" si="332"/>
        <v>43585</v>
      </c>
      <c r="E810" s="82">
        <f t="shared" si="330"/>
        <v>43570</v>
      </c>
      <c r="F810" s="83">
        <f t="shared" si="333"/>
        <v>0.5365</v>
      </c>
      <c r="G810" s="83">
        <f t="shared" si="333"/>
        <v>0.5</v>
      </c>
      <c r="H810" s="81"/>
      <c r="I810" s="152">
        <v>43570</v>
      </c>
      <c r="J810" s="153">
        <v>4.8</v>
      </c>
      <c r="K810" s="153">
        <v>4</v>
      </c>
      <c r="L810" s="153">
        <v>4.292</v>
      </c>
      <c r="M810" s="94" cm="1">
        <f t="array" ref="M810">INDEX($BV$29:$BV$1449,MATCH($D810,$BR$29:$BR$1449,0),)</f>
        <v>4</v>
      </c>
      <c r="N810" s="150">
        <f t="shared" si="329"/>
        <v>-0.00301974448315911</v>
      </c>
      <c r="O810" s="150">
        <f t="shared" si="331"/>
        <v>-0.0355056179775282</v>
      </c>
      <c r="P810" s="150">
        <f t="shared" si="326"/>
        <v>-0.0616528202885877</v>
      </c>
      <c r="Q810" s="89">
        <f t="shared" si="327"/>
        <v>0.073</v>
      </c>
      <c r="AH810" s="90"/>
      <c r="AI810" s="85"/>
      <c r="AJ810" s="36"/>
      <c r="AK810" s="36"/>
      <c r="AL810" s="36"/>
      <c r="AM810" s="36"/>
      <c r="AN810" s="36"/>
      <c r="AO810" s="36"/>
      <c r="AP810" s="36"/>
      <c r="FV810" s="104">
        <f t="shared" si="319"/>
        <v>2013</v>
      </c>
      <c r="FW810" s="104">
        <f t="shared" si="320"/>
        <v>33</v>
      </c>
      <c r="FX810" s="35">
        <v>41502</v>
      </c>
      <c r="FY810" s="26">
        <v>1.615</v>
      </c>
      <c r="FZ810" s="94">
        <f t="shared" si="321"/>
        <v>6.46</v>
      </c>
      <c r="GA810" s="104"/>
      <c r="GB810" s="104"/>
      <c r="GE810" s="94"/>
      <c r="GF810" s="104">
        <f t="shared" si="322"/>
        <v>2016</v>
      </c>
      <c r="GG810" s="104">
        <f t="shared" si="323"/>
        <v>8</v>
      </c>
      <c r="GH810" s="35">
        <v>42419</v>
      </c>
      <c r="GI810" s="26">
        <v>1.813</v>
      </c>
      <c r="GJ810" s="94">
        <f t="shared" si="324"/>
        <v>3.626</v>
      </c>
      <c r="GK810" s="104"/>
      <c r="GL810" s="104"/>
      <c r="GO810" s="94"/>
    </row>
    <row r="811" spans="3:197">
      <c r="C811" s="80" t="str" cm="1">
        <f t="array" ref="C811">_xlfn.IFS(MONTH(D811)&lt;4,1,MONTH(D811)&lt;7,2,MONTH(D811)&lt;10,3,MONTH(D811)&gt;9,4)&amp;"Q"&amp;RIGHT(YEAR(D811),2)</f>
        <v>2Q19</v>
      </c>
      <c r="D811" s="81">
        <f t="shared" si="332"/>
        <v>43585</v>
      </c>
      <c r="E811" s="82">
        <f t="shared" si="330"/>
        <v>43571</v>
      </c>
      <c r="F811" s="83">
        <f t="shared" si="333"/>
        <v>0.5315</v>
      </c>
      <c r="G811" s="83">
        <f t="shared" si="333"/>
        <v>0.5</v>
      </c>
      <c r="H811" s="81"/>
      <c r="I811" s="152">
        <v>43571</v>
      </c>
      <c r="J811" s="153">
        <v>4.7</v>
      </c>
      <c r="K811" s="153">
        <v>3.8</v>
      </c>
      <c r="L811" s="153">
        <v>4.252</v>
      </c>
      <c r="M811" s="94" cm="1">
        <f t="array" ref="M811">INDEX($BV$29:$BV$1449,MATCH($D811,$BR$29:$BR$1449,0),)</f>
        <v>4</v>
      </c>
      <c r="N811" s="150">
        <f t="shared" si="329"/>
        <v>-0.00931966449207833</v>
      </c>
      <c r="O811" s="150">
        <f t="shared" si="331"/>
        <v>-0.0323167956304051</v>
      </c>
      <c r="P811" s="150">
        <f t="shared" si="326"/>
        <v>-0.0621967357741509</v>
      </c>
      <c r="Q811" s="89">
        <f t="shared" si="327"/>
        <v>0.0629999999999999</v>
      </c>
      <c r="AH811" s="90"/>
      <c r="AI811" s="85"/>
      <c r="AJ811" s="36"/>
      <c r="AK811" s="36"/>
      <c r="AL811" s="36"/>
      <c r="AM811" s="36"/>
      <c r="AN811" s="36"/>
      <c r="AO811" s="36"/>
      <c r="AP811" s="36"/>
      <c r="FV811" s="104">
        <f t="shared" si="319"/>
        <v>2013</v>
      </c>
      <c r="FW811" s="104">
        <f t="shared" si="320"/>
        <v>34</v>
      </c>
      <c r="FX811" s="35">
        <v>41505</v>
      </c>
      <c r="FY811" s="26">
        <v>1.615</v>
      </c>
      <c r="FZ811" s="94">
        <f t="shared" si="321"/>
        <v>6.46</v>
      </c>
      <c r="GA811" s="104"/>
      <c r="GB811" s="104"/>
      <c r="GE811" s="94"/>
      <c r="GF811" s="104">
        <f t="shared" si="322"/>
        <v>2016</v>
      </c>
      <c r="GG811" s="104">
        <f t="shared" si="323"/>
        <v>9</v>
      </c>
      <c r="GH811" s="35">
        <v>42422</v>
      </c>
      <c r="GI811" s="26">
        <v>1.81</v>
      </c>
      <c r="GJ811" s="94">
        <f t="shared" si="324"/>
        <v>3.62</v>
      </c>
      <c r="GK811" s="104"/>
      <c r="GL811" s="104"/>
      <c r="GO811" s="94"/>
    </row>
    <row r="812" spans="3:197">
      <c r="C812" s="80" t="str" cm="1">
        <f t="array" ref="C812">_xlfn.IFS(MONTH(D812)&lt;4,1,MONTH(D812)&lt;7,2,MONTH(D812)&lt;10,3,MONTH(D812)&gt;9,4)&amp;"Q"&amp;RIGHT(YEAR(D812),2)</f>
        <v>2Q19</v>
      </c>
      <c r="D812" s="81">
        <f t="shared" si="332"/>
        <v>43585</v>
      </c>
      <c r="E812" s="82">
        <f t="shared" si="330"/>
        <v>43572</v>
      </c>
      <c r="F812" s="83">
        <f t="shared" si="333"/>
        <v>0.52925</v>
      </c>
      <c r="G812" s="83">
        <f t="shared" si="333"/>
        <v>0.5</v>
      </c>
      <c r="H812" s="81"/>
      <c r="I812" s="152">
        <v>43572</v>
      </c>
      <c r="J812" s="153">
        <v>4.7</v>
      </c>
      <c r="K812" s="153">
        <v>3.8</v>
      </c>
      <c r="L812" s="153">
        <v>4.234</v>
      </c>
      <c r="M812" s="94" cm="1">
        <f t="array" ref="M812">INDEX($BV$29:$BV$1449,MATCH($D812,$BR$29:$BR$1449,0),)</f>
        <v>4</v>
      </c>
      <c r="N812" s="150">
        <f t="shared" si="329"/>
        <v>-0.00423330197554084</v>
      </c>
      <c r="O812" s="150">
        <f t="shared" si="331"/>
        <v>-0.0259949390384174</v>
      </c>
      <c r="P812" s="150">
        <f t="shared" si="326"/>
        <v>-0.0620292423571113</v>
      </c>
      <c r="Q812" s="89">
        <f t="shared" si="327"/>
        <v>0.0585</v>
      </c>
      <c r="AH812" s="90"/>
      <c r="AI812" s="85"/>
      <c r="AJ812" s="36"/>
      <c r="AK812" s="36"/>
      <c r="AL812" s="36"/>
      <c r="AM812" s="36"/>
      <c r="AN812" s="36"/>
      <c r="AO812" s="36"/>
      <c r="AP812" s="36"/>
      <c r="FV812" s="104">
        <f t="shared" si="319"/>
        <v>2013</v>
      </c>
      <c r="FW812" s="104">
        <f t="shared" si="320"/>
        <v>34</v>
      </c>
      <c r="FX812" s="35">
        <v>41506</v>
      </c>
      <c r="FY812" s="26">
        <v>1.611</v>
      </c>
      <c r="FZ812" s="94">
        <f t="shared" si="321"/>
        <v>6.444</v>
      </c>
      <c r="GA812" s="104"/>
      <c r="GB812" s="104"/>
      <c r="GE812" s="94"/>
      <c r="GF812" s="104">
        <f t="shared" si="322"/>
        <v>2016</v>
      </c>
      <c r="GG812" s="104">
        <f t="shared" si="323"/>
        <v>9</v>
      </c>
      <c r="GH812" s="35">
        <v>42423</v>
      </c>
      <c r="GI812" s="26">
        <v>1.809</v>
      </c>
      <c r="GJ812" s="94">
        <f t="shared" si="324"/>
        <v>3.618</v>
      </c>
      <c r="GK812" s="104"/>
      <c r="GL812" s="104"/>
      <c r="GO812" s="94"/>
    </row>
    <row r="813" spans="3:197">
      <c r="C813" s="80" t="str" cm="1">
        <f t="array" ref="C813">_xlfn.IFS(MONTH(D813)&lt;4,1,MONTH(D813)&lt;7,2,MONTH(D813)&lt;10,3,MONTH(D813)&gt;9,4)&amp;"Q"&amp;RIGHT(YEAR(D813),2)</f>
        <v>2Q19</v>
      </c>
      <c r="D813" s="81">
        <f t="shared" si="332"/>
        <v>43585</v>
      </c>
      <c r="E813" s="82">
        <f t="shared" si="330"/>
        <v>43573</v>
      </c>
      <c r="F813" s="83">
        <f t="shared" si="333"/>
        <v>0.5275</v>
      </c>
      <c r="G813" s="83">
        <f t="shared" si="333"/>
        <v>0.5</v>
      </c>
      <c r="H813" s="81"/>
      <c r="I813" s="152">
        <v>43573</v>
      </c>
      <c r="J813" s="153">
        <v>4.7</v>
      </c>
      <c r="K813" s="153">
        <v>3.8</v>
      </c>
      <c r="L813" s="153">
        <v>4.22</v>
      </c>
      <c r="M813" s="94" cm="1">
        <f t="array" ref="M813">INDEX($BV$29:$BV$1449,MATCH($D813,$BR$29:$BR$1449,0),)</f>
        <v>4</v>
      </c>
      <c r="N813" s="150">
        <f t="shared" si="329"/>
        <v>-0.00330656589513467</v>
      </c>
      <c r="O813" s="150">
        <f t="shared" si="331"/>
        <v>-0.0242774566473989</v>
      </c>
      <c r="P813" s="150">
        <f t="shared" si="326"/>
        <v>-0.0588760035682427</v>
      </c>
      <c r="Q813" s="89">
        <f t="shared" si="327"/>
        <v>0.0549999999999999</v>
      </c>
      <c r="AH813" s="90"/>
      <c r="AI813" s="85"/>
      <c r="AJ813" s="36"/>
      <c r="AK813" s="36"/>
      <c r="AL813" s="36"/>
      <c r="AM813" s="36"/>
      <c r="AN813" s="36"/>
      <c r="AO813" s="36"/>
      <c r="AP813" s="36"/>
      <c r="FV813" s="104">
        <f t="shared" si="319"/>
        <v>2013</v>
      </c>
      <c r="FW813" s="104">
        <f t="shared" si="320"/>
        <v>34</v>
      </c>
      <c r="FX813" s="35">
        <v>41507</v>
      </c>
      <c r="FY813" s="26">
        <v>1.61</v>
      </c>
      <c r="FZ813" s="94">
        <f t="shared" si="321"/>
        <v>6.44</v>
      </c>
      <c r="GA813" s="104"/>
      <c r="GB813" s="104"/>
      <c r="GE813" s="94"/>
      <c r="GF813" s="104">
        <f t="shared" si="322"/>
        <v>2016</v>
      </c>
      <c r="GG813" s="104">
        <f t="shared" si="323"/>
        <v>9</v>
      </c>
      <c r="GH813" s="35">
        <v>42424</v>
      </c>
      <c r="GI813" s="26">
        <v>1.811</v>
      </c>
      <c r="GJ813" s="94">
        <f t="shared" si="324"/>
        <v>3.622</v>
      </c>
      <c r="GK813" s="104"/>
      <c r="GL813" s="104"/>
      <c r="GO813" s="94"/>
    </row>
    <row r="814" spans="3:197">
      <c r="C814" s="80" t="str" cm="1">
        <f t="array" ref="C814">_xlfn.IFS(MONTH(D814)&lt;4,1,MONTH(D814)&lt;7,2,MONTH(D814)&lt;10,3,MONTH(D814)&gt;9,4)&amp;"Q"&amp;RIGHT(YEAR(D814),2)</f>
        <v>2Q19</v>
      </c>
      <c r="D814" s="81">
        <f t="shared" si="332"/>
        <v>43585</v>
      </c>
      <c r="E814" s="82">
        <f t="shared" si="330"/>
        <v>43574</v>
      </c>
      <c r="F814" s="83">
        <f t="shared" si="333"/>
        <v>0.52375</v>
      </c>
      <c r="G814" s="83">
        <f t="shared" si="333"/>
        <v>0.5</v>
      </c>
      <c r="H814" s="81"/>
      <c r="I814" s="152">
        <v>43574</v>
      </c>
      <c r="J814" s="153">
        <v>4.7</v>
      </c>
      <c r="K814" s="153">
        <v>3.8</v>
      </c>
      <c r="L814" s="153">
        <v>4.19</v>
      </c>
      <c r="M814" s="94" cm="1">
        <f t="array" ref="M814">INDEX($BV$29:$BV$1449,MATCH($D814,$BR$29:$BR$1449,0),)</f>
        <v>4</v>
      </c>
      <c r="N814" s="150">
        <f t="shared" si="329"/>
        <v>-0.00710900473933629</v>
      </c>
      <c r="O814" s="150">
        <f t="shared" si="331"/>
        <v>-0.0267131242740998</v>
      </c>
      <c r="P814" s="150">
        <f t="shared" si="326"/>
        <v>-0.0592725639874269</v>
      </c>
      <c r="Q814" s="89">
        <f t="shared" si="327"/>
        <v>0.0475000000000001</v>
      </c>
      <c r="AH814" s="90"/>
      <c r="AI814" s="85"/>
      <c r="AJ814" s="36"/>
      <c r="AK814" s="36"/>
      <c r="AL814" s="36"/>
      <c r="AM814" s="36"/>
      <c r="AN814" s="36"/>
      <c r="AO814" s="36"/>
      <c r="AP814" s="36"/>
      <c r="FV814" s="104">
        <f t="shared" si="319"/>
        <v>2013</v>
      </c>
      <c r="FW814" s="104">
        <f t="shared" si="320"/>
        <v>34</v>
      </c>
      <c r="FX814" s="35">
        <v>41508</v>
      </c>
      <c r="FY814" s="26">
        <v>1.606</v>
      </c>
      <c r="FZ814" s="94">
        <f t="shared" si="321"/>
        <v>6.424</v>
      </c>
      <c r="GA814" s="104"/>
      <c r="GB814" s="104"/>
      <c r="GE814" s="94"/>
      <c r="GF814" s="104">
        <f t="shared" si="322"/>
        <v>2016</v>
      </c>
      <c r="GG814" s="104">
        <f t="shared" si="323"/>
        <v>9</v>
      </c>
      <c r="GH814" s="35">
        <v>42425</v>
      </c>
      <c r="GI814" s="26">
        <v>1.807</v>
      </c>
      <c r="GJ814" s="94">
        <f t="shared" si="324"/>
        <v>3.614</v>
      </c>
      <c r="GK814" s="104"/>
      <c r="GL814" s="104"/>
      <c r="GO814" s="94"/>
    </row>
    <row r="815" spans="3:197">
      <c r="C815" s="80" t="str" cm="1">
        <f t="array" ref="C815">_xlfn.IFS(MONTH(D815)&lt;4,1,MONTH(D815)&lt;7,2,MONTH(D815)&lt;10,3,MONTH(D815)&gt;9,4)&amp;"Q"&amp;RIGHT(YEAR(D815),2)</f>
        <v>2Q19</v>
      </c>
      <c r="D815" s="81">
        <f t="shared" si="332"/>
        <v>43585</v>
      </c>
      <c r="E815" s="82">
        <f t="shared" si="330"/>
        <v>43577</v>
      </c>
      <c r="F815" s="83">
        <f t="shared" si="333"/>
        <v>0.52</v>
      </c>
      <c r="G815" s="83">
        <f t="shared" si="333"/>
        <v>0.5</v>
      </c>
      <c r="H815" s="81"/>
      <c r="I815" s="146">
        <v>43577</v>
      </c>
      <c r="J815" s="147">
        <v>4.7</v>
      </c>
      <c r="K815" s="147">
        <v>3.8</v>
      </c>
      <c r="L815" s="147">
        <v>4.16</v>
      </c>
      <c r="M815" s="94" cm="1">
        <f t="array" ref="M815">INDEX($BV$29:$BV$1449,MATCH($D815,$BR$29:$BR$1449,0),)</f>
        <v>4</v>
      </c>
      <c r="N815" s="150">
        <f t="shared" si="329"/>
        <v>-0.00715990453460624</v>
      </c>
      <c r="O815" s="150">
        <f t="shared" si="331"/>
        <v>-0.0307548928238582</v>
      </c>
      <c r="P815" s="150">
        <f t="shared" si="326"/>
        <v>-0.0651685393258427</v>
      </c>
      <c r="Q815" s="89">
        <f t="shared" si="327"/>
        <v>0.04</v>
      </c>
      <c r="AH815" s="90"/>
      <c r="AI815" s="85"/>
      <c r="AJ815" s="36"/>
      <c r="AK815" s="36"/>
      <c r="AL815" s="36"/>
      <c r="AM815" s="36"/>
      <c r="AN815" s="36"/>
      <c r="AO815" s="36"/>
      <c r="AP815" s="36"/>
      <c r="FV815" s="104">
        <f t="shared" si="319"/>
        <v>2013</v>
      </c>
      <c r="FW815" s="104">
        <f t="shared" si="320"/>
        <v>34</v>
      </c>
      <c r="FX815" s="35">
        <v>41509</v>
      </c>
      <c r="FY815" s="26">
        <v>1.602</v>
      </c>
      <c r="FZ815" s="94">
        <f t="shared" si="321"/>
        <v>6.408</v>
      </c>
      <c r="GA815" s="104"/>
      <c r="GB815" s="104"/>
      <c r="GE815" s="94"/>
      <c r="GF815" s="104">
        <f t="shared" si="322"/>
        <v>2016</v>
      </c>
      <c r="GG815" s="104">
        <f t="shared" si="323"/>
        <v>9</v>
      </c>
      <c r="GH815" s="35">
        <v>42426</v>
      </c>
      <c r="GI815" s="26">
        <v>1.804</v>
      </c>
      <c r="GJ815" s="94">
        <f t="shared" si="324"/>
        <v>3.608</v>
      </c>
      <c r="GK815" s="104"/>
      <c r="GL815" s="104"/>
      <c r="GO815" s="94"/>
    </row>
    <row r="816" spans="3:197">
      <c r="C816" s="80" t="str" cm="1">
        <f t="array" ref="C816">_xlfn.IFS(MONTH(D816)&lt;4,1,MONTH(D816)&lt;7,2,MONTH(D816)&lt;10,3,MONTH(D816)&gt;9,4)&amp;"Q"&amp;RIGHT(YEAR(D816),2)</f>
        <v>2Q19</v>
      </c>
      <c r="D816" s="81">
        <f t="shared" si="332"/>
        <v>43585</v>
      </c>
      <c r="E816" s="82">
        <f t="shared" si="330"/>
        <v>43578</v>
      </c>
      <c r="F816" s="83">
        <f t="shared" si="333"/>
        <v>0.5135</v>
      </c>
      <c r="G816" s="83">
        <f t="shared" si="333"/>
        <v>0.5</v>
      </c>
      <c r="H816" s="81"/>
      <c r="I816" s="146">
        <v>43578</v>
      </c>
      <c r="J816" s="147">
        <v>4.7</v>
      </c>
      <c r="K816" s="147">
        <v>3.7</v>
      </c>
      <c r="L816" s="147">
        <v>4.108</v>
      </c>
      <c r="M816" s="94" cm="1">
        <f t="array" ref="M816">INDEX($BV$29:$BV$1449,MATCH($D816,$BR$29:$BR$1449,0),)</f>
        <v>4</v>
      </c>
      <c r="N816" s="150">
        <f t="shared" si="329"/>
        <v>-0.0125000000000001</v>
      </c>
      <c r="O816" s="150">
        <f t="shared" si="331"/>
        <v>-0.0338664158043274</v>
      </c>
      <c r="P816" s="150">
        <f t="shared" si="326"/>
        <v>-0.0650887573964498</v>
      </c>
      <c r="Q816" s="89">
        <f t="shared" si="327"/>
        <v>0.0269999999999999</v>
      </c>
      <c r="AH816" s="90"/>
      <c r="AI816" s="85"/>
      <c r="AJ816" s="36"/>
      <c r="AK816" s="36"/>
      <c r="AL816" s="36"/>
      <c r="AM816" s="36"/>
      <c r="AN816" s="36"/>
      <c r="AO816" s="36"/>
      <c r="AP816" s="36"/>
      <c r="FV816" s="104">
        <f t="shared" si="319"/>
        <v>2013</v>
      </c>
      <c r="FW816" s="104">
        <f t="shared" si="320"/>
        <v>35</v>
      </c>
      <c r="FX816" s="35">
        <v>41512</v>
      </c>
      <c r="FY816" s="26">
        <v>1.6</v>
      </c>
      <c r="FZ816" s="94">
        <f t="shared" si="321"/>
        <v>6.4</v>
      </c>
      <c r="GA816" s="104"/>
      <c r="GB816" s="104"/>
      <c r="GE816" s="94"/>
      <c r="GF816" s="104">
        <f t="shared" si="322"/>
        <v>2016</v>
      </c>
      <c r="GG816" s="104">
        <f t="shared" si="323"/>
        <v>10</v>
      </c>
      <c r="GH816" s="35">
        <v>42429</v>
      </c>
      <c r="GI816" s="26">
        <v>1.803</v>
      </c>
      <c r="GJ816" s="94">
        <f t="shared" si="324"/>
        <v>3.606</v>
      </c>
      <c r="GK816" s="104"/>
      <c r="GL816" s="104"/>
      <c r="GO816" s="94"/>
    </row>
    <row r="817" spans="3:197">
      <c r="C817" s="80" t="str" cm="1">
        <f t="array" ref="C817">_xlfn.IFS(MONTH(D817)&lt;4,1,MONTH(D817)&lt;7,2,MONTH(D817)&lt;10,3,MONTH(D817)&gt;9,4)&amp;"Q"&amp;RIGHT(YEAR(D817),2)</f>
        <v>2Q19</v>
      </c>
      <c r="D817" s="81">
        <f t="shared" si="332"/>
        <v>43585</v>
      </c>
      <c r="E817" s="82">
        <f t="shared" si="330"/>
        <v>43579</v>
      </c>
      <c r="F817" s="83">
        <f t="shared" si="333"/>
        <v>0.511</v>
      </c>
      <c r="G817" s="83">
        <f t="shared" si="333"/>
        <v>0.5</v>
      </c>
      <c r="H817" s="81"/>
      <c r="I817" s="146">
        <v>43579</v>
      </c>
      <c r="J817" s="147">
        <v>4.7</v>
      </c>
      <c r="K817" s="147">
        <v>3.7</v>
      </c>
      <c r="L817" s="147">
        <v>4.088</v>
      </c>
      <c r="M817" s="94" cm="1">
        <f t="array" ref="M817">INDEX($BV$29:$BV$1449,MATCH($D817,$BR$29:$BR$1449,0),)</f>
        <v>4</v>
      </c>
      <c r="N817" s="150">
        <f t="shared" si="329"/>
        <v>-0.00486854917234658</v>
      </c>
      <c r="O817" s="150">
        <f t="shared" si="331"/>
        <v>-0.0344827586206896</v>
      </c>
      <c r="P817" s="150">
        <f t="shared" si="326"/>
        <v>-0.0595813204508857</v>
      </c>
      <c r="Q817" s="89">
        <f t="shared" si="327"/>
        <v>0.022</v>
      </c>
      <c r="AH817" s="90"/>
      <c r="AI817" s="85"/>
      <c r="AJ817" s="36"/>
      <c r="AK817" s="36"/>
      <c r="AL817" s="36"/>
      <c r="AM817" s="36"/>
      <c r="AN817" s="36"/>
      <c r="AO817" s="36"/>
      <c r="AP817" s="36"/>
      <c r="FV817" s="104">
        <f t="shared" si="319"/>
        <v>2013</v>
      </c>
      <c r="FW817" s="104">
        <f t="shared" si="320"/>
        <v>35</v>
      </c>
      <c r="FX817" s="35">
        <v>41513</v>
      </c>
      <c r="FY817" s="26">
        <v>1.581</v>
      </c>
      <c r="FZ817" s="94">
        <f t="shared" si="321"/>
        <v>6.324</v>
      </c>
      <c r="GA817" s="104"/>
      <c r="GB817" s="104"/>
      <c r="GE817" s="94"/>
      <c r="GF817" s="104">
        <f t="shared" si="322"/>
        <v>2016</v>
      </c>
      <c r="GG817" s="104">
        <f t="shared" si="323"/>
        <v>10</v>
      </c>
      <c r="GH817" s="35">
        <v>42430</v>
      </c>
      <c r="GI817" s="26">
        <v>1.791</v>
      </c>
      <c r="GJ817" s="94">
        <f t="shared" si="324"/>
        <v>3.582</v>
      </c>
      <c r="GK817" s="104"/>
      <c r="GL817" s="104"/>
      <c r="GO817" s="94"/>
    </row>
    <row r="818" spans="3:197">
      <c r="C818" s="80" t="str" cm="1">
        <f t="array" ref="C818">_xlfn.IFS(MONTH(D818)&lt;4,1,MONTH(D818)&lt;7,2,MONTH(D818)&lt;10,3,MONTH(D818)&gt;9,4)&amp;"Q"&amp;RIGHT(YEAR(D818),2)</f>
        <v>2Q19</v>
      </c>
      <c r="D818" s="81">
        <f t="shared" si="332"/>
        <v>43585</v>
      </c>
      <c r="E818" s="82">
        <f t="shared" si="330"/>
        <v>43580</v>
      </c>
      <c r="F818" s="83">
        <f t="shared" si="333"/>
        <v>0.504</v>
      </c>
      <c r="G818" s="83">
        <f t="shared" si="333"/>
        <v>0.5</v>
      </c>
      <c r="H818" s="81"/>
      <c r="I818" s="146">
        <v>43580</v>
      </c>
      <c r="J818" s="147">
        <v>4.7</v>
      </c>
      <c r="K818" s="147">
        <v>3.62</v>
      </c>
      <c r="L818" s="147">
        <v>4.032</v>
      </c>
      <c r="M818" s="94" cm="1">
        <f t="array" ref="M818">INDEX($BV$29:$BV$1449,MATCH($D818,$BR$29:$BR$1449,0),)</f>
        <v>4</v>
      </c>
      <c r="N818" s="150">
        <f t="shared" si="329"/>
        <v>-0.0136986301369864</v>
      </c>
      <c r="O818" s="150">
        <f t="shared" si="331"/>
        <v>-0.0445497630331753</v>
      </c>
      <c r="P818" s="150">
        <f t="shared" si="326"/>
        <v>-0.0677456647398844</v>
      </c>
      <c r="Q818" s="89">
        <f t="shared" si="327"/>
        <v>0.00800000000000001</v>
      </c>
      <c r="AH818" s="90"/>
      <c r="AI818" s="85"/>
      <c r="AJ818" s="36"/>
      <c r="AK818" s="36"/>
      <c r="AL818" s="36"/>
      <c r="AM818" s="36"/>
      <c r="AN818" s="36"/>
      <c r="AO818" s="36"/>
      <c r="AP818" s="36"/>
      <c r="FV818" s="104">
        <f t="shared" si="319"/>
        <v>2013</v>
      </c>
      <c r="FW818" s="104">
        <f t="shared" si="320"/>
        <v>35</v>
      </c>
      <c r="FX818" s="35">
        <v>41514</v>
      </c>
      <c r="FY818" s="26">
        <v>1.572</v>
      </c>
      <c r="FZ818" s="94">
        <f t="shared" si="321"/>
        <v>6.288</v>
      </c>
      <c r="GA818" s="104"/>
      <c r="GB818" s="104"/>
      <c r="GE818" s="94"/>
      <c r="GF818" s="104">
        <f t="shared" si="322"/>
        <v>2016</v>
      </c>
      <c r="GG818" s="104">
        <f t="shared" si="323"/>
        <v>10</v>
      </c>
      <c r="GH818" s="35">
        <v>42431</v>
      </c>
      <c r="GI818" s="26">
        <v>1.785</v>
      </c>
      <c r="GJ818" s="94">
        <f t="shared" si="324"/>
        <v>3.57</v>
      </c>
      <c r="GK818" s="104"/>
      <c r="GL818" s="104"/>
      <c r="GO818" s="94"/>
    </row>
    <row r="819" spans="3:197">
      <c r="C819" s="80" t="str" cm="1">
        <f t="array" ref="C819">_xlfn.IFS(MONTH(D819)&lt;4,1,MONTH(D819)&lt;7,2,MONTH(D819)&lt;10,3,MONTH(D819)&gt;9,4)&amp;"Q"&amp;RIGHT(YEAR(D819),2)</f>
        <v>2Q19</v>
      </c>
      <c r="D819" s="81">
        <f t="shared" si="332"/>
        <v>43585</v>
      </c>
      <c r="E819" s="82">
        <f t="shared" si="330"/>
        <v>43581</v>
      </c>
      <c r="F819" s="83">
        <f t="shared" si="333"/>
        <v>0.498</v>
      </c>
      <c r="G819" s="83">
        <f t="shared" si="333"/>
        <v>0.5</v>
      </c>
      <c r="H819" s="81"/>
      <c r="I819" s="146">
        <v>43581</v>
      </c>
      <c r="J819" s="147">
        <v>4.6</v>
      </c>
      <c r="K819" s="147">
        <v>3.6</v>
      </c>
      <c r="L819" s="147">
        <v>3.984</v>
      </c>
      <c r="M819" s="94" cm="1">
        <f t="array" ref="M819">INDEX($BV$29:$BV$1449,MATCH($D819,$BR$29:$BR$1449,0),)</f>
        <v>4</v>
      </c>
      <c r="N819" s="150">
        <f t="shared" si="329"/>
        <v>-0.0119047619047619</v>
      </c>
      <c r="O819" s="150">
        <f t="shared" si="331"/>
        <v>-0.049164677804296</v>
      </c>
      <c r="P819" s="150">
        <f t="shared" si="326"/>
        <v>-0.0745644599303136</v>
      </c>
      <c r="Q819" s="89">
        <f t="shared" si="327"/>
        <v>-0.004</v>
      </c>
      <c r="AH819" s="90"/>
      <c r="AI819" s="85"/>
      <c r="AJ819" s="36"/>
      <c r="AK819" s="36"/>
      <c r="AL819" s="36"/>
      <c r="AM819" s="36"/>
      <c r="AN819" s="36"/>
      <c r="AO819" s="36"/>
      <c r="AP819" s="36"/>
      <c r="FV819" s="104">
        <f t="shared" si="319"/>
        <v>2013</v>
      </c>
      <c r="FW819" s="104">
        <f t="shared" si="320"/>
        <v>35</v>
      </c>
      <c r="FX819" s="35">
        <v>41515</v>
      </c>
      <c r="FY819" s="26">
        <v>1.581</v>
      </c>
      <c r="FZ819" s="94">
        <f t="shared" si="321"/>
        <v>6.324</v>
      </c>
      <c r="GA819" s="104"/>
      <c r="GB819" s="104"/>
      <c r="GE819" s="94"/>
      <c r="GF819" s="104">
        <f t="shared" si="322"/>
        <v>2016</v>
      </c>
      <c r="GG819" s="104">
        <f t="shared" si="323"/>
        <v>10</v>
      </c>
      <c r="GH819" s="35">
        <v>42432</v>
      </c>
      <c r="GI819" s="26">
        <v>1.76</v>
      </c>
      <c r="GJ819" s="94">
        <f t="shared" si="324"/>
        <v>3.52</v>
      </c>
      <c r="GK819" s="104"/>
      <c r="GL819" s="104"/>
      <c r="GO819" s="94"/>
    </row>
    <row r="820" spans="3:197">
      <c r="C820" s="80" t="str" cm="1">
        <f t="array" ref="C820">_xlfn.IFS(MONTH(D820)&lt;4,1,MONTH(D820)&lt;7,2,MONTH(D820)&lt;10,3,MONTH(D820)&gt;9,4)&amp;"Q"&amp;RIGHT(YEAR(D820),2)</f>
        <v>2Q19</v>
      </c>
      <c r="D820" s="81">
        <f t="shared" si="332"/>
        <v>43585</v>
      </c>
      <c r="E820" s="82">
        <f t="shared" si="330"/>
        <v>43584</v>
      </c>
      <c r="F820" s="83">
        <f t="shared" si="333"/>
        <v>0.49425</v>
      </c>
      <c r="G820" s="83">
        <f t="shared" si="333"/>
        <v>0.5</v>
      </c>
      <c r="H820" s="81"/>
      <c r="I820" s="146">
        <v>43584</v>
      </c>
      <c r="J820" s="147">
        <v>4.6</v>
      </c>
      <c r="K820" s="147">
        <v>3.6</v>
      </c>
      <c r="L820" s="147">
        <v>3.954</v>
      </c>
      <c r="M820" s="94" cm="1">
        <f t="array" ref="M820">INDEX($BV$29:$BV$1449,MATCH($D820,$BR$29:$BR$1449,0),)</f>
        <v>4</v>
      </c>
      <c r="N820" s="150">
        <f t="shared" si="329"/>
        <v>-0.00753012048192769</v>
      </c>
      <c r="O820" s="150">
        <f t="shared" si="331"/>
        <v>-0.0495192307692307</v>
      </c>
      <c r="P820" s="150">
        <f t="shared" si="326"/>
        <v>-0.0787511649580614</v>
      </c>
      <c r="Q820" s="89">
        <f t="shared" si="327"/>
        <v>-0.0115</v>
      </c>
      <c r="AH820" s="90"/>
      <c r="AI820" s="85"/>
      <c r="AJ820" s="36"/>
      <c r="AK820" s="36"/>
      <c r="AL820" s="36"/>
      <c r="AM820" s="36"/>
      <c r="AN820" s="36"/>
      <c r="AO820" s="36"/>
      <c r="AP820" s="36"/>
      <c r="FV820" s="104">
        <f t="shared" ref="FV820:FV883" si="334">YEAR(FX820)</f>
        <v>2013</v>
      </c>
      <c r="FW820" s="104">
        <f t="shared" ref="FW820:FW883" si="335">WEEKNUM(FX820)</f>
        <v>35</v>
      </c>
      <c r="FX820" s="35">
        <v>41516</v>
      </c>
      <c r="FY820" s="26">
        <v>1.579</v>
      </c>
      <c r="FZ820" s="94">
        <f t="shared" ref="FZ820:FZ883" si="336">FY820*4</f>
        <v>6.316</v>
      </c>
      <c r="GA820" s="104"/>
      <c r="GB820" s="104"/>
      <c r="GE820" s="94"/>
      <c r="GF820" s="104">
        <f t="shared" ref="GF820:GF883" si="337">YEAR(GH820)</f>
        <v>2016</v>
      </c>
      <c r="GG820" s="104">
        <f t="shared" ref="GG820:GG883" si="338">WEEKNUM(GH820)</f>
        <v>10</v>
      </c>
      <c r="GH820" s="35">
        <v>42433</v>
      </c>
      <c r="GI820" s="26">
        <v>1.746</v>
      </c>
      <c r="GJ820" s="94">
        <f t="shared" ref="GJ820:GJ883" si="339">GI820*2</f>
        <v>3.492</v>
      </c>
      <c r="GK820" s="104"/>
      <c r="GL820" s="104"/>
      <c r="GO820" s="94"/>
    </row>
    <row r="821" spans="3:197">
      <c r="C821" s="80" t="str" cm="1">
        <f t="array" ref="C821">_xlfn.IFS(MONTH(D821)&lt;4,1,MONTH(D821)&lt;7,2,MONTH(D821)&lt;10,3,MONTH(D821)&gt;9,4)&amp;"Q"&amp;RIGHT(YEAR(D821),2)</f>
        <v>2Q19</v>
      </c>
      <c r="D821" s="81">
        <f t="shared" si="332"/>
        <v>43585</v>
      </c>
      <c r="E821" s="82">
        <f t="shared" si="330"/>
        <v>43585</v>
      </c>
      <c r="F821" s="83">
        <f t="shared" si="333"/>
        <v>0.4935</v>
      </c>
      <c r="G821" s="83">
        <f t="shared" si="333"/>
        <v>0.5</v>
      </c>
      <c r="H821" s="81"/>
      <c r="I821" s="146">
        <v>43585</v>
      </c>
      <c r="J821" s="147">
        <v>4.5</v>
      </c>
      <c r="K821" s="147">
        <v>3.6</v>
      </c>
      <c r="L821" s="147">
        <v>3.948</v>
      </c>
      <c r="M821" s="94" cm="1">
        <f t="array" ref="M821">INDEX($BV$29:$BV$1449,MATCH($D821,$BR$29:$BR$1449,0),)</f>
        <v>4</v>
      </c>
      <c r="N821" s="150">
        <f t="shared" si="329"/>
        <v>-0.00151745068285292</v>
      </c>
      <c r="O821" s="150">
        <f t="shared" si="331"/>
        <v>-0.0389483933787731</v>
      </c>
      <c r="P821" s="150">
        <f t="shared" si="326"/>
        <v>-0.0714957666980244</v>
      </c>
      <c r="Q821" s="89">
        <f t="shared" si="327"/>
        <v>-0.013</v>
      </c>
      <c r="AH821" s="90"/>
      <c r="AI821" s="85"/>
      <c r="AJ821" s="36"/>
      <c r="AK821" s="36"/>
      <c r="AL821" s="36"/>
      <c r="AM821" s="36"/>
      <c r="AN821" s="36"/>
      <c r="AO821" s="36"/>
      <c r="AP821" s="36"/>
      <c r="FV821" s="104">
        <f t="shared" si="334"/>
        <v>2013</v>
      </c>
      <c r="FW821" s="104">
        <f t="shared" si="335"/>
        <v>36</v>
      </c>
      <c r="FX821" s="35">
        <v>41519</v>
      </c>
      <c r="FY821" s="26">
        <v>1.576</v>
      </c>
      <c r="FZ821" s="94">
        <f t="shared" si="336"/>
        <v>6.304</v>
      </c>
      <c r="GA821" s="104"/>
      <c r="GB821" s="104"/>
      <c r="GE821" s="94"/>
      <c r="GF821" s="104">
        <f t="shared" si="337"/>
        <v>2016</v>
      </c>
      <c r="GG821" s="104">
        <f t="shared" si="338"/>
        <v>11</v>
      </c>
      <c r="GH821" s="35">
        <v>42436</v>
      </c>
      <c r="GI821" s="26">
        <v>1.743</v>
      </c>
      <c r="GJ821" s="94">
        <f t="shared" si="339"/>
        <v>3.486</v>
      </c>
      <c r="GK821" s="104"/>
      <c r="GL821" s="104"/>
      <c r="GO821" s="94"/>
    </row>
    <row r="822" spans="3:197">
      <c r="C822" s="80" t="str" cm="1">
        <f t="array" ref="C822">_xlfn.IFS(MONTH(D822)&lt;4,1,MONTH(D822)&lt;7,2,MONTH(D822)&lt;10,3,MONTH(D822)&gt;9,4)&amp;"Q"&amp;RIGHT(YEAR(D822),2)</f>
        <v>2Q19</v>
      </c>
      <c r="D822" s="81">
        <f t="shared" si="332"/>
        <v>43616</v>
      </c>
      <c r="E822" s="82">
        <f t="shared" si="330"/>
        <v>43587</v>
      </c>
      <c r="F822" s="83">
        <f t="shared" si="333"/>
        <v>0.48775</v>
      </c>
      <c r="G822" s="83">
        <f t="shared" si="333"/>
        <v>0.46875</v>
      </c>
      <c r="H822" s="81"/>
      <c r="I822" s="146">
        <v>43587</v>
      </c>
      <c r="J822" s="147">
        <v>4.5</v>
      </c>
      <c r="K822" s="147">
        <v>3.6</v>
      </c>
      <c r="L822" s="147">
        <v>3.902</v>
      </c>
      <c r="M822" s="94" cm="1">
        <f t="array" ref="M822">INDEX($BV$29:$BV$1449,MATCH($D822,$BR$29:$BR$1449,0),)</f>
        <v>3.75</v>
      </c>
      <c r="N822" s="150">
        <f t="shared" si="329"/>
        <v>-0.0116514690982775</v>
      </c>
      <c r="O822" s="150">
        <f t="shared" si="331"/>
        <v>-0.0454990215264188</v>
      </c>
      <c r="P822" s="150">
        <f t="shared" si="326"/>
        <v>-0.0784128483703354</v>
      </c>
      <c r="Q822" s="89">
        <f t="shared" si="327"/>
        <v>0.0405333333333333</v>
      </c>
      <c r="AH822" s="90"/>
      <c r="AI822" s="85"/>
      <c r="AJ822" s="36"/>
      <c r="AK822" s="36"/>
      <c r="AL822" s="36"/>
      <c r="AM822" s="36"/>
      <c r="AN822" s="36"/>
      <c r="AO822" s="36"/>
      <c r="AP822" s="36"/>
      <c r="FV822" s="104">
        <f t="shared" si="334"/>
        <v>2013</v>
      </c>
      <c r="FW822" s="104">
        <f t="shared" si="335"/>
        <v>36</v>
      </c>
      <c r="FX822" s="35">
        <v>41520</v>
      </c>
      <c r="FY822" s="26">
        <v>1.575</v>
      </c>
      <c r="FZ822" s="94">
        <f t="shared" si="336"/>
        <v>6.3</v>
      </c>
      <c r="GA822" s="104"/>
      <c r="GB822" s="104"/>
      <c r="GE822" s="94"/>
      <c r="GF822" s="104">
        <f t="shared" si="337"/>
        <v>2016</v>
      </c>
      <c r="GG822" s="104">
        <f t="shared" si="338"/>
        <v>11</v>
      </c>
      <c r="GH822" s="35">
        <v>42437</v>
      </c>
      <c r="GI822" s="26">
        <v>1.711</v>
      </c>
      <c r="GJ822" s="94">
        <f t="shared" si="339"/>
        <v>3.422</v>
      </c>
      <c r="GK822" s="104"/>
      <c r="GL822" s="104"/>
      <c r="GO822" s="94"/>
    </row>
    <row r="823" spans="3:197">
      <c r="C823" s="80" t="str" cm="1">
        <f t="array" ref="C823">_xlfn.IFS(MONTH(D823)&lt;4,1,MONTH(D823)&lt;7,2,MONTH(D823)&lt;10,3,MONTH(D823)&gt;9,4)&amp;"Q"&amp;RIGHT(YEAR(D823),2)</f>
        <v>2Q19</v>
      </c>
      <c r="D823" s="81">
        <f t="shared" si="332"/>
        <v>43616</v>
      </c>
      <c r="E823" s="82">
        <f t="shared" si="330"/>
        <v>43588</v>
      </c>
      <c r="F823" s="83">
        <f t="shared" si="333"/>
        <v>0.484</v>
      </c>
      <c r="G823" s="83">
        <f t="shared" si="333"/>
        <v>0.46875</v>
      </c>
      <c r="H823" s="81"/>
      <c r="I823" s="146">
        <v>43588</v>
      </c>
      <c r="J823" s="147">
        <v>4.5</v>
      </c>
      <c r="K823" s="147">
        <v>3.6</v>
      </c>
      <c r="L823" s="147">
        <v>3.872</v>
      </c>
      <c r="M823" s="94" cm="1">
        <f t="array" ref="M823">INDEX($BV$29:$BV$1449,MATCH($D823,$BR$29:$BR$1449,0),)</f>
        <v>3.75</v>
      </c>
      <c r="N823" s="150">
        <f t="shared" si="329"/>
        <v>-0.00768836494105596</v>
      </c>
      <c r="O823" s="150">
        <f t="shared" si="331"/>
        <v>-0.0396825396825398</v>
      </c>
      <c r="P823" s="150">
        <f t="shared" si="326"/>
        <v>-0.0824644549763033</v>
      </c>
      <c r="Q823" s="89">
        <f t="shared" si="327"/>
        <v>0.0325333333333333</v>
      </c>
      <c r="AH823" s="90"/>
      <c r="AI823" s="85"/>
      <c r="AJ823" s="36"/>
      <c r="AK823" s="36"/>
      <c r="AL823" s="36"/>
      <c r="AM823" s="36"/>
      <c r="AN823" s="36"/>
      <c r="AO823" s="36"/>
      <c r="AP823" s="36"/>
      <c r="FV823" s="104">
        <f t="shared" si="334"/>
        <v>2013</v>
      </c>
      <c r="FW823" s="104">
        <f t="shared" si="335"/>
        <v>36</v>
      </c>
      <c r="FX823" s="35">
        <v>41521</v>
      </c>
      <c r="FY823" s="26">
        <v>1.588</v>
      </c>
      <c r="FZ823" s="94">
        <f t="shared" si="336"/>
        <v>6.352</v>
      </c>
      <c r="GA823" s="104"/>
      <c r="GB823" s="104"/>
      <c r="GE823" s="94"/>
      <c r="GF823" s="104">
        <f t="shared" si="337"/>
        <v>2016</v>
      </c>
      <c r="GG823" s="104">
        <f t="shared" si="338"/>
        <v>11</v>
      </c>
      <c r="GH823" s="35">
        <v>42438</v>
      </c>
      <c r="GI823" s="26">
        <v>1.703</v>
      </c>
      <c r="GJ823" s="94">
        <f t="shared" si="339"/>
        <v>3.406</v>
      </c>
      <c r="GK823" s="104"/>
      <c r="GL823" s="104"/>
      <c r="GO823" s="94"/>
    </row>
    <row r="824" spans="3:197">
      <c r="C824" s="80" t="str" cm="1">
        <f t="array" ref="C824">_xlfn.IFS(MONTH(D824)&lt;4,1,MONTH(D824)&lt;7,2,MONTH(D824)&lt;10,3,MONTH(D824)&gt;9,4)&amp;"Q"&amp;RIGHT(YEAR(D824),2)</f>
        <v>2Q19</v>
      </c>
      <c r="D824" s="81">
        <f t="shared" si="332"/>
        <v>43616</v>
      </c>
      <c r="E824" s="82">
        <f t="shared" si="330"/>
        <v>43591</v>
      </c>
      <c r="F824" s="83">
        <f t="shared" si="333"/>
        <v>0.4815</v>
      </c>
      <c r="G824" s="83">
        <f t="shared" si="333"/>
        <v>0.46875</v>
      </c>
      <c r="H824" s="81"/>
      <c r="I824" s="146">
        <v>43591</v>
      </c>
      <c r="J824" s="147">
        <v>4.5</v>
      </c>
      <c r="K824" s="147">
        <v>3.6</v>
      </c>
      <c r="L824" s="147">
        <v>3.852</v>
      </c>
      <c r="M824" s="94" cm="1">
        <f t="array" ref="M824">INDEX($BV$29:$BV$1449,MATCH($D824,$BR$29:$BR$1449,0),)</f>
        <v>3.75</v>
      </c>
      <c r="N824" s="150">
        <f t="shared" si="329"/>
        <v>-0.0051652892561983</v>
      </c>
      <c r="O824" s="150">
        <f t="shared" si="331"/>
        <v>-0.033132530120482</v>
      </c>
      <c r="P824" s="150">
        <f t="shared" si="326"/>
        <v>-0.0806682577565634</v>
      </c>
      <c r="Q824" s="89">
        <f t="shared" si="327"/>
        <v>0.0271999999999999</v>
      </c>
      <c r="AH824" s="90"/>
      <c r="AI824" s="85"/>
      <c r="AJ824" s="36"/>
      <c r="AK824" s="36"/>
      <c r="AL824" s="36"/>
      <c r="AM824" s="36"/>
      <c r="AN824" s="36"/>
      <c r="AO824" s="36"/>
      <c r="AP824" s="36"/>
      <c r="FV824" s="104">
        <f t="shared" si="334"/>
        <v>2013</v>
      </c>
      <c r="FW824" s="104">
        <f t="shared" si="335"/>
        <v>36</v>
      </c>
      <c r="FX824" s="35">
        <v>41522</v>
      </c>
      <c r="FY824" s="26">
        <v>1.889</v>
      </c>
      <c r="FZ824" s="94">
        <f t="shared" si="336"/>
        <v>7.556</v>
      </c>
      <c r="GA824" s="104"/>
      <c r="GB824" s="104"/>
      <c r="GE824" s="94"/>
      <c r="GF824" s="104">
        <f t="shared" si="337"/>
        <v>2016</v>
      </c>
      <c r="GG824" s="104">
        <f t="shared" si="338"/>
        <v>11</v>
      </c>
      <c r="GH824" s="35">
        <v>42439</v>
      </c>
      <c r="GI824" s="26">
        <v>1.696</v>
      </c>
      <c r="GJ824" s="94">
        <f t="shared" si="339"/>
        <v>3.392</v>
      </c>
      <c r="GK824" s="104"/>
      <c r="GL824" s="104"/>
      <c r="GO824" s="94"/>
    </row>
    <row r="825" spans="3:197">
      <c r="C825" s="80" t="str" cm="1">
        <f t="array" ref="C825">_xlfn.IFS(MONTH(D825)&lt;4,1,MONTH(D825)&lt;7,2,MONTH(D825)&lt;10,3,MONTH(D825)&gt;9,4)&amp;"Q"&amp;RIGHT(YEAR(D825),2)</f>
        <v>2Q19</v>
      </c>
      <c r="D825" s="81">
        <f t="shared" si="332"/>
        <v>43616</v>
      </c>
      <c r="E825" s="82">
        <f t="shared" si="330"/>
        <v>43592</v>
      </c>
      <c r="F825" s="83">
        <f t="shared" si="333"/>
        <v>0.47825</v>
      </c>
      <c r="G825" s="83">
        <f t="shared" si="333"/>
        <v>0.46875</v>
      </c>
      <c r="H825" s="81"/>
      <c r="I825" s="146">
        <v>43592</v>
      </c>
      <c r="J825" s="147">
        <v>4.5</v>
      </c>
      <c r="K825" s="147">
        <v>3.6</v>
      </c>
      <c r="L825" s="147">
        <v>3.826</v>
      </c>
      <c r="M825" s="94" cm="1">
        <f t="array" ref="M825">INDEX($BV$29:$BV$1449,MATCH($D825,$BR$29:$BR$1449,0),)</f>
        <v>3.75</v>
      </c>
      <c r="N825" s="150">
        <f t="shared" si="329"/>
        <v>-0.00674974039460019</v>
      </c>
      <c r="O825" s="150">
        <f t="shared" si="331"/>
        <v>-0.0323722812341932</v>
      </c>
      <c r="P825" s="150">
        <f t="shared" si="326"/>
        <v>-0.0802884615384616</v>
      </c>
      <c r="Q825" s="89">
        <f t="shared" si="327"/>
        <v>0.0202666666666667</v>
      </c>
      <c r="AH825" s="90"/>
      <c r="AI825" s="85"/>
      <c r="AJ825" s="36"/>
      <c r="AK825" s="36"/>
      <c r="AL825" s="36"/>
      <c r="AM825" s="36"/>
      <c r="AN825" s="36"/>
      <c r="AO825" s="36"/>
      <c r="AP825" s="36"/>
      <c r="FV825" s="104">
        <f t="shared" si="334"/>
        <v>2013</v>
      </c>
      <c r="FW825" s="104">
        <f t="shared" si="335"/>
        <v>36</v>
      </c>
      <c r="FX825" s="35">
        <v>41523</v>
      </c>
      <c r="FY825" s="26">
        <v>1.941</v>
      </c>
      <c r="FZ825" s="94">
        <f t="shared" si="336"/>
        <v>7.764</v>
      </c>
      <c r="GA825" s="104"/>
      <c r="GB825" s="104"/>
      <c r="GE825" s="94"/>
      <c r="GF825" s="104">
        <f t="shared" si="337"/>
        <v>2016</v>
      </c>
      <c r="GG825" s="104">
        <f t="shared" si="338"/>
        <v>11</v>
      </c>
      <c r="GH825" s="35">
        <v>42440</v>
      </c>
      <c r="GI825" s="26">
        <v>1.692</v>
      </c>
      <c r="GJ825" s="94">
        <f t="shared" si="339"/>
        <v>3.384</v>
      </c>
      <c r="GK825" s="104"/>
      <c r="GL825" s="104"/>
      <c r="GO825" s="94"/>
    </row>
    <row r="826" spans="3:197">
      <c r="C826" s="80" t="str" cm="1">
        <f t="array" ref="C826">_xlfn.IFS(MONTH(D826)&lt;4,1,MONTH(D826)&lt;7,2,MONTH(D826)&lt;10,3,MONTH(D826)&gt;9,4)&amp;"Q"&amp;RIGHT(YEAR(D826),2)</f>
        <v>2Q19</v>
      </c>
      <c r="D826" s="81">
        <f t="shared" si="332"/>
        <v>43616</v>
      </c>
      <c r="E826" s="82">
        <f t="shared" si="330"/>
        <v>43593</v>
      </c>
      <c r="F826" s="83">
        <f t="shared" si="333"/>
        <v>0.47525</v>
      </c>
      <c r="G826" s="83">
        <f t="shared" si="333"/>
        <v>0.46875</v>
      </c>
      <c r="H826" s="81"/>
      <c r="I826" s="146">
        <v>43593</v>
      </c>
      <c r="J826" s="147">
        <v>4.5</v>
      </c>
      <c r="K826" s="147">
        <v>3.59</v>
      </c>
      <c r="L826" s="147">
        <v>3.802</v>
      </c>
      <c r="M826" s="94" cm="1">
        <f t="array" ref="M826">INDEX($BV$29:$BV$1449,MATCH($D826,$BR$29:$BR$1449,0),)</f>
        <v>3.75</v>
      </c>
      <c r="N826" s="150">
        <f t="shared" si="329"/>
        <v>-0.00627286983795083</v>
      </c>
      <c r="O826" s="150">
        <f t="shared" si="331"/>
        <v>-0.0369807497467072</v>
      </c>
      <c r="P826" s="150">
        <f t="shared" si="326"/>
        <v>-0.0744888023369035</v>
      </c>
      <c r="Q826" s="89">
        <f t="shared" si="327"/>
        <v>0.0138666666666667</v>
      </c>
      <c r="AH826" s="90"/>
      <c r="AI826" s="85"/>
      <c r="AJ826" s="36"/>
      <c r="AK826" s="36"/>
      <c r="AL826" s="36"/>
      <c r="AM826" s="36"/>
      <c r="AN826" s="36"/>
      <c r="AO826" s="36"/>
      <c r="AP826" s="36"/>
      <c r="FV826" s="104">
        <f t="shared" si="334"/>
        <v>2013</v>
      </c>
      <c r="FW826" s="104">
        <f t="shared" si="335"/>
        <v>37</v>
      </c>
      <c r="FX826" s="35">
        <v>41526</v>
      </c>
      <c r="FY826" s="26">
        <v>1.97</v>
      </c>
      <c r="FZ826" s="94">
        <f t="shared" si="336"/>
        <v>7.88</v>
      </c>
      <c r="GA826" s="104"/>
      <c r="GB826" s="104"/>
      <c r="GE826" s="94"/>
      <c r="GF826" s="104">
        <f t="shared" si="337"/>
        <v>2016</v>
      </c>
      <c r="GG826" s="104">
        <f t="shared" si="338"/>
        <v>12</v>
      </c>
      <c r="GH826" s="35">
        <v>42443</v>
      </c>
      <c r="GI826" s="26">
        <v>1.689</v>
      </c>
      <c r="GJ826" s="94">
        <f t="shared" si="339"/>
        <v>3.378</v>
      </c>
      <c r="GK826" s="104"/>
      <c r="GL826" s="104"/>
      <c r="GO826" s="94"/>
    </row>
    <row r="827" spans="3:197">
      <c r="C827" s="80" t="str" cm="1">
        <f t="array" ref="C827">_xlfn.IFS(MONTH(D827)&lt;4,1,MONTH(D827)&lt;7,2,MONTH(D827)&lt;10,3,MONTH(D827)&gt;9,4)&amp;"Q"&amp;RIGHT(YEAR(D827),2)</f>
        <v>2Q19</v>
      </c>
      <c r="D827" s="81">
        <f t="shared" si="332"/>
        <v>43616</v>
      </c>
      <c r="E827" s="82">
        <f t="shared" si="330"/>
        <v>43594</v>
      </c>
      <c r="F827" s="83">
        <f t="shared" si="333"/>
        <v>0.474125</v>
      </c>
      <c r="G827" s="83">
        <f t="shared" si="333"/>
        <v>0.46875</v>
      </c>
      <c r="H827" s="81"/>
      <c r="I827" s="146">
        <v>43594</v>
      </c>
      <c r="J827" s="147">
        <v>4.5</v>
      </c>
      <c r="K827" s="147">
        <v>3.59</v>
      </c>
      <c r="L827" s="147">
        <v>3.793</v>
      </c>
      <c r="M827" s="94" cm="1">
        <f t="array" ref="M827">INDEX($BV$29:$BV$1449,MATCH($D827,$BR$29:$BR$1449,0),)</f>
        <v>3.75</v>
      </c>
      <c r="N827" s="150">
        <f t="shared" si="329"/>
        <v>-0.00236717517096263</v>
      </c>
      <c r="O827" s="150">
        <f t="shared" si="331"/>
        <v>-0.0279343926191696</v>
      </c>
      <c r="P827" s="150">
        <f t="shared" si="326"/>
        <v>-0.0721624266144814</v>
      </c>
      <c r="Q827" s="89">
        <f t="shared" si="327"/>
        <v>0.0114666666666667</v>
      </c>
      <c r="AH827" s="90"/>
      <c r="AI827" s="85"/>
      <c r="AJ827" s="36"/>
      <c r="AK827" s="36"/>
      <c r="AL827" s="36"/>
      <c r="AM827" s="36"/>
      <c r="AN827" s="36"/>
      <c r="AO827" s="36"/>
      <c r="AP827" s="36"/>
      <c r="FV827" s="104">
        <f t="shared" si="334"/>
        <v>2013</v>
      </c>
      <c r="FW827" s="104">
        <f t="shared" si="335"/>
        <v>37</v>
      </c>
      <c r="FX827" s="35">
        <v>41527</v>
      </c>
      <c r="FY827" s="26">
        <v>1.983</v>
      </c>
      <c r="FZ827" s="94">
        <f t="shared" si="336"/>
        <v>7.932</v>
      </c>
      <c r="GA827" s="104"/>
      <c r="GB827" s="104"/>
      <c r="GE827" s="94"/>
      <c r="GF827" s="104">
        <f t="shared" si="337"/>
        <v>2016</v>
      </c>
      <c r="GG827" s="104">
        <f t="shared" si="338"/>
        <v>12</v>
      </c>
      <c r="GH827" s="35">
        <v>42444</v>
      </c>
      <c r="GI827" s="26">
        <v>1.682</v>
      </c>
      <c r="GJ827" s="94">
        <f t="shared" si="339"/>
        <v>3.364</v>
      </c>
      <c r="GK827" s="104"/>
      <c r="GL827" s="104"/>
      <c r="GO827" s="94"/>
    </row>
    <row r="828" spans="3:197">
      <c r="C828" s="80" t="str" cm="1">
        <f t="array" ref="C828">_xlfn.IFS(MONTH(D828)&lt;4,1,MONTH(D828)&lt;7,2,MONTH(D828)&lt;10,3,MONTH(D828)&gt;9,4)&amp;"Q"&amp;RIGHT(YEAR(D828),2)</f>
        <v>2Q19</v>
      </c>
      <c r="D828" s="81">
        <f t="shared" si="332"/>
        <v>43616</v>
      </c>
      <c r="E828" s="82">
        <f t="shared" si="330"/>
        <v>43595</v>
      </c>
      <c r="F828" s="83">
        <f t="shared" si="333"/>
        <v>0.472625</v>
      </c>
      <c r="G828" s="83">
        <f t="shared" si="333"/>
        <v>0.46875</v>
      </c>
      <c r="H828" s="81"/>
      <c r="I828" s="146">
        <v>43595</v>
      </c>
      <c r="J828" s="147">
        <v>4.5</v>
      </c>
      <c r="K828" s="147">
        <v>3.59</v>
      </c>
      <c r="L828" s="147">
        <v>3.781</v>
      </c>
      <c r="M828" s="94" cm="1">
        <f t="array" ref="M828">INDEX($BV$29:$BV$1449,MATCH($D828,$BR$29:$BR$1449,0),)</f>
        <v>3.75</v>
      </c>
      <c r="N828" s="150">
        <f t="shared" si="329"/>
        <v>-0.00316372264698128</v>
      </c>
      <c r="O828" s="150">
        <f t="shared" si="331"/>
        <v>-0.0235020661157024</v>
      </c>
      <c r="P828" s="150">
        <f t="shared" si="326"/>
        <v>-0.0622519841269841</v>
      </c>
      <c r="Q828" s="89">
        <f t="shared" si="327"/>
        <v>0.00826666666666664</v>
      </c>
      <c r="AH828" s="90"/>
      <c r="AI828" s="85"/>
      <c r="AJ828" s="36"/>
      <c r="AK828" s="36"/>
      <c r="AL828" s="36"/>
      <c r="AM828" s="36"/>
      <c r="AN828" s="36"/>
      <c r="AO828" s="36"/>
      <c r="AP828" s="36"/>
      <c r="FV828" s="104">
        <f t="shared" si="334"/>
        <v>2013</v>
      </c>
      <c r="FW828" s="104">
        <f t="shared" si="335"/>
        <v>37</v>
      </c>
      <c r="FX828" s="35">
        <v>41528</v>
      </c>
      <c r="FY828" s="26">
        <v>2.013</v>
      </c>
      <c r="FZ828" s="94">
        <f t="shared" si="336"/>
        <v>8.052</v>
      </c>
      <c r="GA828" s="104"/>
      <c r="GB828" s="104"/>
      <c r="GE828" s="94"/>
      <c r="GF828" s="104">
        <f t="shared" si="337"/>
        <v>2016</v>
      </c>
      <c r="GG828" s="104">
        <f t="shared" si="338"/>
        <v>12</v>
      </c>
      <c r="GH828" s="35">
        <v>42445</v>
      </c>
      <c r="GI828" s="26">
        <v>1.681</v>
      </c>
      <c r="GJ828" s="94">
        <f t="shared" si="339"/>
        <v>3.362</v>
      </c>
      <c r="GK828" s="104"/>
      <c r="GL828" s="104"/>
      <c r="GO828" s="94"/>
    </row>
    <row r="829" spans="3:197">
      <c r="C829" s="80" t="str" cm="1">
        <f t="array" ref="C829">_xlfn.IFS(MONTH(D829)&lt;4,1,MONTH(D829)&lt;7,2,MONTH(D829)&lt;10,3,MONTH(D829)&gt;9,4)&amp;"Q"&amp;RIGHT(YEAR(D829),2)</f>
        <v>2Q19</v>
      </c>
      <c r="D829" s="81">
        <f t="shared" si="332"/>
        <v>43616</v>
      </c>
      <c r="E829" s="82">
        <f t="shared" si="330"/>
        <v>43598</v>
      </c>
      <c r="F829" s="83">
        <f t="shared" si="333"/>
        <v>0.47225</v>
      </c>
      <c r="G829" s="83">
        <f t="shared" si="333"/>
        <v>0.46875</v>
      </c>
      <c r="H829" s="81"/>
      <c r="I829" s="146">
        <v>43598</v>
      </c>
      <c r="J829" s="147">
        <v>4.5</v>
      </c>
      <c r="K829" s="147">
        <v>3.59</v>
      </c>
      <c r="L829" s="147">
        <v>3.778</v>
      </c>
      <c r="M829" s="94" cm="1">
        <f t="array" ref="M829">INDEX($BV$29:$BV$1449,MATCH($D829,$BR$29:$BR$1449,0),)</f>
        <v>3.75</v>
      </c>
      <c r="N829" s="150">
        <f t="shared" si="329"/>
        <v>-0.000793440888653851</v>
      </c>
      <c r="O829" s="150">
        <f t="shared" si="331"/>
        <v>-0.0192107995846313</v>
      </c>
      <c r="P829" s="150">
        <f t="shared" si="326"/>
        <v>-0.0517068273092369</v>
      </c>
      <c r="Q829" s="89">
        <f t="shared" si="327"/>
        <v>0.00746666666666673</v>
      </c>
      <c r="AH829" s="90"/>
      <c r="AI829" s="85"/>
      <c r="AJ829" s="36"/>
      <c r="AK829" s="36"/>
      <c r="AL829" s="36"/>
      <c r="AM829" s="36"/>
      <c r="AN829" s="36"/>
      <c r="AO829" s="36"/>
      <c r="AP829" s="36"/>
      <c r="FV829" s="104">
        <f t="shared" si="334"/>
        <v>2013</v>
      </c>
      <c r="FW829" s="104">
        <f t="shared" si="335"/>
        <v>37</v>
      </c>
      <c r="FX829" s="35">
        <v>41529</v>
      </c>
      <c r="FY829" s="26">
        <v>2.054</v>
      </c>
      <c r="FZ829" s="94">
        <f t="shared" si="336"/>
        <v>8.216</v>
      </c>
      <c r="GA829" s="104"/>
      <c r="GB829" s="104"/>
      <c r="GE829" s="94"/>
      <c r="GF829" s="104">
        <f t="shared" si="337"/>
        <v>2016</v>
      </c>
      <c r="GG829" s="104">
        <f t="shared" si="338"/>
        <v>12</v>
      </c>
      <c r="GH829" s="35">
        <v>42446</v>
      </c>
      <c r="GI829" s="26">
        <v>1.675</v>
      </c>
      <c r="GJ829" s="94">
        <f t="shared" si="339"/>
        <v>3.35</v>
      </c>
      <c r="GK829" s="104"/>
      <c r="GL829" s="104"/>
      <c r="GO829" s="94"/>
    </row>
    <row r="830" spans="3:197">
      <c r="C830" s="80" t="str" cm="1">
        <f t="array" ref="C830">_xlfn.IFS(MONTH(D830)&lt;4,1,MONTH(D830)&lt;7,2,MONTH(D830)&lt;10,3,MONTH(D830)&gt;9,4)&amp;"Q"&amp;RIGHT(YEAR(D830),2)</f>
        <v>2Q19</v>
      </c>
      <c r="D830" s="81">
        <f t="shared" si="332"/>
        <v>43616</v>
      </c>
      <c r="E830" s="82">
        <f t="shared" si="330"/>
        <v>43599</v>
      </c>
      <c r="F830" s="83">
        <f t="shared" si="333"/>
        <v>0.471875</v>
      </c>
      <c r="G830" s="83">
        <f t="shared" si="333"/>
        <v>0.46875</v>
      </c>
      <c r="H830" s="81"/>
      <c r="I830" s="146">
        <v>43599</v>
      </c>
      <c r="J830" s="147">
        <v>4.4</v>
      </c>
      <c r="K830" s="147">
        <v>3.58</v>
      </c>
      <c r="L830" s="147">
        <v>3.775</v>
      </c>
      <c r="M830" s="94" cm="1">
        <f t="array" ref="M830">INDEX($BV$29:$BV$1449,MATCH($D830,$BR$29:$BR$1449,0),)</f>
        <v>3.75</v>
      </c>
      <c r="N830" s="150">
        <f t="shared" si="329"/>
        <v>-0.000794070937003788</v>
      </c>
      <c r="O830" s="150">
        <f t="shared" si="331"/>
        <v>-0.0133298484056457</v>
      </c>
      <c r="P830" s="150">
        <f t="shared" si="326"/>
        <v>-0.0452706120384422</v>
      </c>
      <c r="Q830" s="89">
        <f t="shared" si="327"/>
        <v>0.0066666666666666</v>
      </c>
      <c r="AH830" s="90"/>
      <c r="AI830" s="85"/>
      <c r="AJ830" s="36"/>
      <c r="AK830" s="36"/>
      <c r="AL830" s="36"/>
      <c r="AM830" s="36"/>
      <c r="AN830" s="36"/>
      <c r="AO830" s="36"/>
      <c r="AP830" s="36"/>
      <c r="FV830" s="104">
        <f t="shared" si="334"/>
        <v>2013</v>
      </c>
      <c r="FW830" s="104">
        <f t="shared" si="335"/>
        <v>37</v>
      </c>
      <c r="FX830" s="35">
        <v>41530</v>
      </c>
      <c r="FY830" s="26">
        <v>2.148</v>
      </c>
      <c r="FZ830" s="94">
        <f t="shared" si="336"/>
        <v>8.592</v>
      </c>
      <c r="GA830" s="104"/>
      <c r="GB830" s="104"/>
      <c r="GE830" s="94"/>
      <c r="GF830" s="104">
        <f t="shared" si="337"/>
        <v>2016</v>
      </c>
      <c r="GG830" s="104">
        <f t="shared" si="338"/>
        <v>12</v>
      </c>
      <c r="GH830" s="35">
        <v>42447</v>
      </c>
      <c r="GI830" s="26">
        <v>1.674</v>
      </c>
      <c r="GJ830" s="94">
        <f t="shared" si="339"/>
        <v>3.348</v>
      </c>
      <c r="GK830" s="104"/>
      <c r="GL830" s="104"/>
      <c r="GO830" s="94"/>
    </row>
    <row r="831" spans="3:197">
      <c r="C831" s="80" t="str" cm="1">
        <f t="array" ref="C831">_xlfn.IFS(MONTH(D831)&lt;4,1,MONTH(D831)&lt;7,2,MONTH(D831)&lt;10,3,MONTH(D831)&gt;9,4)&amp;"Q"&amp;RIGHT(YEAR(D831),2)</f>
        <v>2Q19</v>
      </c>
      <c r="D831" s="81">
        <f t="shared" si="332"/>
        <v>43616</v>
      </c>
      <c r="E831" s="82">
        <f t="shared" si="330"/>
        <v>43600</v>
      </c>
      <c r="F831" s="83">
        <f t="shared" si="333"/>
        <v>0.47075</v>
      </c>
      <c r="G831" s="83">
        <f t="shared" si="333"/>
        <v>0.46875</v>
      </c>
      <c r="H831" s="81"/>
      <c r="I831" s="146">
        <v>43600</v>
      </c>
      <c r="J831" s="147">
        <v>4.3</v>
      </c>
      <c r="K831" s="147">
        <v>3.58</v>
      </c>
      <c r="L831" s="147">
        <v>3.766</v>
      </c>
      <c r="M831" s="94" cm="1">
        <f t="array" ref="M831">INDEX($BV$29:$BV$1449,MATCH($D831,$BR$29:$BR$1449,0),)</f>
        <v>3.75</v>
      </c>
      <c r="N831" s="150">
        <f t="shared" si="329"/>
        <v>-0.00238410596026484</v>
      </c>
      <c r="O831" s="150">
        <f t="shared" si="331"/>
        <v>-0.00946870068385064</v>
      </c>
      <c r="P831" s="150">
        <f t="shared" si="326"/>
        <v>-0.0460992907801419</v>
      </c>
      <c r="Q831" s="89">
        <f t="shared" si="327"/>
        <v>0.00426666666666664</v>
      </c>
      <c r="AH831" s="90"/>
      <c r="AI831" s="85"/>
      <c r="AJ831" s="36"/>
      <c r="AK831" s="36"/>
      <c r="AL831" s="36"/>
      <c r="AM831" s="36"/>
      <c r="AN831" s="36"/>
      <c r="AO831" s="36"/>
      <c r="AP831" s="36"/>
      <c r="FV831" s="104">
        <f t="shared" si="334"/>
        <v>2013</v>
      </c>
      <c r="FW831" s="104">
        <f t="shared" si="335"/>
        <v>38</v>
      </c>
      <c r="FX831" s="35">
        <v>41533</v>
      </c>
      <c r="FY831" s="26">
        <v>2.285</v>
      </c>
      <c r="FZ831" s="94">
        <f t="shared" si="336"/>
        <v>9.14</v>
      </c>
      <c r="GA831" s="104"/>
      <c r="GB831" s="104"/>
      <c r="GE831" s="94"/>
      <c r="GF831" s="104">
        <f t="shared" si="337"/>
        <v>2016</v>
      </c>
      <c r="GG831" s="104">
        <f t="shared" si="338"/>
        <v>13</v>
      </c>
      <c r="GH831" s="35">
        <v>42450</v>
      </c>
      <c r="GI831" s="26">
        <v>1.667</v>
      </c>
      <c r="GJ831" s="94">
        <f t="shared" si="339"/>
        <v>3.334</v>
      </c>
      <c r="GK831" s="104"/>
      <c r="GL831" s="104"/>
      <c r="GO831" s="94"/>
    </row>
    <row r="832" spans="3:197">
      <c r="C832" s="80" t="str" cm="1">
        <f t="array" ref="C832">_xlfn.IFS(MONTH(D832)&lt;4,1,MONTH(D832)&lt;7,2,MONTH(D832)&lt;10,3,MONTH(D832)&gt;9,4)&amp;"Q"&amp;RIGHT(YEAR(D832),2)</f>
        <v>2Q19</v>
      </c>
      <c r="D832" s="81">
        <f t="shared" si="332"/>
        <v>43616</v>
      </c>
      <c r="E832" s="82">
        <f t="shared" si="330"/>
        <v>43601</v>
      </c>
      <c r="F832" s="83">
        <f t="shared" si="333"/>
        <v>0.4685</v>
      </c>
      <c r="G832" s="83">
        <f t="shared" si="333"/>
        <v>0.46875</v>
      </c>
      <c r="H832" s="81"/>
      <c r="I832" s="146">
        <v>43601</v>
      </c>
      <c r="J832" s="147">
        <v>4.25</v>
      </c>
      <c r="K832" s="147">
        <v>3.5</v>
      </c>
      <c r="L832" s="147">
        <v>3.748</v>
      </c>
      <c r="M832" s="94" cm="1">
        <f t="array" ref="M832">INDEX($BV$29:$BV$1449,MATCH($D832,$BR$29:$BR$1449,0),)</f>
        <v>3.75</v>
      </c>
      <c r="N832" s="150">
        <f t="shared" si="329"/>
        <v>-0.00477960701009028</v>
      </c>
      <c r="O832" s="150">
        <f t="shared" si="331"/>
        <v>-0.0118639599261798</v>
      </c>
      <c r="P832" s="150">
        <f t="shared" ref="P832:P895" si="340">L832/L822-1</f>
        <v>-0.0394669400307535</v>
      </c>
      <c r="Q832" s="89">
        <f t="shared" si="327"/>
        <v>-0.000533333333333275</v>
      </c>
      <c r="AH832" s="90"/>
      <c r="AI832" s="85"/>
      <c r="AJ832" s="36"/>
      <c r="AK832" s="36"/>
      <c r="AL832" s="36"/>
      <c r="AM832" s="36"/>
      <c r="AN832" s="36"/>
      <c r="AO832" s="36"/>
      <c r="AP832" s="36"/>
      <c r="FV832" s="104">
        <f t="shared" si="334"/>
        <v>2013</v>
      </c>
      <c r="FW832" s="104">
        <f t="shared" si="335"/>
        <v>38</v>
      </c>
      <c r="FX832" s="35">
        <v>41534</v>
      </c>
      <c r="FY832" s="26">
        <v>2.286</v>
      </c>
      <c r="FZ832" s="94">
        <f t="shared" si="336"/>
        <v>9.144</v>
      </c>
      <c r="GA832" s="104"/>
      <c r="GB832" s="104"/>
      <c r="GE832" s="94"/>
      <c r="GF832" s="104">
        <f t="shared" si="337"/>
        <v>2016</v>
      </c>
      <c r="GG832" s="104">
        <f t="shared" si="338"/>
        <v>13</v>
      </c>
      <c r="GH832" s="35">
        <v>42451</v>
      </c>
      <c r="GI832" s="26">
        <v>1.667</v>
      </c>
      <c r="GJ832" s="94">
        <f t="shared" si="339"/>
        <v>3.334</v>
      </c>
      <c r="GK832" s="104"/>
      <c r="GL832" s="104"/>
      <c r="GO832" s="94"/>
    </row>
    <row r="833" spans="3:197">
      <c r="C833" s="80" t="str" cm="1">
        <f t="array" ref="C833">_xlfn.IFS(MONTH(D833)&lt;4,1,MONTH(D833)&lt;7,2,MONTH(D833)&lt;10,3,MONTH(D833)&gt;9,4)&amp;"Q"&amp;RIGHT(YEAR(D833),2)</f>
        <v>2Q19</v>
      </c>
      <c r="D833" s="81">
        <f t="shared" si="332"/>
        <v>43616</v>
      </c>
      <c r="E833" s="82">
        <f t="shared" si="330"/>
        <v>43602</v>
      </c>
      <c r="F833" s="83">
        <f t="shared" si="333"/>
        <v>0.4675</v>
      </c>
      <c r="G833" s="83">
        <f t="shared" si="333"/>
        <v>0.46875</v>
      </c>
      <c r="H833" s="81"/>
      <c r="I833" s="146">
        <v>43602</v>
      </c>
      <c r="J833" s="147">
        <v>4.2</v>
      </c>
      <c r="K833" s="147">
        <v>3.5</v>
      </c>
      <c r="L833" s="147">
        <v>3.74</v>
      </c>
      <c r="M833" s="94" cm="1">
        <f t="array" ref="M833">INDEX($BV$29:$BV$1449,MATCH($D833,$BR$29:$BR$1449,0),)</f>
        <v>3.75</v>
      </c>
      <c r="N833" s="150">
        <f t="shared" si="329"/>
        <v>-0.00213447171824976</v>
      </c>
      <c r="O833" s="150">
        <f t="shared" si="331"/>
        <v>-0.0108436921449352</v>
      </c>
      <c r="P833" s="150">
        <f t="shared" si="340"/>
        <v>-0.0340909090909091</v>
      </c>
      <c r="Q833" s="89">
        <f t="shared" ref="Q833:Q896" si="341">L833/M833-1</f>
        <v>-0.0026666666666666</v>
      </c>
      <c r="AH833" s="90"/>
      <c r="AI833" s="85"/>
      <c r="AJ833" s="36"/>
      <c r="AK833" s="36"/>
      <c r="AL833" s="36"/>
      <c r="AM833" s="36"/>
      <c r="AN833" s="36"/>
      <c r="AO833" s="36"/>
      <c r="AP833" s="36"/>
      <c r="FV833" s="104">
        <f t="shared" si="334"/>
        <v>2013</v>
      </c>
      <c r="FW833" s="104">
        <f t="shared" si="335"/>
        <v>38</v>
      </c>
      <c r="FX833" s="35">
        <v>41535</v>
      </c>
      <c r="FY833" s="26">
        <v>2.277</v>
      </c>
      <c r="FZ833" s="94">
        <f t="shared" si="336"/>
        <v>9.108</v>
      </c>
      <c r="GA833" s="104"/>
      <c r="GB833" s="104"/>
      <c r="GE833" s="94"/>
      <c r="GF833" s="104">
        <f t="shared" si="337"/>
        <v>2016</v>
      </c>
      <c r="GG833" s="104">
        <f t="shared" si="338"/>
        <v>13</v>
      </c>
      <c r="GH833" s="35">
        <v>42452</v>
      </c>
      <c r="GI833" s="26">
        <v>1.66</v>
      </c>
      <c r="GJ833" s="94">
        <f t="shared" si="339"/>
        <v>3.32</v>
      </c>
      <c r="GK833" s="104"/>
      <c r="GL833" s="104"/>
      <c r="GO833" s="94"/>
    </row>
    <row r="834" spans="3:197">
      <c r="C834" s="80" t="str" cm="1">
        <f t="array" ref="C834">_xlfn.IFS(MONTH(D834)&lt;4,1,MONTH(D834)&lt;7,2,MONTH(D834)&lt;10,3,MONTH(D834)&gt;9,4)&amp;"Q"&amp;RIGHT(YEAR(D834),2)</f>
        <v>2Q19</v>
      </c>
      <c r="D834" s="81">
        <f t="shared" si="332"/>
        <v>43616</v>
      </c>
      <c r="E834" s="82">
        <f t="shared" si="330"/>
        <v>43605</v>
      </c>
      <c r="F834" s="83">
        <f t="shared" si="333"/>
        <v>0.46575</v>
      </c>
      <c r="G834" s="83">
        <f t="shared" si="333"/>
        <v>0.46875</v>
      </c>
      <c r="H834" s="81"/>
      <c r="I834" s="146">
        <v>43605</v>
      </c>
      <c r="J834" s="147">
        <v>4.2</v>
      </c>
      <c r="K834" s="147">
        <v>3.5</v>
      </c>
      <c r="L834" s="147">
        <v>3.726</v>
      </c>
      <c r="M834" s="94" cm="1">
        <f t="array" ref="M834">INDEX($BV$29:$BV$1449,MATCH($D834,$BR$29:$BR$1449,0),)</f>
        <v>3.75</v>
      </c>
      <c r="N834" s="150">
        <f t="shared" si="329"/>
        <v>-0.00374331550802143</v>
      </c>
      <c r="O834" s="150">
        <f t="shared" si="331"/>
        <v>-0.0137638962413976</v>
      </c>
      <c r="P834" s="150">
        <f t="shared" si="340"/>
        <v>-0.0327102803738317</v>
      </c>
      <c r="Q834" s="89">
        <f t="shared" si="341"/>
        <v>-0.00639999999999996</v>
      </c>
      <c r="AH834" s="90"/>
      <c r="AI834" s="85"/>
      <c r="AJ834" s="36"/>
      <c r="AK834" s="36"/>
      <c r="AL834" s="36"/>
      <c r="AM834" s="36"/>
      <c r="AN834" s="36"/>
      <c r="AO834" s="36"/>
      <c r="AP834" s="36"/>
      <c r="FV834" s="104">
        <f t="shared" si="334"/>
        <v>2013</v>
      </c>
      <c r="FW834" s="104">
        <f t="shared" si="335"/>
        <v>39</v>
      </c>
      <c r="FX834" s="35">
        <v>41540</v>
      </c>
      <c r="FY834" s="26">
        <v>2.252</v>
      </c>
      <c r="FZ834" s="94">
        <f t="shared" si="336"/>
        <v>9.008</v>
      </c>
      <c r="GA834" s="104"/>
      <c r="GB834" s="104"/>
      <c r="GE834" s="94"/>
      <c r="GF834" s="104">
        <f t="shared" si="337"/>
        <v>2016</v>
      </c>
      <c r="GG834" s="104">
        <f t="shared" si="338"/>
        <v>13</v>
      </c>
      <c r="GH834" s="35">
        <v>42453</v>
      </c>
      <c r="GI834" s="26">
        <v>1.657</v>
      </c>
      <c r="GJ834" s="94">
        <f t="shared" si="339"/>
        <v>3.314</v>
      </c>
      <c r="GK834" s="104"/>
      <c r="GL834" s="104"/>
      <c r="GO834" s="94"/>
    </row>
    <row r="835" spans="3:197">
      <c r="C835" s="80" t="str" cm="1">
        <f t="array" ref="C835">_xlfn.IFS(MONTH(D835)&lt;4,1,MONTH(D835)&lt;7,2,MONTH(D835)&lt;10,3,MONTH(D835)&gt;9,4)&amp;"Q"&amp;RIGHT(YEAR(D835),2)</f>
        <v>2Q19</v>
      </c>
      <c r="D835" s="81">
        <f t="shared" si="332"/>
        <v>43616</v>
      </c>
      <c r="E835" s="82">
        <f t="shared" si="330"/>
        <v>43606</v>
      </c>
      <c r="F835" s="83">
        <f t="shared" si="333"/>
        <v>0.465</v>
      </c>
      <c r="G835" s="83">
        <f t="shared" si="333"/>
        <v>0.46875</v>
      </c>
      <c r="H835" s="81"/>
      <c r="I835" s="146">
        <v>43606</v>
      </c>
      <c r="J835" s="147">
        <v>4.2</v>
      </c>
      <c r="K835" s="147">
        <v>3.5</v>
      </c>
      <c r="L835" s="147">
        <v>3.72</v>
      </c>
      <c r="M835" s="94" cm="1">
        <f t="array" ref="M835">INDEX($BV$29:$BV$1449,MATCH($D835,$BR$29:$BR$1449,0),)</f>
        <v>3.75</v>
      </c>
      <c r="N835" s="150">
        <f t="shared" si="329"/>
        <v>-0.00161030595813194</v>
      </c>
      <c r="O835" s="150">
        <f t="shared" si="331"/>
        <v>-0.014569536423841</v>
      </c>
      <c r="P835" s="150">
        <f t="shared" si="340"/>
        <v>-0.0277051751176163</v>
      </c>
      <c r="Q835" s="89">
        <f t="shared" si="341"/>
        <v>-0.0079999999999999</v>
      </c>
      <c r="AH835" s="90"/>
      <c r="AI835" s="85"/>
      <c r="AJ835" s="36"/>
      <c r="AK835" s="36"/>
      <c r="AL835" s="36"/>
      <c r="AM835" s="36"/>
      <c r="AN835" s="36"/>
      <c r="AO835" s="36"/>
      <c r="AP835" s="36"/>
      <c r="FV835" s="104">
        <f t="shared" si="334"/>
        <v>2013</v>
      </c>
      <c r="FW835" s="104">
        <f t="shared" si="335"/>
        <v>39</v>
      </c>
      <c r="FX835" s="35">
        <v>41541</v>
      </c>
      <c r="FY835" s="26">
        <v>2.197</v>
      </c>
      <c r="FZ835" s="94">
        <f t="shared" si="336"/>
        <v>8.788</v>
      </c>
      <c r="GA835" s="104"/>
      <c r="GB835" s="104"/>
      <c r="GE835" s="94"/>
      <c r="GF835" s="104">
        <f t="shared" si="337"/>
        <v>2016</v>
      </c>
      <c r="GG835" s="104">
        <f t="shared" si="338"/>
        <v>13</v>
      </c>
      <c r="GH835" s="35">
        <v>42454</v>
      </c>
      <c r="GI835" s="26">
        <v>1.653</v>
      </c>
      <c r="GJ835" s="94">
        <f t="shared" si="339"/>
        <v>3.306</v>
      </c>
      <c r="GK835" s="104"/>
      <c r="GL835" s="104"/>
      <c r="GO835" s="94"/>
    </row>
    <row r="836" spans="3:197">
      <c r="C836" s="80" t="str" cm="1">
        <f t="array" ref="C836">_xlfn.IFS(MONTH(D836)&lt;4,1,MONTH(D836)&lt;7,2,MONTH(D836)&lt;10,3,MONTH(D836)&gt;9,4)&amp;"Q"&amp;RIGHT(YEAR(D836),2)</f>
        <v>2Q19</v>
      </c>
      <c r="D836" s="81">
        <f t="shared" si="332"/>
        <v>43616</v>
      </c>
      <c r="E836" s="82">
        <f t="shared" si="330"/>
        <v>43607</v>
      </c>
      <c r="F836" s="83">
        <f t="shared" si="333"/>
        <v>0.461</v>
      </c>
      <c r="G836" s="83">
        <f t="shared" si="333"/>
        <v>0.46875</v>
      </c>
      <c r="H836" s="81"/>
      <c r="I836" s="146">
        <v>43607</v>
      </c>
      <c r="J836" s="147">
        <v>4.15</v>
      </c>
      <c r="K836" s="147">
        <v>3.5</v>
      </c>
      <c r="L836" s="147">
        <v>3.688</v>
      </c>
      <c r="M836" s="94" cm="1">
        <f t="array" ref="M836">INDEX($BV$29:$BV$1449,MATCH($D836,$BR$29:$BR$1449,0),)</f>
        <v>3.75</v>
      </c>
      <c r="N836" s="150">
        <f t="shared" si="329"/>
        <v>-0.00860215053763447</v>
      </c>
      <c r="O836" s="150">
        <f t="shared" si="331"/>
        <v>-0.0207116303770578</v>
      </c>
      <c r="P836" s="150">
        <f t="shared" si="340"/>
        <v>-0.0299842188321936</v>
      </c>
      <c r="Q836" s="89">
        <f t="shared" si="341"/>
        <v>-0.0165333333333333</v>
      </c>
      <c r="AH836" s="90"/>
      <c r="AI836" s="85"/>
      <c r="AJ836" s="36"/>
      <c r="AK836" s="36"/>
      <c r="AL836" s="36"/>
      <c r="AM836" s="36"/>
      <c r="AN836" s="36"/>
      <c r="AO836" s="36"/>
      <c r="AP836" s="36"/>
      <c r="FV836" s="104">
        <f t="shared" si="334"/>
        <v>2013</v>
      </c>
      <c r="FW836" s="104">
        <f t="shared" si="335"/>
        <v>39</v>
      </c>
      <c r="FX836" s="35">
        <v>41542</v>
      </c>
      <c r="FY836" s="26">
        <v>2.132</v>
      </c>
      <c r="FZ836" s="94">
        <f t="shared" si="336"/>
        <v>8.528</v>
      </c>
      <c r="GA836" s="104"/>
      <c r="GB836" s="104"/>
      <c r="GE836" s="94"/>
      <c r="GF836" s="104">
        <f t="shared" si="337"/>
        <v>2016</v>
      </c>
      <c r="GG836" s="104">
        <f t="shared" si="338"/>
        <v>14</v>
      </c>
      <c r="GH836" s="35">
        <v>42457</v>
      </c>
      <c r="GI836" s="26">
        <v>1.653</v>
      </c>
      <c r="GJ836" s="94">
        <f t="shared" si="339"/>
        <v>3.306</v>
      </c>
      <c r="GK836" s="104"/>
      <c r="GL836" s="104"/>
      <c r="GO836" s="94"/>
    </row>
    <row r="837" spans="3:197">
      <c r="C837" s="80" t="str" cm="1">
        <f t="array" ref="C837">_xlfn.IFS(MONTH(D837)&lt;4,1,MONTH(D837)&lt;7,2,MONTH(D837)&lt;10,3,MONTH(D837)&gt;9,4)&amp;"Q"&amp;RIGHT(YEAR(D837),2)</f>
        <v>2Q19</v>
      </c>
      <c r="D837" s="81">
        <f t="shared" si="332"/>
        <v>43616</v>
      </c>
      <c r="E837" s="82">
        <f t="shared" si="330"/>
        <v>43608</v>
      </c>
      <c r="F837" s="83">
        <f t="shared" si="333"/>
        <v>0.459</v>
      </c>
      <c r="G837" s="83">
        <f t="shared" si="333"/>
        <v>0.46875</v>
      </c>
      <c r="H837" s="81"/>
      <c r="I837" s="146">
        <v>43608</v>
      </c>
      <c r="J837" s="147">
        <v>4.15</v>
      </c>
      <c r="K837" s="147">
        <v>3.5</v>
      </c>
      <c r="L837" s="147">
        <v>3.672</v>
      </c>
      <c r="M837" s="94" cm="1">
        <f t="array" ref="M837">INDEX($BV$29:$BV$1449,MATCH($D837,$BR$29:$BR$1449,0),)</f>
        <v>3.75</v>
      </c>
      <c r="N837" s="150">
        <f t="shared" si="329"/>
        <v>-0.00433839479392628</v>
      </c>
      <c r="O837" s="150">
        <f t="shared" si="331"/>
        <v>-0.0202774813233725</v>
      </c>
      <c r="P837" s="150">
        <f t="shared" si="340"/>
        <v>-0.0319008700237279</v>
      </c>
      <c r="Q837" s="89">
        <f t="shared" si="341"/>
        <v>-0.0207999999999999</v>
      </c>
      <c r="AH837" s="90"/>
      <c r="AI837" s="85"/>
      <c r="AJ837" s="36"/>
      <c r="AK837" s="36"/>
      <c r="AL837" s="36"/>
      <c r="AM837" s="36"/>
      <c r="AN837" s="36"/>
      <c r="AO837" s="36"/>
      <c r="AP837" s="36"/>
      <c r="FV837" s="104">
        <f t="shared" si="334"/>
        <v>2013</v>
      </c>
      <c r="FW837" s="104">
        <f t="shared" si="335"/>
        <v>39</v>
      </c>
      <c r="FX837" s="35">
        <v>41543</v>
      </c>
      <c r="FY837" s="26">
        <v>2.176</v>
      </c>
      <c r="FZ837" s="94">
        <f t="shared" si="336"/>
        <v>8.704</v>
      </c>
      <c r="GA837" s="104"/>
      <c r="GB837" s="104"/>
      <c r="GE837" s="94"/>
      <c r="GF837" s="104">
        <f t="shared" si="337"/>
        <v>2016</v>
      </c>
      <c r="GG837" s="104">
        <f t="shared" si="338"/>
        <v>14</v>
      </c>
      <c r="GH837" s="35">
        <v>42458</v>
      </c>
      <c r="GI837" s="26">
        <v>1.652</v>
      </c>
      <c r="GJ837" s="94">
        <f t="shared" si="339"/>
        <v>3.304</v>
      </c>
      <c r="GK837" s="104"/>
      <c r="GL837" s="104"/>
      <c r="GO837" s="94"/>
    </row>
    <row r="838" spans="3:197">
      <c r="C838" s="80" t="str" cm="1">
        <f t="array" ref="C838">_xlfn.IFS(MONTH(D838)&lt;4,1,MONTH(D838)&lt;7,2,MONTH(D838)&lt;10,3,MONTH(D838)&gt;9,4)&amp;"Q"&amp;RIGHT(YEAR(D838),2)</f>
        <v>2Q19</v>
      </c>
      <c r="D838" s="81">
        <f t="shared" si="332"/>
        <v>43616</v>
      </c>
      <c r="E838" s="82">
        <f t="shared" si="330"/>
        <v>43609</v>
      </c>
      <c r="F838" s="83">
        <f t="shared" si="333"/>
        <v>0.45825</v>
      </c>
      <c r="G838" s="83">
        <f t="shared" si="333"/>
        <v>0.46875</v>
      </c>
      <c r="H838" s="81"/>
      <c r="I838" s="146">
        <v>43609</v>
      </c>
      <c r="J838" s="147">
        <v>4.15</v>
      </c>
      <c r="K838" s="147">
        <v>3.5</v>
      </c>
      <c r="L838" s="147">
        <v>3.666</v>
      </c>
      <c r="M838" s="94" cm="1">
        <f t="array" ref="M838">INDEX($BV$29:$BV$1449,MATCH($D838,$BR$29:$BR$1449,0),)</f>
        <v>3.75</v>
      </c>
      <c r="N838" s="150">
        <f t="shared" si="329"/>
        <v>-0.00163398692810468</v>
      </c>
      <c r="O838" s="150">
        <f t="shared" si="331"/>
        <v>-0.0197860962566846</v>
      </c>
      <c r="P838" s="150">
        <f t="shared" si="340"/>
        <v>-0.0304152340650622</v>
      </c>
      <c r="Q838" s="89">
        <f t="shared" si="341"/>
        <v>-0.0224</v>
      </c>
      <c r="AH838" s="90"/>
      <c r="AI838" s="85"/>
      <c r="AJ838" s="36"/>
      <c r="AK838" s="36"/>
      <c r="AL838" s="36"/>
      <c r="AM838" s="36"/>
      <c r="AN838" s="36"/>
      <c r="AO838" s="36"/>
      <c r="AP838" s="36"/>
      <c r="FV838" s="104">
        <f t="shared" si="334"/>
        <v>2013</v>
      </c>
      <c r="FW838" s="104">
        <f t="shared" si="335"/>
        <v>39</v>
      </c>
      <c r="FX838" s="35">
        <v>41544</v>
      </c>
      <c r="FY838" s="26">
        <v>2.269</v>
      </c>
      <c r="FZ838" s="94">
        <f t="shared" si="336"/>
        <v>9.076</v>
      </c>
      <c r="GA838" s="104"/>
      <c r="GB838" s="104"/>
      <c r="GE838" s="94"/>
      <c r="GF838" s="104">
        <f t="shared" si="337"/>
        <v>2016</v>
      </c>
      <c r="GG838" s="104">
        <f t="shared" si="338"/>
        <v>14</v>
      </c>
      <c r="GH838" s="35">
        <v>42459</v>
      </c>
      <c r="GI838" s="26">
        <v>1.646</v>
      </c>
      <c r="GJ838" s="94">
        <f t="shared" si="339"/>
        <v>3.292</v>
      </c>
      <c r="GK838" s="104"/>
      <c r="GL838" s="104"/>
      <c r="GO838" s="94"/>
    </row>
    <row r="839" spans="3:197">
      <c r="C839" s="80" t="str" cm="1">
        <f t="array" ref="C839">_xlfn.IFS(MONTH(D839)&lt;4,1,MONTH(D839)&lt;7,2,MONTH(D839)&lt;10,3,MONTH(D839)&gt;9,4)&amp;"Q"&amp;RIGHT(YEAR(D839),2)</f>
        <v>2Q19</v>
      </c>
      <c r="D839" s="81">
        <f t="shared" si="332"/>
        <v>43616</v>
      </c>
      <c r="E839" s="82">
        <f t="shared" si="330"/>
        <v>43612</v>
      </c>
      <c r="F839" s="83">
        <f t="shared" si="333"/>
        <v>0.45725</v>
      </c>
      <c r="G839" s="83">
        <f t="shared" si="333"/>
        <v>0.46875</v>
      </c>
      <c r="H839" s="81"/>
      <c r="I839" s="146">
        <v>43612</v>
      </c>
      <c r="J839" s="147">
        <v>4.15</v>
      </c>
      <c r="K839" s="147">
        <v>3.5</v>
      </c>
      <c r="L839" s="147">
        <v>3.658</v>
      </c>
      <c r="M839" s="94" cm="1">
        <f t="array" ref="M839">INDEX($BV$29:$BV$1449,MATCH($D839,$BR$29:$BR$1449,0),)</f>
        <v>3.75</v>
      </c>
      <c r="N839" s="150">
        <f t="shared" si="329"/>
        <v>-0.00218221494817239</v>
      </c>
      <c r="O839" s="150">
        <f t="shared" si="331"/>
        <v>-0.0182501341921631</v>
      </c>
      <c r="P839" s="150">
        <f t="shared" si="340"/>
        <v>-0.0317628374801483</v>
      </c>
      <c r="Q839" s="89">
        <f t="shared" si="341"/>
        <v>-0.0245333333333334</v>
      </c>
      <c r="AH839" s="90"/>
      <c r="AI839" s="85"/>
      <c r="AJ839" s="36"/>
      <c r="AK839" s="36"/>
      <c r="AL839" s="36"/>
      <c r="AM839" s="36"/>
      <c r="AN839" s="36"/>
      <c r="AO839" s="36"/>
      <c r="AP839" s="36"/>
      <c r="FV839" s="104">
        <f t="shared" si="334"/>
        <v>2013</v>
      </c>
      <c r="FW839" s="104">
        <f t="shared" si="335"/>
        <v>40</v>
      </c>
      <c r="FX839" s="35">
        <v>41547</v>
      </c>
      <c r="FY839" s="26">
        <v>2.287</v>
      </c>
      <c r="FZ839" s="94">
        <f t="shared" si="336"/>
        <v>9.148</v>
      </c>
      <c r="GA839" s="104"/>
      <c r="GB839" s="104"/>
      <c r="GE839" s="94"/>
      <c r="GF839" s="104">
        <f t="shared" si="337"/>
        <v>2016</v>
      </c>
      <c r="GG839" s="104">
        <f t="shared" si="338"/>
        <v>14</v>
      </c>
      <c r="GH839" s="35">
        <v>42460</v>
      </c>
      <c r="GI839" s="26">
        <v>1.639</v>
      </c>
      <c r="GJ839" s="94">
        <f t="shared" si="339"/>
        <v>3.278</v>
      </c>
      <c r="GK839" s="104"/>
      <c r="GL839" s="104"/>
      <c r="GO839" s="94"/>
    </row>
    <row r="840" spans="3:197">
      <c r="C840" s="80" t="str" cm="1">
        <f t="array" ref="C840">_xlfn.IFS(MONTH(D840)&lt;4,1,MONTH(D840)&lt;7,2,MONTH(D840)&lt;10,3,MONTH(D840)&gt;9,4)&amp;"Q"&amp;RIGHT(YEAR(D840),2)</f>
        <v>2Q19</v>
      </c>
      <c r="D840" s="81">
        <f t="shared" si="332"/>
        <v>43616</v>
      </c>
      <c r="E840" s="82">
        <f t="shared" si="330"/>
        <v>43613</v>
      </c>
      <c r="F840" s="83">
        <f t="shared" si="333"/>
        <v>0.4535</v>
      </c>
      <c r="G840" s="83">
        <f t="shared" si="333"/>
        <v>0.46875</v>
      </c>
      <c r="H840" s="81"/>
      <c r="I840" s="146">
        <v>43613</v>
      </c>
      <c r="J840" s="147">
        <v>4.1</v>
      </c>
      <c r="K840" s="147">
        <v>3.47</v>
      </c>
      <c r="L840" s="147">
        <v>3.628</v>
      </c>
      <c r="M840" s="94" cm="1">
        <f t="array" ref="M840">INDEX($BV$29:$BV$1449,MATCH($D840,$BR$29:$BR$1449,0),)</f>
        <v>3.75</v>
      </c>
      <c r="N840" s="150">
        <f t="shared" si="329"/>
        <v>-0.00820120284308357</v>
      </c>
      <c r="O840" s="150">
        <f t="shared" si="331"/>
        <v>-0.024731182795699</v>
      </c>
      <c r="P840" s="150">
        <f t="shared" si="340"/>
        <v>-0.0389403973509933</v>
      </c>
      <c r="Q840" s="89">
        <f t="shared" si="341"/>
        <v>-0.0325333333333333</v>
      </c>
      <c r="AH840" s="90"/>
      <c r="AI840" s="85"/>
      <c r="AJ840" s="36"/>
      <c r="AK840" s="36"/>
      <c r="AL840" s="36"/>
      <c r="AM840" s="36"/>
      <c r="AN840" s="36"/>
      <c r="AO840" s="36"/>
      <c r="AP840" s="36"/>
      <c r="FV840" s="104">
        <f t="shared" si="334"/>
        <v>2013</v>
      </c>
      <c r="FW840" s="104">
        <f t="shared" si="335"/>
        <v>40</v>
      </c>
      <c r="FX840" s="35">
        <v>41548</v>
      </c>
      <c r="FY840" s="26">
        <v>2.29</v>
      </c>
      <c r="FZ840" s="94">
        <f t="shared" si="336"/>
        <v>9.16</v>
      </c>
      <c r="GA840" s="104"/>
      <c r="GB840" s="104"/>
      <c r="GE840" s="94"/>
      <c r="GF840" s="104">
        <f t="shared" si="337"/>
        <v>2016</v>
      </c>
      <c r="GG840" s="104">
        <f t="shared" si="338"/>
        <v>14</v>
      </c>
      <c r="GH840" s="35">
        <v>42461</v>
      </c>
      <c r="GI840" s="26">
        <v>1.639</v>
      </c>
      <c r="GJ840" s="94">
        <f t="shared" si="339"/>
        <v>3.278</v>
      </c>
      <c r="GK840" s="104"/>
      <c r="GL840" s="104"/>
      <c r="GO840" s="94"/>
    </row>
    <row r="841" spans="3:197">
      <c r="C841" s="80" t="str" cm="1">
        <f t="array" ref="C841">_xlfn.IFS(MONTH(D841)&lt;4,1,MONTH(D841)&lt;7,2,MONTH(D841)&lt;10,3,MONTH(D841)&gt;9,4)&amp;"Q"&amp;RIGHT(YEAR(D841),2)</f>
        <v>2Q19</v>
      </c>
      <c r="D841" s="81">
        <f t="shared" si="332"/>
        <v>43616</v>
      </c>
      <c r="E841" s="82">
        <f t="shared" si="330"/>
        <v>43614</v>
      </c>
      <c r="F841" s="83">
        <f t="shared" si="333"/>
        <v>0.452</v>
      </c>
      <c r="G841" s="83">
        <f t="shared" si="333"/>
        <v>0.46875</v>
      </c>
      <c r="H841" s="81"/>
      <c r="I841" s="146">
        <v>43614</v>
      </c>
      <c r="J841" s="147">
        <v>4.1</v>
      </c>
      <c r="K841" s="147">
        <v>3.47</v>
      </c>
      <c r="L841" s="147">
        <v>3.616</v>
      </c>
      <c r="M841" s="94" cm="1">
        <f t="array" ref="M841">INDEX($BV$29:$BV$1449,MATCH($D841,$BR$29:$BR$1449,0),)</f>
        <v>3.75</v>
      </c>
      <c r="N841" s="150">
        <f t="shared" si="329"/>
        <v>-0.00330760749724368</v>
      </c>
      <c r="O841" s="150">
        <f t="shared" si="331"/>
        <v>-0.0195227765726681</v>
      </c>
      <c r="P841" s="150">
        <f t="shared" si="340"/>
        <v>-0.0398300584174189</v>
      </c>
      <c r="Q841" s="89">
        <f t="shared" si="341"/>
        <v>-0.0357333333333333</v>
      </c>
      <c r="AH841" s="90"/>
      <c r="AI841" s="85"/>
      <c r="AJ841" s="36"/>
      <c r="AK841" s="36"/>
      <c r="AL841" s="36"/>
      <c r="AM841" s="36"/>
      <c r="AN841" s="36"/>
      <c r="AO841" s="36"/>
      <c r="AP841" s="36"/>
      <c r="FV841" s="104">
        <f t="shared" si="334"/>
        <v>2013</v>
      </c>
      <c r="FW841" s="104">
        <f t="shared" si="335"/>
        <v>40</v>
      </c>
      <c r="FX841" s="35">
        <v>41549</v>
      </c>
      <c r="FY841" s="26">
        <v>2.32</v>
      </c>
      <c r="FZ841" s="94">
        <f t="shared" si="336"/>
        <v>9.28</v>
      </c>
      <c r="GA841" s="104"/>
      <c r="GB841" s="104"/>
      <c r="GE841" s="94"/>
      <c r="GF841" s="104">
        <f t="shared" si="337"/>
        <v>2016</v>
      </c>
      <c r="GG841" s="104">
        <f t="shared" si="338"/>
        <v>15</v>
      </c>
      <c r="GH841" s="35">
        <v>42465</v>
      </c>
      <c r="GI841" s="26">
        <v>1.639</v>
      </c>
      <c r="GJ841" s="94">
        <f t="shared" si="339"/>
        <v>3.278</v>
      </c>
      <c r="GK841" s="104"/>
      <c r="GL841" s="104"/>
      <c r="GO841" s="94"/>
    </row>
    <row r="842" spans="3:197">
      <c r="C842" s="80" t="str" cm="1">
        <f t="array" ref="C842">_xlfn.IFS(MONTH(D842)&lt;4,1,MONTH(D842)&lt;7,2,MONTH(D842)&lt;10,3,MONTH(D842)&gt;9,4)&amp;"Q"&amp;RIGHT(YEAR(D842),2)</f>
        <v>2Q19</v>
      </c>
      <c r="D842" s="81">
        <f t="shared" si="332"/>
        <v>43616</v>
      </c>
      <c r="E842" s="82">
        <f t="shared" si="330"/>
        <v>43615</v>
      </c>
      <c r="F842" s="83">
        <f t="shared" si="333"/>
        <v>0.451125</v>
      </c>
      <c r="G842" s="83">
        <f t="shared" si="333"/>
        <v>0.46875</v>
      </c>
      <c r="H842" s="81"/>
      <c r="I842" s="146">
        <v>43615</v>
      </c>
      <c r="J842" s="147">
        <v>4.01</v>
      </c>
      <c r="K842" s="147">
        <v>3.47</v>
      </c>
      <c r="L842" s="147">
        <v>3.609</v>
      </c>
      <c r="M842" s="94" cm="1">
        <f t="array" ref="M842">INDEX($BV$29:$BV$1449,MATCH($D842,$BR$29:$BR$1449,0),)</f>
        <v>3.75</v>
      </c>
      <c r="N842" s="150">
        <f t="shared" si="329"/>
        <v>-0.0019358407079646</v>
      </c>
      <c r="O842" s="150">
        <f t="shared" si="331"/>
        <v>-0.0171568627450981</v>
      </c>
      <c r="P842" s="150">
        <f t="shared" si="340"/>
        <v>-0.0370864461045892</v>
      </c>
      <c r="Q842" s="89">
        <f t="shared" si="341"/>
        <v>-0.0376</v>
      </c>
      <c r="AH842" s="90"/>
      <c r="AI842" s="85"/>
      <c r="AJ842" s="36"/>
      <c r="AK842" s="36"/>
      <c r="AL842" s="36"/>
      <c r="AM842" s="36"/>
      <c r="AN842" s="36"/>
      <c r="AO842" s="36"/>
      <c r="AP842" s="36"/>
      <c r="FV842" s="104">
        <f t="shared" si="334"/>
        <v>2013</v>
      </c>
      <c r="FW842" s="104">
        <f t="shared" si="335"/>
        <v>40</v>
      </c>
      <c r="FX842" s="35">
        <v>41550</v>
      </c>
      <c r="FY842" s="26">
        <v>2.317</v>
      </c>
      <c r="FZ842" s="94">
        <f t="shared" si="336"/>
        <v>9.268</v>
      </c>
      <c r="GA842" s="104"/>
      <c r="GB842" s="104"/>
      <c r="GE842" s="94"/>
      <c r="GF842" s="104">
        <f t="shared" si="337"/>
        <v>2016</v>
      </c>
      <c r="GG842" s="104">
        <f t="shared" si="338"/>
        <v>15</v>
      </c>
      <c r="GH842" s="35">
        <v>42466</v>
      </c>
      <c r="GI842" s="26">
        <v>1.632</v>
      </c>
      <c r="GJ842" s="94">
        <f t="shared" si="339"/>
        <v>3.264</v>
      </c>
      <c r="GK842" s="104"/>
      <c r="GL842" s="104"/>
      <c r="GO842" s="94"/>
    </row>
    <row r="843" spans="3:197">
      <c r="C843" s="80" t="str" cm="1">
        <f t="array" ref="C843">_xlfn.IFS(MONTH(D843)&lt;4,1,MONTH(D843)&lt;7,2,MONTH(D843)&lt;10,3,MONTH(D843)&gt;9,4)&amp;"Q"&amp;RIGHT(YEAR(D843),2)</f>
        <v>2Q19</v>
      </c>
      <c r="D843" s="81">
        <f t="shared" si="332"/>
        <v>43616</v>
      </c>
      <c r="E843" s="82">
        <f t="shared" si="330"/>
        <v>43616</v>
      </c>
      <c r="F843" s="83">
        <f t="shared" si="333"/>
        <v>0.450125</v>
      </c>
      <c r="G843" s="83">
        <f t="shared" si="333"/>
        <v>0.46875</v>
      </c>
      <c r="H843" s="81"/>
      <c r="I843" s="146">
        <v>43616</v>
      </c>
      <c r="J843" s="147">
        <v>3.95</v>
      </c>
      <c r="K843" s="147">
        <v>3.45</v>
      </c>
      <c r="L843" s="147">
        <v>3.601</v>
      </c>
      <c r="M843" s="94" cm="1">
        <f t="array" ref="M843">INDEX($BV$29:$BV$1449,MATCH($D843,$BR$29:$BR$1449,0),)</f>
        <v>3.75</v>
      </c>
      <c r="N843" s="150">
        <f t="shared" si="329"/>
        <v>-0.00221668052091994</v>
      </c>
      <c r="O843" s="150">
        <f t="shared" si="331"/>
        <v>-0.0177304964539007</v>
      </c>
      <c r="P843" s="150">
        <f t="shared" si="340"/>
        <v>-0.0371657754010696</v>
      </c>
      <c r="Q843" s="89">
        <f t="shared" si="341"/>
        <v>-0.0397333333333333</v>
      </c>
      <c r="AH843" s="90"/>
      <c r="AI843" s="85"/>
      <c r="AJ843" s="36"/>
      <c r="AK843" s="36"/>
      <c r="AL843" s="36"/>
      <c r="AM843" s="36"/>
      <c r="AN843" s="36"/>
      <c r="AO843" s="36"/>
      <c r="AP843" s="36"/>
      <c r="FV843" s="104">
        <f t="shared" si="334"/>
        <v>2013</v>
      </c>
      <c r="FW843" s="104">
        <f t="shared" si="335"/>
        <v>40</v>
      </c>
      <c r="FX843" s="35">
        <v>41551</v>
      </c>
      <c r="FY843" s="26">
        <v>2.33</v>
      </c>
      <c r="FZ843" s="94">
        <f t="shared" si="336"/>
        <v>9.32</v>
      </c>
      <c r="GA843" s="104"/>
      <c r="GB843" s="104"/>
      <c r="GE843" s="94"/>
      <c r="GF843" s="104">
        <f t="shared" si="337"/>
        <v>2016</v>
      </c>
      <c r="GG843" s="104">
        <f t="shared" si="338"/>
        <v>15</v>
      </c>
      <c r="GH843" s="35">
        <v>42467</v>
      </c>
      <c r="GI843" s="26">
        <v>1.63</v>
      </c>
      <c r="GJ843" s="94">
        <f t="shared" si="339"/>
        <v>3.26</v>
      </c>
      <c r="GK843" s="104"/>
      <c r="GL843" s="104"/>
      <c r="GO843" s="94"/>
    </row>
    <row r="844" spans="3:197">
      <c r="C844" s="80" t="str" cm="1">
        <f t="array" ref="C844">_xlfn.IFS(MONTH(D844)&lt;4,1,MONTH(D844)&lt;7,2,MONTH(D844)&lt;10,3,MONTH(D844)&gt;9,4)&amp;"Q"&amp;RIGHT(YEAR(D844),2)</f>
        <v>2Q19</v>
      </c>
      <c r="D844" s="81">
        <f t="shared" si="332"/>
        <v>43646</v>
      </c>
      <c r="E844" s="82">
        <f t="shared" si="330"/>
        <v>43619</v>
      </c>
      <c r="F844" s="83">
        <f t="shared" ref="F844:G862" si="342">+L844/8</f>
        <v>0.449125</v>
      </c>
      <c r="G844" s="83">
        <f t="shared" si="342"/>
        <v>0.41375</v>
      </c>
      <c r="H844" s="81"/>
      <c r="I844" s="146">
        <v>43619</v>
      </c>
      <c r="J844" s="147">
        <v>3.95</v>
      </c>
      <c r="K844" s="147">
        <v>3.45</v>
      </c>
      <c r="L844" s="147">
        <v>3.593</v>
      </c>
      <c r="M844" s="94" cm="1">
        <f t="array" ref="M844">INDEX($BV$29:$BV$1449,MATCH($D844,$BR$29:$BR$1449,0),)</f>
        <v>3.31</v>
      </c>
      <c r="N844" s="150">
        <f t="shared" si="329"/>
        <v>-0.00222160510969172</v>
      </c>
      <c r="O844" s="150">
        <f t="shared" si="331"/>
        <v>-0.0177692728266813</v>
      </c>
      <c r="P844" s="150">
        <f t="shared" si="340"/>
        <v>-0.0356951154052604</v>
      </c>
      <c r="Q844" s="89">
        <f t="shared" si="341"/>
        <v>0.0854984894259818</v>
      </c>
      <c r="AH844" s="90"/>
      <c r="AI844" s="85"/>
      <c r="AJ844" s="36"/>
      <c r="AK844" s="36"/>
      <c r="AL844" s="36"/>
      <c r="AM844" s="36"/>
      <c r="AN844" s="36"/>
      <c r="AO844" s="36"/>
      <c r="AP844" s="36"/>
      <c r="FV844" s="104">
        <f t="shared" si="334"/>
        <v>2013</v>
      </c>
      <c r="FW844" s="104">
        <f t="shared" si="335"/>
        <v>41</v>
      </c>
      <c r="FX844" s="35">
        <v>41554</v>
      </c>
      <c r="FY844" s="26">
        <v>2.325</v>
      </c>
      <c r="FZ844" s="94">
        <f t="shared" si="336"/>
        <v>9.3</v>
      </c>
      <c r="GA844" s="104"/>
      <c r="GB844" s="104"/>
      <c r="GE844" s="94"/>
      <c r="GF844" s="104">
        <f t="shared" si="337"/>
        <v>2016</v>
      </c>
      <c r="GG844" s="104">
        <f t="shared" si="338"/>
        <v>15</v>
      </c>
      <c r="GH844" s="35">
        <v>42468</v>
      </c>
      <c r="GI844" s="26">
        <v>1.628</v>
      </c>
      <c r="GJ844" s="94">
        <f t="shared" si="339"/>
        <v>3.256</v>
      </c>
      <c r="GK844" s="104"/>
      <c r="GL844" s="104"/>
      <c r="GO844" s="94"/>
    </row>
    <row r="845" spans="3:197">
      <c r="C845" s="80" t="str" cm="1">
        <f t="array" ref="C845">_xlfn.IFS(MONTH(D845)&lt;4,1,MONTH(D845)&lt;7,2,MONTH(D845)&lt;10,3,MONTH(D845)&gt;9,4)&amp;"Q"&amp;RIGHT(YEAR(D845),2)</f>
        <v>2Q19</v>
      </c>
      <c r="D845" s="81">
        <f t="shared" si="332"/>
        <v>43646</v>
      </c>
      <c r="E845" s="82">
        <f t="shared" si="330"/>
        <v>43620</v>
      </c>
      <c r="F845" s="83">
        <f t="shared" si="342"/>
        <v>0.449125</v>
      </c>
      <c r="G845" s="83">
        <f t="shared" si="342"/>
        <v>0.41375</v>
      </c>
      <c r="H845" s="81"/>
      <c r="I845" s="146">
        <v>43620</v>
      </c>
      <c r="J845" s="147">
        <v>3.95</v>
      </c>
      <c r="K845" s="147">
        <v>3.45</v>
      </c>
      <c r="L845" s="147">
        <v>3.593</v>
      </c>
      <c r="M845" s="94" cm="1">
        <f t="array" ref="M845">INDEX($BV$29:$BV$1449,MATCH($D845,$BR$29:$BR$1449,0),)</f>
        <v>3.31</v>
      </c>
      <c r="N845" s="150">
        <f t="shared" si="329"/>
        <v>0</v>
      </c>
      <c r="O845" s="150">
        <f t="shared" si="331"/>
        <v>-0.00964718853362734</v>
      </c>
      <c r="P845" s="150">
        <f t="shared" si="340"/>
        <v>-0.0341397849462366</v>
      </c>
      <c r="Q845" s="89">
        <f t="shared" si="341"/>
        <v>0.0854984894259818</v>
      </c>
      <c r="AH845" s="90"/>
      <c r="AI845" s="85"/>
      <c r="AJ845" s="36"/>
      <c r="AK845" s="36"/>
      <c r="AL845" s="36"/>
      <c r="AM845" s="36"/>
      <c r="AN845" s="36"/>
      <c r="AO845" s="36"/>
      <c r="AP845" s="36"/>
      <c r="FV845" s="104">
        <f t="shared" si="334"/>
        <v>2013</v>
      </c>
      <c r="FW845" s="104">
        <f t="shared" si="335"/>
        <v>41</v>
      </c>
      <c r="FX845" s="35">
        <v>41555</v>
      </c>
      <c r="FY845" s="26">
        <v>2.323</v>
      </c>
      <c r="FZ845" s="94">
        <f t="shared" si="336"/>
        <v>9.292</v>
      </c>
      <c r="GA845" s="104"/>
      <c r="GB845" s="104"/>
      <c r="GE845" s="94"/>
      <c r="GF845" s="104">
        <f t="shared" si="337"/>
        <v>2016</v>
      </c>
      <c r="GG845" s="104">
        <f t="shared" si="338"/>
        <v>16</v>
      </c>
      <c r="GH845" s="35">
        <v>42471</v>
      </c>
      <c r="GI845" s="26">
        <v>1.626</v>
      </c>
      <c r="GJ845" s="94">
        <f t="shared" si="339"/>
        <v>3.252</v>
      </c>
      <c r="GK845" s="104"/>
      <c r="GL845" s="104"/>
      <c r="GO845" s="94"/>
    </row>
    <row r="846" spans="3:197">
      <c r="C846" s="80" t="str" cm="1">
        <f t="array" ref="C846">_xlfn.IFS(MONTH(D846)&lt;4,1,MONTH(D846)&lt;7,2,MONTH(D846)&lt;10,3,MONTH(D846)&gt;9,4)&amp;"Q"&amp;RIGHT(YEAR(D846),2)</f>
        <v>2Q19</v>
      </c>
      <c r="D846" s="81">
        <f t="shared" si="332"/>
        <v>43646</v>
      </c>
      <c r="E846" s="82">
        <f t="shared" si="330"/>
        <v>43621</v>
      </c>
      <c r="F846" s="83">
        <f t="shared" si="342"/>
        <v>0.44725</v>
      </c>
      <c r="G846" s="83">
        <f t="shared" si="342"/>
        <v>0.41375</v>
      </c>
      <c r="H846" s="81"/>
      <c r="I846" s="146">
        <v>43621</v>
      </c>
      <c r="J846" s="147">
        <v>3.95</v>
      </c>
      <c r="K846" s="147">
        <v>3.38</v>
      </c>
      <c r="L846" s="147">
        <v>3.578</v>
      </c>
      <c r="M846" s="94" cm="1">
        <f t="array" ref="M846">INDEX($BV$29:$BV$1449,MATCH($D846,$BR$29:$BR$1449,0),)</f>
        <v>3.31</v>
      </c>
      <c r="N846" s="150">
        <f t="shared" si="329"/>
        <v>-0.00417478430281104</v>
      </c>
      <c r="O846" s="150">
        <f t="shared" si="331"/>
        <v>-0.0105088495575222</v>
      </c>
      <c r="P846" s="150">
        <f t="shared" si="340"/>
        <v>-0.0298264642082431</v>
      </c>
      <c r="Q846" s="89">
        <f t="shared" si="341"/>
        <v>0.0809667673716012</v>
      </c>
      <c r="AH846" s="90"/>
      <c r="AI846" s="85"/>
      <c r="AJ846" s="36"/>
      <c r="AK846" s="36"/>
      <c r="AL846" s="36"/>
      <c r="AM846" s="36"/>
      <c r="AN846" s="36"/>
      <c r="AO846" s="36"/>
      <c r="AP846" s="36"/>
      <c r="FV846" s="104">
        <f t="shared" si="334"/>
        <v>2013</v>
      </c>
      <c r="FW846" s="104">
        <f t="shared" si="335"/>
        <v>41</v>
      </c>
      <c r="FX846" s="35">
        <v>41556</v>
      </c>
      <c r="FY846" s="26">
        <v>2.289</v>
      </c>
      <c r="FZ846" s="94">
        <f t="shared" si="336"/>
        <v>9.156</v>
      </c>
      <c r="GA846" s="104"/>
      <c r="GB846" s="104"/>
      <c r="GE846" s="94"/>
      <c r="GF846" s="104">
        <f t="shared" si="337"/>
        <v>2016</v>
      </c>
      <c r="GG846" s="104">
        <f t="shared" si="338"/>
        <v>16</v>
      </c>
      <c r="GH846" s="35">
        <v>42472</v>
      </c>
      <c r="GI846" s="26">
        <v>1.614</v>
      </c>
      <c r="GJ846" s="94">
        <f t="shared" si="339"/>
        <v>3.228</v>
      </c>
      <c r="GK846" s="104"/>
      <c r="GL846" s="104"/>
      <c r="GO846" s="94"/>
    </row>
    <row r="847" spans="3:197">
      <c r="C847" s="80" t="str" cm="1">
        <f t="array" ref="C847">_xlfn.IFS(MONTH(D847)&lt;4,1,MONTH(D847)&lt;7,2,MONTH(D847)&lt;10,3,MONTH(D847)&gt;9,4)&amp;"Q"&amp;RIGHT(YEAR(D847),2)</f>
        <v>2Q19</v>
      </c>
      <c r="D847" s="81">
        <f t="shared" si="332"/>
        <v>43646</v>
      </c>
      <c r="E847" s="82">
        <f t="shared" si="330"/>
        <v>43622</v>
      </c>
      <c r="F847" s="83">
        <f t="shared" si="342"/>
        <v>0.44125</v>
      </c>
      <c r="G847" s="83">
        <f t="shared" si="342"/>
        <v>0.41375</v>
      </c>
      <c r="H847" s="81"/>
      <c r="I847" s="146">
        <v>43622</v>
      </c>
      <c r="J847" s="147">
        <v>3.95</v>
      </c>
      <c r="K847" s="147">
        <v>3.25</v>
      </c>
      <c r="L847" s="147">
        <v>3.53</v>
      </c>
      <c r="M847" s="94" cm="1">
        <f t="array" ref="M847">INDEX($BV$29:$BV$1449,MATCH($D847,$BR$29:$BR$1449,0),)</f>
        <v>3.31</v>
      </c>
      <c r="N847" s="150">
        <f t="shared" si="329"/>
        <v>-0.0134153158188932</v>
      </c>
      <c r="O847" s="150">
        <f t="shared" si="331"/>
        <v>-0.0218897201440843</v>
      </c>
      <c r="P847" s="150">
        <f t="shared" si="340"/>
        <v>-0.0386710239651417</v>
      </c>
      <c r="Q847" s="89">
        <f t="shared" si="341"/>
        <v>0.066465256797583</v>
      </c>
      <c r="AH847" s="90"/>
      <c r="AI847" s="85"/>
      <c r="AJ847" s="36"/>
      <c r="AK847" s="36"/>
      <c r="AL847" s="36"/>
      <c r="AM847" s="36"/>
      <c r="AN847" s="36"/>
      <c r="AO847" s="36"/>
      <c r="AP847" s="36"/>
      <c r="FV847" s="104">
        <f t="shared" si="334"/>
        <v>2013</v>
      </c>
      <c r="FW847" s="104">
        <f t="shared" si="335"/>
        <v>41</v>
      </c>
      <c r="FX847" s="35">
        <v>41557</v>
      </c>
      <c r="FY847" s="26">
        <v>2.289</v>
      </c>
      <c r="FZ847" s="94">
        <f t="shared" si="336"/>
        <v>9.156</v>
      </c>
      <c r="GA847" s="104"/>
      <c r="GB847" s="104"/>
      <c r="GE847" s="94"/>
      <c r="GF847" s="104">
        <f t="shared" si="337"/>
        <v>2016</v>
      </c>
      <c r="GG847" s="104">
        <f t="shared" si="338"/>
        <v>16</v>
      </c>
      <c r="GH847" s="35">
        <v>42473</v>
      </c>
      <c r="GI847" s="26">
        <v>1.611</v>
      </c>
      <c r="GJ847" s="94">
        <f t="shared" si="339"/>
        <v>3.222</v>
      </c>
      <c r="GK847" s="104"/>
      <c r="GL847" s="104"/>
      <c r="GO847" s="94"/>
    </row>
    <row r="848" spans="3:197">
      <c r="C848" s="80" t="str" cm="1">
        <f t="array" ref="C848">_xlfn.IFS(MONTH(D848)&lt;4,1,MONTH(D848)&lt;7,2,MONTH(D848)&lt;10,3,MONTH(D848)&gt;9,4)&amp;"Q"&amp;RIGHT(YEAR(D848),2)</f>
        <v>2Q19</v>
      </c>
      <c r="D848" s="81">
        <f t="shared" si="332"/>
        <v>43646</v>
      </c>
      <c r="E848" s="82">
        <f t="shared" si="330"/>
        <v>43626</v>
      </c>
      <c r="F848" s="83">
        <f t="shared" si="342"/>
        <v>0.437</v>
      </c>
      <c r="G848" s="83">
        <f t="shared" si="342"/>
        <v>0.41375</v>
      </c>
      <c r="H848" s="81"/>
      <c r="I848" s="146">
        <v>43626</v>
      </c>
      <c r="J848" s="147">
        <v>3.95</v>
      </c>
      <c r="K848" s="147">
        <v>2.9</v>
      </c>
      <c r="L848" s="147">
        <v>3.496</v>
      </c>
      <c r="M848" s="94" cm="1">
        <f t="array" ref="M848">INDEX($BV$29:$BV$1449,MATCH($D848,$BR$29:$BR$1449,0),)</f>
        <v>3.31</v>
      </c>
      <c r="N848" s="150">
        <f t="shared" si="329"/>
        <v>-0.00963172804532575</v>
      </c>
      <c r="O848" s="150">
        <f t="shared" si="331"/>
        <v>-0.0291585670647042</v>
      </c>
      <c r="P848" s="150">
        <f t="shared" si="340"/>
        <v>-0.0463720676486634</v>
      </c>
      <c r="Q848" s="89">
        <f t="shared" si="341"/>
        <v>0.0561933534743202</v>
      </c>
      <c r="AH848" s="90"/>
      <c r="AI848" s="85"/>
      <c r="AJ848" s="36"/>
      <c r="AK848" s="36"/>
      <c r="AL848" s="36"/>
      <c r="AM848" s="36"/>
      <c r="AN848" s="36"/>
      <c r="AO848" s="36"/>
      <c r="AP848" s="36"/>
      <c r="FV848" s="104">
        <f t="shared" si="334"/>
        <v>2013</v>
      </c>
      <c r="FW848" s="104">
        <f t="shared" si="335"/>
        <v>41</v>
      </c>
      <c r="FX848" s="35">
        <v>41558</v>
      </c>
      <c r="FY848" s="26">
        <v>2.314</v>
      </c>
      <c r="FZ848" s="94">
        <f t="shared" si="336"/>
        <v>9.256</v>
      </c>
      <c r="GA848" s="104"/>
      <c r="GB848" s="104"/>
      <c r="GE848" s="94"/>
      <c r="GF848" s="104">
        <f t="shared" si="337"/>
        <v>2016</v>
      </c>
      <c r="GG848" s="104">
        <f t="shared" si="338"/>
        <v>16</v>
      </c>
      <c r="GH848" s="35">
        <v>42474</v>
      </c>
      <c r="GI848" s="26">
        <v>1.607</v>
      </c>
      <c r="GJ848" s="94">
        <f t="shared" si="339"/>
        <v>3.214</v>
      </c>
      <c r="GK848" s="104"/>
      <c r="GL848" s="104"/>
      <c r="GO848" s="94"/>
    </row>
    <row r="849" spans="3:197">
      <c r="C849" s="80" t="str" cm="1">
        <f t="array" ref="C849">_xlfn.IFS(MONTH(D849)&lt;4,1,MONTH(D849)&lt;7,2,MONTH(D849)&lt;10,3,MONTH(D849)&gt;9,4)&amp;"Q"&amp;RIGHT(YEAR(D849),2)</f>
        <v>2Q19</v>
      </c>
      <c r="D849" s="81">
        <f t="shared" si="332"/>
        <v>43646</v>
      </c>
      <c r="E849" s="82">
        <f t="shared" si="330"/>
        <v>43627</v>
      </c>
      <c r="F849" s="83">
        <f t="shared" si="342"/>
        <v>0.43075</v>
      </c>
      <c r="G849" s="83">
        <f t="shared" si="342"/>
        <v>0.41375</v>
      </c>
      <c r="H849" s="81"/>
      <c r="I849" s="146">
        <v>43627</v>
      </c>
      <c r="J849" s="147">
        <v>3.9</v>
      </c>
      <c r="K849" s="147">
        <v>2.9</v>
      </c>
      <c r="L849" s="147">
        <v>3.446</v>
      </c>
      <c r="M849" s="94" cm="1">
        <f t="array" ref="M849">INDEX($BV$29:$BV$1449,MATCH($D849,$BR$29:$BR$1449,0),)</f>
        <v>3.31</v>
      </c>
      <c r="N849" s="150">
        <f t="shared" si="329"/>
        <v>-0.0143020594965675</v>
      </c>
      <c r="O849" s="150">
        <f t="shared" si="331"/>
        <v>-0.040912886167548</v>
      </c>
      <c r="P849" s="150">
        <f t="shared" si="340"/>
        <v>-0.0579551667577911</v>
      </c>
      <c r="Q849" s="89">
        <f t="shared" si="341"/>
        <v>0.0410876132930513</v>
      </c>
      <c r="AH849" s="90"/>
      <c r="AI849" s="85"/>
      <c r="AJ849" s="36"/>
      <c r="AK849" s="36"/>
      <c r="AL849" s="36"/>
      <c r="AM849" s="36"/>
      <c r="AN849" s="36"/>
      <c r="AO849" s="36"/>
      <c r="AP849" s="36"/>
      <c r="FV849" s="104">
        <f t="shared" si="334"/>
        <v>2013</v>
      </c>
      <c r="FW849" s="104">
        <f t="shared" si="335"/>
        <v>42</v>
      </c>
      <c r="FX849" s="35">
        <v>41561</v>
      </c>
      <c r="FY849" s="26">
        <v>2.318</v>
      </c>
      <c r="FZ849" s="94">
        <f t="shared" si="336"/>
        <v>9.272</v>
      </c>
      <c r="GA849" s="104"/>
      <c r="GB849" s="104"/>
      <c r="GE849" s="94"/>
      <c r="GF849" s="104">
        <f t="shared" si="337"/>
        <v>2016</v>
      </c>
      <c r="GG849" s="104">
        <f t="shared" si="338"/>
        <v>16</v>
      </c>
      <c r="GH849" s="35">
        <v>42475</v>
      </c>
      <c r="GI849" s="26">
        <v>1.6</v>
      </c>
      <c r="GJ849" s="94">
        <f t="shared" si="339"/>
        <v>3.2</v>
      </c>
      <c r="GK849" s="104"/>
      <c r="GL849" s="104"/>
      <c r="GO849" s="94"/>
    </row>
    <row r="850" spans="3:197">
      <c r="C850" s="80" t="str" cm="1">
        <f t="array" ref="C850">_xlfn.IFS(MONTH(D850)&lt;4,1,MONTH(D850)&lt;7,2,MONTH(D850)&lt;10,3,MONTH(D850)&gt;9,4)&amp;"Q"&amp;RIGHT(YEAR(D850),2)</f>
        <v>2Q19</v>
      </c>
      <c r="D850" s="81">
        <f t="shared" si="332"/>
        <v>43646</v>
      </c>
      <c r="E850" s="82">
        <f t="shared" si="330"/>
        <v>43628</v>
      </c>
      <c r="F850" s="83">
        <f t="shared" si="342"/>
        <v>0.42825</v>
      </c>
      <c r="G850" s="83">
        <f t="shared" si="342"/>
        <v>0.41375</v>
      </c>
      <c r="H850" s="81"/>
      <c r="I850" s="146">
        <v>43628</v>
      </c>
      <c r="J850" s="147">
        <v>3.9</v>
      </c>
      <c r="K850" s="147">
        <v>2.9</v>
      </c>
      <c r="L850" s="147">
        <v>3.426</v>
      </c>
      <c r="M850" s="94" cm="1">
        <f t="array" ref="M850">INDEX($BV$29:$BV$1449,MATCH($D850,$BR$29:$BR$1449,0),)</f>
        <v>3.31</v>
      </c>
      <c r="N850" s="150">
        <f t="shared" si="329"/>
        <v>-0.00580383052814859</v>
      </c>
      <c r="O850" s="150">
        <f t="shared" si="331"/>
        <v>-0.0464792652379626</v>
      </c>
      <c r="P850" s="150">
        <f t="shared" si="340"/>
        <v>-0.0556780595369349</v>
      </c>
      <c r="Q850" s="89">
        <f t="shared" si="341"/>
        <v>0.0350453172205438</v>
      </c>
      <c r="AH850" s="90"/>
      <c r="AI850" s="85"/>
      <c r="AJ850" s="36"/>
      <c r="AK850" s="36"/>
      <c r="AL850" s="36"/>
      <c r="AM850" s="36"/>
      <c r="AN850" s="36"/>
      <c r="AO850" s="36"/>
      <c r="AP850" s="36"/>
      <c r="FV850" s="104">
        <f t="shared" si="334"/>
        <v>2013</v>
      </c>
      <c r="FW850" s="104">
        <f t="shared" si="335"/>
        <v>42</v>
      </c>
      <c r="FX850" s="35">
        <v>41562</v>
      </c>
      <c r="FY850" s="26">
        <v>2.31</v>
      </c>
      <c r="FZ850" s="94">
        <f t="shared" si="336"/>
        <v>9.24</v>
      </c>
      <c r="GA850" s="104"/>
      <c r="GB850" s="104"/>
      <c r="GE850" s="94"/>
      <c r="GF850" s="104">
        <f t="shared" si="337"/>
        <v>2016</v>
      </c>
      <c r="GG850" s="104">
        <f t="shared" si="338"/>
        <v>17</v>
      </c>
      <c r="GH850" s="35">
        <v>42478</v>
      </c>
      <c r="GI850" s="26">
        <v>1.593</v>
      </c>
      <c r="GJ850" s="94">
        <f t="shared" si="339"/>
        <v>3.186</v>
      </c>
      <c r="GK850" s="104"/>
      <c r="GL850" s="104"/>
      <c r="GO850" s="94"/>
    </row>
    <row r="851" spans="3:197">
      <c r="C851" s="80" t="str" cm="1">
        <f t="array" ref="C851">_xlfn.IFS(MONTH(D851)&lt;4,1,MONTH(D851)&lt;7,2,MONTH(D851)&lt;10,3,MONTH(D851)&gt;9,4)&amp;"Q"&amp;RIGHT(YEAR(D851),2)</f>
        <v>2Q19</v>
      </c>
      <c r="D851" s="81">
        <f t="shared" si="332"/>
        <v>43646</v>
      </c>
      <c r="E851" s="82">
        <f t="shared" si="330"/>
        <v>43629</v>
      </c>
      <c r="F851" s="83">
        <f t="shared" si="342"/>
        <v>0.4275</v>
      </c>
      <c r="G851" s="83">
        <f t="shared" si="342"/>
        <v>0.41375</v>
      </c>
      <c r="H851" s="81"/>
      <c r="I851" s="146">
        <v>43629</v>
      </c>
      <c r="J851" s="147">
        <v>3.9</v>
      </c>
      <c r="K851" s="147">
        <v>2.9</v>
      </c>
      <c r="L851" s="147">
        <v>3.42</v>
      </c>
      <c r="M851" s="94" cm="1">
        <f t="array" ref="M851">INDEX($BV$29:$BV$1449,MATCH($D851,$BR$29:$BR$1449,0),)</f>
        <v>3.31</v>
      </c>
      <c r="N851" s="150">
        <f t="shared" ref="N851:N914" si="343">L851/L850-1</f>
        <v>-0.00175131348511393</v>
      </c>
      <c r="O851" s="150">
        <f t="shared" si="331"/>
        <v>-0.0441587479038569</v>
      </c>
      <c r="P851" s="150">
        <f t="shared" si="340"/>
        <v>-0.0542035398230089</v>
      </c>
      <c r="Q851" s="89">
        <f t="shared" si="341"/>
        <v>0.0332326283987916</v>
      </c>
      <c r="AH851" s="90"/>
      <c r="AI851" s="85"/>
      <c r="AJ851" s="36"/>
      <c r="AK851" s="36"/>
      <c r="AL851" s="36"/>
      <c r="AM851" s="36"/>
      <c r="AN851" s="36"/>
      <c r="AO851" s="36"/>
      <c r="AP851" s="36"/>
      <c r="FV851" s="104">
        <f t="shared" si="334"/>
        <v>2013</v>
      </c>
      <c r="FW851" s="104">
        <f t="shared" si="335"/>
        <v>42</v>
      </c>
      <c r="FX851" s="35">
        <v>41563</v>
      </c>
      <c r="FY851" s="26">
        <v>2.286</v>
      </c>
      <c r="FZ851" s="94">
        <f t="shared" si="336"/>
        <v>9.144</v>
      </c>
      <c r="GA851" s="104"/>
      <c r="GB851" s="104"/>
      <c r="GE851" s="94"/>
      <c r="GF851" s="104">
        <f t="shared" si="337"/>
        <v>2016</v>
      </c>
      <c r="GG851" s="104">
        <f t="shared" si="338"/>
        <v>17</v>
      </c>
      <c r="GH851" s="35">
        <v>42479</v>
      </c>
      <c r="GI851" s="26">
        <v>1.586</v>
      </c>
      <c r="GJ851" s="94">
        <f t="shared" si="339"/>
        <v>3.172</v>
      </c>
      <c r="GK851" s="104"/>
      <c r="GL851" s="104"/>
      <c r="GO851" s="94"/>
    </row>
    <row r="852" spans="3:197">
      <c r="C852" s="80" t="str" cm="1">
        <f t="array" ref="C852">_xlfn.IFS(MONTH(D852)&lt;4,1,MONTH(D852)&lt;7,2,MONTH(D852)&lt;10,3,MONTH(D852)&gt;9,4)&amp;"Q"&amp;RIGHT(YEAR(D852),2)</f>
        <v>2Q19</v>
      </c>
      <c r="D852" s="81">
        <f t="shared" si="332"/>
        <v>43646</v>
      </c>
      <c r="E852" s="82">
        <f t="shared" si="330"/>
        <v>43630</v>
      </c>
      <c r="F852" s="83">
        <f t="shared" si="342"/>
        <v>0.42575</v>
      </c>
      <c r="G852" s="83">
        <f t="shared" si="342"/>
        <v>0.41375</v>
      </c>
      <c r="H852" s="81"/>
      <c r="I852" s="146">
        <v>43630</v>
      </c>
      <c r="J852" s="147">
        <v>3.85</v>
      </c>
      <c r="K852" s="147">
        <v>2.85</v>
      </c>
      <c r="L852" s="147">
        <v>3.406</v>
      </c>
      <c r="M852" s="94" cm="1">
        <f t="array" ref="M852">INDEX($BV$29:$BV$1449,MATCH($D852,$BR$29:$BR$1449,0),)</f>
        <v>3.31</v>
      </c>
      <c r="N852" s="150">
        <f t="shared" si="343"/>
        <v>-0.00409356725146193</v>
      </c>
      <c r="O852" s="150">
        <f t="shared" si="331"/>
        <v>-0.0351274787535409</v>
      </c>
      <c r="P852" s="150">
        <f t="shared" si="340"/>
        <v>-0.0562482682183429</v>
      </c>
      <c r="Q852" s="89">
        <f t="shared" si="341"/>
        <v>0.0290030211480363</v>
      </c>
      <c r="R852" s="154"/>
      <c r="S852" s="154"/>
      <c r="T852" s="154"/>
      <c r="U852" s="154"/>
      <c r="V852" s="154"/>
      <c r="W852" s="154"/>
      <c r="X852" s="154"/>
      <c r="Y852" s="154"/>
      <c r="Z852" s="154"/>
      <c r="AA852" s="154"/>
      <c r="AB852" s="154"/>
      <c r="AC852" s="154"/>
      <c r="AD852" s="154"/>
      <c r="AE852" s="154"/>
      <c r="AF852" s="154"/>
      <c r="AG852" s="154"/>
      <c r="AH852" s="90"/>
      <c r="AI852" s="85"/>
      <c r="AJ852" s="36"/>
      <c r="AK852" s="36"/>
      <c r="AL852" s="36"/>
      <c r="AM852" s="36"/>
      <c r="AN852" s="36"/>
      <c r="AO852" s="36"/>
      <c r="AP852" s="36"/>
      <c r="AQ852" s="154"/>
      <c r="BP852" s="154"/>
      <c r="BQ852" s="154"/>
      <c r="BR852" s="154"/>
      <c r="FV852" s="104">
        <f t="shared" si="334"/>
        <v>2013</v>
      </c>
      <c r="FW852" s="104">
        <f t="shared" si="335"/>
        <v>42</v>
      </c>
      <c r="FX852" s="35">
        <v>41564</v>
      </c>
      <c r="FY852" s="26">
        <v>2.227</v>
      </c>
      <c r="FZ852" s="94">
        <f t="shared" si="336"/>
        <v>8.908</v>
      </c>
      <c r="GA852" s="104"/>
      <c r="GB852" s="104"/>
      <c r="GE852" s="94"/>
      <c r="GF852" s="104">
        <f t="shared" si="337"/>
        <v>2016</v>
      </c>
      <c r="GG852" s="104">
        <f t="shared" si="338"/>
        <v>17</v>
      </c>
      <c r="GH852" s="35">
        <v>42480</v>
      </c>
      <c r="GI852" s="26">
        <v>1.579</v>
      </c>
      <c r="GJ852" s="94">
        <f t="shared" si="339"/>
        <v>3.158</v>
      </c>
      <c r="GK852" s="104"/>
      <c r="GL852" s="104"/>
      <c r="GO852" s="94"/>
    </row>
    <row r="853" spans="3:197">
      <c r="C853" s="80" t="str" cm="1">
        <f t="array" ref="C853">_xlfn.IFS(MONTH(D853)&lt;4,1,MONTH(D853)&lt;7,2,MONTH(D853)&lt;10,3,MONTH(D853)&gt;9,4)&amp;"Q"&amp;RIGHT(YEAR(D853),2)</f>
        <v>2Q19</v>
      </c>
      <c r="D853" s="81">
        <f t="shared" si="332"/>
        <v>43646</v>
      </c>
      <c r="E853" s="82">
        <f t="shared" ref="E853:E916" si="344">I853</f>
        <v>43633</v>
      </c>
      <c r="F853" s="83">
        <f t="shared" si="342"/>
        <v>0.42525</v>
      </c>
      <c r="G853" s="83">
        <f t="shared" si="342"/>
        <v>0.41375</v>
      </c>
      <c r="H853" s="81"/>
      <c r="I853" s="146">
        <v>43633</v>
      </c>
      <c r="J853" s="147">
        <v>3.85</v>
      </c>
      <c r="K853" s="147">
        <v>2.85</v>
      </c>
      <c r="L853" s="147">
        <v>3.402</v>
      </c>
      <c r="M853" s="94" cm="1">
        <f t="array" ref="M853">INDEX($BV$29:$BV$1449,MATCH($D853,$BR$29:$BR$1449,0),)</f>
        <v>3.31</v>
      </c>
      <c r="N853" s="150">
        <f t="shared" si="343"/>
        <v>-0.00117439812096298</v>
      </c>
      <c r="O853" s="150">
        <f t="shared" ref="O853:O916" si="345">L853/L848-1</f>
        <v>-0.0268878718535469</v>
      </c>
      <c r="P853" s="150">
        <f t="shared" si="340"/>
        <v>-0.0552624271035823</v>
      </c>
      <c r="Q853" s="89">
        <f t="shared" si="341"/>
        <v>0.0277945619335347</v>
      </c>
      <c r="R853" s="154"/>
      <c r="S853" s="154"/>
      <c r="T853" s="154"/>
      <c r="U853" s="154"/>
      <c r="V853" s="154"/>
      <c r="W853" s="154"/>
      <c r="X853" s="154"/>
      <c r="Y853" s="154"/>
      <c r="Z853" s="154"/>
      <c r="AA853" s="154"/>
      <c r="AB853" s="154"/>
      <c r="AC853" s="154"/>
      <c r="AD853" s="154"/>
      <c r="AE853" s="154"/>
      <c r="AF853" s="154"/>
      <c r="AG853" s="154"/>
      <c r="AH853" s="90"/>
      <c r="AI853" s="85"/>
      <c r="AJ853" s="36"/>
      <c r="AK853" s="36"/>
      <c r="AL853" s="36"/>
      <c r="AM853" s="36"/>
      <c r="AN853" s="36"/>
      <c r="AO853" s="36"/>
      <c r="AP853" s="36"/>
      <c r="AQ853" s="154"/>
      <c r="BP853" s="154"/>
      <c r="BQ853" s="154"/>
      <c r="BR853" s="154"/>
      <c r="FV853" s="104">
        <f t="shared" si="334"/>
        <v>2013</v>
      </c>
      <c r="FW853" s="104">
        <f t="shared" si="335"/>
        <v>42</v>
      </c>
      <c r="FX853" s="35">
        <v>41565</v>
      </c>
      <c r="FY853" s="26">
        <v>2.21</v>
      </c>
      <c r="FZ853" s="94">
        <f t="shared" si="336"/>
        <v>8.84</v>
      </c>
      <c r="GA853" s="104"/>
      <c r="GB853" s="104"/>
      <c r="GE853" s="94"/>
      <c r="GF853" s="104">
        <f t="shared" si="337"/>
        <v>2016</v>
      </c>
      <c r="GG853" s="104">
        <f t="shared" si="338"/>
        <v>17</v>
      </c>
      <c r="GH853" s="35">
        <v>42481</v>
      </c>
      <c r="GI853" s="26">
        <v>1.572</v>
      </c>
      <c r="GJ853" s="94">
        <f t="shared" si="339"/>
        <v>3.144</v>
      </c>
      <c r="GK853" s="104"/>
      <c r="GL853" s="104"/>
      <c r="GO853" s="94"/>
    </row>
    <row r="854" spans="3:197">
      <c r="C854" s="80" t="str" cm="1">
        <f t="array" ref="C854">_xlfn.IFS(MONTH(D854)&lt;4,1,MONTH(D854)&lt;7,2,MONTH(D854)&lt;10,3,MONTH(D854)&gt;9,4)&amp;"Q"&amp;RIGHT(YEAR(D854),2)</f>
        <v>2Q19</v>
      </c>
      <c r="D854" s="81">
        <f t="shared" si="332"/>
        <v>43646</v>
      </c>
      <c r="E854" s="82">
        <f t="shared" si="344"/>
        <v>43634</v>
      </c>
      <c r="F854" s="83">
        <f t="shared" si="342"/>
        <v>0.4235</v>
      </c>
      <c r="G854" s="83">
        <f t="shared" si="342"/>
        <v>0.41375</v>
      </c>
      <c r="H854" s="81"/>
      <c r="I854" s="146">
        <v>43634</v>
      </c>
      <c r="J854" s="147">
        <v>3.85</v>
      </c>
      <c r="K854" s="147">
        <v>2.85</v>
      </c>
      <c r="L854" s="147">
        <v>3.388</v>
      </c>
      <c r="M854" s="94" cm="1">
        <f t="array" ref="M854">INDEX($BV$29:$BV$1449,MATCH($D854,$BR$29:$BR$1449,0),)</f>
        <v>3.31</v>
      </c>
      <c r="N854" s="150">
        <f t="shared" si="343"/>
        <v>-0.00411522633744865</v>
      </c>
      <c r="O854" s="150">
        <f t="shared" si="345"/>
        <v>-0.0168311085316309</v>
      </c>
      <c r="P854" s="150">
        <f t="shared" si="340"/>
        <v>-0.0570553854717506</v>
      </c>
      <c r="Q854" s="89">
        <f t="shared" si="341"/>
        <v>0.0235649546827794</v>
      </c>
      <c r="R854" s="154"/>
      <c r="S854" s="154"/>
      <c r="T854" s="154"/>
      <c r="U854" s="154"/>
      <c r="V854" s="154"/>
      <c r="W854" s="154"/>
      <c r="X854" s="154"/>
      <c r="Y854" s="154"/>
      <c r="Z854" s="154"/>
      <c r="AA854" s="154"/>
      <c r="AB854" s="154"/>
      <c r="AC854" s="154"/>
      <c r="AD854" s="154"/>
      <c r="AE854" s="154"/>
      <c r="AF854" s="154"/>
      <c r="AG854" s="154"/>
      <c r="AH854" s="90"/>
      <c r="AI854" s="85"/>
      <c r="AJ854" s="36"/>
      <c r="AK854" s="36"/>
      <c r="AL854" s="36"/>
      <c r="AM854" s="36"/>
      <c r="AN854" s="36"/>
      <c r="AO854" s="36"/>
      <c r="AP854" s="36"/>
      <c r="AQ854" s="154"/>
      <c r="BP854" s="154"/>
      <c r="BQ854" s="154"/>
      <c r="BR854" s="154"/>
      <c r="FV854" s="104">
        <f t="shared" si="334"/>
        <v>2013</v>
      </c>
      <c r="FW854" s="104">
        <f t="shared" si="335"/>
        <v>43</v>
      </c>
      <c r="FX854" s="35">
        <v>41568</v>
      </c>
      <c r="FY854" s="26">
        <v>2.208</v>
      </c>
      <c r="FZ854" s="94">
        <f t="shared" si="336"/>
        <v>8.832</v>
      </c>
      <c r="GA854" s="104"/>
      <c r="GB854" s="104"/>
      <c r="GE854" s="94"/>
      <c r="GF854" s="104">
        <f t="shared" si="337"/>
        <v>2016</v>
      </c>
      <c r="GG854" s="104">
        <f t="shared" si="338"/>
        <v>17</v>
      </c>
      <c r="GH854" s="35">
        <v>42482</v>
      </c>
      <c r="GI854" s="26">
        <v>1.572</v>
      </c>
      <c r="GJ854" s="94">
        <f t="shared" si="339"/>
        <v>3.144</v>
      </c>
      <c r="GK854" s="104"/>
      <c r="GL854" s="104"/>
      <c r="GO854" s="94"/>
    </row>
    <row r="855" spans="3:197">
      <c r="C855" s="80" t="str" cm="1">
        <f t="array" ref="C855">_xlfn.IFS(MONTH(D855)&lt;4,1,MONTH(D855)&lt;7,2,MONTH(D855)&lt;10,3,MONTH(D855)&gt;9,4)&amp;"Q"&amp;RIGHT(YEAR(D855),2)</f>
        <v>2Q19</v>
      </c>
      <c r="D855" s="81">
        <f t="shared" si="332"/>
        <v>43646</v>
      </c>
      <c r="E855" s="82">
        <f t="shared" si="344"/>
        <v>43635</v>
      </c>
      <c r="F855" s="83">
        <f t="shared" si="342"/>
        <v>0.419</v>
      </c>
      <c r="G855" s="83">
        <f t="shared" si="342"/>
        <v>0.41375</v>
      </c>
      <c r="H855" s="81"/>
      <c r="I855" s="146">
        <v>43635</v>
      </c>
      <c r="J855" s="147">
        <v>3.85</v>
      </c>
      <c r="K855" s="147">
        <v>2.85</v>
      </c>
      <c r="L855" s="147">
        <v>3.352</v>
      </c>
      <c r="M855" s="94" cm="1">
        <f t="array" ref="M855">INDEX($BV$29:$BV$1449,MATCH($D855,$BR$29:$BR$1449,0),)</f>
        <v>3.31</v>
      </c>
      <c r="N855" s="150">
        <f t="shared" si="343"/>
        <v>-0.0106257378984652</v>
      </c>
      <c r="O855" s="150">
        <f t="shared" si="345"/>
        <v>-0.0215995329830707</v>
      </c>
      <c r="P855" s="150">
        <f t="shared" si="340"/>
        <v>-0.0670748677984971</v>
      </c>
      <c r="Q855" s="89">
        <f t="shared" si="341"/>
        <v>0.0126888217522658</v>
      </c>
      <c r="R855" s="154"/>
      <c r="S855" s="154"/>
      <c r="T855" s="154"/>
      <c r="U855" s="154"/>
      <c r="V855" s="154"/>
      <c r="W855" s="154"/>
      <c r="X855" s="154"/>
      <c r="Y855" s="154"/>
      <c r="Z855" s="154"/>
      <c r="AA855" s="154"/>
      <c r="AB855" s="154"/>
      <c r="AC855" s="154"/>
      <c r="AD855" s="154"/>
      <c r="AE855" s="154"/>
      <c r="AF855" s="154"/>
      <c r="AG855" s="154"/>
      <c r="AH855" s="90"/>
      <c r="AI855" s="85"/>
      <c r="AJ855" s="36"/>
      <c r="AK855" s="36"/>
      <c r="AL855" s="36"/>
      <c r="AM855" s="36"/>
      <c r="AN855" s="36"/>
      <c r="AO855" s="36"/>
      <c r="AP855" s="36"/>
      <c r="AQ855" s="154"/>
      <c r="BP855" s="154"/>
      <c r="BQ855" s="154"/>
      <c r="BR855" s="154"/>
      <c r="FV855" s="104">
        <f t="shared" si="334"/>
        <v>2013</v>
      </c>
      <c r="FW855" s="104">
        <f t="shared" si="335"/>
        <v>43</v>
      </c>
      <c r="FX855" s="35">
        <v>41569</v>
      </c>
      <c r="FY855" s="26">
        <v>2.18</v>
      </c>
      <c r="FZ855" s="94">
        <f t="shared" si="336"/>
        <v>8.72</v>
      </c>
      <c r="GA855" s="104"/>
      <c r="GB855" s="104"/>
      <c r="GE855" s="94"/>
      <c r="GF855" s="104">
        <f t="shared" si="337"/>
        <v>2016</v>
      </c>
      <c r="GG855" s="104">
        <f t="shared" si="338"/>
        <v>18</v>
      </c>
      <c r="GH855" s="35">
        <v>42485</v>
      </c>
      <c r="GI855" s="26">
        <v>1.572</v>
      </c>
      <c r="GJ855" s="94">
        <f t="shared" si="339"/>
        <v>3.144</v>
      </c>
      <c r="GK855" s="104"/>
      <c r="GL855" s="104"/>
      <c r="GO855" s="94"/>
    </row>
    <row r="856" spans="3:197">
      <c r="C856" s="80" t="str" cm="1">
        <f t="array" ref="C856">_xlfn.IFS(MONTH(D856)&lt;4,1,MONTH(D856)&lt;7,2,MONTH(D856)&lt;10,3,MONTH(D856)&gt;9,4)&amp;"Q"&amp;RIGHT(YEAR(D856),2)</f>
        <v>2Q19</v>
      </c>
      <c r="D856" s="81">
        <f t="shared" si="332"/>
        <v>43646</v>
      </c>
      <c r="E856" s="82">
        <f t="shared" si="344"/>
        <v>43636</v>
      </c>
      <c r="F856" s="83">
        <f t="shared" si="342"/>
        <v>0.416</v>
      </c>
      <c r="G856" s="83">
        <f t="shared" si="342"/>
        <v>0.41375</v>
      </c>
      <c r="H856" s="81"/>
      <c r="I856" s="146">
        <v>43636</v>
      </c>
      <c r="J856" s="147">
        <v>3.8</v>
      </c>
      <c r="K856" s="147">
        <v>2.85</v>
      </c>
      <c r="L856" s="147">
        <v>3.328</v>
      </c>
      <c r="M856" s="94" cm="1">
        <f t="array" ref="M856">INDEX($BV$29:$BV$1449,MATCH($D856,$BR$29:$BR$1449,0),)</f>
        <v>3.31</v>
      </c>
      <c r="N856" s="150">
        <f t="shared" si="343"/>
        <v>-0.00715990453460624</v>
      </c>
      <c r="O856" s="150">
        <f t="shared" si="345"/>
        <v>-0.0269005847953216</v>
      </c>
      <c r="P856" s="150">
        <f t="shared" si="340"/>
        <v>-0.0698714365567356</v>
      </c>
      <c r="Q856" s="89">
        <f t="shared" si="341"/>
        <v>0.00543806646525669</v>
      </c>
      <c r="R856" s="154"/>
      <c r="S856" s="154"/>
      <c r="T856" s="154"/>
      <c r="U856" s="154"/>
      <c r="V856" s="154"/>
      <c r="W856" s="154"/>
      <c r="X856" s="154"/>
      <c r="Y856" s="154"/>
      <c r="Z856" s="154"/>
      <c r="AA856" s="154"/>
      <c r="AB856" s="154"/>
      <c r="AC856" s="154"/>
      <c r="AD856" s="154"/>
      <c r="AE856" s="154"/>
      <c r="AF856" s="154"/>
      <c r="AG856" s="154"/>
      <c r="AH856" s="90"/>
      <c r="AI856" s="85"/>
      <c r="AJ856" s="36"/>
      <c r="AK856" s="36"/>
      <c r="AL856" s="36"/>
      <c r="AM856" s="36"/>
      <c r="AN856" s="36"/>
      <c r="AO856" s="36"/>
      <c r="AP856" s="36"/>
      <c r="AQ856" s="154"/>
      <c r="BP856" s="154"/>
      <c r="BQ856" s="154"/>
      <c r="BR856" s="154"/>
      <c r="FV856" s="104">
        <f t="shared" si="334"/>
        <v>2013</v>
      </c>
      <c r="FW856" s="104">
        <f t="shared" si="335"/>
        <v>43</v>
      </c>
      <c r="FX856" s="35">
        <v>41570</v>
      </c>
      <c r="FY856" s="26">
        <v>2.153</v>
      </c>
      <c r="FZ856" s="94">
        <f t="shared" si="336"/>
        <v>8.612</v>
      </c>
      <c r="GA856" s="104"/>
      <c r="GB856" s="104"/>
      <c r="GE856" s="94"/>
      <c r="GF856" s="104">
        <f t="shared" si="337"/>
        <v>2016</v>
      </c>
      <c r="GG856" s="104">
        <f t="shared" si="338"/>
        <v>18</v>
      </c>
      <c r="GH856" s="35">
        <v>42486</v>
      </c>
      <c r="GI856" s="26">
        <v>1.556</v>
      </c>
      <c r="GJ856" s="94">
        <f t="shared" si="339"/>
        <v>3.112</v>
      </c>
      <c r="GK856" s="104"/>
      <c r="GL856" s="104"/>
      <c r="GO856" s="94"/>
    </row>
    <row r="857" spans="3:197">
      <c r="C857" s="80" t="str" cm="1">
        <f t="array" ref="C857">_xlfn.IFS(MONTH(D857)&lt;4,1,MONTH(D857)&lt;7,2,MONTH(D857)&lt;10,3,MONTH(D857)&gt;9,4)&amp;"Q"&amp;RIGHT(YEAR(D857),2)</f>
        <v>2Q19</v>
      </c>
      <c r="D857" s="81">
        <f t="shared" si="332"/>
        <v>43646</v>
      </c>
      <c r="E857" s="82">
        <f t="shared" si="344"/>
        <v>43637</v>
      </c>
      <c r="F857" s="83">
        <f t="shared" si="342"/>
        <v>0.4095</v>
      </c>
      <c r="G857" s="83">
        <f t="shared" si="342"/>
        <v>0.41375</v>
      </c>
      <c r="H857" s="81"/>
      <c r="I857" s="146">
        <v>43637</v>
      </c>
      <c r="J857" s="147">
        <v>3.75</v>
      </c>
      <c r="K857" s="147">
        <v>2.8</v>
      </c>
      <c r="L857" s="147">
        <v>3.276</v>
      </c>
      <c r="M857" s="94" cm="1">
        <f t="array" ref="M857">INDEX($BV$29:$BV$1449,MATCH($D857,$BR$29:$BR$1449,0),)</f>
        <v>3.31</v>
      </c>
      <c r="N857" s="150">
        <f t="shared" si="343"/>
        <v>-0.015625</v>
      </c>
      <c r="O857" s="150">
        <f t="shared" si="345"/>
        <v>-0.0381679389312978</v>
      </c>
      <c r="P857" s="150">
        <f t="shared" si="340"/>
        <v>-0.0719546742209631</v>
      </c>
      <c r="Q857" s="89">
        <f t="shared" si="341"/>
        <v>-0.0102719033232629</v>
      </c>
      <c r="R857" s="154"/>
      <c r="S857" s="154"/>
      <c r="T857" s="154"/>
      <c r="U857" s="154"/>
      <c r="V857" s="154"/>
      <c r="W857" s="154"/>
      <c r="X857" s="154"/>
      <c r="Y857" s="154"/>
      <c r="Z857" s="154"/>
      <c r="AA857" s="154"/>
      <c r="AB857" s="154"/>
      <c r="AC857" s="154"/>
      <c r="AD857" s="154"/>
      <c r="AE857" s="154"/>
      <c r="AF857" s="154"/>
      <c r="AG857" s="154"/>
      <c r="AH857" s="90"/>
      <c r="AI857" s="85"/>
      <c r="AJ857" s="36"/>
      <c r="AK857" s="36"/>
      <c r="AL857" s="36"/>
      <c r="AM857" s="36"/>
      <c r="AN857" s="36"/>
      <c r="AO857" s="36"/>
      <c r="AP857" s="36"/>
      <c r="AQ857" s="154"/>
      <c r="BP857" s="154"/>
      <c r="BQ857" s="154"/>
      <c r="BR857" s="154"/>
      <c r="FV857" s="104">
        <f t="shared" si="334"/>
        <v>2013</v>
      </c>
      <c r="FW857" s="104">
        <f t="shared" si="335"/>
        <v>43</v>
      </c>
      <c r="FX857" s="35">
        <v>41571</v>
      </c>
      <c r="FY857" s="26">
        <v>2.055</v>
      </c>
      <c r="FZ857" s="94">
        <f t="shared" si="336"/>
        <v>8.22</v>
      </c>
      <c r="GA857" s="104"/>
      <c r="GB857" s="104"/>
      <c r="GE857" s="94"/>
      <c r="GF857" s="104">
        <f t="shared" si="337"/>
        <v>2016</v>
      </c>
      <c r="GG857" s="104">
        <f t="shared" si="338"/>
        <v>18</v>
      </c>
      <c r="GH857" s="35">
        <v>42487</v>
      </c>
      <c r="GI857" s="26">
        <v>1.547</v>
      </c>
      <c r="GJ857" s="94">
        <f t="shared" si="339"/>
        <v>3.094</v>
      </c>
      <c r="GK857" s="104"/>
      <c r="GL857" s="104"/>
      <c r="GO857" s="94"/>
    </row>
    <row r="858" spans="3:197">
      <c r="C858" s="80" t="str" cm="1">
        <f t="array" ref="C858">_xlfn.IFS(MONTH(D858)&lt;4,1,MONTH(D858)&lt;7,2,MONTH(D858)&lt;10,3,MONTH(D858)&gt;9,4)&amp;"Q"&amp;RIGHT(YEAR(D858),2)</f>
        <v>2Q19</v>
      </c>
      <c r="D858" s="81">
        <f t="shared" si="332"/>
        <v>43646</v>
      </c>
      <c r="E858" s="82">
        <f t="shared" si="344"/>
        <v>43640</v>
      </c>
      <c r="F858" s="83">
        <f t="shared" si="342"/>
        <v>0.408125</v>
      </c>
      <c r="G858" s="83">
        <f t="shared" si="342"/>
        <v>0.41375</v>
      </c>
      <c r="H858" s="81"/>
      <c r="I858" s="146">
        <v>43640</v>
      </c>
      <c r="J858" s="147">
        <v>3.75</v>
      </c>
      <c r="K858" s="147">
        <v>2.8</v>
      </c>
      <c r="L858" s="147">
        <v>3.265</v>
      </c>
      <c r="M858" s="94" cm="1">
        <f t="array" ref="M858">INDEX($BV$29:$BV$1449,MATCH($D858,$BR$29:$BR$1449,0),)</f>
        <v>3.31</v>
      </c>
      <c r="N858" s="150">
        <f t="shared" si="343"/>
        <v>-0.00335775335775323</v>
      </c>
      <c r="O858" s="150">
        <f t="shared" si="345"/>
        <v>-0.040270429159318</v>
      </c>
      <c r="P858" s="150">
        <f t="shared" si="340"/>
        <v>-0.0660755148741419</v>
      </c>
      <c r="Q858" s="89">
        <f t="shared" si="341"/>
        <v>-0.0135951661631419</v>
      </c>
      <c r="R858" s="154"/>
      <c r="S858" s="154"/>
      <c r="T858" s="154"/>
      <c r="U858" s="154"/>
      <c r="V858" s="154"/>
      <c r="W858" s="154"/>
      <c r="X858" s="154"/>
      <c r="Y858" s="154"/>
      <c r="Z858" s="154"/>
      <c r="AA858" s="154"/>
      <c r="AB858" s="154"/>
      <c r="AC858" s="154"/>
      <c r="AD858" s="154"/>
      <c r="AE858" s="154"/>
      <c r="AF858" s="154"/>
      <c r="AG858" s="154"/>
      <c r="AH858" s="90"/>
      <c r="AI858" s="85"/>
      <c r="AJ858" s="36"/>
      <c r="AK858" s="36"/>
      <c r="AL858" s="36"/>
      <c r="AM858" s="36"/>
      <c r="AN858" s="36"/>
      <c r="AO858" s="36"/>
      <c r="AP858" s="36"/>
      <c r="AQ858" s="154"/>
      <c r="BP858" s="154"/>
      <c r="BQ858" s="154"/>
      <c r="BR858" s="154"/>
      <c r="FV858" s="104">
        <f t="shared" si="334"/>
        <v>2013</v>
      </c>
      <c r="FW858" s="104">
        <f t="shared" si="335"/>
        <v>43</v>
      </c>
      <c r="FX858" s="35">
        <v>41572</v>
      </c>
      <c r="FY858" s="26">
        <v>1.978</v>
      </c>
      <c r="FZ858" s="94">
        <f t="shared" si="336"/>
        <v>7.912</v>
      </c>
      <c r="GA858" s="104"/>
      <c r="GB858" s="104"/>
      <c r="GE858" s="94"/>
      <c r="GF858" s="104">
        <f t="shared" si="337"/>
        <v>2016</v>
      </c>
      <c r="GG858" s="104">
        <f t="shared" si="338"/>
        <v>18</v>
      </c>
      <c r="GH858" s="35">
        <v>42488</v>
      </c>
      <c r="GI858" s="26">
        <v>1.524</v>
      </c>
      <c r="GJ858" s="94">
        <f t="shared" si="339"/>
        <v>3.048</v>
      </c>
      <c r="GK858" s="104"/>
      <c r="GL858" s="104"/>
      <c r="GO858" s="94"/>
    </row>
    <row r="859" spans="3:197">
      <c r="C859" s="80" t="str" cm="1">
        <f t="array" ref="C859">_xlfn.IFS(MONTH(D859)&lt;4,1,MONTH(D859)&lt;7,2,MONTH(D859)&lt;10,3,MONTH(D859)&gt;9,4)&amp;"Q"&amp;RIGHT(YEAR(D859),2)</f>
        <v>2Q19</v>
      </c>
      <c r="D859" s="81">
        <f t="shared" si="332"/>
        <v>43646</v>
      </c>
      <c r="E859" s="82">
        <f t="shared" si="344"/>
        <v>43641</v>
      </c>
      <c r="F859" s="83">
        <f t="shared" si="342"/>
        <v>0.4035</v>
      </c>
      <c r="G859" s="83">
        <f t="shared" si="342"/>
        <v>0.41375</v>
      </c>
      <c r="H859" s="81"/>
      <c r="I859" s="146">
        <v>43641</v>
      </c>
      <c r="J859" s="147">
        <v>3.75</v>
      </c>
      <c r="K859" s="147">
        <v>2.8</v>
      </c>
      <c r="L859" s="147">
        <v>3.228</v>
      </c>
      <c r="M859" s="94" cm="1">
        <f t="array" ref="M859">INDEX($BV$29:$BV$1449,MATCH($D859,$BR$29:$BR$1449,0),)</f>
        <v>3.31</v>
      </c>
      <c r="N859" s="150">
        <f t="shared" si="343"/>
        <v>-0.0113323124042879</v>
      </c>
      <c r="O859" s="150">
        <f t="shared" si="345"/>
        <v>-0.0472255017709562</v>
      </c>
      <c r="P859" s="150">
        <f t="shared" si="340"/>
        <v>-0.0632617527568194</v>
      </c>
      <c r="Q859" s="89">
        <f t="shared" si="341"/>
        <v>-0.0247734138972809</v>
      </c>
      <c r="R859" s="154"/>
      <c r="S859" s="154"/>
      <c r="T859" s="154"/>
      <c r="U859" s="154"/>
      <c r="V859" s="154"/>
      <c r="W859" s="154"/>
      <c r="X859" s="154"/>
      <c r="Y859" s="154"/>
      <c r="Z859" s="154"/>
      <c r="AA859" s="154"/>
      <c r="AB859" s="154"/>
      <c r="AC859" s="154"/>
      <c r="AD859" s="154"/>
      <c r="AE859" s="154"/>
      <c r="AF859" s="154"/>
      <c r="AG859" s="154"/>
      <c r="AH859" s="90"/>
      <c r="AI859" s="85"/>
      <c r="AJ859" s="36"/>
      <c r="AK859" s="36"/>
      <c r="AL859" s="36"/>
      <c r="AM859" s="36"/>
      <c r="AN859" s="36"/>
      <c r="AO859" s="36"/>
      <c r="AP859" s="36"/>
      <c r="AQ859" s="154"/>
      <c r="BP859" s="154"/>
      <c r="BQ859" s="154"/>
      <c r="BR859" s="154"/>
      <c r="FV859" s="104">
        <f t="shared" si="334"/>
        <v>2013</v>
      </c>
      <c r="FW859" s="104">
        <f t="shared" si="335"/>
        <v>44</v>
      </c>
      <c r="FX859" s="35">
        <v>41575</v>
      </c>
      <c r="FY859" s="26">
        <v>1.967</v>
      </c>
      <c r="FZ859" s="94">
        <f t="shared" si="336"/>
        <v>7.868</v>
      </c>
      <c r="GA859" s="104"/>
      <c r="GB859" s="104"/>
      <c r="GE859" s="94"/>
      <c r="GF859" s="104">
        <f t="shared" si="337"/>
        <v>2016</v>
      </c>
      <c r="GG859" s="104">
        <f t="shared" si="338"/>
        <v>18</v>
      </c>
      <c r="GH859" s="35">
        <v>42489</v>
      </c>
      <c r="GI859" s="26">
        <v>1.516</v>
      </c>
      <c r="GJ859" s="94">
        <f t="shared" si="339"/>
        <v>3.032</v>
      </c>
      <c r="GK859" s="104"/>
      <c r="GL859" s="104"/>
      <c r="GO859" s="94"/>
    </row>
    <row r="860" spans="3:197">
      <c r="C860" s="80" t="str" cm="1">
        <f t="array" ref="C860">_xlfn.IFS(MONTH(D860)&lt;4,1,MONTH(D860)&lt;7,2,MONTH(D860)&lt;10,3,MONTH(D860)&gt;9,4)&amp;"Q"&amp;RIGHT(YEAR(D860),2)</f>
        <v>2Q19</v>
      </c>
      <c r="D860" s="81">
        <f t="shared" si="332"/>
        <v>43646</v>
      </c>
      <c r="E860" s="82">
        <f t="shared" si="344"/>
        <v>43642</v>
      </c>
      <c r="F860" s="83">
        <f t="shared" si="342"/>
        <v>0.402</v>
      </c>
      <c r="G860" s="83">
        <f t="shared" si="342"/>
        <v>0.41375</v>
      </c>
      <c r="H860" s="81"/>
      <c r="I860" s="146">
        <v>43642</v>
      </c>
      <c r="J860" s="147">
        <v>3.7</v>
      </c>
      <c r="K860" s="147">
        <v>2.8</v>
      </c>
      <c r="L860" s="147">
        <v>3.216</v>
      </c>
      <c r="M860" s="94" cm="1">
        <f t="array" ref="M860">INDEX($BV$29:$BV$1449,MATCH($D860,$BR$29:$BR$1449,0),)</f>
        <v>3.31</v>
      </c>
      <c r="N860" s="150">
        <f t="shared" si="343"/>
        <v>-0.00371747211895912</v>
      </c>
      <c r="O860" s="150">
        <f t="shared" si="345"/>
        <v>-0.0405727923627685</v>
      </c>
      <c r="P860" s="150">
        <f t="shared" si="340"/>
        <v>-0.0612959719789842</v>
      </c>
      <c r="Q860" s="89">
        <f t="shared" si="341"/>
        <v>-0.0283987915407855</v>
      </c>
      <c r="R860" s="154"/>
      <c r="S860" s="154"/>
      <c r="T860" s="154"/>
      <c r="U860" s="154"/>
      <c r="V860" s="154"/>
      <c r="W860" s="154"/>
      <c r="X860" s="154"/>
      <c r="Y860" s="154"/>
      <c r="Z860" s="154"/>
      <c r="AA860" s="154"/>
      <c r="AB860" s="154"/>
      <c r="AC860" s="154"/>
      <c r="AD860" s="154"/>
      <c r="AE860" s="154"/>
      <c r="AF860" s="154"/>
      <c r="AG860" s="154"/>
      <c r="AH860" s="90"/>
      <c r="AI860" s="85"/>
      <c r="AJ860" s="36"/>
      <c r="AK860" s="36"/>
      <c r="AL860" s="36"/>
      <c r="AM860" s="36"/>
      <c r="AN860" s="36"/>
      <c r="AO860" s="36"/>
      <c r="AP860" s="36"/>
      <c r="AQ860" s="154"/>
      <c r="BP860" s="154"/>
      <c r="BQ860" s="154"/>
      <c r="BR860" s="154"/>
      <c r="FV860" s="104">
        <f t="shared" si="334"/>
        <v>2013</v>
      </c>
      <c r="FW860" s="104">
        <f t="shared" si="335"/>
        <v>44</v>
      </c>
      <c r="FX860" s="35">
        <v>41576</v>
      </c>
      <c r="FY860" s="26">
        <v>1.967</v>
      </c>
      <c r="FZ860" s="94">
        <f t="shared" si="336"/>
        <v>7.868</v>
      </c>
      <c r="GA860" s="104"/>
      <c r="GB860" s="104"/>
      <c r="GE860" s="94"/>
      <c r="GF860" s="104">
        <f t="shared" si="337"/>
        <v>2016</v>
      </c>
      <c r="GG860" s="104">
        <f t="shared" si="338"/>
        <v>19</v>
      </c>
      <c r="GH860" s="35">
        <v>42493</v>
      </c>
      <c r="GI860" s="26">
        <v>1.513</v>
      </c>
      <c r="GJ860" s="94">
        <f t="shared" si="339"/>
        <v>3.026</v>
      </c>
      <c r="GK860" s="104"/>
      <c r="GL860" s="104"/>
      <c r="GO860" s="94"/>
    </row>
    <row r="861" spans="3:197">
      <c r="C861" s="80" t="str" cm="1">
        <f t="array" ref="C861">_xlfn.IFS(MONTH(D861)&lt;4,1,MONTH(D861)&lt;7,2,MONTH(D861)&lt;10,3,MONTH(D861)&gt;9,4)&amp;"Q"&amp;RIGHT(YEAR(D861),2)</f>
        <v>2Q19</v>
      </c>
      <c r="D861" s="81">
        <f t="shared" si="332"/>
        <v>43646</v>
      </c>
      <c r="E861" s="82">
        <f t="shared" si="344"/>
        <v>43643</v>
      </c>
      <c r="F861" s="83">
        <f t="shared" si="342"/>
        <v>0.394875</v>
      </c>
      <c r="G861" s="83">
        <f t="shared" si="342"/>
        <v>0.41375</v>
      </c>
      <c r="H861" s="81"/>
      <c r="I861" s="146">
        <v>43643</v>
      </c>
      <c r="J861" s="147">
        <v>3.7</v>
      </c>
      <c r="K861" s="147">
        <v>2.8</v>
      </c>
      <c r="L861" s="147">
        <v>3.159</v>
      </c>
      <c r="M861" s="94" cm="1">
        <f t="array" ref="M861">INDEX($BV$29:$BV$1449,MATCH($D861,$BR$29:$BR$1449,0),)</f>
        <v>3.31</v>
      </c>
      <c r="N861" s="150">
        <f t="shared" si="343"/>
        <v>-0.017723880597015</v>
      </c>
      <c r="O861" s="150">
        <f t="shared" si="345"/>
        <v>-0.05078125</v>
      </c>
      <c r="P861" s="150">
        <f t="shared" si="340"/>
        <v>-0.0763157894736842</v>
      </c>
      <c r="Q861" s="89">
        <f t="shared" si="341"/>
        <v>-0.0456193353474321</v>
      </c>
      <c r="R861" s="154"/>
      <c r="S861" s="154"/>
      <c r="T861" s="154"/>
      <c r="U861" s="154"/>
      <c r="V861" s="154"/>
      <c r="W861" s="154"/>
      <c r="X861" s="154"/>
      <c r="Y861" s="154"/>
      <c r="Z861" s="154"/>
      <c r="AA861" s="154"/>
      <c r="AB861" s="154"/>
      <c r="AC861" s="154"/>
      <c r="AD861" s="154"/>
      <c r="AE861" s="154"/>
      <c r="AF861" s="154"/>
      <c r="AG861" s="154"/>
      <c r="AH861" s="90"/>
      <c r="AI861" s="85"/>
      <c r="AJ861" s="36"/>
      <c r="AK861" s="36"/>
      <c r="AL861" s="36"/>
      <c r="AM861" s="36"/>
      <c r="AN861" s="36"/>
      <c r="AO861" s="36"/>
      <c r="AP861" s="36"/>
      <c r="AQ861" s="154"/>
      <c r="BP861" s="154"/>
      <c r="BQ861" s="154"/>
      <c r="BR861" s="154"/>
      <c r="FV861" s="104">
        <f t="shared" si="334"/>
        <v>2013</v>
      </c>
      <c r="FW861" s="104">
        <f t="shared" si="335"/>
        <v>44</v>
      </c>
      <c r="FX861" s="35">
        <v>41577</v>
      </c>
      <c r="FY861" s="26">
        <v>2.055</v>
      </c>
      <c r="FZ861" s="94">
        <f t="shared" si="336"/>
        <v>8.22</v>
      </c>
      <c r="GA861" s="104"/>
      <c r="GB861" s="104"/>
      <c r="GE861" s="94"/>
      <c r="GF861" s="104">
        <f t="shared" si="337"/>
        <v>2016</v>
      </c>
      <c r="GG861" s="104">
        <f t="shared" si="338"/>
        <v>19</v>
      </c>
      <c r="GH861" s="35">
        <v>42494</v>
      </c>
      <c r="GI861" s="26">
        <v>1.509</v>
      </c>
      <c r="GJ861" s="94">
        <f t="shared" si="339"/>
        <v>3.018</v>
      </c>
      <c r="GK861" s="104"/>
      <c r="GL861" s="104"/>
      <c r="GO861" s="94"/>
    </row>
    <row r="862" spans="3:197">
      <c r="C862" s="80" t="str" cm="1">
        <f t="array" ref="C862">_xlfn.IFS(MONTH(D862)&lt;4,1,MONTH(D862)&lt;7,2,MONTH(D862)&lt;10,3,MONTH(D862)&gt;9,4)&amp;"Q"&amp;RIGHT(YEAR(D862),2)</f>
        <v>2Q19</v>
      </c>
      <c r="D862" s="81">
        <f t="shared" ref="D862:D925" si="346">EOMONTH(E862,0)</f>
        <v>43646</v>
      </c>
      <c r="E862" s="82">
        <f t="shared" si="344"/>
        <v>43644</v>
      </c>
      <c r="F862" s="83">
        <f t="shared" si="342"/>
        <v>0.39275</v>
      </c>
      <c r="G862" s="83">
        <f t="shared" si="342"/>
        <v>0.41375</v>
      </c>
      <c r="H862" s="81"/>
      <c r="I862" s="146">
        <v>43644</v>
      </c>
      <c r="J862" s="147">
        <v>3.65</v>
      </c>
      <c r="K862" s="147">
        <v>2.75</v>
      </c>
      <c r="L862" s="147">
        <v>3.142</v>
      </c>
      <c r="M862" s="94" cm="1">
        <f t="array" ref="M862">INDEX($BV$29:$BV$1449,MATCH($D862,$BR$29:$BR$1449,0),)</f>
        <v>3.31</v>
      </c>
      <c r="N862" s="150">
        <f t="shared" si="343"/>
        <v>-0.00538144982589428</v>
      </c>
      <c r="O862" s="150">
        <f t="shared" si="345"/>
        <v>-0.0409035409035409</v>
      </c>
      <c r="P862" s="150">
        <f t="shared" si="340"/>
        <v>-0.0775102759835585</v>
      </c>
      <c r="Q862" s="89">
        <f t="shared" si="341"/>
        <v>-0.0507552870090635</v>
      </c>
      <c r="R862" s="154"/>
      <c r="S862" s="154"/>
      <c r="T862" s="154"/>
      <c r="U862" s="154"/>
      <c r="V862" s="154"/>
      <c r="W862" s="154"/>
      <c r="X862" s="154"/>
      <c r="Y862" s="154"/>
      <c r="Z862" s="154"/>
      <c r="AA862" s="154"/>
      <c r="AB862" s="154"/>
      <c r="AC862" s="154"/>
      <c r="AD862" s="154"/>
      <c r="AE862" s="154"/>
      <c r="AF862" s="154"/>
      <c r="AG862" s="154"/>
      <c r="AH862" s="90"/>
      <c r="AI862" s="85"/>
      <c r="AJ862" s="36"/>
      <c r="AK862" s="36"/>
      <c r="AL862" s="36"/>
      <c r="AM862" s="36"/>
      <c r="AN862" s="36"/>
      <c r="AO862" s="36"/>
      <c r="AP862" s="36"/>
      <c r="AQ862" s="154"/>
      <c r="BP862" s="154"/>
      <c r="BQ862" s="154"/>
      <c r="BR862" s="154"/>
      <c r="FV862" s="104">
        <f t="shared" si="334"/>
        <v>2013</v>
      </c>
      <c r="FW862" s="104">
        <f t="shared" si="335"/>
        <v>44</v>
      </c>
      <c r="FX862" s="35">
        <v>41578</v>
      </c>
      <c r="FY862" s="26">
        <v>2.15</v>
      </c>
      <c r="FZ862" s="94">
        <f t="shared" si="336"/>
        <v>8.6</v>
      </c>
      <c r="GA862" s="104"/>
      <c r="GB862" s="104"/>
      <c r="GE862" s="94"/>
      <c r="GF862" s="104">
        <f t="shared" si="337"/>
        <v>2016</v>
      </c>
      <c r="GG862" s="104">
        <f t="shared" si="338"/>
        <v>19</v>
      </c>
      <c r="GH862" s="35">
        <v>42495</v>
      </c>
      <c r="GI862" s="26">
        <v>1.507</v>
      </c>
      <c r="GJ862" s="94">
        <f t="shared" si="339"/>
        <v>3.014</v>
      </c>
      <c r="GK862" s="104"/>
      <c r="GL862" s="104"/>
      <c r="GO862" s="94"/>
    </row>
    <row r="863" spans="3:197">
      <c r="C863" s="80" t="str" cm="1">
        <f t="array" ref="C863">_xlfn.IFS(MONTH(D863)&lt;4,1,MONTH(D863)&lt;7,2,MONTH(D863)&lt;10,3,MONTH(D863)&gt;9,4)&amp;"Q"&amp;RIGHT(YEAR(D863),2)</f>
        <v>3Q19</v>
      </c>
      <c r="D863" s="81">
        <f t="shared" si="346"/>
        <v>43677</v>
      </c>
      <c r="E863" s="82">
        <f t="shared" si="344"/>
        <v>43647</v>
      </c>
      <c r="F863" s="83">
        <f t="shared" ref="F863:G885" si="347">+L863/8</f>
        <v>0.391</v>
      </c>
      <c r="G863" s="83">
        <f t="shared" si="347"/>
        <v>0.3675</v>
      </c>
      <c r="H863" s="81"/>
      <c r="I863" s="146">
        <v>43647</v>
      </c>
      <c r="J863" s="147">
        <v>3.65</v>
      </c>
      <c r="K863" s="147">
        <v>2.75</v>
      </c>
      <c r="L863" s="147">
        <v>3.128</v>
      </c>
      <c r="M863" s="94" cm="1">
        <f t="array" ref="M863">INDEX($BV$29:$BV$1449,MATCH($D863,$BR$29:$BR$1449,0),)</f>
        <v>2.94</v>
      </c>
      <c r="N863" s="150">
        <f t="shared" si="343"/>
        <v>-0.00445576066199871</v>
      </c>
      <c r="O863" s="150">
        <f t="shared" si="345"/>
        <v>-0.0419601837672282</v>
      </c>
      <c r="P863" s="150">
        <f t="shared" si="340"/>
        <v>-0.0805408583186361</v>
      </c>
      <c r="Q863" s="89">
        <f t="shared" si="341"/>
        <v>0.0639455782312925</v>
      </c>
      <c r="R863" s="154"/>
      <c r="S863" s="154"/>
      <c r="T863" s="154"/>
      <c r="U863" s="154"/>
      <c r="V863" s="154"/>
      <c r="W863" s="154"/>
      <c r="X863" s="154"/>
      <c r="Y863" s="154"/>
      <c r="Z863" s="154"/>
      <c r="AA863" s="154"/>
      <c r="AB863" s="154"/>
      <c r="AC863" s="154"/>
      <c r="AD863" s="154"/>
      <c r="AE863" s="154"/>
      <c r="AF863" s="154"/>
      <c r="AG863" s="154"/>
      <c r="AH863" s="90"/>
      <c r="AI863" s="85"/>
      <c r="AJ863" s="36"/>
      <c r="AK863" s="36"/>
      <c r="AL863" s="36"/>
      <c r="AM863" s="36"/>
      <c r="AN863" s="36"/>
      <c r="AO863" s="36"/>
      <c r="AP863" s="36"/>
      <c r="AQ863" s="154"/>
      <c r="BP863" s="154"/>
      <c r="BQ863" s="154"/>
      <c r="BR863" s="154"/>
      <c r="FV863" s="104">
        <f t="shared" si="334"/>
        <v>2013</v>
      </c>
      <c r="FW863" s="104">
        <f t="shared" si="335"/>
        <v>44</v>
      </c>
      <c r="FX863" s="35">
        <v>41579</v>
      </c>
      <c r="FY863" s="26">
        <v>2.177</v>
      </c>
      <c r="FZ863" s="94">
        <f t="shared" si="336"/>
        <v>8.708</v>
      </c>
      <c r="GA863" s="104"/>
      <c r="GB863" s="104"/>
      <c r="GE863" s="94"/>
      <c r="GF863" s="104">
        <f t="shared" si="337"/>
        <v>2016</v>
      </c>
      <c r="GG863" s="104">
        <f t="shared" si="338"/>
        <v>19</v>
      </c>
      <c r="GH863" s="35">
        <v>42496</v>
      </c>
      <c r="GI863" s="26">
        <v>1.501</v>
      </c>
      <c r="GJ863" s="94">
        <f t="shared" si="339"/>
        <v>3.002</v>
      </c>
      <c r="GK863" s="104"/>
      <c r="GL863" s="104"/>
      <c r="GO863" s="94"/>
    </row>
    <row r="864" spans="3:197">
      <c r="C864" s="80" t="str" cm="1">
        <f t="array" ref="C864">_xlfn.IFS(MONTH(D864)&lt;4,1,MONTH(D864)&lt;7,2,MONTH(D864)&lt;10,3,MONTH(D864)&gt;9,4)&amp;"Q"&amp;RIGHT(YEAR(D864),2)</f>
        <v>3Q19</v>
      </c>
      <c r="D864" s="81">
        <f t="shared" si="346"/>
        <v>43677</v>
      </c>
      <c r="E864" s="82">
        <f t="shared" si="344"/>
        <v>43648</v>
      </c>
      <c r="F864" s="83">
        <f t="shared" si="347"/>
        <v>0.38825</v>
      </c>
      <c r="G864" s="83">
        <f t="shared" si="347"/>
        <v>0.3675</v>
      </c>
      <c r="H864" s="81"/>
      <c r="I864" s="146">
        <v>43648</v>
      </c>
      <c r="J864" s="147">
        <v>3.65</v>
      </c>
      <c r="K864" s="147">
        <v>2.75</v>
      </c>
      <c r="L864" s="147">
        <v>3.106</v>
      </c>
      <c r="M864" s="94" cm="1">
        <f t="array" ref="M864">INDEX($BV$29:$BV$1449,MATCH($D864,$BR$29:$BR$1449,0),)</f>
        <v>2.94</v>
      </c>
      <c r="N864" s="150">
        <f t="shared" si="343"/>
        <v>-0.00703324808184147</v>
      </c>
      <c r="O864" s="150">
        <f t="shared" si="345"/>
        <v>-0.0377942998760844</v>
      </c>
      <c r="P864" s="150">
        <f t="shared" si="340"/>
        <v>-0.0832349468713105</v>
      </c>
      <c r="Q864" s="89">
        <f t="shared" si="341"/>
        <v>0.0564625850340137</v>
      </c>
      <c r="R864" s="154"/>
      <c r="S864" s="154"/>
      <c r="T864" s="154"/>
      <c r="U864" s="154"/>
      <c r="V864" s="154"/>
      <c r="W864" s="154"/>
      <c r="X864" s="154"/>
      <c r="Y864" s="154"/>
      <c r="Z864" s="154"/>
      <c r="AA864" s="154"/>
      <c r="AB864" s="154"/>
      <c r="AC864" s="154"/>
      <c r="AD864" s="154"/>
      <c r="AE864" s="154"/>
      <c r="AF864" s="154"/>
      <c r="AG864" s="154"/>
      <c r="AH864" s="90"/>
      <c r="AI864" s="85"/>
      <c r="AJ864" s="36"/>
      <c r="AK864" s="36"/>
      <c r="AL864" s="36"/>
      <c r="AM864" s="36"/>
      <c r="AN864" s="36"/>
      <c r="AO864" s="36"/>
      <c r="AP864" s="36"/>
      <c r="AQ864" s="154"/>
      <c r="BP864" s="154"/>
      <c r="BQ864" s="154"/>
      <c r="BR864" s="154"/>
      <c r="FV864" s="104">
        <f t="shared" si="334"/>
        <v>2013</v>
      </c>
      <c r="FW864" s="104">
        <f t="shared" si="335"/>
        <v>45</v>
      </c>
      <c r="FX864" s="35">
        <v>41582</v>
      </c>
      <c r="FY864" s="26">
        <v>2.177</v>
      </c>
      <c r="FZ864" s="94">
        <f t="shared" si="336"/>
        <v>8.708</v>
      </c>
      <c r="GA864" s="104"/>
      <c r="GB864" s="104"/>
      <c r="GE864" s="94"/>
      <c r="GF864" s="104">
        <f t="shared" si="337"/>
        <v>2016</v>
      </c>
      <c r="GG864" s="104">
        <f t="shared" si="338"/>
        <v>20</v>
      </c>
      <c r="GH864" s="35">
        <v>42499</v>
      </c>
      <c r="GI864" s="26">
        <v>1.498</v>
      </c>
      <c r="GJ864" s="94">
        <f t="shared" si="339"/>
        <v>2.996</v>
      </c>
      <c r="GK864" s="104"/>
      <c r="GL864" s="104"/>
      <c r="GO864" s="94"/>
    </row>
    <row r="865" spans="3:197">
      <c r="C865" s="80" t="str" cm="1">
        <f t="array" ref="C865">_xlfn.IFS(MONTH(D865)&lt;4,1,MONTH(D865)&lt;7,2,MONTH(D865)&lt;10,3,MONTH(D865)&gt;9,4)&amp;"Q"&amp;RIGHT(YEAR(D865),2)</f>
        <v>3Q19</v>
      </c>
      <c r="D865" s="81">
        <f t="shared" si="346"/>
        <v>43677</v>
      </c>
      <c r="E865" s="82">
        <f t="shared" si="344"/>
        <v>43649</v>
      </c>
      <c r="F865" s="83">
        <f t="shared" si="347"/>
        <v>0.3865</v>
      </c>
      <c r="G865" s="83">
        <f t="shared" si="347"/>
        <v>0.3675</v>
      </c>
      <c r="H865" s="81"/>
      <c r="I865" s="146">
        <v>43649</v>
      </c>
      <c r="J865" s="147">
        <v>3.6</v>
      </c>
      <c r="K865" s="147">
        <v>2.75</v>
      </c>
      <c r="L865" s="147">
        <v>3.092</v>
      </c>
      <c r="M865" s="94" cm="1">
        <f t="array" ref="M865">INDEX($BV$29:$BV$1449,MATCH($D865,$BR$29:$BR$1449,0),)</f>
        <v>2.94</v>
      </c>
      <c r="N865" s="150">
        <f t="shared" si="343"/>
        <v>-0.00450740502253699</v>
      </c>
      <c r="O865" s="150">
        <f t="shared" si="345"/>
        <v>-0.0385572139303483</v>
      </c>
      <c r="P865" s="150">
        <f t="shared" si="340"/>
        <v>-0.0775656324582338</v>
      </c>
      <c r="Q865" s="89">
        <f t="shared" si="341"/>
        <v>0.0517006802721089</v>
      </c>
      <c r="R865" s="154"/>
      <c r="S865" s="154"/>
      <c r="T865" s="154"/>
      <c r="U865" s="154"/>
      <c r="V865" s="154"/>
      <c r="W865" s="154"/>
      <c r="X865" s="154"/>
      <c r="Y865" s="154"/>
      <c r="Z865" s="154"/>
      <c r="AA865" s="154"/>
      <c r="AB865" s="154"/>
      <c r="AC865" s="154"/>
      <c r="AD865" s="154"/>
      <c r="AE865" s="154"/>
      <c r="AF865" s="154"/>
      <c r="AG865" s="154"/>
      <c r="AH865" s="90"/>
      <c r="AI865" s="85"/>
      <c r="AJ865" s="36"/>
      <c r="AK865" s="36"/>
      <c r="AL865" s="36"/>
      <c r="AM865" s="36"/>
      <c r="AN865" s="36"/>
      <c r="AO865" s="36"/>
      <c r="AP865" s="36"/>
      <c r="AQ865" s="154"/>
      <c r="BP865" s="154"/>
      <c r="BQ865" s="154"/>
      <c r="BR865" s="154"/>
      <c r="FV865" s="104">
        <f t="shared" si="334"/>
        <v>2013</v>
      </c>
      <c r="FW865" s="104">
        <f t="shared" si="335"/>
        <v>45</v>
      </c>
      <c r="FX865" s="35">
        <v>41583</v>
      </c>
      <c r="FY865" s="26">
        <v>2.167</v>
      </c>
      <c r="FZ865" s="94">
        <f t="shared" si="336"/>
        <v>8.668</v>
      </c>
      <c r="GA865" s="104"/>
      <c r="GB865" s="104"/>
      <c r="GE865" s="94"/>
      <c r="GF865" s="104">
        <f t="shared" si="337"/>
        <v>2016</v>
      </c>
      <c r="GG865" s="104">
        <f t="shared" si="338"/>
        <v>20</v>
      </c>
      <c r="GH865" s="35">
        <v>42500</v>
      </c>
      <c r="GI865" s="26">
        <v>1.498</v>
      </c>
      <c r="GJ865" s="94">
        <f t="shared" si="339"/>
        <v>2.996</v>
      </c>
      <c r="GK865" s="104"/>
      <c r="GL865" s="104"/>
      <c r="GO865" s="94"/>
    </row>
    <row r="866" spans="3:197">
      <c r="C866" s="80" t="str" cm="1">
        <f t="array" ref="C866">_xlfn.IFS(MONTH(D866)&lt;4,1,MONTH(D866)&lt;7,2,MONTH(D866)&lt;10,3,MONTH(D866)&gt;9,4)&amp;"Q"&amp;RIGHT(YEAR(D866),2)</f>
        <v>3Q19</v>
      </c>
      <c r="D866" s="81">
        <f t="shared" si="346"/>
        <v>43677</v>
      </c>
      <c r="E866" s="82">
        <f t="shared" si="344"/>
        <v>43650</v>
      </c>
      <c r="F866" s="83">
        <f t="shared" si="347"/>
        <v>0.38325</v>
      </c>
      <c r="G866" s="83">
        <f t="shared" si="347"/>
        <v>0.3675</v>
      </c>
      <c r="H866" s="81"/>
      <c r="I866" s="146">
        <v>43650</v>
      </c>
      <c r="J866" s="147">
        <v>3.6</v>
      </c>
      <c r="K866" s="147">
        <v>2.75</v>
      </c>
      <c r="L866" s="147">
        <v>3.066</v>
      </c>
      <c r="M866" s="94" cm="1">
        <f t="array" ref="M866">INDEX($BV$29:$BV$1449,MATCH($D866,$BR$29:$BR$1449,0),)</f>
        <v>2.94</v>
      </c>
      <c r="N866" s="150">
        <f t="shared" si="343"/>
        <v>-0.00840879689521357</v>
      </c>
      <c r="O866" s="150">
        <f t="shared" si="345"/>
        <v>-0.0294396961063628</v>
      </c>
      <c r="P866" s="150">
        <f t="shared" si="340"/>
        <v>-0.0787259615384616</v>
      </c>
      <c r="Q866" s="89">
        <f t="shared" si="341"/>
        <v>0.0428571428571429</v>
      </c>
      <c r="R866" s="154"/>
      <c r="S866" s="154"/>
      <c r="T866" s="154"/>
      <c r="U866" s="154"/>
      <c r="V866" s="154"/>
      <c r="W866" s="154"/>
      <c r="X866" s="154"/>
      <c r="Y866" s="154"/>
      <c r="Z866" s="154"/>
      <c r="AA866" s="154"/>
      <c r="AB866" s="154"/>
      <c r="AC866" s="154"/>
      <c r="AD866" s="154"/>
      <c r="AE866" s="154"/>
      <c r="AF866" s="154"/>
      <c r="AG866" s="154"/>
      <c r="AH866" s="90"/>
      <c r="AI866" s="85"/>
      <c r="AJ866" s="36"/>
      <c r="AK866" s="36"/>
      <c r="AL866" s="36"/>
      <c r="AM866" s="36"/>
      <c r="AN866" s="36"/>
      <c r="AO866" s="36"/>
      <c r="AP866" s="36"/>
      <c r="AQ866" s="154"/>
      <c r="BP866" s="154"/>
      <c r="BQ866" s="154"/>
      <c r="BR866" s="154"/>
      <c r="FV866" s="104">
        <f t="shared" si="334"/>
        <v>2013</v>
      </c>
      <c r="FW866" s="104">
        <f t="shared" si="335"/>
        <v>45</v>
      </c>
      <c r="FX866" s="35">
        <v>41584</v>
      </c>
      <c r="FY866" s="26">
        <v>2.14</v>
      </c>
      <c r="FZ866" s="94">
        <f t="shared" si="336"/>
        <v>8.56</v>
      </c>
      <c r="GA866" s="104"/>
      <c r="GB866" s="104"/>
      <c r="GE866" s="94"/>
      <c r="GF866" s="104">
        <f t="shared" si="337"/>
        <v>2016</v>
      </c>
      <c r="GG866" s="104">
        <f t="shared" si="338"/>
        <v>20</v>
      </c>
      <c r="GH866" s="35">
        <v>42501</v>
      </c>
      <c r="GI866" s="26">
        <v>1.498</v>
      </c>
      <c r="GJ866" s="94">
        <f t="shared" si="339"/>
        <v>2.996</v>
      </c>
      <c r="GK866" s="104"/>
      <c r="GL866" s="104"/>
      <c r="GO866" s="94"/>
    </row>
    <row r="867" spans="3:197">
      <c r="C867" s="80" t="str" cm="1">
        <f t="array" ref="C867">_xlfn.IFS(MONTH(D867)&lt;4,1,MONTH(D867)&lt;7,2,MONTH(D867)&lt;10,3,MONTH(D867)&gt;9,4)&amp;"Q"&amp;RIGHT(YEAR(D867),2)</f>
        <v>3Q19</v>
      </c>
      <c r="D867" s="81">
        <f t="shared" si="346"/>
        <v>43677</v>
      </c>
      <c r="E867" s="82">
        <f t="shared" si="344"/>
        <v>43651</v>
      </c>
      <c r="F867" s="83">
        <f t="shared" si="347"/>
        <v>0.37875</v>
      </c>
      <c r="G867" s="83">
        <f t="shared" si="347"/>
        <v>0.3675</v>
      </c>
      <c r="H867" s="81"/>
      <c r="I867" s="146">
        <v>43651</v>
      </c>
      <c r="J867" s="147">
        <v>3.5</v>
      </c>
      <c r="K867" s="147">
        <v>2.7</v>
      </c>
      <c r="L867" s="147">
        <v>3.03</v>
      </c>
      <c r="M867" s="94" cm="1">
        <f t="array" ref="M867">INDEX($BV$29:$BV$1449,MATCH($D867,$BR$29:$BR$1449,0),)</f>
        <v>2.94</v>
      </c>
      <c r="N867" s="150">
        <f t="shared" si="343"/>
        <v>-0.0117416829745597</v>
      </c>
      <c r="O867" s="150">
        <f t="shared" si="345"/>
        <v>-0.0356460852959899</v>
      </c>
      <c r="P867" s="150">
        <f t="shared" si="340"/>
        <v>-0.075091575091575</v>
      </c>
      <c r="Q867" s="89">
        <f t="shared" si="341"/>
        <v>0.0306122448979591</v>
      </c>
      <c r="R867" s="154"/>
      <c r="S867" s="154"/>
      <c r="T867" s="154"/>
      <c r="U867" s="154"/>
      <c r="V867" s="154"/>
      <c r="W867" s="154"/>
      <c r="X867" s="154"/>
      <c r="Y867" s="154"/>
      <c r="Z867" s="154"/>
      <c r="AA867" s="154"/>
      <c r="AB867" s="154"/>
      <c r="AC867" s="154"/>
      <c r="AD867" s="154"/>
      <c r="AE867" s="154"/>
      <c r="AF867" s="154"/>
      <c r="AG867" s="154"/>
      <c r="AH867" s="90"/>
      <c r="AI867" s="85"/>
      <c r="AJ867" s="36"/>
      <c r="AK867" s="36"/>
      <c r="AL867" s="36"/>
      <c r="AM867" s="36"/>
      <c r="AN867" s="36"/>
      <c r="AO867" s="36"/>
      <c r="AP867" s="36"/>
      <c r="AQ867" s="154"/>
      <c r="BP867" s="154"/>
      <c r="BQ867" s="154"/>
      <c r="BR867" s="154"/>
      <c r="FV867" s="104">
        <f t="shared" si="334"/>
        <v>2013</v>
      </c>
      <c r="FW867" s="104">
        <f t="shared" si="335"/>
        <v>45</v>
      </c>
      <c r="FX867" s="35">
        <v>41585</v>
      </c>
      <c r="FY867" s="26">
        <v>2.079</v>
      </c>
      <c r="FZ867" s="94">
        <f t="shared" si="336"/>
        <v>8.316</v>
      </c>
      <c r="GA867" s="104"/>
      <c r="GB867" s="104"/>
      <c r="GE867" s="94"/>
      <c r="GF867" s="104">
        <f t="shared" si="337"/>
        <v>2016</v>
      </c>
      <c r="GG867" s="104">
        <f t="shared" si="338"/>
        <v>20</v>
      </c>
      <c r="GH867" s="35">
        <v>42502</v>
      </c>
      <c r="GI867" s="26">
        <v>1.489</v>
      </c>
      <c r="GJ867" s="94">
        <f t="shared" si="339"/>
        <v>2.978</v>
      </c>
      <c r="GK867" s="104"/>
      <c r="GL867" s="104"/>
      <c r="GO867" s="94"/>
    </row>
    <row r="868" spans="3:197">
      <c r="C868" s="80" t="str" cm="1">
        <f t="array" ref="C868">_xlfn.IFS(MONTH(D868)&lt;4,1,MONTH(D868)&lt;7,2,MONTH(D868)&lt;10,3,MONTH(D868)&gt;9,4)&amp;"Q"&amp;RIGHT(YEAR(D868),2)</f>
        <v>3Q19</v>
      </c>
      <c r="D868" s="81">
        <f t="shared" si="346"/>
        <v>43677</v>
      </c>
      <c r="E868" s="82">
        <f t="shared" si="344"/>
        <v>43654</v>
      </c>
      <c r="F868" s="83">
        <f t="shared" si="347"/>
        <v>0.37625</v>
      </c>
      <c r="G868" s="83">
        <f t="shared" si="347"/>
        <v>0.3675</v>
      </c>
      <c r="H868" s="81"/>
      <c r="I868" s="146">
        <v>43654</v>
      </c>
      <c r="J868" s="147">
        <v>3.45</v>
      </c>
      <c r="K868" s="147">
        <v>2.7</v>
      </c>
      <c r="L868" s="147">
        <v>3.01</v>
      </c>
      <c r="M868" s="94" cm="1">
        <f t="array" ref="M868">INDEX($BV$29:$BV$1449,MATCH($D868,$BR$29:$BR$1449,0),)</f>
        <v>2.94</v>
      </c>
      <c r="N868" s="150">
        <f t="shared" si="343"/>
        <v>-0.00660066006600657</v>
      </c>
      <c r="O868" s="150">
        <f t="shared" si="345"/>
        <v>-0.0377237851662405</v>
      </c>
      <c r="P868" s="150">
        <f t="shared" si="340"/>
        <v>-0.0781010719754978</v>
      </c>
      <c r="Q868" s="89">
        <f t="shared" si="341"/>
        <v>0.0238095238095237</v>
      </c>
      <c r="AH868" s="90"/>
      <c r="AI868" s="85"/>
      <c r="AJ868" s="36"/>
      <c r="AK868" s="36"/>
      <c r="AL868" s="36"/>
      <c r="AM868" s="36"/>
      <c r="AN868" s="36"/>
      <c r="AO868" s="36"/>
      <c r="AP868" s="36"/>
      <c r="FV868" s="104">
        <f t="shared" si="334"/>
        <v>2013</v>
      </c>
      <c r="FW868" s="104">
        <f t="shared" si="335"/>
        <v>45</v>
      </c>
      <c r="FX868" s="35">
        <v>41586</v>
      </c>
      <c r="FY868" s="26">
        <v>2.039</v>
      </c>
      <c r="FZ868" s="94">
        <f t="shared" si="336"/>
        <v>8.156</v>
      </c>
      <c r="GA868" s="104"/>
      <c r="GB868" s="104"/>
      <c r="GE868" s="94"/>
      <c r="GF868" s="104">
        <f t="shared" si="337"/>
        <v>2016</v>
      </c>
      <c r="GG868" s="104">
        <f t="shared" si="338"/>
        <v>20</v>
      </c>
      <c r="GH868" s="35">
        <v>42503</v>
      </c>
      <c r="GI868" s="26">
        <v>1.48</v>
      </c>
      <c r="GJ868" s="94">
        <f t="shared" si="339"/>
        <v>2.96</v>
      </c>
      <c r="GK868" s="104"/>
      <c r="GL868" s="104"/>
      <c r="GO868" s="94"/>
    </row>
    <row r="869" spans="3:197">
      <c r="C869" s="80" t="str" cm="1">
        <f t="array" ref="C869">_xlfn.IFS(MONTH(D869)&lt;4,1,MONTH(D869)&lt;7,2,MONTH(D869)&lt;10,3,MONTH(D869)&gt;9,4)&amp;"Q"&amp;RIGHT(YEAR(D869),2)</f>
        <v>3Q19</v>
      </c>
      <c r="D869" s="81">
        <f t="shared" si="346"/>
        <v>43677</v>
      </c>
      <c r="E869" s="82">
        <f t="shared" si="344"/>
        <v>43655</v>
      </c>
      <c r="F869" s="83">
        <f t="shared" si="347"/>
        <v>0.37575</v>
      </c>
      <c r="G869" s="83">
        <f t="shared" si="347"/>
        <v>0.3675</v>
      </c>
      <c r="H869" s="81"/>
      <c r="I869" s="146">
        <v>43655</v>
      </c>
      <c r="J869" s="147">
        <v>3.45</v>
      </c>
      <c r="K869" s="147">
        <v>2.7</v>
      </c>
      <c r="L869" s="147">
        <v>3.006</v>
      </c>
      <c r="M869" s="94" cm="1">
        <f t="array" ref="M869">INDEX($BV$29:$BV$1449,MATCH($D869,$BR$29:$BR$1449,0),)</f>
        <v>2.94</v>
      </c>
      <c r="N869" s="150">
        <f t="shared" si="343"/>
        <v>-0.00132890365448501</v>
      </c>
      <c r="O869" s="150">
        <f t="shared" si="345"/>
        <v>-0.0321957501609788</v>
      </c>
      <c r="P869" s="150">
        <f t="shared" si="340"/>
        <v>-0.0687732342007437</v>
      </c>
      <c r="Q869" s="89">
        <f t="shared" si="341"/>
        <v>0.0224489795918368</v>
      </c>
      <c r="AH869" s="90"/>
      <c r="AI869" s="85"/>
      <c r="AJ869" s="36"/>
      <c r="AK869" s="36"/>
      <c r="AL869" s="36"/>
      <c r="AM869" s="36"/>
      <c r="AN869" s="36"/>
      <c r="AO869" s="36"/>
      <c r="AP869" s="36"/>
      <c r="FV869" s="104">
        <f t="shared" si="334"/>
        <v>2013</v>
      </c>
      <c r="FW869" s="104">
        <f t="shared" si="335"/>
        <v>46</v>
      </c>
      <c r="FX869" s="35">
        <v>41589</v>
      </c>
      <c r="FY869" s="26">
        <v>2.027</v>
      </c>
      <c r="FZ869" s="94">
        <f t="shared" si="336"/>
        <v>8.108</v>
      </c>
      <c r="GA869" s="104"/>
      <c r="GB869" s="104"/>
      <c r="GE869" s="94"/>
      <c r="GF869" s="104">
        <f t="shared" si="337"/>
        <v>2016</v>
      </c>
      <c r="GG869" s="104">
        <f t="shared" si="338"/>
        <v>21</v>
      </c>
      <c r="GH869" s="35">
        <v>42506</v>
      </c>
      <c r="GI869" s="26">
        <v>1.475</v>
      </c>
      <c r="GJ869" s="94">
        <f t="shared" si="339"/>
        <v>2.95</v>
      </c>
      <c r="GK869" s="104"/>
      <c r="GL869" s="104"/>
      <c r="GO869" s="94"/>
    </row>
    <row r="870" spans="3:197">
      <c r="C870" s="80" t="str" cm="1">
        <f t="array" ref="C870">_xlfn.IFS(MONTH(D870)&lt;4,1,MONTH(D870)&lt;7,2,MONTH(D870)&lt;10,3,MONTH(D870)&gt;9,4)&amp;"Q"&amp;RIGHT(YEAR(D870),2)</f>
        <v>3Q19</v>
      </c>
      <c r="D870" s="81">
        <f t="shared" si="346"/>
        <v>43677</v>
      </c>
      <c r="E870" s="82">
        <f t="shared" si="344"/>
        <v>43656</v>
      </c>
      <c r="F870" s="83">
        <f t="shared" si="347"/>
        <v>0.38025</v>
      </c>
      <c r="G870" s="83">
        <f t="shared" si="347"/>
        <v>0.3675</v>
      </c>
      <c r="H870" s="81"/>
      <c r="I870" s="146">
        <v>43656</v>
      </c>
      <c r="J870" s="147">
        <v>3.45</v>
      </c>
      <c r="K870" s="147">
        <v>2.8</v>
      </c>
      <c r="L870" s="147">
        <v>3.042</v>
      </c>
      <c r="M870" s="94" cm="1">
        <f t="array" ref="M870">INDEX($BV$29:$BV$1449,MATCH($D870,$BR$29:$BR$1449,0),)</f>
        <v>2.94</v>
      </c>
      <c r="N870" s="150">
        <f t="shared" si="343"/>
        <v>0.0119760479041917</v>
      </c>
      <c r="O870" s="150">
        <f t="shared" si="345"/>
        <v>-0.016170763260026</v>
      </c>
      <c r="P870" s="150">
        <f t="shared" si="340"/>
        <v>-0.0541044776119404</v>
      </c>
      <c r="Q870" s="89">
        <f t="shared" si="341"/>
        <v>0.0346938775510204</v>
      </c>
      <c r="AH870" s="90"/>
      <c r="AI870" s="85"/>
      <c r="AJ870" s="36"/>
      <c r="AK870" s="36"/>
      <c r="AL870" s="36"/>
      <c r="AM870" s="36"/>
      <c r="AN870" s="36"/>
      <c r="AO870" s="36"/>
      <c r="AP870" s="36"/>
      <c r="FV870" s="104">
        <f t="shared" si="334"/>
        <v>2013</v>
      </c>
      <c r="FW870" s="104">
        <f t="shared" si="335"/>
        <v>46</v>
      </c>
      <c r="FX870" s="35">
        <v>41590</v>
      </c>
      <c r="FY870" s="26">
        <v>1.999</v>
      </c>
      <c r="FZ870" s="94">
        <f t="shared" si="336"/>
        <v>7.996</v>
      </c>
      <c r="GA870" s="104"/>
      <c r="GB870" s="104"/>
      <c r="GE870" s="94"/>
      <c r="GF870" s="104">
        <f t="shared" si="337"/>
        <v>2016</v>
      </c>
      <c r="GG870" s="104">
        <f t="shared" si="338"/>
        <v>21</v>
      </c>
      <c r="GH870" s="35">
        <v>42507</v>
      </c>
      <c r="GI870" s="26">
        <v>1.464</v>
      </c>
      <c r="GJ870" s="94">
        <f t="shared" si="339"/>
        <v>2.928</v>
      </c>
      <c r="GK870" s="104"/>
      <c r="GL870" s="104"/>
      <c r="GO870" s="94"/>
    </row>
    <row r="871" spans="3:197">
      <c r="C871" s="80" t="str" cm="1">
        <f t="array" ref="C871">_xlfn.IFS(MONTH(D871)&lt;4,1,MONTH(D871)&lt;7,2,MONTH(D871)&lt;10,3,MONTH(D871)&gt;9,4)&amp;"Q"&amp;RIGHT(YEAR(D871),2)</f>
        <v>3Q19</v>
      </c>
      <c r="D871" s="81">
        <f t="shared" si="346"/>
        <v>43677</v>
      </c>
      <c r="E871" s="82">
        <f t="shared" si="344"/>
        <v>43657</v>
      </c>
      <c r="F871" s="83">
        <f t="shared" si="347"/>
        <v>0.3875</v>
      </c>
      <c r="G871" s="83">
        <f t="shared" si="347"/>
        <v>0.3675</v>
      </c>
      <c r="H871" s="81"/>
      <c r="I871" s="146">
        <v>43657</v>
      </c>
      <c r="J871" s="147">
        <v>3.5</v>
      </c>
      <c r="K871" s="147">
        <v>2.9</v>
      </c>
      <c r="L871" s="147">
        <v>3.1</v>
      </c>
      <c r="M871" s="94" cm="1">
        <f t="array" ref="M871">INDEX($BV$29:$BV$1449,MATCH($D871,$BR$29:$BR$1449,0),)</f>
        <v>2.94</v>
      </c>
      <c r="N871" s="150">
        <f t="shared" si="343"/>
        <v>0.0190664036817885</v>
      </c>
      <c r="O871" s="150">
        <f t="shared" si="345"/>
        <v>0.0110893672537509</v>
      </c>
      <c r="P871" s="150">
        <f t="shared" si="340"/>
        <v>-0.0186767964545741</v>
      </c>
      <c r="Q871" s="89">
        <f t="shared" si="341"/>
        <v>0.0544217687074831</v>
      </c>
      <c r="AH871" s="90"/>
      <c r="AI871" s="85"/>
      <c r="AJ871" s="36"/>
      <c r="AK871" s="36"/>
      <c r="AL871" s="36"/>
      <c r="AM871" s="36"/>
      <c r="AN871" s="36"/>
      <c r="AO871" s="36"/>
      <c r="AP871" s="36"/>
      <c r="FV871" s="104">
        <f t="shared" si="334"/>
        <v>2013</v>
      </c>
      <c r="FW871" s="104">
        <f t="shared" si="335"/>
        <v>46</v>
      </c>
      <c r="FX871" s="35">
        <v>41591</v>
      </c>
      <c r="FY871" s="26">
        <v>1.975</v>
      </c>
      <c r="FZ871" s="94">
        <f t="shared" si="336"/>
        <v>7.9</v>
      </c>
      <c r="GA871" s="104"/>
      <c r="GB871" s="104"/>
      <c r="GE871" s="94"/>
      <c r="GF871" s="104">
        <f t="shared" si="337"/>
        <v>2016</v>
      </c>
      <c r="GG871" s="104">
        <f t="shared" si="338"/>
        <v>21</v>
      </c>
      <c r="GH871" s="35">
        <v>42508</v>
      </c>
      <c r="GI871" s="26">
        <v>1.457</v>
      </c>
      <c r="GJ871" s="94">
        <f t="shared" si="339"/>
        <v>2.914</v>
      </c>
      <c r="GK871" s="104"/>
      <c r="GL871" s="104"/>
      <c r="GO871" s="94"/>
    </row>
    <row r="872" spans="3:197">
      <c r="C872" s="80" t="str" cm="1">
        <f t="array" ref="C872">_xlfn.IFS(MONTH(D872)&lt;4,1,MONTH(D872)&lt;7,2,MONTH(D872)&lt;10,3,MONTH(D872)&gt;9,4)&amp;"Q"&amp;RIGHT(YEAR(D872),2)</f>
        <v>3Q19</v>
      </c>
      <c r="D872" s="81">
        <f t="shared" si="346"/>
        <v>43677</v>
      </c>
      <c r="E872" s="82">
        <f t="shared" si="344"/>
        <v>43658</v>
      </c>
      <c r="F872" s="83">
        <f t="shared" si="347"/>
        <v>0.407625</v>
      </c>
      <c r="G872" s="83">
        <f t="shared" si="347"/>
        <v>0.3675</v>
      </c>
      <c r="H872" s="81"/>
      <c r="I872" s="146">
        <v>43658</v>
      </c>
      <c r="J872" s="147">
        <v>3.5</v>
      </c>
      <c r="K872" s="147">
        <v>3.15</v>
      </c>
      <c r="L872" s="147">
        <v>3.261</v>
      </c>
      <c r="M872" s="94" cm="1">
        <f t="array" ref="M872">INDEX($BV$29:$BV$1449,MATCH($D872,$BR$29:$BR$1449,0),)</f>
        <v>2.94</v>
      </c>
      <c r="N872" s="150">
        <f t="shared" si="343"/>
        <v>0.0519354838709678</v>
      </c>
      <c r="O872" s="150">
        <f t="shared" si="345"/>
        <v>0.0762376237623763</v>
      </c>
      <c r="P872" s="150">
        <f t="shared" si="340"/>
        <v>0.0378739656269893</v>
      </c>
      <c r="Q872" s="89">
        <f t="shared" si="341"/>
        <v>0.109183673469388</v>
      </c>
      <c r="AH872" s="90"/>
      <c r="AI872" s="85"/>
      <c r="AJ872" s="36"/>
      <c r="AK872" s="36"/>
      <c r="AL872" s="36"/>
      <c r="AM872" s="36"/>
      <c r="AN872" s="36"/>
      <c r="AO872" s="36"/>
      <c r="AP872" s="36"/>
      <c r="FV872" s="104">
        <f t="shared" si="334"/>
        <v>2013</v>
      </c>
      <c r="FW872" s="104">
        <f t="shared" si="335"/>
        <v>46</v>
      </c>
      <c r="FX872" s="35">
        <v>41592</v>
      </c>
      <c r="FY872" s="26">
        <v>1.975</v>
      </c>
      <c r="FZ872" s="94">
        <f t="shared" si="336"/>
        <v>7.9</v>
      </c>
      <c r="GA872" s="104"/>
      <c r="GB872" s="104"/>
      <c r="GE872" s="94"/>
      <c r="GF872" s="104">
        <f t="shared" si="337"/>
        <v>2016</v>
      </c>
      <c r="GG872" s="104">
        <f t="shared" si="338"/>
        <v>21</v>
      </c>
      <c r="GH872" s="35">
        <v>42509</v>
      </c>
      <c r="GI872" s="26">
        <v>1.453</v>
      </c>
      <c r="GJ872" s="94">
        <f t="shared" si="339"/>
        <v>2.906</v>
      </c>
      <c r="GK872" s="104"/>
      <c r="GL872" s="104"/>
      <c r="GO872" s="94"/>
    </row>
    <row r="873" spans="3:197">
      <c r="C873" s="80" t="str" cm="1">
        <f t="array" ref="C873">_xlfn.IFS(MONTH(D873)&lt;4,1,MONTH(D873)&lt;7,2,MONTH(D873)&lt;10,3,MONTH(D873)&gt;9,4)&amp;"Q"&amp;RIGHT(YEAR(D873),2)</f>
        <v>3Q19</v>
      </c>
      <c r="D873" s="81">
        <f t="shared" si="346"/>
        <v>43677</v>
      </c>
      <c r="E873" s="82">
        <f t="shared" si="344"/>
        <v>43661</v>
      </c>
      <c r="F873" s="83">
        <f t="shared" si="347"/>
        <v>0.420125</v>
      </c>
      <c r="G873" s="83">
        <f t="shared" si="347"/>
        <v>0.3675</v>
      </c>
      <c r="H873" s="81"/>
      <c r="I873" s="146">
        <v>43661</v>
      </c>
      <c r="J873" s="147">
        <v>3.6</v>
      </c>
      <c r="K873" s="147">
        <v>3.25</v>
      </c>
      <c r="L873" s="147">
        <v>3.361</v>
      </c>
      <c r="M873" s="94" cm="1">
        <f t="array" ref="M873">INDEX($BV$29:$BV$1449,MATCH($D873,$BR$29:$BR$1449,0),)</f>
        <v>2.94</v>
      </c>
      <c r="N873" s="150">
        <f t="shared" si="343"/>
        <v>0.0306654400490647</v>
      </c>
      <c r="O873" s="150">
        <f t="shared" si="345"/>
        <v>0.116611295681063</v>
      </c>
      <c r="P873" s="150">
        <f t="shared" si="340"/>
        <v>0.0744884910485935</v>
      </c>
      <c r="Q873" s="89">
        <f t="shared" si="341"/>
        <v>0.143197278911565</v>
      </c>
      <c r="AH873" s="90"/>
      <c r="AI873" s="85"/>
      <c r="AJ873" s="36"/>
      <c r="AK873" s="36"/>
      <c r="AL873" s="36"/>
      <c r="AM873" s="36"/>
      <c r="AN873" s="36"/>
      <c r="AO873" s="36"/>
      <c r="AP873" s="36"/>
      <c r="FV873" s="104">
        <f t="shared" si="334"/>
        <v>2013</v>
      </c>
      <c r="FW873" s="104">
        <f t="shared" si="335"/>
        <v>46</v>
      </c>
      <c r="FX873" s="35">
        <v>41593</v>
      </c>
      <c r="FY873" s="26">
        <v>1.989</v>
      </c>
      <c r="FZ873" s="94">
        <f t="shared" si="336"/>
        <v>7.956</v>
      </c>
      <c r="GA873" s="104"/>
      <c r="GB873" s="104"/>
      <c r="GE873" s="94"/>
      <c r="GF873" s="104">
        <f t="shared" si="337"/>
        <v>2016</v>
      </c>
      <c r="GG873" s="104">
        <f t="shared" si="338"/>
        <v>21</v>
      </c>
      <c r="GH873" s="35">
        <v>42510</v>
      </c>
      <c r="GI873" s="26">
        <v>1.449</v>
      </c>
      <c r="GJ873" s="94">
        <f t="shared" si="339"/>
        <v>2.898</v>
      </c>
      <c r="GK873" s="104"/>
      <c r="GL873" s="104"/>
      <c r="GO873" s="94"/>
    </row>
    <row r="874" spans="3:197">
      <c r="C874" s="80" t="str" cm="1">
        <f t="array" ref="C874">_xlfn.IFS(MONTH(D874)&lt;4,1,MONTH(D874)&lt;7,2,MONTH(D874)&lt;10,3,MONTH(D874)&gt;9,4)&amp;"Q"&amp;RIGHT(YEAR(D874),2)</f>
        <v>3Q19</v>
      </c>
      <c r="D874" s="81">
        <f t="shared" si="346"/>
        <v>43677</v>
      </c>
      <c r="E874" s="82">
        <f t="shared" si="344"/>
        <v>43662</v>
      </c>
      <c r="F874" s="83">
        <f t="shared" si="347"/>
        <v>0.4415</v>
      </c>
      <c r="G874" s="83">
        <f t="shared" si="347"/>
        <v>0.3675</v>
      </c>
      <c r="H874" s="81"/>
      <c r="I874" s="146">
        <v>43662</v>
      </c>
      <c r="J874" s="147">
        <v>3.8</v>
      </c>
      <c r="K874" s="147">
        <v>3.45</v>
      </c>
      <c r="L874" s="147">
        <v>3.532</v>
      </c>
      <c r="M874" s="94" cm="1">
        <f t="array" ref="M874">INDEX($BV$29:$BV$1449,MATCH($D874,$BR$29:$BR$1449,0),)</f>
        <v>2.94</v>
      </c>
      <c r="N874" s="150">
        <f t="shared" si="343"/>
        <v>0.050877714965784</v>
      </c>
      <c r="O874" s="150">
        <f t="shared" si="345"/>
        <v>0.174983366600133</v>
      </c>
      <c r="P874" s="150">
        <f t="shared" si="340"/>
        <v>0.13715389568577</v>
      </c>
      <c r="Q874" s="89">
        <f t="shared" si="341"/>
        <v>0.201360544217687</v>
      </c>
      <c r="AH874" s="90"/>
      <c r="AI874" s="85"/>
      <c r="AJ874" s="36"/>
      <c r="AK874" s="36"/>
      <c r="AL874" s="36"/>
      <c r="AM874" s="36"/>
      <c r="AN874" s="36"/>
      <c r="AO874" s="36"/>
      <c r="AP874" s="36"/>
      <c r="FV874" s="104">
        <f t="shared" si="334"/>
        <v>2013</v>
      </c>
      <c r="FW874" s="104">
        <f t="shared" si="335"/>
        <v>47</v>
      </c>
      <c r="FX874" s="35">
        <v>41596</v>
      </c>
      <c r="FY874" s="26">
        <v>2.018</v>
      </c>
      <c r="FZ874" s="94">
        <f t="shared" si="336"/>
        <v>8.072</v>
      </c>
      <c r="GA874" s="104"/>
      <c r="GB874" s="104"/>
      <c r="GE874" s="94"/>
      <c r="GF874" s="104">
        <f t="shared" si="337"/>
        <v>2016</v>
      </c>
      <c r="GG874" s="104">
        <f t="shared" si="338"/>
        <v>22</v>
      </c>
      <c r="GH874" s="35">
        <v>42513</v>
      </c>
      <c r="GI874" s="26">
        <v>1.449</v>
      </c>
      <c r="GJ874" s="94">
        <f t="shared" si="339"/>
        <v>2.898</v>
      </c>
      <c r="GK874" s="104"/>
      <c r="GL874" s="104"/>
      <c r="GO874" s="94"/>
    </row>
    <row r="875" spans="3:197">
      <c r="C875" s="80" t="str" cm="1">
        <f t="array" ref="C875">_xlfn.IFS(MONTH(D875)&lt;4,1,MONTH(D875)&lt;7,2,MONTH(D875)&lt;10,3,MONTH(D875)&gt;9,4)&amp;"Q"&amp;RIGHT(YEAR(D875),2)</f>
        <v>3Q19</v>
      </c>
      <c r="D875" s="81">
        <f t="shared" si="346"/>
        <v>43677</v>
      </c>
      <c r="E875" s="82">
        <f t="shared" si="344"/>
        <v>43663</v>
      </c>
      <c r="F875" s="83">
        <f t="shared" si="347"/>
        <v>0.4455</v>
      </c>
      <c r="G875" s="83">
        <f t="shared" si="347"/>
        <v>0.3675</v>
      </c>
      <c r="H875" s="81"/>
      <c r="I875" s="146">
        <v>43663</v>
      </c>
      <c r="J875" s="147">
        <v>3.8</v>
      </c>
      <c r="K875" s="147">
        <v>3.45</v>
      </c>
      <c r="L875" s="147">
        <v>3.564</v>
      </c>
      <c r="M875" s="94" cm="1">
        <f t="array" ref="M875">INDEX($BV$29:$BV$1449,MATCH($D875,$BR$29:$BR$1449,0),)</f>
        <v>2.94</v>
      </c>
      <c r="N875" s="150">
        <f t="shared" si="343"/>
        <v>0.00906002265005657</v>
      </c>
      <c r="O875" s="150">
        <f t="shared" si="345"/>
        <v>0.171597633136095</v>
      </c>
      <c r="P875" s="150">
        <f t="shared" si="340"/>
        <v>0.152652005174644</v>
      </c>
      <c r="Q875" s="89">
        <f t="shared" si="341"/>
        <v>0.212244897959184</v>
      </c>
      <c r="AH875" s="90"/>
      <c r="AI875" s="85"/>
      <c r="AJ875" s="36"/>
      <c r="AK875" s="36"/>
      <c r="AL875" s="36"/>
      <c r="AM875" s="36"/>
      <c r="AN875" s="36"/>
      <c r="AO875" s="36"/>
      <c r="AP875" s="36"/>
      <c r="FV875" s="104">
        <f t="shared" si="334"/>
        <v>2013</v>
      </c>
      <c r="FW875" s="104">
        <f t="shared" si="335"/>
        <v>47</v>
      </c>
      <c r="FX875" s="35">
        <v>41597</v>
      </c>
      <c r="FY875" s="26">
        <v>2.016</v>
      </c>
      <c r="FZ875" s="94">
        <f t="shared" si="336"/>
        <v>8.064</v>
      </c>
      <c r="GA875" s="104"/>
      <c r="GB875" s="104"/>
      <c r="GE875" s="94"/>
      <c r="GF875" s="104">
        <f t="shared" si="337"/>
        <v>2016</v>
      </c>
      <c r="GG875" s="104">
        <f t="shared" si="338"/>
        <v>22</v>
      </c>
      <c r="GH875" s="35">
        <v>42514</v>
      </c>
      <c r="GI875" s="26">
        <v>1.448</v>
      </c>
      <c r="GJ875" s="94">
        <f t="shared" si="339"/>
        <v>2.896</v>
      </c>
      <c r="GK875" s="104"/>
      <c r="GL875" s="104"/>
      <c r="GO875" s="94"/>
    </row>
    <row r="876" spans="3:197">
      <c r="C876" s="80" t="str" cm="1">
        <f t="array" ref="C876">_xlfn.IFS(MONTH(D876)&lt;4,1,MONTH(D876)&lt;7,2,MONTH(D876)&lt;10,3,MONTH(D876)&gt;9,4)&amp;"Q"&amp;RIGHT(YEAR(D876),2)</f>
        <v>3Q19</v>
      </c>
      <c r="D876" s="81">
        <f t="shared" si="346"/>
        <v>43677</v>
      </c>
      <c r="E876" s="82">
        <f t="shared" si="344"/>
        <v>43664</v>
      </c>
      <c r="F876" s="83">
        <f t="shared" si="347"/>
        <v>0.4495</v>
      </c>
      <c r="G876" s="83">
        <f t="shared" si="347"/>
        <v>0.3675</v>
      </c>
      <c r="H876" s="81"/>
      <c r="I876" s="146">
        <v>43664</v>
      </c>
      <c r="J876" s="147">
        <v>4</v>
      </c>
      <c r="K876" s="147">
        <v>3.45</v>
      </c>
      <c r="L876" s="147">
        <v>3.596</v>
      </c>
      <c r="M876" s="94" cm="1">
        <f t="array" ref="M876">INDEX($BV$29:$BV$1449,MATCH($D876,$BR$29:$BR$1449,0),)</f>
        <v>2.94</v>
      </c>
      <c r="N876" s="150">
        <f t="shared" si="343"/>
        <v>0.00897867564534227</v>
      </c>
      <c r="O876" s="150">
        <f t="shared" si="345"/>
        <v>0.16</v>
      </c>
      <c r="P876" s="150">
        <f t="shared" si="340"/>
        <v>0.172863666014351</v>
      </c>
      <c r="Q876" s="89">
        <f t="shared" si="341"/>
        <v>0.22312925170068</v>
      </c>
      <c r="AH876" s="90"/>
      <c r="AI876" s="85"/>
      <c r="AJ876" s="36"/>
      <c r="AK876" s="36"/>
      <c r="AL876" s="36"/>
      <c r="AM876" s="36"/>
      <c r="AN876" s="36"/>
      <c r="AO876" s="36"/>
      <c r="AP876" s="36"/>
      <c r="FV876" s="104">
        <f t="shared" si="334"/>
        <v>2013</v>
      </c>
      <c r="FW876" s="104">
        <f t="shared" si="335"/>
        <v>47</v>
      </c>
      <c r="FX876" s="35">
        <v>41598</v>
      </c>
      <c r="FY876" s="26">
        <v>2.015</v>
      </c>
      <c r="FZ876" s="94">
        <f t="shared" si="336"/>
        <v>8.06</v>
      </c>
      <c r="GA876" s="104"/>
      <c r="GB876" s="104"/>
      <c r="GE876" s="94"/>
      <c r="GF876" s="104">
        <f t="shared" si="337"/>
        <v>2016</v>
      </c>
      <c r="GG876" s="104">
        <f t="shared" si="338"/>
        <v>22</v>
      </c>
      <c r="GH876" s="35">
        <v>42515</v>
      </c>
      <c r="GI876" s="26">
        <v>1.444</v>
      </c>
      <c r="GJ876" s="94">
        <f t="shared" si="339"/>
        <v>2.888</v>
      </c>
      <c r="GK876" s="104"/>
      <c r="GL876" s="104"/>
      <c r="GO876" s="94"/>
    </row>
    <row r="877" spans="3:197">
      <c r="C877" s="80" t="str" cm="1">
        <f t="array" ref="C877">_xlfn.IFS(MONTH(D877)&lt;4,1,MONTH(D877)&lt;7,2,MONTH(D877)&lt;10,3,MONTH(D877)&gt;9,4)&amp;"Q"&amp;RIGHT(YEAR(D877),2)</f>
        <v>3Q19</v>
      </c>
      <c r="D877" s="81">
        <f t="shared" si="346"/>
        <v>43677</v>
      </c>
      <c r="E877" s="82">
        <f t="shared" si="344"/>
        <v>43665</v>
      </c>
      <c r="F877" s="83">
        <f t="shared" si="347"/>
        <v>0.467</v>
      </c>
      <c r="G877" s="83">
        <f t="shared" si="347"/>
        <v>0.3675</v>
      </c>
      <c r="H877" s="81"/>
      <c r="I877" s="146">
        <v>43665</v>
      </c>
      <c r="J877" s="147">
        <v>4.1</v>
      </c>
      <c r="K877" s="147">
        <v>3.6</v>
      </c>
      <c r="L877" s="147">
        <v>3.736</v>
      </c>
      <c r="M877" s="94" cm="1">
        <f t="array" ref="M877">INDEX($BV$29:$BV$1449,MATCH($D877,$BR$29:$BR$1449,0),)</f>
        <v>2.94</v>
      </c>
      <c r="N877" s="150">
        <f t="shared" si="343"/>
        <v>0.0389321468298109</v>
      </c>
      <c r="O877" s="150">
        <f t="shared" si="345"/>
        <v>0.145660840233057</v>
      </c>
      <c r="P877" s="150">
        <f t="shared" si="340"/>
        <v>0.233003300330033</v>
      </c>
      <c r="Q877" s="89">
        <f t="shared" si="341"/>
        <v>0.270748299319728</v>
      </c>
      <c r="AH877" s="90"/>
      <c r="AI877" s="85"/>
      <c r="AJ877" s="36"/>
      <c r="AK877" s="36"/>
      <c r="AL877" s="36"/>
      <c r="AM877" s="36"/>
      <c r="AN877" s="36"/>
      <c r="AO877" s="36"/>
      <c r="AP877" s="36"/>
      <c r="FV877" s="104">
        <f t="shared" si="334"/>
        <v>2013</v>
      </c>
      <c r="FW877" s="104">
        <f t="shared" si="335"/>
        <v>47</v>
      </c>
      <c r="FX877" s="35">
        <v>41599</v>
      </c>
      <c r="FY877" s="26">
        <v>2.026</v>
      </c>
      <c r="FZ877" s="94">
        <f t="shared" si="336"/>
        <v>8.104</v>
      </c>
      <c r="GA877" s="104"/>
      <c r="GB877" s="104"/>
      <c r="GE877" s="94"/>
      <c r="GF877" s="104">
        <f t="shared" si="337"/>
        <v>2016</v>
      </c>
      <c r="GG877" s="104">
        <f t="shared" si="338"/>
        <v>22</v>
      </c>
      <c r="GH877" s="35">
        <v>42516</v>
      </c>
      <c r="GI877" s="26">
        <v>1.442</v>
      </c>
      <c r="GJ877" s="94">
        <f t="shared" si="339"/>
        <v>2.884</v>
      </c>
      <c r="GK877" s="104"/>
      <c r="GL877" s="104"/>
      <c r="GO877" s="94"/>
    </row>
    <row r="878" spans="3:197">
      <c r="C878" s="80" t="str" cm="1">
        <f t="array" ref="C878">_xlfn.IFS(MONTH(D878)&lt;4,1,MONTH(D878)&lt;7,2,MONTH(D878)&lt;10,3,MONTH(D878)&gt;9,4)&amp;"Q"&amp;RIGHT(YEAR(D878),2)</f>
        <v>3Q19</v>
      </c>
      <c r="D878" s="81">
        <f t="shared" si="346"/>
        <v>43677</v>
      </c>
      <c r="E878" s="82">
        <f t="shared" si="344"/>
        <v>43668</v>
      </c>
      <c r="F878" s="83">
        <f t="shared" si="347"/>
        <v>0.467</v>
      </c>
      <c r="G878" s="83">
        <f t="shared" si="347"/>
        <v>0.3675</v>
      </c>
      <c r="H878" s="81"/>
      <c r="I878" s="146">
        <v>43668</v>
      </c>
      <c r="J878" s="147">
        <v>4.1</v>
      </c>
      <c r="K878" s="147">
        <v>3.6</v>
      </c>
      <c r="L878" s="147">
        <v>3.736</v>
      </c>
      <c r="M878" s="94" cm="1">
        <f t="array" ref="M878">INDEX($BV$29:$BV$1449,MATCH($D878,$BR$29:$BR$1449,0),)</f>
        <v>2.94</v>
      </c>
      <c r="N878" s="150">
        <f t="shared" si="343"/>
        <v>0</v>
      </c>
      <c r="O878" s="150">
        <f t="shared" si="345"/>
        <v>0.111573936328474</v>
      </c>
      <c r="P878" s="150">
        <f t="shared" si="340"/>
        <v>0.241196013289037</v>
      </c>
      <c r="Q878" s="89">
        <f t="shared" si="341"/>
        <v>0.270748299319728</v>
      </c>
      <c r="AH878" s="90"/>
      <c r="AI878" s="85"/>
      <c r="AJ878" s="36"/>
      <c r="AK878" s="36"/>
      <c r="AL878" s="36"/>
      <c r="AM878" s="36"/>
      <c r="AN878" s="36"/>
      <c r="AO878" s="36"/>
      <c r="AP878" s="36"/>
      <c r="FV878" s="104">
        <f t="shared" si="334"/>
        <v>2013</v>
      </c>
      <c r="FW878" s="104">
        <f t="shared" si="335"/>
        <v>47</v>
      </c>
      <c r="FX878" s="35">
        <v>41600</v>
      </c>
      <c r="FY878" s="26">
        <v>2.026</v>
      </c>
      <c r="FZ878" s="94">
        <f t="shared" si="336"/>
        <v>8.104</v>
      </c>
      <c r="GA878" s="104"/>
      <c r="GB878" s="104"/>
      <c r="GE878" s="94"/>
      <c r="GF878" s="104">
        <f t="shared" si="337"/>
        <v>2016</v>
      </c>
      <c r="GG878" s="104">
        <f t="shared" si="338"/>
        <v>22</v>
      </c>
      <c r="GH878" s="35">
        <v>42517</v>
      </c>
      <c r="GI878" s="26">
        <v>1.44</v>
      </c>
      <c r="GJ878" s="94">
        <f t="shared" si="339"/>
        <v>2.88</v>
      </c>
      <c r="GK878" s="104"/>
      <c r="GL878" s="104"/>
      <c r="GO878" s="94"/>
    </row>
    <row r="879" spans="3:197">
      <c r="C879" s="80" t="str" cm="1">
        <f t="array" ref="C879">_xlfn.IFS(MONTH(D879)&lt;4,1,MONTH(D879)&lt;7,2,MONTH(D879)&lt;10,3,MONTH(D879)&gt;9,4)&amp;"Q"&amp;RIGHT(YEAR(D879),2)</f>
        <v>3Q19</v>
      </c>
      <c r="D879" s="81">
        <f t="shared" si="346"/>
        <v>43677</v>
      </c>
      <c r="E879" s="82">
        <f t="shared" si="344"/>
        <v>43669</v>
      </c>
      <c r="F879" s="83">
        <f t="shared" si="347"/>
        <v>0.461625</v>
      </c>
      <c r="G879" s="83">
        <f t="shared" si="347"/>
        <v>0.3675</v>
      </c>
      <c r="H879" s="81"/>
      <c r="I879" s="146">
        <v>43669</v>
      </c>
      <c r="J879" s="147">
        <v>4.05</v>
      </c>
      <c r="K879" s="147">
        <v>3.6</v>
      </c>
      <c r="L879" s="147">
        <v>3.693</v>
      </c>
      <c r="M879" s="94" cm="1">
        <f t="array" ref="M879">INDEX($BV$29:$BV$1449,MATCH($D879,$BR$29:$BR$1449,0),)</f>
        <v>2.94</v>
      </c>
      <c r="N879" s="150">
        <f t="shared" si="343"/>
        <v>-0.0115096359743041</v>
      </c>
      <c r="O879" s="150">
        <f t="shared" si="345"/>
        <v>0.0455832389580975</v>
      </c>
      <c r="P879" s="150">
        <f t="shared" si="340"/>
        <v>0.228542914171657</v>
      </c>
      <c r="Q879" s="89">
        <f t="shared" si="341"/>
        <v>0.256122448979592</v>
      </c>
      <c r="AH879" s="90"/>
      <c r="AI879" s="85"/>
      <c r="AJ879" s="36"/>
      <c r="AK879" s="36"/>
      <c r="AL879" s="36"/>
      <c r="AM879" s="36"/>
      <c r="AN879" s="36"/>
      <c r="AO879" s="36"/>
      <c r="AP879" s="36"/>
      <c r="FV879" s="104">
        <f t="shared" si="334"/>
        <v>2013</v>
      </c>
      <c r="FW879" s="104">
        <f t="shared" si="335"/>
        <v>48</v>
      </c>
      <c r="FX879" s="35">
        <v>41603</v>
      </c>
      <c r="FY879" s="26">
        <v>2.025</v>
      </c>
      <c r="FZ879" s="94">
        <f t="shared" si="336"/>
        <v>8.1</v>
      </c>
      <c r="GA879" s="104"/>
      <c r="GB879" s="104"/>
      <c r="GE879" s="94"/>
      <c r="GF879" s="104">
        <f t="shared" si="337"/>
        <v>2016</v>
      </c>
      <c r="GG879" s="104">
        <f t="shared" si="338"/>
        <v>23</v>
      </c>
      <c r="GH879" s="35">
        <v>42520</v>
      </c>
      <c r="GI879" s="26">
        <v>1.439</v>
      </c>
      <c r="GJ879" s="94">
        <f t="shared" si="339"/>
        <v>2.878</v>
      </c>
      <c r="GK879" s="104"/>
      <c r="GL879" s="104"/>
      <c r="GO879" s="94"/>
    </row>
    <row r="880" spans="3:197">
      <c r="C880" s="80" t="str" cm="1">
        <f t="array" ref="C880">_xlfn.IFS(MONTH(D880)&lt;4,1,MONTH(D880)&lt;7,2,MONTH(D880)&lt;10,3,MONTH(D880)&gt;9,4)&amp;"Q"&amp;RIGHT(YEAR(D880),2)</f>
        <v>3Q19</v>
      </c>
      <c r="D880" s="81">
        <f t="shared" si="346"/>
        <v>43677</v>
      </c>
      <c r="E880" s="82">
        <f t="shared" si="344"/>
        <v>43670</v>
      </c>
      <c r="F880" s="83">
        <f t="shared" si="347"/>
        <v>0.458</v>
      </c>
      <c r="G880" s="83">
        <f t="shared" si="347"/>
        <v>0.3675</v>
      </c>
      <c r="H880" s="81"/>
      <c r="I880" s="146">
        <v>43670</v>
      </c>
      <c r="J880" s="147">
        <v>4.05</v>
      </c>
      <c r="K880" s="147">
        <v>3.6</v>
      </c>
      <c r="L880" s="147">
        <v>3.664</v>
      </c>
      <c r="M880" s="94" cm="1">
        <f t="array" ref="M880">INDEX($BV$29:$BV$1449,MATCH($D880,$BR$29:$BR$1449,0),)</f>
        <v>2.94</v>
      </c>
      <c r="N880" s="150">
        <f t="shared" si="343"/>
        <v>-0.00785269428648794</v>
      </c>
      <c r="O880" s="150">
        <f t="shared" si="345"/>
        <v>0.0280583613916947</v>
      </c>
      <c r="P880" s="150">
        <f t="shared" si="340"/>
        <v>0.204470742932282</v>
      </c>
      <c r="Q880" s="89">
        <f t="shared" si="341"/>
        <v>0.246258503401361</v>
      </c>
      <c r="AH880" s="90"/>
      <c r="AI880" s="85"/>
      <c r="AJ880" s="36"/>
      <c r="AK880" s="36"/>
      <c r="AL880" s="36"/>
      <c r="AM880" s="36"/>
      <c r="AN880" s="36"/>
      <c r="AO880" s="36"/>
      <c r="AP880" s="36"/>
      <c r="FV880" s="104">
        <f t="shared" si="334"/>
        <v>2013</v>
      </c>
      <c r="FW880" s="104">
        <f t="shared" si="335"/>
        <v>48</v>
      </c>
      <c r="FX880" s="35">
        <v>41604</v>
      </c>
      <c r="FY880" s="26">
        <v>2.051</v>
      </c>
      <c r="FZ880" s="94">
        <f t="shared" si="336"/>
        <v>8.204</v>
      </c>
      <c r="GA880" s="104"/>
      <c r="GB880" s="104"/>
      <c r="GE880" s="94"/>
      <c r="GF880" s="104">
        <f t="shared" si="337"/>
        <v>2016</v>
      </c>
      <c r="GG880" s="104">
        <f t="shared" si="338"/>
        <v>23</v>
      </c>
      <c r="GH880" s="35">
        <v>42521</v>
      </c>
      <c r="GI880" s="26">
        <v>1.438</v>
      </c>
      <c r="GJ880" s="94">
        <f t="shared" si="339"/>
        <v>2.876</v>
      </c>
      <c r="GK880" s="104"/>
      <c r="GL880" s="104"/>
      <c r="GO880" s="94"/>
    </row>
    <row r="881" spans="3:197">
      <c r="C881" s="80" t="str" cm="1">
        <f t="array" ref="C881">_xlfn.IFS(MONTH(D881)&lt;4,1,MONTH(D881)&lt;7,2,MONTH(D881)&lt;10,3,MONTH(D881)&gt;9,4)&amp;"Q"&amp;RIGHT(YEAR(D881),2)</f>
        <v>3Q19</v>
      </c>
      <c r="D881" s="81">
        <f t="shared" si="346"/>
        <v>43677</v>
      </c>
      <c r="E881" s="82">
        <f t="shared" si="344"/>
        <v>43671</v>
      </c>
      <c r="F881" s="83">
        <f t="shared" si="347"/>
        <v>0.455375</v>
      </c>
      <c r="G881" s="83">
        <f t="shared" si="347"/>
        <v>0.3675</v>
      </c>
      <c r="H881" s="81"/>
      <c r="I881" s="146">
        <v>43671</v>
      </c>
      <c r="J881" s="147">
        <v>4.05</v>
      </c>
      <c r="K881" s="147">
        <v>3.55</v>
      </c>
      <c r="L881" s="147">
        <v>3.643</v>
      </c>
      <c r="M881" s="94" cm="1">
        <f t="array" ref="M881">INDEX($BV$29:$BV$1449,MATCH($D881,$BR$29:$BR$1449,0),)</f>
        <v>2.94</v>
      </c>
      <c r="N881" s="150">
        <f t="shared" si="343"/>
        <v>-0.00573144104803502</v>
      </c>
      <c r="O881" s="150">
        <f t="shared" si="345"/>
        <v>0.0130700778642936</v>
      </c>
      <c r="P881" s="150">
        <f t="shared" si="340"/>
        <v>0.175161290322581</v>
      </c>
      <c r="Q881" s="89">
        <f t="shared" si="341"/>
        <v>0.239115646258503</v>
      </c>
      <c r="AH881" s="90"/>
      <c r="AI881" s="85"/>
      <c r="AJ881" s="36"/>
      <c r="AK881" s="36"/>
      <c r="AL881" s="36"/>
      <c r="AM881" s="36"/>
      <c r="AN881" s="36"/>
      <c r="AO881" s="36"/>
      <c r="AP881" s="36"/>
      <c r="FV881" s="104">
        <f t="shared" si="334"/>
        <v>2013</v>
      </c>
      <c r="FW881" s="104">
        <f t="shared" si="335"/>
        <v>48</v>
      </c>
      <c r="FX881" s="35">
        <v>41605</v>
      </c>
      <c r="FY881" s="26">
        <v>2.062</v>
      </c>
      <c r="FZ881" s="94">
        <f t="shared" si="336"/>
        <v>8.248</v>
      </c>
      <c r="GA881" s="104"/>
      <c r="GB881" s="104"/>
      <c r="GE881" s="94"/>
      <c r="GF881" s="104">
        <f t="shared" si="337"/>
        <v>2016</v>
      </c>
      <c r="GG881" s="104">
        <f t="shared" si="338"/>
        <v>23</v>
      </c>
      <c r="GH881" s="35">
        <v>42522</v>
      </c>
      <c r="GI881" s="26">
        <v>1.438</v>
      </c>
      <c r="GJ881" s="94">
        <f t="shared" si="339"/>
        <v>2.876</v>
      </c>
      <c r="GK881" s="104"/>
      <c r="GL881" s="104"/>
      <c r="GO881" s="94"/>
    </row>
    <row r="882" spans="3:197">
      <c r="C882" s="80" t="str" cm="1">
        <f t="array" ref="C882">_xlfn.IFS(MONTH(D882)&lt;4,1,MONTH(D882)&lt;7,2,MONTH(D882)&lt;10,3,MONTH(D882)&gt;9,4)&amp;"Q"&amp;RIGHT(YEAR(D882),2)</f>
        <v>3Q19</v>
      </c>
      <c r="D882" s="81">
        <f t="shared" si="346"/>
        <v>43677</v>
      </c>
      <c r="E882" s="82">
        <f t="shared" si="344"/>
        <v>43672</v>
      </c>
      <c r="F882" s="83">
        <f t="shared" si="347"/>
        <v>0.4545</v>
      </c>
      <c r="G882" s="83">
        <f t="shared" si="347"/>
        <v>0.3675</v>
      </c>
      <c r="H882" s="81"/>
      <c r="I882" s="146">
        <v>43672</v>
      </c>
      <c r="J882" s="147">
        <v>3.8</v>
      </c>
      <c r="K882" s="147">
        <v>3.55</v>
      </c>
      <c r="L882" s="147">
        <v>3.636</v>
      </c>
      <c r="M882" s="94" cm="1">
        <f t="array" ref="M882">INDEX($BV$29:$BV$1449,MATCH($D882,$BR$29:$BR$1449,0),)</f>
        <v>2.94</v>
      </c>
      <c r="N882" s="150">
        <f t="shared" si="343"/>
        <v>-0.00192149327477342</v>
      </c>
      <c r="O882" s="150">
        <f t="shared" si="345"/>
        <v>-0.0267665952890792</v>
      </c>
      <c r="P882" s="150">
        <f t="shared" si="340"/>
        <v>0.114995400183993</v>
      </c>
      <c r="Q882" s="89">
        <f t="shared" si="341"/>
        <v>0.236734693877551</v>
      </c>
      <c r="AH882" s="90"/>
      <c r="AI882" s="85"/>
      <c r="AJ882" s="36"/>
      <c r="AK882" s="36"/>
      <c r="AL882" s="36"/>
      <c r="AM882" s="36"/>
      <c r="AN882" s="36"/>
      <c r="AO882" s="36"/>
      <c r="AP882" s="36"/>
      <c r="FV882" s="104">
        <f t="shared" si="334"/>
        <v>2013</v>
      </c>
      <c r="FW882" s="104">
        <f t="shared" si="335"/>
        <v>48</v>
      </c>
      <c r="FX882" s="35">
        <v>41606</v>
      </c>
      <c r="FY882" s="26">
        <v>2.07</v>
      </c>
      <c r="FZ882" s="94">
        <f t="shared" si="336"/>
        <v>8.28</v>
      </c>
      <c r="GA882" s="104"/>
      <c r="GB882" s="104"/>
      <c r="GE882" s="94"/>
      <c r="GF882" s="104">
        <f t="shared" si="337"/>
        <v>2016</v>
      </c>
      <c r="GG882" s="104">
        <f t="shared" si="338"/>
        <v>23</v>
      </c>
      <c r="GH882" s="35">
        <v>42523</v>
      </c>
      <c r="GI882" s="26">
        <v>1.429</v>
      </c>
      <c r="GJ882" s="94">
        <f t="shared" si="339"/>
        <v>2.858</v>
      </c>
      <c r="GK882" s="104"/>
      <c r="GL882" s="104"/>
      <c r="GO882" s="94"/>
    </row>
    <row r="883" spans="3:197">
      <c r="C883" s="80" t="str" cm="1">
        <f t="array" ref="C883">_xlfn.IFS(MONTH(D883)&lt;4,1,MONTH(D883)&lt;7,2,MONTH(D883)&lt;10,3,MONTH(D883)&gt;9,4)&amp;"Q"&amp;RIGHT(YEAR(D883),2)</f>
        <v>3Q19</v>
      </c>
      <c r="D883" s="81">
        <f t="shared" si="346"/>
        <v>43677</v>
      </c>
      <c r="E883" s="82">
        <f t="shared" si="344"/>
        <v>43675</v>
      </c>
      <c r="F883" s="83">
        <f t="shared" si="347"/>
        <v>0.454125</v>
      </c>
      <c r="G883" s="83">
        <f t="shared" si="347"/>
        <v>0.3675</v>
      </c>
      <c r="H883" s="81"/>
      <c r="I883" s="146">
        <v>43675</v>
      </c>
      <c r="J883" s="147">
        <v>3.9</v>
      </c>
      <c r="K883" s="147">
        <v>3.55</v>
      </c>
      <c r="L883" s="147">
        <v>3.633</v>
      </c>
      <c r="M883" s="94" cm="1">
        <f t="array" ref="M883">INDEX($BV$29:$BV$1449,MATCH($D883,$BR$29:$BR$1449,0),)</f>
        <v>2.94</v>
      </c>
      <c r="N883" s="150">
        <f t="shared" si="343"/>
        <v>-0.000825082508250863</v>
      </c>
      <c r="O883" s="150">
        <f t="shared" si="345"/>
        <v>-0.0275695931477516</v>
      </c>
      <c r="P883" s="150">
        <f t="shared" si="340"/>
        <v>0.0809282951502528</v>
      </c>
      <c r="Q883" s="89">
        <f t="shared" si="341"/>
        <v>0.235714285714286</v>
      </c>
      <c r="AH883" s="90"/>
      <c r="AI883" s="85"/>
      <c r="AJ883" s="36"/>
      <c r="AK883" s="36"/>
      <c r="AL883" s="36"/>
      <c r="AM883" s="36"/>
      <c r="AN883" s="36"/>
      <c r="AO883" s="36"/>
      <c r="AP883" s="36"/>
      <c r="FV883" s="104">
        <f t="shared" si="334"/>
        <v>2013</v>
      </c>
      <c r="FW883" s="104">
        <f t="shared" si="335"/>
        <v>48</v>
      </c>
      <c r="FX883" s="35">
        <v>41607</v>
      </c>
      <c r="FY883" s="26">
        <v>2.072</v>
      </c>
      <c r="FZ883" s="94">
        <f t="shared" si="336"/>
        <v>8.288</v>
      </c>
      <c r="GA883" s="104"/>
      <c r="GB883" s="104"/>
      <c r="GE883" s="94"/>
      <c r="GF883" s="104">
        <f t="shared" si="337"/>
        <v>2016</v>
      </c>
      <c r="GG883" s="104">
        <f t="shared" si="338"/>
        <v>23</v>
      </c>
      <c r="GH883" s="35">
        <v>42524</v>
      </c>
      <c r="GI883" s="26">
        <v>1.429</v>
      </c>
      <c r="GJ883" s="94">
        <f t="shared" si="339"/>
        <v>2.858</v>
      </c>
      <c r="GK883" s="104"/>
      <c r="GL883" s="104"/>
      <c r="GO883" s="94"/>
    </row>
    <row r="884" spans="3:197">
      <c r="C884" s="80" t="str" cm="1">
        <f t="array" ref="C884">_xlfn.IFS(MONTH(D884)&lt;4,1,MONTH(D884)&lt;7,2,MONTH(D884)&lt;10,3,MONTH(D884)&gt;9,4)&amp;"Q"&amp;RIGHT(YEAR(D884),2)</f>
        <v>3Q19</v>
      </c>
      <c r="D884" s="81">
        <f t="shared" si="346"/>
        <v>43677</v>
      </c>
      <c r="E884" s="82">
        <f t="shared" si="344"/>
        <v>43676</v>
      </c>
      <c r="F884" s="83">
        <f t="shared" si="347"/>
        <v>0.454125</v>
      </c>
      <c r="G884" s="83">
        <f t="shared" si="347"/>
        <v>0.3675</v>
      </c>
      <c r="H884" s="81"/>
      <c r="I884" s="146">
        <v>43676</v>
      </c>
      <c r="J884" s="147">
        <v>3.95</v>
      </c>
      <c r="K884" s="147">
        <v>3.55</v>
      </c>
      <c r="L884" s="147">
        <v>3.633</v>
      </c>
      <c r="M884" s="94" cm="1">
        <f t="array" ref="M884">INDEX($BV$29:$BV$1449,MATCH($D884,$BR$29:$BR$1449,0),)</f>
        <v>2.94</v>
      </c>
      <c r="N884" s="150">
        <f t="shared" si="343"/>
        <v>0</v>
      </c>
      <c r="O884" s="150">
        <f t="shared" si="345"/>
        <v>-0.016246953696182</v>
      </c>
      <c r="P884" s="150">
        <f t="shared" si="340"/>
        <v>0.0285956964892413</v>
      </c>
      <c r="Q884" s="89">
        <f t="shared" si="341"/>
        <v>0.235714285714286</v>
      </c>
      <c r="AH884" s="90"/>
      <c r="AI884" s="85"/>
      <c r="AJ884" s="36"/>
      <c r="AK884" s="36"/>
      <c r="AL884" s="36"/>
      <c r="AM884" s="36"/>
      <c r="AN884" s="36"/>
      <c r="AO884" s="36"/>
      <c r="AP884" s="36"/>
      <c r="FV884" s="104">
        <f t="shared" ref="FV884:FV947" si="348">YEAR(FX884)</f>
        <v>2013</v>
      </c>
      <c r="FW884" s="104">
        <f t="shared" ref="FW884:FW947" si="349">WEEKNUM(FX884)</f>
        <v>49</v>
      </c>
      <c r="FX884" s="35">
        <v>41610</v>
      </c>
      <c r="FY884" s="26">
        <v>2.072</v>
      </c>
      <c r="FZ884" s="94">
        <f t="shared" ref="FZ884:FZ947" si="350">FY884*4</f>
        <v>8.288</v>
      </c>
      <c r="GA884" s="104"/>
      <c r="GB884" s="104"/>
      <c r="GE884" s="94"/>
      <c r="GF884" s="104">
        <f t="shared" ref="GF884:GF947" si="351">YEAR(GH884)</f>
        <v>2016</v>
      </c>
      <c r="GG884" s="104">
        <f t="shared" ref="GG884:GG947" si="352">WEEKNUM(GH884)</f>
        <v>24</v>
      </c>
      <c r="GH884" s="35">
        <v>42527</v>
      </c>
      <c r="GI884" s="26">
        <v>1.432</v>
      </c>
      <c r="GJ884" s="94">
        <f t="shared" ref="GJ884:GJ947" si="353">GI884*2</f>
        <v>2.864</v>
      </c>
      <c r="GK884" s="104"/>
      <c r="GL884" s="104"/>
      <c r="GO884" s="94"/>
    </row>
    <row r="885" spans="3:197">
      <c r="C885" s="80" t="str" cm="1">
        <f t="array" ref="C885">_xlfn.IFS(MONTH(D885)&lt;4,1,MONTH(D885)&lt;7,2,MONTH(D885)&lt;10,3,MONTH(D885)&gt;9,4)&amp;"Q"&amp;RIGHT(YEAR(D885),2)</f>
        <v>3Q19</v>
      </c>
      <c r="D885" s="81">
        <f t="shared" si="346"/>
        <v>43677</v>
      </c>
      <c r="E885" s="82">
        <f t="shared" si="344"/>
        <v>43677</v>
      </c>
      <c r="F885" s="83">
        <f t="shared" si="347"/>
        <v>0.454125</v>
      </c>
      <c r="G885" s="83">
        <f t="shared" si="347"/>
        <v>0.3675</v>
      </c>
      <c r="H885" s="81"/>
      <c r="I885" s="146">
        <v>43677</v>
      </c>
      <c r="J885" s="147">
        <v>3.95</v>
      </c>
      <c r="K885" s="147">
        <v>3.5</v>
      </c>
      <c r="L885" s="147">
        <v>3.633</v>
      </c>
      <c r="M885" s="94" cm="1">
        <f t="array" ref="M885">INDEX($BV$29:$BV$1449,MATCH($D885,$BR$29:$BR$1449,0),)</f>
        <v>2.94</v>
      </c>
      <c r="N885" s="150">
        <f t="shared" si="343"/>
        <v>0</v>
      </c>
      <c r="O885" s="150">
        <f t="shared" si="345"/>
        <v>-0.00846069868995636</v>
      </c>
      <c r="P885" s="150">
        <f t="shared" si="340"/>
        <v>0.0193602693602692</v>
      </c>
      <c r="Q885" s="89">
        <f t="shared" si="341"/>
        <v>0.235714285714286</v>
      </c>
      <c r="AH885" s="90"/>
      <c r="AI885" s="85"/>
      <c r="AJ885" s="36"/>
      <c r="AK885" s="36"/>
      <c r="AL885" s="36"/>
      <c r="AM885" s="36"/>
      <c r="AN885" s="36"/>
      <c r="AO885" s="36"/>
      <c r="AP885" s="36"/>
      <c r="FV885" s="104">
        <f t="shared" si="348"/>
        <v>2013</v>
      </c>
      <c r="FW885" s="104">
        <f t="shared" si="349"/>
        <v>49</v>
      </c>
      <c r="FX885" s="35">
        <v>41611</v>
      </c>
      <c r="FY885" s="26">
        <v>2.086</v>
      </c>
      <c r="FZ885" s="94">
        <f t="shared" si="350"/>
        <v>8.344</v>
      </c>
      <c r="GA885" s="104"/>
      <c r="GB885" s="104"/>
      <c r="GE885" s="94"/>
      <c r="GF885" s="104">
        <f t="shared" si="351"/>
        <v>2016</v>
      </c>
      <c r="GG885" s="104">
        <f t="shared" si="352"/>
        <v>24</v>
      </c>
      <c r="GH885" s="35">
        <v>42528</v>
      </c>
      <c r="GI885" s="26">
        <v>1.436</v>
      </c>
      <c r="GJ885" s="94">
        <f t="shared" si="353"/>
        <v>2.872</v>
      </c>
      <c r="GK885" s="104"/>
      <c r="GL885" s="104"/>
      <c r="GO885" s="94"/>
    </row>
    <row r="886" spans="3:197">
      <c r="C886" s="80" t="str" cm="1">
        <f t="array" ref="C886">_xlfn.IFS(MONTH(D886)&lt;4,1,MONTH(D886)&lt;7,2,MONTH(D886)&lt;10,3,MONTH(D886)&gt;9,4)&amp;"Q"&amp;RIGHT(YEAR(D886),2)</f>
        <v>3Q19</v>
      </c>
      <c r="D886" s="81">
        <f t="shared" si="346"/>
        <v>43708</v>
      </c>
      <c r="E886" s="82">
        <f t="shared" si="344"/>
        <v>43678</v>
      </c>
      <c r="F886" s="83">
        <f t="shared" ref="F886:G907" si="354">+L886/8</f>
        <v>0.45375</v>
      </c>
      <c r="G886" s="83">
        <f t="shared" si="354"/>
        <v>0.3675</v>
      </c>
      <c r="H886" s="81"/>
      <c r="I886" s="146">
        <v>43678</v>
      </c>
      <c r="J886" s="147">
        <v>3.95</v>
      </c>
      <c r="K886" s="147">
        <v>3.5</v>
      </c>
      <c r="L886" s="147">
        <v>3.63</v>
      </c>
      <c r="M886" s="94" cm="1">
        <f t="array" ref="M886">INDEX($BV$29:$BV$1449,MATCH($D886,$BR$29:$BR$1449,0),)</f>
        <v>2.94</v>
      </c>
      <c r="N886" s="150">
        <f t="shared" si="343"/>
        <v>-0.000825763831544202</v>
      </c>
      <c r="O886" s="150">
        <f t="shared" si="345"/>
        <v>-0.00356848751029371</v>
      </c>
      <c r="P886" s="150">
        <f t="shared" si="340"/>
        <v>0.00945494994438256</v>
      </c>
      <c r="Q886" s="89">
        <f t="shared" si="341"/>
        <v>0.23469387755102</v>
      </c>
      <c r="AH886" s="90"/>
      <c r="AI886" s="85"/>
      <c r="AJ886" s="36"/>
      <c r="AK886" s="36"/>
      <c r="AL886" s="36"/>
      <c r="AM886" s="36"/>
      <c r="AN886" s="36"/>
      <c r="AO886" s="36"/>
      <c r="AP886" s="36"/>
      <c r="FV886" s="104">
        <f t="shared" si="348"/>
        <v>2013</v>
      </c>
      <c r="FW886" s="104">
        <f t="shared" si="349"/>
        <v>49</v>
      </c>
      <c r="FX886" s="35">
        <v>41612</v>
      </c>
      <c r="FY886" s="26">
        <v>2.124</v>
      </c>
      <c r="FZ886" s="94">
        <f t="shared" si="350"/>
        <v>8.496</v>
      </c>
      <c r="GA886" s="104"/>
      <c r="GB886" s="104"/>
      <c r="GE886" s="94"/>
      <c r="GF886" s="104">
        <f t="shared" si="351"/>
        <v>2016</v>
      </c>
      <c r="GG886" s="104">
        <f t="shared" si="352"/>
        <v>24</v>
      </c>
      <c r="GH886" s="35">
        <v>42529</v>
      </c>
      <c r="GI886" s="26">
        <v>1.442</v>
      </c>
      <c r="GJ886" s="94">
        <f t="shared" si="353"/>
        <v>2.884</v>
      </c>
      <c r="GK886" s="104"/>
      <c r="GL886" s="104"/>
      <c r="GO886" s="94"/>
    </row>
    <row r="887" spans="3:197">
      <c r="C887" s="80" t="str" cm="1">
        <f t="array" ref="C887">_xlfn.IFS(MONTH(D887)&lt;4,1,MONTH(D887)&lt;7,2,MONTH(D887)&lt;10,3,MONTH(D887)&gt;9,4)&amp;"Q"&amp;RIGHT(YEAR(D887),2)</f>
        <v>3Q19</v>
      </c>
      <c r="D887" s="81">
        <f t="shared" si="346"/>
        <v>43708</v>
      </c>
      <c r="E887" s="82">
        <f t="shared" si="344"/>
        <v>43679</v>
      </c>
      <c r="F887" s="83">
        <f t="shared" si="354"/>
        <v>0.454125</v>
      </c>
      <c r="G887" s="83">
        <f t="shared" si="354"/>
        <v>0.3675</v>
      </c>
      <c r="H887" s="81"/>
      <c r="I887" s="146">
        <v>43679</v>
      </c>
      <c r="J887" s="147">
        <v>3.95</v>
      </c>
      <c r="K887" s="147">
        <v>3.5</v>
      </c>
      <c r="L887" s="147">
        <v>3.633</v>
      </c>
      <c r="M887" s="94" cm="1">
        <f t="array" ref="M887">INDEX($BV$29:$BV$1449,MATCH($D887,$BR$29:$BR$1449,0),)</f>
        <v>2.94</v>
      </c>
      <c r="N887" s="150">
        <f t="shared" si="343"/>
        <v>0.000826446280991711</v>
      </c>
      <c r="O887" s="150">
        <f t="shared" si="345"/>
        <v>-0.000825082508250863</v>
      </c>
      <c r="P887" s="150">
        <f t="shared" si="340"/>
        <v>-0.0275695931477516</v>
      </c>
      <c r="Q887" s="89">
        <f t="shared" si="341"/>
        <v>0.235714285714286</v>
      </c>
      <c r="AH887" s="90"/>
      <c r="AI887" s="85"/>
      <c r="AJ887" s="36"/>
      <c r="AK887" s="36"/>
      <c r="AL887" s="36"/>
      <c r="AM887" s="36"/>
      <c r="AN887" s="36"/>
      <c r="AO887" s="36"/>
      <c r="AP887" s="36"/>
      <c r="FV887" s="104">
        <f t="shared" si="348"/>
        <v>2013</v>
      </c>
      <c r="FW887" s="104">
        <f t="shared" si="349"/>
        <v>49</v>
      </c>
      <c r="FX887" s="35">
        <v>41613</v>
      </c>
      <c r="FY887" s="26">
        <v>2.233</v>
      </c>
      <c r="FZ887" s="94">
        <f t="shared" si="350"/>
        <v>8.932</v>
      </c>
      <c r="GA887" s="104"/>
      <c r="GB887" s="104"/>
      <c r="GE887" s="94"/>
      <c r="GF887" s="104">
        <f t="shared" si="351"/>
        <v>2016</v>
      </c>
      <c r="GG887" s="104">
        <f t="shared" si="352"/>
        <v>25</v>
      </c>
      <c r="GH887" s="35">
        <v>42534</v>
      </c>
      <c r="GI887" s="26">
        <v>1.45</v>
      </c>
      <c r="GJ887" s="94">
        <f t="shared" si="353"/>
        <v>2.9</v>
      </c>
      <c r="GK887" s="104"/>
      <c r="GL887" s="104"/>
      <c r="GO887" s="94"/>
    </row>
    <row r="888" spans="3:197">
      <c r="C888" s="80" t="str" cm="1">
        <f t="array" ref="C888">_xlfn.IFS(MONTH(D888)&lt;4,1,MONTH(D888)&lt;7,2,MONTH(D888)&lt;10,3,MONTH(D888)&gt;9,4)&amp;"Q"&amp;RIGHT(YEAR(D888),2)</f>
        <v>3Q19</v>
      </c>
      <c r="D888" s="81">
        <f t="shared" si="346"/>
        <v>43708</v>
      </c>
      <c r="E888" s="82">
        <f t="shared" si="344"/>
        <v>43682</v>
      </c>
      <c r="F888" s="83">
        <f t="shared" si="354"/>
        <v>0.454125</v>
      </c>
      <c r="G888" s="83">
        <f t="shared" si="354"/>
        <v>0.3675</v>
      </c>
      <c r="H888" s="81"/>
      <c r="I888" s="146">
        <v>43682</v>
      </c>
      <c r="J888" s="147">
        <v>3.95</v>
      </c>
      <c r="K888" s="147">
        <v>3.5</v>
      </c>
      <c r="L888" s="147">
        <v>3.633</v>
      </c>
      <c r="M888" s="94" cm="1">
        <f t="array" ref="M888">INDEX($BV$29:$BV$1449,MATCH($D888,$BR$29:$BR$1449,0),)</f>
        <v>2.94</v>
      </c>
      <c r="N888" s="150">
        <f t="shared" si="343"/>
        <v>0</v>
      </c>
      <c r="O888" s="150">
        <f t="shared" si="345"/>
        <v>0</v>
      </c>
      <c r="P888" s="150">
        <f t="shared" si="340"/>
        <v>-0.0275695931477516</v>
      </c>
      <c r="Q888" s="89">
        <f t="shared" si="341"/>
        <v>0.235714285714286</v>
      </c>
      <c r="AH888" s="90"/>
      <c r="AI888" s="85"/>
      <c r="AJ888" s="36"/>
      <c r="AK888" s="36"/>
      <c r="AL888" s="36"/>
      <c r="AM888" s="36"/>
      <c r="AN888" s="36"/>
      <c r="AO888" s="36"/>
      <c r="AP888" s="36"/>
      <c r="FV888" s="104">
        <f t="shared" si="348"/>
        <v>2013</v>
      </c>
      <c r="FW888" s="104">
        <f t="shared" si="349"/>
        <v>49</v>
      </c>
      <c r="FX888" s="35">
        <v>41614</v>
      </c>
      <c r="FY888" s="26">
        <v>2.347</v>
      </c>
      <c r="FZ888" s="94">
        <f t="shared" si="350"/>
        <v>9.388</v>
      </c>
      <c r="GA888" s="104"/>
      <c r="GB888" s="104"/>
      <c r="GE888" s="94"/>
      <c r="GF888" s="104">
        <f t="shared" si="351"/>
        <v>2016</v>
      </c>
      <c r="GG888" s="104">
        <f t="shared" si="352"/>
        <v>25</v>
      </c>
      <c r="GH888" s="35">
        <v>42535</v>
      </c>
      <c r="GI888" s="26">
        <v>1.454</v>
      </c>
      <c r="GJ888" s="94">
        <f t="shared" si="353"/>
        <v>2.908</v>
      </c>
      <c r="GK888" s="104"/>
      <c r="GL888" s="104"/>
      <c r="GO888" s="94"/>
    </row>
    <row r="889" spans="3:197">
      <c r="C889" s="80" t="str" cm="1">
        <f t="array" ref="C889">_xlfn.IFS(MONTH(D889)&lt;4,1,MONTH(D889)&lt;7,2,MONTH(D889)&lt;10,3,MONTH(D889)&gt;9,4)&amp;"Q"&amp;RIGHT(YEAR(D889),2)</f>
        <v>3Q19</v>
      </c>
      <c r="D889" s="81">
        <f t="shared" si="346"/>
        <v>43708</v>
      </c>
      <c r="E889" s="82">
        <f t="shared" si="344"/>
        <v>43683</v>
      </c>
      <c r="F889" s="83">
        <f t="shared" si="354"/>
        <v>0.454625</v>
      </c>
      <c r="G889" s="83">
        <f t="shared" si="354"/>
        <v>0.3675</v>
      </c>
      <c r="H889" s="81"/>
      <c r="I889" s="146">
        <v>43683</v>
      </c>
      <c r="J889" s="147">
        <v>3.9</v>
      </c>
      <c r="K889" s="147">
        <v>3.5</v>
      </c>
      <c r="L889" s="147">
        <v>3.637</v>
      </c>
      <c r="M889" s="94" cm="1">
        <f t="array" ref="M889">INDEX($BV$29:$BV$1449,MATCH($D889,$BR$29:$BR$1449,0),)</f>
        <v>2.94</v>
      </c>
      <c r="N889" s="150">
        <f t="shared" si="343"/>
        <v>0.00110101844205901</v>
      </c>
      <c r="O889" s="150">
        <f t="shared" si="345"/>
        <v>0.00110101844205901</v>
      </c>
      <c r="P889" s="150">
        <f t="shared" si="340"/>
        <v>-0.0151638234497699</v>
      </c>
      <c r="Q889" s="89">
        <f t="shared" si="341"/>
        <v>0.237074829931973</v>
      </c>
      <c r="AH889" s="90"/>
      <c r="AI889" s="85"/>
      <c r="AJ889" s="36"/>
      <c r="AK889" s="36"/>
      <c r="AL889" s="36"/>
      <c r="AM889" s="36"/>
      <c r="AN889" s="36"/>
      <c r="AO889" s="36"/>
      <c r="AP889" s="36"/>
      <c r="FV889" s="104">
        <f t="shared" si="348"/>
        <v>2013</v>
      </c>
      <c r="FW889" s="104">
        <f t="shared" si="349"/>
        <v>50</v>
      </c>
      <c r="FX889" s="35">
        <v>41617</v>
      </c>
      <c r="FY889" s="26">
        <v>2.357</v>
      </c>
      <c r="FZ889" s="94">
        <f t="shared" si="350"/>
        <v>9.428</v>
      </c>
      <c r="GA889" s="104"/>
      <c r="GB889" s="104"/>
      <c r="GE889" s="94"/>
      <c r="GF889" s="104">
        <f t="shared" si="351"/>
        <v>2016</v>
      </c>
      <c r="GG889" s="104">
        <f t="shared" si="352"/>
        <v>25</v>
      </c>
      <c r="GH889" s="35">
        <v>42536</v>
      </c>
      <c r="GI889" s="26">
        <v>1.489</v>
      </c>
      <c r="GJ889" s="94">
        <f t="shared" si="353"/>
        <v>2.978</v>
      </c>
      <c r="GK889" s="104"/>
      <c r="GL889" s="104"/>
      <c r="GO889" s="94"/>
    </row>
    <row r="890" spans="3:197">
      <c r="C890" s="80" t="str" cm="1">
        <f t="array" ref="C890">_xlfn.IFS(MONTH(D890)&lt;4,1,MONTH(D890)&lt;7,2,MONTH(D890)&lt;10,3,MONTH(D890)&gt;9,4)&amp;"Q"&amp;RIGHT(YEAR(D890),2)</f>
        <v>3Q19</v>
      </c>
      <c r="D890" s="81">
        <f t="shared" si="346"/>
        <v>43708</v>
      </c>
      <c r="E890" s="82">
        <f t="shared" si="344"/>
        <v>43684</v>
      </c>
      <c r="F890" s="83">
        <f t="shared" si="354"/>
        <v>0.454625</v>
      </c>
      <c r="G890" s="83">
        <f t="shared" si="354"/>
        <v>0.3675</v>
      </c>
      <c r="H890" s="81"/>
      <c r="I890" s="146">
        <v>43684</v>
      </c>
      <c r="J890" s="147">
        <v>3.9</v>
      </c>
      <c r="K890" s="147">
        <v>3.5</v>
      </c>
      <c r="L890" s="147">
        <v>3.637</v>
      </c>
      <c r="M890" s="94" cm="1">
        <f t="array" ref="M890">INDEX($BV$29:$BV$1449,MATCH($D890,$BR$29:$BR$1449,0),)</f>
        <v>2.94</v>
      </c>
      <c r="N890" s="150">
        <f t="shared" si="343"/>
        <v>0</v>
      </c>
      <c r="O890" s="150">
        <f t="shared" si="345"/>
        <v>0.00110101844205901</v>
      </c>
      <c r="P890" s="150">
        <f t="shared" si="340"/>
        <v>-0.00736899563318782</v>
      </c>
      <c r="Q890" s="89">
        <f t="shared" si="341"/>
        <v>0.237074829931973</v>
      </c>
      <c r="AH890" s="90"/>
      <c r="AI890" s="85"/>
      <c r="AJ890" s="36"/>
      <c r="AK890" s="36"/>
      <c r="AL890" s="36"/>
      <c r="AM890" s="36"/>
      <c r="AN890" s="36"/>
      <c r="AO890" s="36"/>
      <c r="AP890" s="36"/>
      <c r="FV890" s="104">
        <f t="shared" si="348"/>
        <v>2013</v>
      </c>
      <c r="FW890" s="104">
        <f t="shared" si="349"/>
        <v>50</v>
      </c>
      <c r="FX890" s="35">
        <v>41618</v>
      </c>
      <c r="FY890" s="26">
        <v>2.444</v>
      </c>
      <c r="FZ890" s="94">
        <f t="shared" si="350"/>
        <v>9.776</v>
      </c>
      <c r="GA890" s="104"/>
      <c r="GB890" s="104"/>
      <c r="GE890" s="94"/>
      <c r="GF890" s="104">
        <f t="shared" si="351"/>
        <v>2016</v>
      </c>
      <c r="GG890" s="104">
        <f t="shared" si="352"/>
        <v>25</v>
      </c>
      <c r="GH890" s="35">
        <v>42537</v>
      </c>
      <c r="GI890" s="26">
        <v>1.497</v>
      </c>
      <c r="GJ890" s="94">
        <f t="shared" si="353"/>
        <v>2.994</v>
      </c>
      <c r="GK890" s="104"/>
      <c r="GL890" s="104"/>
      <c r="GO890" s="94"/>
    </row>
    <row r="891" spans="3:197">
      <c r="C891" s="80" t="str" cm="1">
        <f t="array" ref="C891">_xlfn.IFS(MONTH(D891)&lt;4,1,MONTH(D891)&lt;7,2,MONTH(D891)&lt;10,3,MONTH(D891)&gt;9,4)&amp;"Q"&amp;RIGHT(YEAR(D891),2)</f>
        <v>3Q19</v>
      </c>
      <c r="D891" s="81">
        <f t="shared" si="346"/>
        <v>43708</v>
      </c>
      <c r="E891" s="82">
        <f t="shared" si="344"/>
        <v>43685</v>
      </c>
      <c r="F891" s="83">
        <f t="shared" si="354"/>
        <v>0.452125</v>
      </c>
      <c r="G891" s="83">
        <f t="shared" si="354"/>
        <v>0.3675</v>
      </c>
      <c r="H891" s="81"/>
      <c r="I891" s="146">
        <v>43685</v>
      </c>
      <c r="J891" s="147">
        <v>3.87</v>
      </c>
      <c r="K891" s="147">
        <v>3.46</v>
      </c>
      <c r="L891" s="147">
        <v>3.617</v>
      </c>
      <c r="M891" s="94" cm="1">
        <f t="array" ref="M891">INDEX($BV$29:$BV$1449,MATCH($D891,$BR$29:$BR$1449,0),)</f>
        <v>2.94</v>
      </c>
      <c r="N891" s="150">
        <f t="shared" si="343"/>
        <v>-0.00549903766840798</v>
      </c>
      <c r="O891" s="150">
        <f t="shared" si="345"/>
        <v>-0.00358126721763086</v>
      </c>
      <c r="P891" s="150">
        <f t="shared" si="340"/>
        <v>-0.00713697502058741</v>
      </c>
      <c r="Q891" s="89">
        <f t="shared" si="341"/>
        <v>0.230272108843537</v>
      </c>
      <c r="AH891" s="90"/>
      <c r="AI891" s="85"/>
      <c r="AJ891" s="36"/>
      <c r="AK891" s="36"/>
      <c r="AL891" s="36"/>
      <c r="AM891" s="36"/>
      <c r="AN891" s="36"/>
      <c r="AO891" s="36"/>
      <c r="AP891" s="36"/>
      <c r="FV891" s="104">
        <f t="shared" si="348"/>
        <v>2013</v>
      </c>
      <c r="FW891" s="104">
        <f t="shared" si="349"/>
        <v>50</v>
      </c>
      <c r="FX891" s="35">
        <v>41619</v>
      </c>
      <c r="FY891" s="26">
        <v>2.444</v>
      </c>
      <c r="FZ891" s="94">
        <f t="shared" si="350"/>
        <v>9.776</v>
      </c>
      <c r="GA891" s="104"/>
      <c r="GB891" s="104"/>
      <c r="GE891" s="94"/>
      <c r="GF891" s="104">
        <f t="shared" si="351"/>
        <v>2016</v>
      </c>
      <c r="GG891" s="104">
        <f t="shared" si="352"/>
        <v>25</v>
      </c>
      <c r="GH891" s="35">
        <v>42538</v>
      </c>
      <c r="GI891" s="26">
        <v>1.505</v>
      </c>
      <c r="GJ891" s="94">
        <f t="shared" si="353"/>
        <v>3.01</v>
      </c>
      <c r="GK891" s="104"/>
      <c r="GL891" s="104"/>
      <c r="GO891" s="94"/>
    </row>
    <row r="892" spans="3:197">
      <c r="C892" s="80" t="str" cm="1">
        <f t="array" ref="C892">_xlfn.IFS(MONTH(D892)&lt;4,1,MONTH(D892)&lt;7,2,MONTH(D892)&lt;10,3,MONTH(D892)&gt;9,4)&amp;"Q"&amp;RIGHT(YEAR(D892),2)</f>
        <v>3Q19</v>
      </c>
      <c r="D892" s="81">
        <f t="shared" si="346"/>
        <v>43708</v>
      </c>
      <c r="E892" s="82">
        <f t="shared" si="344"/>
        <v>43686</v>
      </c>
      <c r="F892" s="83">
        <f t="shared" si="354"/>
        <v>0.447875</v>
      </c>
      <c r="G892" s="83">
        <f t="shared" si="354"/>
        <v>0.3675</v>
      </c>
      <c r="H892" s="81"/>
      <c r="I892" s="146">
        <v>43686</v>
      </c>
      <c r="J892" s="147">
        <v>3.85</v>
      </c>
      <c r="K892" s="147">
        <v>3.44</v>
      </c>
      <c r="L892" s="147">
        <v>3.583</v>
      </c>
      <c r="M892" s="94" cm="1">
        <f t="array" ref="M892">INDEX($BV$29:$BV$1449,MATCH($D892,$BR$29:$BR$1449,0),)</f>
        <v>2.94</v>
      </c>
      <c r="N892" s="150">
        <f t="shared" si="343"/>
        <v>-0.00940005529444288</v>
      </c>
      <c r="O892" s="150">
        <f t="shared" si="345"/>
        <v>-0.0137627305257363</v>
      </c>
      <c r="P892" s="150">
        <f t="shared" si="340"/>
        <v>-0.0145764576457645</v>
      </c>
      <c r="Q892" s="89">
        <f t="shared" si="341"/>
        <v>0.218707482993197</v>
      </c>
      <c r="AH892" s="90"/>
      <c r="AI892" s="85"/>
      <c r="AJ892" s="36"/>
      <c r="AK892" s="36"/>
      <c r="AL892" s="36"/>
      <c r="AM892" s="36"/>
      <c r="AN892" s="36"/>
      <c r="AO892" s="36"/>
      <c r="AP892" s="36"/>
      <c r="FV892" s="104">
        <f t="shared" si="348"/>
        <v>2013</v>
      </c>
      <c r="FW892" s="104">
        <f t="shared" si="349"/>
        <v>50</v>
      </c>
      <c r="FX892" s="35">
        <v>41620</v>
      </c>
      <c r="FY892" s="26">
        <v>2.425</v>
      </c>
      <c r="FZ892" s="94">
        <f t="shared" si="350"/>
        <v>9.7</v>
      </c>
      <c r="GA892" s="104"/>
      <c r="GB892" s="104"/>
      <c r="GE892" s="94"/>
      <c r="GF892" s="104">
        <f t="shared" si="351"/>
        <v>2016</v>
      </c>
      <c r="GG892" s="104">
        <f t="shared" si="352"/>
        <v>26</v>
      </c>
      <c r="GH892" s="35">
        <v>42541</v>
      </c>
      <c r="GI892" s="26">
        <v>1.513</v>
      </c>
      <c r="GJ892" s="94">
        <f t="shared" si="353"/>
        <v>3.026</v>
      </c>
      <c r="GK892" s="104"/>
      <c r="GL892" s="104"/>
      <c r="GO892" s="94"/>
    </row>
    <row r="893" spans="3:197">
      <c r="C893" s="80" t="str" cm="1">
        <f t="array" ref="C893">_xlfn.IFS(MONTH(D893)&lt;4,1,MONTH(D893)&lt;7,2,MONTH(D893)&lt;10,3,MONTH(D893)&gt;9,4)&amp;"Q"&amp;RIGHT(YEAR(D893),2)</f>
        <v>3Q19</v>
      </c>
      <c r="D893" s="81">
        <f t="shared" si="346"/>
        <v>43708</v>
      </c>
      <c r="E893" s="82">
        <f t="shared" si="344"/>
        <v>43689</v>
      </c>
      <c r="F893" s="83">
        <f t="shared" si="354"/>
        <v>0.447125</v>
      </c>
      <c r="G893" s="83">
        <f t="shared" si="354"/>
        <v>0.3675</v>
      </c>
      <c r="H893" s="81"/>
      <c r="I893" s="146">
        <v>43689</v>
      </c>
      <c r="J893" s="147">
        <v>3.85</v>
      </c>
      <c r="K893" s="147">
        <v>3.43</v>
      </c>
      <c r="L893" s="147">
        <v>3.577</v>
      </c>
      <c r="M893" s="94" cm="1">
        <f t="array" ref="M893">INDEX($BV$29:$BV$1449,MATCH($D893,$BR$29:$BR$1449,0),)</f>
        <v>2.94</v>
      </c>
      <c r="N893" s="150">
        <f t="shared" si="343"/>
        <v>-0.00167457437901208</v>
      </c>
      <c r="O893" s="150">
        <f t="shared" si="345"/>
        <v>-0.0154142581888247</v>
      </c>
      <c r="P893" s="150">
        <f t="shared" si="340"/>
        <v>-0.0154142581888247</v>
      </c>
      <c r="Q893" s="89">
        <f t="shared" si="341"/>
        <v>0.216666666666667</v>
      </c>
      <c r="AH893" s="90"/>
      <c r="AI893" s="85"/>
      <c r="AJ893" s="36"/>
      <c r="AK893" s="36"/>
      <c r="AL893" s="36"/>
      <c r="AM893" s="36"/>
      <c r="AN893" s="36"/>
      <c r="AO893" s="36"/>
      <c r="AP893" s="36"/>
      <c r="FV893" s="104">
        <f t="shared" si="348"/>
        <v>2013</v>
      </c>
      <c r="FW893" s="104">
        <f t="shared" si="349"/>
        <v>50</v>
      </c>
      <c r="FX893" s="35">
        <v>41621</v>
      </c>
      <c r="FY893" s="26">
        <v>2.415</v>
      </c>
      <c r="FZ893" s="94">
        <f t="shared" si="350"/>
        <v>9.66</v>
      </c>
      <c r="GA893" s="104"/>
      <c r="GB893" s="104"/>
      <c r="GE893" s="94"/>
      <c r="GF893" s="104">
        <f t="shared" si="351"/>
        <v>2016</v>
      </c>
      <c r="GG893" s="104">
        <f t="shared" si="352"/>
        <v>26</v>
      </c>
      <c r="GH893" s="35">
        <v>42542</v>
      </c>
      <c r="GI893" s="26">
        <v>1.536</v>
      </c>
      <c r="GJ893" s="94">
        <f t="shared" si="353"/>
        <v>3.072</v>
      </c>
      <c r="GK893" s="104"/>
      <c r="GL893" s="104"/>
      <c r="GO893" s="94"/>
    </row>
    <row r="894" spans="3:197">
      <c r="C894" s="80" t="str" cm="1">
        <f t="array" ref="C894">_xlfn.IFS(MONTH(D894)&lt;4,1,MONTH(D894)&lt;7,2,MONTH(D894)&lt;10,3,MONTH(D894)&gt;9,4)&amp;"Q"&amp;RIGHT(YEAR(D894),2)</f>
        <v>3Q19</v>
      </c>
      <c r="D894" s="81">
        <f t="shared" si="346"/>
        <v>43708</v>
      </c>
      <c r="E894" s="82">
        <f t="shared" si="344"/>
        <v>43690</v>
      </c>
      <c r="F894" s="83">
        <f t="shared" si="354"/>
        <v>0.444625</v>
      </c>
      <c r="G894" s="83">
        <f t="shared" si="354"/>
        <v>0.3675</v>
      </c>
      <c r="H894" s="81"/>
      <c r="I894" s="146">
        <v>43690</v>
      </c>
      <c r="J894" s="147">
        <v>3.8</v>
      </c>
      <c r="K894" s="147">
        <v>3.41</v>
      </c>
      <c r="L894" s="147">
        <v>3.557</v>
      </c>
      <c r="M894" s="94" cm="1">
        <f t="array" ref="M894">INDEX($BV$29:$BV$1449,MATCH($D894,$BR$29:$BR$1449,0),)</f>
        <v>2.94</v>
      </c>
      <c r="N894" s="150">
        <f t="shared" si="343"/>
        <v>-0.00559127760693323</v>
      </c>
      <c r="O894" s="150">
        <f t="shared" si="345"/>
        <v>-0.0219961506736321</v>
      </c>
      <c r="P894" s="150">
        <f t="shared" si="340"/>
        <v>-0.0209193503991192</v>
      </c>
      <c r="Q894" s="89">
        <f t="shared" si="341"/>
        <v>0.209863945578231</v>
      </c>
      <c r="AH894" s="90"/>
      <c r="AI894" s="85"/>
      <c r="AJ894" s="36"/>
      <c r="AK894" s="36"/>
      <c r="AL894" s="36"/>
      <c r="AM894" s="36"/>
      <c r="AN894" s="36"/>
      <c r="AO894" s="36"/>
      <c r="AP894" s="36"/>
      <c r="FV894" s="104">
        <f t="shared" si="348"/>
        <v>2013</v>
      </c>
      <c r="FW894" s="104">
        <f t="shared" si="349"/>
        <v>51</v>
      </c>
      <c r="FX894" s="35">
        <v>41624</v>
      </c>
      <c r="FY894" s="26">
        <v>2.413</v>
      </c>
      <c r="FZ894" s="94">
        <f t="shared" si="350"/>
        <v>9.652</v>
      </c>
      <c r="GA894" s="104"/>
      <c r="GB894" s="104"/>
      <c r="GE894" s="94"/>
      <c r="GF894" s="104">
        <f t="shared" si="351"/>
        <v>2016</v>
      </c>
      <c r="GG894" s="104">
        <f t="shared" si="352"/>
        <v>26</v>
      </c>
      <c r="GH894" s="35">
        <v>42543</v>
      </c>
      <c r="GI894" s="26">
        <v>1.602</v>
      </c>
      <c r="GJ894" s="94">
        <f t="shared" si="353"/>
        <v>3.204</v>
      </c>
      <c r="GK894" s="104"/>
      <c r="GL894" s="104"/>
      <c r="GO894" s="94"/>
    </row>
    <row r="895" spans="3:197">
      <c r="C895" s="80" t="str" cm="1">
        <f t="array" ref="C895">_xlfn.IFS(MONTH(D895)&lt;4,1,MONTH(D895)&lt;7,2,MONTH(D895)&lt;10,3,MONTH(D895)&gt;9,4)&amp;"Q"&amp;RIGHT(YEAR(D895),2)</f>
        <v>3Q19</v>
      </c>
      <c r="D895" s="81">
        <f t="shared" si="346"/>
        <v>43708</v>
      </c>
      <c r="E895" s="82">
        <f t="shared" si="344"/>
        <v>43691</v>
      </c>
      <c r="F895" s="83">
        <f t="shared" si="354"/>
        <v>0.443375</v>
      </c>
      <c r="G895" s="83">
        <f t="shared" si="354"/>
        <v>0.3675</v>
      </c>
      <c r="H895" s="81"/>
      <c r="I895" s="146">
        <v>43691</v>
      </c>
      <c r="J895" s="147">
        <v>3.8</v>
      </c>
      <c r="K895" s="147">
        <v>3.4</v>
      </c>
      <c r="L895" s="147">
        <v>3.547</v>
      </c>
      <c r="M895" s="94" cm="1">
        <f t="array" ref="M895">INDEX($BV$29:$BV$1449,MATCH($D895,$BR$29:$BR$1449,0),)</f>
        <v>2.94</v>
      </c>
      <c r="N895" s="150">
        <f t="shared" si="343"/>
        <v>-0.00281135788585885</v>
      </c>
      <c r="O895" s="150">
        <f t="shared" si="345"/>
        <v>-0.0247456695078361</v>
      </c>
      <c r="P895" s="150">
        <f t="shared" si="340"/>
        <v>-0.0236718965042664</v>
      </c>
      <c r="Q895" s="89">
        <f t="shared" si="341"/>
        <v>0.206462585034014</v>
      </c>
      <c r="AH895" s="90"/>
      <c r="AI895" s="85"/>
      <c r="AJ895" s="36"/>
      <c r="AK895" s="36"/>
      <c r="AL895" s="36"/>
      <c r="AM895" s="36"/>
      <c r="AN895" s="36"/>
      <c r="AO895" s="36"/>
      <c r="AP895" s="36"/>
      <c r="FV895" s="104">
        <f t="shared" si="348"/>
        <v>2013</v>
      </c>
      <c r="FW895" s="104">
        <f t="shared" si="349"/>
        <v>51</v>
      </c>
      <c r="FX895" s="35">
        <v>41625</v>
      </c>
      <c r="FY895" s="26">
        <v>2.41</v>
      </c>
      <c r="FZ895" s="94">
        <f t="shared" si="350"/>
        <v>9.64</v>
      </c>
      <c r="GA895" s="104"/>
      <c r="GB895" s="104"/>
      <c r="GE895" s="94"/>
      <c r="GF895" s="104">
        <f t="shared" si="351"/>
        <v>2016</v>
      </c>
      <c r="GG895" s="104">
        <f t="shared" si="352"/>
        <v>26</v>
      </c>
      <c r="GH895" s="35">
        <v>42544</v>
      </c>
      <c r="GI895" s="26">
        <v>1.63</v>
      </c>
      <c r="GJ895" s="94">
        <f t="shared" si="353"/>
        <v>3.26</v>
      </c>
      <c r="GK895" s="104"/>
      <c r="GL895" s="104"/>
      <c r="GO895" s="94"/>
    </row>
    <row r="896" spans="3:197">
      <c r="C896" s="80" t="str" cm="1">
        <f t="array" ref="C896">_xlfn.IFS(MONTH(D896)&lt;4,1,MONTH(D896)&lt;7,2,MONTH(D896)&lt;10,3,MONTH(D896)&gt;9,4)&amp;"Q"&amp;RIGHT(YEAR(D896),2)</f>
        <v>3Q19</v>
      </c>
      <c r="D896" s="81">
        <f t="shared" si="346"/>
        <v>43708</v>
      </c>
      <c r="E896" s="82">
        <f t="shared" si="344"/>
        <v>43692</v>
      </c>
      <c r="F896" s="83">
        <f t="shared" si="354"/>
        <v>0.442875</v>
      </c>
      <c r="G896" s="83">
        <f t="shared" si="354"/>
        <v>0.3675</v>
      </c>
      <c r="H896" s="81"/>
      <c r="I896" s="146">
        <v>43692</v>
      </c>
      <c r="J896" s="147">
        <v>3.8</v>
      </c>
      <c r="K896" s="147">
        <v>3.4</v>
      </c>
      <c r="L896" s="147">
        <v>3.543</v>
      </c>
      <c r="M896" s="94" cm="1">
        <f t="array" ref="M896">INDEX($BV$29:$BV$1449,MATCH($D896,$BR$29:$BR$1449,0),)</f>
        <v>2.94</v>
      </c>
      <c r="N896" s="150">
        <f t="shared" si="343"/>
        <v>-0.00112771356075558</v>
      </c>
      <c r="O896" s="150">
        <f t="shared" si="345"/>
        <v>-0.0204589438761404</v>
      </c>
      <c r="P896" s="150">
        <f t="shared" ref="P896:P959" si="355">L896/L886-1</f>
        <v>-0.0239669421487603</v>
      </c>
      <c r="Q896" s="89">
        <f t="shared" si="341"/>
        <v>0.205102040816327</v>
      </c>
      <c r="AH896" s="90"/>
      <c r="AI896" s="85"/>
      <c r="AJ896" s="36"/>
      <c r="AK896" s="36"/>
      <c r="AL896" s="36"/>
      <c r="AM896" s="36"/>
      <c r="AN896" s="36"/>
      <c r="AO896" s="36"/>
      <c r="AP896" s="36"/>
      <c r="FV896" s="104">
        <f t="shared" si="348"/>
        <v>2013</v>
      </c>
      <c r="FW896" s="104">
        <f t="shared" si="349"/>
        <v>51</v>
      </c>
      <c r="FX896" s="35">
        <v>41626</v>
      </c>
      <c r="FY896" s="26">
        <v>2.41</v>
      </c>
      <c r="FZ896" s="94">
        <f t="shared" si="350"/>
        <v>9.64</v>
      </c>
      <c r="GA896" s="104"/>
      <c r="GB896" s="104"/>
      <c r="GE896" s="94"/>
      <c r="GF896" s="104">
        <f t="shared" si="351"/>
        <v>2016</v>
      </c>
      <c r="GG896" s="104">
        <f t="shared" si="352"/>
        <v>26</v>
      </c>
      <c r="GH896" s="35">
        <v>42545</v>
      </c>
      <c r="GI896" s="26">
        <v>1.652</v>
      </c>
      <c r="GJ896" s="94">
        <f t="shared" si="353"/>
        <v>3.304</v>
      </c>
      <c r="GK896" s="104"/>
      <c r="GL896" s="104"/>
      <c r="GO896" s="94"/>
    </row>
    <row r="897" spans="3:197">
      <c r="C897" s="80" t="str" cm="1">
        <f t="array" ref="C897">_xlfn.IFS(MONTH(D897)&lt;4,1,MONTH(D897)&lt;7,2,MONTH(D897)&lt;10,3,MONTH(D897)&gt;9,4)&amp;"Q"&amp;RIGHT(YEAR(D897),2)</f>
        <v>3Q19</v>
      </c>
      <c r="D897" s="81">
        <f t="shared" si="346"/>
        <v>43708</v>
      </c>
      <c r="E897" s="82">
        <f t="shared" si="344"/>
        <v>43693</v>
      </c>
      <c r="F897" s="83">
        <f t="shared" si="354"/>
        <v>0.440875</v>
      </c>
      <c r="G897" s="83">
        <f t="shared" si="354"/>
        <v>0.3675</v>
      </c>
      <c r="H897" s="81"/>
      <c r="I897" s="146">
        <v>43693</v>
      </c>
      <c r="J897" s="147">
        <v>3.75</v>
      </c>
      <c r="K897" s="147">
        <v>3.4</v>
      </c>
      <c r="L897" s="147">
        <v>3.527</v>
      </c>
      <c r="M897" s="94" cm="1">
        <f t="array" ref="M897">INDEX($BV$29:$BV$1449,MATCH($D897,$BR$29:$BR$1449,0),)</f>
        <v>2.94</v>
      </c>
      <c r="N897" s="150">
        <f t="shared" si="343"/>
        <v>-0.00451594693762347</v>
      </c>
      <c r="O897" s="150">
        <f t="shared" si="345"/>
        <v>-0.0156293608707787</v>
      </c>
      <c r="P897" s="150">
        <f t="shared" si="355"/>
        <v>-0.029176988714561</v>
      </c>
      <c r="Q897" s="89">
        <f t="shared" ref="Q897:Q960" si="356">L897/M897-1</f>
        <v>0.199659863945578</v>
      </c>
      <c r="AH897" s="90"/>
      <c r="AI897" s="85"/>
      <c r="AJ897" s="36"/>
      <c r="AK897" s="36"/>
      <c r="AL897" s="36"/>
      <c r="AM897" s="36"/>
      <c r="AN897" s="36"/>
      <c r="AO897" s="36"/>
      <c r="AP897" s="36"/>
      <c r="FV897" s="104">
        <f t="shared" si="348"/>
        <v>2013</v>
      </c>
      <c r="FW897" s="104">
        <f t="shared" si="349"/>
        <v>51</v>
      </c>
      <c r="FX897" s="35">
        <v>41627</v>
      </c>
      <c r="FY897" s="26">
        <v>2.425</v>
      </c>
      <c r="FZ897" s="94">
        <f t="shared" si="350"/>
        <v>9.7</v>
      </c>
      <c r="GA897" s="104"/>
      <c r="GB897" s="104"/>
      <c r="GE897" s="94"/>
      <c r="GF897" s="104">
        <f t="shared" si="351"/>
        <v>2016</v>
      </c>
      <c r="GG897" s="104">
        <f t="shared" si="352"/>
        <v>27</v>
      </c>
      <c r="GH897" s="35">
        <v>42548</v>
      </c>
      <c r="GI897" s="26">
        <v>1.653</v>
      </c>
      <c r="GJ897" s="94">
        <f t="shared" si="353"/>
        <v>3.306</v>
      </c>
      <c r="GK897" s="104"/>
      <c r="GL897" s="104"/>
      <c r="GO897" s="94"/>
    </row>
    <row r="898" spans="3:197">
      <c r="C898" s="80" t="str" cm="1">
        <f t="array" ref="C898">_xlfn.IFS(MONTH(D898)&lt;4,1,MONTH(D898)&lt;7,2,MONTH(D898)&lt;10,3,MONTH(D898)&gt;9,4)&amp;"Q"&amp;RIGHT(YEAR(D898),2)</f>
        <v>3Q19</v>
      </c>
      <c r="D898" s="81">
        <f t="shared" si="346"/>
        <v>43708</v>
      </c>
      <c r="E898" s="82">
        <f t="shared" si="344"/>
        <v>43696</v>
      </c>
      <c r="F898" s="83">
        <f t="shared" si="354"/>
        <v>0.440375</v>
      </c>
      <c r="G898" s="83">
        <f t="shared" si="354"/>
        <v>0.3675</v>
      </c>
      <c r="H898" s="81"/>
      <c r="I898" s="146">
        <v>43696</v>
      </c>
      <c r="J898" s="147">
        <v>3.75</v>
      </c>
      <c r="K898" s="147">
        <v>3.4</v>
      </c>
      <c r="L898" s="147">
        <v>3.523</v>
      </c>
      <c r="M898" s="94" cm="1">
        <f t="array" ref="M898">INDEX($BV$29:$BV$1449,MATCH($D898,$BR$29:$BR$1449,0),)</f>
        <v>2.94</v>
      </c>
      <c r="N898" s="150">
        <f t="shared" si="343"/>
        <v>-0.0011341083073434</v>
      </c>
      <c r="O898" s="150">
        <f t="shared" si="345"/>
        <v>-0.0150964495387196</v>
      </c>
      <c r="P898" s="150">
        <f t="shared" si="355"/>
        <v>-0.0302780071566199</v>
      </c>
      <c r="Q898" s="89">
        <f t="shared" si="356"/>
        <v>0.198299319727891</v>
      </c>
      <c r="AH898" s="90"/>
      <c r="AI898" s="85"/>
      <c r="AJ898" s="36"/>
      <c r="AK898" s="36"/>
      <c r="AL898" s="36"/>
      <c r="AM898" s="36"/>
      <c r="AN898" s="36"/>
      <c r="AO898" s="36"/>
      <c r="AP898" s="36"/>
      <c r="FV898" s="104">
        <f t="shared" si="348"/>
        <v>2013</v>
      </c>
      <c r="FW898" s="104">
        <f t="shared" si="349"/>
        <v>51</v>
      </c>
      <c r="FX898" s="35">
        <v>41628</v>
      </c>
      <c r="FY898" s="26">
        <v>2.425</v>
      </c>
      <c r="FZ898" s="94">
        <f t="shared" si="350"/>
        <v>9.7</v>
      </c>
      <c r="GA898" s="104"/>
      <c r="GB898" s="104"/>
      <c r="GE898" s="94"/>
      <c r="GF898" s="104">
        <f t="shared" si="351"/>
        <v>2016</v>
      </c>
      <c r="GG898" s="104">
        <f t="shared" si="352"/>
        <v>27</v>
      </c>
      <c r="GH898" s="35">
        <v>42549</v>
      </c>
      <c r="GI898" s="26">
        <v>1.65</v>
      </c>
      <c r="GJ898" s="94">
        <f t="shared" si="353"/>
        <v>3.3</v>
      </c>
      <c r="GK898" s="104"/>
      <c r="GL898" s="104"/>
      <c r="GO898" s="94"/>
    </row>
    <row r="899" spans="3:197">
      <c r="C899" s="80" t="str" cm="1">
        <f t="array" ref="C899">_xlfn.IFS(MONTH(D899)&lt;4,1,MONTH(D899)&lt;7,2,MONTH(D899)&lt;10,3,MONTH(D899)&gt;9,4)&amp;"Q"&amp;RIGHT(YEAR(D899),2)</f>
        <v>3Q19</v>
      </c>
      <c r="D899" s="81">
        <f t="shared" si="346"/>
        <v>43708</v>
      </c>
      <c r="E899" s="82">
        <f t="shared" si="344"/>
        <v>43697</v>
      </c>
      <c r="F899" s="83">
        <f t="shared" si="354"/>
        <v>0.439625</v>
      </c>
      <c r="G899" s="83">
        <f t="shared" si="354"/>
        <v>0.3675</v>
      </c>
      <c r="H899" s="81"/>
      <c r="I899" s="146">
        <v>43697</v>
      </c>
      <c r="J899" s="147">
        <v>3.75</v>
      </c>
      <c r="K899" s="147">
        <v>3.4</v>
      </c>
      <c r="L899" s="147">
        <v>3.517</v>
      </c>
      <c r="M899" s="94" cm="1">
        <f t="array" ref="M899">INDEX($BV$29:$BV$1449,MATCH($D899,$BR$29:$BR$1449,0),)</f>
        <v>2.94</v>
      </c>
      <c r="N899" s="150">
        <f t="shared" si="343"/>
        <v>-0.00170309395401658</v>
      </c>
      <c r="O899" s="150">
        <f t="shared" si="345"/>
        <v>-0.0112454315434355</v>
      </c>
      <c r="P899" s="150">
        <f t="shared" si="355"/>
        <v>-0.0329942260104482</v>
      </c>
      <c r="Q899" s="89">
        <f t="shared" si="356"/>
        <v>0.196258503401361</v>
      </c>
      <c r="AH899" s="90"/>
      <c r="AI899" s="85"/>
      <c r="AJ899" s="36"/>
      <c r="AK899" s="36"/>
      <c r="AL899" s="36"/>
      <c r="AM899" s="36"/>
      <c r="AN899" s="36"/>
      <c r="AO899" s="36"/>
      <c r="AP899" s="36"/>
      <c r="FV899" s="104">
        <f t="shared" si="348"/>
        <v>2013</v>
      </c>
      <c r="FW899" s="104">
        <f t="shared" si="349"/>
        <v>52</v>
      </c>
      <c r="FX899" s="35">
        <v>41631</v>
      </c>
      <c r="FY899" s="26">
        <v>2.425</v>
      </c>
      <c r="FZ899" s="94">
        <f t="shared" si="350"/>
        <v>9.7</v>
      </c>
      <c r="GA899" s="104"/>
      <c r="GB899" s="104"/>
      <c r="GE899" s="94"/>
      <c r="GF899" s="104">
        <f t="shared" si="351"/>
        <v>2016</v>
      </c>
      <c r="GG899" s="104">
        <f t="shared" si="352"/>
        <v>27</v>
      </c>
      <c r="GH899" s="35">
        <v>42550</v>
      </c>
      <c r="GI899" s="26">
        <v>1.65</v>
      </c>
      <c r="GJ899" s="94">
        <f t="shared" si="353"/>
        <v>3.3</v>
      </c>
      <c r="GK899" s="104"/>
      <c r="GL899" s="104"/>
      <c r="GO899" s="94"/>
    </row>
    <row r="900" spans="3:197">
      <c r="C900" s="80" t="str" cm="1">
        <f t="array" ref="C900">_xlfn.IFS(MONTH(D900)&lt;4,1,MONTH(D900)&lt;7,2,MONTH(D900)&lt;10,3,MONTH(D900)&gt;9,4)&amp;"Q"&amp;RIGHT(YEAR(D900),2)</f>
        <v>3Q19</v>
      </c>
      <c r="D900" s="81">
        <f t="shared" si="346"/>
        <v>43708</v>
      </c>
      <c r="E900" s="82">
        <f t="shared" si="344"/>
        <v>43698</v>
      </c>
      <c r="F900" s="83">
        <f t="shared" si="354"/>
        <v>0.4375</v>
      </c>
      <c r="G900" s="83">
        <f t="shared" si="354"/>
        <v>0.3675</v>
      </c>
      <c r="H900" s="81"/>
      <c r="I900" s="146">
        <v>43698</v>
      </c>
      <c r="J900" s="147">
        <v>3.75</v>
      </c>
      <c r="K900" s="147">
        <v>3.4</v>
      </c>
      <c r="L900" s="147">
        <v>3.5</v>
      </c>
      <c r="M900" s="94" cm="1">
        <f t="array" ref="M900">INDEX($BV$29:$BV$1449,MATCH($D900,$BR$29:$BR$1449,0),)</f>
        <v>2.94</v>
      </c>
      <c r="N900" s="150">
        <f t="shared" si="343"/>
        <v>-0.00483366505544491</v>
      </c>
      <c r="O900" s="150">
        <f t="shared" si="345"/>
        <v>-0.013250634338878</v>
      </c>
      <c r="P900" s="150">
        <f t="shared" si="355"/>
        <v>-0.0376684080285949</v>
      </c>
      <c r="Q900" s="89">
        <f t="shared" si="356"/>
        <v>0.19047619047619</v>
      </c>
      <c r="AH900" s="90"/>
      <c r="AI900" s="85"/>
      <c r="AJ900" s="36"/>
      <c r="AK900" s="36"/>
      <c r="AL900" s="36"/>
      <c r="AM900" s="36"/>
      <c r="AN900" s="36"/>
      <c r="AO900" s="36"/>
      <c r="AP900" s="36"/>
      <c r="FV900" s="104">
        <f t="shared" si="348"/>
        <v>2013</v>
      </c>
      <c r="FW900" s="104">
        <f t="shared" si="349"/>
        <v>52</v>
      </c>
      <c r="FX900" s="35">
        <v>41632</v>
      </c>
      <c r="FY900" s="26">
        <v>2.425</v>
      </c>
      <c r="FZ900" s="94">
        <f t="shared" si="350"/>
        <v>9.7</v>
      </c>
      <c r="GA900" s="104"/>
      <c r="GB900" s="104"/>
      <c r="GE900" s="94"/>
      <c r="GF900" s="104">
        <f t="shared" si="351"/>
        <v>2016</v>
      </c>
      <c r="GG900" s="104">
        <f t="shared" si="352"/>
        <v>27</v>
      </c>
      <c r="GH900" s="35">
        <v>42551</v>
      </c>
      <c r="GI900" s="26">
        <v>1.65</v>
      </c>
      <c r="GJ900" s="94">
        <f t="shared" si="353"/>
        <v>3.3</v>
      </c>
      <c r="GK900" s="104"/>
      <c r="GL900" s="104"/>
      <c r="GO900" s="94"/>
    </row>
    <row r="901" spans="3:197">
      <c r="C901" s="80" t="str" cm="1">
        <f t="array" ref="C901">_xlfn.IFS(MONTH(D901)&lt;4,1,MONTH(D901)&lt;7,2,MONTH(D901)&lt;10,3,MONTH(D901)&gt;9,4)&amp;"Q"&amp;RIGHT(YEAR(D901),2)</f>
        <v>3Q19</v>
      </c>
      <c r="D901" s="81">
        <f t="shared" si="346"/>
        <v>43708</v>
      </c>
      <c r="E901" s="82">
        <f t="shared" si="344"/>
        <v>43699</v>
      </c>
      <c r="F901" s="83">
        <f t="shared" si="354"/>
        <v>0.437125</v>
      </c>
      <c r="G901" s="83">
        <f t="shared" si="354"/>
        <v>0.3675</v>
      </c>
      <c r="H901" s="81"/>
      <c r="I901" s="146">
        <v>43699</v>
      </c>
      <c r="J901" s="147">
        <v>3.75</v>
      </c>
      <c r="K901" s="147">
        <v>3.4</v>
      </c>
      <c r="L901" s="147">
        <v>3.497</v>
      </c>
      <c r="M901" s="94" cm="1">
        <f t="array" ref="M901">INDEX($BV$29:$BV$1449,MATCH($D901,$BR$29:$BR$1449,0),)</f>
        <v>2.94</v>
      </c>
      <c r="N901" s="150">
        <f t="shared" si="343"/>
        <v>-0.00085714285714289</v>
      </c>
      <c r="O901" s="150">
        <f t="shared" si="345"/>
        <v>-0.0129833474456675</v>
      </c>
      <c r="P901" s="150">
        <f t="shared" si="355"/>
        <v>-0.0331766657450926</v>
      </c>
      <c r="Q901" s="89">
        <f t="shared" si="356"/>
        <v>0.189455782312925</v>
      </c>
      <c r="AH901" s="90"/>
      <c r="AI901" s="85"/>
      <c r="AJ901" s="36"/>
      <c r="AK901" s="36"/>
      <c r="AL901" s="36"/>
      <c r="AM901" s="36"/>
      <c r="AN901" s="36"/>
      <c r="AO901" s="36"/>
      <c r="AP901" s="36"/>
      <c r="FV901" s="104">
        <f t="shared" si="348"/>
        <v>2013</v>
      </c>
      <c r="FW901" s="104">
        <f t="shared" si="349"/>
        <v>52</v>
      </c>
      <c r="FX901" s="35">
        <v>41633</v>
      </c>
      <c r="FY901" s="26">
        <v>2.425</v>
      </c>
      <c r="FZ901" s="94">
        <f t="shared" si="350"/>
        <v>9.7</v>
      </c>
      <c r="GA901" s="104"/>
      <c r="GB901" s="104"/>
      <c r="GE901" s="94"/>
      <c r="GF901" s="104">
        <f t="shared" si="351"/>
        <v>2016</v>
      </c>
      <c r="GG901" s="104">
        <f t="shared" si="352"/>
        <v>27</v>
      </c>
      <c r="GH901" s="35">
        <v>42552</v>
      </c>
      <c r="GI901" s="26">
        <v>1.65</v>
      </c>
      <c r="GJ901" s="94">
        <f t="shared" si="353"/>
        <v>3.3</v>
      </c>
      <c r="GK901" s="104"/>
      <c r="GL901" s="104"/>
      <c r="GO901" s="94"/>
    </row>
    <row r="902" spans="3:197">
      <c r="C902" s="80" t="str" cm="1">
        <f t="array" ref="C902">_xlfn.IFS(MONTH(D902)&lt;4,1,MONTH(D902)&lt;7,2,MONTH(D902)&lt;10,3,MONTH(D902)&gt;9,4)&amp;"Q"&amp;RIGHT(YEAR(D902),2)</f>
        <v>3Q19</v>
      </c>
      <c r="D902" s="81">
        <f t="shared" si="346"/>
        <v>43708</v>
      </c>
      <c r="E902" s="82">
        <f t="shared" si="344"/>
        <v>43700</v>
      </c>
      <c r="F902" s="83">
        <f t="shared" si="354"/>
        <v>0.434625</v>
      </c>
      <c r="G902" s="83">
        <f t="shared" si="354"/>
        <v>0.3675</v>
      </c>
      <c r="H902" s="81"/>
      <c r="I902" s="146">
        <v>43700</v>
      </c>
      <c r="J902" s="147">
        <v>3.75</v>
      </c>
      <c r="K902" s="147">
        <v>3.35</v>
      </c>
      <c r="L902" s="147">
        <v>3.477</v>
      </c>
      <c r="M902" s="94" cm="1">
        <f t="array" ref="M902">INDEX($BV$29:$BV$1449,MATCH($D902,$BR$29:$BR$1449,0),)</f>
        <v>2.94</v>
      </c>
      <c r="N902" s="150">
        <f t="shared" si="343"/>
        <v>-0.00571918787532166</v>
      </c>
      <c r="O902" s="150">
        <f t="shared" si="345"/>
        <v>-0.0141763538417919</v>
      </c>
      <c r="P902" s="150">
        <f t="shared" si="355"/>
        <v>-0.0295841473625454</v>
      </c>
      <c r="Q902" s="89">
        <f t="shared" si="356"/>
        <v>0.18265306122449</v>
      </c>
      <c r="AH902" s="90"/>
      <c r="AI902" s="85"/>
      <c r="AJ902" s="36"/>
      <c r="AK902" s="36"/>
      <c r="AL902" s="36"/>
      <c r="AM902" s="36"/>
      <c r="AN902" s="36"/>
      <c r="AO902" s="36"/>
      <c r="AP902" s="36"/>
      <c r="FV902" s="104">
        <f t="shared" si="348"/>
        <v>2013</v>
      </c>
      <c r="FW902" s="104">
        <f t="shared" si="349"/>
        <v>52</v>
      </c>
      <c r="FX902" s="35">
        <v>41634</v>
      </c>
      <c r="FY902" s="26">
        <v>2.425</v>
      </c>
      <c r="FZ902" s="94">
        <f t="shared" si="350"/>
        <v>9.7</v>
      </c>
      <c r="GA902" s="104"/>
      <c r="GB902" s="104"/>
      <c r="GE902" s="94"/>
      <c r="GF902" s="104">
        <f t="shared" si="351"/>
        <v>2016</v>
      </c>
      <c r="GG902" s="104">
        <f t="shared" si="352"/>
        <v>28</v>
      </c>
      <c r="GH902" s="35">
        <v>42555</v>
      </c>
      <c r="GI902" s="26">
        <v>1.666</v>
      </c>
      <c r="GJ902" s="94">
        <f t="shared" si="353"/>
        <v>3.332</v>
      </c>
      <c r="GK902" s="104"/>
      <c r="GL902" s="104"/>
      <c r="GO902" s="94"/>
    </row>
    <row r="903" spans="3:197">
      <c r="C903" s="80" t="str" cm="1">
        <f t="array" ref="C903">_xlfn.IFS(MONTH(D903)&lt;4,1,MONTH(D903)&lt;7,2,MONTH(D903)&lt;10,3,MONTH(D903)&gt;9,4)&amp;"Q"&amp;RIGHT(YEAR(D903),2)</f>
        <v>3Q19</v>
      </c>
      <c r="D903" s="81">
        <f t="shared" si="346"/>
        <v>43708</v>
      </c>
      <c r="E903" s="82">
        <f t="shared" si="344"/>
        <v>43703</v>
      </c>
      <c r="F903" s="83">
        <f t="shared" si="354"/>
        <v>0.43375</v>
      </c>
      <c r="G903" s="83">
        <f t="shared" si="354"/>
        <v>0.3675</v>
      </c>
      <c r="H903" s="81"/>
      <c r="I903" s="146">
        <v>43703</v>
      </c>
      <c r="J903" s="147">
        <v>3.75</v>
      </c>
      <c r="K903" s="147">
        <v>3.34</v>
      </c>
      <c r="L903" s="147">
        <v>3.47</v>
      </c>
      <c r="M903" s="94" cm="1">
        <f t="array" ref="M903">INDEX($BV$29:$BV$1449,MATCH($D903,$BR$29:$BR$1449,0),)</f>
        <v>2.94</v>
      </c>
      <c r="N903" s="150">
        <f t="shared" si="343"/>
        <v>-0.00201322979580087</v>
      </c>
      <c r="O903" s="150">
        <f t="shared" si="345"/>
        <v>-0.0150439965938121</v>
      </c>
      <c r="P903" s="150">
        <f t="shared" si="355"/>
        <v>-0.0299133351970925</v>
      </c>
      <c r="Q903" s="89">
        <f t="shared" si="356"/>
        <v>0.180272108843538</v>
      </c>
      <c r="AH903" s="90"/>
      <c r="AI903" s="85"/>
      <c r="AJ903" s="36"/>
      <c r="AK903" s="36"/>
      <c r="AL903" s="36"/>
      <c r="AM903" s="36"/>
      <c r="AN903" s="36"/>
      <c r="AO903" s="36"/>
      <c r="AP903" s="36"/>
      <c r="FV903" s="104">
        <f t="shared" si="348"/>
        <v>2013</v>
      </c>
      <c r="FW903" s="104">
        <f t="shared" si="349"/>
        <v>52</v>
      </c>
      <c r="FX903" s="35">
        <v>41635</v>
      </c>
      <c r="FY903" s="26">
        <v>2.425</v>
      </c>
      <c r="FZ903" s="94">
        <f t="shared" si="350"/>
        <v>9.7</v>
      </c>
      <c r="GA903" s="104"/>
      <c r="GB903" s="104"/>
      <c r="GE903" s="94"/>
      <c r="GF903" s="104">
        <f t="shared" si="351"/>
        <v>2016</v>
      </c>
      <c r="GG903" s="104">
        <f t="shared" si="352"/>
        <v>28</v>
      </c>
      <c r="GH903" s="35">
        <v>42556</v>
      </c>
      <c r="GI903" s="26">
        <v>1.666</v>
      </c>
      <c r="GJ903" s="94">
        <f t="shared" si="353"/>
        <v>3.332</v>
      </c>
      <c r="GK903" s="104"/>
      <c r="GL903" s="104"/>
      <c r="GO903" s="94"/>
    </row>
    <row r="904" spans="3:197">
      <c r="C904" s="80" t="str" cm="1">
        <f t="array" ref="C904">_xlfn.IFS(MONTH(D904)&lt;4,1,MONTH(D904)&lt;7,2,MONTH(D904)&lt;10,3,MONTH(D904)&gt;9,4)&amp;"Q"&amp;RIGHT(YEAR(D904),2)</f>
        <v>3Q19</v>
      </c>
      <c r="D904" s="81">
        <f t="shared" si="346"/>
        <v>43708</v>
      </c>
      <c r="E904" s="82">
        <f t="shared" si="344"/>
        <v>43704</v>
      </c>
      <c r="F904" s="83">
        <f t="shared" si="354"/>
        <v>0.432875</v>
      </c>
      <c r="G904" s="83">
        <f t="shared" si="354"/>
        <v>0.3675</v>
      </c>
      <c r="H904" s="81"/>
      <c r="I904" s="146">
        <v>43704</v>
      </c>
      <c r="J904" s="147">
        <v>3.75</v>
      </c>
      <c r="K904" s="147">
        <v>3.34</v>
      </c>
      <c r="L904" s="147">
        <v>3.463</v>
      </c>
      <c r="M904" s="94" cm="1">
        <f t="array" ref="M904">INDEX($BV$29:$BV$1449,MATCH($D904,$BR$29:$BR$1449,0),)</f>
        <v>2.94</v>
      </c>
      <c r="N904" s="150">
        <f t="shared" si="343"/>
        <v>-0.00201729106628246</v>
      </c>
      <c r="O904" s="150">
        <f t="shared" si="345"/>
        <v>-0.0153539948820016</v>
      </c>
      <c r="P904" s="150">
        <f t="shared" si="355"/>
        <v>-0.0264267641270733</v>
      </c>
      <c r="Q904" s="89">
        <f t="shared" si="356"/>
        <v>0.177891156462585</v>
      </c>
      <c r="AH904" s="90"/>
      <c r="AI904" s="85"/>
      <c r="AJ904" s="36"/>
      <c r="AK904" s="36"/>
      <c r="AL904" s="36"/>
      <c r="AM904" s="36"/>
      <c r="AN904" s="36"/>
      <c r="AO904" s="36"/>
      <c r="AP904" s="36"/>
      <c r="FV904" s="104">
        <f t="shared" si="348"/>
        <v>2013</v>
      </c>
      <c r="FW904" s="104">
        <f t="shared" si="349"/>
        <v>53</v>
      </c>
      <c r="FX904" s="35">
        <v>41638</v>
      </c>
      <c r="FY904" s="26">
        <v>2.454</v>
      </c>
      <c r="FZ904" s="94">
        <f t="shared" si="350"/>
        <v>9.816</v>
      </c>
      <c r="GA904" s="104"/>
      <c r="GB904" s="104"/>
      <c r="GE904" s="94"/>
      <c r="GF904" s="104">
        <f t="shared" si="351"/>
        <v>2016</v>
      </c>
      <c r="GG904" s="104">
        <f t="shared" si="352"/>
        <v>28</v>
      </c>
      <c r="GH904" s="35">
        <v>42557</v>
      </c>
      <c r="GI904" s="26">
        <v>1.666</v>
      </c>
      <c r="GJ904" s="94">
        <f t="shared" si="353"/>
        <v>3.332</v>
      </c>
      <c r="GK904" s="104"/>
      <c r="GL904" s="104"/>
      <c r="GO904" s="94"/>
    </row>
    <row r="905" spans="3:197">
      <c r="C905" s="80" t="str" cm="1">
        <f t="array" ref="C905">_xlfn.IFS(MONTH(D905)&lt;4,1,MONTH(D905)&lt;7,2,MONTH(D905)&lt;10,3,MONTH(D905)&gt;9,4)&amp;"Q"&amp;RIGHT(YEAR(D905),2)</f>
        <v>3Q19</v>
      </c>
      <c r="D905" s="81">
        <f t="shared" si="346"/>
        <v>43708</v>
      </c>
      <c r="E905" s="82">
        <f t="shared" si="344"/>
        <v>43705</v>
      </c>
      <c r="F905" s="83">
        <f t="shared" si="354"/>
        <v>0.427125</v>
      </c>
      <c r="G905" s="83">
        <f t="shared" si="354"/>
        <v>0.3675</v>
      </c>
      <c r="H905" s="81"/>
      <c r="I905" s="146">
        <v>43705</v>
      </c>
      <c r="J905" s="147">
        <v>3.7</v>
      </c>
      <c r="K905" s="147">
        <v>3.3</v>
      </c>
      <c r="L905" s="147">
        <v>3.417</v>
      </c>
      <c r="M905" s="94" cm="1">
        <f t="array" ref="M905">INDEX($BV$29:$BV$1449,MATCH($D905,$BR$29:$BR$1449,0),)</f>
        <v>2.94</v>
      </c>
      <c r="N905" s="150">
        <f t="shared" si="343"/>
        <v>-0.0132832803927232</v>
      </c>
      <c r="O905" s="150">
        <f t="shared" si="345"/>
        <v>-0.0237142857142858</v>
      </c>
      <c r="P905" s="150">
        <f t="shared" si="355"/>
        <v>-0.0366506907245561</v>
      </c>
      <c r="Q905" s="89">
        <f t="shared" si="356"/>
        <v>0.162244897959184</v>
      </c>
      <c r="AH905" s="90"/>
      <c r="AI905" s="85"/>
      <c r="AJ905" s="36"/>
      <c r="AK905" s="36"/>
      <c r="AL905" s="36"/>
      <c r="AM905" s="36"/>
      <c r="AN905" s="36"/>
      <c r="AO905" s="36"/>
      <c r="AP905" s="36"/>
      <c r="FV905" s="104">
        <f t="shared" si="348"/>
        <v>2013</v>
      </c>
      <c r="FW905" s="104">
        <f t="shared" si="349"/>
        <v>53</v>
      </c>
      <c r="FX905" s="35">
        <v>41639</v>
      </c>
      <c r="FY905" s="26">
        <v>2.458</v>
      </c>
      <c r="FZ905" s="94">
        <f t="shared" si="350"/>
        <v>9.832</v>
      </c>
      <c r="GA905" s="104"/>
      <c r="GB905" s="104"/>
      <c r="GE905" s="94"/>
      <c r="GF905" s="104">
        <f t="shared" si="351"/>
        <v>2016</v>
      </c>
      <c r="GG905" s="104">
        <f t="shared" si="352"/>
        <v>28</v>
      </c>
      <c r="GH905" s="35">
        <v>42558</v>
      </c>
      <c r="GI905" s="26">
        <v>1.666</v>
      </c>
      <c r="GJ905" s="94">
        <f t="shared" si="353"/>
        <v>3.332</v>
      </c>
      <c r="GK905" s="104"/>
      <c r="GL905" s="104"/>
      <c r="GO905" s="94"/>
    </row>
    <row r="906" spans="3:197">
      <c r="C906" s="80" t="str" cm="1">
        <f t="array" ref="C906">_xlfn.IFS(MONTH(D906)&lt;4,1,MONTH(D906)&lt;7,2,MONTH(D906)&lt;10,3,MONTH(D906)&gt;9,4)&amp;"Q"&amp;RIGHT(YEAR(D906),2)</f>
        <v>3Q19</v>
      </c>
      <c r="D906" s="81">
        <f t="shared" si="346"/>
        <v>43708</v>
      </c>
      <c r="E906" s="82">
        <f t="shared" si="344"/>
        <v>43706</v>
      </c>
      <c r="F906" s="83">
        <f t="shared" si="354"/>
        <v>0.425</v>
      </c>
      <c r="G906" s="83">
        <f t="shared" si="354"/>
        <v>0.3675</v>
      </c>
      <c r="H906" s="81"/>
      <c r="I906" s="146">
        <v>43706</v>
      </c>
      <c r="J906" s="147">
        <v>3.7</v>
      </c>
      <c r="K906" s="147">
        <v>3.3</v>
      </c>
      <c r="L906" s="147">
        <v>3.4</v>
      </c>
      <c r="M906" s="94" cm="1">
        <f t="array" ref="M906">INDEX($BV$29:$BV$1449,MATCH($D906,$BR$29:$BR$1449,0),)</f>
        <v>2.94</v>
      </c>
      <c r="N906" s="150">
        <f t="shared" si="343"/>
        <v>-0.00497512437810943</v>
      </c>
      <c r="O906" s="150">
        <f t="shared" si="345"/>
        <v>-0.0277380611953103</v>
      </c>
      <c r="P906" s="150">
        <f t="shared" si="355"/>
        <v>-0.0403612757550099</v>
      </c>
      <c r="Q906" s="89">
        <f t="shared" si="356"/>
        <v>0.156462585034014</v>
      </c>
      <c r="AH906" s="90"/>
      <c r="AI906" s="85"/>
      <c r="AJ906" s="36"/>
      <c r="AK906" s="36"/>
      <c r="AL906" s="36"/>
      <c r="AM906" s="36"/>
      <c r="AN906" s="36"/>
      <c r="AO906" s="36"/>
      <c r="AP906" s="36"/>
      <c r="FV906" s="104">
        <f t="shared" si="348"/>
        <v>2014</v>
      </c>
      <c r="FW906" s="104">
        <f t="shared" si="349"/>
        <v>1</v>
      </c>
      <c r="FX906" s="35">
        <v>41641</v>
      </c>
      <c r="FY906" s="26">
        <v>2.587</v>
      </c>
      <c r="FZ906" s="94">
        <f t="shared" si="350"/>
        <v>10.348</v>
      </c>
      <c r="GA906" s="104"/>
      <c r="GB906" s="104"/>
      <c r="GE906" s="94"/>
      <c r="GF906" s="104">
        <f t="shared" si="351"/>
        <v>2016</v>
      </c>
      <c r="GG906" s="104">
        <f t="shared" si="352"/>
        <v>28</v>
      </c>
      <c r="GH906" s="35">
        <v>42559</v>
      </c>
      <c r="GI906" s="26">
        <v>1.66</v>
      </c>
      <c r="GJ906" s="94">
        <f t="shared" si="353"/>
        <v>3.32</v>
      </c>
      <c r="GK906" s="104"/>
      <c r="GL906" s="104"/>
      <c r="GO906" s="94"/>
    </row>
    <row r="907" spans="3:197">
      <c r="C907" s="80" t="str" cm="1">
        <f t="array" ref="C907">_xlfn.IFS(MONTH(D907)&lt;4,1,MONTH(D907)&lt;7,2,MONTH(D907)&lt;10,3,MONTH(D907)&gt;9,4)&amp;"Q"&amp;RIGHT(YEAR(D907),2)</f>
        <v>3Q19</v>
      </c>
      <c r="D907" s="81">
        <f t="shared" si="346"/>
        <v>43708</v>
      </c>
      <c r="E907" s="82">
        <f t="shared" si="344"/>
        <v>43707</v>
      </c>
      <c r="F907" s="83">
        <f t="shared" si="354"/>
        <v>0.424125</v>
      </c>
      <c r="G907" s="83">
        <f t="shared" si="354"/>
        <v>0.3675</v>
      </c>
      <c r="H907" s="81"/>
      <c r="I907" s="146">
        <v>43707</v>
      </c>
      <c r="J907" s="147">
        <v>3.7</v>
      </c>
      <c r="K907" s="147">
        <v>3.3</v>
      </c>
      <c r="L907" s="147">
        <v>3.393</v>
      </c>
      <c r="M907" s="94" cm="1">
        <f t="array" ref="M907">INDEX($BV$29:$BV$1449,MATCH($D907,$BR$29:$BR$1449,0),)</f>
        <v>2.94</v>
      </c>
      <c r="N907" s="150">
        <f t="shared" si="343"/>
        <v>-0.00205882352941178</v>
      </c>
      <c r="O907" s="150">
        <f t="shared" si="345"/>
        <v>-0.0241587575496117</v>
      </c>
      <c r="P907" s="150">
        <f t="shared" si="355"/>
        <v>-0.0379926282960024</v>
      </c>
      <c r="Q907" s="89">
        <f t="shared" si="356"/>
        <v>0.154081632653061</v>
      </c>
      <c r="AH907" s="90"/>
      <c r="AI907" s="85"/>
      <c r="AJ907" s="36"/>
      <c r="AK907" s="36"/>
      <c r="AL907" s="36"/>
      <c r="AM907" s="36"/>
      <c r="AN907" s="36"/>
      <c r="AO907" s="36"/>
      <c r="AP907" s="36"/>
      <c r="FV907" s="104">
        <f t="shared" si="348"/>
        <v>2014</v>
      </c>
      <c r="FW907" s="104">
        <f t="shared" si="349"/>
        <v>1</v>
      </c>
      <c r="FX907" s="35">
        <v>41642</v>
      </c>
      <c r="FY907" s="26">
        <v>2.695</v>
      </c>
      <c r="FZ907" s="94">
        <f t="shared" si="350"/>
        <v>10.78</v>
      </c>
      <c r="GA907" s="104"/>
      <c r="GB907" s="104"/>
      <c r="GE907" s="94"/>
      <c r="GF907" s="104">
        <f t="shared" si="351"/>
        <v>2016</v>
      </c>
      <c r="GG907" s="104">
        <f t="shared" si="352"/>
        <v>29</v>
      </c>
      <c r="GH907" s="35">
        <v>42562</v>
      </c>
      <c r="GI907" s="26">
        <v>1.656</v>
      </c>
      <c r="GJ907" s="94">
        <f t="shared" si="353"/>
        <v>3.312</v>
      </c>
      <c r="GK907" s="104"/>
      <c r="GL907" s="104"/>
      <c r="GO907" s="94"/>
    </row>
    <row r="908" spans="3:197">
      <c r="C908" s="80" t="str" cm="1">
        <f t="array" ref="C908">_xlfn.IFS(MONTH(D908)&lt;4,1,MONTH(D908)&lt;7,2,MONTH(D908)&lt;10,3,MONTH(D908)&gt;9,4)&amp;"Q"&amp;RIGHT(YEAR(D908),2)</f>
        <v>3Q19</v>
      </c>
      <c r="D908" s="81">
        <f t="shared" si="346"/>
        <v>43738</v>
      </c>
      <c r="E908" s="82">
        <f t="shared" si="344"/>
        <v>43710</v>
      </c>
      <c r="F908" s="83">
        <f t="shared" ref="F908:G923" si="357">+L908/8</f>
        <v>0.422875</v>
      </c>
      <c r="G908" s="83">
        <f t="shared" si="357"/>
        <v>0.3675</v>
      </c>
      <c r="H908" s="81"/>
      <c r="I908" s="146">
        <v>43710</v>
      </c>
      <c r="J908" s="147">
        <v>3.7</v>
      </c>
      <c r="K908" s="147">
        <v>3.3</v>
      </c>
      <c r="L908" s="147">
        <v>3.383</v>
      </c>
      <c r="M908" s="94" cm="1">
        <f t="array" ref="M908">INDEX($BV$29:$BV$1449,MATCH($D908,$BR$29:$BR$1449,0),)</f>
        <v>2.94</v>
      </c>
      <c r="N908" s="150">
        <f t="shared" si="343"/>
        <v>-0.00294724432655458</v>
      </c>
      <c r="O908" s="150">
        <f t="shared" si="345"/>
        <v>-0.0250720461095102</v>
      </c>
      <c r="P908" s="150">
        <f t="shared" si="355"/>
        <v>-0.0397388589270509</v>
      </c>
      <c r="Q908" s="89">
        <f t="shared" si="356"/>
        <v>0.150680272108844</v>
      </c>
      <c r="AH908" s="90"/>
      <c r="AI908" s="85"/>
      <c r="AJ908" s="36"/>
      <c r="AK908" s="36"/>
      <c r="AL908" s="36"/>
      <c r="AM908" s="36"/>
      <c r="AN908" s="36"/>
      <c r="AO908" s="36"/>
      <c r="AP908" s="36"/>
      <c r="FV908" s="104">
        <f t="shared" si="348"/>
        <v>2014</v>
      </c>
      <c r="FW908" s="104">
        <f t="shared" si="349"/>
        <v>2</v>
      </c>
      <c r="FX908" s="35">
        <v>41645</v>
      </c>
      <c r="FY908" s="26">
        <v>2.693</v>
      </c>
      <c r="FZ908" s="94">
        <f t="shared" si="350"/>
        <v>10.772</v>
      </c>
      <c r="GA908" s="104"/>
      <c r="GB908" s="104"/>
      <c r="GE908" s="94"/>
      <c r="GF908" s="104">
        <f t="shared" si="351"/>
        <v>2016</v>
      </c>
      <c r="GG908" s="104">
        <f t="shared" si="352"/>
        <v>29</v>
      </c>
      <c r="GH908" s="35">
        <v>42563</v>
      </c>
      <c r="GI908" s="26">
        <v>1.653</v>
      </c>
      <c r="GJ908" s="94">
        <f t="shared" si="353"/>
        <v>3.306</v>
      </c>
      <c r="GK908" s="104"/>
      <c r="GL908" s="104"/>
      <c r="GO908" s="94"/>
    </row>
    <row r="909" spans="3:197">
      <c r="C909" s="80" t="str" cm="1">
        <f t="array" ref="C909">_xlfn.IFS(MONTH(D909)&lt;4,1,MONTH(D909)&lt;7,2,MONTH(D909)&lt;10,3,MONTH(D909)&gt;9,4)&amp;"Q"&amp;RIGHT(YEAR(D909),2)</f>
        <v>3Q19</v>
      </c>
      <c r="D909" s="81">
        <f t="shared" si="346"/>
        <v>43738</v>
      </c>
      <c r="E909" s="82">
        <f t="shared" si="344"/>
        <v>43711</v>
      </c>
      <c r="F909" s="83">
        <f t="shared" si="357"/>
        <v>0.42125</v>
      </c>
      <c r="G909" s="83">
        <f t="shared" si="357"/>
        <v>0.3675</v>
      </c>
      <c r="H909" s="81"/>
      <c r="I909" s="146">
        <v>43711</v>
      </c>
      <c r="J909" s="147">
        <v>3.55</v>
      </c>
      <c r="K909" s="147">
        <v>3.3</v>
      </c>
      <c r="L909" s="147">
        <v>3.37</v>
      </c>
      <c r="M909" s="94" cm="1">
        <f t="array" ref="M909">INDEX($BV$29:$BV$1449,MATCH($D909,$BR$29:$BR$1449,0),)</f>
        <v>2.94</v>
      </c>
      <c r="N909" s="150">
        <f t="shared" si="343"/>
        <v>-0.00384274312740174</v>
      </c>
      <c r="O909" s="150">
        <f t="shared" si="345"/>
        <v>-0.0268553277505054</v>
      </c>
      <c r="P909" s="150">
        <f t="shared" si="355"/>
        <v>-0.0417969860676712</v>
      </c>
      <c r="Q909" s="89">
        <f t="shared" si="356"/>
        <v>0.146258503401361</v>
      </c>
      <c r="AH909" s="90"/>
      <c r="AI909" s="85"/>
      <c r="AJ909" s="36"/>
      <c r="AK909" s="36"/>
      <c r="AL909" s="36"/>
      <c r="AM909" s="36"/>
      <c r="AN909" s="36"/>
      <c r="AO909" s="36"/>
      <c r="AP909" s="36"/>
      <c r="FV909" s="104">
        <f t="shared" si="348"/>
        <v>2014</v>
      </c>
      <c r="FW909" s="104">
        <f t="shared" si="349"/>
        <v>2</v>
      </c>
      <c r="FX909" s="35">
        <v>41646</v>
      </c>
      <c r="FY909" s="26">
        <v>2.676</v>
      </c>
      <c r="FZ909" s="94">
        <f t="shared" si="350"/>
        <v>10.704</v>
      </c>
      <c r="GA909" s="104"/>
      <c r="GB909" s="104"/>
      <c r="GE909" s="94"/>
      <c r="GF909" s="104">
        <f t="shared" si="351"/>
        <v>2016</v>
      </c>
      <c r="GG909" s="104">
        <f t="shared" si="352"/>
        <v>29</v>
      </c>
      <c r="GH909" s="35">
        <v>42564</v>
      </c>
      <c r="GI909" s="26">
        <v>1.66</v>
      </c>
      <c r="GJ909" s="94">
        <f t="shared" si="353"/>
        <v>3.32</v>
      </c>
      <c r="GK909" s="104"/>
      <c r="GL909" s="104"/>
      <c r="GO909" s="94"/>
    </row>
    <row r="910" spans="3:197">
      <c r="C910" s="80" t="str" cm="1">
        <f t="array" ref="C910">_xlfn.IFS(MONTH(D910)&lt;4,1,MONTH(D910)&lt;7,2,MONTH(D910)&lt;10,3,MONTH(D910)&gt;9,4)&amp;"Q"&amp;RIGHT(YEAR(D910),2)</f>
        <v>3Q19</v>
      </c>
      <c r="D910" s="81">
        <f t="shared" si="346"/>
        <v>43738</v>
      </c>
      <c r="E910" s="82">
        <f t="shared" si="344"/>
        <v>43712</v>
      </c>
      <c r="F910" s="83">
        <f t="shared" si="357"/>
        <v>0.42</v>
      </c>
      <c r="G910" s="83">
        <f t="shared" si="357"/>
        <v>0.3675</v>
      </c>
      <c r="H910" s="81"/>
      <c r="I910" s="146">
        <v>43712</v>
      </c>
      <c r="J910" s="147">
        <v>3.5</v>
      </c>
      <c r="K910" s="147">
        <v>3.3</v>
      </c>
      <c r="L910" s="147">
        <v>3.36</v>
      </c>
      <c r="M910" s="94" cm="1">
        <f t="array" ref="M910">INDEX($BV$29:$BV$1449,MATCH($D910,$BR$29:$BR$1449,0),)</f>
        <v>2.94</v>
      </c>
      <c r="N910" s="150">
        <f t="shared" si="343"/>
        <v>-0.00296735905044521</v>
      </c>
      <c r="O910" s="150">
        <f t="shared" si="345"/>
        <v>-0.0166812993854258</v>
      </c>
      <c r="P910" s="150">
        <f t="shared" si="355"/>
        <v>-0.04</v>
      </c>
      <c r="Q910" s="89">
        <f t="shared" si="356"/>
        <v>0.142857142857143</v>
      </c>
      <c r="AH910" s="90"/>
      <c r="AI910" s="85"/>
      <c r="AJ910" s="36"/>
      <c r="AK910" s="36"/>
      <c r="AL910" s="36"/>
      <c r="AM910" s="36"/>
      <c r="AN910" s="36"/>
      <c r="AO910" s="36"/>
      <c r="AP910" s="36"/>
      <c r="FV910" s="104">
        <f t="shared" si="348"/>
        <v>2014</v>
      </c>
      <c r="FW910" s="104">
        <f t="shared" si="349"/>
        <v>2</v>
      </c>
      <c r="FX910" s="35">
        <v>41647</v>
      </c>
      <c r="FY910" s="26">
        <v>2.676</v>
      </c>
      <c r="FZ910" s="94">
        <f t="shared" si="350"/>
        <v>10.704</v>
      </c>
      <c r="GA910" s="104"/>
      <c r="GB910" s="104"/>
      <c r="GE910" s="94"/>
      <c r="GF910" s="104">
        <f t="shared" si="351"/>
        <v>2016</v>
      </c>
      <c r="GG910" s="104">
        <f t="shared" si="352"/>
        <v>29</v>
      </c>
      <c r="GH910" s="35">
        <v>42565</v>
      </c>
      <c r="GI910" s="26">
        <v>1.663</v>
      </c>
      <c r="GJ910" s="94">
        <f t="shared" si="353"/>
        <v>3.326</v>
      </c>
      <c r="GK910" s="104"/>
      <c r="GL910" s="104"/>
      <c r="GO910" s="94"/>
    </row>
    <row r="911" spans="3:197">
      <c r="C911" s="80" t="str" cm="1">
        <f t="array" ref="C911">_xlfn.IFS(MONTH(D911)&lt;4,1,MONTH(D911)&lt;7,2,MONTH(D911)&lt;10,3,MONTH(D911)&gt;9,4)&amp;"Q"&amp;RIGHT(YEAR(D911),2)</f>
        <v>3Q19</v>
      </c>
      <c r="D911" s="81">
        <f t="shared" si="346"/>
        <v>43738</v>
      </c>
      <c r="E911" s="82">
        <f t="shared" si="344"/>
        <v>43713</v>
      </c>
      <c r="F911" s="83">
        <f t="shared" si="357"/>
        <v>0.415875</v>
      </c>
      <c r="G911" s="83">
        <f t="shared" si="357"/>
        <v>0.3675</v>
      </c>
      <c r="H911" s="81"/>
      <c r="I911" s="146">
        <v>43713</v>
      </c>
      <c r="J911" s="147">
        <v>3.5</v>
      </c>
      <c r="K911" s="147">
        <v>3.2</v>
      </c>
      <c r="L911" s="147">
        <v>3.327</v>
      </c>
      <c r="M911" s="94" cm="1">
        <f t="array" ref="M911">INDEX($BV$29:$BV$1449,MATCH($D911,$BR$29:$BR$1449,0),)</f>
        <v>2.94</v>
      </c>
      <c r="N911" s="150">
        <f t="shared" si="343"/>
        <v>-0.00982142857142854</v>
      </c>
      <c r="O911" s="150">
        <f t="shared" si="345"/>
        <v>-0.0214705882352941</v>
      </c>
      <c r="P911" s="150">
        <f t="shared" si="355"/>
        <v>-0.0486130969402344</v>
      </c>
      <c r="Q911" s="89">
        <f t="shared" si="356"/>
        <v>0.131632653061224</v>
      </c>
      <c r="AH911" s="90"/>
      <c r="AI911" s="85"/>
      <c r="AJ911" s="36"/>
      <c r="AK911" s="36"/>
      <c r="AL911" s="36"/>
      <c r="AM911" s="36"/>
      <c r="AN911" s="36"/>
      <c r="AO911" s="36"/>
      <c r="AP911" s="36"/>
      <c r="FV911" s="104">
        <f t="shared" si="348"/>
        <v>2014</v>
      </c>
      <c r="FW911" s="104">
        <f t="shared" si="349"/>
        <v>2</v>
      </c>
      <c r="FX911" s="35">
        <v>41648</v>
      </c>
      <c r="FY911" s="26">
        <v>2.665</v>
      </c>
      <c r="FZ911" s="94">
        <f t="shared" si="350"/>
        <v>10.66</v>
      </c>
      <c r="GA911" s="104"/>
      <c r="GB911" s="104"/>
      <c r="GE911" s="94"/>
      <c r="GF911" s="104">
        <f t="shared" si="351"/>
        <v>2016</v>
      </c>
      <c r="GG911" s="104">
        <f t="shared" si="352"/>
        <v>29</v>
      </c>
      <c r="GH911" s="35">
        <v>42566</v>
      </c>
      <c r="GI911" s="26">
        <v>1.659</v>
      </c>
      <c r="GJ911" s="94">
        <f t="shared" si="353"/>
        <v>3.318</v>
      </c>
      <c r="GK911" s="104"/>
      <c r="GL911" s="104"/>
      <c r="GO911" s="94"/>
    </row>
    <row r="912" spans="3:197">
      <c r="C912" s="80" t="str" cm="1">
        <f t="array" ref="C912">_xlfn.IFS(MONTH(D912)&lt;4,1,MONTH(D912)&lt;7,2,MONTH(D912)&lt;10,3,MONTH(D912)&gt;9,4)&amp;"Q"&amp;RIGHT(YEAR(D912),2)</f>
        <v>3Q19</v>
      </c>
      <c r="D912" s="81">
        <f t="shared" si="346"/>
        <v>43738</v>
      </c>
      <c r="E912" s="82">
        <f t="shared" si="344"/>
        <v>43714</v>
      </c>
      <c r="F912" s="83">
        <f t="shared" si="357"/>
        <v>0.414125</v>
      </c>
      <c r="G912" s="83">
        <f t="shared" si="357"/>
        <v>0.3675</v>
      </c>
      <c r="H912" s="81"/>
      <c r="I912" s="146">
        <v>43714</v>
      </c>
      <c r="J912" s="147">
        <v>3.5</v>
      </c>
      <c r="K912" s="147">
        <v>3.2</v>
      </c>
      <c r="L912" s="147">
        <v>3.313</v>
      </c>
      <c r="M912" s="94" cm="1">
        <f t="array" ref="M912">INDEX($BV$29:$BV$1449,MATCH($D912,$BR$29:$BR$1449,0),)</f>
        <v>2.94</v>
      </c>
      <c r="N912" s="150">
        <f t="shared" si="343"/>
        <v>-0.00420799519086257</v>
      </c>
      <c r="O912" s="150">
        <f t="shared" si="345"/>
        <v>-0.0235779546124373</v>
      </c>
      <c r="P912" s="150">
        <f t="shared" si="355"/>
        <v>-0.0471670980730514</v>
      </c>
      <c r="Q912" s="89">
        <f t="shared" si="356"/>
        <v>0.12687074829932</v>
      </c>
      <c r="AH912" s="90"/>
      <c r="AI912" s="85"/>
      <c r="AJ912" s="36"/>
      <c r="AK912" s="36"/>
      <c r="AL912" s="36"/>
      <c r="AM912" s="36"/>
      <c r="AN912" s="36"/>
      <c r="AO912" s="36"/>
      <c r="AP912" s="36"/>
      <c r="FV912" s="104">
        <f t="shared" si="348"/>
        <v>2014</v>
      </c>
      <c r="FW912" s="104">
        <f t="shared" si="349"/>
        <v>2</v>
      </c>
      <c r="FX912" s="35">
        <v>41649</v>
      </c>
      <c r="FY912" s="26">
        <v>2.664</v>
      </c>
      <c r="FZ912" s="94">
        <f t="shared" si="350"/>
        <v>10.656</v>
      </c>
      <c r="GA912" s="104"/>
      <c r="GB912" s="104"/>
      <c r="GE912" s="94"/>
      <c r="GF912" s="104">
        <f t="shared" si="351"/>
        <v>2016</v>
      </c>
      <c r="GG912" s="104">
        <f t="shared" si="352"/>
        <v>30</v>
      </c>
      <c r="GH912" s="35">
        <v>42569</v>
      </c>
      <c r="GI912" s="26">
        <v>1.659</v>
      </c>
      <c r="GJ912" s="94">
        <f t="shared" si="353"/>
        <v>3.318</v>
      </c>
      <c r="GK912" s="104"/>
      <c r="GL912" s="104"/>
      <c r="GO912" s="94"/>
    </row>
    <row r="913" spans="3:197">
      <c r="C913" s="80" t="str" cm="1">
        <f t="array" ref="C913">_xlfn.IFS(MONTH(D913)&lt;4,1,MONTH(D913)&lt;7,2,MONTH(D913)&lt;10,3,MONTH(D913)&gt;9,4)&amp;"Q"&amp;RIGHT(YEAR(D913),2)</f>
        <v>3Q19</v>
      </c>
      <c r="D913" s="81">
        <f t="shared" si="346"/>
        <v>43738</v>
      </c>
      <c r="E913" s="82">
        <f t="shared" si="344"/>
        <v>43717</v>
      </c>
      <c r="F913" s="83">
        <f t="shared" si="357"/>
        <v>0.412875</v>
      </c>
      <c r="G913" s="83">
        <f t="shared" si="357"/>
        <v>0.3675</v>
      </c>
      <c r="H913" s="81"/>
      <c r="I913" s="146">
        <v>43717</v>
      </c>
      <c r="J913" s="147">
        <v>3.5</v>
      </c>
      <c r="K913" s="147">
        <v>3.2</v>
      </c>
      <c r="L913" s="147">
        <v>3.303</v>
      </c>
      <c r="M913" s="94" cm="1">
        <f t="array" ref="M913">INDEX($BV$29:$BV$1449,MATCH($D913,$BR$29:$BR$1449,0),)</f>
        <v>2.94</v>
      </c>
      <c r="N913" s="150">
        <f t="shared" si="343"/>
        <v>-0.00301841231512234</v>
      </c>
      <c r="O913" s="150">
        <f t="shared" si="345"/>
        <v>-0.0236476500147798</v>
      </c>
      <c r="P913" s="150">
        <f t="shared" si="355"/>
        <v>-0.0481268011527378</v>
      </c>
      <c r="Q913" s="89">
        <f t="shared" si="356"/>
        <v>0.123469387755102</v>
      </c>
      <c r="AH913" s="90"/>
      <c r="AI913" s="85"/>
      <c r="AJ913" s="36"/>
      <c r="AK913" s="36"/>
      <c r="AL913" s="36"/>
      <c r="AM913" s="36"/>
      <c r="AN913" s="36"/>
      <c r="AO913" s="36"/>
      <c r="AP913" s="36"/>
      <c r="FV913" s="104">
        <f t="shared" si="348"/>
        <v>2014</v>
      </c>
      <c r="FW913" s="104">
        <f t="shared" si="349"/>
        <v>3</v>
      </c>
      <c r="FX913" s="35">
        <v>41652</v>
      </c>
      <c r="FY913" s="26">
        <v>2.67</v>
      </c>
      <c r="FZ913" s="94">
        <f t="shared" si="350"/>
        <v>10.68</v>
      </c>
      <c r="GA913" s="104"/>
      <c r="GB913" s="104"/>
      <c r="GE913" s="94"/>
      <c r="GF913" s="104">
        <f t="shared" si="351"/>
        <v>2016</v>
      </c>
      <c r="GG913" s="104">
        <f t="shared" si="352"/>
        <v>30</v>
      </c>
      <c r="GH913" s="35">
        <v>42570</v>
      </c>
      <c r="GI913" s="26">
        <v>1.646</v>
      </c>
      <c r="GJ913" s="94">
        <f t="shared" si="353"/>
        <v>3.292</v>
      </c>
      <c r="GK913" s="104"/>
      <c r="GL913" s="104"/>
      <c r="GO913" s="94"/>
    </row>
    <row r="914" spans="3:197">
      <c r="C914" s="80" t="str" cm="1">
        <f t="array" ref="C914">_xlfn.IFS(MONTH(D914)&lt;4,1,MONTH(D914)&lt;7,2,MONTH(D914)&lt;10,3,MONTH(D914)&gt;9,4)&amp;"Q"&amp;RIGHT(YEAR(D914),2)</f>
        <v>3Q19</v>
      </c>
      <c r="D914" s="81">
        <f t="shared" si="346"/>
        <v>43738</v>
      </c>
      <c r="E914" s="82">
        <f t="shared" si="344"/>
        <v>43718</v>
      </c>
      <c r="F914" s="83">
        <f t="shared" si="357"/>
        <v>0.40875</v>
      </c>
      <c r="G914" s="83">
        <f t="shared" si="357"/>
        <v>0.3675</v>
      </c>
      <c r="H914" s="81"/>
      <c r="I914" s="146">
        <v>43718</v>
      </c>
      <c r="J914" s="147">
        <v>3.45</v>
      </c>
      <c r="K914" s="147">
        <v>3.2</v>
      </c>
      <c r="L914" s="147">
        <v>3.27</v>
      </c>
      <c r="M914" s="94" cm="1">
        <f t="array" ref="M914">INDEX($BV$29:$BV$1449,MATCH($D914,$BR$29:$BR$1449,0),)</f>
        <v>2.94</v>
      </c>
      <c r="N914" s="150">
        <f t="shared" si="343"/>
        <v>-0.0099909173478655</v>
      </c>
      <c r="O914" s="150">
        <f t="shared" si="345"/>
        <v>-0.0296735905044511</v>
      </c>
      <c r="P914" s="150">
        <f t="shared" si="355"/>
        <v>-0.0557320242564251</v>
      </c>
      <c r="Q914" s="89">
        <f t="shared" si="356"/>
        <v>0.112244897959184</v>
      </c>
      <c r="AH914" s="90"/>
      <c r="AI914" s="85"/>
      <c r="AJ914" s="36"/>
      <c r="AK914" s="36"/>
      <c r="AL914" s="36"/>
      <c r="AM914" s="36"/>
      <c r="AN914" s="36"/>
      <c r="AO914" s="36"/>
      <c r="AP914" s="36"/>
      <c r="FV914" s="104">
        <f t="shared" si="348"/>
        <v>2014</v>
      </c>
      <c r="FW914" s="104">
        <f t="shared" si="349"/>
        <v>3</v>
      </c>
      <c r="FX914" s="35">
        <v>41653</v>
      </c>
      <c r="FY914" s="26">
        <v>2.71</v>
      </c>
      <c r="FZ914" s="94">
        <f t="shared" si="350"/>
        <v>10.84</v>
      </c>
      <c r="GA914" s="104"/>
      <c r="GB914" s="104"/>
      <c r="GE914" s="94"/>
      <c r="GF914" s="104">
        <f t="shared" si="351"/>
        <v>2016</v>
      </c>
      <c r="GG914" s="104">
        <f t="shared" si="352"/>
        <v>30</v>
      </c>
      <c r="GH914" s="35">
        <v>42571</v>
      </c>
      <c r="GI914" s="26">
        <v>1.646</v>
      </c>
      <c r="GJ914" s="94">
        <f t="shared" si="353"/>
        <v>3.292</v>
      </c>
      <c r="GK914" s="104"/>
      <c r="GL914" s="104"/>
      <c r="GO914" s="94"/>
    </row>
    <row r="915" spans="3:197">
      <c r="C915" s="80" t="str" cm="1">
        <f t="array" ref="C915">_xlfn.IFS(MONTH(D915)&lt;4,1,MONTH(D915)&lt;7,2,MONTH(D915)&lt;10,3,MONTH(D915)&gt;9,4)&amp;"Q"&amp;RIGHT(YEAR(D915),2)</f>
        <v>3Q19</v>
      </c>
      <c r="D915" s="81">
        <f t="shared" si="346"/>
        <v>43738</v>
      </c>
      <c r="E915" s="82">
        <f t="shared" si="344"/>
        <v>43719</v>
      </c>
      <c r="F915" s="83">
        <f t="shared" si="357"/>
        <v>0.4075</v>
      </c>
      <c r="G915" s="83">
        <f t="shared" si="357"/>
        <v>0.3675</v>
      </c>
      <c r="H915" s="81"/>
      <c r="I915" s="146">
        <v>43719</v>
      </c>
      <c r="J915" s="147">
        <v>3.4</v>
      </c>
      <c r="K915" s="147">
        <v>3.15</v>
      </c>
      <c r="L915" s="147">
        <v>3.26</v>
      </c>
      <c r="M915" s="94" cm="1">
        <f t="array" ref="M915">INDEX($BV$29:$BV$1449,MATCH($D915,$BR$29:$BR$1449,0),)</f>
        <v>2.94</v>
      </c>
      <c r="N915" s="150">
        <f t="shared" ref="N915:N968" si="358">L915/L914-1</f>
        <v>-0.00305810397553519</v>
      </c>
      <c r="O915" s="150">
        <f t="shared" si="345"/>
        <v>-0.0297619047619048</v>
      </c>
      <c r="P915" s="150">
        <f t="shared" si="355"/>
        <v>-0.0459467369037168</v>
      </c>
      <c r="Q915" s="89">
        <f t="shared" si="356"/>
        <v>0.108843537414966</v>
      </c>
      <c r="AH915" s="90"/>
      <c r="AI915" s="85"/>
      <c r="AJ915" s="36"/>
      <c r="AK915" s="36"/>
      <c r="AL915" s="36"/>
      <c r="AM915" s="36"/>
      <c r="AN915" s="36"/>
      <c r="AO915" s="36"/>
      <c r="AP915" s="36"/>
      <c r="FV915" s="104">
        <f t="shared" si="348"/>
        <v>2014</v>
      </c>
      <c r="FW915" s="104">
        <f t="shared" si="349"/>
        <v>3</v>
      </c>
      <c r="FX915" s="35">
        <v>41654</v>
      </c>
      <c r="FY915" s="26">
        <v>2.7</v>
      </c>
      <c r="FZ915" s="94">
        <f t="shared" si="350"/>
        <v>10.8</v>
      </c>
      <c r="GA915" s="104"/>
      <c r="GB915" s="104"/>
      <c r="GE915" s="94"/>
      <c r="GF915" s="104">
        <f t="shared" si="351"/>
        <v>2016</v>
      </c>
      <c r="GG915" s="104">
        <f t="shared" si="352"/>
        <v>30</v>
      </c>
      <c r="GH915" s="35">
        <v>42572</v>
      </c>
      <c r="GI915" s="26">
        <v>1.668</v>
      </c>
      <c r="GJ915" s="94">
        <f t="shared" si="353"/>
        <v>3.336</v>
      </c>
      <c r="GK915" s="104"/>
      <c r="GL915" s="104"/>
      <c r="GO915" s="94"/>
    </row>
    <row r="916" spans="3:197">
      <c r="C916" s="80" t="str" cm="1">
        <f t="array" ref="C916">_xlfn.IFS(MONTH(D916)&lt;4,1,MONTH(D916)&lt;7,2,MONTH(D916)&lt;10,3,MONTH(D916)&gt;9,4)&amp;"Q"&amp;RIGHT(YEAR(D916),2)</f>
        <v>3Q19</v>
      </c>
      <c r="D916" s="81">
        <f t="shared" si="346"/>
        <v>43738</v>
      </c>
      <c r="E916" s="82">
        <f t="shared" si="344"/>
        <v>43720</v>
      </c>
      <c r="F916" s="83">
        <f t="shared" si="357"/>
        <v>0.406625</v>
      </c>
      <c r="G916" s="83">
        <f t="shared" si="357"/>
        <v>0.3675</v>
      </c>
      <c r="H916" s="81"/>
      <c r="I916" s="146">
        <v>43720</v>
      </c>
      <c r="J916" s="147">
        <v>3.4</v>
      </c>
      <c r="K916" s="147">
        <v>3.15</v>
      </c>
      <c r="L916" s="147">
        <v>3.253</v>
      </c>
      <c r="M916" s="94" cm="1">
        <f t="array" ref="M916">INDEX($BV$29:$BV$1449,MATCH($D916,$BR$29:$BR$1449,0),)</f>
        <v>2.94</v>
      </c>
      <c r="N916" s="150">
        <f t="shared" si="358"/>
        <v>-0.00214723926380356</v>
      </c>
      <c r="O916" s="150">
        <f t="shared" si="345"/>
        <v>-0.0222422602945597</v>
      </c>
      <c r="P916" s="150">
        <f t="shared" si="355"/>
        <v>-0.043235294117647</v>
      </c>
      <c r="Q916" s="89">
        <f t="shared" si="356"/>
        <v>0.106462585034014</v>
      </c>
      <c r="AH916" s="90"/>
      <c r="AI916" s="85"/>
      <c r="AJ916" s="36"/>
      <c r="AK916" s="36"/>
      <c r="AL916" s="36"/>
      <c r="AM916" s="36"/>
      <c r="AN916" s="36"/>
      <c r="AO916" s="36"/>
      <c r="AP916" s="36"/>
      <c r="FV916" s="104">
        <f t="shared" si="348"/>
        <v>2014</v>
      </c>
      <c r="FW916" s="104">
        <f t="shared" si="349"/>
        <v>3</v>
      </c>
      <c r="FX916" s="35">
        <v>41655</v>
      </c>
      <c r="FY916" s="26">
        <v>2.7</v>
      </c>
      <c r="FZ916" s="94">
        <f t="shared" si="350"/>
        <v>10.8</v>
      </c>
      <c r="GA916" s="104"/>
      <c r="GB916" s="104"/>
      <c r="GE916" s="94"/>
      <c r="GF916" s="104">
        <f t="shared" si="351"/>
        <v>2016</v>
      </c>
      <c r="GG916" s="104">
        <f t="shared" si="352"/>
        <v>30</v>
      </c>
      <c r="GH916" s="35">
        <v>42573</v>
      </c>
      <c r="GI916" s="26">
        <v>1.675</v>
      </c>
      <c r="GJ916" s="94">
        <f t="shared" si="353"/>
        <v>3.35</v>
      </c>
      <c r="GK916" s="104"/>
      <c r="GL916" s="104"/>
      <c r="GO916" s="94"/>
    </row>
    <row r="917" spans="3:197">
      <c r="C917" s="80" t="str" cm="1">
        <f t="array" ref="C917">_xlfn.IFS(MONTH(D917)&lt;4,1,MONTH(D917)&lt;7,2,MONTH(D917)&lt;10,3,MONTH(D917)&gt;9,4)&amp;"Q"&amp;RIGHT(YEAR(D917),2)</f>
        <v>3Q19</v>
      </c>
      <c r="D917" s="81">
        <f t="shared" si="346"/>
        <v>43738</v>
      </c>
      <c r="E917" s="82">
        <f t="shared" ref="E917:E980" si="359">I917</f>
        <v>43724</v>
      </c>
      <c r="F917" s="83">
        <f t="shared" si="357"/>
        <v>0.405875</v>
      </c>
      <c r="G917" s="83">
        <f t="shared" si="357"/>
        <v>0.3675</v>
      </c>
      <c r="H917" s="81"/>
      <c r="I917" s="146">
        <v>43724</v>
      </c>
      <c r="J917" s="147">
        <v>3.35</v>
      </c>
      <c r="K917" s="147">
        <v>3.15</v>
      </c>
      <c r="L917" s="147">
        <v>3.247</v>
      </c>
      <c r="M917" s="94" cm="1">
        <f t="array" ref="M917">INDEX($BV$29:$BV$1449,MATCH($D917,$BR$29:$BR$1449,0),)</f>
        <v>2.94</v>
      </c>
      <c r="N917" s="150">
        <f t="shared" si="358"/>
        <v>-0.00184445127574551</v>
      </c>
      <c r="O917" s="150">
        <f t="shared" ref="O917:O968" si="360">L917/L912-1</f>
        <v>-0.019921521279807</v>
      </c>
      <c r="P917" s="150">
        <f t="shared" si="355"/>
        <v>-0.0430297671676981</v>
      </c>
      <c r="Q917" s="89">
        <f t="shared" si="356"/>
        <v>0.104421768707483</v>
      </c>
      <c r="AH917" s="90"/>
      <c r="AI917" s="85"/>
      <c r="AJ917" s="36"/>
      <c r="AK917" s="36"/>
      <c r="AL917" s="36"/>
      <c r="AM917" s="36"/>
      <c r="AN917" s="36"/>
      <c r="AO917" s="36"/>
      <c r="AP917" s="36"/>
      <c r="FV917" s="104">
        <f t="shared" si="348"/>
        <v>2014</v>
      </c>
      <c r="FW917" s="104">
        <f t="shared" si="349"/>
        <v>3</v>
      </c>
      <c r="FX917" s="35">
        <v>41656</v>
      </c>
      <c r="FY917" s="26">
        <v>2.67</v>
      </c>
      <c r="FZ917" s="94">
        <f t="shared" si="350"/>
        <v>10.68</v>
      </c>
      <c r="GA917" s="104"/>
      <c r="GB917" s="104"/>
      <c r="GE917" s="94"/>
      <c r="GF917" s="104">
        <f t="shared" si="351"/>
        <v>2016</v>
      </c>
      <c r="GG917" s="104">
        <f t="shared" si="352"/>
        <v>31</v>
      </c>
      <c r="GH917" s="35">
        <v>42576</v>
      </c>
      <c r="GI917" s="26">
        <v>1.682</v>
      </c>
      <c r="GJ917" s="94">
        <f t="shared" si="353"/>
        <v>3.364</v>
      </c>
      <c r="GK917" s="104"/>
      <c r="GL917" s="104"/>
      <c r="GO917" s="94"/>
    </row>
    <row r="918" spans="3:197">
      <c r="C918" s="80" t="str" cm="1">
        <f t="array" ref="C918">_xlfn.IFS(MONTH(D918)&lt;4,1,MONTH(D918)&lt;7,2,MONTH(D918)&lt;10,3,MONTH(D918)&gt;9,4)&amp;"Q"&amp;RIGHT(YEAR(D918),2)</f>
        <v>3Q19</v>
      </c>
      <c r="D918" s="81">
        <f t="shared" si="346"/>
        <v>43738</v>
      </c>
      <c r="E918" s="82">
        <f t="shared" si="359"/>
        <v>43725</v>
      </c>
      <c r="F918" s="83">
        <f t="shared" si="357"/>
        <v>0.405375</v>
      </c>
      <c r="G918" s="83">
        <f t="shared" si="357"/>
        <v>0.3675</v>
      </c>
      <c r="H918" s="81"/>
      <c r="I918" s="146">
        <v>43725</v>
      </c>
      <c r="J918" s="147">
        <v>3.35</v>
      </c>
      <c r="K918" s="147">
        <v>3.15</v>
      </c>
      <c r="L918" s="147">
        <v>3.243</v>
      </c>
      <c r="M918" s="94" cm="1">
        <f t="array" ref="M918">INDEX($BV$29:$BV$1449,MATCH($D918,$BR$29:$BR$1449,0),)</f>
        <v>2.94</v>
      </c>
      <c r="N918" s="150">
        <f t="shared" si="358"/>
        <v>-0.0012319063751155</v>
      </c>
      <c r="O918" s="150">
        <f t="shared" si="360"/>
        <v>-0.0181653042688465</v>
      </c>
      <c r="P918" s="150">
        <f t="shared" si="355"/>
        <v>-0.0413833875258647</v>
      </c>
      <c r="Q918" s="89">
        <f t="shared" si="356"/>
        <v>0.103061224489796</v>
      </c>
      <c r="AH918" s="90"/>
      <c r="AI918" s="85"/>
      <c r="AJ918" s="36"/>
      <c r="AK918" s="36"/>
      <c r="AL918" s="36"/>
      <c r="AM918" s="36"/>
      <c r="AN918" s="36"/>
      <c r="AO918" s="36"/>
      <c r="AP918" s="36"/>
      <c r="FV918" s="104">
        <f t="shared" si="348"/>
        <v>2014</v>
      </c>
      <c r="FW918" s="104">
        <f t="shared" si="349"/>
        <v>4</v>
      </c>
      <c r="FX918" s="35">
        <v>41659</v>
      </c>
      <c r="FY918" s="26">
        <v>2.642</v>
      </c>
      <c r="FZ918" s="94">
        <f t="shared" si="350"/>
        <v>10.568</v>
      </c>
      <c r="GA918" s="104"/>
      <c r="GB918" s="104"/>
      <c r="GE918" s="94"/>
      <c r="GF918" s="104">
        <f t="shared" si="351"/>
        <v>2016</v>
      </c>
      <c r="GG918" s="104">
        <f t="shared" si="352"/>
        <v>31</v>
      </c>
      <c r="GH918" s="35">
        <v>42577</v>
      </c>
      <c r="GI918" s="26">
        <v>1.682</v>
      </c>
      <c r="GJ918" s="94">
        <f t="shared" si="353"/>
        <v>3.364</v>
      </c>
      <c r="GK918" s="104"/>
      <c r="GL918" s="104"/>
      <c r="GO918" s="94"/>
    </row>
    <row r="919" spans="3:197">
      <c r="C919" s="80" t="str" cm="1">
        <f t="array" ref="C919">_xlfn.IFS(MONTH(D919)&lt;4,1,MONTH(D919)&lt;7,2,MONTH(D919)&lt;10,3,MONTH(D919)&gt;9,4)&amp;"Q"&amp;RIGHT(YEAR(D919),2)</f>
        <v>3Q19</v>
      </c>
      <c r="D919" s="81">
        <f t="shared" si="346"/>
        <v>43738</v>
      </c>
      <c r="E919" s="82">
        <f t="shared" si="359"/>
        <v>43726</v>
      </c>
      <c r="F919" s="83">
        <f t="shared" si="357"/>
        <v>0.405</v>
      </c>
      <c r="G919" s="83">
        <f t="shared" si="357"/>
        <v>0.3675</v>
      </c>
      <c r="H919" s="81"/>
      <c r="I919" s="146">
        <v>43726</v>
      </c>
      <c r="J919" s="147">
        <v>3.35</v>
      </c>
      <c r="K919" s="147">
        <v>3.15</v>
      </c>
      <c r="L919" s="147">
        <v>3.24</v>
      </c>
      <c r="M919" s="94" cm="1">
        <f t="array" ref="M919">INDEX($BV$29:$BV$1449,MATCH($D919,$BR$29:$BR$1449,0),)</f>
        <v>2.94</v>
      </c>
      <c r="N919" s="150">
        <f t="shared" si="358"/>
        <v>-0.000925069380203425</v>
      </c>
      <c r="O919" s="150">
        <f t="shared" si="360"/>
        <v>-0.00917431192660545</v>
      </c>
      <c r="P919" s="150">
        <f t="shared" si="355"/>
        <v>-0.0385756676557863</v>
      </c>
      <c r="Q919" s="89">
        <f t="shared" si="356"/>
        <v>0.102040816326531</v>
      </c>
      <c r="AH919" s="90"/>
      <c r="AI919" s="85"/>
      <c r="AJ919" s="36"/>
      <c r="AK919" s="36"/>
      <c r="AL919" s="36"/>
      <c r="AM919" s="36"/>
      <c r="AN919" s="36"/>
      <c r="AO919" s="36"/>
      <c r="AP919" s="36"/>
      <c r="FV919" s="104">
        <f t="shared" si="348"/>
        <v>2014</v>
      </c>
      <c r="FW919" s="104">
        <f t="shared" si="349"/>
        <v>4</v>
      </c>
      <c r="FX919" s="35">
        <v>41660</v>
      </c>
      <c r="FY919" s="26">
        <v>2.641</v>
      </c>
      <c r="FZ919" s="94">
        <f t="shared" si="350"/>
        <v>10.564</v>
      </c>
      <c r="GA919" s="104"/>
      <c r="GB919" s="104"/>
      <c r="GE919" s="94"/>
      <c r="GF919" s="104">
        <f t="shared" si="351"/>
        <v>2016</v>
      </c>
      <c r="GG919" s="104">
        <f t="shared" si="352"/>
        <v>31</v>
      </c>
      <c r="GH919" s="35">
        <v>42578</v>
      </c>
      <c r="GI919" s="26">
        <v>1.682</v>
      </c>
      <c r="GJ919" s="94">
        <f t="shared" si="353"/>
        <v>3.364</v>
      </c>
      <c r="GK919" s="104"/>
      <c r="GL919" s="104"/>
      <c r="GO919" s="94"/>
    </row>
    <row r="920" spans="3:197">
      <c r="C920" s="80" t="str" cm="1">
        <f t="array" ref="C920">_xlfn.IFS(MONTH(D920)&lt;4,1,MONTH(D920)&lt;7,2,MONTH(D920)&lt;10,3,MONTH(D920)&gt;9,4)&amp;"Q"&amp;RIGHT(YEAR(D920),2)</f>
        <v>3Q19</v>
      </c>
      <c r="D920" s="81">
        <f t="shared" si="346"/>
        <v>43738</v>
      </c>
      <c r="E920" s="82">
        <f t="shared" si="359"/>
        <v>43727</v>
      </c>
      <c r="F920" s="83">
        <f t="shared" si="357"/>
        <v>0.404625</v>
      </c>
      <c r="G920" s="83">
        <f t="shared" si="357"/>
        <v>0.3675</v>
      </c>
      <c r="H920" s="81"/>
      <c r="I920" s="146">
        <v>43727</v>
      </c>
      <c r="J920" s="147">
        <v>3.35</v>
      </c>
      <c r="K920" s="147">
        <v>3.15</v>
      </c>
      <c r="L920" s="147">
        <v>3.237</v>
      </c>
      <c r="M920" s="94" cm="1">
        <f t="array" ref="M920">INDEX($BV$29:$BV$1449,MATCH($D920,$BR$29:$BR$1449,0),)</f>
        <v>2.94</v>
      </c>
      <c r="N920" s="150">
        <f t="shared" si="358"/>
        <v>-0.000925925925925997</v>
      </c>
      <c r="O920" s="150">
        <f t="shared" si="360"/>
        <v>-0.00705521472392634</v>
      </c>
      <c r="P920" s="150">
        <f t="shared" si="355"/>
        <v>-0.0366071428571428</v>
      </c>
      <c r="Q920" s="89">
        <f t="shared" si="356"/>
        <v>0.101020408163265</v>
      </c>
      <c r="AH920" s="90"/>
      <c r="AI920" s="85"/>
      <c r="AJ920" s="36"/>
      <c r="AK920" s="36"/>
      <c r="AL920" s="36"/>
      <c r="AM920" s="36"/>
      <c r="AN920" s="36"/>
      <c r="AO920" s="36"/>
      <c r="AP920" s="36"/>
      <c r="FV920" s="104">
        <f t="shared" si="348"/>
        <v>2014</v>
      </c>
      <c r="FW920" s="104">
        <f t="shared" si="349"/>
        <v>4</v>
      </c>
      <c r="FX920" s="35">
        <v>41661</v>
      </c>
      <c r="FY920" s="26">
        <v>2.641</v>
      </c>
      <c r="FZ920" s="94">
        <f t="shared" si="350"/>
        <v>10.564</v>
      </c>
      <c r="GA920" s="104"/>
      <c r="GB920" s="104"/>
      <c r="GE920" s="94"/>
      <c r="GF920" s="104">
        <f t="shared" si="351"/>
        <v>2016</v>
      </c>
      <c r="GG920" s="104">
        <f t="shared" si="352"/>
        <v>31</v>
      </c>
      <c r="GH920" s="35">
        <v>42579</v>
      </c>
      <c r="GI920" s="26">
        <v>1.688</v>
      </c>
      <c r="GJ920" s="94">
        <f t="shared" si="353"/>
        <v>3.376</v>
      </c>
      <c r="GK920" s="104"/>
      <c r="GL920" s="104"/>
      <c r="GO920" s="94"/>
    </row>
    <row r="921" spans="3:197">
      <c r="C921" s="80" t="str" cm="1">
        <f t="array" ref="C921">_xlfn.IFS(MONTH(D921)&lt;4,1,MONTH(D921)&lt;7,2,MONTH(D921)&lt;10,3,MONTH(D921)&gt;9,4)&amp;"Q"&amp;RIGHT(YEAR(D921),2)</f>
        <v>3Q19</v>
      </c>
      <c r="D921" s="81">
        <f t="shared" si="346"/>
        <v>43738</v>
      </c>
      <c r="E921" s="82">
        <f t="shared" si="359"/>
        <v>43728</v>
      </c>
      <c r="F921" s="83">
        <f t="shared" si="357"/>
        <v>0.40375</v>
      </c>
      <c r="G921" s="83">
        <f t="shared" si="357"/>
        <v>0.3675</v>
      </c>
      <c r="H921" s="81"/>
      <c r="I921" s="146">
        <v>43728</v>
      </c>
      <c r="J921" s="147">
        <v>3.35</v>
      </c>
      <c r="K921" s="147">
        <v>3.15</v>
      </c>
      <c r="L921" s="147">
        <v>3.23</v>
      </c>
      <c r="M921" s="94" cm="1">
        <f t="array" ref="M921">INDEX($BV$29:$BV$1449,MATCH($D921,$BR$29:$BR$1449,0),)</f>
        <v>2.94</v>
      </c>
      <c r="N921" s="150">
        <f t="shared" si="358"/>
        <v>-0.00216249613839981</v>
      </c>
      <c r="O921" s="150">
        <f t="shared" si="360"/>
        <v>-0.00707039655702435</v>
      </c>
      <c r="P921" s="150">
        <f t="shared" si="355"/>
        <v>-0.0291553952509769</v>
      </c>
      <c r="Q921" s="89">
        <f t="shared" si="356"/>
        <v>0.0986394557823129</v>
      </c>
      <c r="AH921" s="90"/>
      <c r="AI921" s="85"/>
      <c r="AJ921" s="36"/>
      <c r="AK921" s="36"/>
      <c r="AL921" s="36"/>
      <c r="AM921" s="36"/>
      <c r="AN921" s="36"/>
      <c r="AO921" s="36"/>
      <c r="AP921" s="36"/>
      <c r="FV921" s="104">
        <f t="shared" si="348"/>
        <v>2014</v>
      </c>
      <c r="FW921" s="104">
        <f t="shared" si="349"/>
        <v>4</v>
      </c>
      <c r="FX921" s="35">
        <v>41662</v>
      </c>
      <c r="FY921" s="26">
        <v>2.64</v>
      </c>
      <c r="FZ921" s="94">
        <f t="shared" si="350"/>
        <v>10.56</v>
      </c>
      <c r="GA921" s="104"/>
      <c r="GB921" s="104"/>
      <c r="GE921" s="94"/>
      <c r="GF921" s="104">
        <f t="shared" si="351"/>
        <v>2016</v>
      </c>
      <c r="GG921" s="104">
        <f t="shared" si="352"/>
        <v>31</v>
      </c>
      <c r="GH921" s="35">
        <v>42580</v>
      </c>
      <c r="GI921" s="26">
        <v>1.689</v>
      </c>
      <c r="GJ921" s="94">
        <f t="shared" si="353"/>
        <v>3.378</v>
      </c>
      <c r="GK921" s="104"/>
      <c r="GL921" s="104"/>
      <c r="GO921" s="94"/>
    </row>
    <row r="922" spans="3:197">
      <c r="C922" s="80" t="str" cm="1">
        <f t="array" ref="C922">_xlfn.IFS(MONTH(D922)&lt;4,1,MONTH(D922)&lt;7,2,MONTH(D922)&lt;10,3,MONTH(D922)&gt;9,4)&amp;"Q"&amp;RIGHT(YEAR(D922),2)</f>
        <v>3Q19</v>
      </c>
      <c r="D922" s="81">
        <f t="shared" si="346"/>
        <v>43738</v>
      </c>
      <c r="E922" s="82">
        <f t="shared" si="359"/>
        <v>43731</v>
      </c>
      <c r="F922" s="83">
        <f t="shared" si="357"/>
        <v>0.403375</v>
      </c>
      <c r="G922" s="83">
        <f t="shared" si="357"/>
        <v>0.3675</v>
      </c>
      <c r="H922" s="81"/>
      <c r="I922" s="146">
        <v>43731</v>
      </c>
      <c r="J922" s="147">
        <v>3.35</v>
      </c>
      <c r="K922" s="147">
        <v>3.14</v>
      </c>
      <c r="L922" s="147">
        <v>3.227</v>
      </c>
      <c r="M922" s="94" cm="1">
        <f t="array" ref="M922">INDEX($BV$29:$BV$1449,MATCH($D922,$BR$29:$BR$1449,0),)</f>
        <v>2.94</v>
      </c>
      <c r="N922" s="150">
        <f t="shared" si="358"/>
        <v>-0.000928792569659498</v>
      </c>
      <c r="O922" s="150">
        <f t="shared" si="360"/>
        <v>-0.0061595318755775</v>
      </c>
      <c r="P922" s="150">
        <f t="shared" si="355"/>
        <v>-0.0259583459100514</v>
      </c>
      <c r="Q922" s="89">
        <f t="shared" si="356"/>
        <v>0.0976190476190475</v>
      </c>
      <c r="AH922" s="90"/>
      <c r="AI922" s="85"/>
      <c r="AJ922" s="36"/>
      <c r="AK922" s="36"/>
      <c r="AL922" s="36"/>
      <c r="AM922" s="36"/>
      <c r="AN922" s="36"/>
      <c r="AO922" s="36"/>
      <c r="AP922" s="36"/>
      <c r="FV922" s="104">
        <f t="shared" si="348"/>
        <v>2014</v>
      </c>
      <c r="FW922" s="104">
        <f t="shared" si="349"/>
        <v>4</v>
      </c>
      <c r="FX922" s="35">
        <v>41663</v>
      </c>
      <c r="FY922" s="26">
        <v>2.63</v>
      </c>
      <c r="FZ922" s="94">
        <f t="shared" si="350"/>
        <v>10.52</v>
      </c>
      <c r="GA922" s="104"/>
      <c r="GB922" s="104"/>
      <c r="GE922" s="94"/>
      <c r="GF922" s="104">
        <f t="shared" si="351"/>
        <v>2016</v>
      </c>
      <c r="GG922" s="104">
        <f t="shared" si="352"/>
        <v>32</v>
      </c>
      <c r="GH922" s="35">
        <v>42583</v>
      </c>
      <c r="GI922" s="26">
        <v>1.696</v>
      </c>
      <c r="GJ922" s="94">
        <f t="shared" si="353"/>
        <v>3.392</v>
      </c>
      <c r="GK922" s="104"/>
      <c r="GL922" s="104"/>
      <c r="GO922" s="94"/>
    </row>
    <row r="923" spans="3:197">
      <c r="C923" s="80" t="str" cm="1">
        <f t="array" ref="C923">_xlfn.IFS(MONTH(D923)&lt;4,1,MONTH(D923)&lt;7,2,MONTH(D923)&lt;10,3,MONTH(D923)&gt;9,4)&amp;"Q"&amp;RIGHT(YEAR(D923),2)</f>
        <v>3Q19</v>
      </c>
      <c r="D923" s="81">
        <f t="shared" si="346"/>
        <v>43738</v>
      </c>
      <c r="E923" s="82">
        <f t="shared" si="359"/>
        <v>43732</v>
      </c>
      <c r="F923" s="83">
        <f t="shared" si="357"/>
        <v>0.400375</v>
      </c>
      <c r="G923" s="83">
        <f t="shared" si="357"/>
        <v>0.3675</v>
      </c>
      <c r="H923" s="81"/>
      <c r="I923" s="146">
        <v>43732</v>
      </c>
      <c r="J923" s="147">
        <v>3.35</v>
      </c>
      <c r="K923" s="147">
        <v>3.1</v>
      </c>
      <c r="L923" s="147">
        <v>3.203</v>
      </c>
      <c r="M923" s="94" cm="1">
        <f t="array" ref="M923">INDEX($BV$29:$BV$1449,MATCH($D923,$BR$29:$BR$1449,0),)</f>
        <v>2.94</v>
      </c>
      <c r="N923" s="150">
        <f t="shared" si="358"/>
        <v>-0.00743724821815928</v>
      </c>
      <c r="O923" s="150">
        <f t="shared" si="360"/>
        <v>-0.0123342584027135</v>
      </c>
      <c r="P923" s="150">
        <f t="shared" si="355"/>
        <v>-0.0302755071147442</v>
      </c>
      <c r="Q923" s="89">
        <f t="shared" si="356"/>
        <v>0.0894557823129252</v>
      </c>
      <c r="AH923" s="90"/>
      <c r="AI923" s="85"/>
      <c r="AJ923" s="36"/>
      <c r="AK923" s="36"/>
      <c r="AL923" s="36"/>
      <c r="AM923" s="36"/>
      <c r="AN923" s="36"/>
      <c r="AO923" s="36"/>
      <c r="AP923" s="36"/>
      <c r="FV923" s="104">
        <f t="shared" si="348"/>
        <v>2014</v>
      </c>
      <c r="FW923" s="104">
        <f t="shared" si="349"/>
        <v>5</v>
      </c>
      <c r="FX923" s="35">
        <v>41666</v>
      </c>
      <c r="FY923" s="26">
        <v>2.63</v>
      </c>
      <c r="FZ923" s="94">
        <f t="shared" si="350"/>
        <v>10.52</v>
      </c>
      <c r="GA923" s="104"/>
      <c r="GB923" s="104"/>
      <c r="GE923" s="94"/>
      <c r="GF923" s="104">
        <f t="shared" si="351"/>
        <v>2016</v>
      </c>
      <c r="GG923" s="104">
        <f t="shared" si="352"/>
        <v>32</v>
      </c>
      <c r="GH923" s="35">
        <v>42584</v>
      </c>
      <c r="GI923" s="26">
        <v>1.697</v>
      </c>
      <c r="GJ923" s="94">
        <f t="shared" si="353"/>
        <v>3.394</v>
      </c>
      <c r="GK923" s="104"/>
      <c r="GL923" s="104"/>
      <c r="GO923" s="94"/>
    </row>
    <row r="924" spans="3:197">
      <c r="C924" s="80" t="str" cm="1">
        <f t="array" ref="C924">_xlfn.IFS(MONTH(D924)&lt;4,1,MONTH(D924)&lt;7,2,MONTH(D924)&lt;10,3,MONTH(D924)&gt;9,4)&amp;"Q"&amp;RIGHT(YEAR(D924),2)</f>
        <v>3Q19</v>
      </c>
      <c r="D924" s="81">
        <f t="shared" si="346"/>
        <v>43738</v>
      </c>
      <c r="E924" s="82">
        <f t="shared" si="359"/>
        <v>43733</v>
      </c>
      <c r="F924" s="83">
        <f t="shared" ref="F924:G939" si="361">+L924/8</f>
        <v>0.4</v>
      </c>
      <c r="G924" s="83">
        <f t="shared" si="361"/>
        <v>0.3675</v>
      </c>
      <c r="H924" s="81"/>
      <c r="I924" s="146">
        <v>43733</v>
      </c>
      <c r="J924" s="147">
        <v>3.35</v>
      </c>
      <c r="K924" s="147">
        <v>3.1</v>
      </c>
      <c r="L924" s="147">
        <v>3.2</v>
      </c>
      <c r="M924" s="94" cm="1">
        <f t="array" ref="M924">INDEX($BV$29:$BV$1449,MATCH($D924,$BR$29:$BR$1449,0),)</f>
        <v>2.94</v>
      </c>
      <c r="N924" s="150">
        <f t="shared" si="358"/>
        <v>-0.000936621916952762</v>
      </c>
      <c r="O924" s="150">
        <f t="shared" si="360"/>
        <v>-0.0123456790123457</v>
      </c>
      <c r="P924" s="150">
        <f t="shared" si="355"/>
        <v>-0.0214067278287461</v>
      </c>
      <c r="Q924" s="89">
        <f t="shared" si="356"/>
        <v>0.08843537414966</v>
      </c>
      <c r="AH924" s="90"/>
      <c r="AI924" s="85"/>
      <c r="AJ924" s="36"/>
      <c r="AK924" s="36"/>
      <c r="AL924" s="36"/>
      <c r="AM924" s="36"/>
      <c r="AN924" s="36"/>
      <c r="AO924" s="36"/>
      <c r="AP924" s="36"/>
      <c r="FV924" s="104">
        <f t="shared" si="348"/>
        <v>2014</v>
      </c>
      <c r="FW924" s="104">
        <f t="shared" si="349"/>
        <v>5</v>
      </c>
      <c r="FX924" s="35">
        <v>41667</v>
      </c>
      <c r="FY924" s="26">
        <v>2.63</v>
      </c>
      <c r="FZ924" s="94">
        <f t="shared" si="350"/>
        <v>10.52</v>
      </c>
      <c r="GA924" s="104"/>
      <c r="GB924" s="104"/>
      <c r="GE924" s="94"/>
      <c r="GF924" s="104">
        <f t="shared" si="351"/>
        <v>2016</v>
      </c>
      <c r="GG924" s="104">
        <f t="shared" si="352"/>
        <v>32</v>
      </c>
      <c r="GH924" s="35">
        <v>42585</v>
      </c>
      <c r="GI924" s="26">
        <v>1.697</v>
      </c>
      <c r="GJ924" s="94">
        <f t="shared" si="353"/>
        <v>3.394</v>
      </c>
      <c r="GK924" s="104"/>
      <c r="GL924" s="104"/>
      <c r="GO924" s="94"/>
    </row>
    <row r="925" spans="3:197">
      <c r="C925" s="80" t="str" cm="1">
        <f t="array" ref="C925">_xlfn.IFS(MONTH(D925)&lt;4,1,MONTH(D925)&lt;7,2,MONTH(D925)&lt;10,3,MONTH(D925)&gt;9,4)&amp;"Q"&amp;RIGHT(YEAR(D925),2)</f>
        <v>3Q19</v>
      </c>
      <c r="D925" s="81">
        <f t="shared" si="346"/>
        <v>43738</v>
      </c>
      <c r="E925" s="82">
        <f t="shared" si="359"/>
        <v>43734</v>
      </c>
      <c r="F925" s="83">
        <f t="shared" si="361"/>
        <v>0.399625</v>
      </c>
      <c r="G925" s="83">
        <f t="shared" si="361"/>
        <v>0.3675</v>
      </c>
      <c r="H925" s="81"/>
      <c r="I925" s="146">
        <v>43734</v>
      </c>
      <c r="J925" s="147">
        <v>3.35</v>
      </c>
      <c r="K925" s="147">
        <v>3.1</v>
      </c>
      <c r="L925" s="147">
        <v>3.197</v>
      </c>
      <c r="M925" s="94" cm="1">
        <f t="array" ref="M925">INDEX($BV$29:$BV$1449,MATCH($D925,$BR$29:$BR$1449,0),)</f>
        <v>2.94</v>
      </c>
      <c r="N925" s="150">
        <f t="shared" si="358"/>
        <v>-0.000937500000000036</v>
      </c>
      <c r="O925" s="150">
        <f t="shared" si="360"/>
        <v>-0.0123571207908557</v>
      </c>
      <c r="P925" s="150">
        <f t="shared" si="355"/>
        <v>-0.019325153374233</v>
      </c>
      <c r="Q925" s="89">
        <f t="shared" si="356"/>
        <v>0.0874149659863945</v>
      </c>
      <c r="AH925" s="90"/>
      <c r="AI925" s="85"/>
      <c r="AJ925" s="36"/>
      <c r="AK925" s="36"/>
      <c r="AL925" s="36"/>
      <c r="AM925" s="36"/>
      <c r="AN925" s="36"/>
      <c r="AO925" s="36"/>
      <c r="AP925" s="36"/>
      <c r="FV925" s="104">
        <f t="shared" si="348"/>
        <v>2014</v>
      </c>
      <c r="FW925" s="104">
        <f t="shared" si="349"/>
        <v>5</v>
      </c>
      <c r="FX925" s="35">
        <v>41668</v>
      </c>
      <c r="FY925" s="26">
        <v>2.63</v>
      </c>
      <c r="FZ925" s="94">
        <f t="shared" si="350"/>
        <v>10.52</v>
      </c>
      <c r="GA925" s="104"/>
      <c r="GB925" s="104"/>
      <c r="GE925" s="94"/>
      <c r="GF925" s="104">
        <f t="shared" si="351"/>
        <v>2016</v>
      </c>
      <c r="GG925" s="104">
        <f t="shared" si="352"/>
        <v>32</v>
      </c>
      <c r="GH925" s="35">
        <v>42586</v>
      </c>
      <c r="GI925" s="26">
        <v>1.697</v>
      </c>
      <c r="GJ925" s="94">
        <f t="shared" si="353"/>
        <v>3.394</v>
      </c>
      <c r="GK925" s="104"/>
      <c r="GL925" s="104"/>
      <c r="GO925" s="94"/>
    </row>
    <row r="926" spans="3:197">
      <c r="C926" s="80" t="str" cm="1">
        <f t="array" ref="C926">_xlfn.IFS(MONTH(D926)&lt;4,1,MONTH(D926)&lt;7,2,MONTH(D926)&lt;10,3,MONTH(D926)&gt;9,4)&amp;"Q"&amp;RIGHT(YEAR(D926),2)</f>
        <v>3Q19</v>
      </c>
      <c r="D926" s="81">
        <f t="shared" ref="D926:D989" si="362">EOMONTH(E926,0)</f>
        <v>43738</v>
      </c>
      <c r="E926" s="82">
        <f t="shared" si="359"/>
        <v>43735</v>
      </c>
      <c r="F926" s="83">
        <f t="shared" si="361"/>
        <v>0.39875</v>
      </c>
      <c r="G926" s="83">
        <f t="shared" si="361"/>
        <v>0.3675</v>
      </c>
      <c r="H926" s="81"/>
      <c r="I926" s="146">
        <v>43735</v>
      </c>
      <c r="J926" s="147">
        <v>3.35</v>
      </c>
      <c r="K926" s="147">
        <v>3.1</v>
      </c>
      <c r="L926" s="147">
        <v>3.19</v>
      </c>
      <c r="M926" s="94" cm="1">
        <f t="array" ref="M926">INDEX($BV$29:$BV$1449,MATCH($D926,$BR$29:$BR$1449,0),)</f>
        <v>2.94</v>
      </c>
      <c r="N926" s="150">
        <f t="shared" si="358"/>
        <v>-0.00218955270566157</v>
      </c>
      <c r="O926" s="150">
        <f t="shared" si="360"/>
        <v>-0.0123839009287926</v>
      </c>
      <c r="P926" s="150">
        <f t="shared" si="355"/>
        <v>-0.0193667383953274</v>
      </c>
      <c r="Q926" s="89">
        <f t="shared" si="356"/>
        <v>0.0850340136054422</v>
      </c>
      <c r="AH926" s="90"/>
      <c r="AI926" s="85"/>
      <c r="AJ926" s="36"/>
      <c r="AK926" s="36"/>
      <c r="AL926" s="36"/>
      <c r="AM926" s="36"/>
      <c r="AN926" s="36"/>
      <c r="AO926" s="36"/>
      <c r="AP926" s="36"/>
      <c r="FV926" s="104">
        <f t="shared" si="348"/>
        <v>2014</v>
      </c>
      <c r="FW926" s="104">
        <f t="shared" si="349"/>
        <v>6</v>
      </c>
      <c r="FX926" s="35">
        <v>41675</v>
      </c>
      <c r="FY926" s="26">
        <v>2.63</v>
      </c>
      <c r="FZ926" s="94">
        <f t="shared" si="350"/>
        <v>10.52</v>
      </c>
      <c r="GA926" s="104"/>
      <c r="GB926" s="104"/>
      <c r="GE926" s="94"/>
      <c r="GF926" s="104">
        <f t="shared" si="351"/>
        <v>2016</v>
      </c>
      <c r="GG926" s="104">
        <f t="shared" si="352"/>
        <v>32</v>
      </c>
      <c r="GH926" s="35">
        <v>42587</v>
      </c>
      <c r="GI926" s="26">
        <v>1.698</v>
      </c>
      <c r="GJ926" s="94">
        <f t="shared" si="353"/>
        <v>3.396</v>
      </c>
      <c r="GK926" s="104"/>
      <c r="GL926" s="104"/>
      <c r="GO926" s="94"/>
    </row>
    <row r="927" spans="3:197">
      <c r="C927" s="80" t="str" cm="1">
        <f t="array" ref="C927">_xlfn.IFS(MONTH(D927)&lt;4,1,MONTH(D927)&lt;7,2,MONTH(D927)&lt;10,3,MONTH(D927)&gt;9,4)&amp;"Q"&amp;RIGHT(YEAR(D927),2)</f>
        <v>3Q19</v>
      </c>
      <c r="D927" s="81">
        <f t="shared" si="362"/>
        <v>43738</v>
      </c>
      <c r="E927" s="82">
        <f t="shared" si="359"/>
        <v>43738</v>
      </c>
      <c r="F927" s="83">
        <f t="shared" si="361"/>
        <v>0.397875</v>
      </c>
      <c r="G927" s="83">
        <f t="shared" si="361"/>
        <v>0.3675</v>
      </c>
      <c r="H927" s="81"/>
      <c r="I927" s="146">
        <v>43738</v>
      </c>
      <c r="J927" s="147">
        <v>3.35</v>
      </c>
      <c r="K927" s="147">
        <v>3.1</v>
      </c>
      <c r="L927" s="147">
        <v>3.183</v>
      </c>
      <c r="M927" s="94" cm="1">
        <f t="array" ref="M927">INDEX($BV$29:$BV$1449,MATCH($D927,$BR$29:$BR$1449,0),)</f>
        <v>2.94</v>
      </c>
      <c r="N927" s="150">
        <f t="shared" si="358"/>
        <v>-0.0021943573667712</v>
      </c>
      <c r="O927" s="150">
        <f t="shared" si="360"/>
        <v>-0.0136349550666254</v>
      </c>
      <c r="P927" s="150">
        <f t="shared" si="355"/>
        <v>-0.0197105020018479</v>
      </c>
      <c r="Q927" s="89">
        <f t="shared" si="356"/>
        <v>0.0826530612244898</v>
      </c>
      <c r="AH927" s="90"/>
      <c r="AI927" s="85"/>
      <c r="AJ927" s="36"/>
      <c r="AK927" s="36"/>
      <c r="AL927" s="36"/>
      <c r="AM927" s="36"/>
      <c r="AN927" s="36"/>
      <c r="AO927" s="36"/>
      <c r="AP927" s="36"/>
      <c r="BO927" s="154"/>
      <c r="FV927" s="104">
        <f t="shared" si="348"/>
        <v>2014</v>
      </c>
      <c r="FW927" s="104">
        <f t="shared" si="349"/>
        <v>6</v>
      </c>
      <c r="FX927" s="35">
        <v>41676</v>
      </c>
      <c r="FY927" s="26">
        <v>2.625</v>
      </c>
      <c r="FZ927" s="94">
        <f t="shared" si="350"/>
        <v>10.5</v>
      </c>
      <c r="GA927" s="104"/>
      <c r="GB927" s="104"/>
      <c r="GE927" s="94"/>
      <c r="GF927" s="104">
        <f t="shared" si="351"/>
        <v>2016</v>
      </c>
      <c r="GG927" s="104">
        <f t="shared" si="352"/>
        <v>33</v>
      </c>
      <c r="GH927" s="35">
        <v>42590</v>
      </c>
      <c r="GI927" s="26">
        <v>1.691</v>
      </c>
      <c r="GJ927" s="94">
        <f t="shared" si="353"/>
        <v>3.382</v>
      </c>
      <c r="GK927" s="104"/>
      <c r="GL927" s="104"/>
      <c r="GO927" s="94"/>
    </row>
    <row r="928" spans="3:197">
      <c r="C928" s="80" t="str" cm="1">
        <f t="array" ref="C928">_xlfn.IFS(MONTH(D928)&lt;4,1,MONTH(D928)&lt;7,2,MONTH(D928)&lt;10,3,MONTH(D928)&gt;9,4)&amp;"Q"&amp;RIGHT(YEAR(D928),2)</f>
        <v>4Q19</v>
      </c>
      <c r="D928" s="81">
        <f t="shared" si="362"/>
        <v>43769</v>
      </c>
      <c r="E928" s="82">
        <f t="shared" si="359"/>
        <v>43739</v>
      </c>
      <c r="F928" s="83">
        <f t="shared" si="361"/>
        <v>0.39625</v>
      </c>
      <c r="G928" s="83">
        <f t="shared" si="361"/>
        <v>0.35125</v>
      </c>
      <c r="H928" s="81"/>
      <c r="I928" s="146">
        <v>43739</v>
      </c>
      <c r="J928" s="147">
        <v>3.35</v>
      </c>
      <c r="K928" s="147">
        <v>3.05</v>
      </c>
      <c r="L928" s="147">
        <v>3.17</v>
      </c>
      <c r="M928" s="94" cm="1">
        <f t="array" ref="M928">INDEX($BV$29:$BV$1449,MATCH($D928,$BR$29:$BR$1449,0),)</f>
        <v>2.81</v>
      </c>
      <c r="N928" s="150">
        <f t="shared" si="358"/>
        <v>-0.00408419729814635</v>
      </c>
      <c r="O928" s="150">
        <f t="shared" si="360"/>
        <v>-0.0103028410864814</v>
      </c>
      <c r="P928" s="150">
        <f t="shared" si="355"/>
        <v>-0.0225100215849522</v>
      </c>
      <c r="Q928" s="89">
        <f t="shared" si="356"/>
        <v>0.128113879003559</v>
      </c>
      <c r="AH928" s="90"/>
      <c r="AI928" s="85"/>
      <c r="AJ928" s="36"/>
      <c r="AK928" s="36"/>
      <c r="AL928" s="36"/>
      <c r="AM928" s="36"/>
      <c r="AN928" s="36"/>
      <c r="AO928" s="36"/>
      <c r="AP928" s="36"/>
      <c r="BO928" s="154"/>
      <c r="FV928" s="104">
        <f t="shared" si="348"/>
        <v>2014</v>
      </c>
      <c r="FW928" s="104">
        <f t="shared" si="349"/>
        <v>6</v>
      </c>
      <c r="FX928" s="35">
        <v>41677</v>
      </c>
      <c r="FY928" s="26">
        <v>2.576</v>
      </c>
      <c r="FZ928" s="94">
        <f t="shared" si="350"/>
        <v>10.304</v>
      </c>
      <c r="GA928" s="104"/>
      <c r="GB928" s="104"/>
      <c r="GE928" s="94"/>
      <c r="GF928" s="104">
        <f t="shared" si="351"/>
        <v>2016</v>
      </c>
      <c r="GG928" s="104">
        <f t="shared" si="352"/>
        <v>33</v>
      </c>
      <c r="GH928" s="35">
        <v>42591</v>
      </c>
      <c r="GI928" s="26">
        <v>1.676</v>
      </c>
      <c r="GJ928" s="94">
        <f t="shared" si="353"/>
        <v>3.352</v>
      </c>
      <c r="GK928" s="104"/>
      <c r="GL928" s="104"/>
      <c r="GO928" s="94"/>
    </row>
    <row r="929" spans="3:197">
      <c r="C929" s="80" t="str" cm="1">
        <f t="array" ref="C929">_xlfn.IFS(MONTH(D929)&lt;4,1,MONTH(D929)&lt;7,2,MONTH(D929)&lt;10,3,MONTH(D929)&gt;9,4)&amp;"Q"&amp;RIGHT(YEAR(D929),2)</f>
        <v>4Q19</v>
      </c>
      <c r="D929" s="81">
        <f t="shared" si="362"/>
        <v>43769</v>
      </c>
      <c r="E929" s="82">
        <f t="shared" si="359"/>
        <v>43740</v>
      </c>
      <c r="F929" s="83">
        <f t="shared" si="361"/>
        <v>0.390875</v>
      </c>
      <c r="G929" s="83">
        <f t="shared" si="361"/>
        <v>0.35125</v>
      </c>
      <c r="H929" s="81"/>
      <c r="I929" s="146">
        <v>43740</v>
      </c>
      <c r="J929" s="147">
        <v>3.35</v>
      </c>
      <c r="K929" s="147">
        <v>2.99</v>
      </c>
      <c r="L929" s="147">
        <v>3.127</v>
      </c>
      <c r="M929" s="94" cm="1">
        <f t="array" ref="M929">INDEX($BV$29:$BV$1449,MATCH($D929,$BR$29:$BR$1449,0),)</f>
        <v>2.81</v>
      </c>
      <c r="N929" s="150">
        <f t="shared" si="358"/>
        <v>-0.0135646687697162</v>
      </c>
      <c r="O929" s="150">
        <f t="shared" si="360"/>
        <v>-0.0228125000000001</v>
      </c>
      <c r="P929" s="150">
        <f t="shared" si="355"/>
        <v>-0.0348765432098767</v>
      </c>
      <c r="Q929" s="89">
        <f t="shared" si="356"/>
        <v>0.112811387900356</v>
      </c>
      <c r="AH929" s="90"/>
      <c r="AI929" s="85"/>
      <c r="AJ929" s="36"/>
      <c r="AK929" s="36"/>
      <c r="AL929" s="36"/>
      <c r="AM929" s="36"/>
      <c r="AN929" s="36"/>
      <c r="AO929" s="36"/>
      <c r="AP929" s="36"/>
      <c r="BO929" s="154"/>
      <c r="FV929" s="104">
        <f t="shared" si="348"/>
        <v>2014</v>
      </c>
      <c r="FW929" s="104">
        <f t="shared" si="349"/>
        <v>7</v>
      </c>
      <c r="FX929" s="35">
        <v>41680</v>
      </c>
      <c r="FY929" s="26">
        <v>2.574</v>
      </c>
      <c r="FZ929" s="94">
        <f t="shared" si="350"/>
        <v>10.296</v>
      </c>
      <c r="GA929" s="104"/>
      <c r="GB929" s="104"/>
      <c r="GE929" s="94"/>
      <c r="GF929" s="104">
        <f t="shared" si="351"/>
        <v>2016</v>
      </c>
      <c r="GG929" s="104">
        <f t="shared" si="352"/>
        <v>33</v>
      </c>
      <c r="GH929" s="35">
        <v>42592</v>
      </c>
      <c r="GI929" s="26">
        <v>1.674</v>
      </c>
      <c r="GJ929" s="94">
        <f t="shared" si="353"/>
        <v>3.348</v>
      </c>
      <c r="GK929" s="104"/>
      <c r="GL929" s="104"/>
      <c r="GO929" s="94"/>
    </row>
    <row r="930" spans="3:197">
      <c r="C930" s="80" t="str" cm="1">
        <f t="array" ref="C930">_xlfn.IFS(MONTH(D930)&lt;4,1,MONTH(D930)&lt;7,2,MONTH(D930)&lt;10,3,MONTH(D930)&gt;9,4)&amp;"Q"&amp;RIGHT(YEAR(D930),2)</f>
        <v>4Q19</v>
      </c>
      <c r="D930" s="81">
        <f t="shared" si="362"/>
        <v>43769</v>
      </c>
      <c r="E930" s="82">
        <f t="shared" si="359"/>
        <v>43741</v>
      </c>
      <c r="F930" s="83">
        <f t="shared" si="361"/>
        <v>0.389625</v>
      </c>
      <c r="G930" s="83">
        <f t="shared" si="361"/>
        <v>0.35125</v>
      </c>
      <c r="H930" s="81"/>
      <c r="I930" s="146">
        <v>43741</v>
      </c>
      <c r="J930" s="147">
        <v>3.35</v>
      </c>
      <c r="K930" s="147">
        <v>2.99</v>
      </c>
      <c r="L930" s="147">
        <v>3.117</v>
      </c>
      <c r="M930" s="94" cm="1">
        <f t="array" ref="M930">INDEX($BV$29:$BV$1449,MATCH($D930,$BR$29:$BR$1449,0),)</f>
        <v>2.81</v>
      </c>
      <c r="N930" s="150">
        <f t="shared" si="358"/>
        <v>-0.0031979533098816</v>
      </c>
      <c r="O930" s="150">
        <f t="shared" si="360"/>
        <v>-0.025023459493275</v>
      </c>
      <c r="P930" s="150">
        <f t="shared" si="355"/>
        <v>-0.0370713623725673</v>
      </c>
      <c r="Q930" s="89">
        <f t="shared" si="356"/>
        <v>0.109252669039146</v>
      </c>
      <c r="AH930" s="90"/>
      <c r="AI930" s="85"/>
      <c r="AJ930" s="36"/>
      <c r="AK930" s="36"/>
      <c r="AL930" s="36"/>
      <c r="AM930" s="36"/>
      <c r="AN930" s="36"/>
      <c r="AO930" s="36"/>
      <c r="AP930" s="36"/>
      <c r="BO930" s="154"/>
      <c r="FV930" s="104">
        <f t="shared" si="348"/>
        <v>2014</v>
      </c>
      <c r="FW930" s="104">
        <f t="shared" si="349"/>
        <v>7</v>
      </c>
      <c r="FX930" s="35">
        <v>41681</v>
      </c>
      <c r="FY930" s="26">
        <v>2.631</v>
      </c>
      <c r="FZ930" s="94">
        <f t="shared" si="350"/>
        <v>10.524</v>
      </c>
      <c r="GA930" s="104"/>
      <c r="GB930" s="104"/>
      <c r="GE930" s="94"/>
      <c r="GF930" s="104">
        <f t="shared" si="351"/>
        <v>2016</v>
      </c>
      <c r="GG930" s="104">
        <f t="shared" si="352"/>
        <v>33</v>
      </c>
      <c r="GH930" s="35">
        <v>42593</v>
      </c>
      <c r="GI930" s="26">
        <v>1.674</v>
      </c>
      <c r="GJ930" s="94">
        <f t="shared" si="353"/>
        <v>3.348</v>
      </c>
      <c r="GK930" s="104"/>
      <c r="GL930" s="104"/>
      <c r="GO930" s="94"/>
    </row>
    <row r="931" spans="3:197">
      <c r="C931" s="80" t="str" cm="1">
        <f t="array" ref="C931">_xlfn.IFS(MONTH(D931)&lt;4,1,MONTH(D931)&lt;7,2,MONTH(D931)&lt;10,3,MONTH(D931)&gt;9,4)&amp;"Q"&amp;RIGHT(YEAR(D931),2)</f>
        <v>4Q19</v>
      </c>
      <c r="D931" s="81">
        <f t="shared" si="362"/>
        <v>43769</v>
      </c>
      <c r="E931" s="82">
        <f t="shared" si="359"/>
        <v>43742</v>
      </c>
      <c r="F931" s="83">
        <f t="shared" si="361"/>
        <v>0.386625</v>
      </c>
      <c r="G931" s="83">
        <f t="shared" si="361"/>
        <v>0.35125</v>
      </c>
      <c r="H931" s="81"/>
      <c r="I931" s="146">
        <v>43742</v>
      </c>
      <c r="J931" s="147">
        <v>3.35</v>
      </c>
      <c r="K931" s="147">
        <v>2.99</v>
      </c>
      <c r="L931" s="147">
        <v>3.093</v>
      </c>
      <c r="M931" s="94" cm="1">
        <f t="array" ref="M931">INDEX($BV$29:$BV$1449,MATCH($D931,$BR$29:$BR$1449,0),)</f>
        <v>2.81</v>
      </c>
      <c r="N931" s="150">
        <f t="shared" si="358"/>
        <v>-0.00769971126082769</v>
      </c>
      <c r="O931" s="150">
        <f t="shared" si="360"/>
        <v>-0.0304075235109718</v>
      </c>
      <c r="P931" s="150">
        <f t="shared" si="355"/>
        <v>-0.0424148606811146</v>
      </c>
      <c r="Q931" s="89">
        <f t="shared" si="356"/>
        <v>0.100711743772242</v>
      </c>
      <c r="AH931" s="90"/>
      <c r="AI931" s="85"/>
      <c r="AJ931" s="36"/>
      <c r="AK931" s="36"/>
      <c r="AL931" s="36"/>
      <c r="AM931" s="36"/>
      <c r="AN931" s="36"/>
      <c r="AO931" s="36"/>
      <c r="AP931" s="36"/>
      <c r="BO931" s="154"/>
      <c r="FV931" s="104">
        <f t="shared" si="348"/>
        <v>2014</v>
      </c>
      <c r="FW931" s="104">
        <f t="shared" si="349"/>
        <v>7</v>
      </c>
      <c r="FX931" s="35">
        <v>41682</v>
      </c>
      <c r="FY931" s="26">
        <v>2.631</v>
      </c>
      <c r="FZ931" s="94">
        <f t="shared" si="350"/>
        <v>10.524</v>
      </c>
      <c r="GA931" s="104"/>
      <c r="GB931" s="104"/>
      <c r="GE931" s="94"/>
      <c r="GF931" s="104">
        <f t="shared" si="351"/>
        <v>2016</v>
      </c>
      <c r="GG931" s="104">
        <f t="shared" si="352"/>
        <v>33</v>
      </c>
      <c r="GH931" s="35">
        <v>42594</v>
      </c>
      <c r="GI931" s="26">
        <v>1.671</v>
      </c>
      <c r="GJ931" s="94">
        <f t="shared" si="353"/>
        <v>3.342</v>
      </c>
      <c r="GK931" s="104"/>
      <c r="GL931" s="104"/>
      <c r="GO931" s="94"/>
    </row>
    <row r="932" spans="3:197">
      <c r="C932" s="80" t="str" cm="1">
        <f t="array" ref="C932">_xlfn.IFS(MONTH(D932)&lt;4,1,MONTH(D932)&lt;7,2,MONTH(D932)&lt;10,3,MONTH(D932)&gt;9,4)&amp;"Q"&amp;RIGHT(YEAR(D932),2)</f>
        <v>4Q19</v>
      </c>
      <c r="D932" s="81">
        <f t="shared" si="362"/>
        <v>43769</v>
      </c>
      <c r="E932" s="82">
        <f t="shared" si="359"/>
        <v>43745</v>
      </c>
      <c r="F932" s="83">
        <f t="shared" si="361"/>
        <v>0.384625</v>
      </c>
      <c r="G932" s="83">
        <f t="shared" si="361"/>
        <v>0.35125</v>
      </c>
      <c r="H932" s="81"/>
      <c r="I932" s="146">
        <v>43745</v>
      </c>
      <c r="J932" s="147">
        <v>3.35</v>
      </c>
      <c r="K932" s="147">
        <v>2.98</v>
      </c>
      <c r="L932" s="147">
        <v>3.077</v>
      </c>
      <c r="M932" s="94" cm="1">
        <f t="array" ref="M932">INDEX($BV$29:$BV$1449,MATCH($D932,$BR$29:$BR$1449,0),)</f>
        <v>2.81</v>
      </c>
      <c r="N932" s="150">
        <f t="shared" si="358"/>
        <v>-0.00517297122534754</v>
      </c>
      <c r="O932" s="150">
        <f t="shared" si="360"/>
        <v>-0.0333019164310399</v>
      </c>
      <c r="P932" s="150">
        <f t="shared" si="355"/>
        <v>-0.0464828013634955</v>
      </c>
      <c r="Q932" s="89">
        <f t="shared" si="356"/>
        <v>0.095017793594306</v>
      </c>
      <c r="AH932" s="90"/>
      <c r="AI932" s="85"/>
      <c r="AJ932" s="36"/>
      <c r="AK932" s="36"/>
      <c r="AL932" s="36"/>
      <c r="AM932" s="36"/>
      <c r="AN932" s="36"/>
      <c r="AO932" s="36"/>
      <c r="AP932" s="36"/>
      <c r="BO932" s="154"/>
      <c r="FV932" s="104">
        <f t="shared" si="348"/>
        <v>2014</v>
      </c>
      <c r="FW932" s="104">
        <f t="shared" si="349"/>
        <v>7</v>
      </c>
      <c r="FX932" s="35">
        <v>41683</v>
      </c>
      <c r="FY932" s="26">
        <v>2.604</v>
      </c>
      <c r="FZ932" s="94">
        <f t="shared" si="350"/>
        <v>10.416</v>
      </c>
      <c r="GA932" s="104"/>
      <c r="GB932" s="104"/>
      <c r="GE932" s="94"/>
      <c r="GF932" s="104">
        <f t="shared" si="351"/>
        <v>2016</v>
      </c>
      <c r="GG932" s="104">
        <f t="shared" si="352"/>
        <v>34</v>
      </c>
      <c r="GH932" s="35">
        <v>42597</v>
      </c>
      <c r="GI932" s="26">
        <v>1.665</v>
      </c>
      <c r="GJ932" s="94">
        <f t="shared" si="353"/>
        <v>3.33</v>
      </c>
      <c r="GK932" s="104"/>
      <c r="GL932" s="104"/>
      <c r="GO932" s="94"/>
    </row>
    <row r="933" spans="3:197">
      <c r="C933" s="80" t="str" cm="1">
        <f t="array" ref="C933">_xlfn.IFS(MONTH(D933)&lt;4,1,MONTH(D933)&lt;7,2,MONTH(D933)&lt;10,3,MONTH(D933)&gt;9,4)&amp;"Q"&amp;RIGHT(YEAR(D933),2)</f>
        <v>4Q19</v>
      </c>
      <c r="D933" s="81">
        <f t="shared" si="362"/>
        <v>43769</v>
      </c>
      <c r="E933" s="82">
        <f t="shared" si="359"/>
        <v>43746</v>
      </c>
      <c r="F933" s="83">
        <f t="shared" si="361"/>
        <v>0.381625</v>
      </c>
      <c r="G933" s="83">
        <f t="shared" si="361"/>
        <v>0.35125</v>
      </c>
      <c r="H933" s="81"/>
      <c r="I933" s="146">
        <v>43746</v>
      </c>
      <c r="J933" s="147">
        <v>3.3</v>
      </c>
      <c r="K933" s="147">
        <v>2.97</v>
      </c>
      <c r="L933" s="147">
        <v>3.053</v>
      </c>
      <c r="M933" s="94" cm="1">
        <f t="array" ref="M933">INDEX($BV$29:$BV$1449,MATCH($D933,$BR$29:$BR$1449,0),)</f>
        <v>2.81</v>
      </c>
      <c r="N933" s="150">
        <f t="shared" si="358"/>
        <v>-0.00779980500487487</v>
      </c>
      <c r="O933" s="150">
        <f t="shared" si="360"/>
        <v>-0.0369085173501578</v>
      </c>
      <c r="P933" s="150">
        <f t="shared" si="355"/>
        <v>-0.0468310958476428</v>
      </c>
      <c r="Q933" s="89">
        <f t="shared" si="356"/>
        <v>0.0864768683274022</v>
      </c>
      <c r="AH933" s="90"/>
      <c r="AI933" s="85"/>
      <c r="AJ933" s="36"/>
      <c r="AK933" s="36"/>
      <c r="AL933" s="36"/>
      <c r="AM933" s="36"/>
      <c r="AN933" s="36"/>
      <c r="AO933" s="36"/>
      <c r="AP933" s="36"/>
      <c r="BO933" s="154"/>
      <c r="FV933" s="104">
        <f t="shared" si="348"/>
        <v>2014</v>
      </c>
      <c r="FW933" s="104">
        <f t="shared" si="349"/>
        <v>7</v>
      </c>
      <c r="FX933" s="35">
        <v>41684</v>
      </c>
      <c r="FY933" s="26">
        <v>2.576</v>
      </c>
      <c r="FZ933" s="94">
        <f t="shared" si="350"/>
        <v>10.304</v>
      </c>
      <c r="GA933" s="104"/>
      <c r="GB933" s="104"/>
      <c r="GE933" s="94"/>
      <c r="GF933" s="104">
        <f t="shared" si="351"/>
        <v>2016</v>
      </c>
      <c r="GG933" s="104">
        <f t="shared" si="352"/>
        <v>34</v>
      </c>
      <c r="GH933" s="35">
        <v>42598</v>
      </c>
      <c r="GI933" s="26">
        <v>1.665</v>
      </c>
      <c r="GJ933" s="94">
        <f t="shared" si="353"/>
        <v>3.33</v>
      </c>
      <c r="GK933" s="104"/>
      <c r="GL933" s="104"/>
      <c r="GO933" s="94"/>
    </row>
    <row r="934" spans="3:197">
      <c r="C934" s="80" t="str" cm="1">
        <f t="array" ref="C934">_xlfn.IFS(MONTH(D934)&lt;4,1,MONTH(D934)&lt;7,2,MONTH(D934)&lt;10,3,MONTH(D934)&gt;9,4)&amp;"Q"&amp;RIGHT(YEAR(D934),2)</f>
        <v>4Q19</v>
      </c>
      <c r="D934" s="81">
        <f t="shared" si="362"/>
        <v>43769</v>
      </c>
      <c r="E934" s="82">
        <f t="shared" si="359"/>
        <v>43747</v>
      </c>
      <c r="F934" s="83">
        <f t="shared" si="361"/>
        <v>0.383375</v>
      </c>
      <c r="G934" s="83">
        <f t="shared" si="361"/>
        <v>0.35125</v>
      </c>
      <c r="H934" s="81"/>
      <c r="I934" s="146">
        <v>43747</v>
      </c>
      <c r="J934" s="147">
        <v>3.3</v>
      </c>
      <c r="K934" s="147">
        <v>2.95</v>
      </c>
      <c r="L934" s="147">
        <v>3.067</v>
      </c>
      <c r="M934" s="94" cm="1">
        <f t="array" ref="M934">INDEX($BV$29:$BV$1449,MATCH($D934,$BR$29:$BR$1449,0),)</f>
        <v>2.81</v>
      </c>
      <c r="N934" s="150">
        <f t="shared" si="358"/>
        <v>0.00458565345561746</v>
      </c>
      <c r="O934" s="150">
        <f t="shared" si="360"/>
        <v>-0.0191877198592899</v>
      </c>
      <c r="P934" s="150">
        <f t="shared" si="355"/>
        <v>-0.0415624999999999</v>
      </c>
      <c r="Q934" s="89">
        <f t="shared" si="356"/>
        <v>0.0914590747330961</v>
      </c>
      <c r="AH934" s="90"/>
      <c r="AI934" s="85"/>
      <c r="AJ934" s="36"/>
      <c r="AK934" s="36"/>
      <c r="AL934" s="36"/>
      <c r="AM934" s="36"/>
      <c r="AN934" s="36"/>
      <c r="AO934" s="36"/>
      <c r="AP934" s="36"/>
      <c r="BO934" s="154"/>
      <c r="FV934" s="104">
        <f t="shared" si="348"/>
        <v>2014</v>
      </c>
      <c r="FW934" s="104">
        <f t="shared" si="349"/>
        <v>8</v>
      </c>
      <c r="FX934" s="35">
        <v>41687</v>
      </c>
      <c r="FY934" s="26">
        <v>2.576</v>
      </c>
      <c r="FZ934" s="94">
        <f t="shared" si="350"/>
        <v>10.304</v>
      </c>
      <c r="GA934" s="104"/>
      <c r="GB934" s="104"/>
      <c r="GE934" s="94"/>
      <c r="GF934" s="104">
        <f t="shared" si="351"/>
        <v>2016</v>
      </c>
      <c r="GG934" s="104">
        <f t="shared" si="352"/>
        <v>34</v>
      </c>
      <c r="GH934" s="35">
        <v>42599</v>
      </c>
      <c r="GI934" s="26">
        <v>1.664</v>
      </c>
      <c r="GJ934" s="94">
        <f t="shared" si="353"/>
        <v>3.328</v>
      </c>
      <c r="GK934" s="104"/>
      <c r="GL934" s="104"/>
      <c r="GO934" s="94"/>
    </row>
    <row r="935" spans="3:197">
      <c r="C935" s="80" t="str" cm="1">
        <f t="array" ref="C935">_xlfn.IFS(MONTH(D935)&lt;4,1,MONTH(D935)&lt;7,2,MONTH(D935)&lt;10,3,MONTH(D935)&gt;9,4)&amp;"Q"&amp;RIGHT(YEAR(D935),2)</f>
        <v>4Q19</v>
      </c>
      <c r="D935" s="81">
        <f t="shared" si="362"/>
        <v>43769</v>
      </c>
      <c r="E935" s="82">
        <f t="shared" si="359"/>
        <v>43748</v>
      </c>
      <c r="F935" s="83">
        <f t="shared" si="361"/>
        <v>0.383375</v>
      </c>
      <c r="G935" s="83">
        <f t="shared" si="361"/>
        <v>0.35125</v>
      </c>
      <c r="H935" s="81"/>
      <c r="I935" s="146">
        <v>43748</v>
      </c>
      <c r="J935" s="147">
        <v>3.3</v>
      </c>
      <c r="K935" s="147">
        <v>2.95</v>
      </c>
      <c r="L935" s="147">
        <v>3.067</v>
      </c>
      <c r="M935" s="94" cm="1">
        <f t="array" ref="M935">INDEX($BV$29:$BV$1449,MATCH($D935,$BR$29:$BR$1449,0),)</f>
        <v>2.81</v>
      </c>
      <c r="N935" s="150">
        <f t="shared" si="358"/>
        <v>0</v>
      </c>
      <c r="O935" s="150">
        <f t="shared" si="360"/>
        <v>-0.0160410651267243</v>
      </c>
      <c r="P935" s="150">
        <f t="shared" si="355"/>
        <v>-0.0406631216765717</v>
      </c>
      <c r="Q935" s="89">
        <f t="shared" si="356"/>
        <v>0.0914590747330961</v>
      </c>
      <c r="AH935" s="90"/>
      <c r="AI935" s="85"/>
      <c r="AJ935" s="36"/>
      <c r="AK935" s="36"/>
      <c r="AL935" s="36"/>
      <c r="AM935" s="36"/>
      <c r="AN935" s="36"/>
      <c r="AO935" s="36"/>
      <c r="AP935" s="36"/>
      <c r="BO935" s="154"/>
      <c r="FV935" s="104">
        <f t="shared" si="348"/>
        <v>2014</v>
      </c>
      <c r="FW935" s="104">
        <f t="shared" si="349"/>
        <v>8</v>
      </c>
      <c r="FX935" s="35">
        <v>41688</v>
      </c>
      <c r="FY935" s="26">
        <v>2.509</v>
      </c>
      <c r="FZ935" s="94">
        <f t="shared" si="350"/>
        <v>10.036</v>
      </c>
      <c r="GA935" s="104"/>
      <c r="GB935" s="104"/>
      <c r="GE935" s="94"/>
      <c r="GF935" s="104">
        <f t="shared" si="351"/>
        <v>2016</v>
      </c>
      <c r="GG935" s="104">
        <f t="shared" si="352"/>
        <v>34</v>
      </c>
      <c r="GH935" s="35">
        <v>42600</v>
      </c>
      <c r="GI935" s="26">
        <v>1.664</v>
      </c>
      <c r="GJ935" s="94">
        <f t="shared" si="353"/>
        <v>3.328</v>
      </c>
      <c r="GK935" s="104"/>
      <c r="GL935" s="104"/>
      <c r="GO935" s="94"/>
    </row>
    <row r="936" spans="3:197">
      <c r="C936" s="80" t="str" cm="1">
        <f t="array" ref="C936">_xlfn.IFS(MONTH(D936)&lt;4,1,MONTH(D936)&lt;7,2,MONTH(D936)&lt;10,3,MONTH(D936)&gt;9,4)&amp;"Q"&amp;RIGHT(YEAR(D936),2)</f>
        <v>4Q19</v>
      </c>
      <c r="D936" s="81">
        <f t="shared" si="362"/>
        <v>43769</v>
      </c>
      <c r="E936" s="82">
        <f t="shared" si="359"/>
        <v>43749</v>
      </c>
      <c r="F936" s="83">
        <f t="shared" si="361"/>
        <v>0.382875</v>
      </c>
      <c r="G936" s="83">
        <f t="shared" si="361"/>
        <v>0.35125</v>
      </c>
      <c r="H936" s="81"/>
      <c r="I936" s="146">
        <v>43749</v>
      </c>
      <c r="J936" s="147">
        <v>3.3</v>
      </c>
      <c r="K936" s="147">
        <v>2.93</v>
      </c>
      <c r="L936" s="147">
        <v>3.063</v>
      </c>
      <c r="M936" s="94" cm="1">
        <f t="array" ref="M936">INDEX($BV$29:$BV$1449,MATCH($D936,$BR$29:$BR$1449,0),)</f>
        <v>2.81</v>
      </c>
      <c r="N936" s="150">
        <f t="shared" si="358"/>
        <v>-0.00130420606455817</v>
      </c>
      <c r="O936" s="150">
        <f t="shared" si="360"/>
        <v>-0.00969932104752658</v>
      </c>
      <c r="P936" s="150">
        <f t="shared" si="355"/>
        <v>-0.0398119122257052</v>
      </c>
      <c r="Q936" s="89">
        <f t="shared" si="356"/>
        <v>0.090035587188612</v>
      </c>
      <c r="AH936" s="90"/>
      <c r="AI936" s="85"/>
      <c r="AJ936" s="36"/>
      <c r="AK936" s="36"/>
      <c r="AL936" s="36"/>
      <c r="AM936" s="36"/>
      <c r="AN936" s="36"/>
      <c r="AO936" s="36"/>
      <c r="AP936" s="36"/>
      <c r="BO936" s="154"/>
      <c r="FV936" s="104">
        <f t="shared" si="348"/>
        <v>2014</v>
      </c>
      <c r="FW936" s="104">
        <f t="shared" si="349"/>
        <v>8</v>
      </c>
      <c r="FX936" s="35">
        <v>41689</v>
      </c>
      <c r="FY936" s="26">
        <v>2.483</v>
      </c>
      <c r="FZ936" s="94">
        <f t="shared" si="350"/>
        <v>9.932</v>
      </c>
      <c r="GA936" s="104"/>
      <c r="GB936" s="104"/>
      <c r="GE936" s="94"/>
      <c r="GF936" s="104">
        <f t="shared" si="351"/>
        <v>2016</v>
      </c>
      <c r="GG936" s="104">
        <f t="shared" si="352"/>
        <v>34</v>
      </c>
      <c r="GH936" s="35">
        <v>42601</v>
      </c>
      <c r="GI936" s="26">
        <v>1.662</v>
      </c>
      <c r="GJ936" s="94">
        <f t="shared" si="353"/>
        <v>3.324</v>
      </c>
      <c r="GK936" s="104"/>
      <c r="GL936" s="104"/>
      <c r="GO936" s="94"/>
    </row>
    <row r="937" spans="3:197">
      <c r="C937" s="80" t="str" cm="1">
        <f t="array" ref="C937">_xlfn.IFS(MONTH(D937)&lt;4,1,MONTH(D937)&lt;7,2,MONTH(D937)&lt;10,3,MONTH(D937)&gt;9,4)&amp;"Q"&amp;RIGHT(YEAR(D937),2)</f>
        <v>4Q19</v>
      </c>
      <c r="D937" s="81">
        <f t="shared" si="362"/>
        <v>43769</v>
      </c>
      <c r="E937" s="82">
        <f t="shared" si="359"/>
        <v>43752</v>
      </c>
      <c r="F937" s="83">
        <f t="shared" si="361"/>
        <v>0.382875</v>
      </c>
      <c r="G937" s="83">
        <f t="shared" si="361"/>
        <v>0.35125</v>
      </c>
      <c r="H937" s="81"/>
      <c r="I937" s="146">
        <v>43752</v>
      </c>
      <c r="J937" s="147">
        <v>3.3</v>
      </c>
      <c r="K937" s="147">
        <v>2.92</v>
      </c>
      <c r="L937" s="147">
        <v>3.063</v>
      </c>
      <c r="M937" s="94" cm="1">
        <f t="array" ref="M937">INDEX($BV$29:$BV$1449,MATCH($D937,$BR$29:$BR$1449,0),)</f>
        <v>2.81</v>
      </c>
      <c r="N937" s="150">
        <f t="shared" si="358"/>
        <v>0</v>
      </c>
      <c r="O937" s="150">
        <f t="shared" si="360"/>
        <v>-0.00454988625284358</v>
      </c>
      <c r="P937" s="150">
        <f t="shared" si="355"/>
        <v>-0.0377002827521206</v>
      </c>
      <c r="Q937" s="89">
        <f t="shared" si="356"/>
        <v>0.090035587188612</v>
      </c>
      <c r="AH937" s="90"/>
      <c r="AI937" s="85"/>
      <c r="AJ937" s="36"/>
      <c r="AK937" s="36"/>
      <c r="AL937" s="36"/>
      <c r="AM937" s="36"/>
      <c r="AN937" s="36"/>
      <c r="AO937" s="36"/>
      <c r="AP937" s="36"/>
      <c r="BO937" s="154"/>
      <c r="FV937" s="104">
        <f t="shared" si="348"/>
        <v>2014</v>
      </c>
      <c r="FW937" s="104">
        <f t="shared" si="349"/>
        <v>8</v>
      </c>
      <c r="FX937" s="35">
        <v>41690</v>
      </c>
      <c r="FY937" s="26">
        <v>2.423</v>
      </c>
      <c r="FZ937" s="94">
        <f t="shared" si="350"/>
        <v>9.692</v>
      </c>
      <c r="GA937" s="104"/>
      <c r="GB937" s="104"/>
      <c r="GE937" s="94"/>
      <c r="GF937" s="104">
        <f t="shared" si="351"/>
        <v>2016</v>
      </c>
      <c r="GG937" s="104">
        <f t="shared" si="352"/>
        <v>35</v>
      </c>
      <c r="GH937" s="35">
        <v>42604</v>
      </c>
      <c r="GI937" s="26">
        <v>1.655</v>
      </c>
      <c r="GJ937" s="94">
        <f t="shared" si="353"/>
        <v>3.31</v>
      </c>
      <c r="GK937" s="104"/>
      <c r="GL937" s="104"/>
      <c r="GO937" s="94"/>
    </row>
    <row r="938" spans="3:197">
      <c r="C938" s="80" t="str" cm="1">
        <f t="array" ref="C938">_xlfn.IFS(MONTH(D938)&lt;4,1,MONTH(D938)&lt;7,2,MONTH(D938)&lt;10,3,MONTH(D938)&gt;9,4)&amp;"Q"&amp;RIGHT(YEAR(D938),2)</f>
        <v>4Q19</v>
      </c>
      <c r="D938" s="81">
        <f t="shared" si="362"/>
        <v>43769</v>
      </c>
      <c r="E938" s="82">
        <f t="shared" si="359"/>
        <v>43753</v>
      </c>
      <c r="F938" s="83">
        <f t="shared" si="361"/>
        <v>0.381625</v>
      </c>
      <c r="G938" s="83">
        <f t="shared" si="361"/>
        <v>0.35125</v>
      </c>
      <c r="H938" s="81"/>
      <c r="I938" s="146">
        <v>43753</v>
      </c>
      <c r="J938" s="147">
        <v>3.3</v>
      </c>
      <c r="K938" s="147">
        <v>2.9</v>
      </c>
      <c r="L938" s="147">
        <v>3.053</v>
      </c>
      <c r="M938" s="94" cm="1">
        <f t="array" ref="M938">INDEX($BV$29:$BV$1449,MATCH($D938,$BR$29:$BR$1449,0),)</f>
        <v>2.81</v>
      </c>
      <c r="N938" s="150">
        <f t="shared" si="358"/>
        <v>-0.00326477309826978</v>
      </c>
      <c r="O938" s="150">
        <f t="shared" si="360"/>
        <v>0</v>
      </c>
      <c r="P938" s="150">
        <f t="shared" si="355"/>
        <v>-0.0369085173501578</v>
      </c>
      <c r="Q938" s="89">
        <f t="shared" si="356"/>
        <v>0.0864768683274022</v>
      </c>
      <c r="AH938" s="90"/>
      <c r="AI938" s="85"/>
      <c r="AJ938" s="36"/>
      <c r="AK938" s="36"/>
      <c r="AL938" s="36"/>
      <c r="AM938" s="36"/>
      <c r="AN938" s="36"/>
      <c r="AO938" s="36"/>
      <c r="AP938" s="36"/>
      <c r="BO938" s="154"/>
      <c r="FV938" s="104">
        <f t="shared" si="348"/>
        <v>2014</v>
      </c>
      <c r="FW938" s="104">
        <f t="shared" si="349"/>
        <v>8</v>
      </c>
      <c r="FX938" s="35">
        <v>41691</v>
      </c>
      <c r="FY938" s="26">
        <v>2.363</v>
      </c>
      <c r="FZ938" s="94">
        <f t="shared" si="350"/>
        <v>9.452</v>
      </c>
      <c r="GA938" s="104"/>
      <c r="GB938" s="104"/>
      <c r="GE938" s="94"/>
      <c r="GF938" s="104">
        <f t="shared" si="351"/>
        <v>2016</v>
      </c>
      <c r="GG938" s="104">
        <f t="shared" si="352"/>
        <v>35</v>
      </c>
      <c r="GH938" s="35">
        <v>42605</v>
      </c>
      <c r="GI938" s="26">
        <v>1.653</v>
      </c>
      <c r="GJ938" s="94">
        <f t="shared" si="353"/>
        <v>3.306</v>
      </c>
      <c r="GK938" s="104"/>
      <c r="GL938" s="104"/>
      <c r="GO938" s="94"/>
    </row>
    <row r="939" spans="3:197">
      <c r="C939" s="80" t="str" cm="1">
        <f t="array" ref="C939">_xlfn.IFS(MONTH(D939)&lt;4,1,MONTH(D939)&lt;7,2,MONTH(D939)&lt;10,3,MONTH(D939)&gt;9,4)&amp;"Q"&amp;RIGHT(YEAR(D939),2)</f>
        <v>4Q19</v>
      </c>
      <c r="D939" s="81">
        <f t="shared" si="362"/>
        <v>43769</v>
      </c>
      <c r="E939" s="82">
        <f t="shared" si="359"/>
        <v>43754</v>
      </c>
      <c r="F939" s="83">
        <f t="shared" si="361"/>
        <v>0.377125</v>
      </c>
      <c r="G939" s="83">
        <f t="shared" si="361"/>
        <v>0.35125</v>
      </c>
      <c r="H939" s="81"/>
      <c r="I939" s="146">
        <v>43754</v>
      </c>
      <c r="J939" s="147">
        <v>3.3</v>
      </c>
      <c r="K939" s="147">
        <v>2.85</v>
      </c>
      <c r="L939" s="147">
        <v>3.017</v>
      </c>
      <c r="M939" s="94" cm="1">
        <f t="array" ref="M939">INDEX($BV$29:$BV$1449,MATCH($D939,$BR$29:$BR$1449,0),)</f>
        <v>2.81</v>
      </c>
      <c r="N939" s="150">
        <f t="shared" si="358"/>
        <v>-0.0117916803144448</v>
      </c>
      <c r="O939" s="150">
        <f t="shared" si="360"/>
        <v>-0.0163025758069776</v>
      </c>
      <c r="P939" s="150">
        <f t="shared" si="355"/>
        <v>-0.0351774864086984</v>
      </c>
      <c r="Q939" s="89">
        <f t="shared" si="356"/>
        <v>0.0736654804270462</v>
      </c>
      <c r="AH939" s="90"/>
      <c r="AI939" s="85"/>
      <c r="AJ939" s="36"/>
      <c r="AK939" s="36"/>
      <c r="AL939" s="36"/>
      <c r="AM939" s="36"/>
      <c r="AN939" s="36"/>
      <c r="AO939" s="36"/>
      <c r="AP939" s="36"/>
      <c r="BO939" s="154"/>
      <c r="FV939" s="104">
        <f t="shared" si="348"/>
        <v>2014</v>
      </c>
      <c r="FW939" s="104">
        <f t="shared" si="349"/>
        <v>9</v>
      </c>
      <c r="FX939" s="35">
        <v>41694</v>
      </c>
      <c r="FY939" s="26">
        <v>2.357</v>
      </c>
      <c r="FZ939" s="94">
        <f t="shared" si="350"/>
        <v>9.428</v>
      </c>
      <c r="GA939" s="104"/>
      <c r="GB939" s="104"/>
      <c r="GE939" s="94"/>
      <c r="GF939" s="104">
        <f t="shared" si="351"/>
        <v>2016</v>
      </c>
      <c r="GG939" s="104">
        <f t="shared" si="352"/>
        <v>35</v>
      </c>
      <c r="GH939" s="35">
        <v>42606</v>
      </c>
      <c r="GI939" s="26">
        <v>1.651</v>
      </c>
      <c r="GJ939" s="94">
        <f t="shared" si="353"/>
        <v>3.302</v>
      </c>
      <c r="GK939" s="104"/>
      <c r="GL939" s="104"/>
      <c r="GO939" s="94"/>
    </row>
    <row r="940" spans="3:197">
      <c r="C940" s="80" t="str" cm="1">
        <f t="array" ref="C940">_xlfn.IFS(MONTH(D940)&lt;4,1,MONTH(D940)&lt;7,2,MONTH(D940)&lt;10,3,MONTH(D940)&gt;9,4)&amp;"Q"&amp;RIGHT(YEAR(D940),2)</f>
        <v>4Q19</v>
      </c>
      <c r="D940" s="81">
        <f t="shared" si="362"/>
        <v>43769</v>
      </c>
      <c r="E940" s="82">
        <f t="shared" si="359"/>
        <v>43755</v>
      </c>
      <c r="F940" s="83">
        <f t="shared" ref="F940:G978" si="363">+L940/8</f>
        <v>0.374625</v>
      </c>
      <c r="G940" s="83">
        <f t="shared" si="363"/>
        <v>0.35125</v>
      </c>
      <c r="H940" s="81"/>
      <c r="I940" s="146">
        <v>43755</v>
      </c>
      <c r="J940" s="147">
        <v>3.3</v>
      </c>
      <c r="K940" s="147">
        <v>2.85</v>
      </c>
      <c r="L940" s="147">
        <v>2.997</v>
      </c>
      <c r="M940" s="94" cm="1">
        <f t="array" ref="M940">INDEX($BV$29:$BV$1449,MATCH($D940,$BR$29:$BR$1449,0),)</f>
        <v>2.81</v>
      </c>
      <c r="N940" s="150">
        <f t="shared" si="358"/>
        <v>-0.00662910175671194</v>
      </c>
      <c r="O940" s="150">
        <f t="shared" si="360"/>
        <v>-0.0228236061297686</v>
      </c>
      <c r="P940" s="150">
        <f t="shared" si="355"/>
        <v>-0.0384985563041387</v>
      </c>
      <c r="Q940" s="89">
        <f t="shared" si="356"/>
        <v>0.0665480427046263</v>
      </c>
      <c r="AH940" s="90"/>
      <c r="AI940" s="85"/>
      <c r="AJ940" s="36"/>
      <c r="AK940" s="36"/>
      <c r="AL940" s="36"/>
      <c r="AM940" s="36"/>
      <c r="AN940" s="36"/>
      <c r="AO940" s="36"/>
      <c r="AP940" s="36"/>
      <c r="BO940" s="154"/>
      <c r="FV940" s="104">
        <f t="shared" si="348"/>
        <v>2014</v>
      </c>
      <c r="FW940" s="104">
        <f t="shared" si="349"/>
        <v>9</v>
      </c>
      <c r="FX940" s="35">
        <v>41695</v>
      </c>
      <c r="FY940" s="26">
        <v>2.357</v>
      </c>
      <c r="FZ940" s="94">
        <f t="shared" si="350"/>
        <v>9.428</v>
      </c>
      <c r="GA940" s="104"/>
      <c r="GB940" s="104"/>
      <c r="GE940" s="94"/>
      <c r="GF940" s="104">
        <f t="shared" si="351"/>
        <v>2016</v>
      </c>
      <c r="GG940" s="104">
        <f t="shared" si="352"/>
        <v>35</v>
      </c>
      <c r="GH940" s="35">
        <v>42607</v>
      </c>
      <c r="GI940" s="26">
        <v>1.672</v>
      </c>
      <c r="GJ940" s="94">
        <f t="shared" si="353"/>
        <v>3.344</v>
      </c>
      <c r="GK940" s="104"/>
      <c r="GL940" s="104"/>
      <c r="GO940" s="94"/>
    </row>
    <row r="941" spans="3:197">
      <c r="C941" s="80" t="str" cm="1">
        <f t="array" ref="C941">_xlfn.IFS(MONTH(D941)&lt;4,1,MONTH(D941)&lt;7,2,MONTH(D941)&lt;10,3,MONTH(D941)&gt;9,4)&amp;"Q"&amp;RIGHT(YEAR(D941),2)</f>
        <v>4Q19</v>
      </c>
      <c r="D941" s="81">
        <f t="shared" si="362"/>
        <v>43769</v>
      </c>
      <c r="E941" s="82">
        <f t="shared" si="359"/>
        <v>43756</v>
      </c>
      <c r="F941" s="83">
        <f t="shared" si="363"/>
        <v>0.37375</v>
      </c>
      <c r="G941" s="83">
        <f t="shared" si="363"/>
        <v>0.35125</v>
      </c>
      <c r="H941" s="81"/>
      <c r="I941" s="146">
        <v>43756</v>
      </c>
      <c r="J941" s="147">
        <v>3.25</v>
      </c>
      <c r="K941" s="147">
        <v>2.85</v>
      </c>
      <c r="L941" s="147">
        <v>2.99</v>
      </c>
      <c r="M941" s="94" cm="1">
        <f t="array" ref="M941">INDEX($BV$29:$BV$1449,MATCH($D941,$BR$29:$BR$1449,0),)</f>
        <v>2.81</v>
      </c>
      <c r="N941" s="150">
        <f t="shared" si="358"/>
        <v>-0.00233566900233551</v>
      </c>
      <c r="O941" s="150">
        <f t="shared" si="360"/>
        <v>-0.0238328436173686</v>
      </c>
      <c r="P941" s="150">
        <f t="shared" si="355"/>
        <v>-0.0333010022631748</v>
      </c>
      <c r="Q941" s="89">
        <f t="shared" si="356"/>
        <v>0.0640569395017794</v>
      </c>
      <c r="AH941" s="90"/>
      <c r="AI941" s="85"/>
      <c r="AJ941" s="36"/>
      <c r="AK941" s="36"/>
      <c r="AL941" s="36"/>
      <c r="AM941" s="36"/>
      <c r="AN941" s="36"/>
      <c r="AO941" s="36"/>
      <c r="AP941" s="36"/>
      <c r="BO941" s="154"/>
      <c r="FV941" s="104">
        <f t="shared" si="348"/>
        <v>2014</v>
      </c>
      <c r="FW941" s="104">
        <f t="shared" si="349"/>
        <v>9</v>
      </c>
      <c r="FX941" s="35">
        <v>41696</v>
      </c>
      <c r="FY941" s="26">
        <v>2.335</v>
      </c>
      <c r="FZ941" s="94">
        <f t="shared" si="350"/>
        <v>9.34</v>
      </c>
      <c r="GA941" s="104"/>
      <c r="GB941" s="104"/>
      <c r="GE941" s="94"/>
      <c r="GF941" s="104">
        <f t="shared" si="351"/>
        <v>2016</v>
      </c>
      <c r="GG941" s="104">
        <f t="shared" si="352"/>
        <v>35</v>
      </c>
      <c r="GH941" s="35">
        <v>42608</v>
      </c>
      <c r="GI941" s="26">
        <v>1.676</v>
      </c>
      <c r="GJ941" s="94">
        <f t="shared" si="353"/>
        <v>3.352</v>
      </c>
      <c r="GK941" s="104"/>
      <c r="GL941" s="104"/>
      <c r="GO941" s="94"/>
    </row>
    <row r="942" spans="3:197">
      <c r="C942" s="80" t="str" cm="1">
        <f t="array" ref="C942">_xlfn.IFS(MONTH(D942)&lt;4,1,MONTH(D942)&lt;7,2,MONTH(D942)&lt;10,3,MONTH(D942)&gt;9,4)&amp;"Q"&amp;RIGHT(YEAR(D942),2)</f>
        <v>4Q19</v>
      </c>
      <c r="D942" s="81">
        <f t="shared" si="362"/>
        <v>43769</v>
      </c>
      <c r="E942" s="82">
        <f t="shared" si="359"/>
        <v>43759</v>
      </c>
      <c r="F942" s="83">
        <f t="shared" si="363"/>
        <v>0.370875</v>
      </c>
      <c r="G942" s="83">
        <f t="shared" si="363"/>
        <v>0.35125</v>
      </c>
      <c r="H942" s="81"/>
      <c r="I942" s="146">
        <v>43759</v>
      </c>
      <c r="J942" s="147">
        <v>3.25</v>
      </c>
      <c r="K942" s="147">
        <v>2.8</v>
      </c>
      <c r="L942" s="147">
        <v>2.967</v>
      </c>
      <c r="M942" s="94" cm="1">
        <f t="array" ref="M942">INDEX($BV$29:$BV$1449,MATCH($D942,$BR$29:$BR$1449,0),)</f>
        <v>2.81</v>
      </c>
      <c r="N942" s="150">
        <f t="shared" si="358"/>
        <v>-0.00769230769230778</v>
      </c>
      <c r="O942" s="150">
        <f t="shared" si="360"/>
        <v>-0.0313418217433888</v>
      </c>
      <c r="P942" s="150">
        <f t="shared" si="355"/>
        <v>-0.0357491062723432</v>
      </c>
      <c r="Q942" s="89">
        <f t="shared" si="356"/>
        <v>0.0558718861209964</v>
      </c>
      <c r="AH942" s="90"/>
      <c r="AI942" s="85"/>
      <c r="AJ942" s="36"/>
      <c r="AK942" s="36"/>
      <c r="AL942" s="36"/>
      <c r="AM942" s="36"/>
      <c r="AN942" s="36"/>
      <c r="AO942" s="36"/>
      <c r="AP942" s="36"/>
      <c r="BO942" s="154"/>
      <c r="FV942" s="104">
        <f t="shared" si="348"/>
        <v>2014</v>
      </c>
      <c r="FW942" s="104">
        <f t="shared" si="349"/>
        <v>9</v>
      </c>
      <c r="FX942" s="35">
        <v>41697</v>
      </c>
      <c r="FY942" s="26">
        <v>2.323</v>
      </c>
      <c r="FZ942" s="94">
        <f t="shared" si="350"/>
        <v>9.292</v>
      </c>
      <c r="GA942" s="104"/>
      <c r="GB942" s="104"/>
      <c r="GE942" s="94"/>
      <c r="GF942" s="104">
        <f t="shared" si="351"/>
        <v>2016</v>
      </c>
      <c r="GG942" s="104">
        <f t="shared" si="352"/>
        <v>36</v>
      </c>
      <c r="GH942" s="35">
        <v>42611</v>
      </c>
      <c r="GI942" s="26">
        <v>1.677</v>
      </c>
      <c r="GJ942" s="94">
        <f t="shared" si="353"/>
        <v>3.354</v>
      </c>
      <c r="GK942" s="104"/>
      <c r="GL942" s="104"/>
      <c r="GO942" s="94"/>
    </row>
    <row r="943" spans="3:197">
      <c r="C943" s="80" t="str" cm="1">
        <f t="array" ref="C943">_xlfn.IFS(MONTH(D943)&lt;4,1,MONTH(D943)&lt;7,2,MONTH(D943)&lt;10,3,MONTH(D943)&gt;9,4)&amp;"Q"&amp;RIGHT(YEAR(D943),2)</f>
        <v>4Q19</v>
      </c>
      <c r="D943" s="81">
        <f t="shared" si="362"/>
        <v>43769</v>
      </c>
      <c r="E943" s="82">
        <f t="shared" si="359"/>
        <v>43760</v>
      </c>
      <c r="F943" s="83">
        <f t="shared" si="363"/>
        <v>0.369625</v>
      </c>
      <c r="G943" s="83">
        <f t="shared" si="363"/>
        <v>0.35125</v>
      </c>
      <c r="H943" s="81"/>
      <c r="I943" s="146">
        <v>43760</v>
      </c>
      <c r="J943" s="147">
        <v>3.25</v>
      </c>
      <c r="K943" s="147">
        <v>2.8</v>
      </c>
      <c r="L943" s="147">
        <v>2.957</v>
      </c>
      <c r="M943" s="94" cm="1">
        <f t="array" ref="M943">INDEX($BV$29:$BV$1449,MATCH($D943,$BR$29:$BR$1449,0),)</f>
        <v>2.81</v>
      </c>
      <c r="N943" s="150">
        <f t="shared" si="358"/>
        <v>-0.00337040781934617</v>
      </c>
      <c r="O943" s="150">
        <f t="shared" si="360"/>
        <v>-0.0314444808385195</v>
      </c>
      <c r="P943" s="150">
        <f t="shared" si="355"/>
        <v>-0.0314444808385195</v>
      </c>
      <c r="Q943" s="89">
        <f t="shared" si="356"/>
        <v>0.0523131672597863</v>
      </c>
      <c r="AH943" s="90"/>
      <c r="AI943" s="85"/>
      <c r="AJ943" s="36"/>
      <c r="AK943" s="36"/>
      <c r="AL943" s="36"/>
      <c r="AM943" s="36"/>
      <c r="AN943" s="36"/>
      <c r="AO943" s="36"/>
      <c r="AP943" s="36"/>
      <c r="FV943" s="104">
        <f t="shared" si="348"/>
        <v>2014</v>
      </c>
      <c r="FW943" s="104">
        <f t="shared" si="349"/>
        <v>9</v>
      </c>
      <c r="FX943" s="35">
        <v>41698</v>
      </c>
      <c r="FY943" s="26">
        <v>2.31</v>
      </c>
      <c r="FZ943" s="94">
        <f t="shared" si="350"/>
        <v>9.24</v>
      </c>
      <c r="GA943" s="104"/>
      <c r="GB943" s="104"/>
      <c r="GE943" s="94"/>
      <c r="GF943" s="104">
        <f t="shared" si="351"/>
        <v>2016</v>
      </c>
      <c r="GG943" s="104">
        <f t="shared" si="352"/>
        <v>36</v>
      </c>
      <c r="GH943" s="35">
        <v>42612</v>
      </c>
      <c r="GI943" s="26">
        <v>1.686</v>
      </c>
      <c r="GJ943" s="94">
        <f t="shared" si="353"/>
        <v>3.372</v>
      </c>
      <c r="GK943" s="104"/>
      <c r="GL943" s="104"/>
      <c r="GO943" s="94"/>
    </row>
    <row r="944" spans="3:197">
      <c r="C944" s="80" t="str" cm="1">
        <f t="array" ref="C944">_xlfn.IFS(MONTH(D944)&lt;4,1,MONTH(D944)&lt;7,2,MONTH(D944)&lt;10,3,MONTH(D944)&gt;9,4)&amp;"Q"&amp;RIGHT(YEAR(D944),2)</f>
        <v>4Q19</v>
      </c>
      <c r="D944" s="81">
        <f t="shared" si="362"/>
        <v>43769</v>
      </c>
      <c r="E944" s="82">
        <f t="shared" si="359"/>
        <v>43761</v>
      </c>
      <c r="F944" s="83">
        <f t="shared" si="363"/>
        <v>0.3675</v>
      </c>
      <c r="G944" s="83">
        <f t="shared" si="363"/>
        <v>0.35125</v>
      </c>
      <c r="H944" s="81"/>
      <c r="I944" s="146">
        <v>43761</v>
      </c>
      <c r="J944" s="147">
        <v>3.3</v>
      </c>
      <c r="K944" s="147">
        <v>2.75</v>
      </c>
      <c r="L944" s="147">
        <v>2.94</v>
      </c>
      <c r="M944" s="94" cm="1">
        <f t="array" ref="M944">INDEX($BV$29:$BV$1449,MATCH($D944,$BR$29:$BR$1449,0),)</f>
        <v>2.81</v>
      </c>
      <c r="N944" s="150">
        <f t="shared" si="358"/>
        <v>-0.00574907000338176</v>
      </c>
      <c r="O944" s="150">
        <f t="shared" si="360"/>
        <v>-0.0255220417633411</v>
      </c>
      <c r="P944" s="150">
        <f t="shared" si="355"/>
        <v>-0.0414085425497229</v>
      </c>
      <c r="Q944" s="89">
        <f t="shared" si="356"/>
        <v>0.0462633451957295</v>
      </c>
      <c r="AH944" s="90"/>
      <c r="AI944" s="85"/>
      <c r="AJ944" s="36"/>
      <c r="AK944" s="36"/>
      <c r="AL944" s="36"/>
      <c r="AM944" s="36"/>
      <c r="AN944" s="36"/>
      <c r="AO944" s="36"/>
      <c r="AP944" s="36"/>
      <c r="FV944" s="104">
        <f t="shared" si="348"/>
        <v>2014</v>
      </c>
      <c r="FW944" s="104">
        <f t="shared" si="349"/>
        <v>10</v>
      </c>
      <c r="FX944" s="35">
        <v>41701</v>
      </c>
      <c r="FY944" s="26">
        <v>2.289</v>
      </c>
      <c r="FZ944" s="94">
        <f t="shared" si="350"/>
        <v>9.156</v>
      </c>
      <c r="GA944" s="104"/>
      <c r="GB944" s="104"/>
      <c r="GE944" s="94"/>
      <c r="GF944" s="104">
        <f t="shared" si="351"/>
        <v>2016</v>
      </c>
      <c r="GG944" s="104">
        <f t="shared" si="352"/>
        <v>36</v>
      </c>
      <c r="GH944" s="35">
        <v>42613</v>
      </c>
      <c r="GI944" s="26">
        <v>1.692</v>
      </c>
      <c r="GJ944" s="94">
        <f t="shared" si="353"/>
        <v>3.384</v>
      </c>
      <c r="GK944" s="104"/>
      <c r="GL944" s="104"/>
      <c r="GO944" s="94"/>
    </row>
    <row r="945" spans="3:197">
      <c r="C945" s="80" t="str" cm="1">
        <f t="array" ref="C945">_xlfn.IFS(MONTH(D945)&lt;4,1,MONTH(D945)&lt;7,2,MONTH(D945)&lt;10,3,MONTH(D945)&gt;9,4)&amp;"Q"&amp;RIGHT(YEAR(D945),2)</f>
        <v>4Q19</v>
      </c>
      <c r="D945" s="81">
        <f t="shared" si="362"/>
        <v>43769</v>
      </c>
      <c r="E945" s="82">
        <f t="shared" si="359"/>
        <v>43762</v>
      </c>
      <c r="F945" s="83">
        <f t="shared" si="363"/>
        <v>0.365375</v>
      </c>
      <c r="G945" s="83">
        <f t="shared" si="363"/>
        <v>0.35125</v>
      </c>
      <c r="H945" s="81"/>
      <c r="I945" s="146">
        <v>43762</v>
      </c>
      <c r="J945" s="147">
        <v>3.3</v>
      </c>
      <c r="K945" s="147">
        <v>2.7</v>
      </c>
      <c r="L945" s="147">
        <v>2.923</v>
      </c>
      <c r="M945" s="94" cm="1">
        <f t="array" ref="M945">INDEX($BV$29:$BV$1449,MATCH($D945,$BR$29:$BR$1449,0),)</f>
        <v>2.81</v>
      </c>
      <c r="N945" s="150">
        <f t="shared" si="358"/>
        <v>-0.00578231292517006</v>
      </c>
      <c r="O945" s="150">
        <f t="shared" si="360"/>
        <v>-0.0246913580246914</v>
      </c>
      <c r="P945" s="150">
        <f t="shared" si="355"/>
        <v>-0.0469514183240952</v>
      </c>
      <c r="Q945" s="89">
        <f t="shared" si="356"/>
        <v>0.0402135231316727</v>
      </c>
      <c r="AH945" s="90"/>
      <c r="AI945" s="85"/>
      <c r="AJ945" s="36"/>
      <c r="AK945" s="36"/>
      <c r="AL945" s="36"/>
      <c r="AM945" s="36"/>
      <c r="AN945" s="36"/>
      <c r="AO945" s="36"/>
      <c r="AP945" s="36"/>
      <c r="FV945" s="104">
        <f t="shared" si="348"/>
        <v>2014</v>
      </c>
      <c r="FW945" s="104">
        <f t="shared" si="349"/>
        <v>10</v>
      </c>
      <c r="FX945" s="35">
        <v>41702</v>
      </c>
      <c r="FY945" s="26">
        <v>2.23</v>
      </c>
      <c r="FZ945" s="94">
        <f t="shared" si="350"/>
        <v>8.92</v>
      </c>
      <c r="GA945" s="104"/>
      <c r="GB945" s="104"/>
      <c r="GE945" s="94"/>
      <c r="GF945" s="104">
        <f t="shared" si="351"/>
        <v>2016</v>
      </c>
      <c r="GG945" s="104">
        <f t="shared" si="352"/>
        <v>36</v>
      </c>
      <c r="GH945" s="35">
        <v>42614</v>
      </c>
      <c r="GI945" s="26">
        <v>1.696</v>
      </c>
      <c r="GJ945" s="94">
        <f t="shared" si="353"/>
        <v>3.392</v>
      </c>
      <c r="GK945" s="104"/>
      <c r="GL945" s="104"/>
      <c r="GO945" s="94"/>
    </row>
    <row r="946" spans="3:197">
      <c r="C946" s="80" t="str" cm="1">
        <f t="array" ref="C946">_xlfn.IFS(MONTH(D946)&lt;4,1,MONTH(D946)&lt;7,2,MONTH(D946)&lt;10,3,MONTH(D946)&gt;9,4)&amp;"Q"&amp;RIGHT(YEAR(D946),2)</f>
        <v>4Q19</v>
      </c>
      <c r="D946" s="81">
        <f t="shared" si="362"/>
        <v>43769</v>
      </c>
      <c r="E946" s="82">
        <f t="shared" si="359"/>
        <v>43763</v>
      </c>
      <c r="F946" s="83">
        <f t="shared" si="363"/>
        <v>0.363375</v>
      </c>
      <c r="G946" s="83">
        <f t="shared" si="363"/>
        <v>0.35125</v>
      </c>
      <c r="H946" s="81"/>
      <c r="I946" s="146">
        <v>43763</v>
      </c>
      <c r="J946" s="147">
        <v>3.25</v>
      </c>
      <c r="K946" s="147">
        <v>2.7</v>
      </c>
      <c r="L946" s="147">
        <v>2.907</v>
      </c>
      <c r="M946" s="94" cm="1">
        <f t="array" ref="M946">INDEX($BV$29:$BV$1449,MATCH($D946,$BR$29:$BR$1449,0),)</f>
        <v>2.81</v>
      </c>
      <c r="N946" s="150">
        <f t="shared" si="358"/>
        <v>-0.0054738282586384</v>
      </c>
      <c r="O946" s="150">
        <f t="shared" si="360"/>
        <v>-0.0277591973244148</v>
      </c>
      <c r="P946" s="150">
        <f t="shared" si="355"/>
        <v>-0.0509304603330069</v>
      </c>
      <c r="Q946" s="89">
        <f t="shared" si="356"/>
        <v>0.0345195729537366</v>
      </c>
      <c r="AH946" s="90"/>
      <c r="AI946" s="85"/>
      <c r="AJ946" s="36"/>
      <c r="AK946" s="36"/>
      <c r="AL946" s="36"/>
      <c r="AM946" s="36"/>
      <c r="AN946" s="36"/>
      <c r="AO946" s="36"/>
      <c r="AP946" s="36"/>
      <c r="FV946" s="104">
        <f t="shared" si="348"/>
        <v>2014</v>
      </c>
      <c r="FW946" s="104">
        <f t="shared" si="349"/>
        <v>10</v>
      </c>
      <c r="FX946" s="35">
        <v>41703</v>
      </c>
      <c r="FY946" s="26">
        <v>2.21</v>
      </c>
      <c r="FZ946" s="94">
        <f t="shared" si="350"/>
        <v>8.84</v>
      </c>
      <c r="GA946" s="104"/>
      <c r="GB946" s="104"/>
      <c r="GE946" s="94"/>
      <c r="GF946" s="104">
        <f t="shared" si="351"/>
        <v>2016</v>
      </c>
      <c r="GG946" s="104">
        <f t="shared" si="352"/>
        <v>36</v>
      </c>
      <c r="GH946" s="35">
        <v>42615</v>
      </c>
      <c r="GI946" s="26">
        <v>1.697</v>
      </c>
      <c r="GJ946" s="94">
        <f t="shared" si="353"/>
        <v>3.394</v>
      </c>
      <c r="GK946" s="104"/>
      <c r="GL946" s="104"/>
      <c r="GO946" s="94"/>
    </row>
    <row r="947" spans="3:197">
      <c r="C947" s="80" t="str" cm="1">
        <f t="array" ref="C947">_xlfn.IFS(MONTH(D947)&lt;4,1,MONTH(D947)&lt;7,2,MONTH(D947)&lt;10,3,MONTH(D947)&gt;9,4)&amp;"Q"&amp;RIGHT(YEAR(D947),2)</f>
        <v>4Q19</v>
      </c>
      <c r="D947" s="81">
        <f t="shared" si="362"/>
        <v>43769</v>
      </c>
      <c r="E947" s="82">
        <f t="shared" si="359"/>
        <v>43766</v>
      </c>
      <c r="F947" s="83">
        <f t="shared" si="363"/>
        <v>0.36275</v>
      </c>
      <c r="G947" s="83">
        <f t="shared" si="363"/>
        <v>0.35125</v>
      </c>
      <c r="H947" s="81"/>
      <c r="I947" s="146">
        <v>43766</v>
      </c>
      <c r="J947" s="147">
        <v>3.25</v>
      </c>
      <c r="K947" s="147">
        <v>2.7</v>
      </c>
      <c r="L947" s="147">
        <v>2.902</v>
      </c>
      <c r="M947" s="94" cm="1">
        <f t="array" ref="M947">INDEX($BV$29:$BV$1449,MATCH($D947,$BR$29:$BR$1449,0),)</f>
        <v>2.81</v>
      </c>
      <c r="N947" s="150">
        <f t="shared" si="358"/>
        <v>-0.00171998624011005</v>
      </c>
      <c r="O947" s="150">
        <f t="shared" si="360"/>
        <v>-0.0219076508257499</v>
      </c>
      <c r="P947" s="150">
        <f t="shared" si="355"/>
        <v>-0.0525628468821417</v>
      </c>
      <c r="Q947" s="89">
        <f t="shared" si="356"/>
        <v>0.0327402135231316</v>
      </c>
      <c r="AH947" s="90"/>
      <c r="AI947" s="85"/>
      <c r="AJ947" s="36"/>
      <c r="AK947" s="36"/>
      <c r="AL947" s="36"/>
      <c r="AM947" s="36"/>
      <c r="AN947" s="36"/>
      <c r="AO947" s="36"/>
      <c r="AP947" s="36"/>
      <c r="FV947" s="104">
        <f t="shared" si="348"/>
        <v>2014</v>
      </c>
      <c r="FW947" s="104">
        <f t="shared" si="349"/>
        <v>10</v>
      </c>
      <c r="FX947" s="35">
        <v>41704</v>
      </c>
      <c r="FY947" s="26">
        <v>2.155</v>
      </c>
      <c r="FZ947" s="94">
        <f t="shared" si="350"/>
        <v>8.62</v>
      </c>
      <c r="GA947" s="104"/>
      <c r="GB947" s="104"/>
      <c r="GE947" s="94"/>
      <c r="GF947" s="104">
        <f t="shared" si="351"/>
        <v>2016</v>
      </c>
      <c r="GG947" s="104">
        <f t="shared" si="352"/>
        <v>37</v>
      </c>
      <c r="GH947" s="35">
        <v>42618</v>
      </c>
      <c r="GI947" s="26">
        <v>1.701</v>
      </c>
      <c r="GJ947" s="94">
        <f t="shared" si="353"/>
        <v>3.402</v>
      </c>
      <c r="GK947" s="104"/>
      <c r="GL947" s="104"/>
      <c r="GO947" s="94"/>
    </row>
    <row r="948" spans="3:197">
      <c r="C948" s="80" t="str" cm="1">
        <f t="array" ref="C948">_xlfn.IFS(MONTH(D948)&lt;4,1,MONTH(D948)&lt;7,2,MONTH(D948)&lt;10,3,MONTH(D948)&gt;9,4)&amp;"Q"&amp;RIGHT(YEAR(D948),2)</f>
        <v>4Q19</v>
      </c>
      <c r="D948" s="81">
        <f t="shared" si="362"/>
        <v>43769</v>
      </c>
      <c r="E948" s="82">
        <f t="shared" si="359"/>
        <v>43767</v>
      </c>
      <c r="F948" s="83">
        <f t="shared" si="363"/>
        <v>0.361625</v>
      </c>
      <c r="G948" s="83">
        <f t="shared" si="363"/>
        <v>0.35125</v>
      </c>
      <c r="H948" s="81"/>
      <c r="I948" s="146">
        <v>43767</v>
      </c>
      <c r="J948" s="147">
        <v>3.25</v>
      </c>
      <c r="K948" s="147">
        <v>2.7</v>
      </c>
      <c r="L948" s="147">
        <v>2.893</v>
      </c>
      <c r="M948" s="94" cm="1">
        <f t="array" ref="M948">INDEX($BV$29:$BV$1449,MATCH($D948,$BR$29:$BR$1449,0),)</f>
        <v>2.81</v>
      </c>
      <c r="N948" s="150">
        <f t="shared" si="358"/>
        <v>-0.00310130944176445</v>
      </c>
      <c r="O948" s="150">
        <f t="shared" si="360"/>
        <v>-0.0216435576597903</v>
      </c>
      <c r="P948" s="150">
        <f t="shared" si="355"/>
        <v>-0.0524074680641992</v>
      </c>
      <c r="Q948" s="89">
        <f t="shared" si="356"/>
        <v>0.0295373665480425</v>
      </c>
      <c r="AH948" s="90"/>
      <c r="AI948" s="85"/>
      <c r="AJ948" s="36"/>
      <c r="AK948" s="36"/>
      <c r="AL948" s="36"/>
      <c r="AM948" s="36"/>
      <c r="AN948" s="36"/>
      <c r="AO948" s="36"/>
      <c r="AP948" s="36"/>
      <c r="FV948" s="104">
        <f t="shared" ref="FV948:FV974" si="364">YEAR(FX948)</f>
        <v>2014</v>
      </c>
      <c r="FW948" s="104">
        <f t="shared" ref="FW948:FW974" si="365">WEEKNUM(FX948)</f>
        <v>10</v>
      </c>
      <c r="FX948" s="35">
        <v>41705</v>
      </c>
      <c r="FY948" s="26">
        <v>2.137</v>
      </c>
      <c r="FZ948" s="94">
        <f t="shared" ref="FZ948:FZ974" si="366">FY948*4</f>
        <v>8.548</v>
      </c>
      <c r="GA948" s="104"/>
      <c r="GB948" s="104"/>
      <c r="GE948" s="94"/>
      <c r="GF948" s="104">
        <f t="shared" ref="GF948:GF1011" si="367">YEAR(GH948)</f>
        <v>2016</v>
      </c>
      <c r="GG948" s="104">
        <f t="shared" ref="GG948:GG1011" si="368">WEEKNUM(GH948)</f>
        <v>37</v>
      </c>
      <c r="GH948" s="35">
        <v>42619</v>
      </c>
      <c r="GI948" s="26">
        <v>1.71</v>
      </c>
      <c r="GJ948" s="94">
        <f t="shared" ref="GJ948:GJ1011" si="369">GI948*2</f>
        <v>3.42</v>
      </c>
      <c r="GK948" s="104"/>
      <c r="GL948" s="104"/>
      <c r="GO948" s="94"/>
    </row>
    <row r="949" spans="3:197">
      <c r="C949" s="80" t="str" cm="1">
        <f t="array" ref="C949">_xlfn.IFS(MONTH(D949)&lt;4,1,MONTH(D949)&lt;7,2,MONTH(D949)&lt;10,3,MONTH(D949)&gt;9,4)&amp;"Q"&amp;RIGHT(YEAR(D949),2)</f>
        <v>4Q19</v>
      </c>
      <c r="D949" s="81">
        <f t="shared" si="362"/>
        <v>43769</v>
      </c>
      <c r="E949" s="82">
        <f t="shared" si="359"/>
        <v>43768</v>
      </c>
      <c r="F949" s="83">
        <f t="shared" si="363"/>
        <v>0.36125</v>
      </c>
      <c r="G949" s="83">
        <f t="shared" si="363"/>
        <v>0.35125</v>
      </c>
      <c r="H949" s="81"/>
      <c r="I949" s="146">
        <v>43768</v>
      </c>
      <c r="J949" s="147">
        <v>3.25</v>
      </c>
      <c r="K949" s="147">
        <v>2.7</v>
      </c>
      <c r="L949" s="147">
        <v>2.89</v>
      </c>
      <c r="M949" s="94" cm="1">
        <f t="array" ref="M949">INDEX($BV$29:$BV$1449,MATCH($D949,$BR$29:$BR$1449,0),)</f>
        <v>2.81</v>
      </c>
      <c r="N949" s="150">
        <f t="shared" si="358"/>
        <v>-0.00103698582786027</v>
      </c>
      <c r="O949" s="150">
        <f t="shared" si="360"/>
        <v>-0.0170068027210883</v>
      </c>
      <c r="P949" s="150">
        <f t="shared" si="355"/>
        <v>-0.0420947961551209</v>
      </c>
      <c r="Q949" s="89">
        <f t="shared" si="356"/>
        <v>0.0284697508896798</v>
      </c>
      <c r="AH949" s="90"/>
      <c r="AI949" s="85"/>
      <c r="AJ949" s="36"/>
      <c r="AK949" s="36"/>
      <c r="AL949" s="36"/>
      <c r="AM949" s="36"/>
      <c r="AN949" s="36"/>
      <c r="AO949" s="36"/>
      <c r="AP949" s="36"/>
      <c r="FV949" s="104">
        <f t="shared" si="364"/>
        <v>2014</v>
      </c>
      <c r="FW949" s="104">
        <f t="shared" si="365"/>
        <v>11</v>
      </c>
      <c r="FX949" s="35">
        <v>41708</v>
      </c>
      <c r="FY949" s="26">
        <v>2.123</v>
      </c>
      <c r="FZ949" s="94">
        <f t="shared" si="366"/>
        <v>8.492</v>
      </c>
      <c r="GA949" s="104"/>
      <c r="GB949" s="104"/>
      <c r="GE949" s="94"/>
      <c r="GF949" s="104">
        <f t="shared" si="367"/>
        <v>2016</v>
      </c>
      <c r="GG949" s="104">
        <f t="shared" si="368"/>
        <v>37</v>
      </c>
      <c r="GH949" s="35">
        <v>42620</v>
      </c>
      <c r="GI949" s="26">
        <v>1.712</v>
      </c>
      <c r="GJ949" s="94">
        <f t="shared" si="369"/>
        <v>3.424</v>
      </c>
      <c r="GK949" s="104"/>
      <c r="GL949" s="104"/>
      <c r="GO949" s="94"/>
    </row>
    <row r="950" spans="3:197">
      <c r="C950" s="80" t="str" cm="1">
        <f t="array" ref="C950">_xlfn.IFS(MONTH(D950)&lt;4,1,MONTH(D950)&lt;7,2,MONTH(D950)&lt;10,3,MONTH(D950)&gt;9,4)&amp;"Q"&amp;RIGHT(YEAR(D950),2)</f>
        <v>4Q19</v>
      </c>
      <c r="D950" s="81">
        <f t="shared" si="362"/>
        <v>43769</v>
      </c>
      <c r="E950" s="82">
        <f t="shared" si="359"/>
        <v>43769</v>
      </c>
      <c r="F950" s="83">
        <f t="shared" si="363"/>
        <v>0.360375</v>
      </c>
      <c r="G950" s="83">
        <f t="shared" si="363"/>
        <v>0.35125</v>
      </c>
      <c r="H950" s="81"/>
      <c r="I950" s="146">
        <v>43769</v>
      </c>
      <c r="J950" s="147">
        <v>3.25</v>
      </c>
      <c r="K950" s="147">
        <v>2.7</v>
      </c>
      <c r="L950" s="147">
        <v>2.883</v>
      </c>
      <c r="M950" s="94" cm="1">
        <f t="array" ref="M950">INDEX($BV$29:$BV$1449,MATCH($D950,$BR$29:$BR$1449,0),)</f>
        <v>2.81</v>
      </c>
      <c r="N950" s="150">
        <f t="shared" si="358"/>
        <v>-0.00242214532871976</v>
      </c>
      <c r="O950" s="150">
        <f t="shared" si="360"/>
        <v>-0.013684570646596</v>
      </c>
      <c r="P950" s="150">
        <f t="shared" si="355"/>
        <v>-0.038038038038038</v>
      </c>
      <c r="Q950" s="89">
        <f t="shared" si="356"/>
        <v>0.0259786476868327</v>
      </c>
      <c r="AH950" s="90"/>
      <c r="AI950" s="85"/>
      <c r="AJ950" s="36"/>
      <c r="AK950" s="36"/>
      <c r="AL950" s="36"/>
      <c r="AM950" s="36"/>
      <c r="AN950" s="36"/>
      <c r="AO950" s="36"/>
      <c r="AP950" s="36"/>
      <c r="FV950" s="104">
        <f t="shared" si="364"/>
        <v>2014</v>
      </c>
      <c r="FW950" s="104">
        <f t="shared" si="365"/>
        <v>11</v>
      </c>
      <c r="FX950" s="35">
        <v>41709</v>
      </c>
      <c r="FY950" s="26">
        <v>2.112</v>
      </c>
      <c r="FZ950" s="94">
        <f t="shared" si="366"/>
        <v>8.448</v>
      </c>
      <c r="GA950" s="104"/>
      <c r="GB950" s="104"/>
      <c r="GE950" s="94"/>
      <c r="GF950" s="104">
        <f t="shared" si="367"/>
        <v>2016</v>
      </c>
      <c r="GG950" s="104">
        <f t="shared" si="368"/>
        <v>37</v>
      </c>
      <c r="GH950" s="35">
        <v>42621</v>
      </c>
      <c r="GI950" s="26">
        <v>1.719</v>
      </c>
      <c r="GJ950" s="94">
        <f t="shared" si="369"/>
        <v>3.438</v>
      </c>
      <c r="GK950" s="104"/>
      <c r="GL950" s="104"/>
      <c r="GO950" s="94"/>
    </row>
    <row r="951" spans="3:197">
      <c r="C951" s="80" t="str" cm="1">
        <f t="array" ref="C951">_xlfn.IFS(MONTH(D951)&lt;4,1,MONTH(D951)&lt;7,2,MONTH(D951)&lt;10,3,MONTH(D951)&gt;9,4)&amp;"Q"&amp;RIGHT(YEAR(D951),2)</f>
        <v>4Q19</v>
      </c>
      <c r="D951" s="81">
        <f t="shared" si="362"/>
        <v>43799</v>
      </c>
      <c r="E951" s="82">
        <f t="shared" si="359"/>
        <v>43770</v>
      </c>
      <c r="F951" s="83">
        <f t="shared" si="363"/>
        <v>0.36</v>
      </c>
      <c r="G951" s="83">
        <f t="shared" si="363"/>
        <v>0.35125</v>
      </c>
      <c r="H951" s="81"/>
      <c r="I951" s="146">
        <v>43770</v>
      </c>
      <c r="J951" s="147">
        <v>3.25</v>
      </c>
      <c r="K951" s="147">
        <v>2.7</v>
      </c>
      <c r="L951" s="147">
        <v>2.88</v>
      </c>
      <c r="M951" s="94" cm="1">
        <f t="array" ref="M951">INDEX($BV$29:$BV$1449,MATCH($D951,$BR$29:$BR$1449,0),)</f>
        <v>2.81</v>
      </c>
      <c r="N951" s="150">
        <f t="shared" si="358"/>
        <v>-0.00104058272632679</v>
      </c>
      <c r="O951" s="150">
        <f t="shared" si="360"/>
        <v>-0.00928792569659442</v>
      </c>
      <c r="P951" s="150">
        <f t="shared" si="355"/>
        <v>-0.036789297658863</v>
      </c>
      <c r="Q951" s="89">
        <f t="shared" si="356"/>
        <v>0.0249110320284698</v>
      </c>
      <c r="AH951" s="90"/>
      <c r="AI951" s="85"/>
      <c r="AJ951" s="36"/>
      <c r="AK951" s="36"/>
      <c r="AL951" s="36"/>
      <c r="AM951" s="36"/>
      <c r="AN951" s="36"/>
      <c r="AO951" s="36"/>
      <c r="AP951" s="36"/>
      <c r="FV951" s="104">
        <f t="shared" si="364"/>
        <v>2014</v>
      </c>
      <c r="FW951" s="104">
        <f t="shared" si="365"/>
        <v>11</v>
      </c>
      <c r="FX951" s="35">
        <v>41710</v>
      </c>
      <c r="FY951" s="26">
        <v>2.106</v>
      </c>
      <c r="FZ951" s="94">
        <f t="shared" si="366"/>
        <v>8.424</v>
      </c>
      <c r="GA951" s="104"/>
      <c r="GB951" s="104"/>
      <c r="GE951" s="94"/>
      <c r="GF951" s="104">
        <f t="shared" si="367"/>
        <v>2016</v>
      </c>
      <c r="GG951" s="104">
        <f t="shared" si="368"/>
        <v>37</v>
      </c>
      <c r="GH951" s="35">
        <v>42622</v>
      </c>
      <c r="GI951" s="26">
        <v>1.723</v>
      </c>
      <c r="GJ951" s="94">
        <f t="shared" si="369"/>
        <v>3.446</v>
      </c>
      <c r="GK951" s="104"/>
      <c r="GL951" s="104"/>
      <c r="GO951" s="94"/>
    </row>
    <row r="952" spans="3:197">
      <c r="C952" s="80" t="str" cm="1">
        <f t="array" ref="C952">_xlfn.IFS(MONTH(D952)&lt;4,1,MONTH(D952)&lt;7,2,MONTH(D952)&lt;10,3,MONTH(D952)&gt;9,4)&amp;"Q"&amp;RIGHT(YEAR(D952),2)</f>
        <v>4Q19</v>
      </c>
      <c r="D952" s="81">
        <f t="shared" si="362"/>
        <v>43799</v>
      </c>
      <c r="E952" s="82">
        <f t="shared" si="359"/>
        <v>43773</v>
      </c>
      <c r="F952" s="83">
        <f t="shared" si="363"/>
        <v>0.359625</v>
      </c>
      <c r="G952" s="83">
        <f t="shared" si="363"/>
        <v>0.35125</v>
      </c>
      <c r="H952" s="81"/>
      <c r="I952" s="146">
        <v>43773</v>
      </c>
      <c r="J952" s="147">
        <v>3.25</v>
      </c>
      <c r="K952" s="147">
        <v>2.7</v>
      </c>
      <c r="L952" s="147">
        <v>2.877</v>
      </c>
      <c r="M952" s="94" cm="1">
        <f t="array" ref="M952">INDEX($BV$29:$BV$1449,MATCH($D952,$BR$29:$BR$1449,0),)</f>
        <v>2.81</v>
      </c>
      <c r="N952" s="150">
        <f t="shared" si="358"/>
        <v>-0.00104166666666672</v>
      </c>
      <c r="O952" s="150">
        <f t="shared" si="360"/>
        <v>-0.0086147484493454</v>
      </c>
      <c r="P952" s="150">
        <f t="shared" si="355"/>
        <v>-0.0303336703741154</v>
      </c>
      <c r="Q952" s="89">
        <f t="shared" si="356"/>
        <v>0.0238434163701067</v>
      </c>
      <c r="AH952" s="90"/>
      <c r="AI952" s="85"/>
      <c r="AJ952" s="36"/>
      <c r="AK952" s="36"/>
      <c r="AL952" s="36"/>
      <c r="AM952" s="36"/>
      <c r="AN952" s="36"/>
      <c r="AO952" s="36"/>
      <c r="AP952" s="36"/>
      <c r="FV952" s="104">
        <f t="shared" si="364"/>
        <v>2014</v>
      </c>
      <c r="FW952" s="104">
        <f t="shared" si="365"/>
        <v>11</v>
      </c>
      <c r="FX952" s="35">
        <v>41711</v>
      </c>
      <c r="FY952" s="26">
        <v>2.09</v>
      </c>
      <c r="FZ952" s="94">
        <f t="shared" si="366"/>
        <v>8.36</v>
      </c>
      <c r="GA952" s="104"/>
      <c r="GB952" s="104"/>
      <c r="GE952" s="94"/>
      <c r="GF952" s="104">
        <f t="shared" si="367"/>
        <v>2016</v>
      </c>
      <c r="GG952" s="104">
        <f t="shared" si="368"/>
        <v>38</v>
      </c>
      <c r="GH952" s="35">
        <v>42625</v>
      </c>
      <c r="GI952" s="26">
        <v>1.73</v>
      </c>
      <c r="GJ952" s="94">
        <f t="shared" si="369"/>
        <v>3.46</v>
      </c>
      <c r="GK952" s="104"/>
      <c r="GL952" s="104"/>
      <c r="GO952" s="94"/>
    </row>
    <row r="953" spans="3:197">
      <c r="C953" s="80" t="str" cm="1">
        <f t="array" ref="C953">_xlfn.IFS(MONTH(D953)&lt;4,1,MONTH(D953)&lt;7,2,MONTH(D953)&lt;10,3,MONTH(D953)&gt;9,4)&amp;"Q"&amp;RIGHT(YEAR(D953),2)</f>
        <v>4Q19</v>
      </c>
      <c r="D953" s="81">
        <f t="shared" si="362"/>
        <v>43799</v>
      </c>
      <c r="E953" s="82">
        <f t="shared" si="359"/>
        <v>43774</v>
      </c>
      <c r="F953" s="83">
        <f t="shared" si="363"/>
        <v>0.35875</v>
      </c>
      <c r="G953" s="83">
        <f t="shared" si="363"/>
        <v>0.35125</v>
      </c>
      <c r="H953" s="81"/>
      <c r="I953" s="146">
        <v>43774</v>
      </c>
      <c r="J953" s="147">
        <v>3.25</v>
      </c>
      <c r="K953" s="147">
        <v>2.7</v>
      </c>
      <c r="L953" s="147">
        <v>2.87</v>
      </c>
      <c r="M953" s="94" cm="1">
        <f t="array" ref="M953">INDEX($BV$29:$BV$1449,MATCH($D953,$BR$29:$BR$1449,0),)</f>
        <v>2.81</v>
      </c>
      <c r="N953" s="150">
        <f t="shared" si="358"/>
        <v>-0.00243309002433079</v>
      </c>
      <c r="O953" s="150">
        <f t="shared" si="360"/>
        <v>-0.00795022468026263</v>
      </c>
      <c r="P953" s="150">
        <f t="shared" si="355"/>
        <v>-0.0294217111937773</v>
      </c>
      <c r="Q953" s="89">
        <f t="shared" si="356"/>
        <v>0.0213523131672597</v>
      </c>
      <c r="AH953" s="90"/>
      <c r="AI953" s="85"/>
      <c r="AJ953" s="36"/>
      <c r="AK953" s="36"/>
      <c r="AL953" s="36"/>
      <c r="AM953" s="36"/>
      <c r="AN953" s="36"/>
      <c r="AO953" s="36"/>
      <c r="AP953" s="36"/>
      <c r="FV953" s="104">
        <f t="shared" si="364"/>
        <v>2014</v>
      </c>
      <c r="FW953" s="104">
        <f t="shared" si="365"/>
        <v>11</v>
      </c>
      <c r="FX953" s="35">
        <v>41712</v>
      </c>
      <c r="FY953" s="26">
        <v>2.08</v>
      </c>
      <c r="FZ953" s="94">
        <f t="shared" si="366"/>
        <v>8.32</v>
      </c>
      <c r="GA953" s="104"/>
      <c r="GB953" s="104"/>
      <c r="GE953" s="94"/>
      <c r="GF953" s="104">
        <f t="shared" si="367"/>
        <v>2016</v>
      </c>
      <c r="GG953" s="104">
        <f t="shared" si="368"/>
        <v>38</v>
      </c>
      <c r="GH953" s="35">
        <v>42626</v>
      </c>
      <c r="GI953" s="26">
        <v>1.764</v>
      </c>
      <c r="GJ953" s="94">
        <f t="shared" si="369"/>
        <v>3.528</v>
      </c>
      <c r="GK953" s="104"/>
      <c r="GL953" s="104"/>
      <c r="GO953" s="94"/>
    </row>
    <row r="954" spans="3:197">
      <c r="C954" s="80" t="str" cm="1">
        <f t="array" ref="C954">_xlfn.IFS(MONTH(D954)&lt;4,1,MONTH(D954)&lt;7,2,MONTH(D954)&lt;10,3,MONTH(D954)&gt;9,4)&amp;"Q"&amp;RIGHT(YEAR(D954),2)</f>
        <v>4Q19</v>
      </c>
      <c r="D954" s="81">
        <f t="shared" si="362"/>
        <v>43799</v>
      </c>
      <c r="E954" s="82">
        <f t="shared" si="359"/>
        <v>43775</v>
      </c>
      <c r="F954" s="83">
        <f t="shared" si="363"/>
        <v>0.358375</v>
      </c>
      <c r="G954" s="83">
        <f t="shared" si="363"/>
        <v>0.35125</v>
      </c>
      <c r="H954" s="81"/>
      <c r="I954" s="146">
        <v>43775</v>
      </c>
      <c r="J954" s="147">
        <v>3.24</v>
      </c>
      <c r="K954" s="147">
        <v>2.7</v>
      </c>
      <c r="L954" s="147">
        <v>2.867</v>
      </c>
      <c r="M954" s="94" cm="1">
        <f t="array" ref="M954">INDEX($BV$29:$BV$1449,MATCH($D954,$BR$29:$BR$1449,0),)</f>
        <v>2.81</v>
      </c>
      <c r="N954" s="150">
        <f t="shared" si="358"/>
        <v>-0.00104529616724747</v>
      </c>
      <c r="O954" s="150">
        <f t="shared" si="360"/>
        <v>-0.00795847750865053</v>
      </c>
      <c r="P954" s="150">
        <f t="shared" si="355"/>
        <v>-0.0248299319727892</v>
      </c>
      <c r="Q954" s="89">
        <f t="shared" si="356"/>
        <v>0.0202846975088968</v>
      </c>
      <c r="AH954" s="90"/>
      <c r="AI954" s="85"/>
      <c r="AJ954" s="36"/>
      <c r="AK954" s="36"/>
      <c r="AL954" s="36"/>
      <c r="AM954" s="36"/>
      <c r="AN954" s="36"/>
      <c r="AO954" s="36"/>
      <c r="AP954" s="36"/>
      <c r="FV954" s="104">
        <f t="shared" si="364"/>
        <v>2014</v>
      </c>
      <c r="FW954" s="104">
        <f t="shared" si="365"/>
        <v>12</v>
      </c>
      <c r="FX954" s="35">
        <v>41715</v>
      </c>
      <c r="FY954" s="26">
        <v>2.07</v>
      </c>
      <c r="FZ954" s="94">
        <f t="shared" si="366"/>
        <v>8.28</v>
      </c>
      <c r="GA954" s="104"/>
      <c r="GB954" s="104"/>
      <c r="GE954" s="94"/>
      <c r="GF954" s="104">
        <f t="shared" si="367"/>
        <v>2016</v>
      </c>
      <c r="GG954" s="104">
        <f t="shared" si="368"/>
        <v>38</v>
      </c>
      <c r="GH954" s="35">
        <v>42627</v>
      </c>
      <c r="GI954" s="26">
        <v>1.789</v>
      </c>
      <c r="GJ954" s="94">
        <f t="shared" si="369"/>
        <v>3.578</v>
      </c>
      <c r="GK954" s="104"/>
      <c r="GL954" s="104"/>
      <c r="GO954" s="94"/>
    </row>
    <row r="955" spans="3:197">
      <c r="C955" s="80" t="str" cm="1">
        <f t="array" ref="C955">_xlfn.IFS(MONTH(D955)&lt;4,1,MONTH(D955)&lt;7,2,MONTH(D955)&lt;10,3,MONTH(D955)&gt;9,4)&amp;"Q"&amp;RIGHT(YEAR(D955),2)</f>
        <v>4Q19</v>
      </c>
      <c r="D955" s="81">
        <f t="shared" si="362"/>
        <v>43799</v>
      </c>
      <c r="E955" s="82">
        <f t="shared" si="359"/>
        <v>43776</v>
      </c>
      <c r="F955" s="83">
        <f t="shared" si="363"/>
        <v>0.357875</v>
      </c>
      <c r="G955" s="83">
        <f t="shared" si="363"/>
        <v>0.35125</v>
      </c>
      <c r="H955" s="81"/>
      <c r="I955" s="146">
        <v>43776</v>
      </c>
      <c r="J955" s="147">
        <v>3.24</v>
      </c>
      <c r="K955" s="147">
        <v>2.67</v>
      </c>
      <c r="L955" s="147">
        <v>2.863</v>
      </c>
      <c r="M955" s="94" cm="1">
        <f t="array" ref="M955">INDEX($BV$29:$BV$1449,MATCH($D955,$BR$29:$BR$1449,0),)</f>
        <v>2.81</v>
      </c>
      <c r="N955" s="150">
        <f t="shared" si="358"/>
        <v>-0.00139518660620863</v>
      </c>
      <c r="O955" s="150">
        <f t="shared" si="360"/>
        <v>-0.00693721817551163</v>
      </c>
      <c r="P955" s="150">
        <f t="shared" si="355"/>
        <v>-0.020526855969894</v>
      </c>
      <c r="Q955" s="89">
        <f t="shared" si="356"/>
        <v>0.0188612099644128</v>
      </c>
      <c r="AH955" s="90"/>
      <c r="AI955" s="85"/>
      <c r="AJ955" s="36"/>
      <c r="AK955" s="36"/>
      <c r="AL955" s="36"/>
      <c r="AM955" s="36"/>
      <c r="AN955" s="36"/>
      <c r="AO955" s="36"/>
      <c r="AP955" s="36"/>
      <c r="FV955" s="104">
        <f t="shared" si="364"/>
        <v>2014</v>
      </c>
      <c r="FW955" s="104">
        <f t="shared" si="365"/>
        <v>12</v>
      </c>
      <c r="FX955" s="35">
        <v>41716</v>
      </c>
      <c r="FY955" s="26">
        <v>2.058</v>
      </c>
      <c r="FZ955" s="94">
        <f t="shared" si="366"/>
        <v>8.232</v>
      </c>
      <c r="GA955" s="104"/>
      <c r="GB955" s="104"/>
      <c r="GE955" s="94"/>
      <c r="GF955" s="104">
        <f t="shared" si="367"/>
        <v>2016</v>
      </c>
      <c r="GG955" s="104">
        <f t="shared" si="368"/>
        <v>39</v>
      </c>
      <c r="GH955" s="35">
        <v>42632</v>
      </c>
      <c r="GI955" s="26">
        <v>1.798</v>
      </c>
      <c r="GJ955" s="94">
        <f t="shared" si="369"/>
        <v>3.596</v>
      </c>
      <c r="GK955" s="104"/>
      <c r="GL955" s="104"/>
      <c r="GO955" s="94"/>
    </row>
    <row r="956" spans="3:197">
      <c r="C956" s="80" t="str" cm="1">
        <f t="array" ref="C956">_xlfn.IFS(MONTH(D956)&lt;4,1,MONTH(D956)&lt;7,2,MONTH(D956)&lt;10,3,MONTH(D956)&gt;9,4)&amp;"Q"&amp;RIGHT(YEAR(D956),2)</f>
        <v>4Q19</v>
      </c>
      <c r="D956" s="81">
        <f t="shared" si="362"/>
        <v>43799</v>
      </c>
      <c r="E956" s="82">
        <f t="shared" si="359"/>
        <v>43777</v>
      </c>
      <c r="F956" s="83">
        <f t="shared" si="363"/>
        <v>0.356625</v>
      </c>
      <c r="G956" s="83">
        <f t="shared" si="363"/>
        <v>0.35125</v>
      </c>
      <c r="H956" s="81"/>
      <c r="I956" s="146">
        <v>43777</v>
      </c>
      <c r="J956" s="147">
        <v>3.24</v>
      </c>
      <c r="K956" s="147">
        <v>2.65</v>
      </c>
      <c r="L956" s="147">
        <v>2.853</v>
      </c>
      <c r="M956" s="94" cm="1">
        <f t="array" ref="M956">INDEX($BV$29:$BV$1449,MATCH($D956,$BR$29:$BR$1449,0),)</f>
        <v>2.81</v>
      </c>
      <c r="N956" s="150">
        <f t="shared" si="358"/>
        <v>-0.00349283967865865</v>
      </c>
      <c r="O956" s="150">
        <f t="shared" si="360"/>
        <v>-0.00937499999999991</v>
      </c>
      <c r="P956" s="150">
        <f t="shared" si="355"/>
        <v>-0.0185758513931888</v>
      </c>
      <c r="Q956" s="89">
        <f t="shared" si="356"/>
        <v>0.0153024911032029</v>
      </c>
      <c r="AH956" s="90"/>
      <c r="AI956" s="85"/>
      <c r="AJ956" s="36"/>
      <c r="AK956" s="36"/>
      <c r="AL956" s="36"/>
      <c r="AM956" s="36"/>
      <c r="AN956" s="36"/>
      <c r="AO956" s="36"/>
      <c r="AP956" s="36"/>
      <c r="FV956" s="104">
        <f t="shared" si="364"/>
        <v>2014</v>
      </c>
      <c r="FW956" s="104">
        <f t="shared" si="365"/>
        <v>12</v>
      </c>
      <c r="FX956" s="35">
        <v>41717</v>
      </c>
      <c r="FY956" s="26">
        <v>2.045</v>
      </c>
      <c r="FZ956" s="94">
        <f t="shared" si="366"/>
        <v>8.18</v>
      </c>
      <c r="GA956" s="104"/>
      <c r="GB956" s="104"/>
      <c r="GE956" s="94"/>
      <c r="GF956" s="104">
        <f t="shared" si="367"/>
        <v>2016</v>
      </c>
      <c r="GG956" s="104">
        <f t="shared" si="368"/>
        <v>39</v>
      </c>
      <c r="GH956" s="35">
        <v>42633</v>
      </c>
      <c r="GI956" s="26">
        <v>1.802</v>
      </c>
      <c r="GJ956" s="94">
        <f t="shared" si="369"/>
        <v>3.604</v>
      </c>
      <c r="GK956" s="104"/>
      <c r="GL956" s="104"/>
      <c r="GO956" s="94"/>
    </row>
    <row r="957" spans="3:197">
      <c r="C957" s="80" t="str" cm="1">
        <f t="array" ref="C957">_xlfn.IFS(MONTH(D957)&lt;4,1,MONTH(D957)&lt;7,2,MONTH(D957)&lt;10,3,MONTH(D957)&gt;9,4)&amp;"Q"&amp;RIGHT(YEAR(D957),2)</f>
        <v>4Q19</v>
      </c>
      <c r="D957" s="81">
        <f t="shared" si="362"/>
        <v>43799</v>
      </c>
      <c r="E957" s="82">
        <f t="shared" si="359"/>
        <v>43780</v>
      </c>
      <c r="F957" s="83">
        <f t="shared" si="363"/>
        <v>0.355875</v>
      </c>
      <c r="G957" s="83">
        <f t="shared" si="363"/>
        <v>0.35125</v>
      </c>
      <c r="H957" s="81"/>
      <c r="I957" s="146">
        <v>43780</v>
      </c>
      <c r="J957" s="147">
        <v>3.26</v>
      </c>
      <c r="K957" s="147">
        <v>2.65</v>
      </c>
      <c r="L957" s="147">
        <v>2.847</v>
      </c>
      <c r="M957" s="94" cm="1">
        <f t="array" ref="M957">INDEX($BV$29:$BV$1449,MATCH($D957,$BR$29:$BR$1449,0),)</f>
        <v>2.81</v>
      </c>
      <c r="N957" s="150">
        <f t="shared" si="358"/>
        <v>-0.00210304942166151</v>
      </c>
      <c r="O957" s="150">
        <f t="shared" si="360"/>
        <v>-0.0104275286757038</v>
      </c>
      <c r="P957" s="150">
        <f t="shared" si="355"/>
        <v>-0.0189524465885597</v>
      </c>
      <c r="Q957" s="89">
        <f t="shared" si="356"/>
        <v>0.0131672597864769</v>
      </c>
      <c r="AH957" s="90"/>
      <c r="AI957" s="85"/>
      <c r="AJ957" s="36"/>
      <c r="AK957" s="36"/>
      <c r="AL957" s="36"/>
      <c r="AM957" s="36"/>
      <c r="AN957" s="36"/>
      <c r="AO957" s="36"/>
      <c r="AP957" s="36"/>
      <c r="FV957" s="104">
        <f t="shared" si="364"/>
        <v>2014</v>
      </c>
      <c r="FW957" s="104">
        <f t="shared" si="365"/>
        <v>12</v>
      </c>
      <c r="FX957" s="35">
        <v>41718</v>
      </c>
      <c r="FY957" s="26">
        <v>2.035</v>
      </c>
      <c r="FZ957" s="94">
        <f t="shared" si="366"/>
        <v>8.14</v>
      </c>
      <c r="GA957" s="104"/>
      <c r="GB957" s="104"/>
      <c r="GE957" s="94"/>
      <c r="GF957" s="104">
        <f t="shared" si="367"/>
        <v>2016</v>
      </c>
      <c r="GG957" s="104">
        <f t="shared" si="368"/>
        <v>39</v>
      </c>
      <c r="GH957" s="35">
        <v>42634</v>
      </c>
      <c r="GI957" s="26">
        <v>1.863</v>
      </c>
      <c r="GJ957" s="94">
        <f t="shared" si="369"/>
        <v>3.726</v>
      </c>
      <c r="GK957" s="104"/>
      <c r="GL957" s="104"/>
      <c r="GO957" s="94"/>
    </row>
    <row r="958" spans="3:197">
      <c r="C958" s="80" t="str" cm="1">
        <f t="array" ref="C958">_xlfn.IFS(MONTH(D958)&lt;4,1,MONTH(D958)&lt;7,2,MONTH(D958)&lt;10,3,MONTH(D958)&gt;9,4)&amp;"Q"&amp;RIGHT(YEAR(D958),2)</f>
        <v>4Q19</v>
      </c>
      <c r="D958" s="81">
        <f t="shared" si="362"/>
        <v>43799</v>
      </c>
      <c r="E958" s="82">
        <f t="shared" si="359"/>
        <v>43781</v>
      </c>
      <c r="F958" s="83">
        <f t="shared" si="363"/>
        <v>0.354125</v>
      </c>
      <c r="G958" s="83">
        <f t="shared" si="363"/>
        <v>0.35125</v>
      </c>
      <c r="H958" s="81"/>
      <c r="I958" s="146">
        <v>43781</v>
      </c>
      <c r="J958" s="147">
        <v>3.26</v>
      </c>
      <c r="K958" s="147">
        <v>2.6</v>
      </c>
      <c r="L958" s="147">
        <v>2.833</v>
      </c>
      <c r="M958" s="94" cm="1">
        <f t="array" ref="M958">INDEX($BV$29:$BV$1449,MATCH($D958,$BR$29:$BR$1449,0),)</f>
        <v>2.81</v>
      </c>
      <c r="N958" s="150">
        <f t="shared" si="358"/>
        <v>-0.00491745697225143</v>
      </c>
      <c r="O958" s="150">
        <f t="shared" si="360"/>
        <v>-0.0128919860627178</v>
      </c>
      <c r="P958" s="150">
        <f t="shared" si="355"/>
        <v>-0.020739716557207</v>
      </c>
      <c r="Q958" s="89">
        <f t="shared" si="356"/>
        <v>0.00818505338078301</v>
      </c>
      <c r="AH958" s="90"/>
      <c r="AI958" s="85"/>
      <c r="AJ958" s="36"/>
      <c r="AK958" s="36"/>
      <c r="AL958" s="36"/>
      <c r="AM958" s="36"/>
      <c r="AN958" s="36"/>
      <c r="AO958" s="36"/>
      <c r="AP958" s="36"/>
      <c r="FV958" s="104">
        <f t="shared" si="364"/>
        <v>2014</v>
      </c>
      <c r="FW958" s="104">
        <f t="shared" si="365"/>
        <v>12</v>
      </c>
      <c r="FX958" s="35">
        <v>41719</v>
      </c>
      <c r="FY958" s="26">
        <v>2.023</v>
      </c>
      <c r="FZ958" s="94">
        <f t="shared" si="366"/>
        <v>8.092</v>
      </c>
      <c r="GA958" s="104"/>
      <c r="GB958" s="104"/>
      <c r="GE958" s="94"/>
      <c r="GF958" s="104">
        <f t="shared" si="367"/>
        <v>2016</v>
      </c>
      <c r="GG958" s="104">
        <f t="shared" si="368"/>
        <v>39</v>
      </c>
      <c r="GH958" s="35">
        <v>42635</v>
      </c>
      <c r="GI958" s="26">
        <v>1.88</v>
      </c>
      <c r="GJ958" s="94">
        <f t="shared" si="369"/>
        <v>3.76</v>
      </c>
      <c r="GK958" s="104"/>
      <c r="GL958" s="104"/>
      <c r="GO958" s="94"/>
    </row>
    <row r="959" spans="3:197">
      <c r="C959" s="80" t="str" cm="1">
        <f t="array" ref="C959">_xlfn.IFS(MONTH(D959)&lt;4,1,MONTH(D959)&lt;7,2,MONTH(D959)&lt;10,3,MONTH(D959)&gt;9,4)&amp;"Q"&amp;RIGHT(YEAR(D959),2)</f>
        <v>4Q19</v>
      </c>
      <c r="D959" s="81">
        <f t="shared" si="362"/>
        <v>43799</v>
      </c>
      <c r="E959" s="82">
        <f t="shared" si="359"/>
        <v>43782</v>
      </c>
      <c r="F959" s="83">
        <f t="shared" si="363"/>
        <v>0.35375</v>
      </c>
      <c r="G959" s="83">
        <f t="shared" si="363"/>
        <v>0.35125</v>
      </c>
      <c r="H959" s="81"/>
      <c r="I959" s="146">
        <v>43782</v>
      </c>
      <c r="J959" s="147">
        <v>3.26</v>
      </c>
      <c r="K959" s="147">
        <v>2.6</v>
      </c>
      <c r="L959" s="147">
        <v>2.83</v>
      </c>
      <c r="M959" s="94" cm="1">
        <f t="array" ref="M959">INDEX($BV$29:$BV$1449,MATCH($D959,$BR$29:$BR$1449,0),)</f>
        <v>2.81</v>
      </c>
      <c r="N959" s="150">
        <f t="shared" si="358"/>
        <v>-0.00105894811154261</v>
      </c>
      <c r="O959" s="150">
        <f t="shared" si="360"/>
        <v>-0.0129054761074293</v>
      </c>
      <c r="P959" s="150">
        <f t="shared" si="355"/>
        <v>-0.0207612456747405</v>
      </c>
      <c r="Q959" s="89">
        <f t="shared" si="356"/>
        <v>0.00711743772241991</v>
      </c>
      <c r="AH959" s="90"/>
      <c r="AI959" s="85"/>
      <c r="AJ959" s="36"/>
      <c r="AK959" s="36"/>
      <c r="AL959" s="36"/>
      <c r="AM959" s="36"/>
      <c r="AN959" s="36"/>
      <c r="AO959" s="36"/>
      <c r="AP959" s="36"/>
      <c r="FV959" s="104">
        <f t="shared" si="364"/>
        <v>2014</v>
      </c>
      <c r="FW959" s="104">
        <f t="shared" si="365"/>
        <v>13</v>
      </c>
      <c r="FX959" s="35">
        <v>41722</v>
      </c>
      <c r="FY959" s="26">
        <v>2.018</v>
      </c>
      <c r="FZ959" s="94">
        <f t="shared" si="366"/>
        <v>8.072</v>
      </c>
      <c r="GA959" s="104"/>
      <c r="GB959" s="104"/>
      <c r="GE959" s="94"/>
      <c r="GF959" s="104">
        <f t="shared" si="367"/>
        <v>2016</v>
      </c>
      <c r="GG959" s="104">
        <f t="shared" si="368"/>
        <v>39</v>
      </c>
      <c r="GH959" s="35">
        <v>42636</v>
      </c>
      <c r="GI959" s="26">
        <v>1.886</v>
      </c>
      <c r="GJ959" s="94">
        <f t="shared" si="369"/>
        <v>3.772</v>
      </c>
      <c r="GK959" s="104"/>
      <c r="GL959" s="104"/>
      <c r="GO959" s="94"/>
    </row>
    <row r="960" spans="3:197">
      <c r="C960" s="80" t="str" cm="1">
        <f t="array" ref="C960">_xlfn.IFS(MONTH(D960)&lt;4,1,MONTH(D960)&lt;7,2,MONTH(D960)&lt;10,3,MONTH(D960)&gt;9,4)&amp;"Q"&amp;RIGHT(YEAR(D960),2)</f>
        <v>4Q19</v>
      </c>
      <c r="D960" s="81">
        <f t="shared" si="362"/>
        <v>43799</v>
      </c>
      <c r="E960" s="82">
        <f t="shared" si="359"/>
        <v>43783</v>
      </c>
      <c r="F960" s="83">
        <f t="shared" si="363"/>
        <v>0.35375</v>
      </c>
      <c r="G960" s="83">
        <f t="shared" si="363"/>
        <v>0.35125</v>
      </c>
      <c r="H960" s="81"/>
      <c r="I960" s="146">
        <v>43783</v>
      </c>
      <c r="J960" s="147">
        <v>3.26</v>
      </c>
      <c r="K960" s="147">
        <v>2.6</v>
      </c>
      <c r="L960" s="147">
        <v>2.83</v>
      </c>
      <c r="M960" s="94" cm="1">
        <f t="array" ref="M960">INDEX($BV$29:$BV$1449,MATCH($D960,$BR$29:$BR$1449,0),)</f>
        <v>2.81</v>
      </c>
      <c r="N960" s="150">
        <f t="shared" si="358"/>
        <v>0</v>
      </c>
      <c r="O960" s="150">
        <f t="shared" si="360"/>
        <v>-0.0115263709395739</v>
      </c>
      <c r="P960" s="150">
        <f t="shared" ref="P960:P1023" si="370">L960/L950-1</f>
        <v>-0.0183836281651057</v>
      </c>
      <c r="Q960" s="89">
        <f t="shared" si="356"/>
        <v>0.00711743772241991</v>
      </c>
      <c r="AH960" s="90"/>
      <c r="AI960" s="85"/>
      <c r="AJ960" s="36"/>
      <c r="AK960" s="36"/>
      <c r="AL960" s="36"/>
      <c r="AM960" s="36"/>
      <c r="AN960" s="36"/>
      <c r="AO960" s="36"/>
      <c r="AP960" s="36"/>
      <c r="FV960" s="104">
        <f t="shared" si="364"/>
        <v>2014</v>
      </c>
      <c r="FW960" s="104">
        <f t="shared" si="365"/>
        <v>13</v>
      </c>
      <c r="FX960" s="35">
        <v>41723</v>
      </c>
      <c r="FY960" s="26">
        <v>2.018</v>
      </c>
      <c r="FZ960" s="94">
        <f t="shared" si="366"/>
        <v>8.072</v>
      </c>
      <c r="GA960" s="104"/>
      <c r="GB960" s="104"/>
      <c r="GE960" s="94"/>
      <c r="GF960" s="104">
        <f t="shared" si="367"/>
        <v>2016</v>
      </c>
      <c r="GG960" s="104">
        <f t="shared" si="368"/>
        <v>40</v>
      </c>
      <c r="GH960" s="35">
        <v>42639</v>
      </c>
      <c r="GI960" s="26">
        <v>1.927</v>
      </c>
      <c r="GJ960" s="94">
        <f t="shared" si="369"/>
        <v>3.854</v>
      </c>
      <c r="GK960" s="104"/>
      <c r="GL960" s="104"/>
      <c r="GO960" s="94"/>
    </row>
    <row r="961" spans="3:197">
      <c r="C961" s="80" t="str" cm="1">
        <f t="array" ref="C961">_xlfn.IFS(MONTH(D961)&lt;4,1,MONTH(D961)&lt;7,2,MONTH(D961)&lt;10,3,MONTH(D961)&gt;9,4)&amp;"Q"&amp;RIGHT(YEAR(D961),2)</f>
        <v>4Q19</v>
      </c>
      <c r="D961" s="81">
        <f t="shared" si="362"/>
        <v>43799</v>
      </c>
      <c r="E961" s="82">
        <f t="shared" si="359"/>
        <v>43784</v>
      </c>
      <c r="F961" s="83">
        <f t="shared" si="363"/>
        <v>0.352125</v>
      </c>
      <c r="G961" s="83">
        <f t="shared" si="363"/>
        <v>0.35125</v>
      </c>
      <c r="H961" s="81"/>
      <c r="I961" s="146">
        <v>43784</v>
      </c>
      <c r="J961" s="147">
        <v>3.26</v>
      </c>
      <c r="K961" s="147">
        <v>2.55</v>
      </c>
      <c r="L961" s="147">
        <v>2.817</v>
      </c>
      <c r="M961" s="94" cm="1">
        <f t="array" ref="M961">INDEX($BV$29:$BV$1449,MATCH($D961,$BR$29:$BR$1449,0),)</f>
        <v>2.81</v>
      </c>
      <c r="N961" s="150">
        <f t="shared" si="358"/>
        <v>-0.0045936395759717</v>
      </c>
      <c r="O961" s="150">
        <f t="shared" si="360"/>
        <v>-0.0126182965299685</v>
      </c>
      <c r="P961" s="150">
        <f t="shared" si="370"/>
        <v>-0.0218749999999999</v>
      </c>
      <c r="Q961" s="89">
        <f t="shared" ref="Q961:Q968" si="371">L961/M961-1</f>
        <v>0.00249110320284696</v>
      </c>
      <c r="AH961" s="90"/>
      <c r="AI961" s="85"/>
      <c r="AJ961" s="36"/>
      <c r="AK961" s="36"/>
      <c r="AL961" s="36"/>
      <c r="AM961" s="36"/>
      <c r="AN961" s="36"/>
      <c r="AO961" s="36"/>
      <c r="AP961" s="36"/>
      <c r="FV961" s="104">
        <f t="shared" si="364"/>
        <v>2014</v>
      </c>
      <c r="FW961" s="104">
        <f t="shared" si="365"/>
        <v>13</v>
      </c>
      <c r="FX961" s="35">
        <v>41724</v>
      </c>
      <c r="FY961" s="26">
        <v>2.013</v>
      </c>
      <c r="FZ961" s="94">
        <f t="shared" si="366"/>
        <v>8.052</v>
      </c>
      <c r="GA961" s="104"/>
      <c r="GB961" s="104"/>
      <c r="GE961" s="94"/>
      <c r="GF961" s="104">
        <f t="shared" si="367"/>
        <v>2016</v>
      </c>
      <c r="GG961" s="104">
        <f t="shared" si="368"/>
        <v>40</v>
      </c>
      <c r="GH961" s="35">
        <v>42640</v>
      </c>
      <c r="GI961" s="26">
        <v>1.967</v>
      </c>
      <c r="GJ961" s="94">
        <f t="shared" si="369"/>
        <v>3.934</v>
      </c>
      <c r="GK961" s="104"/>
      <c r="GL961" s="104"/>
      <c r="GO961" s="94"/>
    </row>
    <row r="962" spans="3:197">
      <c r="C962" s="80" t="str" cm="1">
        <f t="array" ref="C962">_xlfn.IFS(MONTH(D962)&lt;4,1,MONTH(D962)&lt;7,2,MONTH(D962)&lt;10,3,MONTH(D962)&gt;9,4)&amp;"Q"&amp;RIGHT(YEAR(D962),2)</f>
        <v>4Q19</v>
      </c>
      <c r="D962" s="81">
        <f t="shared" si="362"/>
        <v>43799</v>
      </c>
      <c r="E962" s="82">
        <f t="shared" si="359"/>
        <v>43787</v>
      </c>
      <c r="F962" s="83">
        <f t="shared" si="363"/>
        <v>0.350375</v>
      </c>
      <c r="G962" s="83">
        <f t="shared" si="363"/>
        <v>0.35125</v>
      </c>
      <c r="H962" s="81"/>
      <c r="I962" s="146">
        <v>43787</v>
      </c>
      <c r="J962" s="147">
        <v>3.26</v>
      </c>
      <c r="K962" s="147">
        <v>2.5</v>
      </c>
      <c r="L962" s="147">
        <v>2.803</v>
      </c>
      <c r="M962" s="94" cm="1">
        <f t="array" ref="M962">INDEX($BV$29:$BV$1449,MATCH($D962,$BR$29:$BR$1449,0),)</f>
        <v>2.81</v>
      </c>
      <c r="N962" s="150">
        <f t="shared" si="358"/>
        <v>-0.00496982605608809</v>
      </c>
      <c r="O962" s="150">
        <f t="shared" si="360"/>
        <v>-0.0154548647699333</v>
      </c>
      <c r="P962" s="150">
        <f t="shared" si="370"/>
        <v>-0.0257212374000695</v>
      </c>
      <c r="Q962" s="89">
        <f t="shared" si="371"/>
        <v>-0.00249110320284707</v>
      </c>
      <c r="AH962" s="90"/>
      <c r="AI962" s="85"/>
      <c r="AJ962" s="36"/>
      <c r="AK962" s="36"/>
      <c r="AL962" s="36"/>
      <c r="AM962" s="36"/>
      <c r="AN962" s="36"/>
      <c r="AO962" s="36"/>
      <c r="AP962" s="36"/>
      <c r="FV962" s="104">
        <f t="shared" si="364"/>
        <v>2014</v>
      </c>
      <c r="FW962" s="104">
        <f t="shared" si="365"/>
        <v>13</v>
      </c>
      <c r="FX962" s="35">
        <v>41725</v>
      </c>
      <c r="FY962" s="26">
        <v>1.996</v>
      </c>
      <c r="FZ962" s="94">
        <f t="shared" si="366"/>
        <v>7.984</v>
      </c>
      <c r="GA962" s="104"/>
      <c r="GB962" s="104"/>
      <c r="GE962" s="94"/>
      <c r="GF962" s="104">
        <f t="shared" si="367"/>
        <v>2016</v>
      </c>
      <c r="GG962" s="104">
        <f t="shared" si="368"/>
        <v>40</v>
      </c>
      <c r="GH962" s="35">
        <v>42641</v>
      </c>
      <c r="GI962" s="26">
        <v>1.996</v>
      </c>
      <c r="GJ962" s="94">
        <f t="shared" si="369"/>
        <v>3.992</v>
      </c>
      <c r="GK962" s="104"/>
      <c r="GL962" s="104"/>
      <c r="GO962" s="94"/>
    </row>
    <row r="963" spans="3:197">
      <c r="C963" s="80" t="str" cm="1">
        <f t="array" ref="C963">_xlfn.IFS(MONTH(D963)&lt;4,1,MONTH(D963)&lt;7,2,MONTH(D963)&lt;10,3,MONTH(D963)&gt;9,4)&amp;"Q"&amp;RIGHT(YEAR(D963),2)</f>
        <v>4Q19</v>
      </c>
      <c r="D963" s="81">
        <f t="shared" si="362"/>
        <v>43799</v>
      </c>
      <c r="E963" s="82">
        <f t="shared" si="359"/>
        <v>43788</v>
      </c>
      <c r="F963" s="83">
        <f t="shared" si="363"/>
        <v>0.349125</v>
      </c>
      <c r="G963" s="83">
        <f t="shared" si="363"/>
        <v>0.35125</v>
      </c>
      <c r="H963" s="81"/>
      <c r="I963" s="146">
        <v>43788</v>
      </c>
      <c r="J963" s="147">
        <v>3.25</v>
      </c>
      <c r="K963" s="147">
        <v>2.5</v>
      </c>
      <c r="L963" s="147">
        <v>2.793</v>
      </c>
      <c r="M963" s="94" cm="1">
        <f t="array" ref="M963">INDEX($BV$29:$BV$1449,MATCH($D963,$BR$29:$BR$1449,0),)</f>
        <v>2.81</v>
      </c>
      <c r="N963" s="150">
        <f t="shared" si="358"/>
        <v>-0.00356760613628249</v>
      </c>
      <c r="O963" s="150">
        <f t="shared" si="360"/>
        <v>-0.0141193081539005</v>
      </c>
      <c r="P963" s="150">
        <f t="shared" si="370"/>
        <v>-0.026829268292683</v>
      </c>
      <c r="Q963" s="89">
        <f t="shared" si="371"/>
        <v>-0.00604982206405691</v>
      </c>
      <c r="AH963" s="90"/>
      <c r="AI963" s="85"/>
      <c r="AJ963" s="36"/>
      <c r="AK963" s="36"/>
      <c r="AL963" s="36"/>
      <c r="AM963" s="36"/>
      <c r="AN963" s="36"/>
      <c r="AO963" s="36"/>
      <c r="AP963" s="36"/>
      <c r="FV963" s="104">
        <f t="shared" si="364"/>
        <v>2014</v>
      </c>
      <c r="FW963" s="104">
        <f t="shared" si="365"/>
        <v>13</v>
      </c>
      <c r="FX963" s="35">
        <v>41726</v>
      </c>
      <c r="FY963" s="26">
        <v>1.981</v>
      </c>
      <c r="FZ963" s="94">
        <f t="shared" si="366"/>
        <v>7.924</v>
      </c>
      <c r="GA963" s="104"/>
      <c r="GB963" s="104"/>
      <c r="GE963" s="94"/>
      <c r="GF963" s="104">
        <f t="shared" si="367"/>
        <v>2016</v>
      </c>
      <c r="GG963" s="104">
        <f t="shared" si="368"/>
        <v>40</v>
      </c>
      <c r="GH963" s="35">
        <v>42642</v>
      </c>
      <c r="GI963" s="26">
        <v>2.041</v>
      </c>
      <c r="GJ963" s="94">
        <f t="shared" si="369"/>
        <v>4.082</v>
      </c>
      <c r="GK963" s="104"/>
      <c r="GL963" s="104"/>
      <c r="GO963" s="94"/>
    </row>
    <row r="964" spans="3:197">
      <c r="C964" s="80" t="str" cm="1">
        <f t="array" ref="C964">_xlfn.IFS(MONTH(D964)&lt;4,1,MONTH(D964)&lt;7,2,MONTH(D964)&lt;10,3,MONTH(D964)&gt;9,4)&amp;"Q"&amp;RIGHT(YEAR(D964),2)</f>
        <v>4Q19</v>
      </c>
      <c r="D964" s="81">
        <f t="shared" si="362"/>
        <v>43799</v>
      </c>
      <c r="E964" s="82">
        <f t="shared" si="359"/>
        <v>43789</v>
      </c>
      <c r="F964" s="83">
        <f t="shared" si="363"/>
        <v>0.349125</v>
      </c>
      <c r="G964" s="83">
        <f t="shared" si="363"/>
        <v>0.35125</v>
      </c>
      <c r="H964" s="81"/>
      <c r="I964" s="146">
        <v>43789</v>
      </c>
      <c r="J964" s="147">
        <v>3.35</v>
      </c>
      <c r="K964" s="147">
        <v>2.5</v>
      </c>
      <c r="L964" s="147">
        <v>2.793</v>
      </c>
      <c r="M964" s="94" cm="1">
        <f t="array" ref="M964">INDEX($BV$29:$BV$1449,MATCH($D964,$BR$29:$BR$1449,0),)</f>
        <v>2.81</v>
      </c>
      <c r="N964" s="150">
        <f t="shared" si="358"/>
        <v>0</v>
      </c>
      <c r="O964" s="150">
        <f t="shared" si="360"/>
        <v>-0.0130742049469964</v>
      </c>
      <c r="P964" s="150">
        <f t="shared" si="370"/>
        <v>-0.0258109522148586</v>
      </c>
      <c r="Q964" s="89">
        <f t="shared" si="371"/>
        <v>-0.00604982206405691</v>
      </c>
      <c r="AH964" s="90"/>
      <c r="AI964" s="85"/>
      <c r="AJ964" s="36"/>
      <c r="AK964" s="36"/>
      <c r="AL964" s="36"/>
      <c r="AM964" s="36"/>
      <c r="AN964" s="36"/>
      <c r="AO964" s="36"/>
      <c r="AP964" s="36"/>
      <c r="FV964" s="104">
        <f t="shared" si="364"/>
        <v>2014</v>
      </c>
      <c r="FW964" s="104">
        <f t="shared" si="365"/>
        <v>14</v>
      </c>
      <c r="FX964" s="35">
        <v>41729</v>
      </c>
      <c r="FY964" s="26">
        <v>1.969</v>
      </c>
      <c r="FZ964" s="94">
        <f t="shared" si="366"/>
        <v>7.876</v>
      </c>
      <c r="GA964" s="104"/>
      <c r="GB964" s="104"/>
      <c r="GE964" s="94"/>
      <c r="GF964" s="104">
        <f t="shared" si="367"/>
        <v>2016</v>
      </c>
      <c r="GG964" s="104">
        <f t="shared" si="368"/>
        <v>40</v>
      </c>
      <c r="GH964" s="35">
        <v>42643</v>
      </c>
      <c r="GI964" s="26">
        <v>2.076</v>
      </c>
      <c r="GJ964" s="94">
        <f t="shared" si="369"/>
        <v>4.152</v>
      </c>
      <c r="GK964" s="104"/>
      <c r="GL964" s="104"/>
      <c r="GO964" s="94"/>
    </row>
    <row r="965" spans="3:197">
      <c r="C965" s="80" t="str" cm="1">
        <f t="array" ref="C965">_xlfn.IFS(MONTH(D965)&lt;4,1,MONTH(D965)&lt;7,2,MONTH(D965)&lt;10,3,MONTH(D965)&gt;9,4)&amp;"Q"&amp;RIGHT(YEAR(D965),2)</f>
        <v>4Q19</v>
      </c>
      <c r="D965" s="81">
        <f t="shared" si="362"/>
        <v>43799</v>
      </c>
      <c r="E965" s="82">
        <f t="shared" si="359"/>
        <v>43790</v>
      </c>
      <c r="F965" s="83">
        <f t="shared" si="363"/>
        <v>0.346625</v>
      </c>
      <c r="G965" s="83">
        <f>+M965/8</f>
        <v>0.35125</v>
      </c>
      <c r="H965" s="81"/>
      <c r="I965" s="146">
        <v>43790</v>
      </c>
      <c r="J965" s="147">
        <v>3.35</v>
      </c>
      <c r="K965" s="147">
        <v>2.45</v>
      </c>
      <c r="L965" s="147">
        <v>2.773</v>
      </c>
      <c r="M965" s="94" cm="1">
        <f t="array" ref="M965">INDEX($BV$29:$BV$1449,MATCH($D965,$BR$29:$BR$1449,0),)</f>
        <v>2.81</v>
      </c>
      <c r="N965" s="150">
        <f t="shared" si="358"/>
        <v>-0.00716075904045832</v>
      </c>
      <c r="O965" s="150">
        <f t="shared" si="360"/>
        <v>-0.0201413427561837</v>
      </c>
      <c r="P965" s="150">
        <f t="shared" si="370"/>
        <v>-0.0314355571079287</v>
      </c>
      <c r="Q965" s="89">
        <f t="shared" si="371"/>
        <v>-0.0131672597864768</v>
      </c>
      <c r="AH965" s="90"/>
      <c r="AI965" s="85"/>
      <c r="AJ965" s="36"/>
      <c r="AK965" s="36"/>
      <c r="AL965" s="36"/>
      <c r="AM965" s="36"/>
      <c r="AN965" s="36"/>
      <c r="AO965" s="36"/>
      <c r="AP965" s="36"/>
      <c r="FV965" s="104">
        <f t="shared" si="364"/>
        <v>2014</v>
      </c>
      <c r="FW965" s="104">
        <f t="shared" si="365"/>
        <v>14</v>
      </c>
      <c r="FX965" s="35">
        <v>41730</v>
      </c>
      <c r="FY965" s="26">
        <v>1.968</v>
      </c>
      <c r="FZ965" s="94">
        <f t="shared" si="366"/>
        <v>7.872</v>
      </c>
      <c r="GA965" s="104"/>
      <c r="GB965" s="104"/>
      <c r="GE965" s="94"/>
      <c r="GF965" s="104">
        <f t="shared" si="367"/>
        <v>2016</v>
      </c>
      <c r="GG965" s="104">
        <f t="shared" si="368"/>
        <v>41</v>
      </c>
      <c r="GH965" s="35">
        <v>42646</v>
      </c>
      <c r="GI965" s="26">
        <v>2.097</v>
      </c>
      <c r="GJ965" s="94">
        <f t="shared" si="369"/>
        <v>4.194</v>
      </c>
      <c r="GK965" s="104"/>
      <c r="GL965" s="104"/>
      <c r="GO965" s="94"/>
    </row>
    <row r="966" spans="3:197">
      <c r="C966" s="80" t="str" cm="1">
        <f t="array" ref="C966">_xlfn.IFS(MONTH(D966)&lt;4,1,MONTH(D966)&lt;7,2,MONTH(D966)&lt;10,3,MONTH(D966)&gt;9,4)&amp;"Q"&amp;RIGHT(YEAR(D966),2)</f>
        <v>4Q19</v>
      </c>
      <c r="D966" s="81">
        <f t="shared" si="362"/>
        <v>43799</v>
      </c>
      <c r="E966" s="82">
        <f t="shared" si="359"/>
        <v>43791</v>
      </c>
      <c r="F966" s="83">
        <f t="shared" si="363"/>
        <v>0.344625</v>
      </c>
      <c r="G966" s="83">
        <f t="shared" si="363"/>
        <v>0.35125</v>
      </c>
      <c r="H966" s="81"/>
      <c r="I966" s="146">
        <v>43791</v>
      </c>
      <c r="J966" s="147">
        <v>3.35</v>
      </c>
      <c r="K966" s="147">
        <v>2.45</v>
      </c>
      <c r="L966" s="147">
        <v>2.757</v>
      </c>
      <c r="M966" s="94" cm="1">
        <f t="array" ref="M966">INDEX($BV$29:$BV$1449,MATCH($D966,$BR$29:$BR$1449,0),)</f>
        <v>2.81</v>
      </c>
      <c r="N966" s="150">
        <f t="shared" si="358"/>
        <v>-0.00576992426974399</v>
      </c>
      <c r="O966" s="150">
        <f t="shared" si="360"/>
        <v>-0.0212992545260916</v>
      </c>
      <c r="P966" s="150">
        <f t="shared" si="370"/>
        <v>-0.0336487907465826</v>
      </c>
      <c r="Q966" s="89">
        <f t="shared" si="371"/>
        <v>-0.0188612099644128</v>
      </c>
      <c r="AH966" s="90"/>
      <c r="AI966" s="85"/>
      <c r="AJ966" s="36"/>
      <c r="AK966" s="36"/>
      <c r="AL966" s="36"/>
      <c r="AM966" s="36"/>
      <c r="AN966" s="36"/>
      <c r="AO966" s="36"/>
      <c r="AP966" s="36"/>
      <c r="FV966" s="104">
        <f t="shared" si="364"/>
        <v>2014</v>
      </c>
      <c r="FW966" s="104">
        <f t="shared" si="365"/>
        <v>14</v>
      </c>
      <c r="FX966" s="35">
        <v>41731</v>
      </c>
      <c r="FY966" s="26">
        <v>1.965</v>
      </c>
      <c r="FZ966" s="94">
        <f t="shared" si="366"/>
        <v>7.86</v>
      </c>
      <c r="GA966" s="104"/>
      <c r="GB966" s="104"/>
      <c r="GE966" s="94"/>
      <c r="GF966" s="104">
        <f t="shared" si="367"/>
        <v>2016</v>
      </c>
      <c r="GG966" s="104">
        <f t="shared" si="368"/>
        <v>41</v>
      </c>
      <c r="GH966" s="35">
        <v>42647</v>
      </c>
      <c r="GI966" s="26">
        <v>2.126</v>
      </c>
      <c r="GJ966" s="94">
        <f t="shared" si="369"/>
        <v>4.252</v>
      </c>
      <c r="GK966" s="104"/>
      <c r="GL966" s="104"/>
      <c r="GO966" s="94"/>
    </row>
    <row r="967" spans="3:197">
      <c r="C967" s="80" t="str" cm="1">
        <f t="array" ref="C967">_xlfn.IFS(MONTH(D967)&lt;4,1,MONTH(D967)&lt;7,2,MONTH(D967)&lt;10,3,MONTH(D967)&gt;9,4)&amp;"Q"&amp;RIGHT(YEAR(D967),2)</f>
        <v>4Q19</v>
      </c>
      <c r="D967" s="81">
        <f t="shared" si="362"/>
        <v>43799</v>
      </c>
      <c r="E967" s="82">
        <f t="shared" si="359"/>
        <v>43794</v>
      </c>
      <c r="F967" s="83">
        <f t="shared" si="363"/>
        <v>0.344125</v>
      </c>
      <c r="G967" s="83">
        <f t="shared" si="363"/>
        <v>0.35125</v>
      </c>
      <c r="H967" s="81"/>
      <c r="I967" s="146">
        <v>43794</v>
      </c>
      <c r="J967" s="147">
        <v>3.35</v>
      </c>
      <c r="K967" s="147">
        <v>2.45</v>
      </c>
      <c r="L967" s="147">
        <v>2.753</v>
      </c>
      <c r="M967" s="94" cm="1">
        <f t="array" ref="M967">INDEX($BV$29:$BV$1449,MATCH($D967,$BR$29:$BR$1449,0),)</f>
        <v>2.81</v>
      </c>
      <c r="N967" s="150">
        <f t="shared" si="358"/>
        <v>-0.00145085237577081</v>
      </c>
      <c r="O967" s="150">
        <f t="shared" si="360"/>
        <v>-0.0178380306814128</v>
      </c>
      <c r="P967" s="150">
        <f t="shared" si="370"/>
        <v>-0.0330172110994028</v>
      </c>
      <c r="Q967" s="89">
        <f t="shared" si="371"/>
        <v>-0.0202846975088967</v>
      </c>
      <c r="AH967" s="90"/>
      <c r="AI967" s="85"/>
      <c r="AJ967" s="36"/>
      <c r="AK967" s="36"/>
      <c r="AL967" s="36"/>
      <c r="AM967" s="36"/>
      <c r="AN967" s="36"/>
      <c r="AO967" s="36"/>
      <c r="AP967" s="36"/>
      <c r="FV967" s="104">
        <f t="shared" si="364"/>
        <v>2014</v>
      </c>
      <c r="FW967" s="104">
        <f t="shared" si="365"/>
        <v>14</v>
      </c>
      <c r="FX967" s="35">
        <v>41732</v>
      </c>
      <c r="FY967" s="26">
        <v>1.964</v>
      </c>
      <c r="FZ967" s="94">
        <f t="shared" si="366"/>
        <v>7.856</v>
      </c>
      <c r="GA967" s="104"/>
      <c r="GB967" s="104"/>
      <c r="GE967" s="94"/>
      <c r="GF967" s="104">
        <f t="shared" si="367"/>
        <v>2016</v>
      </c>
      <c r="GG967" s="104">
        <f t="shared" si="368"/>
        <v>41</v>
      </c>
      <c r="GH967" s="35">
        <v>42648</v>
      </c>
      <c r="GI967" s="26">
        <v>2.162</v>
      </c>
      <c r="GJ967" s="94">
        <f t="shared" si="369"/>
        <v>4.324</v>
      </c>
      <c r="GK967" s="104"/>
      <c r="GL967" s="104"/>
      <c r="GO967" s="94"/>
    </row>
    <row r="968" spans="3:197">
      <c r="C968" s="80" t="str" cm="1">
        <f t="array" ref="C968">_xlfn.IFS(MONTH(D968)&lt;4,1,MONTH(D968)&lt;7,2,MONTH(D968)&lt;10,3,MONTH(D968)&gt;9,4)&amp;"Q"&amp;RIGHT(YEAR(D968),2)</f>
        <v>4Q19</v>
      </c>
      <c r="D968" s="81">
        <f t="shared" si="362"/>
        <v>43799</v>
      </c>
      <c r="E968" s="82">
        <f t="shared" si="359"/>
        <v>43795</v>
      </c>
      <c r="F968" s="83">
        <f t="shared" si="363"/>
        <v>0.3435</v>
      </c>
      <c r="G968" s="83">
        <f t="shared" si="363"/>
        <v>0.35125</v>
      </c>
      <c r="H968" s="81"/>
      <c r="I968" s="146">
        <v>43795</v>
      </c>
      <c r="J968" s="147">
        <v>3.35</v>
      </c>
      <c r="K968" s="147">
        <v>2.45</v>
      </c>
      <c r="L968" s="147">
        <v>2.748</v>
      </c>
      <c r="M968" s="94" cm="1">
        <f t="array" ref="M968">INDEX($BV$29:$BV$1449,MATCH($D968,$BR$29:$BR$1449,0),)</f>
        <v>2.81</v>
      </c>
      <c r="N968" s="150">
        <f t="shared" si="358"/>
        <v>-0.00181620050853615</v>
      </c>
      <c r="O968" s="150">
        <f t="shared" si="360"/>
        <v>-0.0161117078410311</v>
      </c>
      <c r="P968" s="150">
        <f t="shared" si="370"/>
        <v>-0.0300035298270385</v>
      </c>
      <c r="Q968" s="89">
        <f t="shared" si="371"/>
        <v>-0.0220640569395018</v>
      </c>
      <c r="AH968" s="90"/>
      <c r="AI968" s="85"/>
      <c r="AJ968" s="36"/>
      <c r="AK968" s="36"/>
      <c r="AL968" s="36"/>
      <c r="AM968" s="36"/>
      <c r="AN968" s="36"/>
      <c r="AO968" s="36"/>
      <c r="AP968" s="36"/>
      <c r="FV968" s="104">
        <f t="shared" si="364"/>
        <v>2014</v>
      </c>
      <c r="FW968" s="104">
        <f t="shared" si="365"/>
        <v>14</v>
      </c>
      <c r="FX968" s="35">
        <v>41733</v>
      </c>
      <c r="FY968" s="26">
        <v>1.963</v>
      </c>
      <c r="FZ968" s="94">
        <f t="shared" si="366"/>
        <v>7.852</v>
      </c>
      <c r="GA968" s="104"/>
      <c r="GB968" s="104"/>
      <c r="GE968" s="94"/>
      <c r="GF968" s="104">
        <f t="shared" si="367"/>
        <v>2016</v>
      </c>
      <c r="GG968" s="104">
        <f t="shared" si="368"/>
        <v>41</v>
      </c>
      <c r="GH968" s="35">
        <v>42649</v>
      </c>
      <c r="GI968" s="26">
        <v>2.179</v>
      </c>
      <c r="GJ968" s="94">
        <f t="shared" si="369"/>
        <v>4.358</v>
      </c>
      <c r="GK968" s="104"/>
      <c r="GL968" s="104"/>
      <c r="GO968" s="94"/>
    </row>
    <row r="969" spans="3:197">
      <c r="C969" s="80" t="str" cm="1">
        <f t="array" ref="C969">_xlfn.IFS(MONTH(D969)&lt;4,1,MONTH(D969)&lt;7,2,MONTH(D969)&lt;10,3,MONTH(D969)&gt;9,4)&amp;"Q"&amp;RIGHT(YEAR(D969),2)</f>
        <v>4Q19</v>
      </c>
      <c r="D969" s="81">
        <f t="shared" si="362"/>
        <v>43799</v>
      </c>
      <c r="E969" s="82">
        <f t="shared" si="359"/>
        <v>43796</v>
      </c>
      <c r="F969" s="83">
        <f t="shared" si="363"/>
        <v>0.343375</v>
      </c>
      <c r="G969" s="83">
        <f t="shared" si="363"/>
        <v>0.35125</v>
      </c>
      <c r="H969" s="81"/>
      <c r="I969" s="146">
        <v>43796</v>
      </c>
      <c r="J969" s="147">
        <v>3.35</v>
      </c>
      <c r="K969" s="147">
        <v>2.45</v>
      </c>
      <c r="L969" s="147">
        <v>2.747</v>
      </c>
      <c r="M969" s="94" cm="1">
        <f t="array" ref="M969">INDEX($BV$29:$BV$1449,MATCH($D969,$BR$29:$BR$1449,0),)</f>
        <v>2.81</v>
      </c>
      <c r="N969" s="150">
        <f t="shared" ref="N969:N1032" si="372">L969/L968-1</f>
        <v>-0.00036390101892303</v>
      </c>
      <c r="O969" s="150">
        <f t="shared" ref="O969:O1020" si="373">L969/L964-1</f>
        <v>-0.0164697457930542</v>
      </c>
      <c r="P969" s="150">
        <f t="shared" si="370"/>
        <v>-0.0293286219081272</v>
      </c>
      <c r="Q969" s="89">
        <f t="shared" ref="Q969:Q1032" si="374">L969/M969-1</f>
        <v>-0.0224199288256228</v>
      </c>
      <c r="AH969" s="90"/>
      <c r="AI969" s="85"/>
      <c r="AJ969" s="36"/>
      <c r="AK969" s="36"/>
      <c r="AL969" s="36"/>
      <c r="AM969" s="36"/>
      <c r="AN969" s="36"/>
      <c r="AO969" s="36"/>
      <c r="AP969" s="36"/>
      <c r="FV969" s="104">
        <f t="shared" si="364"/>
        <v>2014</v>
      </c>
      <c r="FW969" s="104">
        <f t="shared" si="365"/>
        <v>15</v>
      </c>
      <c r="FX969" s="35">
        <v>41736</v>
      </c>
      <c r="FY969" s="26">
        <v>1.965</v>
      </c>
      <c r="FZ969" s="94">
        <f t="shared" si="366"/>
        <v>7.86</v>
      </c>
      <c r="GA969" s="104"/>
      <c r="GB969" s="104"/>
      <c r="GE969" s="94"/>
      <c r="GF969" s="104">
        <f t="shared" si="367"/>
        <v>2016</v>
      </c>
      <c r="GG969" s="104">
        <f t="shared" si="368"/>
        <v>41</v>
      </c>
      <c r="GH969" s="35">
        <v>42650</v>
      </c>
      <c r="GI969" s="26">
        <v>2.227</v>
      </c>
      <c r="GJ969" s="94">
        <f t="shared" si="369"/>
        <v>4.454</v>
      </c>
      <c r="GK969" s="104"/>
      <c r="GL969" s="104"/>
      <c r="GO969" s="94"/>
    </row>
    <row r="970" spans="3:197">
      <c r="C970" s="80" t="str" cm="1">
        <f t="array" ref="C970">_xlfn.IFS(MONTH(D970)&lt;4,1,MONTH(D970)&lt;7,2,MONTH(D970)&lt;10,3,MONTH(D970)&gt;9,4)&amp;"Q"&amp;RIGHT(YEAR(D970),2)</f>
        <v>4Q19</v>
      </c>
      <c r="D970" s="81">
        <f t="shared" si="362"/>
        <v>43799</v>
      </c>
      <c r="E970" s="82">
        <f t="shared" si="359"/>
        <v>43797</v>
      </c>
      <c r="F970" s="83">
        <f t="shared" si="363"/>
        <v>0.343375</v>
      </c>
      <c r="G970" s="83">
        <f t="shared" si="363"/>
        <v>0.35125</v>
      </c>
      <c r="H970" s="81"/>
      <c r="I970" s="146">
        <v>43797</v>
      </c>
      <c r="J970" s="147">
        <v>3.39</v>
      </c>
      <c r="K970" s="147">
        <v>2.45</v>
      </c>
      <c r="L970" s="147">
        <v>2.747</v>
      </c>
      <c r="M970" s="94" cm="1">
        <f t="array" ref="M970">INDEX($BV$29:$BV$1449,MATCH($D970,$BR$29:$BR$1449,0),)</f>
        <v>2.81</v>
      </c>
      <c r="N970" s="150">
        <f t="shared" si="372"/>
        <v>0</v>
      </c>
      <c r="O970" s="150">
        <f t="shared" si="373"/>
        <v>-0.00937612693833401</v>
      </c>
      <c r="P970" s="150">
        <f t="shared" si="370"/>
        <v>-0.0293286219081272</v>
      </c>
      <c r="Q970" s="89">
        <f t="shared" si="374"/>
        <v>-0.0224199288256228</v>
      </c>
      <c r="AH970" s="90"/>
      <c r="AI970" s="85"/>
      <c r="AJ970" s="36"/>
      <c r="AK970" s="36"/>
      <c r="AL970" s="36"/>
      <c r="AM970" s="36"/>
      <c r="AN970" s="36"/>
      <c r="AO970" s="36"/>
      <c r="AP970" s="36"/>
      <c r="FV970" s="104">
        <f t="shared" si="364"/>
        <v>2014</v>
      </c>
      <c r="FW970" s="104">
        <f t="shared" si="365"/>
        <v>15</v>
      </c>
      <c r="FX970" s="35">
        <v>41737</v>
      </c>
      <c r="FY970" s="26">
        <v>1.969</v>
      </c>
      <c r="FZ970" s="94">
        <f t="shared" si="366"/>
        <v>7.876</v>
      </c>
      <c r="GA970" s="104"/>
      <c r="GB970" s="104"/>
      <c r="GE970" s="94"/>
      <c r="GF970" s="104">
        <f t="shared" si="367"/>
        <v>2016</v>
      </c>
      <c r="GG970" s="104">
        <f t="shared" si="368"/>
        <v>42</v>
      </c>
      <c r="GH970" s="35">
        <v>42653</v>
      </c>
      <c r="GI970" s="26">
        <v>2.245</v>
      </c>
      <c r="GJ970" s="94">
        <f t="shared" si="369"/>
        <v>4.49</v>
      </c>
      <c r="GK970" s="104"/>
      <c r="GL970" s="104"/>
      <c r="GO970" s="94"/>
    </row>
    <row r="971" spans="3:197">
      <c r="C971" s="80" t="str" cm="1">
        <f t="array" ref="C971">_xlfn.IFS(MONTH(D971)&lt;4,1,MONTH(D971)&lt;7,2,MONTH(D971)&lt;10,3,MONTH(D971)&gt;9,4)&amp;"Q"&amp;RIGHT(YEAR(D971),2)</f>
        <v>4Q19</v>
      </c>
      <c r="D971" s="81">
        <f t="shared" si="362"/>
        <v>43799</v>
      </c>
      <c r="E971" s="82">
        <f t="shared" si="359"/>
        <v>43798</v>
      </c>
      <c r="F971" s="83">
        <f t="shared" si="363"/>
        <v>0.343375</v>
      </c>
      <c r="G971" s="83">
        <f t="shared" si="363"/>
        <v>0.35125</v>
      </c>
      <c r="H971" s="81"/>
      <c r="I971" s="146">
        <v>43798</v>
      </c>
      <c r="J971" s="147">
        <v>3.39</v>
      </c>
      <c r="K971" s="147">
        <v>2.45</v>
      </c>
      <c r="L971" s="147">
        <v>2.747</v>
      </c>
      <c r="M971" s="94" cm="1">
        <f t="array" ref="M971">INDEX($BV$29:$BV$1449,MATCH($D971,$BR$29:$BR$1449,0),)</f>
        <v>2.81</v>
      </c>
      <c r="N971" s="150">
        <f t="shared" si="372"/>
        <v>0</v>
      </c>
      <c r="O971" s="150">
        <f t="shared" si="373"/>
        <v>-0.00362713093942701</v>
      </c>
      <c r="P971" s="150">
        <f t="shared" si="370"/>
        <v>-0.0248491302804403</v>
      </c>
      <c r="Q971" s="89">
        <f t="shared" si="374"/>
        <v>-0.0224199288256228</v>
      </c>
      <c r="AH971" s="90"/>
      <c r="AI971" s="85"/>
      <c r="AJ971" s="36"/>
      <c r="AK971" s="36"/>
      <c r="AL971" s="36"/>
      <c r="AM971" s="36"/>
      <c r="AN971" s="36"/>
      <c r="AO971" s="36"/>
      <c r="AP971" s="36"/>
      <c r="FV971" s="104">
        <f t="shared" si="364"/>
        <v>2014</v>
      </c>
      <c r="FW971" s="104">
        <f t="shared" si="365"/>
        <v>15</v>
      </c>
      <c r="FX971" s="35">
        <v>41738</v>
      </c>
      <c r="FY971" s="26">
        <v>1.966</v>
      </c>
      <c r="FZ971" s="94">
        <f t="shared" si="366"/>
        <v>7.864</v>
      </c>
      <c r="GA971" s="104"/>
      <c r="GB971" s="104"/>
      <c r="GE971" s="94"/>
      <c r="GF971" s="104">
        <f t="shared" si="367"/>
        <v>2016</v>
      </c>
      <c r="GG971" s="104">
        <f t="shared" si="368"/>
        <v>42</v>
      </c>
      <c r="GH971" s="35">
        <v>42654</v>
      </c>
      <c r="GI971" s="26">
        <v>2.288</v>
      </c>
      <c r="GJ971" s="94">
        <f t="shared" si="369"/>
        <v>4.576</v>
      </c>
      <c r="GK971" s="104"/>
      <c r="GL971" s="104"/>
      <c r="GO971" s="94"/>
    </row>
    <row r="972" spans="3:197">
      <c r="C972" s="80" t="str" cm="1">
        <f t="array" ref="C972">_xlfn.IFS(MONTH(D972)&lt;4,1,MONTH(D972)&lt;7,2,MONTH(D972)&lt;10,3,MONTH(D972)&gt;9,4)&amp;"Q"&amp;RIGHT(YEAR(D972),2)</f>
        <v>4Q19</v>
      </c>
      <c r="D972" s="81">
        <f t="shared" si="362"/>
        <v>43830</v>
      </c>
      <c r="E972" s="82">
        <f t="shared" si="359"/>
        <v>43801</v>
      </c>
      <c r="F972" s="83">
        <f t="shared" si="363"/>
        <v>0.343375</v>
      </c>
      <c r="G972" s="83">
        <f t="shared" si="363"/>
        <v>0.35125</v>
      </c>
      <c r="H972" s="81"/>
      <c r="I972" s="146">
        <v>43801</v>
      </c>
      <c r="J972" s="147">
        <v>3.39</v>
      </c>
      <c r="K972" s="147">
        <v>2.43</v>
      </c>
      <c r="L972" s="147">
        <v>2.747</v>
      </c>
      <c r="M972" s="94" cm="1">
        <f t="array" ref="M972">INDEX($BV$29:$BV$1449,MATCH($D972,$BR$29:$BR$1449,0),)</f>
        <v>2.81</v>
      </c>
      <c r="N972" s="150">
        <f t="shared" si="372"/>
        <v>0</v>
      </c>
      <c r="O972" s="150">
        <f t="shared" si="373"/>
        <v>-0.00217944061024344</v>
      </c>
      <c r="P972" s="150">
        <f t="shared" si="370"/>
        <v>-0.0199785943631823</v>
      </c>
      <c r="Q972" s="89">
        <f t="shared" si="374"/>
        <v>-0.0224199288256228</v>
      </c>
      <c r="AH972" s="90"/>
      <c r="AI972" s="85"/>
      <c r="AJ972" s="36"/>
      <c r="AK972" s="36"/>
      <c r="AL972" s="36"/>
      <c r="AM972" s="36"/>
      <c r="AN972" s="36"/>
      <c r="AO972" s="36"/>
      <c r="AP972" s="36"/>
      <c r="FV972" s="104">
        <f t="shared" si="364"/>
        <v>2014</v>
      </c>
      <c r="FW972" s="104">
        <f t="shared" si="365"/>
        <v>15</v>
      </c>
      <c r="FX972" s="35">
        <v>41739</v>
      </c>
      <c r="FY972" s="26">
        <v>1.965</v>
      </c>
      <c r="FZ972" s="94">
        <f t="shared" si="366"/>
        <v>7.86</v>
      </c>
      <c r="GA972" s="104"/>
      <c r="GB972" s="104"/>
      <c r="GE972" s="94"/>
      <c r="GF972" s="104">
        <f t="shared" si="367"/>
        <v>2016</v>
      </c>
      <c r="GG972" s="104">
        <f t="shared" si="368"/>
        <v>42</v>
      </c>
      <c r="GH972" s="35">
        <v>42655</v>
      </c>
      <c r="GI972" s="26">
        <v>2.311</v>
      </c>
      <c r="GJ972" s="94">
        <f t="shared" si="369"/>
        <v>4.622</v>
      </c>
      <c r="GK972" s="104"/>
      <c r="GL972" s="104"/>
      <c r="GO972" s="94"/>
    </row>
    <row r="973" spans="3:197">
      <c r="C973" s="80" t="str" cm="1">
        <f t="array" ref="C973">_xlfn.IFS(MONTH(D973)&lt;4,1,MONTH(D973)&lt;7,2,MONTH(D973)&lt;10,3,MONTH(D973)&gt;9,4)&amp;"Q"&amp;RIGHT(YEAR(D973),2)</f>
        <v>4Q19</v>
      </c>
      <c r="D973" s="81">
        <f t="shared" si="362"/>
        <v>43830</v>
      </c>
      <c r="E973" s="82">
        <f t="shared" si="359"/>
        <v>43802</v>
      </c>
      <c r="F973" s="83">
        <f t="shared" si="363"/>
        <v>0.343125</v>
      </c>
      <c r="G973" s="83">
        <f t="shared" si="363"/>
        <v>0.35125</v>
      </c>
      <c r="H973" s="81"/>
      <c r="I973" s="146">
        <v>43802</v>
      </c>
      <c r="J973" s="147">
        <v>3.4</v>
      </c>
      <c r="K973" s="147">
        <v>2.42</v>
      </c>
      <c r="L973" s="147">
        <v>2.745</v>
      </c>
      <c r="M973" s="94" cm="1">
        <f t="array" ref="M973">INDEX($BV$29:$BV$1449,MATCH($D973,$BR$29:$BR$1449,0),)</f>
        <v>2.81</v>
      </c>
      <c r="N973" s="150">
        <f t="shared" si="372"/>
        <v>-0.000728066982162323</v>
      </c>
      <c r="O973" s="150">
        <f t="shared" si="373"/>
        <v>-0.00109170305676864</v>
      </c>
      <c r="P973" s="150">
        <f t="shared" si="370"/>
        <v>-0.0171858216970999</v>
      </c>
      <c r="Q973" s="89">
        <f t="shared" si="374"/>
        <v>-0.0231316725978647</v>
      </c>
      <c r="AH973" s="90"/>
      <c r="AI973" s="85"/>
      <c r="AJ973" s="36"/>
      <c r="AK973" s="36"/>
      <c r="AL973" s="36"/>
      <c r="AM973" s="36"/>
      <c r="AN973" s="36"/>
      <c r="AO973" s="36"/>
      <c r="AP973" s="36"/>
      <c r="FV973" s="104">
        <f t="shared" si="364"/>
        <v>2014</v>
      </c>
      <c r="FW973" s="104">
        <f t="shared" si="365"/>
        <v>15</v>
      </c>
      <c r="FX973" s="35">
        <v>41740</v>
      </c>
      <c r="FY973" s="26">
        <v>1.972</v>
      </c>
      <c r="FZ973" s="94">
        <f t="shared" si="366"/>
        <v>7.888</v>
      </c>
      <c r="GA973" s="104"/>
      <c r="GB973" s="104"/>
      <c r="GE973" s="94"/>
      <c r="GF973" s="104">
        <f t="shared" si="367"/>
        <v>2016</v>
      </c>
      <c r="GG973" s="104">
        <f t="shared" si="368"/>
        <v>42</v>
      </c>
      <c r="GH973" s="35">
        <v>42656</v>
      </c>
      <c r="GI973" s="26">
        <v>2.318</v>
      </c>
      <c r="GJ973" s="94">
        <f t="shared" si="369"/>
        <v>4.636</v>
      </c>
      <c r="GK973" s="104"/>
      <c r="GL973" s="104"/>
      <c r="GO973" s="94"/>
    </row>
    <row r="974" spans="3:197">
      <c r="C974" s="80" t="str" cm="1">
        <f t="array" ref="C974">_xlfn.IFS(MONTH(D974)&lt;4,1,MONTH(D974)&lt;7,2,MONTH(D974)&lt;10,3,MONTH(D974)&gt;9,4)&amp;"Q"&amp;RIGHT(YEAR(D974),2)</f>
        <v>4Q19</v>
      </c>
      <c r="D974" s="81">
        <f t="shared" si="362"/>
        <v>43830</v>
      </c>
      <c r="E974" s="82">
        <f t="shared" si="359"/>
        <v>43803</v>
      </c>
      <c r="F974" s="83">
        <f t="shared" si="363"/>
        <v>0.3415</v>
      </c>
      <c r="G974" s="83">
        <f t="shared" si="363"/>
        <v>0.35125</v>
      </c>
      <c r="H974" s="81"/>
      <c r="I974" s="146">
        <v>43803</v>
      </c>
      <c r="J974" s="147">
        <v>3.4</v>
      </c>
      <c r="K974" s="147">
        <v>2.4</v>
      </c>
      <c r="L974" s="147">
        <v>2.732</v>
      </c>
      <c r="M974" s="94" cm="1">
        <f t="array" ref="M974">INDEX($BV$29:$BV$1449,MATCH($D974,$BR$29:$BR$1449,0),)</f>
        <v>2.81</v>
      </c>
      <c r="N974" s="150">
        <f t="shared" si="372"/>
        <v>-0.00473588342440801</v>
      </c>
      <c r="O974" s="150">
        <f t="shared" si="373"/>
        <v>-0.00546050236621753</v>
      </c>
      <c r="P974" s="150">
        <f t="shared" si="370"/>
        <v>-0.0218403150733978</v>
      </c>
      <c r="Q974" s="89">
        <f t="shared" si="374"/>
        <v>-0.0277580071174377</v>
      </c>
      <c r="AH974" s="90"/>
      <c r="AI974" s="85"/>
      <c r="AJ974" s="36"/>
      <c r="AK974" s="36"/>
      <c r="AL974" s="36"/>
      <c r="AM974" s="36"/>
      <c r="AN974" s="36"/>
      <c r="AO974" s="36"/>
      <c r="AP974" s="36"/>
      <c r="FV974" s="104">
        <f t="shared" si="364"/>
        <v>2014</v>
      </c>
      <c r="FW974" s="104">
        <f t="shared" si="365"/>
        <v>16</v>
      </c>
      <c r="FX974" s="35">
        <v>41743</v>
      </c>
      <c r="FY974" s="26">
        <v>1.973</v>
      </c>
      <c r="FZ974" s="94">
        <f t="shared" si="366"/>
        <v>7.892</v>
      </c>
      <c r="GA974" s="104"/>
      <c r="GB974" s="104"/>
      <c r="GE974" s="94"/>
      <c r="GF974" s="104">
        <f t="shared" si="367"/>
        <v>2016</v>
      </c>
      <c r="GG974" s="104">
        <f t="shared" si="368"/>
        <v>42</v>
      </c>
      <c r="GH974" s="35">
        <v>42657</v>
      </c>
      <c r="GI974" s="26">
        <v>2.341</v>
      </c>
      <c r="GJ974" s="94">
        <f t="shared" si="369"/>
        <v>4.682</v>
      </c>
      <c r="GK974" s="104"/>
      <c r="GL974" s="104"/>
      <c r="GO974" s="94"/>
    </row>
    <row r="975" spans="3:197">
      <c r="C975" s="80" t="str" cm="1">
        <f t="array" ref="C975">_xlfn.IFS(MONTH(D975)&lt;4,1,MONTH(D975)&lt;7,2,MONTH(D975)&lt;10,3,MONTH(D975)&gt;9,4)&amp;"Q"&amp;RIGHT(YEAR(D975),2)</f>
        <v>4Q19</v>
      </c>
      <c r="D975" s="81">
        <f t="shared" si="362"/>
        <v>43830</v>
      </c>
      <c r="E975" s="82">
        <f t="shared" si="359"/>
        <v>43804</v>
      </c>
      <c r="F975" s="83">
        <f t="shared" si="363"/>
        <v>0.3415</v>
      </c>
      <c r="G975" s="83">
        <f t="shared" si="363"/>
        <v>0.35125</v>
      </c>
      <c r="H975" s="81"/>
      <c r="I975" s="146">
        <v>43804</v>
      </c>
      <c r="J975" s="147">
        <v>3.4</v>
      </c>
      <c r="K975" s="147">
        <v>2.4</v>
      </c>
      <c r="L975" s="147">
        <v>2.732</v>
      </c>
      <c r="M975" s="94" cm="1">
        <f t="array" ref="M975">INDEX($BV$29:$BV$1449,MATCH($D975,$BR$29:$BR$1449,0),)</f>
        <v>2.81</v>
      </c>
      <c r="N975" s="150">
        <f t="shared" si="372"/>
        <v>0</v>
      </c>
      <c r="O975" s="150">
        <f t="shared" si="373"/>
        <v>-0.00546050236621753</v>
      </c>
      <c r="P975" s="150">
        <f t="shared" si="370"/>
        <v>-0.0147854309412189</v>
      </c>
      <c r="Q975" s="89">
        <f t="shared" si="374"/>
        <v>-0.0277580071174377</v>
      </c>
      <c r="AH975" s="90"/>
      <c r="AI975" s="85"/>
      <c r="AJ975" s="36"/>
      <c r="AK975" s="36"/>
      <c r="AL975" s="36"/>
      <c r="AM975" s="36"/>
      <c r="AN975" s="36"/>
      <c r="AO975" s="36"/>
      <c r="AP975" s="36"/>
      <c r="GE975" s="94"/>
      <c r="GF975" s="104">
        <f t="shared" si="367"/>
        <v>2016</v>
      </c>
      <c r="GG975" s="104">
        <f t="shared" si="368"/>
        <v>43</v>
      </c>
      <c r="GH975" s="35">
        <v>42660</v>
      </c>
      <c r="GI975" s="26">
        <v>2.373</v>
      </c>
      <c r="GJ975" s="94">
        <f t="shared" si="369"/>
        <v>4.746</v>
      </c>
      <c r="GK975" s="104"/>
      <c r="GL975" s="104"/>
      <c r="GO975" s="94"/>
    </row>
    <row r="976" spans="3:197">
      <c r="C976" s="80" t="str" cm="1">
        <f t="array" ref="C976">_xlfn.IFS(MONTH(D976)&lt;4,1,MONTH(D976)&lt;7,2,MONTH(D976)&lt;10,3,MONTH(D976)&gt;9,4)&amp;"Q"&amp;RIGHT(YEAR(D976),2)</f>
        <v>4Q19</v>
      </c>
      <c r="D976" s="81">
        <f t="shared" si="362"/>
        <v>43830</v>
      </c>
      <c r="E976" s="82">
        <f t="shared" si="359"/>
        <v>43805</v>
      </c>
      <c r="F976" s="83">
        <f t="shared" si="363"/>
        <v>0.3425</v>
      </c>
      <c r="G976" s="83">
        <f t="shared" si="363"/>
        <v>0.35125</v>
      </c>
      <c r="H976" s="81"/>
      <c r="I976" s="146">
        <v>43805</v>
      </c>
      <c r="J976" s="147">
        <v>3.4</v>
      </c>
      <c r="K976" s="147">
        <v>2.45</v>
      </c>
      <c r="L976" s="147">
        <v>2.74</v>
      </c>
      <c r="M976" s="94" cm="1">
        <f t="array" ref="M976">INDEX($BV$29:$BV$1449,MATCH($D976,$BR$29:$BR$1449,0),)</f>
        <v>2.81</v>
      </c>
      <c r="N976" s="150">
        <f t="shared" si="372"/>
        <v>0.00292825768667648</v>
      </c>
      <c r="O976" s="150">
        <f t="shared" si="373"/>
        <v>-0.00254823443756813</v>
      </c>
      <c r="P976" s="150">
        <f t="shared" si="370"/>
        <v>-0.00616612259702576</v>
      </c>
      <c r="Q976" s="89">
        <f t="shared" si="374"/>
        <v>-0.0249110320284697</v>
      </c>
      <c r="AH976" s="90"/>
      <c r="AI976" s="85"/>
      <c r="AJ976" s="36"/>
      <c r="AK976" s="36"/>
      <c r="AL976" s="36"/>
      <c r="AM976" s="36"/>
      <c r="AN976" s="36"/>
      <c r="AO976" s="36"/>
      <c r="AP976" s="36"/>
      <c r="GE976" s="94"/>
      <c r="GF976" s="104">
        <f t="shared" si="367"/>
        <v>2016</v>
      </c>
      <c r="GG976" s="104">
        <f t="shared" si="368"/>
        <v>43</v>
      </c>
      <c r="GH976" s="35">
        <v>42661</v>
      </c>
      <c r="GI976" s="26">
        <v>2.381</v>
      </c>
      <c r="GJ976" s="94">
        <f t="shared" si="369"/>
        <v>4.762</v>
      </c>
      <c r="GK976" s="104"/>
      <c r="GL976" s="104"/>
      <c r="GO976" s="94"/>
    </row>
    <row r="977" spans="3:197">
      <c r="C977" s="80" t="str" cm="1">
        <f t="array" ref="C977">_xlfn.IFS(MONTH(D977)&lt;4,1,MONTH(D977)&lt;7,2,MONTH(D977)&lt;10,3,MONTH(D977)&gt;9,4)&amp;"Q"&amp;RIGHT(YEAR(D977),2)</f>
        <v>4Q19</v>
      </c>
      <c r="D977" s="81">
        <f t="shared" si="362"/>
        <v>43830</v>
      </c>
      <c r="E977" s="82">
        <f t="shared" si="359"/>
        <v>43808</v>
      </c>
      <c r="F977" s="83">
        <f t="shared" si="363"/>
        <v>0.34225</v>
      </c>
      <c r="G977" s="83">
        <f t="shared" si="363"/>
        <v>0.35125</v>
      </c>
      <c r="H977" s="81"/>
      <c r="I977" s="146">
        <v>43808</v>
      </c>
      <c r="J977" s="147">
        <v>3.4</v>
      </c>
      <c r="K977" s="147">
        <v>2.45</v>
      </c>
      <c r="L977" s="147">
        <v>2.738</v>
      </c>
      <c r="M977" s="94" cm="1">
        <f t="array" ref="M977">INDEX($BV$29:$BV$1449,MATCH($D977,$BR$29:$BR$1449,0),)</f>
        <v>2.81</v>
      </c>
      <c r="N977" s="150">
        <f t="shared" si="372"/>
        <v>-0.000729927007299347</v>
      </c>
      <c r="O977" s="150">
        <f t="shared" si="373"/>
        <v>-0.00327630141973057</v>
      </c>
      <c r="P977" s="150">
        <f t="shared" si="370"/>
        <v>-0.00544860152560844</v>
      </c>
      <c r="Q977" s="89">
        <f t="shared" si="374"/>
        <v>-0.0256227758007118</v>
      </c>
      <c r="AH977" s="90"/>
      <c r="AI977" s="85"/>
      <c r="AJ977" s="36"/>
      <c r="AK977" s="36"/>
      <c r="AL977" s="36"/>
      <c r="AM977" s="36"/>
      <c r="AN977" s="36"/>
      <c r="AO977" s="36"/>
      <c r="AP977" s="36"/>
      <c r="GE977" s="94"/>
      <c r="GF977" s="104">
        <f t="shared" si="367"/>
        <v>2016</v>
      </c>
      <c r="GG977" s="104">
        <f t="shared" si="368"/>
        <v>43</v>
      </c>
      <c r="GH977" s="35">
        <v>42662</v>
      </c>
      <c r="GI977" s="26">
        <v>2.422</v>
      </c>
      <c r="GJ977" s="94">
        <f t="shared" si="369"/>
        <v>4.844</v>
      </c>
      <c r="GK977" s="104"/>
      <c r="GL977" s="104"/>
      <c r="GO977" s="94"/>
    </row>
    <row r="978" spans="3:197">
      <c r="C978" s="80" t="str" cm="1">
        <f t="array" ref="C978">_xlfn.IFS(MONTH(D978)&lt;4,1,MONTH(D978)&lt;7,2,MONTH(D978)&lt;10,3,MONTH(D978)&gt;9,4)&amp;"Q"&amp;RIGHT(YEAR(D978),2)</f>
        <v>4Q19</v>
      </c>
      <c r="D978" s="81">
        <f t="shared" si="362"/>
        <v>43830</v>
      </c>
      <c r="E978" s="82">
        <f t="shared" si="359"/>
        <v>43809</v>
      </c>
      <c r="F978" s="83">
        <f t="shared" si="363"/>
        <v>0.344625</v>
      </c>
      <c r="G978" s="83">
        <f t="shared" si="363"/>
        <v>0.35125</v>
      </c>
      <c r="H978" s="81"/>
      <c r="I978" s="146">
        <v>43809</v>
      </c>
      <c r="J978" s="147">
        <v>3.45</v>
      </c>
      <c r="K978" s="147">
        <v>2.46</v>
      </c>
      <c r="L978" s="147">
        <v>2.757</v>
      </c>
      <c r="M978" s="94" cm="1">
        <f t="array" ref="M978">INDEX($BV$29:$BV$1449,MATCH($D978,$BR$29:$BR$1449,0),)</f>
        <v>2.81</v>
      </c>
      <c r="N978" s="150">
        <f t="shared" si="372"/>
        <v>0.00693937180423676</v>
      </c>
      <c r="O978" s="150">
        <f t="shared" si="373"/>
        <v>0.00437158469945365</v>
      </c>
      <c r="P978" s="150">
        <f t="shared" si="370"/>
        <v>0.0032751091703056</v>
      </c>
      <c r="Q978" s="89">
        <f t="shared" si="374"/>
        <v>-0.0188612099644128</v>
      </c>
      <c r="AH978" s="90"/>
      <c r="AI978" s="85"/>
      <c r="AJ978" s="36"/>
      <c r="AK978" s="36"/>
      <c r="AL978" s="36"/>
      <c r="AM978" s="36"/>
      <c r="AN978" s="36"/>
      <c r="AO978" s="36"/>
      <c r="AP978" s="36"/>
      <c r="GE978" s="94"/>
      <c r="GF978" s="104">
        <f t="shared" si="367"/>
        <v>2016</v>
      </c>
      <c r="GG978" s="104">
        <f t="shared" si="368"/>
        <v>43</v>
      </c>
      <c r="GH978" s="35">
        <v>42663</v>
      </c>
      <c r="GI978" s="26">
        <v>2.464</v>
      </c>
      <c r="GJ978" s="94">
        <f t="shared" si="369"/>
        <v>4.928</v>
      </c>
      <c r="GK978" s="104"/>
      <c r="GL978" s="104"/>
      <c r="GO978" s="94"/>
    </row>
    <row r="979" spans="3:197">
      <c r="C979" s="80" t="str" cm="1">
        <f t="array" ref="C979">_xlfn.IFS(MONTH(D979)&lt;4,1,MONTH(D979)&lt;7,2,MONTH(D979)&lt;10,3,MONTH(D979)&gt;9,4)&amp;"Q"&amp;RIGHT(YEAR(D979),2)</f>
        <v>4Q19</v>
      </c>
      <c r="D979" s="81">
        <f t="shared" si="362"/>
        <v>43830</v>
      </c>
      <c r="E979" s="82">
        <f t="shared" si="359"/>
        <v>43810</v>
      </c>
      <c r="F979" s="83">
        <f t="shared" ref="F979:G994" si="375">+L979/8</f>
        <v>0.347875</v>
      </c>
      <c r="G979" s="83">
        <f t="shared" si="375"/>
        <v>0.35125</v>
      </c>
      <c r="H979" s="81"/>
      <c r="I979" s="146">
        <v>43810</v>
      </c>
      <c r="J979" s="147">
        <v>3.45</v>
      </c>
      <c r="K979" s="147">
        <v>2.5</v>
      </c>
      <c r="L979" s="147">
        <v>2.783</v>
      </c>
      <c r="M979" s="94" cm="1">
        <f t="array" ref="M979">INDEX($BV$29:$BV$1449,MATCH($D979,$BR$29:$BR$1449,0),)</f>
        <v>2.81</v>
      </c>
      <c r="N979" s="150">
        <f t="shared" si="372"/>
        <v>0.0094305404425099</v>
      </c>
      <c r="O979" s="150">
        <f t="shared" si="373"/>
        <v>0.0186676427525621</v>
      </c>
      <c r="P979" s="150">
        <f t="shared" si="370"/>
        <v>0.0131052056789225</v>
      </c>
      <c r="Q979" s="89">
        <f t="shared" si="374"/>
        <v>-0.00960854092526697</v>
      </c>
      <c r="AH979" s="90"/>
      <c r="AI979" s="85"/>
      <c r="AJ979" s="36"/>
      <c r="AK979" s="36"/>
      <c r="AL979" s="36"/>
      <c r="AM979" s="36"/>
      <c r="AN979" s="36"/>
      <c r="AO979" s="36"/>
      <c r="AP979" s="36"/>
      <c r="GE979" s="94"/>
      <c r="GF979" s="104">
        <f t="shared" si="367"/>
        <v>2016</v>
      </c>
      <c r="GG979" s="104">
        <f t="shared" si="368"/>
        <v>43</v>
      </c>
      <c r="GH979" s="35">
        <v>42664</v>
      </c>
      <c r="GI979" s="26">
        <v>2.465</v>
      </c>
      <c r="GJ979" s="94">
        <f t="shared" si="369"/>
        <v>4.93</v>
      </c>
      <c r="GK979" s="104"/>
      <c r="GL979" s="104"/>
      <c r="GO979" s="94"/>
    </row>
    <row r="980" spans="3:197">
      <c r="C980" s="80" t="str" cm="1">
        <f t="array" ref="C980">_xlfn.IFS(MONTH(D980)&lt;4,1,MONTH(D980)&lt;7,2,MONTH(D980)&lt;10,3,MONTH(D980)&gt;9,4)&amp;"Q"&amp;RIGHT(YEAR(D980),2)</f>
        <v>4Q19</v>
      </c>
      <c r="D980" s="81">
        <f t="shared" si="362"/>
        <v>43830</v>
      </c>
      <c r="E980" s="82">
        <f t="shared" si="359"/>
        <v>43811</v>
      </c>
      <c r="F980" s="83">
        <f t="shared" si="375"/>
        <v>0.357875</v>
      </c>
      <c r="G980" s="83">
        <f t="shared" si="375"/>
        <v>0.35125</v>
      </c>
      <c r="H980" s="81"/>
      <c r="I980" s="146">
        <v>43811</v>
      </c>
      <c r="J980" s="147">
        <v>3.4</v>
      </c>
      <c r="K980" s="147">
        <v>2.6</v>
      </c>
      <c r="L980" s="147">
        <v>2.863</v>
      </c>
      <c r="M980" s="94" cm="1">
        <f t="array" ref="M980">INDEX($BV$29:$BV$1449,MATCH($D980,$BR$29:$BR$1449,0),)</f>
        <v>2.81</v>
      </c>
      <c r="N980" s="150">
        <f t="shared" si="372"/>
        <v>0.0287459575997127</v>
      </c>
      <c r="O980" s="150">
        <f t="shared" si="373"/>
        <v>0.0479502196193264</v>
      </c>
      <c r="P980" s="150">
        <f t="shared" si="370"/>
        <v>0.042227884965417</v>
      </c>
      <c r="Q980" s="89">
        <f t="shared" si="374"/>
        <v>0.0188612099644128</v>
      </c>
      <c r="AH980" s="90"/>
      <c r="AI980" s="85"/>
      <c r="AJ980" s="36"/>
      <c r="AK980" s="36"/>
      <c r="AL980" s="36"/>
      <c r="AM980" s="36"/>
      <c r="AN980" s="36"/>
      <c r="AO980" s="36"/>
      <c r="AP980" s="36"/>
      <c r="GE980" s="94"/>
      <c r="GF980" s="104">
        <f t="shared" si="367"/>
        <v>2016</v>
      </c>
      <c r="GG980" s="104">
        <f t="shared" si="368"/>
        <v>44</v>
      </c>
      <c r="GH980" s="35">
        <v>42667</v>
      </c>
      <c r="GI980" s="26">
        <v>2.472</v>
      </c>
      <c r="GJ980" s="94">
        <f t="shared" si="369"/>
        <v>4.944</v>
      </c>
      <c r="GK980" s="104"/>
      <c r="GL980" s="104"/>
      <c r="GO980" s="94"/>
    </row>
    <row r="981" spans="3:197">
      <c r="C981" s="80" t="str" cm="1">
        <f t="array" ref="C981">_xlfn.IFS(MONTH(D981)&lt;4,1,MONTH(D981)&lt;7,2,MONTH(D981)&lt;10,3,MONTH(D981)&gt;9,4)&amp;"Q"&amp;RIGHT(YEAR(D981),2)</f>
        <v>4Q19</v>
      </c>
      <c r="D981" s="81">
        <f t="shared" si="362"/>
        <v>43830</v>
      </c>
      <c r="E981" s="82">
        <f t="shared" ref="E981:E1040" si="376">I981</f>
        <v>43812</v>
      </c>
      <c r="F981" s="83">
        <f t="shared" si="375"/>
        <v>0.37125</v>
      </c>
      <c r="G981" s="83">
        <f t="shared" si="375"/>
        <v>0.35125</v>
      </c>
      <c r="H981" s="81"/>
      <c r="I981" s="146">
        <v>43812</v>
      </c>
      <c r="J981" s="147">
        <v>3.42</v>
      </c>
      <c r="K981" s="147">
        <v>2.72</v>
      </c>
      <c r="L981" s="147">
        <v>2.97</v>
      </c>
      <c r="M981" s="94" cm="1">
        <f t="array" ref="M981">INDEX($BV$29:$BV$1449,MATCH($D981,$BR$29:$BR$1449,0),)</f>
        <v>2.81</v>
      </c>
      <c r="N981" s="150">
        <f t="shared" si="372"/>
        <v>0.0373733845616486</v>
      </c>
      <c r="O981" s="150">
        <f t="shared" si="373"/>
        <v>0.083941605839416</v>
      </c>
      <c r="P981" s="150">
        <f t="shared" si="370"/>
        <v>0.0811794685111031</v>
      </c>
      <c r="Q981" s="89">
        <f t="shared" si="374"/>
        <v>0.0569395017793595</v>
      </c>
      <c r="AH981" s="90"/>
      <c r="AI981" s="85"/>
      <c r="AJ981" s="36"/>
      <c r="AK981" s="36"/>
      <c r="AL981" s="36"/>
      <c r="AM981" s="36"/>
      <c r="AN981" s="36"/>
      <c r="AO981" s="36"/>
      <c r="AP981" s="36"/>
      <c r="GE981" s="94"/>
      <c r="GF981" s="104">
        <f t="shared" si="367"/>
        <v>2016</v>
      </c>
      <c r="GG981" s="104">
        <f t="shared" si="368"/>
        <v>44</v>
      </c>
      <c r="GH981" s="35">
        <v>42668</v>
      </c>
      <c r="GI981" s="26">
        <v>2.478</v>
      </c>
      <c r="GJ981" s="94">
        <f t="shared" si="369"/>
        <v>4.956</v>
      </c>
      <c r="GK981" s="104"/>
      <c r="GL981" s="104"/>
      <c r="GO981" s="94"/>
    </row>
    <row r="982" spans="3:197">
      <c r="C982" s="80" t="str" cm="1">
        <f t="array" ref="C982">_xlfn.IFS(MONTH(D982)&lt;4,1,MONTH(D982)&lt;7,2,MONTH(D982)&lt;10,3,MONTH(D982)&gt;9,4)&amp;"Q"&amp;RIGHT(YEAR(D982),2)</f>
        <v>4Q19</v>
      </c>
      <c r="D982" s="81">
        <f t="shared" si="362"/>
        <v>43830</v>
      </c>
      <c r="E982" s="82">
        <f t="shared" si="376"/>
        <v>43815</v>
      </c>
      <c r="F982" s="83">
        <f t="shared" si="375"/>
        <v>0.377125</v>
      </c>
      <c r="G982" s="83">
        <f t="shared" si="375"/>
        <v>0.35125</v>
      </c>
      <c r="H982" s="81"/>
      <c r="I982" s="146">
        <v>43815</v>
      </c>
      <c r="J982" s="147">
        <v>3.45</v>
      </c>
      <c r="K982" s="147">
        <v>2.83</v>
      </c>
      <c r="L982" s="147">
        <v>3.017</v>
      </c>
      <c r="M982" s="94" cm="1">
        <f t="array" ref="M982">INDEX($BV$29:$BV$1449,MATCH($D982,$BR$29:$BR$1449,0),)</f>
        <v>2.81</v>
      </c>
      <c r="N982" s="150">
        <f t="shared" si="372"/>
        <v>0.0158249158249157</v>
      </c>
      <c r="O982" s="150">
        <f t="shared" si="373"/>
        <v>0.101899196493791</v>
      </c>
      <c r="P982" s="150">
        <f t="shared" si="370"/>
        <v>0.0982890425919185</v>
      </c>
      <c r="Q982" s="89">
        <f t="shared" si="374"/>
        <v>0.0736654804270462</v>
      </c>
      <c r="AH982" s="90"/>
      <c r="AI982" s="85"/>
      <c r="AJ982" s="36"/>
      <c r="AK982" s="36"/>
      <c r="AL982" s="36"/>
      <c r="AM982" s="36"/>
      <c r="AN982" s="36"/>
      <c r="AO982" s="36"/>
      <c r="AP982" s="36"/>
      <c r="AR982" s="154"/>
      <c r="AT982" s="154"/>
      <c r="AU982" s="154"/>
      <c r="AV982" s="154"/>
      <c r="AW982" s="154"/>
      <c r="AX982" s="154"/>
      <c r="AY982" s="154"/>
      <c r="AZ982" s="154"/>
      <c r="BA982" s="154"/>
      <c r="BB982" s="154"/>
      <c r="BC982" s="154"/>
      <c r="BD982" s="154"/>
      <c r="BE982" s="154"/>
      <c r="BF982" s="154"/>
      <c r="BG982" s="154"/>
      <c r="BH982" s="154"/>
      <c r="BI982" s="154"/>
      <c r="BJ982" s="154"/>
      <c r="BK982" s="154"/>
      <c r="BL982" s="154"/>
      <c r="BM982" s="154"/>
      <c r="BN982" s="154"/>
      <c r="GE982" s="94"/>
      <c r="GF982" s="104">
        <f t="shared" si="367"/>
        <v>2016</v>
      </c>
      <c r="GG982" s="104">
        <f t="shared" si="368"/>
        <v>44</v>
      </c>
      <c r="GH982" s="35">
        <v>42669</v>
      </c>
      <c r="GI982" s="26">
        <v>2.48</v>
      </c>
      <c r="GJ982" s="94">
        <f t="shared" si="369"/>
        <v>4.96</v>
      </c>
      <c r="GK982" s="104"/>
      <c r="GL982" s="104"/>
      <c r="GO982" s="94"/>
    </row>
    <row r="983" spans="3:197">
      <c r="C983" s="80" t="str" cm="1">
        <f t="array" ref="C983">_xlfn.IFS(MONTH(D983)&lt;4,1,MONTH(D983)&lt;7,2,MONTH(D983)&lt;10,3,MONTH(D983)&gt;9,4)&amp;"Q"&amp;RIGHT(YEAR(D983),2)</f>
        <v>4Q19</v>
      </c>
      <c r="D983" s="81">
        <f t="shared" si="362"/>
        <v>43830</v>
      </c>
      <c r="E983" s="82">
        <f t="shared" si="376"/>
        <v>43816</v>
      </c>
      <c r="F983" s="83">
        <f t="shared" si="375"/>
        <v>0.377125</v>
      </c>
      <c r="G983" s="83">
        <f t="shared" si="375"/>
        <v>0.35125</v>
      </c>
      <c r="H983" s="81"/>
      <c r="I983" s="146">
        <v>43816</v>
      </c>
      <c r="J983" s="147">
        <v>3.5</v>
      </c>
      <c r="K983" s="147">
        <v>2.8</v>
      </c>
      <c r="L983" s="147">
        <v>3.017</v>
      </c>
      <c r="M983" s="94" cm="1">
        <f t="array" ref="M983">INDEX($BV$29:$BV$1449,MATCH($D983,$BR$29:$BR$1449,0),)</f>
        <v>2.81</v>
      </c>
      <c r="N983" s="150">
        <f t="shared" si="372"/>
        <v>0</v>
      </c>
      <c r="O983" s="150">
        <f t="shared" si="373"/>
        <v>0.0943054044250997</v>
      </c>
      <c r="P983" s="150">
        <f t="shared" si="370"/>
        <v>0.0990892531876137</v>
      </c>
      <c r="Q983" s="89">
        <f t="shared" si="374"/>
        <v>0.0736654804270462</v>
      </c>
      <c r="AH983" s="90"/>
      <c r="AI983" s="85"/>
      <c r="AJ983" s="36"/>
      <c r="AK983" s="36"/>
      <c r="AL983" s="36"/>
      <c r="AM983" s="36"/>
      <c r="AN983" s="36"/>
      <c r="AO983" s="36"/>
      <c r="AP983" s="36"/>
      <c r="AR983" s="154"/>
      <c r="AT983" s="154"/>
      <c r="AU983" s="154"/>
      <c r="AV983" s="154"/>
      <c r="AW983" s="154"/>
      <c r="AX983" s="154"/>
      <c r="AY983" s="154"/>
      <c r="AZ983" s="154"/>
      <c r="BA983" s="154"/>
      <c r="BB983" s="154"/>
      <c r="BC983" s="154"/>
      <c r="BD983" s="154"/>
      <c r="BE983" s="154"/>
      <c r="BF983" s="154"/>
      <c r="BG983" s="154"/>
      <c r="BH983" s="154"/>
      <c r="BI983" s="154"/>
      <c r="BJ983" s="154"/>
      <c r="BK983" s="154"/>
      <c r="BL983" s="154"/>
      <c r="BM983" s="154"/>
      <c r="BN983" s="154"/>
      <c r="GE983" s="94"/>
      <c r="GF983" s="104">
        <f t="shared" si="367"/>
        <v>2016</v>
      </c>
      <c r="GG983" s="104">
        <f t="shared" si="368"/>
        <v>44</v>
      </c>
      <c r="GH983" s="35">
        <v>42670</v>
      </c>
      <c r="GI983" s="26">
        <v>2.458</v>
      </c>
      <c r="GJ983" s="94">
        <f t="shared" si="369"/>
        <v>4.916</v>
      </c>
      <c r="GK983" s="104"/>
      <c r="GL983" s="104"/>
      <c r="GO983" s="94"/>
    </row>
    <row r="984" spans="3:197">
      <c r="C984" s="80" t="str" cm="1">
        <f t="array" ref="C984">_xlfn.IFS(MONTH(D984)&lt;4,1,MONTH(D984)&lt;7,2,MONTH(D984)&lt;10,3,MONTH(D984)&gt;9,4)&amp;"Q"&amp;RIGHT(YEAR(D984),2)</f>
        <v>4Q19</v>
      </c>
      <c r="D984" s="81">
        <f t="shared" si="362"/>
        <v>43830</v>
      </c>
      <c r="E984" s="82">
        <f t="shared" si="376"/>
        <v>43817</v>
      </c>
      <c r="F984" s="83">
        <f t="shared" si="375"/>
        <v>0.377875</v>
      </c>
      <c r="G984" s="83">
        <f t="shared" si="375"/>
        <v>0.35125</v>
      </c>
      <c r="H984" s="81"/>
      <c r="I984" s="146">
        <v>43817</v>
      </c>
      <c r="J984" s="147">
        <v>3.5</v>
      </c>
      <c r="K984" s="147">
        <v>2.8</v>
      </c>
      <c r="L984" s="147">
        <v>3.023</v>
      </c>
      <c r="M984" s="94" cm="1">
        <f t="array" ref="M984">INDEX($BV$29:$BV$1449,MATCH($D984,$BR$29:$BR$1449,0),)</f>
        <v>2.81</v>
      </c>
      <c r="N984" s="150">
        <f t="shared" si="372"/>
        <v>0.00198873052701365</v>
      </c>
      <c r="O984" s="150">
        <f t="shared" si="373"/>
        <v>0.0862378727991377</v>
      </c>
      <c r="P984" s="150">
        <f t="shared" si="370"/>
        <v>0.106515373352855</v>
      </c>
      <c r="Q984" s="89">
        <f t="shared" si="374"/>
        <v>0.0758007117437722</v>
      </c>
      <c r="AH984" s="90"/>
      <c r="AI984" s="85"/>
      <c r="AJ984" s="36"/>
      <c r="AK984" s="36"/>
      <c r="AL984" s="36"/>
      <c r="AM984" s="36"/>
      <c r="AN984" s="36"/>
      <c r="AO984" s="36"/>
      <c r="AP984" s="36"/>
      <c r="AR984" s="154"/>
      <c r="AT984" s="154"/>
      <c r="AU984" s="154"/>
      <c r="AV984" s="154"/>
      <c r="AW984" s="154"/>
      <c r="AX984" s="154"/>
      <c r="AY984" s="154"/>
      <c r="AZ984" s="154"/>
      <c r="BA984" s="154"/>
      <c r="BB984" s="154"/>
      <c r="BC984" s="154"/>
      <c r="BD984" s="154"/>
      <c r="BE984" s="154"/>
      <c r="BF984" s="154"/>
      <c r="BG984" s="154"/>
      <c r="BH984" s="154"/>
      <c r="BI984" s="154"/>
      <c r="BJ984" s="154"/>
      <c r="BK984" s="154"/>
      <c r="BL984" s="154"/>
      <c r="BM984" s="154"/>
      <c r="BN984" s="154"/>
      <c r="GE984" s="94"/>
      <c r="GF984" s="104">
        <f t="shared" si="367"/>
        <v>2016</v>
      </c>
      <c r="GG984" s="104">
        <f t="shared" si="368"/>
        <v>44</v>
      </c>
      <c r="GH984" s="35">
        <v>42671</v>
      </c>
      <c r="GI984" s="26">
        <v>2.463</v>
      </c>
      <c r="GJ984" s="94">
        <f t="shared" si="369"/>
        <v>4.926</v>
      </c>
      <c r="GK984" s="104"/>
      <c r="GL984" s="104"/>
      <c r="GO984" s="94"/>
    </row>
    <row r="985" spans="3:197">
      <c r="C985" s="80" t="str" cm="1">
        <f t="array" ref="C985">_xlfn.IFS(MONTH(D985)&lt;4,1,MONTH(D985)&lt;7,2,MONTH(D985)&lt;10,3,MONTH(D985)&gt;9,4)&amp;"Q"&amp;RIGHT(YEAR(D985),2)</f>
        <v>4Q19</v>
      </c>
      <c r="D985" s="81">
        <f t="shared" si="362"/>
        <v>43830</v>
      </c>
      <c r="E985" s="82">
        <f t="shared" si="376"/>
        <v>43818</v>
      </c>
      <c r="F985" s="83">
        <f t="shared" si="375"/>
        <v>0.378375</v>
      </c>
      <c r="G985" s="83">
        <f t="shared" si="375"/>
        <v>0.35125</v>
      </c>
      <c r="H985" s="81"/>
      <c r="I985" s="146">
        <v>43818</v>
      </c>
      <c r="J985" s="147">
        <v>3.5</v>
      </c>
      <c r="K985" s="147">
        <v>2.8</v>
      </c>
      <c r="L985" s="147">
        <v>3.027</v>
      </c>
      <c r="M985" s="94" cm="1">
        <f t="array" ref="M985">INDEX($BV$29:$BV$1449,MATCH($D985,$BR$29:$BR$1449,0),)</f>
        <v>2.81</v>
      </c>
      <c r="N985" s="150">
        <f t="shared" si="372"/>
        <v>0.00132318888521343</v>
      </c>
      <c r="O985" s="150">
        <f t="shared" si="373"/>
        <v>0.0572825707300035</v>
      </c>
      <c r="P985" s="150">
        <f t="shared" si="370"/>
        <v>0.107979502196193</v>
      </c>
      <c r="Q985" s="89">
        <f t="shared" si="374"/>
        <v>0.0772241992882563</v>
      </c>
      <c r="AH985" s="90"/>
      <c r="AI985" s="85"/>
      <c r="AJ985" s="36"/>
      <c r="AK985" s="36"/>
      <c r="AL985" s="36"/>
      <c r="AM985" s="36"/>
      <c r="AN985" s="36"/>
      <c r="AO985" s="36"/>
      <c r="AP985" s="36"/>
      <c r="AR985" s="154"/>
      <c r="AT985" s="154"/>
      <c r="AU985" s="154"/>
      <c r="AV985" s="154"/>
      <c r="AW985" s="154"/>
      <c r="AX985" s="154"/>
      <c r="AY985" s="154"/>
      <c r="AZ985" s="154"/>
      <c r="BA985" s="154"/>
      <c r="BB985" s="154"/>
      <c r="BC985" s="154"/>
      <c r="BD985" s="154"/>
      <c r="BE985" s="154"/>
      <c r="BF985" s="154"/>
      <c r="BG985" s="154"/>
      <c r="BH985" s="154"/>
      <c r="BI985" s="154"/>
      <c r="BJ985" s="154"/>
      <c r="BK985" s="154"/>
      <c r="BL985" s="154"/>
      <c r="BM985" s="154"/>
      <c r="BN985" s="154"/>
      <c r="GE985" s="94"/>
      <c r="GF985" s="104">
        <f t="shared" si="367"/>
        <v>2016</v>
      </c>
      <c r="GG985" s="104">
        <f t="shared" si="368"/>
        <v>45</v>
      </c>
      <c r="GH985" s="35">
        <v>42674</v>
      </c>
      <c r="GI985" s="26">
        <v>2.467</v>
      </c>
      <c r="GJ985" s="94">
        <f t="shared" si="369"/>
        <v>4.934</v>
      </c>
      <c r="GK985" s="104"/>
      <c r="GL985" s="104"/>
      <c r="GO985" s="94"/>
    </row>
    <row r="986" spans="3:197">
      <c r="C986" s="80" t="str" cm="1">
        <f t="array" ref="C986">_xlfn.IFS(MONTH(D986)&lt;4,1,MONTH(D986)&lt;7,2,MONTH(D986)&lt;10,3,MONTH(D986)&gt;9,4)&amp;"Q"&amp;RIGHT(YEAR(D986),2)</f>
        <v>4Q19</v>
      </c>
      <c r="D986" s="81">
        <f t="shared" si="362"/>
        <v>43830</v>
      </c>
      <c r="E986" s="82">
        <f t="shared" si="376"/>
        <v>43819</v>
      </c>
      <c r="F986" s="83">
        <f t="shared" si="375"/>
        <v>0.378375</v>
      </c>
      <c r="G986" s="83">
        <f t="shared" si="375"/>
        <v>0.35125</v>
      </c>
      <c r="H986" s="81"/>
      <c r="I986" s="146">
        <v>43819</v>
      </c>
      <c r="J986" s="147">
        <v>3.5</v>
      </c>
      <c r="K986" s="147">
        <v>2.8</v>
      </c>
      <c r="L986" s="147">
        <v>3.027</v>
      </c>
      <c r="M986" s="94" cm="1">
        <f t="array" ref="M986">INDEX($BV$29:$BV$1449,MATCH($D986,$BR$29:$BR$1449,0),)</f>
        <v>2.81</v>
      </c>
      <c r="N986" s="150">
        <f t="shared" si="372"/>
        <v>0</v>
      </c>
      <c r="O986" s="150">
        <f t="shared" si="373"/>
        <v>0.0191919191919192</v>
      </c>
      <c r="P986" s="150">
        <f t="shared" si="370"/>
        <v>0.104744525547445</v>
      </c>
      <c r="Q986" s="89">
        <f t="shared" si="374"/>
        <v>0.0772241992882563</v>
      </c>
      <c r="AH986" s="90"/>
      <c r="AI986" s="85"/>
      <c r="AJ986" s="36"/>
      <c r="AK986" s="36"/>
      <c r="AL986" s="36"/>
      <c r="AM986" s="36"/>
      <c r="AN986" s="36"/>
      <c r="AO986" s="36"/>
      <c r="AP986" s="36"/>
      <c r="AR986" s="154"/>
      <c r="AT986" s="154"/>
      <c r="AU986" s="154"/>
      <c r="AV986" s="154"/>
      <c r="AW986" s="154"/>
      <c r="AX986" s="154"/>
      <c r="AY986" s="154"/>
      <c r="AZ986" s="154"/>
      <c r="BA986" s="154"/>
      <c r="BB986" s="154"/>
      <c r="BC986" s="154"/>
      <c r="BD986" s="154"/>
      <c r="BE986" s="154"/>
      <c r="BF986" s="154"/>
      <c r="BG986" s="154"/>
      <c r="BH986" s="154"/>
      <c r="BI986" s="154"/>
      <c r="BJ986" s="154"/>
      <c r="BK986" s="154"/>
      <c r="BL986" s="154"/>
      <c r="BM986" s="154"/>
      <c r="BN986" s="154"/>
      <c r="GE986" s="94"/>
      <c r="GF986" s="104">
        <f t="shared" si="367"/>
        <v>2016</v>
      </c>
      <c r="GG986" s="104">
        <f t="shared" si="368"/>
        <v>45</v>
      </c>
      <c r="GH986" s="35">
        <v>42675</v>
      </c>
      <c r="GI986" s="26">
        <v>2.469</v>
      </c>
      <c r="GJ986" s="94">
        <f t="shared" si="369"/>
        <v>4.938</v>
      </c>
      <c r="GK986" s="104"/>
      <c r="GL986" s="104"/>
      <c r="GO986" s="94"/>
    </row>
    <row r="987" spans="3:197">
      <c r="C987" s="80" t="str" cm="1">
        <f t="array" ref="C987">_xlfn.IFS(MONTH(D987)&lt;4,1,MONTH(D987)&lt;7,2,MONTH(D987)&lt;10,3,MONTH(D987)&gt;9,4)&amp;"Q"&amp;RIGHT(YEAR(D987),2)</f>
        <v>4Q19</v>
      </c>
      <c r="D987" s="81">
        <f t="shared" si="362"/>
        <v>43830</v>
      </c>
      <c r="E987" s="82">
        <f t="shared" si="376"/>
        <v>43822</v>
      </c>
      <c r="F987" s="83">
        <f t="shared" si="375"/>
        <v>0.378375</v>
      </c>
      <c r="G987" s="83">
        <f t="shared" si="375"/>
        <v>0.35125</v>
      </c>
      <c r="H987" s="81"/>
      <c r="I987" s="146">
        <v>43822</v>
      </c>
      <c r="J987" s="147">
        <v>3.5</v>
      </c>
      <c r="K987" s="147">
        <v>2.8</v>
      </c>
      <c r="L987" s="147">
        <v>3.027</v>
      </c>
      <c r="M987" s="94" cm="1">
        <f t="array" ref="M987">INDEX($BV$29:$BV$1449,MATCH($D987,$BR$29:$BR$1449,0),)</f>
        <v>2.81</v>
      </c>
      <c r="N987" s="150">
        <f t="shared" si="372"/>
        <v>0</v>
      </c>
      <c r="O987" s="150">
        <f t="shared" si="373"/>
        <v>0.00331455087835608</v>
      </c>
      <c r="P987" s="150">
        <f t="shared" si="370"/>
        <v>0.105551497443389</v>
      </c>
      <c r="Q987" s="89">
        <f t="shared" si="374"/>
        <v>0.0772241992882563</v>
      </c>
      <c r="AH987" s="90"/>
      <c r="AI987" s="85"/>
      <c r="AJ987" s="36"/>
      <c r="AK987" s="36"/>
      <c r="AL987" s="36"/>
      <c r="AM987" s="36"/>
      <c r="AN987" s="36"/>
      <c r="AO987" s="36"/>
      <c r="AP987" s="36"/>
      <c r="AR987" s="154"/>
      <c r="AT987" s="154"/>
      <c r="AU987" s="154"/>
      <c r="AV987" s="154"/>
      <c r="AW987" s="154"/>
      <c r="AX987" s="154"/>
      <c r="AY987" s="154"/>
      <c r="AZ987" s="154"/>
      <c r="BA987" s="154"/>
      <c r="BB987" s="154"/>
      <c r="BC987" s="154"/>
      <c r="BD987" s="154"/>
      <c r="BE987" s="154"/>
      <c r="BF987" s="154"/>
      <c r="BG987" s="154"/>
      <c r="BH987" s="154"/>
      <c r="BI987" s="154"/>
      <c r="BJ987" s="154"/>
      <c r="BK987" s="154"/>
      <c r="BL987" s="154"/>
      <c r="BM987" s="154"/>
      <c r="BN987" s="154"/>
      <c r="GE987" s="94"/>
      <c r="GF987" s="104">
        <f t="shared" si="367"/>
        <v>2016</v>
      </c>
      <c r="GG987" s="104">
        <f t="shared" si="368"/>
        <v>45</v>
      </c>
      <c r="GH987" s="35">
        <v>42676</v>
      </c>
      <c r="GI987" s="26">
        <v>2.481</v>
      </c>
      <c r="GJ987" s="94">
        <f t="shared" si="369"/>
        <v>4.962</v>
      </c>
      <c r="GK987" s="104"/>
      <c r="GL987" s="104"/>
      <c r="GO987" s="94"/>
    </row>
    <row r="988" spans="3:197">
      <c r="C988" s="80" t="str" cm="1">
        <f t="array" ref="C988">_xlfn.IFS(MONTH(D988)&lt;4,1,MONTH(D988)&lt;7,2,MONTH(D988)&lt;10,3,MONTH(D988)&gt;9,4)&amp;"Q"&amp;RIGHT(YEAR(D988),2)</f>
        <v>4Q19</v>
      </c>
      <c r="D988" s="81">
        <f t="shared" si="362"/>
        <v>43830</v>
      </c>
      <c r="E988" s="82">
        <f t="shared" si="376"/>
        <v>43823</v>
      </c>
      <c r="F988" s="83">
        <f t="shared" si="375"/>
        <v>0.378375</v>
      </c>
      <c r="G988" s="83">
        <f t="shared" si="375"/>
        <v>0.35125</v>
      </c>
      <c r="H988" s="81"/>
      <c r="I988" s="146">
        <v>43823</v>
      </c>
      <c r="J988" s="147">
        <v>3.5</v>
      </c>
      <c r="K988" s="147">
        <v>2.8</v>
      </c>
      <c r="L988" s="147">
        <v>3.027</v>
      </c>
      <c r="M988" s="94" cm="1">
        <f t="array" ref="M988">INDEX($BV$29:$BV$1449,MATCH($D988,$BR$29:$BR$1449,0),)</f>
        <v>2.81</v>
      </c>
      <c r="N988" s="150">
        <f t="shared" si="372"/>
        <v>0</v>
      </c>
      <c r="O988" s="150">
        <f t="shared" si="373"/>
        <v>0.00331455087835608</v>
      </c>
      <c r="P988" s="150">
        <f t="shared" si="370"/>
        <v>0.0979325353645266</v>
      </c>
      <c r="Q988" s="89">
        <f t="shared" si="374"/>
        <v>0.0772241992882563</v>
      </c>
      <c r="AH988" s="90"/>
      <c r="AI988" s="85"/>
      <c r="AJ988" s="36"/>
      <c r="AK988" s="36"/>
      <c r="AL988" s="36"/>
      <c r="AM988" s="36"/>
      <c r="AN988" s="36"/>
      <c r="AO988" s="36"/>
      <c r="AP988" s="36"/>
      <c r="AR988" s="154"/>
      <c r="AT988" s="154"/>
      <c r="AU988" s="154"/>
      <c r="AV988" s="154"/>
      <c r="AW988" s="154"/>
      <c r="AX988" s="154"/>
      <c r="AY988" s="154"/>
      <c r="AZ988" s="154"/>
      <c r="BA988" s="154"/>
      <c r="BB988" s="154"/>
      <c r="BC988" s="154"/>
      <c r="BD988" s="154"/>
      <c r="BE988" s="154"/>
      <c r="BF988" s="154"/>
      <c r="BG988" s="154"/>
      <c r="BH988" s="154"/>
      <c r="BI988" s="154"/>
      <c r="BJ988" s="154"/>
      <c r="BK988" s="154"/>
      <c r="BL988" s="154"/>
      <c r="BM988" s="154"/>
      <c r="BN988" s="154"/>
      <c r="GE988" s="94"/>
      <c r="GF988" s="104">
        <f t="shared" si="367"/>
        <v>2016</v>
      </c>
      <c r="GG988" s="104">
        <f t="shared" si="368"/>
        <v>45</v>
      </c>
      <c r="GH988" s="35">
        <v>42677</v>
      </c>
      <c r="GI988" s="26">
        <v>2.491</v>
      </c>
      <c r="GJ988" s="94">
        <f t="shared" si="369"/>
        <v>4.982</v>
      </c>
      <c r="GK988" s="104"/>
      <c r="GL988" s="104"/>
      <c r="GO988" s="94"/>
    </row>
    <row r="989" spans="3:197">
      <c r="C989" s="80" t="str" cm="1">
        <f t="array" ref="C989">_xlfn.IFS(MONTH(D989)&lt;4,1,MONTH(D989)&lt;7,2,MONTH(D989)&lt;10,3,MONTH(D989)&gt;9,4)&amp;"Q"&amp;RIGHT(YEAR(D989),2)</f>
        <v>4Q19</v>
      </c>
      <c r="D989" s="81">
        <f t="shared" si="362"/>
        <v>43830</v>
      </c>
      <c r="E989" s="82">
        <f t="shared" si="376"/>
        <v>43824</v>
      </c>
      <c r="F989" s="83">
        <f t="shared" si="375"/>
        <v>0.3785</v>
      </c>
      <c r="G989" s="83">
        <f t="shared" si="375"/>
        <v>0.35125</v>
      </c>
      <c r="H989" s="81"/>
      <c r="I989" s="146">
        <v>43824</v>
      </c>
      <c r="J989" s="147">
        <v>3.5</v>
      </c>
      <c r="K989" s="147">
        <v>2.81</v>
      </c>
      <c r="L989" s="147">
        <v>3.028</v>
      </c>
      <c r="M989" s="94" cm="1">
        <f t="array" ref="M989">INDEX($BV$29:$BV$1449,MATCH($D989,$BR$29:$BR$1449,0),)</f>
        <v>2.81</v>
      </c>
      <c r="N989" s="150">
        <f t="shared" si="372"/>
        <v>0.00033036009250087</v>
      </c>
      <c r="O989" s="150">
        <f t="shared" si="373"/>
        <v>0.00165398610651657</v>
      </c>
      <c r="P989" s="150">
        <f t="shared" si="370"/>
        <v>0.0880344951491197</v>
      </c>
      <c r="Q989" s="89">
        <f t="shared" si="374"/>
        <v>0.0775800711743773</v>
      </c>
      <c r="AH989" s="90"/>
      <c r="AI989" s="85"/>
      <c r="AJ989" s="36"/>
      <c r="AK989" s="36"/>
      <c r="AL989" s="36"/>
      <c r="AM989" s="36"/>
      <c r="AN989" s="36"/>
      <c r="AO989" s="36"/>
      <c r="AP989" s="36"/>
      <c r="AR989" s="154"/>
      <c r="AT989" s="154"/>
      <c r="AU989" s="154"/>
      <c r="AV989" s="154"/>
      <c r="AW989" s="154"/>
      <c r="AX989" s="154"/>
      <c r="AY989" s="154"/>
      <c r="AZ989" s="154"/>
      <c r="BA989" s="154"/>
      <c r="BB989" s="154"/>
      <c r="BC989" s="154"/>
      <c r="BD989" s="154"/>
      <c r="BE989" s="154"/>
      <c r="BF989" s="154"/>
      <c r="BG989" s="154"/>
      <c r="BH989" s="154"/>
      <c r="BI989" s="154"/>
      <c r="BJ989" s="154"/>
      <c r="BK989" s="154"/>
      <c r="BL989" s="154"/>
      <c r="BM989" s="154"/>
      <c r="BN989" s="154"/>
      <c r="GE989" s="94"/>
      <c r="GF989" s="104">
        <f t="shared" si="367"/>
        <v>2016</v>
      </c>
      <c r="GG989" s="104">
        <f t="shared" si="368"/>
        <v>45</v>
      </c>
      <c r="GH989" s="35">
        <v>42678</v>
      </c>
      <c r="GI989" s="26">
        <v>2.501</v>
      </c>
      <c r="GJ989" s="94">
        <f t="shared" si="369"/>
        <v>5.002</v>
      </c>
      <c r="GK989" s="104"/>
      <c r="GL989" s="104"/>
      <c r="GO989" s="94"/>
    </row>
    <row r="990" spans="3:197">
      <c r="C990" s="80" t="str" cm="1">
        <f t="array" ref="C990">_xlfn.IFS(MONTH(D990)&lt;4,1,MONTH(D990)&lt;7,2,MONTH(D990)&lt;10,3,MONTH(D990)&gt;9,4)&amp;"Q"&amp;RIGHT(YEAR(D990),2)</f>
        <v>4Q19</v>
      </c>
      <c r="D990" s="81">
        <f t="shared" ref="D990:D1053" si="377">EOMONTH(E990,0)</f>
        <v>43830</v>
      </c>
      <c r="E990" s="82">
        <f t="shared" si="376"/>
        <v>43825</v>
      </c>
      <c r="F990" s="83">
        <f t="shared" si="375"/>
        <v>0.37875</v>
      </c>
      <c r="G990" s="83">
        <f t="shared" si="375"/>
        <v>0.35125</v>
      </c>
      <c r="H990" s="81"/>
      <c r="I990" s="146">
        <v>43825</v>
      </c>
      <c r="J990" s="147">
        <v>3.48</v>
      </c>
      <c r="K990" s="147">
        <v>2.82</v>
      </c>
      <c r="L990" s="147">
        <v>3.03</v>
      </c>
      <c r="M990" s="94" cm="1">
        <f t="array" ref="M990">INDEX($BV$29:$BV$1449,MATCH($D990,$BR$29:$BR$1449,0),)</f>
        <v>2.81</v>
      </c>
      <c r="N990" s="150">
        <f t="shared" si="372"/>
        <v>0.000660501981505801</v>
      </c>
      <c r="O990" s="150">
        <f t="shared" si="373"/>
        <v>0.000991080277502387</v>
      </c>
      <c r="P990" s="150">
        <f t="shared" si="370"/>
        <v>0.058330422633601</v>
      </c>
      <c r="Q990" s="89">
        <f t="shared" si="374"/>
        <v>0.0782918149466192</v>
      </c>
      <c r="AH990" s="90"/>
      <c r="AI990" s="85"/>
      <c r="AJ990" s="36"/>
      <c r="AK990" s="36"/>
      <c r="AL990" s="36"/>
      <c r="AM990" s="36"/>
      <c r="AN990" s="36"/>
      <c r="AO990" s="36"/>
      <c r="AP990" s="36"/>
      <c r="AR990" s="154"/>
      <c r="AT990" s="154"/>
      <c r="AU990" s="154"/>
      <c r="AV990" s="154"/>
      <c r="AW990" s="154"/>
      <c r="AX990" s="154"/>
      <c r="AY990" s="154"/>
      <c r="AZ990" s="154"/>
      <c r="BA990" s="154"/>
      <c r="BB990" s="154"/>
      <c r="BC990" s="154"/>
      <c r="BD990" s="154"/>
      <c r="BE990" s="154"/>
      <c r="BF990" s="154"/>
      <c r="BG990" s="154"/>
      <c r="BH990" s="154"/>
      <c r="BI990" s="154"/>
      <c r="BJ990" s="154"/>
      <c r="BK990" s="154"/>
      <c r="BL990" s="154"/>
      <c r="BM990" s="154"/>
      <c r="BN990" s="154"/>
      <c r="GE990" s="94"/>
      <c r="GF990" s="104">
        <f t="shared" si="367"/>
        <v>2016</v>
      </c>
      <c r="GG990" s="104">
        <f t="shared" si="368"/>
        <v>46</v>
      </c>
      <c r="GH990" s="35">
        <v>42681</v>
      </c>
      <c r="GI990" s="26">
        <v>2.517</v>
      </c>
      <c r="GJ990" s="94">
        <f t="shared" si="369"/>
        <v>5.034</v>
      </c>
      <c r="GK990" s="104"/>
      <c r="GL990" s="104"/>
      <c r="GO990" s="94"/>
    </row>
    <row r="991" spans="3:197">
      <c r="C991" s="80" t="str" cm="1">
        <f t="array" ref="C991">_xlfn.IFS(MONTH(D991)&lt;4,1,MONTH(D991)&lt;7,2,MONTH(D991)&lt;10,3,MONTH(D991)&gt;9,4)&amp;"Q"&amp;RIGHT(YEAR(D991),2)</f>
        <v>4Q19</v>
      </c>
      <c r="D991" s="81">
        <f t="shared" si="377"/>
        <v>43830</v>
      </c>
      <c r="E991" s="82">
        <f t="shared" si="376"/>
        <v>43826</v>
      </c>
      <c r="F991" s="83">
        <f t="shared" si="375"/>
        <v>0.37875</v>
      </c>
      <c r="G991" s="83">
        <f t="shared" si="375"/>
        <v>0.35125</v>
      </c>
      <c r="H991" s="81"/>
      <c r="I991" s="146">
        <v>43826</v>
      </c>
      <c r="J991" s="147">
        <v>3.48</v>
      </c>
      <c r="K991" s="147">
        <v>2.82</v>
      </c>
      <c r="L991" s="147">
        <v>3.03</v>
      </c>
      <c r="M991" s="94" cm="1">
        <f t="array" ref="M991">INDEX($BV$29:$BV$1449,MATCH($D991,$BR$29:$BR$1449,0),)</f>
        <v>2.81</v>
      </c>
      <c r="N991" s="150">
        <f t="shared" si="372"/>
        <v>0</v>
      </c>
      <c r="O991" s="150">
        <f t="shared" si="373"/>
        <v>0.000991080277502387</v>
      </c>
      <c r="P991" s="150">
        <f t="shared" si="370"/>
        <v>0.0202020202020201</v>
      </c>
      <c r="Q991" s="89">
        <f t="shared" si="374"/>
        <v>0.0782918149466192</v>
      </c>
      <c r="AH991" s="90"/>
      <c r="AI991" s="85"/>
      <c r="AJ991" s="36"/>
      <c r="AK991" s="36"/>
      <c r="AL991" s="36"/>
      <c r="AM991" s="36"/>
      <c r="AN991" s="36"/>
      <c r="AO991" s="36"/>
      <c r="AP991" s="36"/>
      <c r="AR991" s="154"/>
      <c r="AT991" s="154"/>
      <c r="AU991" s="154"/>
      <c r="AV991" s="154"/>
      <c r="AW991" s="154"/>
      <c r="AX991" s="154"/>
      <c r="AY991" s="154"/>
      <c r="AZ991" s="154"/>
      <c r="BA991" s="154"/>
      <c r="BB991" s="154"/>
      <c r="BC991" s="154"/>
      <c r="BD991" s="154"/>
      <c r="BE991" s="154"/>
      <c r="BF991" s="154"/>
      <c r="BG991" s="154"/>
      <c r="BH991" s="154"/>
      <c r="BI991" s="154"/>
      <c r="BJ991" s="154"/>
      <c r="BK991" s="154"/>
      <c r="BL991" s="154"/>
      <c r="BM991" s="154"/>
      <c r="BN991" s="154"/>
      <c r="GE991" s="94"/>
      <c r="GF991" s="104">
        <f t="shared" si="367"/>
        <v>2016</v>
      </c>
      <c r="GG991" s="104">
        <f t="shared" si="368"/>
        <v>46</v>
      </c>
      <c r="GH991" s="35">
        <v>42682</v>
      </c>
      <c r="GI991" s="26">
        <v>2.534</v>
      </c>
      <c r="GJ991" s="94">
        <f t="shared" si="369"/>
        <v>5.068</v>
      </c>
      <c r="GK991" s="104"/>
      <c r="GL991" s="104"/>
      <c r="GO991" s="94"/>
    </row>
    <row r="992" spans="3:197">
      <c r="C992" s="80" t="str" cm="1">
        <f t="array" ref="C992">_xlfn.IFS(MONTH(D992)&lt;4,1,MONTH(D992)&lt;7,2,MONTH(D992)&lt;10,3,MONTH(D992)&gt;9,4)&amp;"Q"&amp;RIGHT(YEAR(D992),2)</f>
        <v>4Q19</v>
      </c>
      <c r="D992" s="81">
        <f t="shared" si="377"/>
        <v>43830</v>
      </c>
      <c r="E992" s="82">
        <f t="shared" si="376"/>
        <v>43829</v>
      </c>
      <c r="F992" s="83">
        <f t="shared" si="375"/>
        <v>0.37875</v>
      </c>
      <c r="G992" s="83">
        <f t="shared" si="375"/>
        <v>0.35125</v>
      </c>
      <c r="H992" s="81"/>
      <c r="I992" s="146">
        <v>43829</v>
      </c>
      <c r="J992" s="147">
        <v>3.48</v>
      </c>
      <c r="K992" s="147">
        <v>2.82</v>
      </c>
      <c r="L992" s="147">
        <v>3.03</v>
      </c>
      <c r="M992" s="94" cm="1">
        <f t="array" ref="M992">INDEX($BV$29:$BV$1449,MATCH($D992,$BR$29:$BR$1449,0),)</f>
        <v>2.81</v>
      </c>
      <c r="N992" s="150">
        <f t="shared" si="372"/>
        <v>0</v>
      </c>
      <c r="O992" s="150">
        <f t="shared" si="373"/>
        <v>0.000991080277502387</v>
      </c>
      <c r="P992" s="150">
        <f t="shared" si="370"/>
        <v>0.0043089161418628</v>
      </c>
      <c r="Q992" s="89">
        <f t="shared" si="374"/>
        <v>0.0782918149466192</v>
      </c>
      <c r="AH992" s="90"/>
      <c r="AI992" s="85"/>
      <c r="AJ992" s="36"/>
      <c r="AK992" s="36"/>
      <c r="AL992" s="36"/>
      <c r="AM992" s="36"/>
      <c r="AN992" s="36"/>
      <c r="AO992" s="36"/>
      <c r="AP992" s="36"/>
      <c r="AR992" s="154"/>
      <c r="AT992" s="154"/>
      <c r="AU992" s="154"/>
      <c r="AV992" s="154"/>
      <c r="AW992" s="154"/>
      <c r="AX992" s="154"/>
      <c r="AY992" s="154"/>
      <c r="AZ992" s="154"/>
      <c r="BA992" s="154"/>
      <c r="BB992" s="154"/>
      <c r="BC992" s="154"/>
      <c r="BD992" s="154"/>
      <c r="BE992" s="154"/>
      <c r="BF992" s="154"/>
      <c r="BG992" s="154"/>
      <c r="BH992" s="154"/>
      <c r="BI992" s="154"/>
      <c r="BJ992" s="154"/>
      <c r="BK992" s="154"/>
      <c r="BL992" s="154"/>
      <c r="BM992" s="154"/>
      <c r="BN992" s="154"/>
      <c r="GE992" s="94"/>
      <c r="GF992" s="104">
        <f t="shared" si="367"/>
        <v>2016</v>
      </c>
      <c r="GG992" s="104">
        <f t="shared" si="368"/>
        <v>46</v>
      </c>
      <c r="GH992" s="35">
        <v>42683</v>
      </c>
      <c r="GI992" s="26">
        <v>2.536</v>
      </c>
      <c r="GJ992" s="94">
        <f t="shared" si="369"/>
        <v>5.072</v>
      </c>
      <c r="GK992" s="104"/>
      <c r="GL992" s="104"/>
      <c r="GO992" s="94"/>
    </row>
    <row r="993" spans="3:197">
      <c r="C993" s="80" t="str" cm="1">
        <f t="array" ref="C993">_xlfn.IFS(MONTH(D993)&lt;4,1,MONTH(D993)&lt;7,2,MONTH(D993)&lt;10,3,MONTH(D993)&gt;9,4)&amp;"Q"&amp;RIGHT(YEAR(D993),2)</f>
        <v>4Q19</v>
      </c>
      <c r="D993" s="81">
        <f t="shared" si="377"/>
        <v>43830</v>
      </c>
      <c r="E993" s="82">
        <f t="shared" si="376"/>
        <v>43830</v>
      </c>
      <c r="F993" s="83">
        <f t="shared" si="375"/>
        <v>0.37875</v>
      </c>
      <c r="G993" s="83">
        <f t="shared" si="375"/>
        <v>0.35125</v>
      </c>
      <c r="H993" s="81"/>
      <c r="I993" s="146">
        <v>43830</v>
      </c>
      <c r="J993" s="147">
        <v>3.48</v>
      </c>
      <c r="K993" s="147">
        <v>2.8</v>
      </c>
      <c r="L993" s="147">
        <v>3.03</v>
      </c>
      <c r="M993" s="94" cm="1">
        <f t="array" ref="M993">INDEX($BV$29:$BV$1449,MATCH($D993,$BR$29:$BR$1449,0),)</f>
        <v>2.81</v>
      </c>
      <c r="N993" s="150">
        <f t="shared" si="372"/>
        <v>0</v>
      </c>
      <c r="O993" s="150">
        <f t="shared" si="373"/>
        <v>0.000991080277502387</v>
      </c>
      <c r="P993" s="150">
        <f t="shared" si="370"/>
        <v>0.0043089161418628</v>
      </c>
      <c r="Q993" s="89">
        <f t="shared" si="374"/>
        <v>0.0782918149466192</v>
      </c>
      <c r="AH993" s="90"/>
      <c r="AI993" s="85"/>
      <c r="AJ993" s="36"/>
      <c r="AK993" s="36"/>
      <c r="AL993" s="36"/>
      <c r="AM993" s="36"/>
      <c r="AN993" s="36"/>
      <c r="AO993" s="36"/>
      <c r="AP993" s="36"/>
      <c r="AR993" s="154"/>
      <c r="AT993" s="154"/>
      <c r="AU993" s="154"/>
      <c r="AV993" s="154"/>
      <c r="AW993" s="154"/>
      <c r="AX993" s="154"/>
      <c r="AY993" s="154"/>
      <c r="AZ993" s="154"/>
      <c r="BA993" s="154"/>
      <c r="BB993" s="154"/>
      <c r="BC993" s="154"/>
      <c r="BD993" s="154"/>
      <c r="BE993" s="154"/>
      <c r="BF993" s="154"/>
      <c r="BG993" s="154"/>
      <c r="BH993" s="154"/>
      <c r="BI993" s="154"/>
      <c r="BJ993" s="154"/>
      <c r="BK993" s="154"/>
      <c r="BL993" s="154"/>
      <c r="BM993" s="154"/>
      <c r="BN993" s="154"/>
      <c r="GE993" s="94"/>
      <c r="GF993" s="104">
        <f t="shared" si="367"/>
        <v>2016</v>
      </c>
      <c r="GG993" s="104">
        <f t="shared" si="368"/>
        <v>46</v>
      </c>
      <c r="GH993" s="35">
        <v>42684</v>
      </c>
      <c r="GI993" s="26">
        <v>2.548</v>
      </c>
      <c r="GJ993" s="94">
        <f t="shared" si="369"/>
        <v>5.096</v>
      </c>
      <c r="GK993" s="104"/>
      <c r="GL993" s="104"/>
      <c r="GO993" s="94"/>
    </row>
    <row r="994" spans="3:197">
      <c r="C994" s="80" t="str" cm="1">
        <f t="array" ref="C994">_xlfn.IFS(MONTH(D994)&lt;4,1,MONTH(D994)&lt;7,2,MONTH(D994)&lt;10,3,MONTH(D994)&gt;9,4)&amp;"Q"&amp;RIGHT(YEAR(D994),2)</f>
        <v>1Q20</v>
      </c>
      <c r="D994" s="81">
        <f t="shared" si="377"/>
        <v>43861</v>
      </c>
      <c r="E994" s="82">
        <f t="shared" si="376"/>
        <v>43832</v>
      </c>
      <c r="F994" s="83">
        <f t="shared" si="375"/>
        <v>0.37875</v>
      </c>
      <c r="G994" s="83">
        <f t="shared" si="375"/>
        <v>0.355</v>
      </c>
      <c r="H994" s="81"/>
      <c r="I994" s="146">
        <v>43832</v>
      </c>
      <c r="J994" s="147">
        <v>3.48</v>
      </c>
      <c r="K994" s="147">
        <v>2.8</v>
      </c>
      <c r="L994" s="147">
        <v>3.03</v>
      </c>
      <c r="M994" s="94" cm="1">
        <f t="array" ref="M994">INDEX($BV$29:$BV$1449,MATCH($D994,$BR$29:$BR$1449,0),)</f>
        <v>2.84</v>
      </c>
      <c r="N994" s="150">
        <f t="shared" si="372"/>
        <v>0</v>
      </c>
      <c r="O994" s="150">
        <f t="shared" si="373"/>
        <v>0.000660501981505801</v>
      </c>
      <c r="P994" s="150">
        <f t="shared" si="370"/>
        <v>0.00231558054912329</v>
      </c>
      <c r="Q994" s="89">
        <f t="shared" si="374"/>
        <v>0.0669014084507042</v>
      </c>
      <c r="AH994" s="90"/>
      <c r="AI994" s="85"/>
      <c r="AJ994" s="36"/>
      <c r="AK994" s="36"/>
      <c r="AL994" s="36"/>
      <c r="AM994" s="36"/>
      <c r="AN994" s="36"/>
      <c r="AO994" s="36"/>
      <c r="AP994" s="36"/>
      <c r="AR994" s="154"/>
      <c r="AT994" s="154"/>
      <c r="AU994" s="154"/>
      <c r="AV994" s="154"/>
      <c r="AW994" s="154"/>
      <c r="AX994" s="154"/>
      <c r="AY994" s="154"/>
      <c r="AZ994" s="154"/>
      <c r="BA994" s="154"/>
      <c r="BB994" s="154"/>
      <c r="BC994" s="154"/>
      <c r="BD994" s="154"/>
      <c r="BE994" s="154"/>
      <c r="BF994" s="154"/>
      <c r="BG994" s="154"/>
      <c r="BH994" s="154"/>
      <c r="BI994" s="154"/>
      <c r="BJ994" s="154"/>
      <c r="BK994" s="154"/>
      <c r="BL994" s="154"/>
      <c r="BM994" s="154"/>
      <c r="BN994" s="154"/>
      <c r="GE994" s="94"/>
      <c r="GF994" s="104">
        <f t="shared" si="367"/>
        <v>2016</v>
      </c>
      <c r="GG994" s="104">
        <f t="shared" si="368"/>
        <v>46</v>
      </c>
      <c r="GH994" s="35">
        <v>42685</v>
      </c>
      <c r="GI994" s="26">
        <v>2.548</v>
      </c>
      <c r="GJ994" s="94">
        <f t="shared" si="369"/>
        <v>5.096</v>
      </c>
      <c r="GK994" s="104"/>
      <c r="GL994" s="104"/>
      <c r="GO994" s="94"/>
    </row>
    <row r="995" spans="3:197">
      <c r="C995" s="80" t="str" cm="1">
        <f t="array" ref="C995">_xlfn.IFS(MONTH(D995)&lt;4,1,MONTH(D995)&lt;7,2,MONTH(D995)&lt;10,3,MONTH(D995)&gt;9,4)&amp;"Q"&amp;RIGHT(YEAR(D995),2)</f>
        <v>1Q20</v>
      </c>
      <c r="D995" s="81">
        <f t="shared" si="377"/>
        <v>43861</v>
      </c>
      <c r="E995" s="82">
        <f t="shared" si="376"/>
        <v>43833</v>
      </c>
      <c r="F995" s="83">
        <f t="shared" ref="F995:G1010" si="378">+L995/8</f>
        <v>0.38125</v>
      </c>
      <c r="G995" s="83">
        <f t="shared" si="378"/>
        <v>0.355</v>
      </c>
      <c r="H995" s="81"/>
      <c r="I995" s="146">
        <v>43833</v>
      </c>
      <c r="J995" s="147">
        <v>3.5</v>
      </c>
      <c r="K995" s="147">
        <v>2.85</v>
      </c>
      <c r="L995" s="147">
        <v>3.05</v>
      </c>
      <c r="M995" s="94" cm="1">
        <f t="array" ref="M995">INDEX($BV$29:$BV$1449,MATCH($D995,$BR$29:$BR$1449,0),)</f>
        <v>2.84</v>
      </c>
      <c r="N995" s="150">
        <f t="shared" si="372"/>
        <v>0.00660066006600668</v>
      </c>
      <c r="O995" s="150">
        <f t="shared" si="373"/>
        <v>0.00660066006600668</v>
      </c>
      <c r="P995" s="150">
        <f t="shared" si="370"/>
        <v>0.0075982821275189</v>
      </c>
      <c r="Q995" s="89">
        <f t="shared" si="374"/>
        <v>0.073943661971831</v>
      </c>
      <c r="AH995" s="90"/>
      <c r="AI995" s="85"/>
      <c r="AJ995" s="36"/>
      <c r="AK995" s="36"/>
      <c r="AL995" s="36"/>
      <c r="AM995" s="36"/>
      <c r="AN995" s="36"/>
      <c r="AO995" s="36"/>
      <c r="AP995" s="36"/>
      <c r="AR995" s="154"/>
      <c r="AT995" s="154"/>
      <c r="AU995" s="154"/>
      <c r="AV995" s="154"/>
      <c r="AW995" s="154"/>
      <c r="AX995" s="154"/>
      <c r="AY995" s="154"/>
      <c r="AZ995" s="154"/>
      <c r="BA995" s="154"/>
      <c r="BB995" s="154"/>
      <c r="BC995" s="154"/>
      <c r="BD995" s="154"/>
      <c r="BE995" s="154"/>
      <c r="BF995" s="154"/>
      <c r="BG995" s="154"/>
      <c r="BH995" s="154"/>
      <c r="BI995" s="154"/>
      <c r="BJ995" s="154"/>
      <c r="BK995" s="154"/>
      <c r="BL995" s="154"/>
      <c r="BM995" s="154"/>
      <c r="BN995" s="154"/>
      <c r="GE995" s="94"/>
      <c r="GF995" s="104">
        <f t="shared" si="367"/>
        <v>2016</v>
      </c>
      <c r="GG995" s="104">
        <f t="shared" si="368"/>
        <v>47</v>
      </c>
      <c r="GH995" s="35">
        <v>42688</v>
      </c>
      <c r="GI995" s="26">
        <v>2.55</v>
      </c>
      <c r="GJ995" s="94">
        <f t="shared" si="369"/>
        <v>5.1</v>
      </c>
      <c r="GK995" s="104"/>
      <c r="GL995" s="104"/>
      <c r="GO995" s="94"/>
    </row>
    <row r="996" spans="3:197">
      <c r="C996" s="80" t="str" cm="1">
        <f t="array" ref="C996">_xlfn.IFS(MONTH(D996)&lt;4,1,MONTH(D996)&lt;7,2,MONTH(D996)&lt;10,3,MONTH(D996)&gt;9,4)&amp;"Q"&amp;RIGHT(YEAR(D996),2)</f>
        <v>1Q20</v>
      </c>
      <c r="D996" s="81">
        <f t="shared" si="377"/>
        <v>43861</v>
      </c>
      <c r="E996" s="82">
        <f t="shared" si="376"/>
        <v>43836</v>
      </c>
      <c r="F996" s="83">
        <f t="shared" si="378"/>
        <v>0.384125</v>
      </c>
      <c r="G996" s="83">
        <f t="shared" si="378"/>
        <v>0.355</v>
      </c>
      <c r="H996" s="81"/>
      <c r="I996" s="146">
        <v>43836</v>
      </c>
      <c r="J996" s="147">
        <v>3.5</v>
      </c>
      <c r="K996" s="147">
        <v>2.88</v>
      </c>
      <c r="L996" s="147">
        <v>3.073</v>
      </c>
      <c r="M996" s="94" cm="1">
        <f t="array" ref="M996">INDEX($BV$29:$BV$1449,MATCH($D996,$BR$29:$BR$1449,0),)</f>
        <v>2.84</v>
      </c>
      <c r="N996" s="150">
        <f t="shared" si="372"/>
        <v>0.00754098360655742</v>
      </c>
      <c r="O996" s="150">
        <f t="shared" si="373"/>
        <v>0.0141914191419144</v>
      </c>
      <c r="P996" s="150">
        <f t="shared" si="370"/>
        <v>0.015196564255038</v>
      </c>
      <c r="Q996" s="89">
        <f t="shared" si="374"/>
        <v>0.0820422535211267</v>
      </c>
      <c r="AH996" s="90"/>
      <c r="AI996" s="85"/>
      <c r="AJ996" s="36"/>
      <c r="AK996" s="36"/>
      <c r="AL996" s="36"/>
      <c r="AM996" s="36"/>
      <c r="AN996" s="36"/>
      <c r="AO996" s="36"/>
      <c r="AP996" s="36"/>
      <c r="AR996" s="154"/>
      <c r="AT996" s="154"/>
      <c r="AU996" s="154"/>
      <c r="AV996" s="154"/>
      <c r="AW996" s="154"/>
      <c r="AX996" s="154"/>
      <c r="AY996" s="154"/>
      <c r="AZ996" s="154"/>
      <c r="BA996" s="154"/>
      <c r="BB996" s="154"/>
      <c r="BC996" s="154"/>
      <c r="BD996" s="154"/>
      <c r="BE996" s="154"/>
      <c r="BF996" s="154"/>
      <c r="BG996" s="154"/>
      <c r="BH996" s="154"/>
      <c r="BI996" s="154"/>
      <c r="BJ996" s="154"/>
      <c r="BK996" s="154"/>
      <c r="BL996" s="154"/>
      <c r="BM996" s="154"/>
      <c r="BN996" s="154"/>
      <c r="GE996" s="94"/>
      <c r="GF996" s="104">
        <f t="shared" si="367"/>
        <v>2016</v>
      </c>
      <c r="GG996" s="104">
        <f t="shared" si="368"/>
        <v>47</v>
      </c>
      <c r="GH996" s="35">
        <v>42689</v>
      </c>
      <c r="GI996" s="26">
        <v>2.552</v>
      </c>
      <c r="GJ996" s="94">
        <f t="shared" si="369"/>
        <v>5.104</v>
      </c>
      <c r="GK996" s="104"/>
      <c r="GL996" s="104"/>
      <c r="GO996" s="94"/>
    </row>
    <row r="997" spans="3:197">
      <c r="C997" s="80" t="str" cm="1">
        <f t="array" ref="C997">_xlfn.IFS(MONTH(D997)&lt;4,1,MONTH(D997)&lt;7,2,MONTH(D997)&lt;10,3,MONTH(D997)&gt;9,4)&amp;"Q"&amp;RIGHT(YEAR(D997),2)</f>
        <v>1Q20</v>
      </c>
      <c r="D997" s="81">
        <f t="shared" si="377"/>
        <v>43861</v>
      </c>
      <c r="E997" s="82">
        <f t="shared" si="376"/>
        <v>43837</v>
      </c>
      <c r="F997" s="83">
        <f t="shared" si="378"/>
        <v>0.390875</v>
      </c>
      <c r="G997" s="83">
        <f t="shared" si="378"/>
        <v>0.355</v>
      </c>
      <c r="H997" s="81"/>
      <c r="I997" s="146">
        <v>43837</v>
      </c>
      <c r="J997" s="147">
        <v>3.55</v>
      </c>
      <c r="K997" s="147">
        <v>2.93</v>
      </c>
      <c r="L997" s="147">
        <v>3.127</v>
      </c>
      <c r="M997" s="94" cm="1">
        <f t="array" ref="M997">INDEX($BV$29:$BV$1449,MATCH($D997,$BR$29:$BR$1449,0),)</f>
        <v>2.84</v>
      </c>
      <c r="N997" s="150">
        <f t="shared" si="372"/>
        <v>0.0175724048161405</v>
      </c>
      <c r="O997" s="150">
        <f t="shared" si="373"/>
        <v>0.032013201320132</v>
      </c>
      <c r="P997" s="150">
        <f t="shared" si="370"/>
        <v>0.0330360092500825</v>
      </c>
      <c r="Q997" s="89">
        <f t="shared" si="374"/>
        <v>0.101056338028169</v>
      </c>
      <c r="AH997" s="90"/>
      <c r="AI997" s="85"/>
      <c r="AJ997" s="36"/>
      <c r="AK997" s="36"/>
      <c r="AL997" s="36"/>
      <c r="AM997" s="36"/>
      <c r="AN997" s="36"/>
      <c r="AO997" s="36"/>
      <c r="AP997" s="36"/>
      <c r="AR997" s="154"/>
      <c r="AT997" s="154"/>
      <c r="AU997" s="154"/>
      <c r="AV997" s="154"/>
      <c r="AW997" s="154"/>
      <c r="AX997" s="154"/>
      <c r="AY997" s="154"/>
      <c r="AZ997" s="154"/>
      <c r="BA997" s="154"/>
      <c r="BB997" s="154"/>
      <c r="BC997" s="154"/>
      <c r="BD997" s="154"/>
      <c r="BE997" s="154"/>
      <c r="BF997" s="154"/>
      <c r="BG997" s="154"/>
      <c r="BH997" s="154"/>
      <c r="BI997" s="154"/>
      <c r="BJ997" s="154"/>
      <c r="BK997" s="154"/>
      <c r="BL997" s="154"/>
      <c r="BM997" s="154"/>
      <c r="BN997" s="154"/>
      <c r="GE997" s="94"/>
      <c r="GF997" s="104">
        <f t="shared" si="367"/>
        <v>2016</v>
      </c>
      <c r="GG997" s="104">
        <f t="shared" si="368"/>
        <v>47</v>
      </c>
      <c r="GH997" s="35">
        <v>42690</v>
      </c>
      <c r="GI997" s="26">
        <v>2.553</v>
      </c>
      <c r="GJ997" s="94">
        <f t="shared" si="369"/>
        <v>5.106</v>
      </c>
      <c r="GK997" s="104"/>
      <c r="GL997" s="104"/>
      <c r="GO997" s="94"/>
    </row>
    <row r="998" spans="3:197">
      <c r="C998" s="80" t="str" cm="1">
        <f t="array" ref="C998">_xlfn.IFS(MONTH(D998)&lt;4,1,MONTH(D998)&lt;7,2,MONTH(D998)&lt;10,3,MONTH(D998)&gt;9,4)&amp;"Q"&amp;RIGHT(YEAR(D998),2)</f>
        <v>1Q20</v>
      </c>
      <c r="D998" s="81">
        <f t="shared" si="377"/>
        <v>43861</v>
      </c>
      <c r="E998" s="82">
        <f t="shared" si="376"/>
        <v>43838</v>
      </c>
      <c r="F998" s="83">
        <f t="shared" si="378"/>
        <v>0.393375</v>
      </c>
      <c r="G998" s="83">
        <f t="shared" si="378"/>
        <v>0.355</v>
      </c>
      <c r="H998" s="81"/>
      <c r="I998" s="146">
        <v>43838</v>
      </c>
      <c r="J998" s="147">
        <v>3.55</v>
      </c>
      <c r="K998" s="147">
        <v>2.95</v>
      </c>
      <c r="L998" s="147">
        <v>3.147</v>
      </c>
      <c r="M998" s="94" cm="1">
        <f t="array" ref="M998">INDEX($BV$29:$BV$1449,MATCH($D998,$BR$29:$BR$1449,0),)</f>
        <v>2.84</v>
      </c>
      <c r="N998" s="150">
        <f t="shared" si="372"/>
        <v>0.00639590661976341</v>
      </c>
      <c r="O998" s="150">
        <f t="shared" si="373"/>
        <v>0.0386138613861386</v>
      </c>
      <c r="P998" s="150">
        <f t="shared" si="370"/>
        <v>0.0396432111000991</v>
      </c>
      <c r="Q998" s="89">
        <f t="shared" si="374"/>
        <v>0.108098591549296</v>
      </c>
      <c r="AH998" s="90"/>
      <c r="AI998" s="85"/>
      <c r="AJ998" s="36"/>
      <c r="AK998" s="36"/>
      <c r="AL998" s="36"/>
      <c r="AM998" s="36"/>
      <c r="AN998" s="36"/>
      <c r="AO998" s="36"/>
      <c r="AP998" s="36"/>
      <c r="GE998" s="94"/>
      <c r="GF998" s="104">
        <f t="shared" si="367"/>
        <v>2016</v>
      </c>
      <c r="GG998" s="104">
        <f t="shared" si="368"/>
        <v>47</v>
      </c>
      <c r="GH998" s="35">
        <v>42691</v>
      </c>
      <c r="GI998" s="26">
        <v>2.563</v>
      </c>
      <c r="GJ998" s="94">
        <f t="shared" si="369"/>
        <v>5.126</v>
      </c>
      <c r="GK998" s="104"/>
      <c r="GL998" s="104"/>
      <c r="GO998" s="94"/>
    </row>
    <row r="999" spans="3:197">
      <c r="C999" s="80" t="str" cm="1">
        <f t="array" ref="C999">_xlfn.IFS(MONTH(D999)&lt;4,1,MONTH(D999)&lt;7,2,MONTH(D999)&lt;10,3,MONTH(D999)&gt;9,4)&amp;"Q"&amp;RIGHT(YEAR(D999),2)</f>
        <v>1Q20</v>
      </c>
      <c r="D999" s="81">
        <f t="shared" si="377"/>
        <v>43861</v>
      </c>
      <c r="E999" s="82">
        <f t="shared" si="376"/>
        <v>43839</v>
      </c>
      <c r="F999" s="83">
        <f t="shared" si="378"/>
        <v>0.395</v>
      </c>
      <c r="G999" s="83">
        <f t="shared" si="378"/>
        <v>0.355</v>
      </c>
      <c r="H999" s="81"/>
      <c r="I999" s="146">
        <v>43839</v>
      </c>
      <c r="J999" s="147">
        <v>3.55</v>
      </c>
      <c r="K999" s="147">
        <v>2.95</v>
      </c>
      <c r="L999" s="147">
        <v>3.16</v>
      </c>
      <c r="M999" s="94" cm="1">
        <f t="array" ref="M999">INDEX($BV$29:$BV$1449,MATCH($D999,$BR$29:$BR$1449,0),)</f>
        <v>2.84</v>
      </c>
      <c r="N999" s="150">
        <f t="shared" si="372"/>
        <v>0.0041309183349223</v>
      </c>
      <c r="O999" s="150">
        <f t="shared" si="373"/>
        <v>0.0429042904290431</v>
      </c>
      <c r="P999" s="150">
        <f t="shared" si="370"/>
        <v>0.0435931307793924</v>
      </c>
      <c r="Q999" s="89">
        <f t="shared" si="374"/>
        <v>0.112676056338028</v>
      </c>
      <c r="AH999" s="90"/>
      <c r="AI999" s="85"/>
      <c r="AJ999" s="36"/>
      <c r="AK999" s="36"/>
      <c r="AL999" s="36"/>
      <c r="AM999" s="36"/>
      <c r="AN999" s="36"/>
      <c r="AO999" s="36"/>
      <c r="AP999" s="36"/>
      <c r="GE999" s="94"/>
      <c r="GF999" s="104">
        <f t="shared" si="367"/>
        <v>2016</v>
      </c>
      <c r="GG999" s="104">
        <f t="shared" si="368"/>
        <v>47</v>
      </c>
      <c r="GH999" s="35">
        <v>42692</v>
      </c>
      <c r="GI999" s="26">
        <v>2.567</v>
      </c>
      <c r="GJ999" s="94">
        <f t="shared" si="369"/>
        <v>5.134</v>
      </c>
      <c r="GK999" s="104"/>
      <c r="GL999" s="104"/>
      <c r="GO999" s="94"/>
    </row>
    <row r="1000" spans="3:197">
      <c r="C1000" s="80" t="str" cm="1">
        <f t="array" ref="C1000">_xlfn.IFS(MONTH(D1000)&lt;4,1,MONTH(D1000)&lt;7,2,MONTH(D1000)&lt;10,3,MONTH(D1000)&gt;9,4)&amp;"Q"&amp;RIGHT(YEAR(D1000),2)</f>
        <v>1Q20</v>
      </c>
      <c r="D1000" s="81">
        <f t="shared" si="377"/>
        <v>43861</v>
      </c>
      <c r="E1000" s="82">
        <f t="shared" si="376"/>
        <v>43840</v>
      </c>
      <c r="F1000" s="83">
        <f t="shared" si="378"/>
        <v>0.397875</v>
      </c>
      <c r="G1000" s="83">
        <f t="shared" si="378"/>
        <v>0.355</v>
      </c>
      <c r="H1000" s="81"/>
      <c r="I1000" s="146">
        <v>43840</v>
      </c>
      <c r="J1000" s="147">
        <v>3.55</v>
      </c>
      <c r="K1000" s="147">
        <v>3</v>
      </c>
      <c r="L1000" s="147">
        <v>3.183</v>
      </c>
      <c r="M1000" s="94" cm="1">
        <f t="array" ref="M1000">INDEX($BV$29:$BV$1449,MATCH($D1000,$BR$29:$BR$1449,0),)</f>
        <v>2.84</v>
      </c>
      <c r="N1000" s="150">
        <f t="shared" si="372"/>
        <v>0.00727848101265804</v>
      </c>
      <c r="O1000" s="150">
        <f t="shared" si="373"/>
        <v>0.0436065573770492</v>
      </c>
      <c r="P1000" s="150">
        <f t="shared" si="370"/>
        <v>0.0504950495049505</v>
      </c>
      <c r="Q1000" s="89">
        <f t="shared" si="374"/>
        <v>0.120774647887324</v>
      </c>
      <c r="AH1000" s="90"/>
      <c r="AI1000" s="85"/>
      <c r="AJ1000" s="36"/>
      <c r="AK1000" s="36"/>
      <c r="AL1000" s="36"/>
      <c r="AM1000" s="36"/>
      <c r="AN1000" s="36"/>
      <c r="AO1000" s="36"/>
      <c r="AP1000" s="36"/>
      <c r="GE1000" s="94"/>
      <c r="GF1000" s="104">
        <f t="shared" si="367"/>
        <v>2016</v>
      </c>
      <c r="GG1000" s="104">
        <f t="shared" si="368"/>
        <v>48</v>
      </c>
      <c r="GH1000" s="35">
        <v>42695</v>
      </c>
      <c r="GI1000" s="26">
        <v>2.568</v>
      </c>
      <c r="GJ1000" s="94">
        <f t="shared" si="369"/>
        <v>5.136</v>
      </c>
      <c r="GK1000" s="104"/>
      <c r="GL1000" s="104"/>
      <c r="GO1000" s="94"/>
    </row>
    <row r="1001" spans="3:197">
      <c r="C1001" s="80" t="str" cm="1">
        <f t="array" ref="C1001">_xlfn.IFS(MONTH(D1001)&lt;4,1,MONTH(D1001)&lt;7,2,MONTH(D1001)&lt;10,3,MONTH(D1001)&gt;9,4)&amp;"Q"&amp;RIGHT(YEAR(D1001),2)</f>
        <v>1Q20</v>
      </c>
      <c r="D1001" s="81">
        <f t="shared" si="377"/>
        <v>43861</v>
      </c>
      <c r="E1001" s="82">
        <f t="shared" si="376"/>
        <v>43843</v>
      </c>
      <c r="F1001" s="83">
        <f t="shared" si="378"/>
        <v>0.4</v>
      </c>
      <c r="G1001" s="83">
        <f t="shared" si="378"/>
        <v>0.355</v>
      </c>
      <c r="H1001" s="81"/>
      <c r="I1001" s="146">
        <v>43843</v>
      </c>
      <c r="J1001" s="147">
        <v>3.55</v>
      </c>
      <c r="K1001" s="147">
        <v>3</v>
      </c>
      <c r="L1001" s="147">
        <v>3.2</v>
      </c>
      <c r="M1001" s="94" cm="1">
        <f t="array" ref="M1001">INDEX($BV$29:$BV$1449,MATCH($D1001,$BR$29:$BR$1449,0),)</f>
        <v>2.84</v>
      </c>
      <c r="N1001" s="150">
        <f t="shared" si="372"/>
        <v>0.00534087338988387</v>
      </c>
      <c r="O1001" s="150">
        <f t="shared" si="373"/>
        <v>0.0413276928083306</v>
      </c>
      <c r="P1001" s="150">
        <f t="shared" si="370"/>
        <v>0.0561056105610562</v>
      </c>
      <c r="Q1001" s="89">
        <f t="shared" si="374"/>
        <v>0.126760563380282</v>
      </c>
      <c r="AH1001" s="90"/>
      <c r="AI1001" s="85"/>
      <c r="AJ1001" s="36"/>
      <c r="AK1001" s="36"/>
      <c r="AL1001" s="36"/>
      <c r="AM1001" s="36"/>
      <c r="AN1001" s="36"/>
      <c r="AO1001" s="36"/>
      <c r="AP1001" s="36"/>
      <c r="GE1001" s="94"/>
      <c r="GF1001" s="104">
        <f t="shared" si="367"/>
        <v>2016</v>
      </c>
      <c r="GG1001" s="104">
        <f t="shared" si="368"/>
        <v>48</v>
      </c>
      <c r="GH1001" s="35">
        <v>42696</v>
      </c>
      <c r="GI1001" s="26">
        <v>2.571</v>
      </c>
      <c r="GJ1001" s="94">
        <f t="shared" si="369"/>
        <v>5.142</v>
      </c>
      <c r="GK1001" s="104"/>
      <c r="GL1001" s="104"/>
      <c r="GO1001" s="94"/>
    </row>
    <row r="1002" spans="3:197">
      <c r="C1002" s="80" t="str" cm="1">
        <f t="array" ref="C1002">_xlfn.IFS(MONTH(D1002)&lt;4,1,MONTH(D1002)&lt;7,2,MONTH(D1002)&lt;10,3,MONTH(D1002)&gt;9,4)&amp;"Q"&amp;RIGHT(YEAR(D1002),2)</f>
        <v>1Q20</v>
      </c>
      <c r="D1002" s="81">
        <f t="shared" si="377"/>
        <v>43861</v>
      </c>
      <c r="E1002" s="82">
        <f t="shared" si="376"/>
        <v>43844</v>
      </c>
      <c r="F1002" s="83">
        <f t="shared" si="378"/>
        <v>0.402125</v>
      </c>
      <c r="G1002" s="83">
        <f t="shared" si="378"/>
        <v>0.355</v>
      </c>
      <c r="H1002" s="81"/>
      <c r="I1002" s="146">
        <v>43844</v>
      </c>
      <c r="J1002" s="147">
        <v>3.6</v>
      </c>
      <c r="K1002" s="147">
        <v>3</v>
      </c>
      <c r="L1002" s="147">
        <v>3.217</v>
      </c>
      <c r="M1002" s="94" cm="1">
        <f t="array" ref="M1002">INDEX($BV$29:$BV$1449,MATCH($D1002,$BR$29:$BR$1449,0),)</f>
        <v>2.84</v>
      </c>
      <c r="N1002" s="150">
        <f t="shared" si="372"/>
        <v>0.00531250000000005</v>
      </c>
      <c r="O1002" s="150">
        <f t="shared" si="373"/>
        <v>0.0287815797889353</v>
      </c>
      <c r="P1002" s="150">
        <f t="shared" si="370"/>
        <v>0.0617161716171619</v>
      </c>
      <c r="Q1002" s="89">
        <f t="shared" si="374"/>
        <v>0.13274647887324</v>
      </c>
      <c r="AH1002" s="90"/>
      <c r="AI1002" s="85"/>
      <c r="AJ1002" s="36"/>
      <c r="AK1002" s="36"/>
      <c r="AL1002" s="36"/>
      <c r="AM1002" s="36"/>
      <c r="AN1002" s="36"/>
      <c r="AO1002" s="36"/>
      <c r="AP1002" s="36"/>
      <c r="GE1002" s="94"/>
      <c r="GF1002" s="104">
        <f t="shared" si="367"/>
        <v>2016</v>
      </c>
      <c r="GG1002" s="104">
        <f t="shared" si="368"/>
        <v>48</v>
      </c>
      <c r="GH1002" s="35">
        <v>42697</v>
      </c>
      <c r="GI1002" s="26">
        <v>2.573</v>
      </c>
      <c r="GJ1002" s="94">
        <f t="shared" si="369"/>
        <v>5.146</v>
      </c>
      <c r="GK1002" s="104"/>
      <c r="GL1002" s="104"/>
      <c r="GO1002" s="94"/>
    </row>
    <row r="1003" spans="3:197">
      <c r="C1003" s="80" t="str" cm="1">
        <f t="array" ref="C1003">_xlfn.IFS(MONTH(D1003)&lt;4,1,MONTH(D1003)&lt;7,2,MONTH(D1003)&lt;10,3,MONTH(D1003)&gt;9,4)&amp;"Q"&amp;RIGHT(YEAR(D1003),2)</f>
        <v>1Q20</v>
      </c>
      <c r="D1003" s="81">
        <f t="shared" si="377"/>
        <v>43861</v>
      </c>
      <c r="E1003" s="82">
        <f t="shared" si="376"/>
        <v>43845</v>
      </c>
      <c r="F1003" s="83">
        <f t="shared" si="378"/>
        <v>0.408375</v>
      </c>
      <c r="G1003" s="83">
        <f t="shared" si="378"/>
        <v>0.355</v>
      </c>
      <c r="H1003" s="81"/>
      <c r="I1003" s="146">
        <v>43845</v>
      </c>
      <c r="J1003" s="147">
        <v>3.7</v>
      </c>
      <c r="K1003" s="147">
        <v>3</v>
      </c>
      <c r="L1003" s="147">
        <v>3.267</v>
      </c>
      <c r="M1003" s="94" cm="1">
        <f t="array" ref="M1003">INDEX($BV$29:$BV$1449,MATCH($D1003,$BR$29:$BR$1449,0),)</f>
        <v>2.84</v>
      </c>
      <c r="N1003" s="150">
        <f t="shared" si="372"/>
        <v>0.0155424308361827</v>
      </c>
      <c r="O1003" s="150">
        <f t="shared" si="373"/>
        <v>0.0381315538608198</v>
      </c>
      <c r="P1003" s="150">
        <f t="shared" si="370"/>
        <v>0.0782178217821783</v>
      </c>
      <c r="Q1003" s="89">
        <f t="shared" si="374"/>
        <v>0.150352112676056</v>
      </c>
      <c r="AH1003" s="90"/>
      <c r="AI1003" s="85"/>
      <c r="AJ1003" s="36"/>
      <c r="AK1003" s="36"/>
      <c r="AL1003" s="36"/>
      <c r="AM1003" s="36"/>
      <c r="AN1003" s="36"/>
      <c r="AO1003" s="36"/>
      <c r="AP1003" s="36"/>
      <c r="GE1003" s="94"/>
      <c r="GF1003" s="104">
        <f t="shared" si="367"/>
        <v>2016</v>
      </c>
      <c r="GG1003" s="104">
        <f t="shared" si="368"/>
        <v>48</v>
      </c>
      <c r="GH1003" s="35">
        <v>42698</v>
      </c>
      <c r="GI1003" s="26">
        <v>2.575</v>
      </c>
      <c r="GJ1003" s="94">
        <f t="shared" si="369"/>
        <v>5.15</v>
      </c>
      <c r="GK1003" s="104"/>
      <c r="GL1003" s="104"/>
      <c r="GO1003" s="94"/>
    </row>
    <row r="1004" spans="3:197">
      <c r="C1004" s="80" t="str" cm="1">
        <f t="array" ref="C1004">_xlfn.IFS(MONTH(D1004)&lt;4,1,MONTH(D1004)&lt;7,2,MONTH(D1004)&lt;10,3,MONTH(D1004)&gt;9,4)&amp;"Q"&amp;RIGHT(YEAR(D1004),2)</f>
        <v>1Q20</v>
      </c>
      <c r="D1004" s="81">
        <f t="shared" si="377"/>
        <v>43861</v>
      </c>
      <c r="E1004" s="82">
        <f t="shared" si="376"/>
        <v>43846</v>
      </c>
      <c r="F1004" s="83">
        <f t="shared" si="378"/>
        <v>0.41625</v>
      </c>
      <c r="G1004" s="83">
        <f t="shared" si="378"/>
        <v>0.355</v>
      </c>
      <c r="H1004" s="81"/>
      <c r="I1004" s="146">
        <v>43846</v>
      </c>
      <c r="J1004" s="147">
        <v>3.8</v>
      </c>
      <c r="K1004" s="147">
        <v>3.1</v>
      </c>
      <c r="L1004" s="147">
        <v>3.33</v>
      </c>
      <c r="M1004" s="94" cm="1">
        <f t="array" ref="M1004">INDEX($BV$29:$BV$1449,MATCH($D1004,$BR$29:$BR$1449,0),)</f>
        <v>2.84</v>
      </c>
      <c r="N1004" s="150">
        <f t="shared" si="372"/>
        <v>0.0192837465564739</v>
      </c>
      <c r="O1004" s="150">
        <f t="shared" si="373"/>
        <v>0.0537974683544304</v>
      </c>
      <c r="P1004" s="150">
        <f t="shared" si="370"/>
        <v>0.0990099009900991</v>
      </c>
      <c r="Q1004" s="89">
        <f t="shared" si="374"/>
        <v>0.172535211267606</v>
      </c>
      <c r="AH1004" s="90"/>
      <c r="AI1004" s="85"/>
      <c r="AJ1004" s="36"/>
      <c r="AK1004" s="36"/>
      <c r="AL1004" s="36"/>
      <c r="AM1004" s="36"/>
      <c r="AN1004" s="36"/>
      <c r="AO1004" s="36"/>
      <c r="AP1004" s="36"/>
      <c r="GE1004" s="94"/>
      <c r="GF1004" s="104">
        <f t="shared" si="367"/>
        <v>2016</v>
      </c>
      <c r="GG1004" s="104">
        <f t="shared" si="368"/>
        <v>48</v>
      </c>
      <c r="GH1004" s="35">
        <v>42699</v>
      </c>
      <c r="GI1004" s="26">
        <v>2.599</v>
      </c>
      <c r="GJ1004" s="94">
        <f t="shared" si="369"/>
        <v>5.198</v>
      </c>
      <c r="GK1004" s="104"/>
      <c r="GL1004" s="104"/>
      <c r="GO1004" s="94"/>
    </row>
    <row r="1005" spans="3:197">
      <c r="C1005" s="80" t="str" cm="1">
        <f t="array" ref="C1005">_xlfn.IFS(MONTH(D1005)&lt;4,1,MONTH(D1005)&lt;7,2,MONTH(D1005)&lt;10,3,MONTH(D1005)&gt;9,4)&amp;"Q"&amp;RIGHT(YEAR(D1005),2)</f>
        <v>1Q20</v>
      </c>
      <c r="D1005" s="81">
        <f t="shared" si="377"/>
        <v>43861</v>
      </c>
      <c r="E1005" s="82">
        <f t="shared" si="376"/>
        <v>43847</v>
      </c>
      <c r="F1005" s="83">
        <f t="shared" si="378"/>
        <v>0.417875</v>
      </c>
      <c r="G1005" s="83">
        <f t="shared" si="378"/>
        <v>0.355</v>
      </c>
      <c r="H1005" s="81"/>
      <c r="I1005" s="146">
        <v>43847</v>
      </c>
      <c r="J1005" s="147">
        <v>3.85</v>
      </c>
      <c r="K1005" s="147">
        <v>3.1</v>
      </c>
      <c r="L1005" s="147">
        <v>3.343</v>
      </c>
      <c r="M1005" s="94" cm="1">
        <f t="array" ref="M1005">INDEX($BV$29:$BV$1449,MATCH($D1005,$BR$29:$BR$1449,0),)</f>
        <v>2.84</v>
      </c>
      <c r="N1005" s="150">
        <f t="shared" si="372"/>
        <v>0.00390390390390394</v>
      </c>
      <c r="O1005" s="150">
        <f t="shared" si="373"/>
        <v>0.0502670436694943</v>
      </c>
      <c r="P1005" s="150">
        <f t="shared" si="370"/>
        <v>0.0960655737704919</v>
      </c>
      <c r="Q1005" s="89">
        <f t="shared" si="374"/>
        <v>0.177112676056338</v>
      </c>
      <c r="AH1005" s="90"/>
      <c r="AI1005" s="85"/>
      <c r="AJ1005" s="36"/>
      <c r="AK1005" s="36"/>
      <c r="AL1005" s="36"/>
      <c r="AM1005" s="36"/>
      <c r="AN1005" s="36"/>
      <c r="AO1005" s="36"/>
      <c r="AP1005" s="36"/>
      <c r="GE1005" s="94"/>
      <c r="GF1005" s="104">
        <f t="shared" si="367"/>
        <v>2016</v>
      </c>
      <c r="GG1005" s="104">
        <f t="shared" si="368"/>
        <v>49</v>
      </c>
      <c r="GH1005" s="35">
        <v>42702</v>
      </c>
      <c r="GI1005" s="26">
        <v>2.603</v>
      </c>
      <c r="GJ1005" s="94">
        <f t="shared" si="369"/>
        <v>5.206</v>
      </c>
      <c r="GK1005" s="104"/>
      <c r="GL1005" s="104"/>
      <c r="GO1005" s="94"/>
    </row>
    <row r="1006" spans="3:197">
      <c r="C1006" s="80" t="str" cm="1">
        <f t="array" ref="C1006">_xlfn.IFS(MONTH(D1006)&lt;4,1,MONTH(D1006)&lt;7,2,MONTH(D1006)&lt;10,3,MONTH(D1006)&gt;9,4)&amp;"Q"&amp;RIGHT(YEAR(D1006),2)</f>
        <v>1Q20</v>
      </c>
      <c r="D1006" s="81">
        <f t="shared" si="377"/>
        <v>43861</v>
      </c>
      <c r="E1006" s="82">
        <f t="shared" si="376"/>
        <v>43850</v>
      </c>
      <c r="F1006" s="83">
        <f t="shared" si="378"/>
        <v>0.41875</v>
      </c>
      <c r="G1006" s="83">
        <f t="shared" si="378"/>
        <v>0.355</v>
      </c>
      <c r="H1006" s="81"/>
      <c r="I1006" s="146">
        <v>43850</v>
      </c>
      <c r="J1006" s="147">
        <v>3.85</v>
      </c>
      <c r="K1006" s="147">
        <v>3.1</v>
      </c>
      <c r="L1006" s="147">
        <v>3.35</v>
      </c>
      <c r="M1006" s="94" cm="1">
        <f t="array" ref="M1006">INDEX($BV$29:$BV$1449,MATCH($D1006,$BR$29:$BR$1449,0),)</f>
        <v>2.84</v>
      </c>
      <c r="N1006" s="150">
        <f t="shared" si="372"/>
        <v>0.00209392760993121</v>
      </c>
      <c r="O1006" s="150">
        <f t="shared" si="373"/>
        <v>0.046875</v>
      </c>
      <c r="P1006" s="150">
        <f t="shared" si="370"/>
        <v>0.0901399284087212</v>
      </c>
      <c r="Q1006" s="89">
        <f t="shared" si="374"/>
        <v>0.179577464788732</v>
      </c>
      <c r="AH1006" s="90"/>
      <c r="AI1006" s="85"/>
      <c r="AJ1006" s="36"/>
      <c r="AK1006" s="36"/>
      <c r="AL1006" s="36"/>
      <c r="AM1006" s="36"/>
      <c r="AN1006" s="36"/>
      <c r="AO1006" s="36"/>
      <c r="AP1006" s="36"/>
      <c r="GE1006" s="94"/>
      <c r="GF1006" s="104">
        <f t="shared" si="367"/>
        <v>2016</v>
      </c>
      <c r="GG1006" s="104">
        <f t="shared" si="368"/>
        <v>49</v>
      </c>
      <c r="GH1006" s="35">
        <v>42703</v>
      </c>
      <c r="GI1006" s="26">
        <v>2.608</v>
      </c>
      <c r="GJ1006" s="94">
        <f t="shared" si="369"/>
        <v>5.216</v>
      </c>
      <c r="GK1006" s="104"/>
      <c r="GL1006" s="104"/>
      <c r="GO1006" s="94"/>
    </row>
    <row r="1007" spans="3:197">
      <c r="C1007" s="80" t="str" cm="1">
        <f t="array" ref="C1007">_xlfn.IFS(MONTH(D1007)&lt;4,1,MONTH(D1007)&lt;7,2,MONTH(D1007)&lt;10,3,MONTH(D1007)&gt;9,4)&amp;"Q"&amp;RIGHT(YEAR(D1007),2)</f>
        <v>1Q20</v>
      </c>
      <c r="D1007" s="81">
        <f t="shared" si="377"/>
        <v>43861</v>
      </c>
      <c r="E1007" s="82">
        <f t="shared" si="376"/>
        <v>43851</v>
      </c>
      <c r="F1007" s="83">
        <f t="shared" si="378"/>
        <v>0.420875</v>
      </c>
      <c r="G1007" s="83">
        <f t="shared" si="378"/>
        <v>0.355</v>
      </c>
      <c r="H1007" s="81"/>
      <c r="I1007" s="146">
        <v>43851</v>
      </c>
      <c r="J1007" s="147">
        <v>3.85</v>
      </c>
      <c r="K1007" s="147">
        <v>3.1</v>
      </c>
      <c r="L1007" s="147">
        <v>3.367</v>
      </c>
      <c r="M1007" s="94" cm="1">
        <f t="array" ref="M1007">INDEX($BV$29:$BV$1449,MATCH($D1007,$BR$29:$BR$1449,0),)</f>
        <v>2.84</v>
      </c>
      <c r="N1007" s="150">
        <f t="shared" si="372"/>
        <v>0.00507462686567162</v>
      </c>
      <c r="O1007" s="150">
        <f t="shared" si="373"/>
        <v>0.0466272925085482</v>
      </c>
      <c r="P1007" s="150">
        <f t="shared" si="370"/>
        <v>0.0767508794371603</v>
      </c>
      <c r="Q1007" s="89">
        <f t="shared" si="374"/>
        <v>0.18556338028169</v>
      </c>
      <c r="AH1007" s="90"/>
      <c r="AI1007" s="85"/>
      <c r="AJ1007" s="36"/>
      <c r="AK1007" s="36"/>
      <c r="AL1007" s="36"/>
      <c r="AM1007" s="36"/>
      <c r="AN1007" s="36"/>
      <c r="AO1007" s="36"/>
      <c r="AP1007" s="36"/>
      <c r="GE1007" s="94"/>
      <c r="GF1007" s="104">
        <f t="shared" si="367"/>
        <v>2016</v>
      </c>
      <c r="GG1007" s="104">
        <f t="shared" si="368"/>
        <v>49</v>
      </c>
      <c r="GH1007" s="35">
        <v>42704</v>
      </c>
      <c r="GI1007" s="26">
        <v>2.612</v>
      </c>
      <c r="GJ1007" s="94">
        <f t="shared" si="369"/>
        <v>5.224</v>
      </c>
      <c r="GK1007" s="104"/>
      <c r="GL1007" s="104"/>
      <c r="GO1007" s="94"/>
    </row>
    <row r="1008" spans="3:197">
      <c r="C1008" s="80" t="str" cm="1">
        <f t="array" ref="C1008">_xlfn.IFS(MONTH(D1008)&lt;4,1,MONTH(D1008)&lt;7,2,MONTH(D1008)&lt;10,3,MONTH(D1008)&gt;9,4)&amp;"Q"&amp;RIGHT(YEAR(D1008),2)</f>
        <v>1Q20</v>
      </c>
      <c r="D1008" s="81">
        <f t="shared" si="377"/>
        <v>43861</v>
      </c>
      <c r="E1008" s="82">
        <f t="shared" si="376"/>
        <v>43852</v>
      </c>
      <c r="F1008" s="83">
        <f t="shared" si="378"/>
        <v>0.422125</v>
      </c>
      <c r="G1008" s="83">
        <f t="shared" si="378"/>
        <v>0.355</v>
      </c>
      <c r="H1008" s="81"/>
      <c r="I1008" s="146">
        <v>43852</v>
      </c>
      <c r="J1008" s="147">
        <v>3.85</v>
      </c>
      <c r="K1008" s="147">
        <v>3.1</v>
      </c>
      <c r="L1008" s="147">
        <v>3.377</v>
      </c>
      <c r="M1008" s="94" cm="1">
        <f t="array" ref="M1008">INDEX($BV$29:$BV$1449,MATCH($D1008,$BR$29:$BR$1449,0),)</f>
        <v>2.84</v>
      </c>
      <c r="N1008" s="150">
        <f t="shared" si="372"/>
        <v>0.00297000297000283</v>
      </c>
      <c r="O1008" s="150">
        <f t="shared" si="373"/>
        <v>0.0336700336700337</v>
      </c>
      <c r="P1008" s="150">
        <f t="shared" si="370"/>
        <v>0.073085478233238</v>
      </c>
      <c r="Q1008" s="89">
        <f t="shared" si="374"/>
        <v>0.189084507042254</v>
      </c>
      <c r="AH1008" s="90"/>
      <c r="AI1008" s="85"/>
      <c r="AJ1008" s="36"/>
      <c r="AK1008" s="36"/>
      <c r="AL1008" s="36"/>
      <c r="AM1008" s="36"/>
      <c r="AN1008" s="36"/>
      <c r="AO1008" s="36"/>
      <c r="AP1008" s="36"/>
      <c r="GE1008" s="94"/>
      <c r="GF1008" s="104">
        <f t="shared" si="367"/>
        <v>2016</v>
      </c>
      <c r="GG1008" s="104">
        <f t="shared" si="368"/>
        <v>49</v>
      </c>
      <c r="GH1008" s="35">
        <v>42705</v>
      </c>
      <c r="GI1008" s="26">
        <v>2.612</v>
      </c>
      <c r="GJ1008" s="94">
        <f t="shared" si="369"/>
        <v>5.224</v>
      </c>
      <c r="GK1008" s="104"/>
      <c r="GL1008" s="104"/>
      <c r="GO1008" s="94"/>
    </row>
    <row r="1009" spans="3:197">
      <c r="C1009" s="80" t="str" cm="1">
        <f t="array" ref="C1009">_xlfn.IFS(MONTH(D1009)&lt;4,1,MONTH(D1009)&lt;7,2,MONTH(D1009)&lt;10,3,MONTH(D1009)&gt;9,4)&amp;"Q"&amp;RIGHT(YEAR(D1009),2)</f>
        <v>1Q20</v>
      </c>
      <c r="D1009" s="81">
        <f t="shared" si="377"/>
        <v>43861</v>
      </c>
      <c r="E1009" s="82">
        <f t="shared" si="376"/>
        <v>43860</v>
      </c>
      <c r="F1009" s="83">
        <f t="shared" si="378"/>
        <v>0.422125</v>
      </c>
      <c r="G1009" s="83">
        <f t="shared" si="378"/>
        <v>0.355</v>
      </c>
      <c r="H1009" s="81"/>
      <c r="I1009" s="146">
        <v>43860</v>
      </c>
      <c r="J1009" s="147">
        <v>3.85</v>
      </c>
      <c r="K1009" s="147">
        <v>3.1</v>
      </c>
      <c r="L1009" s="147">
        <v>3.377</v>
      </c>
      <c r="M1009" s="94" cm="1">
        <f t="array" ref="M1009">INDEX($BV$29:$BV$1449,MATCH($D1009,$BR$29:$BR$1449,0),)</f>
        <v>2.84</v>
      </c>
      <c r="N1009" s="150">
        <f t="shared" si="372"/>
        <v>0</v>
      </c>
      <c r="O1009" s="150">
        <f t="shared" si="373"/>
        <v>0.0141141141141141</v>
      </c>
      <c r="P1009" s="150">
        <f t="shared" si="370"/>
        <v>0.0686708860759493</v>
      </c>
      <c r="Q1009" s="89">
        <f t="shared" si="374"/>
        <v>0.189084507042254</v>
      </c>
      <c r="AH1009" s="90"/>
      <c r="AI1009" s="85"/>
      <c r="AJ1009" s="36"/>
      <c r="AK1009" s="36"/>
      <c r="AL1009" s="36"/>
      <c r="AM1009" s="36"/>
      <c r="AN1009" s="36"/>
      <c r="AO1009" s="36"/>
      <c r="AP1009" s="36"/>
      <c r="GE1009" s="94"/>
      <c r="GF1009" s="104">
        <f t="shared" si="367"/>
        <v>2016</v>
      </c>
      <c r="GG1009" s="104">
        <f t="shared" si="368"/>
        <v>49</v>
      </c>
      <c r="GH1009" s="35">
        <v>42706</v>
      </c>
      <c r="GI1009" s="26">
        <v>2.616</v>
      </c>
      <c r="GJ1009" s="94">
        <f t="shared" si="369"/>
        <v>5.232</v>
      </c>
      <c r="GK1009" s="104"/>
      <c r="GL1009" s="104"/>
      <c r="GO1009" s="94"/>
    </row>
    <row r="1010" spans="3:197">
      <c r="C1010" s="80" t="str" cm="1">
        <f t="array" ref="C1010">_xlfn.IFS(MONTH(D1010)&lt;4,1,MONTH(D1010)&lt;7,2,MONTH(D1010)&lt;10,3,MONTH(D1010)&gt;9,4)&amp;"Q"&amp;RIGHT(YEAR(D1010),2)</f>
        <v>1Q20</v>
      </c>
      <c r="D1010" s="81">
        <f t="shared" si="377"/>
        <v>43861</v>
      </c>
      <c r="E1010" s="82">
        <f t="shared" si="376"/>
        <v>43861</v>
      </c>
      <c r="F1010" s="83">
        <f t="shared" si="378"/>
        <v>0.429125</v>
      </c>
      <c r="G1010" s="83">
        <f t="shared" si="378"/>
        <v>0.355</v>
      </c>
      <c r="H1010" s="81"/>
      <c r="I1010" s="146">
        <v>43861</v>
      </c>
      <c r="J1010" s="147">
        <v>4</v>
      </c>
      <c r="K1010" s="147">
        <v>3.15</v>
      </c>
      <c r="L1010" s="147">
        <v>3.433</v>
      </c>
      <c r="M1010" s="94" cm="1">
        <f t="array" ref="M1010">INDEX($BV$29:$BV$1449,MATCH($D1010,$BR$29:$BR$1449,0),)</f>
        <v>2.84</v>
      </c>
      <c r="N1010" s="150">
        <f t="shared" si="372"/>
        <v>0.0165827657684334</v>
      </c>
      <c r="O1010" s="150">
        <f t="shared" si="373"/>
        <v>0.0269219264134011</v>
      </c>
      <c r="P1010" s="150">
        <f t="shared" si="370"/>
        <v>0.0785422557335846</v>
      </c>
      <c r="Q1010" s="89">
        <f t="shared" si="374"/>
        <v>0.208802816901408</v>
      </c>
      <c r="AH1010" s="90"/>
      <c r="AI1010" s="85"/>
      <c r="AJ1010" s="36"/>
      <c r="AK1010" s="36"/>
      <c r="AL1010" s="36"/>
      <c r="AM1010" s="36"/>
      <c r="AN1010" s="36"/>
      <c r="AO1010" s="36"/>
      <c r="AP1010" s="36"/>
      <c r="GE1010" s="94"/>
      <c r="GF1010" s="104">
        <f t="shared" si="367"/>
        <v>2016</v>
      </c>
      <c r="GG1010" s="104">
        <f t="shared" si="368"/>
        <v>50</v>
      </c>
      <c r="GH1010" s="35">
        <v>42709</v>
      </c>
      <c r="GI1010" s="26">
        <v>2.636</v>
      </c>
      <c r="GJ1010" s="94">
        <f t="shared" si="369"/>
        <v>5.272</v>
      </c>
      <c r="GK1010" s="104"/>
      <c r="GL1010" s="104"/>
      <c r="GO1010" s="94"/>
    </row>
    <row r="1011" spans="3:197">
      <c r="C1011" s="80" t="str" cm="1">
        <f t="array" ref="C1011">_xlfn.IFS(MONTH(D1011)&lt;4,1,MONTH(D1011)&lt;7,2,MONTH(D1011)&lt;10,3,MONTH(D1011)&gt;9,4)&amp;"Q"&amp;RIGHT(YEAR(D1011),2)</f>
        <v>1Q20</v>
      </c>
      <c r="D1011" s="81">
        <f t="shared" si="377"/>
        <v>43890</v>
      </c>
      <c r="E1011" s="82">
        <f t="shared" si="376"/>
        <v>43864</v>
      </c>
      <c r="F1011" s="83">
        <f t="shared" ref="F1011:G1026" si="379">+L1011/8</f>
        <v>0.43</v>
      </c>
      <c r="G1011" s="83">
        <f t="shared" si="379"/>
        <v>0.36</v>
      </c>
      <c r="H1011" s="81"/>
      <c r="I1011" s="146">
        <v>43864</v>
      </c>
      <c r="J1011" s="147">
        <v>4</v>
      </c>
      <c r="K1011" s="147">
        <v>3.15</v>
      </c>
      <c r="L1011" s="147">
        <v>3.44</v>
      </c>
      <c r="M1011" s="94" cm="1">
        <f t="array" ref="M1011">INDEX($BV$29:$BV$1449,MATCH($D1011,$BR$29:$BR$1449,0),)</f>
        <v>2.88</v>
      </c>
      <c r="N1011" s="150">
        <f t="shared" si="372"/>
        <v>0.00203903291581709</v>
      </c>
      <c r="O1011" s="150">
        <f t="shared" si="373"/>
        <v>0.026865671641791</v>
      </c>
      <c r="P1011" s="150">
        <f t="shared" si="370"/>
        <v>0.075</v>
      </c>
      <c r="Q1011" s="89">
        <f t="shared" si="374"/>
        <v>0.194444444444444</v>
      </c>
      <c r="AH1011" s="90"/>
      <c r="AI1011" s="85"/>
      <c r="AJ1011" s="36"/>
      <c r="AK1011" s="36"/>
      <c r="AL1011" s="36"/>
      <c r="AM1011" s="36"/>
      <c r="AN1011" s="36"/>
      <c r="AO1011" s="36"/>
      <c r="AP1011" s="36"/>
      <c r="GE1011" s="94"/>
      <c r="GF1011" s="104">
        <f t="shared" si="367"/>
        <v>2016</v>
      </c>
      <c r="GG1011" s="104">
        <f t="shared" si="368"/>
        <v>50</v>
      </c>
      <c r="GH1011" s="35">
        <v>42710</v>
      </c>
      <c r="GI1011" s="26">
        <v>2.643</v>
      </c>
      <c r="GJ1011" s="94">
        <f t="shared" si="369"/>
        <v>5.286</v>
      </c>
      <c r="GK1011" s="104"/>
      <c r="GL1011" s="104"/>
      <c r="GO1011" s="94"/>
    </row>
    <row r="1012" spans="3:197">
      <c r="C1012" s="80" t="str" cm="1">
        <f t="array" ref="C1012">_xlfn.IFS(MONTH(D1012)&lt;4,1,MONTH(D1012)&lt;7,2,MONTH(D1012)&lt;10,3,MONTH(D1012)&gt;9,4)&amp;"Q"&amp;RIGHT(YEAR(D1012),2)</f>
        <v>1Q20</v>
      </c>
      <c r="D1012" s="81">
        <f t="shared" si="377"/>
        <v>43890</v>
      </c>
      <c r="E1012" s="82">
        <f t="shared" si="376"/>
        <v>43865</v>
      </c>
      <c r="F1012" s="83">
        <f t="shared" si="379"/>
        <v>0.435875</v>
      </c>
      <c r="G1012" s="83">
        <f t="shared" si="379"/>
        <v>0.36</v>
      </c>
      <c r="H1012" s="81"/>
      <c r="I1012" s="146">
        <v>43865</v>
      </c>
      <c r="J1012" s="147">
        <v>4</v>
      </c>
      <c r="K1012" s="147">
        <v>3.25</v>
      </c>
      <c r="L1012" s="147">
        <v>3.487</v>
      </c>
      <c r="M1012" s="94" cm="1">
        <f t="array" ref="M1012">INDEX($BV$29:$BV$1449,MATCH($D1012,$BR$29:$BR$1449,0),)</f>
        <v>2.88</v>
      </c>
      <c r="N1012" s="150">
        <f t="shared" si="372"/>
        <v>0.0136627906976745</v>
      </c>
      <c r="O1012" s="150">
        <f t="shared" si="373"/>
        <v>0.0356400356400357</v>
      </c>
      <c r="P1012" s="150">
        <f t="shared" si="370"/>
        <v>0.083929126515387</v>
      </c>
      <c r="Q1012" s="89">
        <f t="shared" si="374"/>
        <v>0.210763888888889</v>
      </c>
      <c r="AH1012" s="90"/>
      <c r="AI1012" s="85"/>
      <c r="AJ1012" s="36"/>
      <c r="AK1012" s="36"/>
      <c r="AL1012" s="36"/>
      <c r="AM1012" s="36"/>
      <c r="AN1012" s="36"/>
      <c r="AO1012" s="36"/>
      <c r="AP1012" s="36"/>
      <c r="GE1012" s="94"/>
      <c r="GF1012" s="104">
        <f t="shared" ref="GF1012:GF1075" si="380">YEAR(GH1012)</f>
        <v>2016</v>
      </c>
      <c r="GG1012" s="104">
        <f t="shared" ref="GG1012:GG1075" si="381">WEEKNUM(GH1012)</f>
        <v>50</v>
      </c>
      <c r="GH1012" s="35">
        <v>42711</v>
      </c>
      <c r="GI1012" s="26">
        <v>2.674</v>
      </c>
      <c r="GJ1012" s="94">
        <f t="shared" ref="GJ1012:GJ1075" si="382">GI1012*2</f>
        <v>5.348</v>
      </c>
      <c r="GK1012" s="104"/>
      <c r="GL1012" s="104"/>
      <c r="GO1012" s="94"/>
    </row>
    <row r="1013" spans="3:197">
      <c r="C1013" s="80" t="str" cm="1">
        <f t="array" ref="C1013">_xlfn.IFS(MONTH(D1013)&lt;4,1,MONTH(D1013)&lt;7,2,MONTH(D1013)&lt;10,3,MONTH(D1013)&gt;9,4)&amp;"Q"&amp;RIGHT(YEAR(D1013),2)</f>
        <v>1Q20</v>
      </c>
      <c r="D1013" s="81">
        <f t="shared" si="377"/>
        <v>43890</v>
      </c>
      <c r="E1013" s="82">
        <f t="shared" si="376"/>
        <v>43866</v>
      </c>
      <c r="F1013" s="83">
        <f t="shared" si="379"/>
        <v>0.430875</v>
      </c>
      <c r="G1013" s="83">
        <f t="shared" si="379"/>
        <v>0.36</v>
      </c>
      <c r="H1013" s="81"/>
      <c r="I1013" s="146">
        <v>43866</v>
      </c>
      <c r="J1013" s="147">
        <v>4</v>
      </c>
      <c r="K1013" s="147">
        <v>3.2</v>
      </c>
      <c r="L1013" s="147">
        <v>3.447</v>
      </c>
      <c r="M1013" s="94" cm="1">
        <f t="array" ref="M1013">INDEX($BV$29:$BV$1449,MATCH($D1013,$BR$29:$BR$1449,0),)</f>
        <v>2.88</v>
      </c>
      <c r="N1013" s="150">
        <f t="shared" si="372"/>
        <v>-0.0114711786636077</v>
      </c>
      <c r="O1013" s="150">
        <f t="shared" si="373"/>
        <v>0.020728457210542</v>
      </c>
      <c r="P1013" s="150">
        <f t="shared" si="370"/>
        <v>0.0550964187327825</v>
      </c>
      <c r="Q1013" s="89">
        <f t="shared" si="374"/>
        <v>0.196875</v>
      </c>
      <c r="AH1013" s="90"/>
      <c r="AI1013" s="85"/>
      <c r="AJ1013" s="36"/>
      <c r="AK1013" s="36"/>
      <c r="AL1013" s="36"/>
      <c r="AM1013" s="36"/>
      <c r="AN1013" s="36"/>
      <c r="AO1013" s="36"/>
      <c r="AP1013" s="36"/>
      <c r="GE1013" s="94"/>
      <c r="GF1013" s="104">
        <f t="shared" si="380"/>
        <v>2016</v>
      </c>
      <c r="GG1013" s="104">
        <f t="shared" si="381"/>
        <v>50</v>
      </c>
      <c r="GH1013" s="35">
        <v>42712</v>
      </c>
      <c r="GI1013" s="26">
        <v>2.686</v>
      </c>
      <c r="GJ1013" s="94">
        <f t="shared" si="382"/>
        <v>5.372</v>
      </c>
      <c r="GK1013" s="104"/>
      <c r="GL1013" s="104"/>
      <c r="GO1013" s="94"/>
    </row>
    <row r="1014" spans="3:197">
      <c r="C1014" s="80" t="str" cm="1">
        <f t="array" ref="C1014">_xlfn.IFS(MONTH(D1014)&lt;4,1,MONTH(D1014)&lt;7,2,MONTH(D1014)&lt;10,3,MONTH(D1014)&gt;9,4)&amp;"Q"&amp;RIGHT(YEAR(D1014),2)</f>
        <v>1Q20</v>
      </c>
      <c r="D1014" s="81">
        <f t="shared" si="377"/>
        <v>43890</v>
      </c>
      <c r="E1014" s="82">
        <f t="shared" si="376"/>
        <v>43867</v>
      </c>
      <c r="F1014" s="83">
        <f t="shared" si="379"/>
        <v>0.428375</v>
      </c>
      <c r="G1014" s="83">
        <f t="shared" si="379"/>
        <v>0.36</v>
      </c>
      <c r="H1014" s="81"/>
      <c r="I1014" s="146">
        <v>43867</v>
      </c>
      <c r="J1014" s="147">
        <v>3.9</v>
      </c>
      <c r="K1014" s="147">
        <v>3.15</v>
      </c>
      <c r="L1014" s="147">
        <v>3.427</v>
      </c>
      <c r="M1014" s="94" cm="1">
        <f t="array" ref="M1014">INDEX($BV$29:$BV$1449,MATCH($D1014,$BR$29:$BR$1449,0),)</f>
        <v>2.88</v>
      </c>
      <c r="N1014" s="150">
        <f t="shared" si="372"/>
        <v>-0.0058021467943139</v>
      </c>
      <c r="O1014" s="150">
        <f t="shared" si="373"/>
        <v>0.0148060408646729</v>
      </c>
      <c r="P1014" s="150">
        <f t="shared" si="370"/>
        <v>0.0291291291291291</v>
      </c>
      <c r="Q1014" s="89">
        <f t="shared" si="374"/>
        <v>0.189930555555556</v>
      </c>
      <c r="AH1014" s="90"/>
      <c r="AI1014" s="85"/>
      <c r="AJ1014" s="36"/>
      <c r="AK1014" s="36"/>
      <c r="AL1014" s="36"/>
      <c r="AM1014" s="36"/>
      <c r="AN1014" s="36"/>
      <c r="AO1014" s="36"/>
      <c r="AP1014" s="36"/>
      <c r="GE1014" s="94"/>
      <c r="GF1014" s="104">
        <f t="shared" si="380"/>
        <v>2016</v>
      </c>
      <c r="GG1014" s="104">
        <f t="shared" si="381"/>
        <v>50</v>
      </c>
      <c r="GH1014" s="35">
        <v>42713</v>
      </c>
      <c r="GI1014" s="26">
        <v>2.698</v>
      </c>
      <c r="GJ1014" s="94">
        <f t="shared" si="382"/>
        <v>5.396</v>
      </c>
      <c r="GK1014" s="104"/>
      <c r="GL1014" s="104"/>
      <c r="GO1014" s="94"/>
    </row>
    <row r="1015" spans="3:197">
      <c r="C1015" s="80" t="str" cm="1">
        <f t="array" ref="C1015">_xlfn.IFS(MONTH(D1015)&lt;4,1,MONTH(D1015)&lt;7,2,MONTH(D1015)&lt;10,3,MONTH(D1015)&gt;9,4)&amp;"Q"&amp;RIGHT(YEAR(D1015),2)</f>
        <v>1Q20</v>
      </c>
      <c r="D1015" s="81">
        <f t="shared" si="377"/>
        <v>43890</v>
      </c>
      <c r="E1015" s="82">
        <f t="shared" si="376"/>
        <v>43868</v>
      </c>
      <c r="F1015" s="83">
        <f t="shared" si="379"/>
        <v>0.426625</v>
      </c>
      <c r="G1015" s="83">
        <f t="shared" si="379"/>
        <v>0.36</v>
      </c>
      <c r="H1015" s="81"/>
      <c r="I1015" s="146">
        <v>43868</v>
      </c>
      <c r="J1015" s="147">
        <v>3.9</v>
      </c>
      <c r="K1015" s="147">
        <v>3.15</v>
      </c>
      <c r="L1015" s="147">
        <v>3.413</v>
      </c>
      <c r="M1015" s="94" cm="1">
        <f t="array" ref="M1015">INDEX($BV$29:$BV$1449,MATCH($D1015,$BR$29:$BR$1449,0),)</f>
        <v>2.88</v>
      </c>
      <c r="N1015" s="150">
        <f t="shared" si="372"/>
        <v>-0.00408520571928805</v>
      </c>
      <c r="O1015" s="150">
        <f t="shared" si="373"/>
        <v>-0.00582580833090596</v>
      </c>
      <c r="P1015" s="150">
        <f t="shared" si="370"/>
        <v>0.0209392760993119</v>
      </c>
      <c r="Q1015" s="89">
        <f t="shared" si="374"/>
        <v>0.185069444444445</v>
      </c>
      <c r="AH1015" s="90"/>
      <c r="AI1015" s="85"/>
      <c r="AJ1015" s="36"/>
      <c r="AK1015" s="36"/>
      <c r="AL1015" s="36"/>
      <c r="AM1015" s="36"/>
      <c r="AN1015" s="36"/>
      <c r="AO1015" s="36"/>
      <c r="AP1015" s="36"/>
      <c r="GE1015" s="94"/>
      <c r="GF1015" s="104">
        <f t="shared" si="380"/>
        <v>2016</v>
      </c>
      <c r="GG1015" s="104">
        <f t="shared" si="381"/>
        <v>51</v>
      </c>
      <c r="GH1015" s="35">
        <v>42716</v>
      </c>
      <c r="GI1015" s="26">
        <v>2.706</v>
      </c>
      <c r="GJ1015" s="94">
        <f t="shared" si="382"/>
        <v>5.412</v>
      </c>
      <c r="GK1015" s="104"/>
      <c r="GL1015" s="104"/>
      <c r="GO1015" s="94"/>
    </row>
    <row r="1016" spans="3:197">
      <c r="C1016" s="80" t="str" cm="1">
        <f t="array" ref="C1016">_xlfn.IFS(MONTH(D1016)&lt;4,1,MONTH(D1016)&lt;7,2,MONTH(D1016)&lt;10,3,MONTH(D1016)&gt;9,4)&amp;"Q"&amp;RIGHT(YEAR(D1016),2)</f>
        <v>1Q20</v>
      </c>
      <c r="D1016" s="81">
        <f t="shared" si="377"/>
        <v>43890</v>
      </c>
      <c r="E1016" s="82">
        <f t="shared" si="376"/>
        <v>43871</v>
      </c>
      <c r="F1016" s="83">
        <f t="shared" si="379"/>
        <v>0.426625</v>
      </c>
      <c r="G1016" s="83">
        <f t="shared" si="379"/>
        <v>0.36</v>
      </c>
      <c r="H1016" s="81"/>
      <c r="I1016" s="146">
        <v>43871</v>
      </c>
      <c r="J1016" s="147">
        <v>3.9</v>
      </c>
      <c r="K1016" s="147">
        <v>3.15</v>
      </c>
      <c r="L1016" s="147">
        <v>3.413</v>
      </c>
      <c r="M1016" s="94" cm="1">
        <f t="array" ref="M1016">INDEX($BV$29:$BV$1449,MATCH($D1016,$BR$29:$BR$1449,0),)</f>
        <v>2.88</v>
      </c>
      <c r="N1016" s="150">
        <f t="shared" si="372"/>
        <v>0</v>
      </c>
      <c r="O1016" s="150">
        <f t="shared" si="373"/>
        <v>-0.00784883720930241</v>
      </c>
      <c r="P1016" s="150">
        <f t="shared" si="370"/>
        <v>0.0188059701492536</v>
      </c>
      <c r="Q1016" s="89">
        <f t="shared" si="374"/>
        <v>0.185069444444445</v>
      </c>
      <c r="AH1016" s="90"/>
      <c r="AI1016" s="85"/>
      <c r="AJ1016" s="36"/>
      <c r="AK1016" s="36"/>
      <c r="AL1016" s="36"/>
      <c r="AM1016" s="36"/>
      <c r="AN1016" s="36"/>
      <c r="AO1016" s="36"/>
      <c r="AP1016" s="36"/>
      <c r="GE1016" s="94"/>
      <c r="GF1016" s="104">
        <f t="shared" si="380"/>
        <v>2016</v>
      </c>
      <c r="GG1016" s="104">
        <f t="shared" si="381"/>
        <v>51</v>
      </c>
      <c r="GH1016" s="35">
        <v>42717</v>
      </c>
      <c r="GI1016" s="26">
        <v>2.707</v>
      </c>
      <c r="GJ1016" s="94">
        <f t="shared" si="382"/>
        <v>5.414</v>
      </c>
      <c r="GK1016" s="104"/>
      <c r="GL1016" s="104"/>
      <c r="GO1016" s="94"/>
    </row>
    <row r="1017" spans="3:197">
      <c r="C1017" s="80" t="str" cm="1">
        <f t="array" ref="C1017">_xlfn.IFS(MONTH(D1017)&lt;4,1,MONTH(D1017)&lt;7,2,MONTH(D1017)&lt;10,3,MONTH(D1017)&gt;9,4)&amp;"Q"&amp;RIGHT(YEAR(D1017),2)</f>
        <v>1Q20</v>
      </c>
      <c r="D1017" s="81">
        <f t="shared" si="377"/>
        <v>43890</v>
      </c>
      <c r="E1017" s="82">
        <f t="shared" si="376"/>
        <v>43872</v>
      </c>
      <c r="F1017" s="83">
        <f t="shared" si="379"/>
        <v>0.426625</v>
      </c>
      <c r="G1017" s="83">
        <f t="shared" si="379"/>
        <v>0.36</v>
      </c>
      <c r="H1017" s="81"/>
      <c r="I1017" s="146">
        <v>43872</v>
      </c>
      <c r="J1017" s="147">
        <v>3.88</v>
      </c>
      <c r="K1017" s="147">
        <v>3.17</v>
      </c>
      <c r="L1017" s="147">
        <v>3.413</v>
      </c>
      <c r="M1017" s="94" cm="1">
        <f t="array" ref="M1017">INDEX($BV$29:$BV$1449,MATCH($D1017,$BR$29:$BR$1449,0),)</f>
        <v>2.88</v>
      </c>
      <c r="N1017" s="150">
        <f t="shared" si="372"/>
        <v>0</v>
      </c>
      <c r="O1017" s="150">
        <f t="shared" si="373"/>
        <v>-0.0212216805276743</v>
      </c>
      <c r="P1017" s="150">
        <f t="shared" si="370"/>
        <v>0.0136620136620136</v>
      </c>
      <c r="Q1017" s="89">
        <f t="shared" si="374"/>
        <v>0.185069444444445</v>
      </c>
      <c r="AH1017" s="90"/>
      <c r="AI1017" s="85"/>
      <c r="AJ1017" s="36"/>
      <c r="AK1017" s="36"/>
      <c r="AL1017" s="36"/>
      <c r="AM1017" s="36"/>
      <c r="AN1017" s="36"/>
      <c r="AO1017" s="36"/>
      <c r="AP1017" s="36"/>
      <c r="GE1017" s="94"/>
      <c r="GF1017" s="104">
        <f t="shared" si="380"/>
        <v>2016</v>
      </c>
      <c r="GG1017" s="104">
        <f t="shared" si="381"/>
        <v>51</v>
      </c>
      <c r="GH1017" s="35">
        <v>42718</v>
      </c>
      <c r="GI1017" s="26">
        <v>2.707</v>
      </c>
      <c r="GJ1017" s="94">
        <f t="shared" si="382"/>
        <v>5.414</v>
      </c>
      <c r="GK1017" s="104"/>
      <c r="GL1017" s="104"/>
      <c r="GO1017" s="94"/>
    </row>
    <row r="1018" spans="3:197">
      <c r="C1018" s="80" t="str" cm="1">
        <f t="array" ref="C1018">_xlfn.IFS(MONTH(D1018)&lt;4,1,MONTH(D1018)&lt;7,2,MONTH(D1018)&lt;10,3,MONTH(D1018)&gt;9,4)&amp;"Q"&amp;RIGHT(YEAR(D1018),2)</f>
        <v>1Q20</v>
      </c>
      <c r="D1018" s="81">
        <f t="shared" si="377"/>
        <v>43890</v>
      </c>
      <c r="E1018" s="82">
        <f t="shared" si="376"/>
        <v>43873</v>
      </c>
      <c r="F1018" s="83">
        <f t="shared" si="379"/>
        <v>0.426625</v>
      </c>
      <c r="G1018" s="83">
        <f t="shared" si="379"/>
        <v>0.36</v>
      </c>
      <c r="H1018" s="81"/>
      <c r="I1018" s="146">
        <v>43873</v>
      </c>
      <c r="J1018" s="147">
        <v>3.88</v>
      </c>
      <c r="K1018" s="147">
        <v>3.17</v>
      </c>
      <c r="L1018" s="147">
        <v>3.413</v>
      </c>
      <c r="M1018" s="94" cm="1">
        <f t="array" ref="M1018">INDEX($BV$29:$BV$1449,MATCH($D1018,$BR$29:$BR$1449,0),)</f>
        <v>2.88</v>
      </c>
      <c r="N1018" s="150">
        <f t="shared" si="372"/>
        <v>0</v>
      </c>
      <c r="O1018" s="150">
        <f t="shared" si="373"/>
        <v>-0.0098636495503337</v>
      </c>
      <c r="P1018" s="150">
        <f t="shared" si="370"/>
        <v>0.0106603494225643</v>
      </c>
      <c r="Q1018" s="89">
        <f t="shared" si="374"/>
        <v>0.185069444444445</v>
      </c>
      <c r="AH1018" s="90"/>
      <c r="AI1018" s="85"/>
      <c r="AJ1018" s="36"/>
      <c r="AK1018" s="36"/>
      <c r="AL1018" s="36"/>
      <c r="AM1018" s="36"/>
      <c r="AN1018" s="36"/>
      <c r="AO1018" s="36"/>
      <c r="AP1018" s="36"/>
      <c r="GE1018" s="94"/>
      <c r="GF1018" s="104">
        <f t="shared" si="380"/>
        <v>2016</v>
      </c>
      <c r="GG1018" s="104">
        <f t="shared" si="381"/>
        <v>51</v>
      </c>
      <c r="GH1018" s="35">
        <v>42719</v>
      </c>
      <c r="GI1018" s="26">
        <v>2.707</v>
      </c>
      <c r="GJ1018" s="94">
        <f t="shared" si="382"/>
        <v>5.414</v>
      </c>
      <c r="GK1018" s="104"/>
      <c r="GL1018" s="104"/>
      <c r="GO1018" s="94"/>
    </row>
    <row r="1019" spans="3:197">
      <c r="C1019" s="80" t="str" cm="1">
        <f t="array" ref="C1019">_xlfn.IFS(MONTH(D1019)&lt;4,1,MONTH(D1019)&lt;7,2,MONTH(D1019)&lt;10,3,MONTH(D1019)&gt;9,4)&amp;"Q"&amp;RIGHT(YEAR(D1019),2)</f>
        <v>1Q20</v>
      </c>
      <c r="D1019" s="81">
        <f t="shared" si="377"/>
        <v>43890</v>
      </c>
      <c r="E1019" s="82">
        <f t="shared" si="376"/>
        <v>43874</v>
      </c>
      <c r="F1019" s="83">
        <f t="shared" si="379"/>
        <v>0.426625</v>
      </c>
      <c r="G1019" s="83">
        <f t="shared" si="379"/>
        <v>0.36</v>
      </c>
      <c r="H1019" s="81"/>
      <c r="I1019" s="146">
        <v>43874</v>
      </c>
      <c r="J1019" s="147">
        <v>3.88</v>
      </c>
      <c r="K1019" s="147">
        <v>3.17</v>
      </c>
      <c r="L1019" s="147">
        <v>3.413</v>
      </c>
      <c r="M1019" s="94" cm="1">
        <f t="array" ref="M1019">INDEX($BV$29:$BV$1449,MATCH($D1019,$BR$29:$BR$1449,0),)</f>
        <v>2.88</v>
      </c>
      <c r="N1019" s="150">
        <f t="shared" si="372"/>
        <v>0</v>
      </c>
      <c r="O1019" s="150">
        <f t="shared" si="373"/>
        <v>-0.00408520571928805</v>
      </c>
      <c r="P1019" s="150">
        <f t="shared" si="370"/>
        <v>0.0106603494225643</v>
      </c>
      <c r="Q1019" s="89">
        <f t="shared" si="374"/>
        <v>0.185069444444445</v>
      </c>
      <c r="AH1019" s="90"/>
      <c r="AI1019" s="85"/>
      <c r="AJ1019" s="36"/>
      <c r="AK1019" s="36"/>
      <c r="AL1019" s="36"/>
      <c r="AM1019" s="36"/>
      <c r="AN1019" s="36"/>
      <c r="AO1019" s="36"/>
      <c r="AP1019" s="36"/>
      <c r="GE1019" s="94"/>
      <c r="GF1019" s="104">
        <f t="shared" si="380"/>
        <v>2016</v>
      </c>
      <c r="GG1019" s="104">
        <f t="shared" si="381"/>
        <v>51</v>
      </c>
      <c r="GH1019" s="35">
        <v>42720</v>
      </c>
      <c r="GI1019" s="26">
        <v>2.718</v>
      </c>
      <c r="GJ1019" s="94">
        <f t="shared" si="382"/>
        <v>5.436</v>
      </c>
      <c r="GK1019" s="104"/>
      <c r="GL1019" s="104"/>
      <c r="GO1019" s="94"/>
    </row>
    <row r="1020" spans="3:197">
      <c r="C1020" s="80" t="str" cm="1">
        <f t="array" ref="C1020">_xlfn.IFS(MONTH(D1020)&lt;4,1,MONTH(D1020)&lt;7,2,MONTH(D1020)&lt;10,3,MONTH(D1020)&gt;9,4)&amp;"Q"&amp;RIGHT(YEAR(D1020),2)</f>
        <v>1Q20</v>
      </c>
      <c r="D1020" s="81">
        <f t="shared" si="377"/>
        <v>43890</v>
      </c>
      <c r="E1020" s="82">
        <f t="shared" si="376"/>
        <v>43875</v>
      </c>
      <c r="F1020" s="83">
        <f t="shared" si="379"/>
        <v>0.426625</v>
      </c>
      <c r="G1020" s="83">
        <f t="shared" si="379"/>
        <v>0.36</v>
      </c>
      <c r="H1020" s="81"/>
      <c r="I1020" s="146">
        <v>43875</v>
      </c>
      <c r="J1020" s="147">
        <v>3.88</v>
      </c>
      <c r="K1020" s="147">
        <v>3.17</v>
      </c>
      <c r="L1020" s="147">
        <v>3.413</v>
      </c>
      <c r="M1020" s="94" cm="1">
        <f t="array" ref="M1020">INDEX($BV$29:$BV$1449,MATCH($D1020,$BR$29:$BR$1449,0),)</f>
        <v>2.88</v>
      </c>
      <c r="N1020" s="150">
        <f t="shared" si="372"/>
        <v>0</v>
      </c>
      <c r="O1020" s="150">
        <f t="shared" si="373"/>
        <v>0</v>
      </c>
      <c r="P1020" s="150">
        <f t="shared" si="370"/>
        <v>-0.00582580833090596</v>
      </c>
      <c r="Q1020" s="89">
        <f t="shared" si="374"/>
        <v>0.185069444444445</v>
      </c>
      <c r="AH1020" s="90"/>
      <c r="AI1020" s="85"/>
      <c r="AJ1020" s="36"/>
      <c r="AK1020" s="36"/>
      <c r="AL1020" s="36"/>
      <c r="AM1020" s="36"/>
      <c r="AN1020" s="36"/>
      <c r="AO1020" s="36"/>
      <c r="AP1020" s="36"/>
      <c r="GE1020" s="94"/>
      <c r="GF1020" s="104">
        <f t="shared" si="380"/>
        <v>2016</v>
      </c>
      <c r="GG1020" s="104">
        <f t="shared" si="381"/>
        <v>52</v>
      </c>
      <c r="GH1020" s="35">
        <v>42723</v>
      </c>
      <c r="GI1020" s="26">
        <v>2.739</v>
      </c>
      <c r="GJ1020" s="94">
        <f t="shared" si="382"/>
        <v>5.478</v>
      </c>
      <c r="GK1020" s="104"/>
      <c r="GL1020" s="104"/>
      <c r="GO1020" s="94"/>
    </row>
    <row r="1021" spans="3:197">
      <c r="C1021" s="80" t="str" cm="1">
        <f t="array" ref="C1021">_xlfn.IFS(MONTH(D1021)&lt;4,1,MONTH(D1021)&lt;7,2,MONTH(D1021)&lt;10,3,MONTH(D1021)&gt;9,4)&amp;"Q"&amp;RIGHT(YEAR(D1021),2)</f>
        <v>1Q20</v>
      </c>
      <c r="D1021" s="81">
        <f t="shared" si="377"/>
        <v>43890</v>
      </c>
      <c r="E1021" s="82">
        <f t="shared" si="376"/>
        <v>43878</v>
      </c>
      <c r="F1021" s="83">
        <f t="shared" si="379"/>
        <v>0.424125</v>
      </c>
      <c r="G1021" s="83">
        <f t="shared" si="379"/>
        <v>0.36</v>
      </c>
      <c r="H1021" s="81"/>
      <c r="I1021" s="146">
        <v>43878</v>
      </c>
      <c r="J1021" s="147">
        <v>3.85</v>
      </c>
      <c r="K1021" s="147">
        <v>3.15</v>
      </c>
      <c r="L1021" s="147">
        <v>3.393</v>
      </c>
      <c r="M1021" s="94" cm="1">
        <f t="array" ref="M1021">INDEX($BV$29:$BV$1449,MATCH($D1021,$BR$29:$BR$1449,0),)</f>
        <v>2.88</v>
      </c>
      <c r="N1021" s="150">
        <f t="shared" si="372"/>
        <v>-0.00585994726047467</v>
      </c>
      <c r="O1021" s="150">
        <f t="shared" ref="O1021:O1040" si="383">L1021/L1016-1</f>
        <v>-0.00585994726047467</v>
      </c>
      <c r="P1021" s="150">
        <f t="shared" si="370"/>
        <v>-0.0136627906976745</v>
      </c>
      <c r="Q1021" s="89">
        <f t="shared" si="374"/>
        <v>0.178125</v>
      </c>
      <c r="AH1021" s="90"/>
      <c r="AI1021" s="85"/>
      <c r="AJ1021" s="36"/>
      <c r="AK1021" s="36"/>
      <c r="AL1021" s="36"/>
      <c r="AM1021" s="36"/>
      <c r="AN1021" s="36"/>
      <c r="AO1021" s="36"/>
      <c r="AP1021" s="36"/>
      <c r="GE1021" s="94"/>
      <c r="GF1021" s="104">
        <f t="shared" si="380"/>
        <v>2016</v>
      </c>
      <c r="GG1021" s="104">
        <f t="shared" si="381"/>
        <v>52</v>
      </c>
      <c r="GH1021" s="35">
        <v>42724</v>
      </c>
      <c r="GI1021" s="26">
        <v>2.743</v>
      </c>
      <c r="GJ1021" s="94">
        <f t="shared" si="382"/>
        <v>5.486</v>
      </c>
      <c r="GK1021" s="104"/>
      <c r="GL1021" s="104"/>
      <c r="GO1021" s="94"/>
    </row>
    <row r="1022" spans="3:197">
      <c r="C1022" s="80" t="str" cm="1">
        <f t="array" ref="C1022">_xlfn.IFS(MONTH(D1022)&lt;4,1,MONTH(D1022)&lt;7,2,MONTH(D1022)&lt;10,3,MONTH(D1022)&gt;9,4)&amp;"Q"&amp;RIGHT(YEAR(D1022),2)</f>
        <v>1Q20</v>
      </c>
      <c r="D1022" s="81">
        <f t="shared" si="377"/>
        <v>43890</v>
      </c>
      <c r="E1022" s="82">
        <f t="shared" si="376"/>
        <v>43879</v>
      </c>
      <c r="F1022" s="83">
        <f t="shared" si="379"/>
        <v>0.4225</v>
      </c>
      <c r="G1022" s="83">
        <f t="shared" si="379"/>
        <v>0.36</v>
      </c>
      <c r="H1022" s="81"/>
      <c r="I1022" s="146">
        <v>43879</v>
      </c>
      <c r="J1022" s="147">
        <v>3.85</v>
      </c>
      <c r="K1022" s="147">
        <v>3.14</v>
      </c>
      <c r="L1022" s="147">
        <v>3.38</v>
      </c>
      <c r="M1022" s="94" cm="1">
        <f t="array" ref="M1022">INDEX($BV$29:$BV$1449,MATCH($D1022,$BR$29:$BR$1449,0),)</f>
        <v>2.88</v>
      </c>
      <c r="N1022" s="150">
        <f t="shared" si="372"/>
        <v>-0.00383141762452099</v>
      </c>
      <c r="O1022" s="150">
        <f t="shared" si="383"/>
        <v>-0.00966891297978312</v>
      </c>
      <c r="P1022" s="150">
        <f t="shared" si="370"/>
        <v>-0.0306854029251507</v>
      </c>
      <c r="Q1022" s="89">
        <f t="shared" si="374"/>
        <v>0.173611111111111</v>
      </c>
      <c r="AH1022" s="90"/>
      <c r="AI1022" s="85"/>
      <c r="AJ1022" s="36"/>
      <c r="AK1022" s="36"/>
      <c r="AL1022" s="36"/>
      <c r="AM1022" s="36"/>
      <c r="AN1022" s="36"/>
      <c r="AO1022" s="36"/>
      <c r="AP1022" s="36"/>
      <c r="GE1022" s="94"/>
      <c r="GF1022" s="104">
        <f t="shared" si="380"/>
        <v>2016</v>
      </c>
      <c r="GG1022" s="104">
        <f t="shared" si="381"/>
        <v>52</v>
      </c>
      <c r="GH1022" s="35">
        <v>42725</v>
      </c>
      <c r="GI1022" s="26">
        <v>2.748</v>
      </c>
      <c r="GJ1022" s="94">
        <f t="shared" si="382"/>
        <v>5.496</v>
      </c>
      <c r="GK1022" s="104"/>
      <c r="GL1022" s="104"/>
      <c r="GO1022" s="94"/>
    </row>
    <row r="1023" spans="3:197">
      <c r="C1023" s="80" t="str" cm="1">
        <f t="array" ref="C1023">_xlfn.IFS(MONTH(D1023)&lt;4,1,MONTH(D1023)&lt;7,2,MONTH(D1023)&lt;10,3,MONTH(D1023)&gt;9,4)&amp;"Q"&amp;RIGHT(YEAR(D1023),2)</f>
        <v>1Q20</v>
      </c>
      <c r="D1023" s="81">
        <f t="shared" si="377"/>
        <v>43890</v>
      </c>
      <c r="E1023" s="82">
        <f t="shared" si="376"/>
        <v>43880</v>
      </c>
      <c r="F1023" s="83">
        <f t="shared" si="379"/>
        <v>0.414625</v>
      </c>
      <c r="G1023" s="83">
        <f t="shared" si="379"/>
        <v>0.36</v>
      </c>
      <c r="H1023" s="81"/>
      <c r="I1023" s="146">
        <v>43880</v>
      </c>
      <c r="J1023" s="147">
        <v>3.7</v>
      </c>
      <c r="K1023" s="147">
        <v>3.13</v>
      </c>
      <c r="L1023" s="147">
        <v>3.317</v>
      </c>
      <c r="M1023" s="94" cm="1">
        <f t="array" ref="M1023">INDEX($BV$29:$BV$1449,MATCH($D1023,$BR$29:$BR$1449,0),)</f>
        <v>2.88</v>
      </c>
      <c r="N1023" s="150">
        <f t="shared" si="372"/>
        <v>-0.0186390532544378</v>
      </c>
      <c r="O1023" s="150">
        <f t="shared" si="383"/>
        <v>-0.0281277468502782</v>
      </c>
      <c r="P1023" s="150">
        <f t="shared" si="370"/>
        <v>-0.0377139541630402</v>
      </c>
      <c r="Q1023" s="89">
        <f t="shared" si="374"/>
        <v>0.151736111111111</v>
      </c>
      <c r="AH1023" s="90"/>
      <c r="AI1023" s="85"/>
      <c r="AJ1023" s="36"/>
      <c r="AK1023" s="36"/>
      <c r="AL1023" s="36"/>
      <c r="AM1023" s="36"/>
      <c r="AN1023" s="36"/>
      <c r="AO1023" s="36"/>
      <c r="AP1023" s="36"/>
      <c r="GE1023" s="94"/>
      <c r="GF1023" s="104">
        <f t="shared" si="380"/>
        <v>2016</v>
      </c>
      <c r="GG1023" s="104">
        <f t="shared" si="381"/>
        <v>52</v>
      </c>
      <c r="GH1023" s="35">
        <v>42726</v>
      </c>
      <c r="GI1023" s="26">
        <v>2.761</v>
      </c>
      <c r="GJ1023" s="94">
        <f t="shared" si="382"/>
        <v>5.522</v>
      </c>
      <c r="GK1023" s="104"/>
      <c r="GL1023" s="104"/>
      <c r="GO1023" s="94"/>
    </row>
    <row r="1024" spans="3:197">
      <c r="C1024" s="80" t="str" cm="1">
        <f t="array" ref="C1024">_xlfn.IFS(MONTH(D1024)&lt;4,1,MONTH(D1024)&lt;7,2,MONTH(D1024)&lt;10,3,MONTH(D1024)&gt;9,4)&amp;"Q"&amp;RIGHT(YEAR(D1024),2)</f>
        <v>1Q20</v>
      </c>
      <c r="D1024" s="81">
        <f t="shared" si="377"/>
        <v>43890</v>
      </c>
      <c r="E1024" s="82">
        <f t="shared" si="376"/>
        <v>43881</v>
      </c>
      <c r="F1024" s="83">
        <f t="shared" si="379"/>
        <v>0.414625</v>
      </c>
      <c r="G1024" s="83">
        <f t="shared" si="379"/>
        <v>0.36</v>
      </c>
      <c r="H1024" s="81"/>
      <c r="I1024" s="146">
        <v>43881</v>
      </c>
      <c r="J1024" s="147">
        <v>3.75</v>
      </c>
      <c r="K1024" s="147">
        <v>3.1</v>
      </c>
      <c r="L1024" s="147">
        <v>3.317</v>
      </c>
      <c r="M1024" s="94" cm="1">
        <f t="array" ref="M1024">INDEX($BV$29:$BV$1449,MATCH($D1024,$BR$29:$BR$1449,0),)</f>
        <v>2.88</v>
      </c>
      <c r="N1024" s="150">
        <f t="shared" si="372"/>
        <v>0</v>
      </c>
      <c r="O1024" s="150">
        <f t="shared" si="383"/>
        <v>-0.0281277468502782</v>
      </c>
      <c r="P1024" s="150">
        <f t="shared" ref="P1024:P1087" si="384">L1024/L1014-1</f>
        <v>-0.0320980449372629</v>
      </c>
      <c r="Q1024" s="89">
        <f t="shared" si="374"/>
        <v>0.151736111111111</v>
      </c>
      <c r="AH1024" s="90"/>
      <c r="AI1024" s="85"/>
      <c r="AJ1024" s="36"/>
      <c r="AK1024" s="36"/>
      <c r="AL1024" s="36"/>
      <c r="AM1024" s="36"/>
      <c r="AN1024" s="36"/>
      <c r="AO1024" s="36"/>
      <c r="AP1024" s="36"/>
      <c r="GE1024" s="94"/>
      <c r="GF1024" s="104">
        <f t="shared" si="380"/>
        <v>2016</v>
      </c>
      <c r="GG1024" s="104">
        <f t="shared" si="381"/>
        <v>52</v>
      </c>
      <c r="GH1024" s="35">
        <v>42727</v>
      </c>
      <c r="GI1024" s="26">
        <v>2.773</v>
      </c>
      <c r="GJ1024" s="94">
        <f t="shared" si="382"/>
        <v>5.546</v>
      </c>
      <c r="GK1024" s="104"/>
      <c r="GL1024" s="104"/>
      <c r="GO1024" s="94"/>
    </row>
    <row r="1025" spans="3:197">
      <c r="C1025" s="80" t="str" cm="1">
        <f t="array" ref="C1025">_xlfn.IFS(MONTH(D1025)&lt;4,1,MONTH(D1025)&lt;7,2,MONTH(D1025)&lt;10,3,MONTH(D1025)&gt;9,4)&amp;"Q"&amp;RIGHT(YEAR(D1025),2)</f>
        <v>1Q20</v>
      </c>
      <c r="D1025" s="81">
        <f t="shared" si="377"/>
        <v>43890</v>
      </c>
      <c r="E1025" s="82">
        <f t="shared" si="376"/>
        <v>43882</v>
      </c>
      <c r="F1025" s="83">
        <f t="shared" si="379"/>
        <v>0.414625</v>
      </c>
      <c r="G1025" s="83">
        <f t="shared" si="379"/>
        <v>0.36</v>
      </c>
      <c r="H1025" s="81"/>
      <c r="I1025" s="146">
        <v>43882</v>
      </c>
      <c r="J1025" s="147">
        <v>3.8</v>
      </c>
      <c r="K1025" s="147">
        <v>3.1</v>
      </c>
      <c r="L1025" s="147">
        <v>3.317</v>
      </c>
      <c r="M1025" s="94" cm="1">
        <f t="array" ref="M1025">INDEX($BV$29:$BV$1449,MATCH($D1025,$BR$29:$BR$1449,0),)</f>
        <v>2.88</v>
      </c>
      <c r="N1025" s="150">
        <f t="shared" si="372"/>
        <v>0</v>
      </c>
      <c r="O1025" s="150">
        <f t="shared" si="383"/>
        <v>-0.0281277468502782</v>
      </c>
      <c r="P1025" s="150">
        <f t="shared" si="384"/>
        <v>-0.0281277468502782</v>
      </c>
      <c r="Q1025" s="89">
        <f t="shared" si="374"/>
        <v>0.151736111111111</v>
      </c>
      <c r="AH1025" s="90"/>
      <c r="AI1025" s="85"/>
      <c r="AJ1025" s="36"/>
      <c r="AK1025" s="36"/>
      <c r="AL1025" s="36"/>
      <c r="AM1025" s="36"/>
      <c r="AN1025" s="36"/>
      <c r="AO1025" s="36"/>
      <c r="AP1025" s="36"/>
      <c r="GE1025" s="94"/>
      <c r="GF1025" s="104">
        <f t="shared" si="380"/>
        <v>2016</v>
      </c>
      <c r="GG1025" s="104">
        <f t="shared" si="381"/>
        <v>53</v>
      </c>
      <c r="GH1025" s="35">
        <v>42730</v>
      </c>
      <c r="GI1025" s="26">
        <v>2.778</v>
      </c>
      <c r="GJ1025" s="94">
        <f t="shared" si="382"/>
        <v>5.556</v>
      </c>
      <c r="GK1025" s="104"/>
      <c r="GL1025" s="104"/>
      <c r="GO1025" s="94"/>
    </row>
    <row r="1026" spans="3:197">
      <c r="C1026" s="80" t="str" cm="1">
        <f t="array" ref="C1026">_xlfn.IFS(MONTH(D1026)&lt;4,1,MONTH(D1026)&lt;7,2,MONTH(D1026)&lt;10,3,MONTH(D1026)&gt;9,4)&amp;"Q"&amp;RIGHT(YEAR(D1026),2)</f>
        <v>1Q20</v>
      </c>
      <c r="D1026" s="81">
        <f t="shared" si="377"/>
        <v>43890</v>
      </c>
      <c r="E1026" s="82">
        <f t="shared" si="376"/>
        <v>43885</v>
      </c>
      <c r="F1026" s="83">
        <f t="shared" si="379"/>
        <v>0.414625</v>
      </c>
      <c r="G1026" s="83">
        <f t="shared" si="379"/>
        <v>0.36</v>
      </c>
      <c r="H1026" s="81"/>
      <c r="I1026" s="146">
        <v>43885</v>
      </c>
      <c r="J1026" s="147">
        <v>3.8</v>
      </c>
      <c r="K1026" s="147">
        <v>3.1</v>
      </c>
      <c r="L1026" s="147">
        <v>3.317</v>
      </c>
      <c r="M1026" s="94" cm="1">
        <f t="array" ref="M1026">INDEX($BV$29:$BV$1449,MATCH($D1026,$BR$29:$BR$1449,0),)</f>
        <v>2.88</v>
      </c>
      <c r="N1026" s="150">
        <f t="shared" si="372"/>
        <v>0</v>
      </c>
      <c r="O1026" s="150">
        <f t="shared" si="383"/>
        <v>-0.0223990568818154</v>
      </c>
      <c r="P1026" s="150">
        <f t="shared" si="384"/>
        <v>-0.0281277468502782</v>
      </c>
      <c r="Q1026" s="89">
        <f t="shared" si="374"/>
        <v>0.151736111111111</v>
      </c>
      <c r="AH1026" s="90"/>
      <c r="AI1026" s="85"/>
      <c r="AJ1026" s="36"/>
      <c r="AK1026" s="36"/>
      <c r="AL1026" s="36"/>
      <c r="AM1026" s="36"/>
      <c r="AN1026" s="36"/>
      <c r="AO1026" s="36"/>
      <c r="AP1026" s="36"/>
      <c r="GE1026" s="94"/>
      <c r="GF1026" s="104">
        <f t="shared" si="380"/>
        <v>2016</v>
      </c>
      <c r="GG1026" s="104">
        <f t="shared" si="381"/>
        <v>53</v>
      </c>
      <c r="GH1026" s="35">
        <v>42731</v>
      </c>
      <c r="GI1026" s="26">
        <v>2.78</v>
      </c>
      <c r="GJ1026" s="94">
        <f t="shared" si="382"/>
        <v>5.56</v>
      </c>
      <c r="GK1026" s="104"/>
      <c r="GL1026" s="104"/>
      <c r="GO1026" s="94"/>
    </row>
    <row r="1027" spans="3:197">
      <c r="C1027" s="80" t="str" cm="1">
        <f t="array" ref="C1027">_xlfn.IFS(MONTH(D1027)&lt;4,1,MONTH(D1027)&lt;7,2,MONTH(D1027)&lt;10,3,MONTH(D1027)&gt;9,4)&amp;"Q"&amp;RIGHT(YEAR(D1027),2)</f>
        <v>1Q20</v>
      </c>
      <c r="D1027" s="81">
        <f t="shared" si="377"/>
        <v>43890</v>
      </c>
      <c r="E1027" s="82">
        <f t="shared" si="376"/>
        <v>43886</v>
      </c>
      <c r="F1027" s="83">
        <f t="shared" ref="F1027:G1042" si="385">+L1027/8</f>
        <v>0.417875</v>
      </c>
      <c r="G1027" s="83">
        <f t="shared" si="385"/>
        <v>0.36</v>
      </c>
      <c r="H1027" s="81"/>
      <c r="I1027" s="146">
        <v>43886</v>
      </c>
      <c r="J1027" s="147">
        <v>3.85</v>
      </c>
      <c r="K1027" s="147">
        <v>3.12</v>
      </c>
      <c r="L1027" s="147">
        <v>3.343</v>
      </c>
      <c r="M1027" s="94" cm="1">
        <f t="array" ref="M1027">INDEX($BV$29:$BV$1449,MATCH($D1027,$BR$29:$BR$1449,0),)</f>
        <v>2.88</v>
      </c>
      <c r="N1027" s="150">
        <f t="shared" si="372"/>
        <v>0.00783840820018078</v>
      </c>
      <c r="O1027" s="150">
        <f t="shared" si="383"/>
        <v>-0.0109467455621302</v>
      </c>
      <c r="P1027" s="150">
        <f t="shared" si="384"/>
        <v>-0.0205098154116613</v>
      </c>
      <c r="Q1027" s="89">
        <f t="shared" si="374"/>
        <v>0.160763888888889</v>
      </c>
      <c r="AH1027" s="90"/>
      <c r="AI1027" s="85"/>
      <c r="AJ1027" s="36"/>
      <c r="AK1027" s="36"/>
      <c r="AL1027" s="36"/>
      <c r="AM1027" s="36"/>
      <c r="AN1027" s="36"/>
      <c r="AO1027" s="36"/>
      <c r="AP1027" s="36"/>
      <c r="GE1027" s="94"/>
      <c r="GF1027" s="104">
        <f t="shared" si="380"/>
        <v>2016</v>
      </c>
      <c r="GG1027" s="104">
        <f t="shared" si="381"/>
        <v>53</v>
      </c>
      <c r="GH1027" s="35">
        <v>42732</v>
      </c>
      <c r="GI1027" s="26">
        <v>2.782</v>
      </c>
      <c r="GJ1027" s="94">
        <f t="shared" si="382"/>
        <v>5.564</v>
      </c>
      <c r="GK1027" s="104"/>
      <c r="GL1027" s="104"/>
      <c r="GO1027" s="94"/>
    </row>
    <row r="1028" spans="3:197">
      <c r="C1028" s="80" t="str" cm="1">
        <f t="array" ref="C1028">_xlfn.IFS(MONTH(D1028)&lt;4,1,MONTH(D1028)&lt;7,2,MONTH(D1028)&lt;10,3,MONTH(D1028)&gt;9,4)&amp;"Q"&amp;RIGHT(YEAR(D1028),2)</f>
        <v>1Q20</v>
      </c>
      <c r="D1028" s="81">
        <f t="shared" si="377"/>
        <v>43890</v>
      </c>
      <c r="E1028" s="82">
        <f t="shared" si="376"/>
        <v>43887</v>
      </c>
      <c r="F1028" s="83">
        <f t="shared" si="385"/>
        <v>0.419125</v>
      </c>
      <c r="G1028" s="83">
        <f t="shared" si="385"/>
        <v>0.36</v>
      </c>
      <c r="H1028" s="81"/>
      <c r="I1028" s="146">
        <v>43887</v>
      </c>
      <c r="J1028" s="147">
        <v>3.85</v>
      </c>
      <c r="K1028" s="147">
        <v>3.13</v>
      </c>
      <c r="L1028" s="147">
        <v>3.353</v>
      </c>
      <c r="M1028" s="94" cm="1">
        <f t="array" ref="M1028">INDEX($BV$29:$BV$1449,MATCH($D1028,$BR$29:$BR$1449,0),)</f>
        <v>2.88</v>
      </c>
      <c r="N1028" s="150">
        <f t="shared" si="372"/>
        <v>0.00299132515704459</v>
      </c>
      <c r="O1028" s="150">
        <f t="shared" si="383"/>
        <v>0.010853180584866</v>
      </c>
      <c r="P1028" s="150">
        <f t="shared" si="384"/>
        <v>-0.0175798417814238</v>
      </c>
      <c r="Q1028" s="89">
        <f t="shared" si="374"/>
        <v>0.164236111111111</v>
      </c>
      <c r="AH1028" s="90"/>
      <c r="AI1028" s="85"/>
      <c r="AJ1028" s="36"/>
      <c r="AK1028" s="36"/>
      <c r="AL1028" s="36"/>
      <c r="AM1028" s="36"/>
      <c r="AN1028" s="36"/>
      <c r="AO1028" s="36"/>
      <c r="AP1028" s="36"/>
      <c r="GE1028" s="94"/>
      <c r="GF1028" s="104">
        <f t="shared" si="380"/>
        <v>2016</v>
      </c>
      <c r="GG1028" s="104">
        <f t="shared" si="381"/>
        <v>53</v>
      </c>
      <c r="GH1028" s="35">
        <v>42733</v>
      </c>
      <c r="GI1028" s="26">
        <v>2.791</v>
      </c>
      <c r="GJ1028" s="94">
        <f t="shared" si="382"/>
        <v>5.582</v>
      </c>
      <c r="GK1028" s="104"/>
      <c r="GL1028" s="104"/>
      <c r="GO1028" s="94"/>
    </row>
    <row r="1029" spans="3:197">
      <c r="C1029" s="80" t="str" cm="1">
        <f t="array" ref="C1029">_xlfn.IFS(MONTH(D1029)&lt;4,1,MONTH(D1029)&lt;7,2,MONTH(D1029)&lt;10,3,MONTH(D1029)&gt;9,4)&amp;"Q"&amp;RIGHT(YEAR(D1029),2)</f>
        <v>1Q20</v>
      </c>
      <c r="D1029" s="81">
        <f t="shared" si="377"/>
        <v>43890</v>
      </c>
      <c r="E1029" s="82">
        <f t="shared" si="376"/>
        <v>43888</v>
      </c>
      <c r="F1029" s="83">
        <f t="shared" si="385"/>
        <v>0.427125</v>
      </c>
      <c r="G1029" s="83">
        <f t="shared" si="385"/>
        <v>0.36</v>
      </c>
      <c r="H1029" s="81"/>
      <c r="I1029" s="146">
        <v>43888</v>
      </c>
      <c r="J1029" s="147">
        <v>4.05</v>
      </c>
      <c r="K1029" s="147">
        <v>3.13</v>
      </c>
      <c r="L1029" s="147">
        <v>3.417</v>
      </c>
      <c r="M1029" s="94" cm="1">
        <f t="array" ref="M1029">INDEX($BV$29:$BV$1449,MATCH($D1029,$BR$29:$BR$1449,0),)</f>
        <v>2.88</v>
      </c>
      <c r="N1029" s="150">
        <f t="shared" si="372"/>
        <v>0.019087384431852</v>
      </c>
      <c r="O1029" s="150">
        <f t="shared" si="383"/>
        <v>0.0301477238468495</v>
      </c>
      <c r="P1029" s="150">
        <f t="shared" si="384"/>
        <v>0.00117198945209496</v>
      </c>
      <c r="Q1029" s="89">
        <f t="shared" si="374"/>
        <v>0.186458333333333</v>
      </c>
      <c r="AH1029" s="90"/>
      <c r="AI1029" s="85"/>
      <c r="AJ1029" s="36"/>
      <c r="AK1029" s="36"/>
      <c r="AL1029" s="36"/>
      <c r="AM1029" s="36"/>
      <c r="AN1029" s="36"/>
      <c r="AO1029" s="36"/>
      <c r="AP1029" s="36"/>
      <c r="GE1029" s="94"/>
      <c r="GF1029" s="104">
        <f t="shared" si="380"/>
        <v>2016</v>
      </c>
      <c r="GG1029" s="104">
        <f t="shared" si="381"/>
        <v>53</v>
      </c>
      <c r="GH1029" s="35">
        <v>42734</v>
      </c>
      <c r="GI1029" s="26">
        <v>2.791</v>
      </c>
      <c r="GJ1029" s="94">
        <f t="shared" si="382"/>
        <v>5.582</v>
      </c>
      <c r="GK1029" s="104"/>
      <c r="GL1029" s="104"/>
      <c r="GO1029" s="94"/>
    </row>
    <row r="1030" spans="3:197">
      <c r="C1030" s="80" t="str" cm="1">
        <f t="array" ref="C1030">_xlfn.IFS(MONTH(D1030)&lt;4,1,MONTH(D1030)&lt;7,2,MONTH(D1030)&lt;10,3,MONTH(D1030)&gt;9,4)&amp;"Q"&amp;RIGHT(YEAR(D1030),2)</f>
        <v>1Q20</v>
      </c>
      <c r="D1030" s="81">
        <f t="shared" si="377"/>
        <v>43890</v>
      </c>
      <c r="E1030" s="82">
        <f t="shared" si="376"/>
        <v>43889</v>
      </c>
      <c r="F1030" s="83">
        <f t="shared" si="385"/>
        <v>0.428375</v>
      </c>
      <c r="G1030" s="83">
        <f t="shared" si="385"/>
        <v>0.36</v>
      </c>
      <c r="H1030" s="81"/>
      <c r="I1030" s="146">
        <v>43889</v>
      </c>
      <c r="J1030" s="147">
        <v>4.05</v>
      </c>
      <c r="K1030" s="147">
        <v>3.13</v>
      </c>
      <c r="L1030" s="147">
        <v>3.427</v>
      </c>
      <c r="M1030" s="94" cm="1">
        <f t="array" ref="M1030">INDEX($BV$29:$BV$1449,MATCH($D1030,$BR$29:$BR$1449,0),)</f>
        <v>2.88</v>
      </c>
      <c r="N1030" s="150">
        <f t="shared" si="372"/>
        <v>0.0029265437518291</v>
      </c>
      <c r="O1030" s="150">
        <f t="shared" si="383"/>
        <v>0.0331624962315344</v>
      </c>
      <c r="P1030" s="150">
        <f t="shared" si="384"/>
        <v>0.00410196308233224</v>
      </c>
      <c r="Q1030" s="89">
        <f t="shared" si="374"/>
        <v>0.189930555555556</v>
      </c>
      <c r="AH1030" s="90"/>
      <c r="AI1030" s="85"/>
      <c r="AJ1030" s="36"/>
      <c r="AK1030" s="36"/>
      <c r="AL1030" s="36"/>
      <c r="AM1030" s="36"/>
      <c r="AN1030" s="36"/>
      <c r="AO1030" s="36"/>
      <c r="AP1030" s="36"/>
      <c r="GE1030" s="94"/>
      <c r="GF1030" s="104">
        <f t="shared" si="380"/>
        <v>2017</v>
      </c>
      <c r="GG1030" s="104">
        <f t="shared" si="381"/>
        <v>1</v>
      </c>
      <c r="GH1030" s="35">
        <v>42738</v>
      </c>
      <c r="GI1030" s="26">
        <v>2.793</v>
      </c>
      <c r="GJ1030" s="94">
        <f t="shared" si="382"/>
        <v>5.586</v>
      </c>
      <c r="GK1030" s="104"/>
      <c r="GL1030" s="104"/>
      <c r="GO1030" s="94"/>
    </row>
    <row r="1031" spans="3:197">
      <c r="C1031" s="80" t="str" cm="1">
        <f t="array" ref="C1031">_xlfn.IFS(MONTH(D1031)&lt;4,1,MONTH(D1031)&lt;7,2,MONTH(D1031)&lt;10,3,MONTH(D1031)&gt;9,4)&amp;"Q"&amp;RIGHT(YEAR(D1031),2)</f>
        <v>1Q20</v>
      </c>
      <c r="D1031" s="81">
        <f t="shared" si="377"/>
        <v>43921</v>
      </c>
      <c r="E1031" s="82">
        <f t="shared" si="376"/>
        <v>43892</v>
      </c>
      <c r="F1031" s="83">
        <f t="shared" si="385"/>
        <v>0.430875</v>
      </c>
      <c r="G1031" s="83">
        <f t="shared" si="385"/>
        <v>0.3675</v>
      </c>
      <c r="H1031" s="81"/>
      <c r="I1031" s="146">
        <v>43892</v>
      </c>
      <c r="J1031" s="147">
        <v>4.05</v>
      </c>
      <c r="K1031" s="147">
        <v>3.15</v>
      </c>
      <c r="L1031" s="147">
        <v>3.447</v>
      </c>
      <c r="M1031" s="94" cm="1">
        <f t="array" ref="M1031">INDEX($BV$29:$BV$1449,MATCH($D1031,$BR$29:$BR$1449,0),)</f>
        <v>2.94</v>
      </c>
      <c r="N1031" s="150">
        <f t="shared" si="372"/>
        <v>0.00583600817041141</v>
      </c>
      <c r="O1031" s="150">
        <f t="shared" si="383"/>
        <v>0.0391920410009043</v>
      </c>
      <c r="P1031" s="150">
        <f t="shared" si="384"/>
        <v>0.0159151193633953</v>
      </c>
      <c r="Q1031" s="89">
        <f t="shared" si="374"/>
        <v>0.172448979591837</v>
      </c>
      <c r="AH1031" s="90"/>
      <c r="AI1031" s="85"/>
      <c r="AJ1031" s="36"/>
      <c r="AK1031" s="36"/>
      <c r="AL1031" s="36"/>
      <c r="AM1031" s="36"/>
      <c r="AN1031" s="36"/>
      <c r="AO1031" s="36"/>
      <c r="AP1031" s="36"/>
      <c r="GE1031" s="94"/>
      <c r="GF1031" s="104">
        <f t="shared" si="380"/>
        <v>2017</v>
      </c>
      <c r="GG1031" s="104">
        <f t="shared" si="381"/>
        <v>1</v>
      </c>
      <c r="GH1031" s="35">
        <v>42739</v>
      </c>
      <c r="GI1031" s="26">
        <v>2.824</v>
      </c>
      <c r="GJ1031" s="94">
        <f t="shared" si="382"/>
        <v>5.648</v>
      </c>
      <c r="GK1031" s="104"/>
      <c r="GL1031" s="104"/>
      <c r="GO1031" s="94"/>
    </row>
    <row r="1032" spans="3:197">
      <c r="C1032" s="80" t="str" cm="1">
        <f t="array" ref="C1032">_xlfn.IFS(MONTH(D1032)&lt;4,1,MONTH(D1032)&lt;7,2,MONTH(D1032)&lt;10,3,MONTH(D1032)&gt;9,4)&amp;"Q"&amp;RIGHT(YEAR(D1032),2)</f>
        <v>1Q20</v>
      </c>
      <c r="D1032" s="81">
        <f t="shared" si="377"/>
        <v>43921</v>
      </c>
      <c r="E1032" s="82">
        <f t="shared" si="376"/>
        <v>43893</v>
      </c>
      <c r="F1032" s="83">
        <f t="shared" si="385"/>
        <v>0.439625</v>
      </c>
      <c r="G1032" s="83">
        <f t="shared" si="385"/>
        <v>0.3675</v>
      </c>
      <c r="H1032" s="81"/>
      <c r="I1032" s="146">
        <v>43893</v>
      </c>
      <c r="J1032" s="147">
        <v>4.05</v>
      </c>
      <c r="K1032" s="147">
        <v>3.25</v>
      </c>
      <c r="L1032" s="147">
        <v>3.517</v>
      </c>
      <c r="M1032" s="94" cm="1">
        <f t="array" ref="M1032">INDEX($BV$29:$BV$1449,MATCH($D1032,$BR$29:$BR$1449,0),)</f>
        <v>2.94</v>
      </c>
      <c r="N1032" s="150">
        <f t="shared" si="372"/>
        <v>0.0203075137800985</v>
      </c>
      <c r="O1032" s="150">
        <f t="shared" si="383"/>
        <v>0.0520490577325756</v>
      </c>
      <c r="P1032" s="150">
        <f t="shared" si="384"/>
        <v>0.0405325443786981</v>
      </c>
      <c r="Q1032" s="89">
        <f t="shared" si="374"/>
        <v>0.196258503401361</v>
      </c>
      <c r="AH1032" s="90"/>
      <c r="AI1032" s="85"/>
      <c r="AJ1032" s="36"/>
      <c r="AK1032" s="36"/>
      <c r="AL1032" s="36"/>
      <c r="AM1032" s="36"/>
      <c r="AN1032" s="36"/>
      <c r="AO1032" s="36"/>
      <c r="AP1032" s="36"/>
      <c r="GE1032" s="94"/>
      <c r="GF1032" s="104">
        <f t="shared" si="380"/>
        <v>2017</v>
      </c>
      <c r="GG1032" s="104">
        <f t="shared" si="381"/>
        <v>1</v>
      </c>
      <c r="GH1032" s="35">
        <v>42740</v>
      </c>
      <c r="GI1032" s="26">
        <v>2.863</v>
      </c>
      <c r="GJ1032" s="94">
        <f t="shared" si="382"/>
        <v>5.726</v>
      </c>
      <c r="GK1032" s="104"/>
      <c r="GL1032" s="104"/>
      <c r="GO1032" s="94"/>
    </row>
    <row r="1033" spans="3:197">
      <c r="C1033" s="80" t="str" cm="1">
        <f t="array" ref="C1033">_xlfn.IFS(MONTH(D1033)&lt;4,1,MONTH(D1033)&lt;7,2,MONTH(D1033)&lt;10,3,MONTH(D1033)&gt;9,4)&amp;"Q"&amp;RIGHT(YEAR(D1033),2)</f>
        <v>1Q20</v>
      </c>
      <c r="D1033" s="81">
        <f t="shared" si="377"/>
        <v>43921</v>
      </c>
      <c r="E1033" s="82">
        <f t="shared" si="376"/>
        <v>43894</v>
      </c>
      <c r="F1033" s="83">
        <f t="shared" si="385"/>
        <v>0.44125</v>
      </c>
      <c r="G1033" s="83">
        <f t="shared" si="385"/>
        <v>0.3675</v>
      </c>
      <c r="H1033" s="81"/>
      <c r="I1033" s="146">
        <v>43894</v>
      </c>
      <c r="J1033" s="147">
        <v>4.05</v>
      </c>
      <c r="K1033" s="147">
        <v>3.25</v>
      </c>
      <c r="L1033" s="147">
        <v>3.53</v>
      </c>
      <c r="M1033" s="94" cm="1">
        <f t="array" ref="M1033">INDEX($BV$29:$BV$1449,MATCH($D1033,$BR$29:$BR$1449,0),)</f>
        <v>2.94</v>
      </c>
      <c r="N1033" s="150">
        <f t="shared" ref="N1033:N1040" si="386">L1033/L1032-1</f>
        <v>0.00369633210122267</v>
      </c>
      <c r="O1033" s="150">
        <f t="shared" si="383"/>
        <v>0.0527885475693408</v>
      </c>
      <c r="P1033" s="150">
        <f t="shared" si="384"/>
        <v>0.0642146517937894</v>
      </c>
      <c r="Q1033" s="89">
        <f t="shared" ref="Q1033:Q1040" si="387">L1033/M1033-1</f>
        <v>0.200680272108843</v>
      </c>
      <c r="AH1033" s="90"/>
      <c r="AI1033" s="85"/>
      <c r="AJ1033" s="36"/>
      <c r="AK1033" s="36"/>
      <c r="AL1033" s="36"/>
      <c r="AM1033" s="36"/>
      <c r="AN1033" s="36"/>
      <c r="AO1033" s="36"/>
      <c r="AP1033" s="36"/>
      <c r="GE1033" s="94"/>
      <c r="GF1033" s="104">
        <f t="shared" si="380"/>
        <v>2017</v>
      </c>
      <c r="GG1033" s="104">
        <f t="shared" si="381"/>
        <v>1</v>
      </c>
      <c r="GH1033" s="35">
        <v>42741</v>
      </c>
      <c r="GI1033" s="26">
        <v>2.906</v>
      </c>
      <c r="GJ1033" s="94">
        <f t="shared" si="382"/>
        <v>5.812</v>
      </c>
      <c r="GK1033" s="104"/>
      <c r="GL1033" s="104"/>
      <c r="GO1033" s="94"/>
    </row>
    <row r="1034" spans="3:197">
      <c r="C1034" s="80" t="str" cm="1">
        <f t="array" ref="C1034">_xlfn.IFS(MONTH(D1034)&lt;4,1,MONTH(D1034)&lt;7,2,MONTH(D1034)&lt;10,3,MONTH(D1034)&gt;9,4)&amp;"Q"&amp;RIGHT(YEAR(D1034),2)</f>
        <v>1Q20</v>
      </c>
      <c r="D1034" s="81">
        <f t="shared" si="377"/>
        <v>43921</v>
      </c>
      <c r="E1034" s="82">
        <f t="shared" si="376"/>
        <v>43895</v>
      </c>
      <c r="F1034" s="83">
        <f t="shared" si="385"/>
        <v>0.445375</v>
      </c>
      <c r="G1034" s="83">
        <f t="shared" si="385"/>
        <v>0.3675</v>
      </c>
      <c r="H1034" s="81"/>
      <c r="I1034" s="146">
        <v>43895</v>
      </c>
      <c r="J1034" s="147">
        <v>4.15</v>
      </c>
      <c r="K1034" s="147">
        <v>3.25</v>
      </c>
      <c r="L1034" s="147">
        <v>3.563</v>
      </c>
      <c r="M1034" s="94" cm="1">
        <f t="array" ref="M1034">INDEX($BV$29:$BV$1449,MATCH($D1034,$BR$29:$BR$1449,0),)</f>
        <v>2.94</v>
      </c>
      <c r="N1034" s="150">
        <f t="shared" si="386"/>
        <v>0.00934844192634565</v>
      </c>
      <c r="O1034" s="150">
        <f t="shared" si="383"/>
        <v>0.0427275387767048</v>
      </c>
      <c r="P1034" s="150">
        <f t="shared" si="384"/>
        <v>0.0741634006632499</v>
      </c>
      <c r="Q1034" s="89">
        <f t="shared" si="387"/>
        <v>0.211904761904762</v>
      </c>
      <c r="AH1034" s="90"/>
      <c r="AI1034" s="85"/>
      <c r="AJ1034" s="36"/>
      <c r="AK1034" s="36"/>
      <c r="AL1034" s="36"/>
      <c r="AM1034" s="36"/>
      <c r="AN1034" s="36"/>
      <c r="AO1034" s="36"/>
      <c r="AP1034" s="36"/>
      <c r="GE1034" s="94"/>
      <c r="GF1034" s="104">
        <f t="shared" si="380"/>
        <v>2017</v>
      </c>
      <c r="GG1034" s="104">
        <f t="shared" si="381"/>
        <v>2</v>
      </c>
      <c r="GH1034" s="35">
        <v>42744</v>
      </c>
      <c r="GI1034" s="26">
        <v>2.926</v>
      </c>
      <c r="GJ1034" s="94">
        <f t="shared" si="382"/>
        <v>5.852</v>
      </c>
      <c r="GK1034" s="104"/>
      <c r="GL1034" s="104"/>
      <c r="GO1034" s="94"/>
    </row>
    <row r="1035" spans="3:197">
      <c r="C1035" s="80" t="str" cm="1">
        <f t="array" ref="C1035">_xlfn.IFS(MONTH(D1035)&lt;4,1,MONTH(D1035)&lt;7,2,MONTH(D1035)&lt;10,3,MONTH(D1035)&gt;9,4)&amp;"Q"&amp;RIGHT(YEAR(D1035),2)</f>
        <v>1Q20</v>
      </c>
      <c r="D1035" s="81">
        <f t="shared" si="377"/>
        <v>43921</v>
      </c>
      <c r="E1035" s="82">
        <f t="shared" si="376"/>
        <v>43896</v>
      </c>
      <c r="F1035" s="83">
        <f t="shared" si="385"/>
        <v>0.445375</v>
      </c>
      <c r="G1035" s="83">
        <f t="shared" si="385"/>
        <v>0.3675</v>
      </c>
      <c r="H1035" s="81"/>
      <c r="I1035" s="146">
        <v>43896</v>
      </c>
      <c r="J1035" s="147">
        <v>4.15</v>
      </c>
      <c r="K1035" s="147">
        <v>3.25</v>
      </c>
      <c r="L1035" s="147">
        <v>3.563</v>
      </c>
      <c r="M1035" s="94" cm="1">
        <f t="array" ref="M1035">INDEX($BV$29:$BV$1449,MATCH($D1035,$BR$29:$BR$1449,0),)</f>
        <v>2.94</v>
      </c>
      <c r="N1035" s="150">
        <f t="shared" si="386"/>
        <v>0</v>
      </c>
      <c r="O1035" s="150">
        <f t="shared" si="383"/>
        <v>0.0396848555587979</v>
      </c>
      <c r="P1035" s="150">
        <f t="shared" si="384"/>
        <v>0.0741634006632499</v>
      </c>
      <c r="Q1035" s="89">
        <f t="shared" si="387"/>
        <v>0.211904761904762</v>
      </c>
      <c r="AH1035" s="90"/>
      <c r="AI1035" s="85"/>
      <c r="AJ1035" s="36"/>
      <c r="AK1035" s="36"/>
      <c r="AL1035" s="36"/>
      <c r="AM1035" s="36"/>
      <c r="AN1035" s="36"/>
      <c r="AO1035" s="36"/>
      <c r="AP1035" s="36"/>
      <c r="GE1035" s="94"/>
      <c r="GF1035" s="104">
        <f t="shared" si="380"/>
        <v>2017</v>
      </c>
      <c r="GG1035" s="104">
        <f t="shared" si="381"/>
        <v>2</v>
      </c>
      <c r="GH1035" s="35">
        <v>42745</v>
      </c>
      <c r="GI1035" s="26">
        <v>2.937</v>
      </c>
      <c r="GJ1035" s="94">
        <f t="shared" si="382"/>
        <v>5.874</v>
      </c>
      <c r="GK1035" s="104"/>
      <c r="GL1035" s="104"/>
      <c r="GO1035" s="94"/>
    </row>
    <row r="1036" spans="3:197">
      <c r="C1036" s="80" t="str" cm="1">
        <f t="array" ref="C1036">_xlfn.IFS(MONTH(D1036)&lt;4,1,MONTH(D1036)&lt;7,2,MONTH(D1036)&lt;10,3,MONTH(D1036)&gt;9,4)&amp;"Q"&amp;RIGHT(YEAR(D1036),2)</f>
        <v>1Q20</v>
      </c>
      <c r="D1036" s="81">
        <f t="shared" si="377"/>
        <v>43921</v>
      </c>
      <c r="E1036" s="82">
        <f t="shared" si="376"/>
        <v>43899</v>
      </c>
      <c r="F1036" s="83">
        <f t="shared" si="385"/>
        <v>0.447875</v>
      </c>
      <c r="G1036" s="83">
        <f t="shared" si="385"/>
        <v>0.3675</v>
      </c>
      <c r="H1036" s="81"/>
      <c r="I1036" s="146">
        <v>43899</v>
      </c>
      <c r="J1036" s="147">
        <v>4.15</v>
      </c>
      <c r="K1036" s="147">
        <v>3.3</v>
      </c>
      <c r="L1036" s="147">
        <v>3.583</v>
      </c>
      <c r="M1036" s="94" cm="1">
        <f t="array" ref="M1036">INDEX($BV$29:$BV$1449,MATCH($D1036,$BR$29:$BR$1449,0),)</f>
        <v>2.94</v>
      </c>
      <c r="N1036" s="150">
        <f t="shared" si="386"/>
        <v>0.00561324726354195</v>
      </c>
      <c r="O1036" s="150">
        <f t="shared" si="383"/>
        <v>0.0394545982013346</v>
      </c>
      <c r="P1036" s="150">
        <f t="shared" si="384"/>
        <v>0.0801929454326198</v>
      </c>
      <c r="Q1036" s="89">
        <f t="shared" si="387"/>
        <v>0.218707482993197</v>
      </c>
      <c r="AH1036" s="90"/>
      <c r="AI1036" s="85"/>
      <c r="AJ1036" s="36"/>
      <c r="AK1036" s="36"/>
      <c r="AL1036" s="36"/>
      <c r="AM1036" s="36"/>
      <c r="AN1036" s="36"/>
      <c r="AO1036" s="36"/>
      <c r="AP1036" s="36"/>
      <c r="GE1036" s="94"/>
      <c r="GF1036" s="104">
        <f t="shared" si="380"/>
        <v>2017</v>
      </c>
      <c r="GG1036" s="104">
        <f t="shared" si="381"/>
        <v>2</v>
      </c>
      <c r="GH1036" s="35">
        <v>42746</v>
      </c>
      <c r="GI1036" s="26">
        <v>2.979</v>
      </c>
      <c r="GJ1036" s="94">
        <f t="shared" si="382"/>
        <v>5.958</v>
      </c>
      <c r="GK1036" s="104"/>
      <c r="GL1036" s="104"/>
      <c r="GO1036" s="94"/>
    </row>
    <row r="1037" spans="3:197">
      <c r="C1037" s="80" t="str" cm="1">
        <f t="array" ref="C1037">_xlfn.IFS(MONTH(D1037)&lt;4,1,MONTH(D1037)&lt;7,2,MONTH(D1037)&lt;10,3,MONTH(D1037)&gt;9,4)&amp;"Q"&amp;RIGHT(YEAR(D1037),2)</f>
        <v>1Q20</v>
      </c>
      <c r="D1037" s="81">
        <f t="shared" si="377"/>
        <v>43921</v>
      </c>
      <c r="E1037" s="82">
        <f t="shared" si="376"/>
        <v>43900</v>
      </c>
      <c r="F1037" s="83">
        <f t="shared" si="385"/>
        <v>0.45125</v>
      </c>
      <c r="G1037" s="83">
        <f t="shared" si="385"/>
        <v>0.3675</v>
      </c>
      <c r="H1037" s="81"/>
      <c r="I1037" s="146">
        <v>43900</v>
      </c>
      <c r="J1037" s="147">
        <v>4.05</v>
      </c>
      <c r="K1037" s="147">
        <v>3.35</v>
      </c>
      <c r="L1037" s="147">
        <v>3.61</v>
      </c>
      <c r="M1037" s="94" cm="1">
        <f t="array" ref="M1037">INDEX($BV$29:$BV$1449,MATCH($D1037,$BR$29:$BR$1449,0),)</f>
        <v>2.94</v>
      </c>
      <c r="N1037" s="150">
        <f t="shared" si="386"/>
        <v>0.00753558470555382</v>
      </c>
      <c r="O1037" s="150">
        <f t="shared" si="383"/>
        <v>0.0264429911856696</v>
      </c>
      <c r="P1037" s="150">
        <f t="shared" si="384"/>
        <v>0.0798683816930901</v>
      </c>
      <c r="Q1037" s="89">
        <f t="shared" si="387"/>
        <v>0.227891156462585</v>
      </c>
      <c r="AH1037" s="90"/>
      <c r="AI1037" s="85"/>
      <c r="AJ1037" s="36"/>
      <c r="AK1037" s="36"/>
      <c r="AL1037" s="36"/>
      <c r="AM1037" s="36"/>
      <c r="AN1037" s="36"/>
      <c r="AO1037" s="36"/>
      <c r="AP1037" s="36"/>
      <c r="GE1037" s="94"/>
      <c r="GF1037" s="104">
        <f t="shared" si="380"/>
        <v>2017</v>
      </c>
      <c r="GG1037" s="104">
        <f t="shared" si="381"/>
        <v>2</v>
      </c>
      <c r="GH1037" s="35">
        <v>42747</v>
      </c>
      <c r="GI1037" s="26">
        <v>3.008</v>
      </c>
      <c r="GJ1037" s="94">
        <f t="shared" si="382"/>
        <v>6.016</v>
      </c>
      <c r="GK1037" s="104"/>
      <c r="GL1037" s="104"/>
      <c r="GO1037" s="94"/>
    </row>
    <row r="1038" spans="3:197">
      <c r="C1038" s="80" t="str" cm="1">
        <f t="array" ref="C1038">_xlfn.IFS(MONTH(D1038)&lt;4,1,MONTH(D1038)&lt;7,2,MONTH(D1038)&lt;10,3,MONTH(D1038)&gt;9,4)&amp;"Q"&amp;RIGHT(YEAR(D1038),2)</f>
        <v>1Q20</v>
      </c>
      <c r="D1038" s="81">
        <f t="shared" si="377"/>
        <v>43921</v>
      </c>
      <c r="E1038" s="82">
        <f t="shared" si="376"/>
        <v>43901</v>
      </c>
      <c r="F1038" s="83">
        <f t="shared" si="385"/>
        <v>0.451625</v>
      </c>
      <c r="G1038" s="83">
        <f t="shared" si="385"/>
        <v>0.3675</v>
      </c>
      <c r="H1038" s="81"/>
      <c r="I1038" s="146">
        <v>43901</v>
      </c>
      <c r="J1038" s="147">
        <v>4.05</v>
      </c>
      <c r="K1038" s="147">
        <v>3.35</v>
      </c>
      <c r="L1038" s="147">
        <v>3.613</v>
      </c>
      <c r="M1038" s="94" cm="1">
        <f t="array" ref="M1038">INDEX($BV$29:$BV$1449,MATCH($D1038,$BR$29:$BR$1449,0),)</f>
        <v>2.94</v>
      </c>
      <c r="N1038" s="150">
        <f t="shared" si="386"/>
        <v>0.000831024930747937</v>
      </c>
      <c r="O1038" s="150">
        <f t="shared" si="383"/>
        <v>0.0235127478753541</v>
      </c>
      <c r="P1038" s="150">
        <f t="shared" si="384"/>
        <v>0.0775424992543989</v>
      </c>
      <c r="Q1038" s="89">
        <f t="shared" si="387"/>
        <v>0.22891156462585</v>
      </c>
      <c r="AH1038" s="90"/>
      <c r="AI1038" s="85"/>
      <c r="AJ1038" s="36"/>
      <c r="AK1038" s="36"/>
      <c r="AL1038" s="36"/>
      <c r="AM1038" s="36"/>
      <c r="AN1038" s="36"/>
      <c r="AO1038" s="36"/>
      <c r="AP1038" s="36"/>
      <c r="GE1038" s="94"/>
      <c r="GF1038" s="104">
        <f t="shared" si="380"/>
        <v>2017</v>
      </c>
      <c r="GG1038" s="104">
        <f t="shared" si="381"/>
        <v>2</v>
      </c>
      <c r="GH1038" s="35">
        <v>42748</v>
      </c>
      <c r="GI1038" s="26">
        <v>3.014</v>
      </c>
      <c r="GJ1038" s="94">
        <f t="shared" si="382"/>
        <v>6.028</v>
      </c>
      <c r="GK1038" s="104"/>
      <c r="GL1038" s="104"/>
      <c r="GO1038" s="94"/>
    </row>
    <row r="1039" spans="3:197">
      <c r="C1039" s="80" t="str" cm="1">
        <f t="array" ref="C1039">_xlfn.IFS(MONTH(D1039)&lt;4,1,MONTH(D1039)&lt;7,2,MONTH(D1039)&lt;10,3,MONTH(D1039)&gt;9,4)&amp;"Q"&amp;RIGHT(YEAR(D1039),2)</f>
        <v>1Q20</v>
      </c>
      <c r="D1039" s="81">
        <f t="shared" si="377"/>
        <v>43921</v>
      </c>
      <c r="E1039" s="82">
        <f t="shared" si="376"/>
        <v>43902</v>
      </c>
      <c r="F1039" s="83">
        <f t="shared" si="385"/>
        <v>0.45</v>
      </c>
      <c r="G1039" s="83">
        <f t="shared" si="385"/>
        <v>0.3675</v>
      </c>
      <c r="H1039" s="81"/>
      <c r="I1039" s="146">
        <v>43902</v>
      </c>
      <c r="J1039" s="147">
        <v>4.03</v>
      </c>
      <c r="K1039" s="147">
        <v>3.35</v>
      </c>
      <c r="L1039" s="147">
        <v>3.6</v>
      </c>
      <c r="M1039" s="94" cm="1">
        <f t="array" ref="M1039">INDEX($BV$29:$BV$1449,MATCH($D1039,$BR$29:$BR$1449,0),)</f>
        <v>2.94</v>
      </c>
      <c r="N1039" s="150">
        <f t="shared" si="386"/>
        <v>-0.00359811790755604</v>
      </c>
      <c r="O1039" s="150">
        <f t="shared" si="383"/>
        <v>0.0103845074375526</v>
      </c>
      <c r="P1039" s="150">
        <f t="shared" si="384"/>
        <v>0.0535557506584725</v>
      </c>
      <c r="Q1039" s="89">
        <f t="shared" si="387"/>
        <v>0.224489795918367</v>
      </c>
      <c r="AH1039" s="90"/>
      <c r="AI1039" s="85"/>
      <c r="AJ1039" s="36"/>
      <c r="AK1039" s="36"/>
      <c r="AL1039" s="36"/>
      <c r="AM1039" s="36"/>
      <c r="AN1039" s="36"/>
      <c r="AO1039" s="36"/>
      <c r="AP1039" s="36"/>
      <c r="GE1039" s="94"/>
      <c r="GF1039" s="104">
        <f t="shared" si="380"/>
        <v>2017</v>
      </c>
      <c r="GG1039" s="104">
        <f t="shared" si="381"/>
        <v>3</v>
      </c>
      <c r="GH1039" s="35">
        <v>42751</v>
      </c>
      <c r="GI1039" s="26">
        <v>3.033</v>
      </c>
      <c r="GJ1039" s="94">
        <f t="shared" si="382"/>
        <v>6.066</v>
      </c>
      <c r="GK1039" s="104"/>
      <c r="GL1039" s="104"/>
      <c r="GO1039" s="94"/>
    </row>
    <row r="1040" spans="3:197">
      <c r="C1040" s="80" t="str" cm="1">
        <f t="array" ref="C1040">_xlfn.IFS(MONTH(D1040)&lt;4,1,MONTH(D1040)&lt;7,2,MONTH(D1040)&lt;10,3,MONTH(D1040)&gt;9,4)&amp;"Q"&amp;RIGHT(YEAR(D1040),2)</f>
        <v>1Q20</v>
      </c>
      <c r="D1040" s="81">
        <f t="shared" si="377"/>
        <v>43921</v>
      </c>
      <c r="E1040" s="82">
        <f t="shared" si="376"/>
        <v>43903</v>
      </c>
      <c r="F1040" s="83">
        <f>+L1040/8</f>
        <v>0.449625</v>
      </c>
      <c r="G1040" s="83">
        <f t="shared" si="385"/>
        <v>0.3675</v>
      </c>
      <c r="H1040" s="81"/>
      <c r="I1040" s="146">
        <v>43903</v>
      </c>
      <c r="J1040" s="147">
        <v>4.03</v>
      </c>
      <c r="K1040" s="147">
        <v>3.35</v>
      </c>
      <c r="L1040" s="147">
        <v>3.597</v>
      </c>
      <c r="M1040" s="94" cm="1">
        <f t="array" ref="M1040">INDEX($BV$29:$BV$1449,MATCH($D1040,$BR$29:$BR$1449,0),)</f>
        <v>2.94</v>
      </c>
      <c r="N1040" s="150">
        <f t="shared" si="386"/>
        <v>-0.000833333333333353</v>
      </c>
      <c r="O1040" s="150">
        <f t="shared" si="383"/>
        <v>0.00954252034802128</v>
      </c>
      <c r="P1040" s="150">
        <f t="shared" si="384"/>
        <v>0.0496060694484972</v>
      </c>
      <c r="Q1040" s="89">
        <f t="shared" si="387"/>
        <v>0.223469387755102</v>
      </c>
      <c r="AH1040" s="90"/>
      <c r="AI1040" s="85"/>
      <c r="AJ1040" s="36"/>
      <c r="AK1040" s="36"/>
      <c r="AL1040" s="36"/>
      <c r="AM1040" s="36"/>
      <c r="AN1040" s="36"/>
      <c r="AO1040" s="36"/>
      <c r="AP1040" s="36"/>
      <c r="GE1040" s="94"/>
      <c r="GF1040" s="104">
        <f t="shared" si="380"/>
        <v>2017</v>
      </c>
      <c r="GG1040" s="104">
        <f t="shared" si="381"/>
        <v>3</v>
      </c>
      <c r="GH1040" s="35">
        <v>42752</v>
      </c>
      <c r="GI1040" s="26">
        <v>3.038</v>
      </c>
      <c r="GJ1040" s="94">
        <f t="shared" si="382"/>
        <v>6.076</v>
      </c>
      <c r="GK1040" s="104"/>
      <c r="GL1040" s="104"/>
      <c r="GO1040" s="94"/>
    </row>
    <row r="1041" spans="3:197">
      <c r="C1041" s="80" t="str" cm="1">
        <f t="array" ref="C1041">_xlfn.IFS(MONTH(D1041)&lt;4,1,MONTH(D1041)&lt;7,2,MONTH(D1041)&lt;10,3,MONTH(D1041)&gt;9,4)&amp;"Q"&amp;RIGHT(YEAR(D1041),2)</f>
        <v>1Q20</v>
      </c>
      <c r="D1041" s="81">
        <f t="shared" si="377"/>
        <v>43921</v>
      </c>
      <c r="E1041" s="82">
        <f t="shared" ref="E1041:E1104" si="388">I1041</f>
        <v>43906</v>
      </c>
      <c r="F1041" s="83">
        <f t="shared" ref="F1041:G1056" si="389">+L1041/8</f>
        <v>0.447125</v>
      </c>
      <c r="G1041" s="83">
        <f t="shared" si="385"/>
        <v>0.3675</v>
      </c>
      <c r="H1041" s="81"/>
      <c r="I1041" s="146">
        <v>43906</v>
      </c>
      <c r="J1041" s="147">
        <v>4.03</v>
      </c>
      <c r="K1041" s="147">
        <v>3.35</v>
      </c>
      <c r="L1041" s="147">
        <v>3.577</v>
      </c>
      <c r="M1041" s="94" cm="1">
        <f t="array" ref="M1041">INDEX($BV$29:$BV$1449,MATCH($D1041,$BR$29:$BR$1449,0),)</f>
        <v>2.94</v>
      </c>
      <c r="N1041" s="150">
        <f t="shared" ref="N1041:N1104" si="390">L1041/L1040-1</f>
        <v>-0.00556018904642763</v>
      </c>
      <c r="O1041" s="150">
        <f t="shared" ref="O1041:O1104" si="391">L1041/L1036-1</f>
        <v>-0.00167457437901208</v>
      </c>
      <c r="P1041" s="150">
        <f t="shared" si="384"/>
        <v>0.0377139541630402</v>
      </c>
      <c r="Q1041" s="89">
        <f t="shared" ref="Q1041:Q1104" si="392">L1041/M1041-1</f>
        <v>0.216666666666667</v>
      </c>
      <c r="AH1041" s="90"/>
      <c r="AI1041" s="85"/>
      <c r="AJ1041" s="36"/>
      <c r="AK1041" s="36"/>
      <c r="AL1041" s="36"/>
      <c r="AM1041" s="36"/>
      <c r="AN1041" s="36"/>
      <c r="AO1041" s="36"/>
      <c r="AP1041" s="36"/>
      <c r="GE1041" s="94"/>
      <c r="GF1041" s="104">
        <f t="shared" si="380"/>
        <v>2017</v>
      </c>
      <c r="GG1041" s="104">
        <f t="shared" si="381"/>
        <v>3</v>
      </c>
      <c r="GH1041" s="35">
        <v>42753</v>
      </c>
      <c r="GI1041" s="26">
        <v>3.051</v>
      </c>
      <c r="GJ1041" s="94">
        <f t="shared" si="382"/>
        <v>6.102</v>
      </c>
      <c r="GK1041" s="104"/>
      <c r="GL1041" s="104"/>
      <c r="GO1041" s="94"/>
    </row>
    <row r="1042" spans="3:197">
      <c r="C1042" s="80" t="str" cm="1">
        <f t="array" ref="C1042">_xlfn.IFS(MONTH(D1042)&lt;4,1,MONTH(D1042)&lt;7,2,MONTH(D1042)&lt;10,3,MONTH(D1042)&gt;9,4)&amp;"Q"&amp;RIGHT(YEAR(D1042),2)</f>
        <v>1Q20</v>
      </c>
      <c r="D1042" s="81">
        <f t="shared" si="377"/>
        <v>43921</v>
      </c>
      <c r="E1042" s="82">
        <f t="shared" si="388"/>
        <v>43907</v>
      </c>
      <c r="F1042" s="83">
        <f t="shared" si="389"/>
        <v>0.446625</v>
      </c>
      <c r="G1042" s="83">
        <f t="shared" si="385"/>
        <v>0.3675</v>
      </c>
      <c r="H1042" s="81"/>
      <c r="I1042" s="146">
        <v>43907</v>
      </c>
      <c r="J1042" s="147">
        <v>4.03</v>
      </c>
      <c r="K1042" s="147">
        <v>3.35</v>
      </c>
      <c r="L1042" s="147">
        <v>3.573</v>
      </c>
      <c r="M1042" s="94" cm="1">
        <f t="array" ref="M1042">INDEX($BV$29:$BV$1449,MATCH($D1042,$BR$29:$BR$1449,0),)</f>
        <v>2.94</v>
      </c>
      <c r="N1042" s="150">
        <f t="shared" si="390"/>
        <v>-0.00111825552138667</v>
      </c>
      <c r="O1042" s="150">
        <f t="shared" si="391"/>
        <v>-0.0102493074792244</v>
      </c>
      <c r="P1042" s="150">
        <f t="shared" si="384"/>
        <v>0.0159226613591128</v>
      </c>
      <c r="Q1042" s="89">
        <f t="shared" si="392"/>
        <v>0.21530612244898</v>
      </c>
      <c r="AH1042" s="90"/>
      <c r="AI1042" s="85"/>
      <c r="AJ1042" s="36"/>
      <c r="AK1042" s="36"/>
      <c r="AL1042" s="36"/>
      <c r="AM1042" s="36"/>
      <c r="AN1042" s="36"/>
      <c r="AO1042" s="36"/>
      <c r="AP1042" s="36"/>
      <c r="GE1042" s="94"/>
      <c r="GF1042" s="104">
        <f t="shared" si="380"/>
        <v>2017</v>
      </c>
      <c r="GG1042" s="104">
        <f t="shared" si="381"/>
        <v>3</v>
      </c>
      <c r="GH1042" s="35">
        <v>42754</v>
      </c>
      <c r="GI1042" s="26">
        <v>3.052</v>
      </c>
      <c r="GJ1042" s="94">
        <f t="shared" si="382"/>
        <v>6.104</v>
      </c>
      <c r="GK1042" s="104"/>
      <c r="GL1042" s="104"/>
      <c r="GO1042" s="94"/>
    </row>
    <row r="1043" spans="3:197">
      <c r="C1043" s="80" t="str" cm="1">
        <f t="array" ref="C1043">_xlfn.IFS(MONTH(D1043)&lt;4,1,MONTH(D1043)&lt;7,2,MONTH(D1043)&lt;10,3,MONTH(D1043)&gt;9,4)&amp;"Q"&amp;RIGHT(YEAR(D1043),2)</f>
        <v>1Q20</v>
      </c>
      <c r="D1043" s="81">
        <f t="shared" si="377"/>
        <v>43921</v>
      </c>
      <c r="E1043" s="82">
        <f t="shared" si="388"/>
        <v>43908</v>
      </c>
      <c r="F1043" s="83">
        <f t="shared" si="389"/>
        <v>0.4425</v>
      </c>
      <c r="G1043" s="83">
        <f t="shared" si="389"/>
        <v>0.3675</v>
      </c>
      <c r="H1043" s="81"/>
      <c r="I1043" s="146">
        <v>43908</v>
      </c>
      <c r="J1043" s="147">
        <v>4.03</v>
      </c>
      <c r="K1043" s="147">
        <v>3.3</v>
      </c>
      <c r="L1043" s="147">
        <v>3.54</v>
      </c>
      <c r="M1043" s="94" cm="1">
        <f t="array" ref="M1043">INDEX($BV$29:$BV$1449,MATCH($D1043,$BR$29:$BR$1449,0),)</f>
        <v>2.94</v>
      </c>
      <c r="N1043" s="150">
        <f t="shared" si="390"/>
        <v>-0.00923593618807728</v>
      </c>
      <c r="O1043" s="150">
        <f t="shared" si="391"/>
        <v>-0.0202048159424301</v>
      </c>
      <c r="P1043" s="150">
        <f t="shared" si="384"/>
        <v>0.00283286118980186</v>
      </c>
      <c r="Q1043" s="89">
        <f t="shared" si="392"/>
        <v>0.204081632653061</v>
      </c>
      <c r="AH1043" s="90"/>
      <c r="AI1043" s="85"/>
      <c r="AJ1043" s="36"/>
      <c r="AK1043" s="36"/>
      <c r="AL1043" s="36"/>
      <c r="AM1043" s="36"/>
      <c r="AN1043" s="36"/>
      <c r="AO1043" s="36"/>
      <c r="AP1043" s="36"/>
      <c r="GE1043" s="94"/>
      <c r="GF1043" s="104">
        <f t="shared" si="380"/>
        <v>2017</v>
      </c>
      <c r="GG1043" s="104">
        <f t="shared" si="381"/>
        <v>3</v>
      </c>
      <c r="GH1043" s="35">
        <v>42755</v>
      </c>
      <c r="GI1043" s="26">
        <v>3.052</v>
      </c>
      <c r="GJ1043" s="94">
        <f t="shared" si="382"/>
        <v>6.104</v>
      </c>
      <c r="GK1043" s="104"/>
      <c r="GL1043" s="104"/>
      <c r="GO1043" s="94"/>
    </row>
    <row r="1044" spans="3:197">
      <c r="C1044" s="80" t="str" cm="1">
        <f t="array" ref="C1044">_xlfn.IFS(MONTH(D1044)&lt;4,1,MONTH(D1044)&lt;7,2,MONTH(D1044)&lt;10,3,MONTH(D1044)&gt;9,4)&amp;"Q"&amp;RIGHT(YEAR(D1044),2)</f>
        <v>1Q20</v>
      </c>
      <c r="D1044" s="81">
        <f t="shared" si="377"/>
        <v>43921</v>
      </c>
      <c r="E1044" s="82">
        <f t="shared" si="388"/>
        <v>43909</v>
      </c>
      <c r="F1044" s="83">
        <f t="shared" si="389"/>
        <v>0.440875</v>
      </c>
      <c r="G1044" s="83">
        <f t="shared" si="389"/>
        <v>0.3675</v>
      </c>
      <c r="H1044" s="81"/>
      <c r="I1044" s="146">
        <v>43909</v>
      </c>
      <c r="J1044" s="147">
        <v>4.05</v>
      </c>
      <c r="K1044" s="147">
        <v>3.3</v>
      </c>
      <c r="L1044" s="147">
        <v>3.527</v>
      </c>
      <c r="M1044" s="94" cm="1">
        <f t="array" ref="M1044">INDEX($BV$29:$BV$1449,MATCH($D1044,$BR$29:$BR$1449,0),)</f>
        <v>2.94</v>
      </c>
      <c r="N1044" s="150">
        <f t="shared" si="390"/>
        <v>-0.00367231638418075</v>
      </c>
      <c r="O1044" s="150">
        <f t="shared" si="391"/>
        <v>-0.0202777777777777</v>
      </c>
      <c r="P1044" s="150">
        <f t="shared" si="384"/>
        <v>-0.0101038450743756</v>
      </c>
      <c r="Q1044" s="89">
        <f t="shared" si="392"/>
        <v>0.199659863945578</v>
      </c>
      <c r="AH1044" s="90"/>
      <c r="AI1044" s="85"/>
      <c r="AJ1044" s="36"/>
      <c r="AK1044" s="36"/>
      <c r="AL1044" s="36"/>
      <c r="AM1044" s="36"/>
      <c r="AN1044" s="36"/>
      <c r="AO1044" s="36"/>
      <c r="AP1044" s="36"/>
      <c r="GE1044" s="94"/>
      <c r="GF1044" s="104">
        <f t="shared" si="380"/>
        <v>2017</v>
      </c>
      <c r="GG1044" s="104">
        <f t="shared" si="381"/>
        <v>4</v>
      </c>
      <c r="GH1044" s="35">
        <v>42758</v>
      </c>
      <c r="GI1044" s="26">
        <v>3.052</v>
      </c>
      <c r="GJ1044" s="94">
        <f t="shared" si="382"/>
        <v>6.104</v>
      </c>
      <c r="GK1044" s="104"/>
      <c r="GL1044" s="104"/>
      <c r="GO1044" s="94"/>
    </row>
    <row r="1045" spans="3:197">
      <c r="C1045" s="80" t="str" cm="1">
        <f t="array" ref="C1045">_xlfn.IFS(MONTH(D1045)&lt;4,1,MONTH(D1045)&lt;7,2,MONTH(D1045)&lt;10,3,MONTH(D1045)&gt;9,4)&amp;"Q"&amp;RIGHT(YEAR(D1045),2)</f>
        <v>1Q20</v>
      </c>
      <c r="D1045" s="81">
        <f t="shared" si="377"/>
        <v>43921</v>
      </c>
      <c r="E1045" s="82">
        <f t="shared" si="388"/>
        <v>43910</v>
      </c>
      <c r="F1045" s="83">
        <f t="shared" si="389"/>
        <v>0.44</v>
      </c>
      <c r="G1045" s="83">
        <f t="shared" si="389"/>
        <v>0.3675</v>
      </c>
      <c r="H1045" s="81"/>
      <c r="I1045" s="146">
        <v>43910</v>
      </c>
      <c r="J1045" s="147">
        <v>4.05</v>
      </c>
      <c r="K1045" s="147">
        <v>3.3</v>
      </c>
      <c r="L1045" s="147">
        <v>3.52</v>
      </c>
      <c r="M1045" s="94" cm="1">
        <f t="array" ref="M1045">INDEX($BV$29:$BV$1449,MATCH($D1045,$BR$29:$BR$1449,0),)</f>
        <v>2.94</v>
      </c>
      <c r="N1045" s="150">
        <f t="shared" si="390"/>
        <v>-0.00198468953785091</v>
      </c>
      <c r="O1045" s="150">
        <f t="shared" si="391"/>
        <v>-0.0214067278287462</v>
      </c>
      <c r="P1045" s="150">
        <f t="shared" si="384"/>
        <v>-0.0120684816166152</v>
      </c>
      <c r="Q1045" s="89">
        <f t="shared" si="392"/>
        <v>0.197278911564626</v>
      </c>
      <c r="AH1045" s="90"/>
      <c r="AI1045" s="85"/>
      <c r="AJ1045" s="36"/>
      <c r="AK1045" s="36"/>
      <c r="AL1045" s="36"/>
      <c r="AM1045" s="36"/>
      <c r="AN1045" s="36"/>
      <c r="AO1045" s="36"/>
      <c r="AP1045" s="36"/>
      <c r="GE1045" s="94"/>
      <c r="GF1045" s="104">
        <f t="shared" si="380"/>
        <v>2017</v>
      </c>
      <c r="GG1045" s="104">
        <f t="shared" si="381"/>
        <v>4</v>
      </c>
      <c r="GH1045" s="35">
        <v>42759</v>
      </c>
      <c r="GI1045" s="26">
        <v>3.061</v>
      </c>
      <c r="GJ1045" s="94">
        <f t="shared" si="382"/>
        <v>6.122</v>
      </c>
      <c r="GK1045" s="104"/>
      <c r="GL1045" s="104"/>
      <c r="GO1045" s="94"/>
    </row>
    <row r="1046" spans="3:197">
      <c r="C1046" s="80" t="str" cm="1">
        <f t="array" ref="C1046">_xlfn.IFS(MONTH(D1046)&lt;4,1,MONTH(D1046)&lt;7,2,MONTH(D1046)&lt;10,3,MONTH(D1046)&gt;9,4)&amp;"Q"&amp;RIGHT(YEAR(D1046),2)</f>
        <v>1Q20</v>
      </c>
      <c r="D1046" s="81">
        <f t="shared" si="377"/>
        <v>43921</v>
      </c>
      <c r="E1046" s="82">
        <f t="shared" si="388"/>
        <v>43913</v>
      </c>
      <c r="F1046" s="83">
        <f t="shared" si="389"/>
        <v>0.439125</v>
      </c>
      <c r="G1046" s="83">
        <f t="shared" si="389"/>
        <v>0.3675</v>
      </c>
      <c r="H1046" s="81"/>
      <c r="I1046" s="146">
        <v>43913</v>
      </c>
      <c r="J1046" s="147">
        <v>4</v>
      </c>
      <c r="K1046" s="147">
        <v>3.3</v>
      </c>
      <c r="L1046" s="147">
        <v>3.513</v>
      </c>
      <c r="M1046" s="94" cm="1">
        <f t="array" ref="M1046">INDEX($BV$29:$BV$1449,MATCH($D1046,$BR$29:$BR$1449,0),)</f>
        <v>2.94</v>
      </c>
      <c r="N1046" s="150">
        <f t="shared" si="390"/>
        <v>-0.00198863636363644</v>
      </c>
      <c r="O1046" s="150">
        <f t="shared" si="391"/>
        <v>-0.0178920883421863</v>
      </c>
      <c r="P1046" s="150">
        <f t="shared" si="384"/>
        <v>-0.0195367010884734</v>
      </c>
      <c r="Q1046" s="89">
        <f t="shared" si="392"/>
        <v>0.194897959183673</v>
      </c>
      <c r="AH1046" s="90"/>
      <c r="AI1046" s="85"/>
      <c r="AJ1046" s="36"/>
      <c r="AK1046" s="36"/>
      <c r="AL1046" s="36"/>
      <c r="AM1046" s="36"/>
      <c r="AN1046" s="36"/>
      <c r="AO1046" s="36"/>
      <c r="AP1046" s="36"/>
      <c r="GE1046" s="94"/>
      <c r="GF1046" s="104">
        <f t="shared" si="380"/>
        <v>2017</v>
      </c>
      <c r="GG1046" s="104">
        <f t="shared" si="381"/>
        <v>4</v>
      </c>
      <c r="GH1046" s="35">
        <v>42760</v>
      </c>
      <c r="GI1046" s="26">
        <v>3.061</v>
      </c>
      <c r="GJ1046" s="94">
        <f t="shared" si="382"/>
        <v>6.122</v>
      </c>
      <c r="GK1046" s="104"/>
      <c r="GL1046" s="104"/>
      <c r="GO1046" s="94"/>
    </row>
    <row r="1047" spans="3:197">
      <c r="C1047" s="80" t="str" cm="1">
        <f t="array" ref="C1047">_xlfn.IFS(MONTH(D1047)&lt;4,1,MONTH(D1047)&lt;7,2,MONTH(D1047)&lt;10,3,MONTH(D1047)&gt;9,4)&amp;"Q"&amp;RIGHT(YEAR(D1047),2)</f>
        <v>1Q20</v>
      </c>
      <c r="D1047" s="81">
        <f t="shared" si="377"/>
        <v>43921</v>
      </c>
      <c r="E1047" s="82">
        <f t="shared" si="388"/>
        <v>43914</v>
      </c>
      <c r="F1047" s="83">
        <f t="shared" si="389"/>
        <v>0.4375</v>
      </c>
      <c r="G1047" s="83">
        <f t="shared" si="389"/>
        <v>0.3675</v>
      </c>
      <c r="H1047" s="81"/>
      <c r="I1047" s="146">
        <v>43914</v>
      </c>
      <c r="J1047" s="147">
        <v>3.95</v>
      </c>
      <c r="K1047" s="147">
        <v>3.27</v>
      </c>
      <c r="L1047" s="147">
        <v>3.5</v>
      </c>
      <c r="M1047" s="94" cm="1">
        <f t="array" ref="M1047">INDEX($BV$29:$BV$1449,MATCH($D1047,$BR$29:$BR$1449,0),)</f>
        <v>2.94</v>
      </c>
      <c r="N1047" s="150">
        <f t="shared" si="390"/>
        <v>-0.00370054084827776</v>
      </c>
      <c r="O1047" s="150">
        <f t="shared" si="391"/>
        <v>-0.0204310103554436</v>
      </c>
      <c r="P1047" s="150">
        <f t="shared" si="384"/>
        <v>-0.0304709141274238</v>
      </c>
      <c r="Q1047" s="89">
        <f t="shared" si="392"/>
        <v>0.19047619047619</v>
      </c>
      <c r="AH1047" s="90"/>
      <c r="AI1047" s="85"/>
      <c r="AJ1047" s="36"/>
      <c r="AK1047" s="36"/>
      <c r="AL1047" s="36"/>
      <c r="AM1047" s="36"/>
      <c r="AN1047" s="36"/>
      <c r="AO1047" s="36"/>
      <c r="AP1047" s="36"/>
      <c r="GE1047" s="94"/>
      <c r="GF1047" s="104">
        <f t="shared" si="380"/>
        <v>2017</v>
      </c>
      <c r="GG1047" s="104">
        <f t="shared" si="381"/>
        <v>4</v>
      </c>
      <c r="GH1047" s="35">
        <v>42761</v>
      </c>
      <c r="GI1047" s="26">
        <v>3.061</v>
      </c>
      <c r="GJ1047" s="94">
        <f t="shared" si="382"/>
        <v>6.122</v>
      </c>
      <c r="GK1047" s="104"/>
      <c r="GL1047" s="104"/>
      <c r="GO1047" s="94"/>
    </row>
    <row r="1048" spans="3:197">
      <c r="C1048" s="80" t="str" cm="1">
        <f t="array" ref="C1048">_xlfn.IFS(MONTH(D1048)&lt;4,1,MONTH(D1048)&lt;7,2,MONTH(D1048)&lt;10,3,MONTH(D1048)&gt;9,4)&amp;"Q"&amp;RIGHT(YEAR(D1048),2)</f>
        <v>1Q20</v>
      </c>
      <c r="D1048" s="81">
        <f t="shared" si="377"/>
        <v>43921</v>
      </c>
      <c r="E1048" s="82">
        <f t="shared" si="388"/>
        <v>43915</v>
      </c>
      <c r="F1048" s="83">
        <f t="shared" si="389"/>
        <v>0.4375</v>
      </c>
      <c r="G1048" s="83">
        <f t="shared" si="389"/>
        <v>0.3675</v>
      </c>
      <c r="H1048" s="81"/>
      <c r="I1048" s="146">
        <v>43915</v>
      </c>
      <c r="J1048" s="147">
        <v>4.15</v>
      </c>
      <c r="K1048" s="147">
        <v>3.26</v>
      </c>
      <c r="L1048" s="147">
        <v>3.5</v>
      </c>
      <c r="M1048" s="94" cm="1">
        <f t="array" ref="M1048">INDEX($BV$29:$BV$1449,MATCH($D1048,$BR$29:$BR$1449,0),)</f>
        <v>2.94</v>
      </c>
      <c r="N1048" s="150">
        <f t="shared" si="390"/>
        <v>0</v>
      </c>
      <c r="O1048" s="150">
        <f t="shared" si="391"/>
        <v>-0.0112994350282486</v>
      </c>
      <c r="P1048" s="150">
        <f t="shared" si="384"/>
        <v>-0.0312759479656795</v>
      </c>
      <c r="Q1048" s="89">
        <f t="shared" si="392"/>
        <v>0.19047619047619</v>
      </c>
      <c r="AH1048" s="90"/>
      <c r="AI1048" s="85"/>
      <c r="AJ1048" s="36"/>
      <c r="AK1048" s="36"/>
      <c r="AL1048" s="36"/>
      <c r="AM1048" s="36"/>
      <c r="AN1048" s="36"/>
      <c r="AO1048" s="36"/>
      <c r="AP1048" s="36"/>
      <c r="GE1048" s="94"/>
      <c r="GF1048" s="104">
        <f t="shared" si="380"/>
        <v>2017</v>
      </c>
      <c r="GG1048" s="104">
        <f t="shared" si="381"/>
        <v>5</v>
      </c>
      <c r="GH1048" s="35">
        <v>42768</v>
      </c>
      <c r="GI1048" s="26">
        <v>3.066</v>
      </c>
      <c r="GJ1048" s="94">
        <f t="shared" si="382"/>
        <v>6.132</v>
      </c>
      <c r="GK1048" s="104"/>
      <c r="GL1048" s="104"/>
      <c r="GO1048" s="94"/>
    </row>
    <row r="1049" spans="3:197">
      <c r="C1049" s="80" t="str" cm="1">
        <f t="array" ref="C1049">_xlfn.IFS(MONTH(D1049)&lt;4,1,MONTH(D1049)&lt;7,2,MONTH(D1049)&lt;10,3,MONTH(D1049)&gt;9,4)&amp;"Q"&amp;RIGHT(YEAR(D1049),2)</f>
        <v>1Q20</v>
      </c>
      <c r="D1049" s="81">
        <f t="shared" si="377"/>
        <v>43921</v>
      </c>
      <c r="E1049" s="82">
        <f t="shared" si="388"/>
        <v>43916</v>
      </c>
      <c r="F1049" s="83">
        <f t="shared" si="389"/>
        <v>0.4375</v>
      </c>
      <c r="G1049" s="83">
        <f t="shared" si="389"/>
        <v>0.3675</v>
      </c>
      <c r="H1049" s="81"/>
      <c r="I1049" s="146">
        <v>43916</v>
      </c>
      <c r="J1049" s="147">
        <v>4.19</v>
      </c>
      <c r="K1049" s="147">
        <v>3.25</v>
      </c>
      <c r="L1049" s="147">
        <v>3.5</v>
      </c>
      <c r="M1049" s="94" cm="1">
        <f t="array" ref="M1049">INDEX($BV$29:$BV$1449,MATCH($D1049,$BR$29:$BR$1449,0),)</f>
        <v>2.94</v>
      </c>
      <c r="N1049" s="150">
        <f t="shared" si="390"/>
        <v>0</v>
      </c>
      <c r="O1049" s="150">
        <f t="shared" si="391"/>
        <v>-0.00765523107456767</v>
      </c>
      <c r="P1049" s="150">
        <f t="shared" si="384"/>
        <v>-0.0277777777777778</v>
      </c>
      <c r="Q1049" s="89">
        <f t="shared" si="392"/>
        <v>0.19047619047619</v>
      </c>
      <c r="AH1049" s="90"/>
      <c r="AI1049" s="85"/>
      <c r="AJ1049" s="36"/>
      <c r="AK1049" s="36"/>
      <c r="AL1049" s="36"/>
      <c r="AM1049" s="36"/>
      <c r="AN1049" s="36"/>
      <c r="AO1049" s="36"/>
      <c r="AP1049" s="36"/>
      <c r="GE1049" s="94"/>
      <c r="GF1049" s="104">
        <f t="shared" si="380"/>
        <v>2017</v>
      </c>
      <c r="GG1049" s="104">
        <f t="shared" si="381"/>
        <v>5</v>
      </c>
      <c r="GH1049" s="35">
        <v>42769</v>
      </c>
      <c r="GI1049" s="26">
        <v>3.087</v>
      </c>
      <c r="GJ1049" s="94">
        <f t="shared" si="382"/>
        <v>6.174</v>
      </c>
      <c r="GK1049" s="104"/>
      <c r="GL1049" s="104"/>
      <c r="GO1049" s="94"/>
    </row>
    <row r="1050" spans="3:197">
      <c r="C1050" s="80" t="str" cm="1">
        <f t="array" ref="C1050">_xlfn.IFS(MONTH(D1050)&lt;4,1,MONTH(D1050)&lt;7,2,MONTH(D1050)&lt;10,3,MONTH(D1050)&gt;9,4)&amp;"Q"&amp;RIGHT(YEAR(D1050),2)</f>
        <v>1Q20</v>
      </c>
      <c r="D1050" s="81">
        <f t="shared" si="377"/>
        <v>43921</v>
      </c>
      <c r="E1050" s="82">
        <f t="shared" si="388"/>
        <v>43917</v>
      </c>
      <c r="F1050" s="83">
        <f t="shared" si="389"/>
        <v>0.4375</v>
      </c>
      <c r="G1050" s="83">
        <f t="shared" si="389"/>
        <v>0.3675</v>
      </c>
      <c r="H1050" s="81"/>
      <c r="I1050" s="146">
        <v>43917</v>
      </c>
      <c r="J1050" s="147">
        <v>4.18</v>
      </c>
      <c r="K1050" s="147">
        <v>3.25</v>
      </c>
      <c r="L1050" s="147">
        <v>3.5</v>
      </c>
      <c r="M1050" s="94" cm="1">
        <f t="array" ref="M1050">INDEX($BV$29:$BV$1449,MATCH($D1050,$BR$29:$BR$1449,0),)</f>
        <v>2.94</v>
      </c>
      <c r="N1050" s="150">
        <f t="shared" si="390"/>
        <v>0</v>
      </c>
      <c r="O1050" s="150">
        <f t="shared" si="391"/>
        <v>-0.00568181818181823</v>
      </c>
      <c r="P1050" s="150">
        <f t="shared" si="384"/>
        <v>-0.0269669168751737</v>
      </c>
      <c r="Q1050" s="89">
        <f t="shared" si="392"/>
        <v>0.19047619047619</v>
      </c>
      <c r="AH1050" s="90"/>
      <c r="AI1050" s="85"/>
      <c r="AJ1050" s="36"/>
      <c r="AK1050" s="36"/>
      <c r="AL1050" s="36"/>
      <c r="AM1050" s="36"/>
      <c r="AN1050" s="36"/>
      <c r="AO1050" s="36"/>
      <c r="AP1050" s="36"/>
      <c r="GE1050" s="94"/>
      <c r="GF1050" s="104">
        <f t="shared" si="380"/>
        <v>2017</v>
      </c>
      <c r="GG1050" s="104">
        <f t="shared" si="381"/>
        <v>6</v>
      </c>
      <c r="GH1050" s="35">
        <v>42772</v>
      </c>
      <c r="GI1050" s="26">
        <v>3.105</v>
      </c>
      <c r="GJ1050" s="94">
        <f t="shared" si="382"/>
        <v>6.21</v>
      </c>
      <c r="GK1050" s="104"/>
      <c r="GL1050" s="104"/>
      <c r="GO1050" s="94"/>
    </row>
    <row r="1051" spans="3:197">
      <c r="C1051" s="80" t="str" cm="1">
        <f t="array" ref="C1051">_xlfn.IFS(MONTH(D1051)&lt;4,1,MONTH(D1051)&lt;7,2,MONTH(D1051)&lt;10,3,MONTH(D1051)&gt;9,4)&amp;"Q"&amp;RIGHT(YEAR(D1051),2)</f>
        <v>1Q20</v>
      </c>
      <c r="D1051" s="81">
        <f t="shared" si="377"/>
        <v>43921</v>
      </c>
      <c r="E1051" s="82">
        <f t="shared" si="388"/>
        <v>43920</v>
      </c>
      <c r="F1051" s="83">
        <f t="shared" si="389"/>
        <v>0.4375</v>
      </c>
      <c r="G1051" s="83">
        <f t="shared" si="389"/>
        <v>0.3675</v>
      </c>
      <c r="H1051" s="81"/>
      <c r="I1051" s="146">
        <v>43920</v>
      </c>
      <c r="J1051" s="147">
        <v>4.18</v>
      </c>
      <c r="K1051" s="147">
        <v>3.25</v>
      </c>
      <c r="L1051" s="147">
        <v>3.5</v>
      </c>
      <c r="M1051" s="94" cm="1">
        <f t="array" ref="M1051">INDEX($BV$29:$BV$1449,MATCH($D1051,$BR$29:$BR$1449,0),)</f>
        <v>2.94</v>
      </c>
      <c r="N1051" s="150">
        <f t="shared" si="390"/>
        <v>0</v>
      </c>
      <c r="O1051" s="150">
        <f t="shared" si="391"/>
        <v>-0.00370054084827776</v>
      </c>
      <c r="P1051" s="150">
        <f t="shared" si="384"/>
        <v>-0.0215264187866927</v>
      </c>
      <c r="Q1051" s="89">
        <f t="shared" si="392"/>
        <v>0.19047619047619</v>
      </c>
      <c r="AH1051" s="90"/>
      <c r="AI1051" s="85"/>
      <c r="AJ1051" s="36"/>
      <c r="AK1051" s="36"/>
      <c r="AL1051" s="36"/>
      <c r="AM1051" s="36"/>
      <c r="AN1051" s="36"/>
      <c r="AO1051" s="36"/>
      <c r="AP1051" s="36"/>
      <c r="GE1051" s="94"/>
      <c r="GF1051" s="104">
        <f t="shared" si="380"/>
        <v>2017</v>
      </c>
      <c r="GG1051" s="104">
        <f t="shared" si="381"/>
        <v>6</v>
      </c>
      <c r="GH1051" s="35">
        <v>42773</v>
      </c>
      <c r="GI1051" s="26">
        <v>3.111</v>
      </c>
      <c r="GJ1051" s="94">
        <f t="shared" si="382"/>
        <v>6.222</v>
      </c>
      <c r="GK1051" s="104"/>
      <c r="GL1051" s="104"/>
      <c r="GO1051" s="94"/>
    </row>
    <row r="1052" spans="3:197">
      <c r="C1052" s="80" t="str" cm="1">
        <f t="array" ref="C1052">_xlfn.IFS(MONTH(D1052)&lt;4,1,MONTH(D1052)&lt;7,2,MONTH(D1052)&lt;10,3,MONTH(D1052)&gt;9,4)&amp;"Q"&amp;RIGHT(YEAR(D1052),2)</f>
        <v>1Q20</v>
      </c>
      <c r="D1052" s="81">
        <f t="shared" si="377"/>
        <v>43921</v>
      </c>
      <c r="E1052" s="82">
        <f t="shared" si="388"/>
        <v>43921</v>
      </c>
      <c r="F1052" s="83">
        <f t="shared" si="389"/>
        <v>0.4375</v>
      </c>
      <c r="G1052" s="83">
        <f t="shared" si="389"/>
        <v>0.3675</v>
      </c>
      <c r="H1052" s="81"/>
      <c r="I1052" s="146">
        <v>43921</v>
      </c>
      <c r="J1052" s="147">
        <v>4.18</v>
      </c>
      <c r="K1052" s="147">
        <v>3.25</v>
      </c>
      <c r="L1052" s="147">
        <v>3.5</v>
      </c>
      <c r="M1052" s="94" cm="1">
        <f t="array" ref="M1052">INDEX($BV$29:$BV$1449,MATCH($D1052,$BR$29:$BR$1449,0),)</f>
        <v>2.94</v>
      </c>
      <c r="N1052" s="150">
        <f t="shared" si="390"/>
        <v>0</v>
      </c>
      <c r="O1052" s="150">
        <f t="shared" si="391"/>
        <v>0</v>
      </c>
      <c r="P1052" s="150">
        <f t="shared" si="384"/>
        <v>-0.0204310103554436</v>
      </c>
      <c r="Q1052" s="89">
        <f t="shared" si="392"/>
        <v>0.19047619047619</v>
      </c>
      <c r="AH1052" s="90"/>
      <c r="AI1052" s="85"/>
      <c r="AJ1052" s="36"/>
      <c r="AK1052" s="36"/>
      <c r="AL1052" s="36"/>
      <c r="AM1052" s="36"/>
      <c r="AN1052" s="36"/>
      <c r="AO1052" s="36"/>
      <c r="AP1052" s="36"/>
      <c r="GE1052" s="94"/>
      <c r="GF1052" s="104">
        <f t="shared" si="380"/>
        <v>2017</v>
      </c>
      <c r="GG1052" s="104">
        <f t="shared" si="381"/>
        <v>6</v>
      </c>
      <c r="GH1052" s="35">
        <v>42774</v>
      </c>
      <c r="GI1052" s="26">
        <v>3.119</v>
      </c>
      <c r="GJ1052" s="94">
        <f t="shared" si="382"/>
        <v>6.238</v>
      </c>
      <c r="GK1052" s="104"/>
      <c r="GL1052" s="104"/>
      <c r="GO1052" s="94"/>
    </row>
    <row r="1053" spans="3:197">
      <c r="C1053" s="80" t="str" cm="1">
        <f t="array" ref="C1053">_xlfn.IFS(MONTH(D1053)&lt;4,1,MONTH(D1053)&lt;7,2,MONTH(D1053)&lt;10,3,MONTH(D1053)&gt;9,4)&amp;"Q"&amp;RIGHT(YEAR(D1053),2)</f>
        <v>2Q20</v>
      </c>
      <c r="D1053" s="81">
        <f t="shared" si="377"/>
        <v>43951</v>
      </c>
      <c r="E1053" s="82">
        <f t="shared" si="388"/>
        <v>43922</v>
      </c>
      <c r="F1053" s="83">
        <f t="shared" si="389"/>
        <v>0.45</v>
      </c>
      <c r="G1053" s="83">
        <f t="shared" si="389"/>
        <v>0.41125</v>
      </c>
      <c r="H1053" s="81"/>
      <c r="I1053" s="146">
        <v>43922</v>
      </c>
      <c r="J1053" s="147">
        <v>4.5</v>
      </c>
      <c r="K1053" s="147">
        <v>3.25</v>
      </c>
      <c r="L1053" s="147">
        <v>3.6</v>
      </c>
      <c r="M1053" s="94" cm="1">
        <f t="array" ref="M1053">INDEX($BV$29:$BV$1449,MATCH($D1053,$BR$29:$BR$1449,0),)</f>
        <v>3.29</v>
      </c>
      <c r="N1053" s="150">
        <f t="shared" si="390"/>
        <v>0.0285714285714287</v>
      </c>
      <c r="O1053" s="150">
        <f t="shared" si="391"/>
        <v>0.0285714285714287</v>
      </c>
      <c r="P1053" s="150">
        <f t="shared" si="384"/>
        <v>0.0169491525423728</v>
      </c>
      <c r="Q1053" s="89">
        <f t="shared" si="392"/>
        <v>0.094224924012158</v>
      </c>
      <c r="AH1053" s="90"/>
      <c r="AI1053" s="85"/>
      <c r="AJ1053" s="36"/>
      <c r="AK1053" s="36"/>
      <c r="AL1053" s="36"/>
      <c r="AM1053" s="36"/>
      <c r="AN1053" s="36"/>
      <c r="AO1053" s="36"/>
      <c r="AP1053" s="36"/>
      <c r="GE1053" s="94"/>
      <c r="GF1053" s="104">
        <f t="shared" si="380"/>
        <v>2017</v>
      </c>
      <c r="GG1053" s="104">
        <f t="shared" si="381"/>
        <v>6</v>
      </c>
      <c r="GH1053" s="35">
        <v>42775</v>
      </c>
      <c r="GI1053" s="26">
        <v>3.12</v>
      </c>
      <c r="GJ1053" s="94">
        <f t="shared" si="382"/>
        <v>6.24</v>
      </c>
      <c r="GK1053" s="104"/>
      <c r="GL1053" s="104"/>
      <c r="GO1053" s="94"/>
    </row>
    <row r="1054" spans="3:197">
      <c r="C1054" s="80" t="str" cm="1">
        <f t="array" ref="C1054">_xlfn.IFS(MONTH(D1054)&lt;4,1,MONTH(D1054)&lt;7,2,MONTH(D1054)&lt;10,3,MONTH(D1054)&gt;9,4)&amp;"Q"&amp;RIGHT(YEAR(D1054),2)</f>
        <v>2Q20</v>
      </c>
      <c r="D1054" s="81">
        <f t="shared" ref="D1054:D1117" si="393">EOMONTH(E1054,0)</f>
        <v>43951</v>
      </c>
      <c r="E1054" s="82">
        <f t="shared" si="388"/>
        <v>43923</v>
      </c>
      <c r="F1054" s="83">
        <f t="shared" si="389"/>
        <v>0.454125</v>
      </c>
      <c r="G1054" s="83">
        <f t="shared" si="389"/>
        <v>0.41125</v>
      </c>
      <c r="H1054" s="81"/>
      <c r="I1054" s="146">
        <v>43923</v>
      </c>
      <c r="J1054" s="147">
        <v>4.6</v>
      </c>
      <c r="K1054" s="147">
        <v>3.2</v>
      </c>
      <c r="L1054" s="147">
        <v>3.633</v>
      </c>
      <c r="M1054" s="94" cm="1">
        <f t="array" ref="M1054">INDEX($BV$29:$BV$1449,MATCH($D1054,$BR$29:$BR$1449,0),)</f>
        <v>3.29</v>
      </c>
      <c r="N1054" s="150">
        <f t="shared" si="390"/>
        <v>0.00916666666666655</v>
      </c>
      <c r="O1054" s="150">
        <f t="shared" si="391"/>
        <v>0.038</v>
      </c>
      <c r="P1054" s="150">
        <f t="shared" si="384"/>
        <v>0.0300538701445987</v>
      </c>
      <c r="Q1054" s="89">
        <f t="shared" si="392"/>
        <v>0.104255319148936</v>
      </c>
      <c r="AH1054" s="90"/>
      <c r="AI1054" s="85"/>
      <c r="AJ1054" s="36"/>
      <c r="AK1054" s="36"/>
      <c r="AL1054" s="36"/>
      <c r="AM1054" s="36"/>
      <c r="AN1054" s="36"/>
      <c r="AO1054" s="36"/>
      <c r="AP1054" s="36"/>
      <c r="GE1054" s="94"/>
      <c r="GF1054" s="104">
        <f t="shared" si="380"/>
        <v>2017</v>
      </c>
      <c r="GG1054" s="104">
        <f t="shared" si="381"/>
        <v>6</v>
      </c>
      <c r="GH1054" s="35">
        <v>42776</v>
      </c>
      <c r="GI1054" s="26">
        <v>3.123</v>
      </c>
      <c r="GJ1054" s="94">
        <f t="shared" si="382"/>
        <v>6.246</v>
      </c>
      <c r="GK1054" s="104"/>
      <c r="GL1054" s="104"/>
      <c r="GO1054" s="94"/>
    </row>
    <row r="1055" spans="3:197">
      <c r="C1055" s="80" t="str" cm="1">
        <f t="array" ref="C1055">_xlfn.IFS(MONTH(D1055)&lt;4,1,MONTH(D1055)&lt;7,2,MONTH(D1055)&lt;10,3,MONTH(D1055)&gt;9,4)&amp;"Q"&amp;RIGHT(YEAR(D1055),2)</f>
        <v>2Q20</v>
      </c>
      <c r="D1055" s="81">
        <f t="shared" si="393"/>
        <v>43951</v>
      </c>
      <c r="E1055" s="82">
        <f t="shared" si="388"/>
        <v>43924</v>
      </c>
      <c r="F1055" s="83">
        <f t="shared" si="389"/>
        <v>0.454625</v>
      </c>
      <c r="G1055" s="83">
        <f t="shared" si="389"/>
        <v>0.41125</v>
      </c>
      <c r="H1055" s="81"/>
      <c r="I1055" s="146">
        <v>43924</v>
      </c>
      <c r="J1055" s="147">
        <v>4.6</v>
      </c>
      <c r="K1055" s="147">
        <v>3.2</v>
      </c>
      <c r="L1055" s="147">
        <v>3.637</v>
      </c>
      <c r="M1055" s="94" cm="1">
        <f t="array" ref="M1055">INDEX($BV$29:$BV$1449,MATCH($D1055,$BR$29:$BR$1449,0),)</f>
        <v>3.29</v>
      </c>
      <c r="N1055" s="150">
        <f t="shared" si="390"/>
        <v>0.00110101844205901</v>
      </c>
      <c r="O1055" s="150">
        <f t="shared" si="391"/>
        <v>0.0391428571428571</v>
      </c>
      <c r="P1055" s="150">
        <f t="shared" si="384"/>
        <v>0.0332386363636363</v>
      </c>
      <c r="Q1055" s="89">
        <f t="shared" si="392"/>
        <v>0.105471124620061</v>
      </c>
      <c r="AH1055" s="90"/>
      <c r="AI1055" s="85"/>
      <c r="AJ1055" s="36"/>
      <c r="AK1055" s="36"/>
      <c r="AL1055" s="36"/>
      <c r="AM1055" s="36"/>
      <c r="AN1055" s="36"/>
      <c r="AO1055" s="36"/>
      <c r="AP1055" s="36"/>
      <c r="GE1055" s="94"/>
      <c r="GF1055" s="104">
        <f t="shared" si="380"/>
        <v>2017</v>
      </c>
      <c r="GG1055" s="104">
        <f t="shared" si="381"/>
        <v>7</v>
      </c>
      <c r="GH1055" s="35">
        <v>42779</v>
      </c>
      <c r="GI1055" s="26">
        <v>3.115</v>
      </c>
      <c r="GJ1055" s="94">
        <f t="shared" si="382"/>
        <v>6.23</v>
      </c>
      <c r="GK1055" s="104"/>
      <c r="GL1055" s="104"/>
      <c r="GO1055" s="94"/>
    </row>
    <row r="1056" spans="3:197">
      <c r="C1056" s="80" t="str" cm="1">
        <f t="array" ref="C1056">_xlfn.IFS(MONTH(D1056)&lt;4,1,MONTH(D1056)&lt;7,2,MONTH(D1056)&lt;10,3,MONTH(D1056)&gt;9,4)&amp;"Q"&amp;RIGHT(YEAR(D1056),2)</f>
        <v>2Q20</v>
      </c>
      <c r="D1056" s="81">
        <f t="shared" si="393"/>
        <v>43951</v>
      </c>
      <c r="E1056" s="82">
        <f t="shared" si="388"/>
        <v>43927</v>
      </c>
      <c r="F1056" s="83">
        <f t="shared" si="389"/>
        <v>0.454625</v>
      </c>
      <c r="G1056" s="83">
        <f t="shared" si="389"/>
        <v>0.41125</v>
      </c>
      <c r="H1056" s="81"/>
      <c r="I1056" s="146">
        <v>43927</v>
      </c>
      <c r="J1056" s="147">
        <v>4.6</v>
      </c>
      <c r="K1056" s="147">
        <v>3.2</v>
      </c>
      <c r="L1056" s="147">
        <v>3.637</v>
      </c>
      <c r="M1056" s="94" cm="1">
        <f t="array" ref="M1056">INDEX($BV$29:$BV$1449,MATCH($D1056,$BR$29:$BR$1449,0),)</f>
        <v>3.29</v>
      </c>
      <c r="N1056" s="150">
        <f t="shared" si="390"/>
        <v>0</v>
      </c>
      <c r="O1056" s="150">
        <f t="shared" si="391"/>
        <v>0.0391428571428571</v>
      </c>
      <c r="P1056" s="150">
        <f t="shared" si="384"/>
        <v>0.0352974665528039</v>
      </c>
      <c r="Q1056" s="89">
        <f t="shared" si="392"/>
        <v>0.105471124620061</v>
      </c>
      <c r="AH1056" s="90"/>
      <c r="AI1056" s="85"/>
      <c r="AJ1056" s="36"/>
      <c r="AK1056" s="36"/>
      <c r="AL1056" s="36"/>
      <c r="AM1056" s="36"/>
      <c r="AN1056" s="36"/>
      <c r="AO1056" s="36"/>
      <c r="AP1056" s="36"/>
      <c r="GE1056" s="94"/>
      <c r="GF1056" s="104">
        <f t="shared" si="380"/>
        <v>2017</v>
      </c>
      <c r="GG1056" s="104">
        <f t="shared" si="381"/>
        <v>7</v>
      </c>
      <c r="GH1056" s="35">
        <v>42780</v>
      </c>
      <c r="GI1056" s="26">
        <v>3.111</v>
      </c>
      <c r="GJ1056" s="94">
        <f t="shared" si="382"/>
        <v>6.222</v>
      </c>
      <c r="GK1056" s="104"/>
      <c r="GL1056" s="104"/>
      <c r="GO1056" s="94"/>
    </row>
    <row r="1057" spans="3:197">
      <c r="C1057" s="80" t="str" cm="1">
        <f t="array" ref="C1057">_xlfn.IFS(MONTH(D1057)&lt;4,1,MONTH(D1057)&lt;7,2,MONTH(D1057)&lt;10,3,MONTH(D1057)&gt;9,4)&amp;"Q"&amp;RIGHT(YEAR(D1057),2)</f>
        <v>2Q20</v>
      </c>
      <c r="D1057" s="81">
        <f t="shared" si="393"/>
        <v>43951</v>
      </c>
      <c r="E1057" s="82">
        <f t="shared" si="388"/>
        <v>43928</v>
      </c>
      <c r="F1057" s="83">
        <f t="shared" ref="F1057:G1076" si="394">+L1057/8</f>
        <v>0.454625</v>
      </c>
      <c r="G1057" s="83">
        <f t="shared" si="394"/>
        <v>0.41125</v>
      </c>
      <c r="H1057" s="81"/>
      <c r="I1057" s="146">
        <v>43928</v>
      </c>
      <c r="J1057" s="147">
        <v>4.6</v>
      </c>
      <c r="K1057" s="147">
        <v>3.2</v>
      </c>
      <c r="L1057" s="147">
        <v>3.637</v>
      </c>
      <c r="M1057" s="94" cm="1">
        <f t="array" ref="M1057">INDEX($BV$29:$BV$1449,MATCH($D1057,$BR$29:$BR$1449,0),)</f>
        <v>3.29</v>
      </c>
      <c r="N1057" s="150">
        <f t="shared" si="390"/>
        <v>0</v>
      </c>
      <c r="O1057" s="150">
        <f t="shared" si="391"/>
        <v>0.0391428571428571</v>
      </c>
      <c r="P1057" s="150">
        <f t="shared" si="384"/>
        <v>0.0391428571428571</v>
      </c>
      <c r="Q1057" s="89">
        <f t="shared" si="392"/>
        <v>0.105471124620061</v>
      </c>
      <c r="AH1057" s="90"/>
      <c r="AI1057" s="85"/>
      <c r="AJ1057" s="36"/>
      <c r="AK1057" s="36"/>
      <c r="AL1057" s="36"/>
      <c r="AM1057" s="36"/>
      <c r="AN1057" s="36"/>
      <c r="AO1057" s="36"/>
      <c r="AP1057" s="36"/>
      <c r="GE1057" s="94"/>
      <c r="GF1057" s="104">
        <f t="shared" si="380"/>
        <v>2017</v>
      </c>
      <c r="GG1057" s="104">
        <f t="shared" si="381"/>
        <v>7</v>
      </c>
      <c r="GH1057" s="35">
        <v>42781</v>
      </c>
      <c r="GI1057" s="26">
        <v>3.099</v>
      </c>
      <c r="GJ1057" s="94">
        <f t="shared" si="382"/>
        <v>6.198</v>
      </c>
      <c r="GK1057" s="104"/>
      <c r="GL1057" s="104"/>
      <c r="GO1057" s="94"/>
    </row>
    <row r="1058" spans="3:197">
      <c r="C1058" s="80" t="str" cm="1">
        <f t="array" ref="C1058">_xlfn.IFS(MONTH(D1058)&lt;4,1,MONTH(D1058)&lt;7,2,MONTH(D1058)&lt;10,3,MONTH(D1058)&gt;9,4)&amp;"Q"&amp;RIGHT(YEAR(D1058),2)</f>
        <v>2Q20</v>
      </c>
      <c r="D1058" s="81">
        <f t="shared" si="393"/>
        <v>43951</v>
      </c>
      <c r="E1058" s="82">
        <f t="shared" si="388"/>
        <v>43929</v>
      </c>
      <c r="F1058" s="83">
        <f t="shared" si="394"/>
        <v>0.452125</v>
      </c>
      <c r="G1058" s="83">
        <f t="shared" si="394"/>
        <v>0.41125</v>
      </c>
      <c r="H1058" s="81"/>
      <c r="I1058" s="146">
        <v>43929</v>
      </c>
      <c r="J1058" s="147">
        <v>4.55</v>
      </c>
      <c r="K1058" s="147">
        <v>3.15</v>
      </c>
      <c r="L1058" s="147">
        <v>3.617</v>
      </c>
      <c r="M1058" s="94" cm="1">
        <f t="array" ref="M1058">INDEX($BV$29:$BV$1449,MATCH($D1058,$BR$29:$BR$1449,0),)</f>
        <v>3.29</v>
      </c>
      <c r="N1058" s="150">
        <f t="shared" si="390"/>
        <v>-0.00549903766840798</v>
      </c>
      <c r="O1058" s="150">
        <f t="shared" si="391"/>
        <v>0.00472222222222229</v>
      </c>
      <c r="P1058" s="150">
        <f t="shared" si="384"/>
        <v>0.0334285714285714</v>
      </c>
      <c r="Q1058" s="89">
        <f t="shared" si="392"/>
        <v>0.0993920972644378</v>
      </c>
      <c r="AH1058" s="90"/>
      <c r="AI1058" s="85"/>
      <c r="AJ1058" s="36"/>
      <c r="AK1058" s="36"/>
      <c r="AL1058" s="36"/>
      <c r="AM1058" s="36"/>
      <c r="AN1058" s="36"/>
      <c r="AO1058" s="36"/>
      <c r="AP1058" s="36"/>
      <c r="GE1058" s="94"/>
      <c r="GF1058" s="104">
        <f t="shared" si="380"/>
        <v>2017</v>
      </c>
      <c r="GG1058" s="104">
        <f t="shared" si="381"/>
        <v>7</v>
      </c>
      <c r="GH1058" s="35">
        <v>42782</v>
      </c>
      <c r="GI1058" s="26">
        <v>3.099</v>
      </c>
      <c r="GJ1058" s="94">
        <f t="shared" si="382"/>
        <v>6.198</v>
      </c>
      <c r="GK1058" s="104"/>
      <c r="GL1058" s="104"/>
      <c r="GO1058" s="94"/>
    </row>
    <row r="1059" spans="3:197">
      <c r="C1059" s="80" t="str" cm="1">
        <f t="array" ref="C1059">_xlfn.IFS(MONTH(D1059)&lt;4,1,MONTH(D1059)&lt;7,2,MONTH(D1059)&lt;10,3,MONTH(D1059)&gt;9,4)&amp;"Q"&amp;RIGHT(YEAR(D1059),2)</f>
        <v>2Q20</v>
      </c>
      <c r="D1059" s="81">
        <f t="shared" si="393"/>
        <v>43951</v>
      </c>
      <c r="E1059" s="82">
        <f t="shared" si="388"/>
        <v>43930</v>
      </c>
      <c r="F1059" s="83">
        <f t="shared" si="394"/>
        <v>0.448375</v>
      </c>
      <c r="G1059" s="83">
        <f t="shared" si="394"/>
        <v>0.41125</v>
      </c>
      <c r="H1059" s="81"/>
      <c r="I1059" s="146">
        <v>43930</v>
      </c>
      <c r="J1059" s="147">
        <v>4.5</v>
      </c>
      <c r="K1059" s="147">
        <v>3.15</v>
      </c>
      <c r="L1059" s="147">
        <v>3.587</v>
      </c>
      <c r="M1059" s="94" cm="1">
        <f t="array" ref="M1059">INDEX($BV$29:$BV$1449,MATCH($D1059,$BR$29:$BR$1449,0),)</f>
        <v>3.29</v>
      </c>
      <c r="N1059" s="150">
        <f t="shared" si="390"/>
        <v>-0.00829416643627312</v>
      </c>
      <c r="O1059" s="150">
        <f t="shared" si="391"/>
        <v>-0.0126617120836774</v>
      </c>
      <c r="P1059" s="150">
        <f t="shared" si="384"/>
        <v>0.0248571428571429</v>
      </c>
      <c r="Q1059" s="89">
        <f t="shared" si="392"/>
        <v>0.0902735562310031</v>
      </c>
      <c r="AH1059" s="90"/>
      <c r="AI1059" s="85"/>
      <c r="AJ1059" s="36"/>
      <c r="AK1059" s="36"/>
      <c r="AL1059" s="36"/>
      <c r="AM1059" s="36"/>
      <c r="AN1059" s="36"/>
      <c r="AO1059" s="36"/>
      <c r="AP1059" s="36"/>
      <c r="GE1059" s="94"/>
      <c r="GF1059" s="104">
        <f t="shared" si="380"/>
        <v>2017</v>
      </c>
      <c r="GG1059" s="104">
        <f t="shared" si="381"/>
        <v>7</v>
      </c>
      <c r="GH1059" s="35">
        <v>42783</v>
      </c>
      <c r="GI1059" s="26">
        <v>3.099</v>
      </c>
      <c r="GJ1059" s="94">
        <f t="shared" si="382"/>
        <v>6.198</v>
      </c>
      <c r="GK1059" s="104"/>
      <c r="GL1059" s="104"/>
      <c r="GO1059" s="94"/>
    </row>
    <row r="1060" spans="3:197">
      <c r="C1060" s="80" t="str" cm="1">
        <f t="array" ref="C1060">_xlfn.IFS(MONTH(D1060)&lt;4,1,MONTH(D1060)&lt;7,2,MONTH(D1060)&lt;10,3,MONTH(D1060)&gt;9,4)&amp;"Q"&amp;RIGHT(YEAR(D1060),2)</f>
        <v>2Q20</v>
      </c>
      <c r="D1060" s="81">
        <f t="shared" si="393"/>
        <v>43951</v>
      </c>
      <c r="E1060" s="82">
        <f t="shared" si="388"/>
        <v>43931</v>
      </c>
      <c r="F1060" s="83">
        <f t="shared" si="394"/>
        <v>0.4475</v>
      </c>
      <c r="G1060" s="83">
        <f t="shared" si="394"/>
        <v>0.41125</v>
      </c>
      <c r="H1060" s="81"/>
      <c r="I1060" s="146">
        <v>43931</v>
      </c>
      <c r="J1060" s="147">
        <v>4.4</v>
      </c>
      <c r="K1060" s="147">
        <v>3.15</v>
      </c>
      <c r="L1060" s="147">
        <v>3.58</v>
      </c>
      <c r="M1060" s="94" cm="1">
        <f t="array" ref="M1060">INDEX($BV$29:$BV$1449,MATCH($D1060,$BR$29:$BR$1449,0),)</f>
        <v>3.29</v>
      </c>
      <c r="N1060" s="150">
        <f t="shared" si="390"/>
        <v>-0.00195149149707274</v>
      </c>
      <c r="O1060" s="150">
        <f t="shared" si="391"/>
        <v>-0.0156722573549629</v>
      </c>
      <c r="P1060" s="150">
        <f t="shared" si="384"/>
        <v>0.0228571428571429</v>
      </c>
      <c r="Q1060" s="89">
        <f t="shared" si="392"/>
        <v>0.0881458966565349</v>
      </c>
      <c r="AH1060" s="90"/>
      <c r="AI1060" s="85"/>
      <c r="AJ1060" s="36"/>
      <c r="AK1060" s="36"/>
      <c r="AL1060" s="36"/>
      <c r="AM1060" s="36"/>
      <c r="AN1060" s="36"/>
      <c r="AO1060" s="36"/>
      <c r="AP1060" s="36"/>
      <c r="GE1060" s="94"/>
      <c r="GF1060" s="104">
        <f t="shared" si="380"/>
        <v>2017</v>
      </c>
      <c r="GG1060" s="104">
        <f t="shared" si="381"/>
        <v>8</v>
      </c>
      <c r="GH1060" s="35">
        <v>42786</v>
      </c>
      <c r="GI1060" s="26">
        <v>3.099</v>
      </c>
      <c r="GJ1060" s="94">
        <f t="shared" si="382"/>
        <v>6.198</v>
      </c>
      <c r="GK1060" s="104"/>
      <c r="GL1060" s="104"/>
      <c r="GO1060" s="94"/>
    </row>
    <row r="1061" spans="3:197">
      <c r="C1061" s="80" t="str" cm="1">
        <f t="array" ref="C1061">_xlfn.IFS(MONTH(D1061)&lt;4,1,MONTH(D1061)&lt;7,2,MONTH(D1061)&lt;10,3,MONTH(D1061)&gt;9,4)&amp;"Q"&amp;RIGHT(YEAR(D1061),2)</f>
        <v>2Q20</v>
      </c>
      <c r="D1061" s="81">
        <f t="shared" si="393"/>
        <v>43951</v>
      </c>
      <c r="E1061" s="82">
        <f t="shared" si="388"/>
        <v>43934</v>
      </c>
      <c r="F1061" s="83">
        <f t="shared" si="394"/>
        <v>0.445375</v>
      </c>
      <c r="G1061" s="83">
        <f t="shared" si="394"/>
        <v>0.41125</v>
      </c>
      <c r="H1061" s="81"/>
      <c r="I1061" s="146">
        <v>43934</v>
      </c>
      <c r="J1061" s="147">
        <v>4.38</v>
      </c>
      <c r="K1061" s="147">
        <v>3.12</v>
      </c>
      <c r="L1061" s="147">
        <v>3.563</v>
      </c>
      <c r="M1061" s="94" cm="1">
        <f t="array" ref="M1061">INDEX($BV$29:$BV$1449,MATCH($D1061,$BR$29:$BR$1449,0),)</f>
        <v>3.29</v>
      </c>
      <c r="N1061" s="150">
        <f t="shared" si="390"/>
        <v>-0.00474860335195526</v>
      </c>
      <c r="O1061" s="150">
        <f t="shared" si="391"/>
        <v>-0.0203464393731096</v>
      </c>
      <c r="P1061" s="150">
        <f t="shared" si="384"/>
        <v>0.018</v>
      </c>
      <c r="Q1061" s="89">
        <f t="shared" si="392"/>
        <v>0.0829787234042554</v>
      </c>
      <c r="AH1061" s="90"/>
      <c r="AI1061" s="85"/>
      <c r="AJ1061" s="36"/>
      <c r="AK1061" s="36"/>
      <c r="AL1061" s="36"/>
      <c r="AM1061" s="36"/>
      <c r="AN1061" s="36"/>
      <c r="AO1061" s="36"/>
      <c r="AP1061" s="36"/>
      <c r="GE1061" s="94"/>
      <c r="GF1061" s="104">
        <f t="shared" si="380"/>
        <v>2017</v>
      </c>
      <c r="GG1061" s="104">
        <f t="shared" si="381"/>
        <v>8</v>
      </c>
      <c r="GH1061" s="35">
        <v>42787</v>
      </c>
      <c r="GI1061" s="26">
        <v>3.099</v>
      </c>
      <c r="GJ1061" s="94">
        <f t="shared" si="382"/>
        <v>6.198</v>
      </c>
      <c r="GK1061" s="104"/>
      <c r="GL1061" s="104"/>
      <c r="GO1061" s="94"/>
    </row>
    <row r="1062" spans="3:197">
      <c r="C1062" s="80" t="str" cm="1">
        <f t="array" ref="C1062">_xlfn.IFS(MONTH(D1062)&lt;4,1,MONTH(D1062)&lt;7,2,MONTH(D1062)&lt;10,3,MONTH(D1062)&gt;9,4)&amp;"Q"&amp;RIGHT(YEAR(D1062),2)</f>
        <v>2Q20</v>
      </c>
      <c r="D1062" s="81">
        <f t="shared" si="393"/>
        <v>43951</v>
      </c>
      <c r="E1062" s="82">
        <f t="shared" si="388"/>
        <v>43935</v>
      </c>
      <c r="F1062" s="83">
        <f t="shared" si="394"/>
        <v>0.441625</v>
      </c>
      <c r="G1062" s="83">
        <f t="shared" si="394"/>
        <v>0.41125</v>
      </c>
      <c r="H1062" s="81"/>
      <c r="I1062" s="146">
        <v>43935</v>
      </c>
      <c r="J1062" s="147">
        <v>4.35</v>
      </c>
      <c r="K1062" s="147">
        <v>3.08</v>
      </c>
      <c r="L1062" s="147">
        <v>3.533</v>
      </c>
      <c r="M1062" s="94" cm="1">
        <f t="array" ref="M1062">INDEX($BV$29:$BV$1449,MATCH($D1062,$BR$29:$BR$1449,0),)</f>
        <v>3.29</v>
      </c>
      <c r="N1062" s="150">
        <f t="shared" si="390"/>
        <v>-0.00841987089531304</v>
      </c>
      <c r="O1062" s="150">
        <f t="shared" si="391"/>
        <v>-0.0285949958757218</v>
      </c>
      <c r="P1062" s="150">
        <f t="shared" si="384"/>
        <v>0.00942857142857134</v>
      </c>
      <c r="Q1062" s="89">
        <f t="shared" si="392"/>
        <v>0.0738601823708207</v>
      </c>
      <c r="AH1062" s="90"/>
      <c r="AI1062" s="85"/>
      <c r="AJ1062" s="36"/>
      <c r="AK1062" s="36"/>
      <c r="AL1062" s="36"/>
      <c r="AM1062" s="36"/>
      <c r="AN1062" s="36"/>
      <c r="AO1062" s="36"/>
      <c r="AP1062" s="36"/>
      <c r="GE1062" s="94"/>
      <c r="GF1062" s="104">
        <f t="shared" si="380"/>
        <v>2017</v>
      </c>
      <c r="GG1062" s="104">
        <f t="shared" si="381"/>
        <v>8</v>
      </c>
      <c r="GH1062" s="35">
        <v>42788</v>
      </c>
      <c r="GI1062" s="26">
        <v>3.099</v>
      </c>
      <c r="GJ1062" s="94">
        <f t="shared" si="382"/>
        <v>6.198</v>
      </c>
      <c r="GK1062" s="104"/>
      <c r="GL1062" s="104"/>
      <c r="GO1062" s="94"/>
    </row>
    <row r="1063" spans="3:197">
      <c r="C1063" s="80" t="str" cm="1">
        <f t="array" ref="C1063">_xlfn.IFS(MONTH(D1063)&lt;4,1,MONTH(D1063)&lt;7,2,MONTH(D1063)&lt;10,3,MONTH(D1063)&gt;9,4)&amp;"Q"&amp;RIGHT(YEAR(D1063),2)</f>
        <v>2Q20</v>
      </c>
      <c r="D1063" s="81">
        <f t="shared" si="393"/>
        <v>43951</v>
      </c>
      <c r="E1063" s="82">
        <f t="shared" si="388"/>
        <v>43936</v>
      </c>
      <c r="F1063" s="83">
        <f t="shared" si="394"/>
        <v>0.437875</v>
      </c>
      <c r="G1063" s="83">
        <f t="shared" si="394"/>
        <v>0.41125</v>
      </c>
      <c r="H1063" s="81"/>
      <c r="I1063" s="146">
        <v>43936</v>
      </c>
      <c r="J1063" s="147">
        <v>4.35</v>
      </c>
      <c r="K1063" s="147">
        <v>3.07</v>
      </c>
      <c r="L1063" s="147">
        <v>3.503</v>
      </c>
      <c r="M1063" s="94" cm="1">
        <f t="array" ref="M1063">INDEX($BV$29:$BV$1449,MATCH($D1063,$BR$29:$BR$1449,0),)</f>
        <v>3.29</v>
      </c>
      <c r="N1063" s="150">
        <f t="shared" si="390"/>
        <v>-0.00849136711010468</v>
      </c>
      <c r="O1063" s="150">
        <f t="shared" si="391"/>
        <v>-0.0315178324578379</v>
      </c>
      <c r="P1063" s="150">
        <f t="shared" si="384"/>
        <v>-0.0269444444444444</v>
      </c>
      <c r="Q1063" s="89">
        <f t="shared" si="392"/>
        <v>0.064741641337386</v>
      </c>
      <c r="AH1063" s="90"/>
      <c r="AI1063" s="85"/>
      <c r="AJ1063" s="36"/>
      <c r="AK1063" s="36"/>
      <c r="AL1063" s="36"/>
      <c r="AM1063" s="36"/>
      <c r="AN1063" s="36"/>
      <c r="AO1063" s="36"/>
      <c r="AP1063" s="36"/>
      <c r="GE1063" s="94"/>
      <c r="GF1063" s="104">
        <f t="shared" si="380"/>
        <v>2017</v>
      </c>
      <c r="GG1063" s="104">
        <f t="shared" si="381"/>
        <v>8</v>
      </c>
      <c r="GH1063" s="35">
        <v>42789</v>
      </c>
      <c r="GI1063" s="26">
        <v>3.063</v>
      </c>
      <c r="GJ1063" s="94">
        <f t="shared" si="382"/>
        <v>6.126</v>
      </c>
      <c r="GK1063" s="104"/>
      <c r="GL1063" s="104"/>
      <c r="GO1063" s="94"/>
    </row>
    <row r="1064" spans="3:197">
      <c r="C1064" s="80" t="str" cm="1">
        <f t="array" ref="C1064">_xlfn.IFS(MONTH(D1064)&lt;4,1,MONTH(D1064)&lt;7,2,MONTH(D1064)&lt;10,3,MONTH(D1064)&gt;9,4)&amp;"Q"&amp;RIGHT(YEAR(D1064),2)</f>
        <v>2Q20</v>
      </c>
      <c r="D1064" s="81">
        <f t="shared" si="393"/>
        <v>43951</v>
      </c>
      <c r="E1064" s="82">
        <f t="shared" si="388"/>
        <v>43937</v>
      </c>
      <c r="F1064" s="83">
        <f t="shared" si="394"/>
        <v>0.435</v>
      </c>
      <c r="G1064" s="83">
        <f t="shared" si="394"/>
        <v>0.41125</v>
      </c>
      <c r="H1064" s="81"/>
      <c r="I1064" s="146">
        <v>43937</v>
      </c>
      <c r="J1064" s="147">
        <v>4.35</v>
      </c>
      <c r="K1064" s="147">
        <v>3.07</v>
      </c>
      <c r="L1064" s="147">
        <v>3.48</v>
      </c>
      <c r="M1064" s="94" cm="1">
        <f t="array" ref="M1064">INDEX($BV$29:$BV$1449,MATCH($D1064,$BR$29:$BR$1449,0),)</f>
        <v>3.29</v>
      </c>
      <c r="N1064" s="150">
        <f t="shared" si="390"/>
        <v>-0.00656580074222102</v>
      </c>
      <c r="O1064" s="150">
        <f t="shared" si="391"/>
        <v>-0.0298299414552552</v>
      </c>
      <c r="P1064" s="150">
        <f t="shared" si="384"/>
        <v>-0.0421139554087531</v>
      </c>
      <c r="Q1064" s="89">
        <f t="shared" si="392"/>
        <v>0.0577507598784195</v>
      </c>
      <c r="AH1064" s="90"/>
      <c r="AI1064" s="85"/>
      <c r="AJ1064" s="36"/>
      <c r="AK1064" s="36"/>
      <c r="AL1064" s="36"/>
      <c r="AM1064" s="36"/>
      <c r="AN1064" s="36"/>
      <c r="AO1064" s="36"/>
      <c r="AP1064" s="36"/>
      <c r="GE1064" s="94"/>
      <c r="GF1064" s="104">
        <f t="shared" si="380"/>
        <v>2017</v>
      </c>
      <c r="GG1064" s="104">
        <f t="shared" si="381"/>
        <v>9</v>
      </c>
      <c r="GH1064" s="35">
        <v>42793</v>
      </c>
      <c r="GI1064" s="26">
        <v>3.058</v>
      </c>
      <c r="GJ1064" s="94">
        <f t="shared" si="382"/>
        <v>6.116</v>
      </c>
      <c r="GK1064" s="104"/>
      <c r="GL1064" s="104"/>
      <c r="GO1064" s="94"/>
    </row>
    <row r="1065" spans="3:197">
      <c r="C1065" s="80" t="str" cm="1">
        <f t="array" ref="C1065">_xlfn.IFS(MONTH(D1065)&lt;4,1,MONTH(D1065)&lt;7,2,MONTH(D1065)&lt;10,3,MONTH(D1065)&gt;9,4)&amp;"Q"&amp;RIGHT(YEAR(D1065),2)</f>
        <v>2Q20</v>
      </c>
      <c r="D1065" s="81">
        <f t="shared" si="393"/>
        <v>43951</v>
      </c>
      <c r="E1065" s="82">
        <f t="shared" si="388"/>
        <v>43938</v>
      </c>
      <c r="F1065" s="83">
        <f t="shared" si="394"/>
        <v>0.434125</v>
      </c>
      <c r="G1065" s="83">
        <f t="shared" si="394"/>
        <v>0.41125</v>
      </c>
      <c r="H1065" s="81"/>
      <c r="I1065" s="146">
        <v>43938</v>
      </c>
      <c r="J1065" s="147">
        <v>4.35</v>
      </c>
      <c r="K1065" s="147">
        <v>3.06</v>
      </c>
      <c r="L1065" s="147">
        <v>3.473</v>
      </c>
      <c r="M1065" s="94" cm="1">
        <f t="array" ref="M1065">INDEX($BV$29:$BV$1449,MATCH($D1065,$BR$29:$BR$1449,0),)</f>
        <v>3.29</v>
      </c>
      <c r="N1065" s="150">
        <f t="shared" si="390"/>
        <v>-0.00201149425287361</v>
      </c>
      <c r="O1065" s="150">
        <f t="shared" si="391"/>
        <v>-0.0298882681564246</v>
      </c>
      <c r="P1065" s="150">
        <f t="shared" si="384"/>
        <v>-0.0450921088809458</v>
      </c>
      <c r="Q1065" s="89">
        <f t="shared" si="392"/>
        <v>0.0556231003039513</v>
      </c>
      <c r="AH1065" s="90"/>
      <c r="AI1065" s="85"/>
      <c r="AJ1065" s="36"/>
      <c r="AK1065" s="36"/>
      <c r="AL1065" s="36"/>
      <c r="AM1065" s="36"/>
      <c r="AN1065" s="36"/>
      <c r="AO1065" s="36"/>
      <c r="AP1065" s="36"/>
      <c r="GE1065" s="94"/>
      <c r="GF1065" s="104">
        <f t="shared" si="380"/>
        <v>2017</v>
      </c>
      <c r="GG1065" s="104">
        <f t="shared" si="381"/>
        <v>9</v>
      </c>
      <c r="GH1065" s="35">
        <v>42794</v>
      </c>
      <c r="GI1065" s="26">
        <v>3.03</v>
      </c>
      <c r="GJ1065" s="94">
        <f t="shared" si="382"/>
        <v>6.06</v>
      </c>
      <c r="GK1065" s="104"/>
      <c r="GL1065" s="104"/>
      <c r="GO1065" s="94"/>
    </row>
    <row r="1066" spans="3:197">
      <c r="C1066" s="80" t="str" cm="1">
        <f t="array" ref="C1066">_xlfn.IFS(MONTH(D1066)&lt;4,1,MONTH(D1066)&lt;7,2,MONTH(D1066)&lt;10,3,MONTH(D1066)&gt;9,4)&amp;"Q"&amp;RIGHT(YEAR(D1066),2)</f>
        <v>2Q20</v>
      </c>
      <c r="D1066" s="81">
        <f t="shared" si="393"/>
        <v>43951</v>
      </c>
      <c r="E1066" s="82">
        <f t="shared" si="388"/>
        <v>43941</v>
      </c>
      <c r="F1066" s="83">
        <f t="shared" si="394"/>
        <v>0.433375</v>
      </c>
      <c r="G1066" s="83">
        <f t="shared" si="394"/>
        <v>0.41125</v>
      </c>
      <c r="H1066" s="81"/>
      <c r="I1066" s="146">
        <v>43941</v>
      </c>
      <c r="J1066" s="147">
        <v>4.35</v>
      </c>
      <c r="K1066" s="147">
        <v>3.05</v>
      </c>
      <c r="L1066" s="147">
        <v>3.467</v>
      </c>
      <c r="M1066" s="94" cm="1">
        <f t="array" ref="M1066">INDEX($BV$29:$BV$1449,MATCH($D1066,$BR$29:$BR$1449,0),)</f>
        <v>3.29</v>
      </c>
      <c r="N1066" s="150">
        <f t="shared" si="390"/>
        <v>-0.0017276130146846</v>
      </c>
      <c r="O1066" s="150">
        <f t="shared" si="391"/>
        <v>-0.0269435868650014</v>
      </c>
      <c r="P1066" s="150">
        <f t="shared" si="384"/>
        <v>-0.0467418201814682</v>
      </c>
      <c r="Q1066" s="89">
        <f t="shared" si="392"/>
        <v>0.0537993920972644</v>
      </c>
      <c r="AH1066" s="90"/>
      <c r="AI1066" s="85"/>
      <c r="AJ1066" s="36"/>
      <c r="AK1066" s="36"/>
      <c r="AL1066" s="36"/>
      <c r="AM1066" s="36"/>
      <c r="AN1066" s="36"/>
      <c r="AO1066" s="36"/>
      <c r="AP1066" s="36"/>
      <c r="GE1066" s="94"/>
      <c r="GF1066" s="104">
        <f t="shared" si="380"/>
        <v>2017</v>
      </c>
      <c r="GG1066" s="104">
        <f t="shared" si="381"/>
        <v>9</v>
      </c>
      <c r="GH1066" s="35">
        <v>42795</v>
      </c>
      <c r="GI1066" s="26">
        <v>3.024</v>
      </c>
      <c r="GJ1066" s="94">
        <f t="shared" si="382"/>
        <v>6.048</v>
      </c>
      <c r="GK1066" s="104"/>
      <c r="GL1066" s="104"/>
      <c r="GO1066" s="94"/>
    </row>
    <row r="1067" spans="3:197">
      <c r="C1067" s="80" t="str" cm="1">
        <f t="array" ref="C1067">_xlfn.IFS(MONTH(D1067)&lt;4,1,MONTH(D1067)&lt;7,2,MONTH(D1067)&lt;10,3,MONTH(D1067)&gt;9,4)&amp;"Q"&amp;RIGHT(YEAR(D1067),2)</f>
        <v>2Q20</v>
      </c>
      <c r="D1067" s="81">
        <f t="shared" si="393"/>
        <v>43951</v>
      </c>
      <c r="E1067" s="82">
        <f t="shared" si="388"/>
        <v>43942</v>
      </c>
      <c r="F1067" s="83">
        <f t="shared" si="394"/>
        <v>0.43125</v>
      </c>
      <c r="G1067" s="83">
        <f t="shared" si="394"/>
        <v>0.41125</v>
      </c>
      <c r="H1067" s="81"/>
      <c r="I1067" s="146">
        <v>43942</v>
      </c>
      <c r="J1067" s="147">
        <v>4.35</v>
      </c>
      <c r="K1067" s="147">
        <v>3.04</v>
      </c>
      <c r="L1067" s="147">
        <v>3.45</v>
      </c>
      <c r="M1067" s="94" cm="1">
        <f t="array" ref="M1067">INDEX($BV$29:$BV$1449,MATCH($D1067,$BR$29:$BR$1449,0),)</f>
        <v>3.29</v>
      </c>
      <c r="N1067" s="150">
        <f t="shared" si="390"/>
        <v>-0.00490337467551194</v>
      </c>
      <c r="O1067" s="150">
        <f t="shared" si="391"/>
        <v>-0.0234927823379564</v>
      </c>
      <c r="P1067" s="150">
        <f t="shared" si="384"/>
        <v>-0.0514160021996151</v>
      </c>
      <c r="Q1067" s="89">
        <f t="shared" si="392"/>
        <v>0.0486322188449848</v>
      </c>
      <c r="AH1067" s="90"/>
      <c r="AI1067" s="85"/>
      <c r="AJ1067" s="36"/>
      <c r="AK1067" s="36"/>
      <c r="AL1067" s="36"/>
      <c r="AM1067" s="36"/>
      <c r="AN1067" s="36"/>
      <c r="AO1067" s="36"/>
      <c r="AP1067" s="36"/>
      <c r="GE1067" s="94"/>
      <c r="GF1067" s="104">
        <f t="shared" si="380"/>
        <v>2017</v>
      </c>
      <c r="GG1067" s="104">
        <f t="shared" si="381"/>
        <v>9</v>
      </c>
      <c r="GH1067" s="35">
        <v>42796</v>
      </c>
      <c r="GI1067" s="26">
        <v>3.024</v>
      </c>
      <c r="GJ1067" s="94">
        <f t="shared" si="382"/>
        <v>6.048</v>
      </c>
      <c r="GK1067" s="104"/>
      <c r="GL1067" s="104"/>
      <c r="GO1067" s="94"/>
    </row>
    <row r="1068" spans="3:197">
      <c r="C1068" s="80" t="str" cm="1">
        <f t="array" ref="C1068">_xlfn.IFS(MONTH(D1068)&lt;4,1,MONTH(D1068)&lt;7,2,MONTH(D1068)&lt;10,3,MONTH(D1068)&gt;9,4)&amp;"Q"&amp;RIGHT(YEAR(D1068),2)</f>
        <v>2Q20</v>
      </c>
      <c r="D1068" s="81">
        <f t="shared" si="393"/>
        <v>43951</v>
      </c>
      <c r="E1068" s="82">
        <f t="shared" si="388"/>
        <v>43943</v>
      </c>
      <c r="F1068" s="83">
        <f t="shared" si="394"/>
        <v>0.430375</v>
      </c>
      <c r="G1068" s="83">
        <f t="shared" si="394"/>
        <v>0.41125</v>
      </c>
      <c r="H1068" s="81"/>
      <c r="I1068" s="146">
        <v>43943</v>
      </c>
      <c r="J1068" s="147">
        <v>4.35</v>
      </c>
      <c r="K1068" s="147">
        <v>3.04</v>
      </c>
      <c r="L1068" s="147">
        <v>3.443</v>
      </c>
      <c r="M1068" s="94" cm="1">
        <f t="array" ref="M1068">INDEX($BV$29:$BV$1449,MATCH($D1068,$BR$29:$BR$1449,0),)</f>
        <v>3.29</v>
      </c>
      <c r="N1068" s="150">
        <f t="shared" si="390"/>
        <v>-0.00202898550724639</v>
      </c>
      <c r="O1068" s="150">
        <f t="shared" si="391"/>
        <v>-0.0171281758492721</v>
      </c>
      <c r="P1068" s="150">
        <f t="shared" si="384"/>
        <v>-0.0481061653303843</v>
      </c>
      <c r="Q1068" s="89">
        <f t="shared" si="392"/>
        <v>0.0465045592705167</v>
      </c>
      <c r="AH1068" s="90"/>
      <c r="AI1068" s="85"/>
      <c r="AJ1068" s="36"/>
      <c r="AK1068" s="36"/>
      <c r="AL1068" s="36"/>
      <c r="AM1068" s="36"/>
      <c r="AN1068" s="36"/>
      <c r="AO1068" s="36"/>
      <c r="AP1068" s="36"/>
      <c r="GE1068" s="94"/>
      <c r="GF1068" s="104">
        <f t="shared" si="380"/>
        <v>2017</v>
      </c>
      <c r="GG1068" s="104">
        <f t="shared" si="381"/>
        <v>9</v>
      </c>
      <c r="GH1068" s="35">
        <v>42797</v>
      </c>
      <c r="GI1068" s="26">
        <v>3.024</v>
      </c>
      <c r="GJ1068" s="94">
        <f t="shared" si="382"/>
        <v>6.048</v>
      </c>
      <c r="GK1068" s="104"/>
      <c r="GL1068" s="104"/>
      <c r="GO1068" s="94"/>
    </row>
    <row r="1069" spans="3:197">
      <c r="C1069" s="80" t="str" cm="1">
        <f t="array" ref="C1069">_xlfn.IFS(MONTH(D1069)&lt;4,1,MONTH(D1069)&lt;7,2,MONTH(D1069)&lt;10,3,MONTH(D1069)&gt;9,4)&amp;"Q"&amp;RIGHT(YEAR(D1069),2)</f>
        <v>2Q20</v>
      </c>
      <c r="D1069" s="81">
        <f t="shared" si="393"/>
        <v>43951</v>
      </c>
      <c r="E1069" s="82">
        <f t="shared" si="388"/>
        <v>43944</v>
      </c>
      <c r="F1069" s="83">
        <f t="shared" si="394"/>
        <v>0.428375</v>
      </c>
      <c r="G1069" s="83">
        <f t="shared" si="394"/>
        <v>0.41125</v>
      </c>
      <c r="H1069" s="81"/>
      <c r="I1069" s="146">
        <v>43944</v>
      </c>
      <c r="J1069" s="147">
        <v>4.3</v>
      </c>
      <c r="K1069" s="147">
        <v>3.03</v>
      </c>
      <c r="L1069" s="147">
        <v>3.427</v>
      </c>
      <c r="M1069" s="94" cm="1">
        <f t="array" ref="M1069">INDEX($BV$29:$BV$1449,MATCH($D1069,$BR$29:$BR$1449,0),)</f>
        <v>3.29</v>
      </c>
      <c r="N1069" s="150">
        <f t="shared" si="390"/>
        <v>-0.00464711007842</v>
      </c>
      <c r="O1069" s="150">
        <f t="shared" si="391"/>
        <v>-0.0152298850574712</v>
      </c>
      <c r="P1069" s="150">
        <f t="shared" si="384"/>
        <v>-0.0446055199330918</v>
      </c>
      <c r="Q1069" s="89">
        <f t="shared" si="392"/>
        <v>0.0416413373860183</v>
      </c>
      <c r="AH1069" s="90"/>
      <c r="AI1069" s="85"/>
      <c r="AJ1069" s="36"/>
      <c r="AK1069" s="36"/>
      <c r="AL1069" s="36"/>
      <c r="AM1069" s="36"/>
      <c r="AN1069" s="36"/>
      <c r="AO1069" s="36"/>
      <c r="AP1069" s="36"/>
      <c r="GE1069" s="94"/>
      <c r="GF1069" s="104">
        <f t="shared" si="380"/>
        <v>2017</v>
      </c>
      <c r="GG1069" s="104">
        <f t="shared" si="381"/>
        <v>10</v>
      </c>
      <c r="GH1069" s="35">
        <v>42800</v>
      </c>
      <c r="GI1069" s="26">
        <v>3.014</v>
      </c>
      <c r="GJ1069" s="94">
        <f t="shared" si="382"/>
        <v>6.028</v>
      </c>
      <c r="GK1069" s="104"/>
      <c r="GL1069" s="104"/>
      <c r="GO1069" s="94"/>
    </row>
    <row r="1070" spans="3:197">
      <c r="C1070" s="80" t="str" cm="1">
        <f t="array" ref="C1070">_xlfn.IFS(MONTH(D1070)&lt;4,1,MONTH(D1070)&lt;7,2,MONTH(D1070)&lt;10,3,MONTH(D1070)&gt;9,4)&amp;"Q"&amp;RIGHT(YEAR(D1070),2)</f>
        <v>2Q20</v>
      </c>
      <c r="D1070" s="81">
        <f t="shared" si="393"/>
        <v>43951</v>
      </c>
      <c r="E1070" s="82">
        <f t="shared" si="388"/>
        <v>43945</v>
      </c>
      <c r="F1070" s="83">
        <f t="shared" si="394"/>
        <v>0.427125</v>
      </c>
      <c r="G1070" s="83">
        <f t="shared" si="394"/>
        <v>0.41125</v>
      </c>
      <c r="H1070" s="81"/>
      <c r="I1070" s="146">
        <v>43945</v>
      </c>
      <c r="J1070" s="147">
        <v>4.3</v>
      </c>
      <c r="K1070" s="147">
        <v>3.03</v>
      </c>
      <c r="L1070" s="147">
        <v>3.417</v>
      </c>
      <c r="M1070" s="94" cm="1">
        <f t="array" ref="M1070">INDEX($BV$29:$BV$1449,MATCH($D1070,$BR$29:$BR$1449,0),)</f>
        <v>3.29</v>
      </c>
      <c r="N1070" s="150">
        <f t="shared" si="390"/>
        <v>-0.00291800408520582</v>
      </c>
      <c r="O1070" s="150">
        <f t="shared" si="391"/>
        <v>-0.0161243881370573</v>
      </c>
      <c r="P1070" s="150">
        <f t="shared" si="384"/>
        <v>-0.0455307262569833</v>
      </c>
      <c r="Q1070" s="89">
        <f t="shared" si="392"/>
        <v>0.0386018237082066</v>
      </c>
      <c r="AH1070" s="90"/>
      <c r="AI1070" s="85"/>
      <c r="AJ1070" s="36"/>
      <c r="AK1070" s="36"/>
      <c r="AL1070" s="36"/>
      <c r="AM1070" s="36"/>
      <c r="AN1070" s="36"/>
      <c r="AO1070" s="36"/>
      <c r="AP1070" s="36"/>
      <c r="GE1070" s="94"/>
      <c r="GF1070" s="104">
        <f t="shared" si="380"/>
        <v>2017</v>
      </c>
      <c r="GG1070" s="104">
        <f t="shared" si="381"/>
        <v>10</v>
      </c>
      <c r="GH1070" s="35">
        <v>42801</v>
      </c>
      <c r="GI1070" s="26">
        <v>3.014</v>
      </c>
      <c r="GJ1070" s="94">
        <f t="shared" si="382"/>
        <v>6.028</v>
      </c>
      <c r="GK1070" s="104"/>
      <c r="GL1070" s="104"/>
      <c r="GO1070" s="94"/>
    </row>
    <row r="1071" spans="3:197">
      <c r="C1071" s="80" t="str" cm="1">
        <f t="array" ref="C1071">_xlfn.IFS(MONTH(D1071)&lt;4,1,MONTH(D1071)&lt;7,2,MONTH(D1071)&lt;10,3,MONTH(D1071)&gt;9,4)&amp;"Q"&amp;RIGHT(YEAR(D1071),2)</f>
        <v>2Q20</v>
      </c>
      <c r="D1071" s="81">
        <f t="shared" si="393"/>
        <v>43951</v>
      </c>
      <c r="E1071" s="82">
        <f t="shared" si="388"/>
        <v>43948</v>
      </c>
      <c r="F1071" s="83">
        <f t="shared" si="394"/>
        <v>0.42625</v>
      </c>
      <c r="G1071" s="83">
        <f t="shared" si="394"/>
        <v>0.41125</v>
      </c>
      <c r="H1071" s="81"/>
      <c r="I1071" s="146">
        <v>43948</v>
      </c>
      <c r="J1071" s="147">
        <v>4.25</v>
      </c>
      <c r="K1071" s="147">
        <v>3.02</v>
      </c>
      <c r="L1071" s="147">
        <v>3.41</v>
      </c>
      <c r="M1071" s="94" cm="1">
        <f t="array" ref="M1071">INDEX($BV$29:$BV$1449,MATCH($D1071,$BR$29:$BR$1449,0),)</f>
        <v>3.29</v>
      </c>
      <c r="N1071" s="150">
        <f t="shared" si="390"/>
        <v>-0.00204858062628022</v>
      </c>
      <c r="O1071" s="150">
        <f t="shared" si="391"/>
        <v>-0.0164407268531872</v>
      </c>
      <c r="P1071" s="150">
        <f t="shared" si="384"/>
        <v>-0.042941341566096</v>
      </c>
      <c r="Q1071" s="89">
        <f t="shared" si="392"/>
        <v>0.0364741641337387</v>
      </c>
      <c r="AH1071" s="90"/>
      <c r="AI1071" s="85"/>
      <c r="AJ1071" s="36"/>
      <c r="AK1071" s="36"/>
      <c r="AL1071" s="36"/>
      <c r="AM1071" s="36"/>
      <c r="AN1071" s="36"/>
      <c r="AO1071" s="36"/>
      <c r="AP1071" s="36"/>
      <c r="GE1071" s="94"/>
      <c r="GF1071" s="104">
        <f t="shared" si="380"/>
        <v>2017</v>
      </c>
      <c r="GG1071" s="104">
        <f t="shared" si="381"/>
        <v>10</v>
      </c>
      <c r="GH1071" s="35">
        <v>42802</v>
      </c>
      <c r="GI1071" s="26">
        <v>2.998</v>
      </c>
      <c r="GJ1071" s="94">
        <f t="shared" si="382"/>
        <v>5.996</v>
      </c>
      <c r="GK1071" s="104"/>
      <c r="GL1071" s="104"/>
      <c r="GO1071" s="94"/>
    </row>
    <row r="1072" spans="3:197">
      <c r="C1072" s="80" t="str" cm="1">
        <f t="array" ref="C1072">_xlfn.IFS(MONTH(D1072)&lt;4,1,MONTH(D1072)&lt;7,2,MONTH(D1072)&lt;10,3,MONTH(D1072)&gt;9,4)&amp;"Q"&amp;RIGHT(YEAR(D1072),2)</f>
        <v>2Q20</v>
      </c>
      <c r="D1072" s="81">
        <f t="shared" si="393"/>
        <v>43951</v>
      </c>
      <c r="E1072" s="82">
        <f t="shared" si="388"/>
        <v>43949</v>
      </c>
      <c r="F1072" s="83">
        <f t="shared" si="394"/>
        <v>0.420875</v>
      </c>
      <c r="G1072" s="83">
        <f t="shared" si="394"/>
        <v>0.41125</v>
      </c>
      <c r="H1072" s="81"/>
      <c r="I1072" s="146">
        <v>43949</v>
      </c>
      <c r="J1072" s="147">
        <v>4.2</v>
      </c>
      <c r="K1072" s="147">
        <v>3</v>
      </c>
      <c r="L1072" s="147">
        <v>3.367</v>
      </c>
      <c r="M1072" s="94" cm="1">
        <f t="array" ref="M1072">INDEX($BV$29:$BV$1449,MATCH($D1072,$BR$29:$BR$1449,0),)</f>
        <v>3.29</v>
      </c>
      <c r="N1072" s="150">
        <f t="shared" si="390"/>
        <v>-0.0126099706744869</v>
      </c>
      <c r="O1072" s="150">
        <f t="shared" si="391"/>
        <v>-0.0240579710144928</v>
      </c>
      <c r="P1072" s="150">
        <f t="shared" si="384"/>
        <v>-0.0469855646759127</v>
      </c>
      <c r="Q1072" s="89">
        <f t="shared" si="392"/>
        <v>0.0234042553191489</v>
      </c>
      <c r="AH1072" s="90"/>
      <c r="AI1072" s="85"/>
      <c r="AJ1072" s="36"/>
      <c r="AK1072" s="36"/>
      <c r="AL1072" s="36"/>
      <c r="AM1072" s="36"/>
      <c r="AN1072" s="36"/>
      <c r="AO1072" s="36"/>
      <c r="AP1072" s="36"/>
      <c r="GE1072" s="94"/>
      <c r="GF1072" s="104">
        <f t="shared" si="380"/>
        <v>2017</v>
      </c>
      <c r="GG1072" s="104">
        <f t="shared" si="381"/>
        <v>10</v>
      </c>
      <c r="GH1072" s="35">
        <v>42803</v>
      </c>
      <c r="GI1072" s="26">
        <v>2.985</v>
      </c>
      <c r="GJ1072" s="94">
        <f t="shared" si="382"/>
        <v>5.97</v>
      </c>
      <c r="GK1072" s="104"/>
      <c r="GL1072" s="104"/>
      <c r="GO1072" s="94"/>
    </row>
    <row r="1073" spans="3:197">
      <c r="C1073" s="80" t="str" cm="1">
        <f t="array" ref="C1073">_xlfn.IFS(MONTH(D1073)&lt;4,1,MONTH(D1073)&lt;7,2,MONTH(D1073)&lt;10,3,MONTH(D1073)&gt;9,4)&amp;"Q"&amp;RIGHT(YEAR(D1073),2)</f>
        <v>2Q20</v>
      </c>
      <c r="D1073" s="81">
        <f t="shared" si="393"/>
        <v>43951</v>
      </c>
      <c r="E1073" s="82">
        <f t="shared" si="388"/>
        <v>43950</v>
      </c>
      <c r="F1073" s="83">
        <f t="shared" si="394"/>
        <v>0.417875</v>
      </c>
      <c r="G1073" s="83">
        <f t="shared" si="394"/>
        <v>0.41125</v>
      </c>
      <c r="H1073" s="81"/>
      <c r="I1073" s="146">
        <v>43950</v>
      </c>
      <c r="J1073" s="147">
        <v>4.15</v>
      </c>
      <c r="K1073" s="147">
        <v>3</v>
      </c>
      <c r="L1073" s="147">
        <v>3.343</v>
      </c>
      <c r="M1073" s="94" cm="1">
        <f t="array" ref="M1073">INDEX($BV$29:$BV$1449,MATCH($D1073,$BR$29:$BR$1449,0),)</f>
        <v>3.29</v>
      </c>
      <c r="N1073" s="150">
        <f t="shared" si="390"/>
        <v>-0.0071280071280071</v>
      </c>
      <c r="O1073" s="150">
        <f t="shared" si="391"/>
        <v>-0.0290444379901249</v>
      </c>
      <c r="P1073" s="150">
        <f t="shared" si="384"/>
        <v>-0.0456751355980588</v>
      </c>
      <c r="Q1073" s="89">
        <f t="shared" si="392"/>
        <v>0.0161094224924012</v>
      </c>
      <c r="AH1073" s="90"/>
      <c r="AI1073" s="85"/>
      <c r="AJ1073" s="36"/>
      <c r="AK1073" s="36"/>
      <c r="AL1073" s="36"/>
      <c r="AM1073" s="36"/>
      <c r="AN1073" s="36"/>
      <c r="AO1073" s="36"/>
      <c r="AP1073" s="36"/>
      <c r="GE1073" s="94"/>
      <c r="GF1073" s="104">
        <f t="shared" si="380"/>
        <v>2017</v>
      </c>
      <c r="GG1073" s="104">
        <f t="shared" si="381"/>
        <v>10</v>
      </c>
      <c r="GH1073" s="35">
        <v>42804</v>
      </c>
      <c r="GI1073" s="26">
        <v>2.979</v>
      </c>
      <c r="GJ1073" s="94">
        <f t="shared" si="382"/>
        <v>5.958</v>
      </c>
      <c r="GK1073" s="104"/>
      <c r="GL1073" s="104"/>
      <c r="GO1073" s="94"/>
    </row>
    <row r="1074" spans="3:197">
      <c r="C1074" s="80" t="str" cm="1">
        <f t="array" ref="C1074">_xlfn.IFS(MONTH(D1074)&lt;4,1,MONTH(D1074)&lt;7,2,MONTH(D1074)&lt;10,3,MONTH(D1074)&gt;9,4)&amp;"Q"&amp;RIGHT(YEAR(D1074),2)</f>
        <v>2Q20</v>
      </c>
      <c r="D1074" s="81">
        <f t="shared" si="393"/>
        <v>43951</v>
      </c>
      <c r="E1074" s="82">
        <f t="shared" si="388"/>
        <v>43951</v>
      </c>
      <c r="F1074" s="83">
        <f t="shared" si="394"/>
        <v>0.415</v>
      </c>
      <c r="G1074" s="83">
        <f t="shared" si="394"/>
        <v>0.41125</v>
      </c>
      <c r="H1074" s="81"/>
      <c r="I1074" s="146">
        <v>43951</v>
      </c>
      <c r="J1074" s="147">
        <v>4</v>
      </c>
      <c r="K1074" s="147">
        <v>2.95</v>
      </c>
      <c r="L1074" s="147">
        <v>3.32</v>
      </c>
      <c r="M1074" s="94" cm="1">
        <f t="array" ref="M1074">INDEX($BV$29:$BV$1449,MATCH($D1074,$BR$29:$BR$1449,0),)</f>
        <v>3.29</v>
      </c>
      <c r="N1074" s="150">
        <f t="shared" si="390"/>
        <v>-0.00688004786120255</v>
      </c>
      <c r="O1074" s="150">
        <f t="shared" si="391"/>
        <v>-0.0312226437117012</v>
      </c>
      <c r="P1074" s="150">
        <f t="shared" si="384"/>
        <v>-0.0459770114942529</v>
      </c>
      <c r="Q1074" s="89">
        <f t="shared" si="392"/>
        <v>0.00911854103343468</v>
      </c>
      <c r="AH1074" s="90"/>
      <c r="AI1074" s="85"/>
      <c r="AJ1074" s="36"/>
      <c r="AK1074" s="36"/>
      <c r="AL1074" s="36"/>
      <c r="AM1074" s="36"/>
      <c r="AN1074" s="36"/>
      <c r="AO1074" s="36"/>
      <c r="AP1074" s="36"/>
      <c r="GE1074" s="94"/>
      <c r="GF1074" s="104">
        <f t="shared" si="380"/>
        <v>2017</v>
      </c>
      <c r="GG1074" s="104">
        <f t="shared" si="381"/>
        <v>11</v>
      </c>
      <c r="GH1074" s="35">
        <v>42807</v>
      </c>
      <c r="GI1074" s="26">
        <v>2.974</v>
      </c>
      <c r="GJ1074" s="94">
        <f t="shared" si="382"/>
        <v>5.948</v>
      </c>
      <c r="GK1074" s="104"/>
      <c r="GL1074" s="104"/>
      <c r="GO1074" s="94"/>
    </row>
    <row r="1075" spans="3:197">
      <c r="C1075" s="80" t="str" cm="1">
        <f t="array" ref="C1075">_xlfn.IFS(MONTH(D1075)&lt;4,1,MONTH(D1075)&lt;7,2,MONTH(D1075)&lt;10,3,MONTH(D1075)&gt;9,4)&amp;"Q"&amp;RIGHT(YEAR(D1075),2)</f>
        <v>2Q20</v>
      </c>
      <c r="D1075" s="81">
        <f t="shared" si="393"/>
        <v>43982</v>
      </c>
      <c r="E1075" s="82">
        <f t="shared" si="388"/>
        <v>43955</v>
      </c>
      <c r="F1075" s="83">
        <f t="shared" si="394"/>
        <v>0.413375</v>
      </c>
      <c r="G1075" s="83">
        <f t="shared" si="394"/>
        <v>0.41375</v>
      </c>
      <c r="H1075" s="81"/>
      <c r="I1075" s="146">
        <v>43955</v>
      </c>
      <c r="J1075" s="147">
        <v>3.95</v>
      </c>
      <c r="K1075" s="147">
        <v>2.94</v>
      </c>
      <c r="L1075" s="147">
        <v>3.307</v>
      </c>
      <c r="M1075" s="94" cm="1">
        <f t="array" ref="M1075">INDEX($BV$29:$BV$1449,MATCH($D1075,$BR$29:$BR$1449,0),)</f>
        <v>3.31</v>
      </c>
      <c r="N1075" s="150">
        <f t="shared" si="390"/>
        <v>-0.00391566265060239</v>
      </c>
      <c r="O1075" s="150">
        <f t="shared" si="391"/>
        <v>-0.0321919812701199</v>
      </c>
      <c r="P1075" s="150">
        <f t="shared" si="384"/>
        <v>-0.0477972934062769</v>
      </c>
      <c r="Q1075" s="89">
        <f t="shared" si="392"/>
        <v>-0.000906344410876114</v>
      </c>
      <c r="AH1075" s="90"/>
      <c r="AI1075" s="85"/>
      <c r="AJ1075" s="36"/>
      <c r="AK1075" s="36"/>
      <c r="AL1075" s="36"/>
      <c r="AM1075" s="36"/>
      <c r="AN1075" s="36"/>
      <c r="AO1075" s="36"/>
      <c r="AP1075" s="36"/>
      <c r="GE1075" s="94"/>
      <c r="GF1075" s="104">
        <f t="shared" si="380"/>
        <v>2017</v>
      </c>
      <c r="GG1075" s="104">
        <f t="shared" si="381"/>
        <v>11</v>
      </c>
      <c r="GH1075" s="35">
        <v>42808</v>
      </c>
      <c r="GI1075" s="26">
        <v>2.971</v>
      </c>
      <c r="GJ1075" s="94">
        <f t="shared" si="382"/>
        <v>5.942</v>
      </c>
      <c r="GK1075" s="104"/>
      <c r="GL1075" s="104"/>
      <c r="GO1075" s="94"/>
    </row>
    <row r="1076" spans="3:197">
      <c r="C1076" s="80" t="str" cm="1">
        <f t="array" ref="C1076">_xlfn.IFS(MONTH(D1076)&lt;4,1,MONTH(D1076)&lt;7,2,MONTH(D1076)&lt;10,3,MONTH(D1076)&gt;9,4)&amp;"Q"&amp;RIGHT(YEAR(D1076),2)</f>
        <v>2Q20</v>
      </c>
      <c r="D1076" s="81">
        <f t="shared" si="393"/>
        <v>43982</v>
      </c>
      <c r="E1076" s="82">
        <f t="shared" si="388"/>
        <v>43956</v>
      </c>
      <c r="F1076" s="83">
        <f t="shared" si="394"/>
        <v>0.410875</v>
      </c>
      <c r="G1076" s="83">
        <f t="shared" si="394"/>
        <v>0.41375</v>
      </c>
      <c r="H1076" s="81"/>
      <c r="I1076" s="146">
        <v>43956</v>
      </c>
      <c r="J1076" s="147">
        <v>3.92</v>
      </c>
      <c r="K1076" s="147">
        <v>2.93</v>
      </c>
      <c r="L1076" s="147">
        <v>3.287</v>
      </c>
      <c r="M1076" s="94" cm="1">
        <f t="array" ref="M1076">INDEX($BV$29:$BV$1449,MATCH($D1076,$BR$29:$BR$1449,0),)</f>
        <v>3.31</v>
      </c>
      <c r="N1076" s="150">
        <f t="shared" si="390"/>
        <v>-0.00604777744179019</v>
      </c>
      <c r="O1076" s="150">
        <f t="shared" si="391"/>
        <v>-0.0360703812316716</v>
      </c>
      <c r="P1076" s="150">
        <f t="shared" si="384"/>
        <v>-0.0519180847995385</v>
      </c>
      <c r="Q1076" s="89">
        <f t="shared" si="392"/>
        <v>-0.00694864048338373</v>
      </c>
      <c r="AH1076" s="90"/>
      <c r="AI1076" s="85"/>
      <c r="AJ1076" s="36"/>
      <c r="AK1076" s="36"/>
      <c r="AL1076" s="36"/>
      <c r="AM1076" s="36"/>
      <c r="AN1076" s="36"/>
      <c r="AO1076" s="36"/>
      <c r="AP1076" s="36"/>
      <c r="GE1076" s="94"/>
      <c r="GF1076" s="104">
        <f t="shared" ref="GF1076:GF1139" si="395">YEAR(GH1076)</f>
        <v>2017</v>
      </c>
      <c r="GG1076" s="104">
        <f t="shared" ref="GG1076:GG1139" si="396">WEEKNUM(GH1076)</f>
        <v>11</v>
      </c>
      <c r="GH1076" s="35">
        <v>42809</v>
      </c>
      <c r="GI1076" s="26">
        <v>2.968</v>
      </c>
      <c r="GJ1076" s="94">
        <f t="shared" ref="GJ1076:GJ1139" si="397">GI1076*2</f>
        <v>5.936</v>
      </c>
      <c r="GK1076" s="104"/>
      <c r="GL1076" s="104"/>
      <c r="GO1076" s="94"/>
    </row>
    <row r="1077" spans="3:197">
      <c r="C1077" s="80" t="str" cm="1">
        <f t="array" ref="C1077">_xlfn.IFS(MONTH(D1077)&lt;4,1,MONTH(D1077)&lt;7,2,MONTH(D1077)&lt;10,3,MONTH(D1077)&gt;9,4)&amp;"Q"&amp;RIGHT(YEAR(D1077),2)</f>
        <v>2Q20</v>
      </c>
      <c r="D1077" s="81">
        <f t="shared" si="393"/>
        <v>43982</v>
      </c>
      <c r="E1077" s="82">
        <f t="shared" si="388"/>
        <v>43957</v>
      </c>
      <c r="F1077" s="83">
        <f t="shared" ref="F1077:G1092" si="398">+L1077/8</f>
        <v>0.41</v>
      </c>
      <c r="G1077" s="83">
        <f t="shared" si="398"/>
        <v>0.41375</v>
      </c>
      <c r="H1077" s="81"/>
      <c r="I1077" s="146">
        <v>43957</v>
      </c>
      <c r="J1077" s="147">
        <v>3.92</v>
      </c>
      <c r="K1077" s="147">
        <v>2.93</v>
      </c>
      <c r="L1077" s="147">
        <v>3.28</v>
      </c>
      <c r="M1077" s="94" cm="1">
        <f t="array" ref="M1077">INDEX($BV$29:$BV$1449,MATCH($D1077,$BR$29:$BR$1449,0),)</f>
        <v>3.31</v>
      </c>
      <c r="N1077" s="150">
        <f t="shared" si="390"/>
        <v>-0.00212960146029817</v>
      </c>
      <c r="O1077" s="150">
        <f t="shared" si="391"/>
        <v>-0.0258390258390259</v>
      </c>
      <c r="P1077" s="150">
        <f t="shared" si="384"/>
        <v>-0.0492753623188407</v>
      </c>
      <c r="Q1077" s="89">
        <f t="shared" si="392"/>
        <v>-0.00906344410876136</v>
      </c>
      <c r="AH1077" s="90"/>
      <c r="AI1077" s="85"/>
      <c r="AJ1077" s="36"/>
      <c r="AK1077" s="36"/>
      <c r="AL1077" s="36"/>
      <c r="AM1077" s="36"/>
      <c r="AN1077" s="36"/>
      <c r="AO1077" s="36"/>
      <c r="AP1077" s="36"/>
      <c r="GE1077" s="94"/>
      <c r="GF1077" s="104">
        <f t="shared" si="395"/>
        <v>2017</v>
      </c>
      <c r="GG1077" s="104">
        <f t="shared" si="396"/>
        <v>11</v>
      </c>
      <c r="GH1077" s="35">
        <v>42810</v>
      </c>
      <c r="GI1077" s="26">
        <v>2.968</v>
      </c>
      <c r="GJ1077" s="94">
        <f t="shared" si="397"/>
        <v>5.936</v>
      </c>
      <c r="GK1077" s="104"/>
      <c r="GL1077" s="104"/>
      <c r="GO1077" s="94"/>
    </row>
    <row r="1078" spans="3:197">
      <c r="C1078" s="80" t="str" cm="1">
        <f t="array" ref="C1078">_xlfn.IFS(MONTH(D1078)&lt;4,1,MONTH(D1078)&lt;7,2,MONTH(D1078)&lt;10,3,MONTH(D1078)&gt;9,4)&amp;"Q"&amp;RIGHT(YEAR(D1078),2)</f>
        <v>2Q20</v>
      </c>
      <c r="D1078" s="81">
        <f t="shared" si="393"/>
        <v>43982</v>
      </c>
      <c r="E1078" s="82">
        <f t="shared" si="388"/>
        <v>43958</v>
      </c>
      <c r="F1078" s="83">
        <f t="shared" si="398"/>
        <v>0.409125</v>
      </c>
      <c r="G1078" s="83">
        <f t="shared" si="398"/>
        <v>0.41375</v>
      </c>
      <c r="H1078" s="81"/>
      <c r="I1078" s="146">
        <v>43958</v>
      </c>
      <c r="J1078" s="147">
        <v>3.92</v>
      </c>
      <c r="K1078" s="147">
        <v>2.93</v>
      </c>
      <c r="L1078" s="147">
        <v>3.273</v>
      </c>
      <c r="M1078" s="94" cm="1">
        <f t="array" ref="M1078">INDEX($BV$29:$BV$1449,MATCH($D1078,$BR$29:$BR$1449,0),)</f>
        <v>3.31</v>
      </c>
      <c r="N1078" s="150">
        <f t="shared" si="390"/>
        <v>-0.00213414634146336</v>
      </c>
      <c r="O1078" s="150">
        <f t="shared" si="391"/>
        <v>-0.0209392760993119</v>
      </c>
      <c r="P1078" s="150">
        <f t="shared" si="384"/>
        <v>-0.0493755445832122</v>
      </c>
      <c r="Q1078" s="89">
        <f t="shared" si="392"/>
        <v>-0.011178247734139</v>
      </c>
      <c r="AH1078" s="90"/>
      <c r="AI1078" s="85"/>
      <c r="AJ1078" s="36"/>
      <c r="AK1078" s="36"/>
      <c r="AL1078" s="36"/>
      <c r="AM1078" s="36"/>
      <c r="AN1078" s="36"/>
      <c r="AO1078" s="36"/>
      <c r="AP1078" s="36"/>
      <c r="GE1078" s="94"/>
      <c r="GF1078" s="104">
        <f t="shared" si="395"/>
        <v>2017</v>
      </c>
      <c r="GG1078" s="104">
        <f t="shared" si="396"/>
        <v>11</v>
      </c>
      <c r="GH1078" s="35">
        <v>42811</v>
      </c>
      <c r="GI1078" s="26">
        <v>2.963</v>
      </c>
      <c r="GJ1078" s="94">
        <f t="shared" si="397"/>
        <v>5.926</v>
      </c>
      <c r="GK1078" s="104"/>
      <c r="GL1078" s="104"/>
      <c r="GO1078" s="94"/>
    </row>
    <row r="1079" spans="3:197">
      <c r="C1079" s="80" t="str" cm="1">
        <f t="array" ref="C1079">_xlfn.IFS(MONTH(D1079)&lt;4,1,MONTH(D1079)&lt;7,2,MONTH(D1079)&lt;10,3,MONTH(D1079)&gt;9,4)&amp;"Q"&amp;RIGHT(YEAR(D1079),2)</f>
        <v>2Q20</v>
      </c>
      <c r="D1079" s="81">
        <f t="shared" si="393"/>
        <v>43982</v>
      </c>
      <c r="E1079" s="82">
        <f t="shared" si="388"/>
        <v>43959</v>
      </c>
      <c r="F1079" s="83">
        <f t="shared" si="398"/>
        <v>0.4075</v>
      </c>
      <c r="G1079" s="83">
        <f t="shared" si="398"/>
        <v>0.41375</v>
      </c>
      <c r="H1079" s="81"/>
      <c r="I1079" s="146">
        <v>43959</v>
      </c>
      <c r="J1079" s="147">
        <v>3.92</v>
      </c>
      <c r="K1079" s="147">
        <v>2.92</v>
      </c>
      <c r="L1079" s="147">
        <v>3.26</v>
      </c>
      <c r="M1079" s="94" cm="1">
        <f t="array" ref="M1079">INDEX($BV$29:$BV$1449,MATCH($D1079,$BR$29:$BR$1449,0),)</f>
        <v>3.31</v>
      </c>
      <c r="N1079" s="150">
        <f t="shared" si="390"/>
        <v>-0.00397189123128638</v>
      </c>
      <c r="O1079" s="150">
        <f t="shared" si="391"/>
        <v>-0.0180722891566265</v>
      </c>
      <c r="P1079" s="150">
        <f t="shared" si="384"/>
        <v>-0.0487306682229356</v>
      </c>
      <c r="Q1079" s="89">
        <f t="shared" si="392"/>
        <v>-0.015105740181269</v>
      </c>
      <c r="AH1079" s="90"/>
      <c r="AI1079" s="85"/>
      <c r="AJ1079" s="36"/>
      <c r="AK1079" s="36"/>
      <c r="AL1079" s="36"/>
      <c r="AM1079" s="36"/>
      <c r="AN1079" s="36"/>
      <c r="AO1079" s="36"/>
      <c r="AP1079" s="36"/>
      <c r="GE1079" s="94"/>
      <c r="GF1079" s="104">
        <f t="shared" si="395"/>
        <v>2017</v>
      </c>
      <c r="GG1079" s="104">
        <f t="shared" si="396"/>
        <v>12</v>
      </c>
      <c r="GH1079" s="35">
        <v>42814</v>
      </c>
      <c r="GI1079" s="26">
        <v>2.963</v>
      </c>
      <c r="GJ1079" s="94">
        <f t="shared" si="397"/>
        <v>5.926</v>
      </c>
      <c r="GK1079" s="104"/>
      <c r="GL1079" s="104"/>
      <c r="GO1079" s="94"/>
    </row>
    <row r="1080" spans="3:197">
      <c r="C1080" s="80" t="str" cm="1">
        <f t="array" ref="C1080">_xlfn.IFS(MONTH(D1080)&lt;4,1,MONTH(D1080)&lt;7,2,MONTH(D1080)&lt;10,3,MONTH(D1080)&gt;9,4)&amp;"Q"&amp;RIGHT(YEAR(D1080),2)</f>
        <v>2Q20</v>
      </c>
      <c r="D1080" s="81">
        <f t="shared" si="393"/>
        <v>43982</v>
      </c>
      <c r="E1080" s="82">
        <f t="shared" si="388"/>
        <v>43962</v>
      </c>
      <c r="F1080" s="83">
        <f t="shared" si="398"/>
        <v>0.405875</v>
      </c>
      <c r="G1080" s="83">
        <f t="shared" si="398"/>
        <v>0.41375</v>
      </c>
      <c r="H1080" s="81"/>
      <c r="I1080" s="146">
        <v>43962</v>
      </c>
      <c r="J1080" s="147">
        <v>3.92</v>
      </c>
      <c r="K1080" s="147">
        <v>2.9</v>
      </c>
      <c r="L1080" s="147">
        <v>3.247</v>
      </c>
      <c r="M1080" s="94" cm="1">
        <f t="array" ref="M1080">INDEX($BV$29:$BV$1449,MATCH($D1080,$BR$29:$BR$1449,0),)</f>
        <v>3.31</v>
      </c>
      <c r="N1080" s="150">
        <f t="shared" si="390"/>
        <v>-0.00398773006134967</v>
      </c>
      <c r="O1080" s="150">
        <f t="shared" si="391"/>
        <v>-0.0181433323253705</v>
      </c>
      <c r="P1080" s="150">
        <f t="shared" si="384"/>
        <v>-0.0497512437810945</v>
      </c>
      <c r="Q1080" s="89">
        <f t="shared" si="392"/>
        <v>-0.0190332326283988</v>
      </c>
      <c r="AH1080" s="90"/>
      <c r="AI1080" s="85"/>
      <c r="AJ1080" s="36"/>
      <c r="AK1080" s="36"/>
      <c r="AL1080" s="36"/>
      <c r="AM1080" s="36"/>
      <c r="AN1080" s="36"/>
      <c r="AO1080" s="36"/>
      <c r="AP1080" s="36"/>
      <c r="GE1080" s="94"/>
      <c r="GF1080" s="104">
        <f t="shared" si="395"/>
        <v>2017</v>
      </c>
      <c r="GG1080" s="104">
        <f t="shared" si="396"/>
        <v>12</v>
      </c>
      <c r="GH1080" s="35">
        <v>42815</v>
      </c>
      <c r="GI1080" s="26">
        <v>2.963</v>
      </c>
      <c r="GJ1080" s="94">
        <f t="shared" si="397"/>
        <v>5.926</v>
      </c>
      <c r="GK1080" s="104"/>
      <c r="GL1080" s="104"/>
      <c r="GO1080" s="94"/>
    </row>
    <row r="1081" spans="3:197">
      <c r="C1081" s="80" t="str" cm="1">
        <f t="array" ref="C1081">_xlfn.IFS(MONTH(D1081)&lt;4,1,MONTH(D1081)&lt;7,2,MONTH(D1081)&lt;10,3,MONTH(D1081)&gt;9,4)&amp;"Q"&amp;RIGHT(YEAR(D1081),2)</f>
        <v>2Q20</v>
      </c>
      <c r="D1081" s="81">
        <f t="shared" si="393"/>
        <v>43982</v>
      </c>
      <c r="E1081" s="82">
        <f t="shared" si="388"/>
        <v>43963</v>
      </c>
      <c r="F1081" s="83">
        <f t="shared" si="398"/>
        <v>0.4025</v>
      </c>
      <c r="G1081" s="83">
        <f t="shared" si="398"/>
        <v>0.41375</v>
      </c>
      <c r="H1081" s="81"/>
      <c r="I1081" s="146">
        <v>43963</v>
      </c>
      <c r="J1081" s="147">
        <v>3.85</v>
      </c>
      <c r="K1081" s="147">
        <v>2.9</v>
      </c>
      <c r="L1081" s="147">
        <v>3.22</v>
      </c>
      <c r="M1081" s="94" cm="1">
        <f t="array" ref="M1081">INDEX($BV$29:$BV$1449,MATCH($D1081,$BR$29:$BR$1449,0),)</f>
        <v>3.31</v>
      </c>
      <c r="N1081" s="150">
        <f t="shared" si="390"/>
        <v>-0.00831536803202948</v>
      </c>
      <c r="O1081" s="150">
        <f t="shared" si="391"/>
        <v>-0.0203833282628536</v>
      </c>
      <c r="P1081" s="150">
        <f t="shared" si="384"/>
        <v>-0.0557184750733137</v>
      </c>
      <c r="Q1081" s="89">
        <f t="shared" si="392"/>
        <v>-0.027190332326284</v>
      </c>
      <c r="AH1081" s="90"/>
      <c r="AI1081" s="85"/>
      <c r="AJ1081" s="36"/>
      <c r="AK1081" s="36"/>
      <c r="AL1081" s="36"/>
      <c r="AM1081" s="36"/>
      <c r="AN1081" s="36"/>
      <c r="AO1081" s="36"/>
      <c r="AP1081" s="36"/>
      <c r="GE1081" s="94"/>
      <c r="GF1081" s="104">
        <f t="shared" si="395"/>
        <v>2017</v>
      </c>
      <c r="GG1081" s="104">
        <f t="shared" si="396"/>
        <v>12</v>
      </c>
      <c r="GH1081" s="35">
        <v>42816</v>
      </c>
      <c r="GI1081" s="26">
        <v>2.948</v>
      </c>
      <c r="GJ1081" s="94">
        <f t="shared" si="397"/>
        <v>5.896</v>
      </c>
      <c r="GK1081" s="104"/>
      <c r="GL1081" s="104"/>
      <c r="GO1081" s="94"/>
    </row>
    <row r="1082" spans="3:197">
      <c r="C1082" s="80" t="str" cm="1">
        <f t="array" ref="C1082">_xlfn.IFS(MONTH(D1082)&lt;4,1,MONTH(D1082)&lt;7,2,MONTH(D1082)&lt;10,3,MONTH(D1082)&gt;9,4)&amp;"Q"&amp;RIGHT(YEAR(D1082),2)</f>
        <v>2Q20</v>
      </c>
      <c r="D1082" s="81">
        <f t="shared" si="393"/>
        <v>43982</v>
      </c>
      <c r="E1082" s="82">
        <f t="shared" si="388"/>
        <v>43964</v>
      </c>
      <c r="F1082" s="83">
        <f t="shared" si="398"/>
        <v>0.401625</v>
      </c>
      <c r="G1082" s="83">
        <f t="shared" si="398"/>
        <v>0.41375</v>
      </c>
      <c r="H1082" s="81"/>
      <c r="I1082" s="146">
        <v>43964</v>
      </c>
      <c r="J1082" s="147">
        <v>3.85</v>
      </c>
      <c r="K1082" s="147">
        <v>2.9</v>
      </c>
      <c r="L1082" s="147">
        <v>3.213</v>
      </c>
      <c r="M1082" s="94" cm="1">
        <f t="array" ref="M1082">INDEX($BV$29:$BV$1449,MATCH($D1082,$BR$29:$BR$1449,0),)</f>
        <v>3.31</v>
      </c>
      <c r="N1082" s="150">
        <f t="shared" si="390"/>
        <v>-0.00217391304347825</v>
      </c>
      <c r="O1082" s="150">
        <f t="shared" si="391"/>
        <v>-0.0204268292682926</v>
      </c>
      <c r="P1082" s="150">
        <f t="shared" si="384"/>
        <v>-0.0457380457380457</v>
      </c>
      <c r="Q1082" s="89">
        <f t="shared" si="392"/>
        <v>-0.0293051359516616</v>
      </c>
      <c r="AH1082" s="90"/>
      <c r="AI1082" s="85"/>
      <c r="AJ1082" s="36"/>
      <c r="AK1082" s="36"/>
      <c r="AL1082" s="36"/>
      <c r="AM1082" s="36"/>
      <c r="AN1082" s="36"/>
      <c r="AO1082" s="36"/>
      <c r="AP1082" s="36"/>
      <c r="GE1082" s="94"/>
      <c r="GF1082" s="104">
        <f t="shared" si="395"/>
        <v>2017</v>
      </c>
      <c r="GG1082" s="104">
        <f t="shared" si="396"/>
        <v>12</v>
      </c>
      <c r="GH1082" s="35">
        <v>42817</v>
      </c>
      <c r="GI1082" s="26">
        <v>2.927</v>
      </c>
      <c r="GJ1082" s="94">
        <f t="shared" si="397"/>
        <v>5.854</v>
      </c>
      <c r="GK1082" s="104"/>
      <c r="GL1082" s="104"/>
      <c r="GO1082" s="94"/>
    </row>
    <row r="1083" spans="3:197">
      <c r="C1083" s="80" t="str" cm="1">
        <f t="array" ref="C1083">_xlfn.IFS(MONTH(D1083)&lt;4,1,MONTH(D1083)&lt;7,2,MONTH(D1083)&lt;10,3,MONTH(D1083)&gt;9,4)&amp;"Q"&amp;RIGHT(YEAR(D1083),2)</f>
        <v>2Q20</v>
      </c>
      <c r="D1083" s="81">
        <f t="shared" si="393"/>
        <v>43982</v>
      </c>
      <c r="E1083" s="82">
        <f t="shared" si="388"/>
        <v>43965</v>
      </c>
      <c r="F1083" s="83">
        <f t="shared" si="398"/>
        <v>0.399375</v>
      </c>
      <c r="G1083" s="83">
        <f t="shared" si="398"/>
        <v>0.41375</v>
      </c>
      <c r="H1083" s="81"/>
      <c r="I1083" s="146">
        <v>43965</v>
      </c>
      <c r="J1083" s="147">
        <v>3.83</v>
      </c>
      <c r="K1083" s="147">
        <v>2.9</v>
      </c>
      <c r="L1083" s="147">
        <v>3.195</v>
      </c>
      <c r="M1083" s="94" cm="1">
        <f t="array" ref="M1083">INDEX($BV$29:$BV$1449,MATCH($D1083,$BR$29:$BR$1449,0),)</f>
        <v>3.31</v>
      </c>
      <c r="N1083" s="150">
        <f t="shared" si="390"/>
        <v>-0.00560224089635863</v>
      </c>
      <c r="O1083" s="150">
        <f t="shared" si="391"/>
        <v>-0.0238313473877177</v>
      </c>
      <c r="P1083" s="150">
        <f t="shared" si="384"/>
        <v>-0.0442716123242597</v>
      </c>
      <c r="Q1083" s="89">
        <f t="shared" si="392"/>
        <v>-0.0347432024169185</v>
      </c>
      <c r="AH1083" s="90"/>
      <c r="AI1083" s="85"/>
      <c r="AJ1083" s="36"/>
      <c r="AK1083" s="36"/>
      <c r="AL1083" s="36"/>
      <c r="AM1083" s="36"/>
      <c r="AN1083" s="36"/>
      <c r="AO1083" s="36"/>
      <c r="AP1083" s="36"/>
      <c r="GE1083" s="94"/>
      <c r="GF1083" s="104">
        <f t="shared" si="395"/>
        <v>2017</v>
      </c>
      <c r="GG1083" s="104">
        <f t="shared" si="396"/>
        <v>12</v>
      </c>
      <c r="GH1083" s="35">
        <v>42818</v>
      </c>
      <c r="GI1083" s="26">
        <v>2.924</v>
      </c>
      <c r="GJ1083" s="94">
        <f t="shared" si="397"/>
        <v>5.848</v>
      </c>
      <c r="GK1083" s="104"/>
      <c r="GL1083" s="104"/>
      <c r="GO1083" s="94"/>
    </row>
    <row r="1084" spans="3:197">
      <c r="C1084" s="80" t="str" cm="1">
        <f t="array" ref="C1084">_xlfn.IFS(MONTH(D1084)&lt;4,1,MONTH(D1084)&lt;7,2,MONTH(D1084)&lt;10,3,MONTH(D1084)&gt;9,4)&amp;"Q"&amp;RIGHT(YEAR(D1084),2)</f>
        <v>2Q20</v>
      </c>
      <c r="D1084" s="81">
        <f t="shared" si="393"/>
        <v>43982</v>
      </c>
      <c r="E1084" s="82">
        <f t="shared" si="388"/>
        <v>43966</v>
      </c>
      <c r="F1084" s="83">
        <f t="shared" si="398"/>
        <v>0.3955</v>
      </c>
      <c r="G1084" s="83">
        <f t="shared" si="398"/>
        <v>0.41375</v>
      </c>
      <c r="H1084" s="81"/>
      <c r="I1084" s="146">
        <v>43966</v>
      </c>
      <c r="J1084" s="147">
        <v>3.8</v>
      </c>
      <c r="K1084" s="147">
        <v>2.89</v>
      </c>
      <c r="L1084" s="147">
        <v>3.164</v>
      </c>
      <c r="M1084" s="94" cm="1">
        <f t="array" ref="M1084">INDEX($BV$29:$BV$1449,MATCH($D1084,$BR$29:$BR$1449,0),)</f>
        <v>3.31</v>
      </c>
      <c r="N1084" s="150">
        <f t="shared" si="390"/>
        <v>-0.00970266040688561</v>
      </c>
      <c r="O1084" s="150">
        <f t="shared" si="391"/>
        <v>-0.0294478527607361</v>
      </c>
      <c r="P1084" s="150">
        <f t="shared" si="384"/>
        <v>-0.0469879518072288</v>
      </c>
      <c r="Q1084" s="89">
        <f t="shared" si="392"/>
        <v>-0.0441087613293051</v>
      </c>
      <c r="AH1084" s="90"/>
      <c r="AI1084" s="85"/>
      <c r="AJ1084" s="36"/>
      <c r="AK1084" s="36"/>
      <c r="AL1084" s="36"/>
      <c r="AM1084" s="36"/>
      <c r="AN1084" s="36"/>
      <c r="AO1084" s="36"/>
      <c r="AP1084" s="36"/>
      <c r="GE1084" s="94"/>
      <c r="GF1084" s="104">
        <f t="shared" si="395"/>
        <v>2017</v>
      </c>
      <c r="GG1084" s="104">
        <f t="shared" si="396"/>
        <v>13</v>
      </c>
      <c r="GH1084" s="35">
        <v>42821</v>
      </c>
      <c r="GI1084" s="26">
        <v>2.918</v>
      </c>
      <c r="GJ1084" s="94">
        <f t="shared" si="397"/>
        <v>5.836</v>
      </c>
      <c r="GK1084" s="104"/>
      <c r="GL1084" s="104"/>
      <c r="GO1084" s="94"/>
    </row>
    <row r="1085" spans="3:197">
      <c r="C1085" s="80" t="str" cm="1">
        <f t="array" ref="C1085">_xlfn.IFS(MONTH(D1085)&lt;4,1,MONTH(D1085)&lt;7,2,MONTH(D1085)&lt;10,3,MONTH(D1085)&gt;9,4)&amp;"Q"&amp;RIGHT(YEAR(D1085),2)</f>
        <v>2Q20</v>
      </c>
      <c r="D1085" s="81">
        <f t="shared" si="393"/>
        <v>43982</v>
      </c>
      <c r="E1085" s="82">
        <f t="shared" si="388"/>
        <v>43969</v>
      </c>
      <c r="F1085" s="83">
        <f t="shared" si="398"/>
        <v>0.39225</v>
      </c>
      <c r="G1085" s="83">
        <f t="shared" si="398"/>
        <v>0.41375</v>
      </c>
      <c r="H1085" s="81"/>
      <c r="I1085" s="146">
        <v>43969</v>
      </c>
      <c r="J1085" s="147">
        <v>3.7</v>
      </c>
      <c r="K1085" s="147">
        <v>2.89</v>
      </c>
      <c r="L1085" s="147">
        <v>3.138</v>
      </c>
      <c r="M1085" s="94" cm="1">
        <f t="array" ref="M1085">INDEX($BV$29:$BV$1449,MATCH($D1085,$BR$29:$BR$1449,0),)</f>
        <v>3.31</v>
      </c>
      <c r="N1085" s="150">
        <f t="shared" si="390"/>
        <v>-0.00821744627054366</v>
      </c>
      <c r="O1085" s="150">
        <f t="shared" si="391"/>
        <v>-0.0335694487218972</v>
      </c>
      <c r="P1085" s="150">
        <f t="shared" si="384"/>
        <v>-0.0511037193831267</v>
      </c>
      <c r="Q1085" s="89">
        <f t="shared" si="392"/>
        <v>-0.051963746223565</v>
      </c>
      <c r="AH1085" s="90"/>
      <c r="AI1085" s="85"/>
      <c r="AJ1085" s="36"/>
      <c r="AK1085" s="36"/>
      <c r="AL1085" s="36"/>
      <c r="AM1085" s="36"/>
      <c r="AN1085" s="36"/>
      <c r="AO1085" s="36"/>
      <c r="AP1085" s="36"/>
      <c r="GE1085" s="94"/>
      <c r="GF1085" s="104">
        <f t="shared" si="395"/>
        <v>2017</v>
      </c>
      <c r="GG1085" s="104">
        <f t="shared" si="396"/>
        <v>13</v>
      </c>
      <c r="GH1085" s="35">
        <v>42822</v>
      </c>
      <c r="GI1085" s="26">
        <v>2.918</v>
      </c>
      <c r="GJ1085" s="94">
        <f t="shared" si="397"/>
        <v>5.836</v>
      </c>
      <c r="GK1085" s="104"/>
      <c r="GL1085" s="104"/>
      <c r="GO1085" s="94"/>
    </row>
    <row r="1086" spans="3:197">
      <c r="C1086" s="80" t="str" cm="1">
        <f t="array" ref="C1086">_xlfn.IFS(MONTH(D1086)&lt;4,1,MONTH(D1086)&lt;7,2,MONTH(D1086)&lt;10,3,MONTH(D1086)&gt;9,4)&amp;"Q"&amp;RIGHT(YEAR(D1086),2)</f>
        <v>2Q20</v>
      </c>
      <c r="D1086" s="81">
        <f t="shared" si="393"/>
        <v>43982</v>
      </c>
      <c r="E1086" s="82">
        <f t="shared" si="388"/>
        <v>43970</v>
      </c>
      <c r="F1086" s="83">
        <f t="shared" si="398"/>
        <v>0.3905</v>
      </c>
      <c r="G1086" s="83">
        <f t="shared" si="398"/>
        <v>0.41375</v>
      </c>
      <c r="H1086" s="81"/>
      <c r="I1086" s="146">
        <v>43970</v>
      </c>
      <c r="J1086" s="147">
        <v>3.7</v>
      </c>
      <c r="K1086" s="147">
        <v>2.89</v>
      </c>
      <c r="L1086" s="147">
        <v>3.124</v>
      </c>
      <c r="M1086" s="94" cm="1">
        <f t="array" ref="M1086">INDEX($BV$29:$BV$1449,MATCH($D1086,$BR$29:$BR$1449,0),)</f>
        <v>3.31</v>
      </c>
      <c r="N1086" s="150">
        <f t="shared" si="390"/>
        <v>-0.00446144040790308</v>
      </c>
      <c r="O1086" s="150">
        <f t="shared" si="391"/>
        <v>-0.0298136645962733</v>
      </c>
      <c r="P1086" s="150">
        <f t="shared" si="384"/>
        <v>-0.0495892911469424</v>
      </c>
      <c r="Q1086" s="89">
        <f t="shared" si="392"/>
        <v>-0.0561933534743202</v>
      </c>
      <c r="AH1086" s="90"/>
      <c r="AI1086" s="85"/>
      <c r="AJ1086" s="36"/>
      <c r="AK1086" s="36"/>
      <c r="AL1086" s="36"/>
      <c r="AM1086" s="36"/>
      <c r="AN1086" s="36"/>
      <c r="AO1086" s="36"/>
      <c r="AP1086" s="36"/>
      <c r="GE1086" s="94"/>
      <c r="GF1086" s="104">
        <f t="shared" si="395"/>
        <v>2017</v>
      </c>
      <c r="GG1086" s="104">
        <f t="shared" si="396"/>
        <v>13</v>
      </c>
      <c r="GH1086" s="35">
        <v>42823</v>
      </c>
      <c r="GI1086" s="26">
        <v>2.929</v>
      </c>
      <c r="GJ1086" s="94">
        <f t="shared" si="397"/>
        <v>5.858</v>
      </c>
      <c r="GK1086" s="104"/>
      <c r="GL1086" s="104"/>
      <c r="GO1086" s="94"/>
    </row>
    <row r="1087" spans="3:197">
      <c r="C1087" s="80" t="str" cm="1">
        <f t="array" ref="C1087">_xlfn.IFS(MONTH(D1087)&lt;4,1,MONTH(D1087)&lt;7,2,MONTH(D1087)&lt;10,3,MONTH(D1087)&gt;9,4)&amp;"Q"&amp;RIGHT(YEAR(D1087),2)</f>
        <v>2Q20</v>
      </c>
      <c r="D1087" s="81">
        <f t="shared" si="393"/>
        <v>43982</v>
      </c>
      <c r="E1087" s="82">
        <f t="shared" si="388"/>
        <v>43971</v>
      </c>
      <c r="F1087" s="83">
        <f t="shared" si="398"/>
        <v>0.389625</v>
      </c>
      <c r="G1087" s="83">
        <f t="shared" si="398"/>
        <v>0.41375</v>
      </c>
      <c r="H1087" s="81"/>
      <c r="I1087" s="146">
        <v>43971</v>
      </c>
      <c r="J1087" s="147">
        <v>3.7</v>
      </c>
      <c r="K1087" s="147">
        <v>2.89</v>
      </c>
      <c r="L1087" s="147">
        <v>3.117</v>
      </c>
      <c r="M1087" s="94" cm="1">
        <f t="array" ref="M1087">INDEX($BV$29:$BV$1449,MATCH($D1087,$BR$29:$BR$1449,0),)</f>
        <v>3.31</v>
      </c>
      <c r="N1087" s="150">
        <f t="shared" si="390"/>
        <v>-0.0022407170294495</v>
      </c>
      <c r="O1087" s="150">
        <f t="shared" si="391"/>
        <v>-0.0298786181139122</v>
      </c>
      <c r="P1087" s="150">
        <f t="shared" si="384"/>
        <v>-0.0496951219512195</v>
      </c>
      <c r="Q1087" s="89">
        <f t="shared" si="392"/>
        <v>-0.0583081570996979</v>
      </c>
      <c r="AH1087" s="90"/>
      <c r="AI1087" s="85"/>
      <c r="AJ1087" s="36"/>
      <c r="AK1087" s="36"/>
      <c r="AL1087" s="36"/>
      <c r="AM1087" s="36"/>
      <c r="AN1087" s="36"/>
      <c r="AO1087" s="36"/>
      <c r="AP1087" s="36"/>
      <c r="GE1087" s="94"/>
      <c r="GF1087" s="104">
        <f t="shared" si="395"/>
        <v>2017</v>
      </c>
      <c r="GG1087" s="104">
        <f t="shared" si="396"/>
        <v>13</v>
      </c>
      <c r="GH1087" s="35">
        <v>42824</v>
      </c>
      <c r="GI1087" s="26">
        <v>2.932</v>
      </c>
      <c r="GJ1087" s="94">
        <f t="shared" si="397"/>
        <v>5.864</v>
      </c>
      <c r="GK1087" s="104"/>
      <c r="GL1087" s="104"/>
      <c r="GO1087" s="94"/>
    </row>
    <row r="1088" spans="3:197">
      <c r="C1088" s="80" t="str" cm="1">
        <f t="array" ref="C1088">_xlfn.IFS(MONTH(D1088)&lt;4,1,MONTH(D1088)&lt;7,2,MONTH(D1088)&lt;10,3,MONTH(D1088)&gt;9,4)&amp;"Q"&amp;RIGHT(YEAR(D1088),2)</f>
        <v>2Q20</v>
      </c>
      <c r="D1088" s="81">
        <f t="shared" si="393"/>
        <v>43982</v>
      </c>
      <c r="E1088" s="82">
        <f t="shared" si="388"/>
        <v>43972</v>
      </c>
      <c r="F1088" s="83">
        <f t="shared" si="398"/>
        <v>0.38925</v>
      </c>
      <c r="G1088" s="83">
        <f t="shared" si="398"/>
        <v>0.41375</v>
      </c>
      <c r="H1088" s="81"/>
      <c r="I1088" s="146">
        <v>43972</v>
      </c>
      <c r="J1088" s="147">
        <v>3.7</v>
      </c>
      <c r="K1088" s="147">
        <v>2.88</v>
      </c>
      <c r="L1088" s="147">
        <v>3.114</v>
      </c>
      <c r="M1088" s="94" cm="1">
        <f t="array" ref="M1088">INDEX($BV$29:$BV$1449,MATCH($D1088,$BR$29:$BR$1449,0),)</f>
        <v>3.31</v>
      </c>
      <c r="N1088" s="150">
        <f t="shared" si="390"/>
        <v>-0.000962463907603461</v>
      </c>
      <c r="O1088" s="150">
        <f t="shared" si="391"/>
        <v>-0.0253521126760563</v>
      </c>
      <c r="P1088" s="150">
        <f t="shared" ref="P1088:P1151" si="399">L1088/L1078-1</f>
        <v>-0.0485792850595784</v>
      </c>
      <c r="Q1088" s="89">
        <f t="shared" si="392"/>
        <v>-0.0592145015105741</v>
      </c>
      <c r="AH1088" s="90"/>
      <c r="AI1088" s="85"/>
      <c r="AJ1088" s="36"/>
      <c r="AK1088" s="36"/>
      <c r="AL1088" s="36"/>
      <c r="AM1088" s="36"/>
      <c r="AN1088" s="36"/>
      <c r="AO1088" s="36"/>
      <c r="AP1088" s="36"/>
      <c r="GE1088" s="94"/>
      <c r="GF1088" s="104">
        <f t="shared" si="395"/>
        <v>2017</v>
      </c>
      <c r="GG1088" s="104">
        <f t="shared" si="396"/>
        <v>13</v>
      </c>
      <c r="GH1088" s="35">
        <v>42825</v>
      </c>
      <c r="GI1088" s="26">
        <v>2.932</v>
      </c>
      <c r="GJ1088" s="94">
        <f t="shared" si="397"/>
        <v>5.864</v>
      </c>
      <c r="GK1088" s="104"/>
      <c r="GL1088" s="104"/>
      <c r="GO1088" s="94"/>
    </row>
    <row r="1089" spans="3:197">
      <c r="C1089" s="80" t="str" cm="1">
        <f t="array" ref="C1089">_xlfn.IFS(MONTH(D1089)&lt;4,1,MONTH(D1089)&lt;7,2,MONTH(D1089)&lt;10,3,MONTH(D1089)&gt;9,4)&amp;"Q"&amp;RIGHT(YEAR(D1089),2)</f>
        <v>2Q20</v>
      </c>
      <c r="D1089" s="81">
        <f t="shared" si="393"/>
        <v>43982</v>
      </c>
      <c r="E1089" s="82">
        <f t="shared" si="388"/>
        <v>43973</v>
      </c>
      <c r="F1089" s="83">
        <f t="shared" si="398"/>
        <v>0.388875</v>
      </c>
      <c r="G1089" s="83">
        <f t="shared" si="398"/>
        <v>0.41375</v>
      </c>
      <c r="H1089" s="81"/>
      <c r="I1089" s="146">
        <v>43973</v>
      </c>
      <c r="J1089" s="147">
        <v>3.7</v>
      </c>
      <c r="K1089" s="147">
        <v>2.88</v>
      </c>
      <c r="L1089" s="147">
        <v>3.111</v>
      </c>
      <c r="M1089" s="94" cm="1">
        <f t="array" ref="M1089">INDEX($BV$29:$BV$1449,MATCH($D1089,$BR$29:$BR$1449,0),)</f>
        <v>3.31</v>
      </c>
      <c r="N1089" s="150">
        <f t="shared" si="390"/>
        <v>-0.000963391136801439</v>
      </c>
      <c r="O1089" s="150">
        <f t="shared" si="391"/>
        <v>-0.0167509481668774</v>
      </c>
      <c r="P1089" s="150">
        <f t="shared" si="399"/>
        <v>-0.0457055214723925</v>
      </c>
      <c r="Q1089" s="89">
        <f t="shared" si="392"/>
        <v>-0.0601208459214501</v>
      </c>
      <c r="AH1089" s="90"/>
      <c r="AI1089" s="85"/>
      <c r="AJ1089" s="36"/>
      <c r="AK1089" s="36"/>
      <c r="AL1089" s="36"/>
      <c r="AM1089" s="36"/>
      <c r="AN1089" s="36"/>
      <c r="AO1089" s="36"/>
      <c r="AP1089" s="36"/>
      <c r="GE1089" s="94"/>
      <c r="GF1089" s="104">
        <f t="shared" si="395"/>
        <v>2017</v>
      </c>
      <c r="GG1089" s="104">
        <f t="shared" si="396"/>
        <v>14</v>
      </c>
      <c r="GH1089" s="35">
        <v>42830</v>
      </c>
      <c r="GI1089" s="26">
        <v>2.936</v>
      </c>
      <c r="GJ1089" s="94">
        <f t="shared" si="397"/>
        <v>5.872</v>
      </c>
      <c r="GK1089" s="104"/>
      <c r="GL1089" s="104"/>
      <c r="GO1089" s="94"/>
    </row>
    <row r="1090" spans="3:197">
      <c r="C1090" s="80" t="str" cm="1">
        <f t="array" ref="C1090">_xlfn.IFS(MONTH(D1090)&lt;4,1,MONTH(D1090)&lt;7,2,MONTH(D1090)&lt;10,3,MONTH(D1090)&gt;9,4)&amp;"Q"&amp;RIGHT(YEAR(D1090),2)</f>
        <v>2Q20</v>
      </c>
      <c r="D1090" s="81">
        <f t="shared" si="393"/>
        <v>43982</v>
      </c>
      <c r="E1090" s="82">
        <f t="shared" si="388"/>
        <v>43976</v>
      </c>
      <c r="F1090" s="83">
        <f t="shared" si="398"/>
        <v>0.388625</v>
      </c>
      <c r="G1090" s="83">
        <f t="shared" si="398"/>
        <v>0.41375</v>
      </c>
      <c r="H1090" s="81"/>
      <c r="I1090" s="146">
        <v>43976</v>
      </c>
      <c r="J1090" s="147">
        <v>3.7</v>
      </c>
      <c r="K1090" s="147">
        <v>2.88</v>
      </c>
      <c r="L1090" s="147">
        <v>3.109</v>
      </c>
      <c r="M1090" s="94" cm="1">
        <f t="array" ref="M1090">INDEX($BV$29:$BV$1449,MATCH($D1090,$BR$29:$BR$1449,0),)</f>
        <v>3.31</v>
      </c>
      <c r="N1090" s="150">
        <f t="shared" si="390"/>
        <v>-0.000642880102860843</v>
      </c>
      <c r="O1090" s="150">
        <f t="shared" si="391"/>
        <v>-0.00924155513065639</v>
      </c>
      <c r="P1090" s="150">
        <f t="shared" si="399"/>
        <v>-0.0425007699414844</v>
      </c>
      <c r="Q1090" s="89">
        <f t="shared" si="392"/>
        <v>-0.0607250755287009</v>
      </c>
      <c r="AH1090" s="90"/>
      <c r="AI1090" s="85"/>
      <c r="AJ1090" s="36"/>
      <c r="AK1090" s="36"/>
      <c r="AL1090" s="36"/>
      <c r="AM1090" s="36"/>
      <c r="AN1090" s="36"/>
      <c r="AO1090" s="36"/>
      <c r="AP1090" s="36"/>
      <c r="GE1090" s="94"/>
      <c r="GF1090" s="104">
        <f t="shared" si="395"/>
        <v>2017</v>
      </c>
      <c r="GG1090" s="104">
        <f t="shared" si="396"/>
        <v>14</v>
      </c>
      <c r="GH1090" s="35">
        <v>42831</v>
      </c>
      <c r="GI1090" s="26">
        <v>2.936</v>
      </c>
      <c r="GJ1090" s="94">
        <f t="shared" si="397"/>
        <v>5.872</v>
      </c>
      <c r="GK1090" s="104"/>
      <c r="GL1090" s="104"/>
      <c r="GO1090" s="94"/>
    </row>
    <row r="1091" spans="3:197">
      <c r="C1091" s="80" t="str" cm="1">
        <f t="array" ref="C1091">_xlfn.IFS(MONTH(D1091)&lt;4,1,MONTH(D1091)&lt;7,2,MONTH(D1091)&lt;10,3,MONTH(D1091)&gt;9,4)&amp;"Q"&amp;RIGHT(YEAR(D1091),2)</f>
        <v>2Q20</v>
      </c>
      <c r="D1091" s="81">
        <f t="shared" si="393"/>
        <v>43982</v>
      </c>
      <c r="E1091" s="82">
        <f t="shared" si="388"/>
        <v>43977</v>
      </c>
      <c r="F1091" s="83">
        <f t="shared" si="398"/>
        <v>0.386625</v>
      </c>
      <c r="G1091" s="83">
        <f t="shared" si="398"/>
        <v>0.41375</v>
      </c>
      <c r="H1091" s="81"/>
      <c r="I1091" s="146">
        <v>43977</v>
      </c>
      <c r="J1091" s="147">
        <v>3.66</v>
      </c>
      <c r="K1091" s="147">
        <v>2.86</v>
      </c>
      <c r="L1091" s="147">
        <v>3.093</v>
      </c>
      <c r="M1091" s="94" cm="1">
        <f t="array" ref="M1091">INDEX($BV$29:$BV$1449,MATCH($D1091,$BR$29:$BR$1449,0),)</f>
        <v>3.31</v>
      </c>
      <c r="N1091" s="150">
        <f t="shared" si="390"/>
        <v>-0.00514634930845936</v>
      </c>
      <c r="O1091" s="150">
        <f t="shared" si="391"/>
        <v>-0.00992317541613319</v>
      </c>
      <c r="P1091" s="150">
        <f t="shared" si="399"/>
        <v>-0.0394409937888199</v>
      </c>
      <c r="Q1091" s="89">
        <f t="shared" si="392"/>
        <v>-0.065558912386707</v>
      </c>
      <c r="AH1091" s="90"/>
      <c r="AI1091" s="85"/>
      <c r="AJ1091" s="36"/>
      <c r="AK1091" s="36"/>
      <c r="AL1091" s="36"/>
      <c r="AM1091" s="36"/>
      <c r="AN1091" s="36"/>
      <c r="AO1091" s="36"/>
      <c r="AP1091" s="36"/>
      <c r="GE1091" s="94"/>
      <c r="GF1091" s="104">
        <f t="shared" si="395"/>
        <v>2017</v>
      </c>
      <c r="GG1091" s="104">
        <f t="shared" si="396"/>
        <v>14</v>
      </c>
      <c r="GH1091" s="35">
        <v>42832</v>
      </c>
      <c r="GI1091" s="26">
        <v>2.936</v>
      </c>
      <c r="GJ1091" s="94">
        <f t="shared" si="397"/>
        <v>5.872</v>
      </c>
      <c r="GK1091" s="104"/>
      <c r="GL1091" s="104"/>
      <c r="GO1091" s="94"/>
    </row>
    <row r="1092" spans="3:197">
      <c r="C1092" s="80" t="str" cm="1">
        <f t="array" ref="C1092">_xlfn.IFS(MONTH(D1092)&lt;4,1,MONTH(D1092)&lt;7,2,MONTH(D1092)&lt;10,3,MONTH(D1092)&gt;9,4)&amp;"Q"&amp;RIGHT(YEAR(D1092),2)</f>
        <v>2Q20</v>
      </c>
      <c r="D1092" s="81">
        <f t="shared" si="393"/>
        <v>43982</v>
      </c>
      <c r="E1092" s="82">
        <f t="shared" si="388"/>
        <v>43978</v>
      </c>
      <c r="F1092" s="83">
        <f t="shared" si="398"/>
        <v>0.38575</v>
      </c>
      <c r="G1092" s="83">
        <f t="shared" si="398"/>
        <v>0.41375</v>
      </c>
      <c r="H1092" s="81"/>
      <c r="I1092" s="146">
        <v>43978</v>
      </c>
      <c r="J1092" s="147">
        <v>3.65</v>
      </c>
      <c r="K1092" s="147">
        <v>2.86</v>
      </c>
      <c r="L1092" s="147">
        <v>3.086</v>
      </c>
      <c r="M1092" s="94" cm="1">
        <f t="array" ref="M1092">INDEX($BV$29:$BV$1449,MATCH($D1092,$BR$29:$BR$1449,0),)</f>
        <v>3.31</v>
      </c>
      <c r="N1092" s="150">
        <f t="shared" si="390"/>
        <v>-0.00226317491108963</v>
      </c>
      <c r="O1092" s="150">
        <f t="shared" si="391"/>
        <v>-0.00994546037856914</v>
      </c>
      <c r="P1092" s="150">
        <f t="shared" si="399"/>
        <v>-0.0395269218798632</v>
      </c>
      <c r="Q1092" s="89">
        <f t="shared" si="392"/>
        <v>-0.0676737160120846</v>
      </c>
      <c r="AH1092" s="90"/>
      <c r="AI1092" s="85"/>
      <c r="AJ1092" s="36"/>
      <c r="AK1092" s="36"/>
      <c r="AL1092" s="36"/>
      <c r="AM1092" s="36"/>
      <c r="AN1092" s="36"/>
      <c r="AO1092" s="36"/>
      <c r="AP1092" s="36"/>
      <c r="GE1092" s="94"/>
      <c r="GF1092" s="104">
        <f t="shared" si="395"/>
        <v>2017</v>
      </c>
      <c r="GG1092" s="104">
        <f t="shared" si="396"/>
        <v>15</v>
      </c>
      <c r="GH1092" s="35">
        <v>42835</v>
      </c>
      <c r="GI1092" s="26">
        <v>2.936</v>
      </c>
      <c r="GJ1092" s="94">
        <f t="shared" si="397"/>
        <v>5.872</v>
      </c>
      <c r="GK1092" s="104"/>
      <c r="GL1092" s="104"/>
      <c r="GO1092" s="94"/>
    </row>
    <row r="1093" spans="3:197">
      <c r="C1093" s="80" t="str" cm="1">
        <f t="array" ref="C1093">_xlfn.IFS(MONTH(D1093)&lt;4,1,MONTH(D1093)&lt;7,2,MONTH(D1093)&lt;10,3,MONTH(D1093)&gt;9,4)&amp;"Q"&amp;RIGHT(YEAR(D1093),2)</f>
        <v>2Q20</v>
      </c>
      <c r="D1093" s="81">
        <f t="shared" si="393"/>
        <v>43982</v>
      </c>
      <c r="E1093" s="82">
        <f t="shared" si="388"/>
        <v>43979</v>
      </c>
      <c r="F1093" s="83">
        <f t="shared" ref="F1093:G1108" si="400">+L1093/8</f>
        <v>0.384875</v>
      </c>
      <c r="G1093" s="83">
        <f t="shared" si="400"/>
        <v>0.41375</v>
      </c>
      <c r="H1093" s="81"/>
      <c r="I1093" s="146">
        <v>43979</v>
      </c>
      <c r="J1093" s="147">
        <v>3.65</v>
      </c>
      <c r="K1093" s="147">
        <v>2.86</v>
      </c>
      <c r="L1093" s="147">
        <v>3.079</v>
      </c>
      <c r="M1093" s="94" cm="1">
        <f t="array" ref="M1093">INDEX($BV$29:$BV$1449,MATCH($D1093,$BR$29:$BR$1449,0),)</f>
        <v>3.31</v>
      </c>
      <c r="N1093" s="150">
        <f t="shared" si="390"/>
        <v>-0.00226830848995452</v>
      </c>
      <c r="O1093" s="150">
        <f t="shared" si="391"/>
        <v>-0.0112395632626846</v>
      </c>
      <c r="P1093" s="150">
        <f t="shared" si="399"/>
        <v>-0.0363067292644756</v>
      </c>
      <c r="Q1093" s="89">
        <f t="shared" si="392"/>
        <v>-0.0697885196374622</v>
      </c>
      <c r="AH1093" s="90"/>
      <c r="AI1093" s="85"/>
      <c r="AJ1093" s="36"/>
      <c r="AK1093" s="36"/>
      <c r="AL1093" s="36"/>
      <c r="AM1093" s="36"/>
      <c r="AN1093" s="36"/>
      <c r="AO1093" s="36"/>
      <c r="AP1093" s="36"/>
      <c r="GE1093" s="94"/>
      <c r="GF1093" s="104">
        <f t="shared" si="395"/>
        <v>2017</v>
      </c>
      <c r="GG1093" s="104">
        <f t="shared" si="396"/>
        <v>15</v>
      </c>
      <c r="GH1093" s="35">
        <v>42836</v>
      </c>
      <c r="GI1093" s="26">
        <v>2.936</v>
      </c>
      <c r="GJ1093" s="94">
        <f t="shared" si="397"/>
        <v>5.872</v>
      </c>
      <c r="GK1093" s="104"/>
      <c r="GL1093" s="104"/>
      <c r="GO1093" s="94"/>
    </row>
    <row r="1094" spans="3:197">
      <c r="C1094" s="80" t="str" cm="1">
        <f t="array" ref="C1094">_xlfn.IFS(MONTH(D1094)&lt;4,1,MONTH(D1094)&lt;7,2,MONTH(D1094)&lt;10,3,MONTH(D1094)&gt;9,4)&amp;"Q"&amp;RIGHT(YEAR(D1094),2)</f>
        <v>2Q20</v>
      </c>
      <c r="D1094" s="81">
        <f t="shared" si="393"/>
        <v>43982</v>
      </c>
      <c r="E1094" s="82">
        <f t="shared" si="388"/>
        <v>43980</v>
      </c>
      <c r="F1094" s="83">
        <f t="shared" si="400"/>
        <v>0.38225</v>
      </c>
      <c r="G1094" s="83">
        <f t="shared" si="400"/>
        <v>0.41375</v>
      </c>
      <c r="H1094" s="81"/>
      <c r="I1094" s="146">
        <v>43980</v>
      </c>
      <c r="J1094" s="147">
        <v>3.65</v>
      </c>
      <c r="K1094" s="147">
        <v>2.86</v>
      </c>
      <c r="L1094" s="147">
        <v>3.058</v>
      </c>
      <c r="M1094" s="94" cm="1">
        <f t="array" ref="M1094">INDEX($BV$29:$BV$1449,MATCH($D1094,$BR$29:$BR$1449,0),)</f>
        <v>3.31</v>
      </c>
      <c r="N1094" s="150">
        <f t="shared" si="390"/>
        <v>-0.00682039623254316</v>
      </c>
      <c r="O1094" s="150">
        <f t="shared" si="391"/>
        <v>-0.0170363227258118</v>
      </c>
      <c r="P1094" s="150">
        <f t="shared" si="399"/>
        <v>-0.0335018963337549</v>
      </c>
      <c r="Q1094" s="89">
        <f t="shared" si="392"/>
        <v>-0.0761329305135953</v>
      </c>
      <c r="AH1094" s="90"/>
      <c r="AI1094" s="85"/>
      <c r="AJ1094" s="36"/>
      <c r="AK1094" s="36"/>
      <c r="AL1094" s="36"/>
      <c r="AM1094" s="36"/>
      <c r="AN1094" s="36"/>
      <c r="AO1094" s="36"/>
      <c r="AP1094" s="36"/>
      <c r="GE1094" s="94"/>
      <c r="GF1094" s="104">
        <f t="shared" si="395"/>
        <v>2017</v>
      </c>
      <c r="GG1094" s="104">
        <f t="shared" si="396"/>
        <v>15</v>
      </c>
      <c r="GH1094" s="35">
        <v>42837</v>
      </c>
      <c r="GI1094" s="26">
        <v>2.936</v>
      </c>
      <c r="GJ1094" s="94">
        <f t="shared" si="397"/>
        <v>5.872</v>
      </c>
      <c r="GK1094" s="104"/>
      <c r="GL1094" s="104"/>
      <c r="GO1094" s="94"/>
    </row>
    <row r="1095" spans="3:197">
      <c r="C1095" s="80" t="str" cm="1">
        <f t="array" ref="C1095">_xlfn.IFS(MONTH(D1095)&lt;4,1,MONTH(D1095)&lt;7,2,MONTH(D1095)&lt;10,3,MONTH(D1095)&gt;9,4)&amp;"Q"&amp;RIGHT(YEAR(D1095),2)</f>
        <v>2Q20</v>
      </c>
      <c r="D1095" s="81">
        <f t="shared" si="393"/>
        <v>44012</v>
      </c>
      <c r="E1095" s="82">
        <f t="shared" si="388"/>
        <v>43983</v>
      </c>
      <c r="F1095" s="83">
        <f t="shared" si="400"/>
        <v>0.38225</v>
      </c>
      <c r="G1095" s="83">
        <f t="shared" si="400"/>
        <v>0.41375</v>
      </c>
      <c r="H1095" s="81"/>
      <c r="I1095" s="146">
        <v>43983</v>
      </c>
      <c r="J1095" s="147">
        <v>3.65</v>
      </c>
      <c r="K1095" s="147">
        <v>2.86</v>
      </c>
      <c r="L1095" s="147">
        <v>3.058</v>
      </c>
      <c r="M1095" s="94" cm="1">
        <f t="array" ref="M1095">INDEX($BV$29:$BV$1449,MATCH($D1095,$BR$29:$BR$1449,0),)</f>
        <v>3.31</v>
      </c>
      <c r="N1095" s="150">
        <f t="shared" si="390"/>
        <v>0</v>
      </c>
      <c r="O1095" s="150">
        <f t="shared" si="391"/>
        <v>-0.0164039884207141</v>
      </c>
      <c r="P1095" s="150">
        <f t="shared" si="399"/>
        <v>-0.0254939451880178</v>
      </c>
      <c r="Q1095" s="89">
        <f t="shared" si="392"/>
        <v>-0.0761329305135953</v>
      </c>
      <c r="AH1095" s="90"/>
      <c r="AI1095" s="85"/>
      <c r="AJ1095" s="36"/>
      <c r="AK1095" s="36"/>
      <c r="AL1095" s="36"/>
      <c r="AM1095" s="36"/>
      <c r="AN1095" s="36"/>
      <c r="AO1095" s="36"/>
      <c r="AP1095" s="36"/>
      <c r="GE1095" s="94"/>
      <c r="GF1095" s="104">
        <f t="shared" si="395"/>
        <v>2017</v>
      </c>
      <c r="GG1095" s="104">
        <f t="shared" si="396"/>
        <v>15</v>
      </c>
      <c r="GH1095" s="35">
        <v>42838</v>
      </c>
      <c r="GI1095" s="26">
        <v>2.909</v>
      </c>
      <c r="GJ1095" s="94">
        <f t="shared" si="397"/>
        <v>5.818</v>
      </c>
      <c r="GK1095" s="104"/>
      <c r="GL1095" s="104"/>
      <c r="GO1095" s="94"/>
    </row>
    <row r="1096" spans="3:197">
      <c r="C1096" s="80" t="str" cm="1">
        <f t="array" ref="C1096">_xlfn.IFS(MONTH(D1096)&lt;4,1,MONTH(D1096)&lt;7,2,MONTH(D1096)&lt;10,3,MONTH(D1096)&gt;9,4)&amp;"Q"&amp;RIGHT(YEAR(D1096),2)</f>
        <v>2Q20</v>
      </c>
      <c r="D1096" s="81">
        <f t="shared" si="393"/>
        <v>44012</v>
      </c>
      <c r="E1096" s="82">
        <f t="shared" si="388"/>
        <v>43984</v>
      </c>
      <c r="F1096" s="83">
        <f t="shared" si="400"/>
        <v>0.381625</v>
      </c>
      <c r="G1096" s="83">
        <f t="shared" si="400"/>
        <v>0.41375</v>
      </c>
      <c r="H1096" s="81"/>
      <c r="I1096" s="146">
        <v>43984</v>
      </c>
      <c r="J1096" s="147">
        <v>3.65</v>
      </c>
      <c r="K1096" s="147">
        <v>2.86</v>
      </c>
      <c r="L1096" s="147">
        <v>3.053</v>
      </c>
      <c r="M1096" s="94" cm="1">
        <f t="array" ref="M1096">INDEX($BV$29:$BV$1449,MATCH($D1096,$BR$29:$BR$1449,0),)</f>
        <v>3.31</v>
      </c>
      <c r="N1096" s="150">
        <f t="shared" si="390"/>
        <v>-0.00163505559189014</v>
      </c>
      <c r="O1096" s="150">
        <f t="shared" si="391"/>
        <v>-0.0129324280633689</v>
      </c>
      <c r="P1096" s="150">
        <f t="shared" si="399"/>
        <v>-0.0227272727272728</v>
      </c>
      <c r="Q1096" s="89">
        <f t="shared" si="392"/>
        <v>-0.0776435045317221</v>
      </c>
      <c r="AH1096" s="90"/>
      <c r="AI1096" s="85"/>
      <c r="AJ1096" s="36"/>
      <c r="AK1096" s="36"/>
      <c r="AL1096" s="36"/>
      <c r="AM1096" s="36"/>
      <c r="AN1096" s="36"/>
      <c r="AO1096" s="36"/>
      <c r="AP1096" s="36"/>
      <c r="GE1096" s="94"/>
      <c r="GF1096" s="104">
        <f t="shared" si="395"/>
        <v>2017</v>
      </c>
      <c r="GG1096" s="104">
        <f t="shared" si="396"/>
        <v>15</v>
      </c>
      <c r="GH1096" s="35">
        <v>42839</v>
      </c>
      <c r="GI1096" s="26">
        <v>2.894</v>
      </c>
      <c r="GJ1096" s="94">
        <f t="shared" si="397"/>
        <v>5.788</v>
      </c>
      <c r="GK1096" s="104"/>
      <c r="GL1096" s="104"/>
      <c r="GO1096" s="94"/>
    </row>
    <row r="1097" spans="3:197">
      <c r="C1097" s="80" t="str" cm="1">
        <f t="array" ref="C1097">_xlfn.IFS(MONTH(D1097)&lt;4,1,MONTH(D1097)&lt;7,2,MONTH(D1097)&lt;10,3,MONTH(D1097)&gt;9,4)&amp;"Q"&amp;RIGHT(YEAR(D1097),2)</f>
        <v>2Q20</v>
      </c>
      <c r="D1097" s="81">
        <f t="shared" si="393"/>
        <v>44012</v>
      </c>
      <c r="E1097" s="82">
        <f t="shared" si="388"/>
        <v>43985</v>
      </c>
      <c r="F1097" s="83">
        <f t="shared" si="400"/>
        <v>0.381625</v>
      </c>
      <c r="G1097" s="83">
        <f t="shared" si="400"/>
        <v>0.41375</v>
      </c>
      <c r="H1097" s="81"/>
      <c r="I1097" s="146">
        <v>43985</v>
      </c>
      <c r="J1097" s="147">
        <v>3.65</v>
      </c>
      <c r="K1097" s="147">
        <v>2.86</v>
      </c>
      <c r="L1097" s="147">
        <v>3.053</v>
      </c>
      <c r="M1097" s="94" cm="1">
        <f t="array" ref="M1097">INDEX($BV$29:$BV$1449,MATCH($D1097,$BR$29:$BR$1449,0),)</f>
        <v>3.31</v>
      </c>
      <c r="N1097" s="150">
        <f t="shared" si="390"/>
        <v>0</v>
      </c>
      <c r="O1097" s="150">
        <f t="shared" si="391"/>
        <v>-0.0106934543097861</v>
      </c>
      <c r="P1097" s="150">
        <f t="shared" si="399"/>
        <v>-0.0205325633622073</v>
      </c>
      <c r="Q1097" s="89">
        <f t="shared" si="392"/>
        <v>-0.0776435045317221</v>
      </c>
      <c r="AH1097" s="90"/>
      <c r="AI1097" s="85"/>
      <c r="AJ1097" s="36"/>
      <c r="AK1097" s="36"/>
      <c r="AL1097" s="36"/>
      <c r="AM1097" s="36"/>
      <c r="AN1097" s="36"/>
      <c r="AO1097" s="36"/>
      <c r="AP1097" s="36"/>
      <c r="GE1097" s="94"/>
      <c r="GF1097" s="104">
        <f t="shared" si="395"/>
        <v>2017</v>
      </c>
      <c r="GG1097" s="104">
        <f t="shared" si="396"/>
        <v>16</v>
      </c>
      <c r="GH1097" s="35">
        <v>42842</v>
      </c>
      <c r="GI1097" s="26">
        <v>2.891</v>
      </c>
      <c r="GJ1097" s="94">
        <f t="shared" si="397"/>
        <v>5.782</v>
      </c>
      <c r="GK1097" s="104"/>
      <c r="GL1097" s="104"/>
      <c r="GO1097" s="94"/>
    </row>
    <row r="1098" spans="3:197">
      <c r="C1098" s="80" t="str" cm="1">
        <f t="array" ref="C1098">_xlfn.IFS(MONTH(D1098)&lt;4,1,MONTH(D1098)&lt;7,2,MONTH(D1098)&lt;10,3,MONTH(D1098)&gt;9,4)&amp;"Q"&amp;RIGHT(YEAR(D1098),2)</f>
        <v>2Q20</v>
      </c>
      <c r="D1098" s="81">
        <f t="shared" si="393"/>
        <v>44012</v>
      </c>
      <c r="E1098" s="82">
        <f t="shared" si="388"/>
        <v>43986</v>
      </c>
      <c r="F1098" s="83">
        <f t="shared" si="400"/>
        <v>0.381</v>
      </c>
      <c r="G1098" s="83">
        <f t="shared" si="400"/>
        <v>0.41375</v>
      </c>
      <c r="H1098" s="81"/>
      <c r="I1098" s="146">
        <v>43986</v>
      </c>
      <c r="J1098" s="147">
        <v>3.65</v>
      </c>
      <c r="K1098" s="147">
        <v>2.86</v>
      </c>
      <c r="L1098" s="147">
        <v>3.048</v>
      </c>
      <c r="M1098" s="94" cm="1">
        <f t="array" ref="M1098">INDEX($BV$29:$BV$1449,MATCH($D1098,$BR$29:$BR$1449,0),)</f>
        <v>3.31</v>
      </c>
      <c r="N1098" s="150">
        <f t="shared" si="390"/>
        <v>-0.00163773337700623</v>
      </c>
      <c r="O1098" s="150">
        <f t="shared" si="391"/>
        <v>-0.0100682039623254</v>
      </c>
      <c r="P1098" s="150">
        <f t="shared" si="399"/>
        <v>-0.0211946050096339</v>
      </c>
      <c r="Q1098" s="89">
        <f t="shared" si="392"/>
        <v>-0.0791540785498489</v>
      </c>
      <c r="AH1098" s="90"/>
      <c r="AI1098" s="85"/>
      <c r="AJ1098" s="36"/>
      <c r="AK1098" s="36"/>
      <c r="AL1098" s="36"/>
      <c r="AM1098" s="36"/>
      <c r="AN1098" s="36"/>
      <c r="AO1098" s="36"/>
      <c r="AP1098" s="36"/>
      <c r="GE1098" s="94"/>
      <c r="GF1098" s="104">
        <f t="shared" si="395"/>
        <v>2017</v>
      </c>
      <c r="GG1098" s="104">
        <f t="shared" si="396"/>
        <v>16</v>
      </c>
      <c r="GH1098" s="35">
        <v>42843</v>
      </c>
      <c r="GI1098" s="26">
        <v>2.892</v>
      </c>
      <c r="GJ1098" s="94">
        <f t="shared" si="397"/>
        <v>5.784</v>
      </c>
      <c r="GK1098" s="104"/>
      <c r="GL1098" s="104"/>
      <c r="GO1098" s="94"/>
    </row>
    <row r="1099" spans="3:197">
      <c r="C1099" s="80" t="str" cm="1">
        <f t="array" ref="C1099">_xlfn.IFS(MONTH(D1099)&lt;4,1,MONTH(D1099)&lt;7,2,MONTH(D1099)&lt;10,3,MONTH(D1099)&gt;9,4)&amp;"Q"&amp;RIGHT(YEAR(D1099),2)</f>
        <v>2Q20</v>
      </c>
      <c r="D1099" s="81">
        <f t="shared" si="393"/>
        <v>44012</v>
      </c>
      <c r="E1099" s="82">
        <f t="shared" si="388"/>
        <v>43987</v>
      </c>
      <c r="F1099" s="83">
        <f t="shared" si="400"/>
        <v>0.378375</v>
      </c>
      <c r="G1099" s="83">
        <f t="shared" si="400"/>
        <v>0.41375</v>
      </c>
      <c r="H1099" s="81"/>
      <c r="I1099" s="146">
        <v>43987</v>
      </c>
      <c r="J1099" s="147">
        <v>3.65</v>
      </c>
      <c r="K1099" s="147">
        <v>2.84</v>
      </c>
      <c r="L1099" s="147">
        <v>3.027</v>
      </c>
      <c r="M1099" s="94" cm="1">
        <f t="array" ref="M1099">INDEX($BV$29:$BV$1449,MATCH($D1099,$BR$29:$BR$1449,0),)</f>
        <v>3.31</v>
      </c>
      <c r="N1099" s="150">
        <f t="shared" si="390"/>
        <v>-0.00688976377952755</v>
      </c>
      <c r="O1099" s="150">
        <f t="shared" si="391"/>
        <v>-0.0101373446697187</v>
      </c>
      <c r="P1099" s="150">
        <f t="shared" si="399"/>
        <v>-0.0270009643201543</v>
      </c>
      <c r="Q1099" s="89">
        <f t="shared" si="392"/>
        <v>-0.0854984894259818</v>
      </c>
      <c r="AH1099" s="90"/>
      <c r="AI1099" s="85"/>
      <c r="AJ1099" s="36"/>
      <c r="AK1099" s="36"/>
      <c r="AL1099" s="36"/>
      <c r="AM1099" s="36"/>
      <c r="AN1099" s="36"/>
      <c r="AO1099" s="36"/>
      <c r="AP1099" s="36"/>
      <c r="GE1099" s="94"/>
      <c r="GF1099" s="104">
        <f t="shared" si="395"/>
        <v>2017</v>
      </c>
      <c r="GG1099" s="104">
        <f t="shared" si="396"/>
        <v>16</v>
      </c>
      <c r="GH1099" s="35">
        <v>42844</v>
      </c>
      <c r="GI1099" s="26">
        <v>2.892</v>
      </c>
      <c r="GJ1099" s="94">
        <f t="shared" si="397"/>
        <v>5.784</v>
      </c>
      <c r="GK1099" s="104"/>
      <c r="GL1099" s="104"/>
      <c r="GO1099" s="94"/>
    </row>
    <row r="1100" spans="3:197">
      <c r="C1100" s="80" t="str" cm="1">
        <f t="array" ref="C1100">_xlfn.IFS(MONTH(D1100)&lt;4,1,MONTH(D1100)&lt;7,2,MONTH(D1100)&lt;10,3,MONTH(D1100)&gt;9,4)&amp;"Q"&amp;RIGHT(YEAR(D1100),2)</f>
        <v>2Q20</v>
      </c>
      <c r="D1100" s="81">
        <f t="shared" si="393"/>
        <v>44012</v>
      </c>
      <c r="E1100" s="82">
        <f t="shared" si="388"/>
        <v>43990</v>
      </c>
      <c r="F1100" s="83">
        <f t="shared" si="400"/>
        <v>0.377875</v>
      </c>
      <c r="G1100" s="83">
        <f t="shared" si="400"/>
        <v>0.41375</v>
      </c>
      <c r="H1100" s="81"/>
      <c r="I1100" s="146">
        <v>43990</v>
      </c>
      <c r="J1100" s="147">
        <v>3.65</v>
      </c>
      <c r="K1100" s="147">
        <v>2.8</v>
      </c>
      <c r="L1100" s="147">
        <v>3.023</v>
      </c>
      <c r="M1100" s="94" cm="1">
        <f t="array" ref="M1100">INDEX($BV$29:$BV$1449,MATCH($D1100,$BR$29:$BR$1449,0),)</f>
        <v>3.31</v>
      </c>
      <c r="N1100" s="150">
        <f t="shared" si="390"/>
        <v>-0.00132144037000326</v>
      </c>
      <c r="O1100" s="150">
        <f t="shared" si="391"/>
        <v>-0.0114453891432308</v>
      </c>
      <c r="P1100" s="150">
        <f t="shared" si="399"/>
        <v>-0.0276616275329687</v>
      </c>
      <c r="Q1100" s="89">
        <f t="shared" si="392"/>
        <v>-0.0867069486404833</v>
      </c>
      <c r="AH1100" s="90"/>
      <c r="AI1100" s="85"/>
      <c r="AJ1100" s="36"/>
      <c r="AK1100" s="36"/>
      <c r="AL1100" s="36"/>
      <c r="AM1100" s="36"/>
      <c r="AN1100" s="36"/>
      <c r="AO1100" s="36"/>
      <c r="AP1100" s="36"/>
      <c r="GE1100" s="94"/>
      <c r="GF1100" s="104">
        <f t="shared" si="395"/>
        <v>2017</v>
      </c>
      <c r="GG1100" s="104">
        <f t="shared" si="396"/>
        <v>16</v>
      </c>
      <c r="GH1100" s="35">
        <v>42845</v>
      </c>
      <c r="GI1100" s="26">
        <v>2.891</v>
      </c>
      <c r="GJ1100" s="94">
        <f t="shared" si="397"/>
        <v>5.782</v>
      </c>
      <c r="GK1100" s="104"/>
      <c r="GL1100" s="104"/>
      <c r="GO1100" s="94"/>
    </row>
    <row r="1101" spans="3:197">
      <c r="C1101" s="80" t="str" cm="1">
        <f t="array" ref="C1101">_xlfn.IFS(MONTH(D1101)&lt;4,1,MONTH(D1101)&lt;7,2,MONTH(D1101)&lt;10,3,MONTH(D1101)&gt;9,4)&amp;"Q"&amp;RIGHT(YEAR(D1101),2)</f>
        <v>2Q20</v>
      </c>
      <c r="D1101" s="81">
        <f t="shared" si="393"/>
        <v>44012</v>
      </c>
      <c r="E1101" s="82">
        <f t="shared" si="388"/>
        <v>43991</v>
      </c>
      <c r="F1101" s="83">
        <f t="shared" si="400"/>
        <v>0.37425</v>
      </c>
      <c r="G1101" s="83">
        <f t="shared" si="400"/>
        <v>0.41375</v>
      </c>
      <c r="H1101" s="81"/>
      <c r="I1101" s="146">
        <v>43991</v>
      </c>
      <c r="J1101" s="147">
        <v>3.52</v>
      </c>
      <c r="K1101" s="147">
        <v>2.78</v>
      </c>
      <c r="L1101" s="147">
        <v>2.994</v>
      </c>
      <c r="M1101" s="94" cm="1">
        <f t="array" ref="M1101">INDEX($BV$29:$BV$1449,MATCH($D1101,$BR$29:$BR$1449,0),)</f>
        <v>3.31</v>
      </c>
      <c r="N1101" s="150">
        <f t="shared" si="390"/>
        <v>-0.00959311941779684</v>
      </c>
      <c r="O1101" s="150">
        <f t="shared" si="391"/>
        <v>-0.0193252538486733</v>
      </c>
      <c r="P1101" s="150">
        <f t="shared" si="399"/>
        <v>-0.032007759456838</v>
      </c>
      <c r="Q1101" s="89">
        <f t="shared" si="392"/>
        <v>-0.0954682779456193</v>
      </c>
      <c r="AH1101" s="90"/>
      <c r="AI1101" s="85"/>
      <c r="AJ1101" s="36"/>
      <c r="AK1101" s="36"/>
      <c r="AL1101" s="36"/>
      <c r="AM1101" s="36"/>
      <c r="AN1101" s="36"/>
      <c r="AO1101" s="36"/>
      <c r="AP1101" s="36"/>
      <c r="GE1101" s="94"/>
      <c r="GF1101" s="104">
        <f t="shared" si="395"/>
        <v>2017</v>
      </c>
      <c r="GG1101" s="104">
        <f t="shared" si="396"/>
        <v>16</v>
      </c>
      <c r="GH1101" s="35">
        <v>42846</v>
      </c>
      <c r="GI1101" s="26">
        <v>2.891</v>
      </c>
      <c r="GJ1101" s="94">
        <f t="shared" si="397"/>
        <v>5.782</v>
      </c>
      <c r="GK1101" s="104"/>
      <c r="GL1101" s="104"/>
      <c r="GO1101" s="94"/>
    </row>
    <row r="1102" spans="3:197">
      <c r="C1102" s="80" t="str" cm="1">
        <f t="array" ref="C1102">_xlfn.IFS(MONTH(D1102)&lt;4,1,MONTH(D1102)&lt;7,2,MONTH(D1102)&lt;10,3,MONTH(D1102)&gt;9,4)&amp;"Q"&amp;RIGHT(YEAR(D1102),2)</f>
        <v>2Q20</v>
      </c>
      <c r="D1102" s="81">
        <f t="shared" si="393"/>
        <v>44012</v>
      </c>
      <c r="E1102" s="82">
        <f t="shared" si="388"/>
        <v>43992</v>
      </c>
      <c r="F1102" s="83">
        <f t="shared" si="400"/>
        <v>0.37325</v>
      </c>
      <c r="G1102" s="83">
        <f t="shared" si="400"/>
        <v>0.41375</v>
      </c>
      <c r="H1102" s="81"/>
      <c r="I1102" s="146">
        <v>43992</v>
      </c>
      <c r="J1102" s="147">
        <v>3.5</v>
      </c>
      <c r="K1102" s="147">
        <v>2.78</v>
      </c>
      <c r="L1102" s="147">
        <v>2.986</v>
      </c>
      <c r="M1102" s="94" cm="1">
        <f t="array" ref="M1102">INDEX($BV$29:$BV$1449,MATCH($D1102,$BR$29:$BR$1449,0),)</f>
        <v>3.31</v>
      </c>
      <c r="N1102" s="150">
        <f t="shared" si="390"/>
        <v>-0.00267201068804279</v>
      </c>
      <c r="O1102" s="150">
        <f t="shared" si="391"/>
        <v>-0.0219456272518833</v>
      </c>
      <c r="P1102" s="150">
        <f t="shared" si="399"/>
        <v>-0.0324044069993518</v>
      </c>
      <c r="Q1102" s="89">
        <f t="shared" si="392"/>
        <v>-0.0978851963746223</v>
      </c>
      <c r="AH1102" s="90"/>
      <c r="AI1102" s="85"/>
      <c r="AJ1102" s="36"/>
      <c r="AK1102" s="36"/>
      <c r="AL1102" s="36"/>
      <c r="AM1102" s="36"/>
      <c r="AN1102" s="36"/>
      <c r="AO1102" s="36"/>
      <c r="AP1102" s="36"/>
      <c r="GE1102" s="94"/>
      <c r="GF1102" s="104">
        <f t="shared" si="395"/>
        <v>2017</v>
      </c>
      <c r="GG1102" s="104">
        <f t="shared" si="396"/>
        <v>17</v>
      </c>
      <c r="GH1102" s="35">
        <v>42849</v>
      </c>
      <c r="GI1102" s="26">
        <v>2.891</v>
      </c>
      <c r="GJ1102" s="94">
        <f t="shared" si="397"/>
        <v>5.782</v>
      </c>
      <c r="GK1102" s="104"/>
      <c r="GL1102" s="104"/>
      <c r="GO1102" s="94"/>
    </row>
    <row r="1103" spans="3:197">
      <c r="C1103" s="80" t="str" cm="1">
        <f t="array" ref="C1103">_xlfn.IFS(MONTH(D1103)&lt;4,1,MONTH(D1103)&lt;7,2,MONTH(D1103)&lt;10,3,MONTH(D1103)&gt;9,4)&amp;"Q"&amp;RIGHT(YEAR(D1103),2)</f>
        <v>2Q20</v>
      </c>
      <c r="D1103" s="81">
        <f t="shared" si="393"/>
        <v>44012</v>
      </c>
      <c r="E1103" s="82">
        <f t="shared" si="388"/>
        <v>43993</v>
      </c>
      <c r="F1103" s="83">
        <f t="shared" si="400"/>
        <v>0.372875</v>
      </c>
      <c r="G1103" s="83">
        <f t="shared" si="400"/>
        <v>0.41375</v>
      </c>
      <c r="H1103" s="81"/>
      <c r="I1103" s="146">
        <v>43993</v>
      </c>
      <c r="J1103" s="147">
        <v>3.5</v>
      </c>
      <c r="K1103" s="147">
        <v>2.78</v>
      </c>
      <c r="L1103" s="147">
        <v>2.983</v>
      </c>
      <c r="M1103" s="94" cm="1">
        <f t="array" ref="M1103">INDEX($BV$29:$BV$1449,MATCH($D1103,$BR$29:$BR$1449,0),)</f>
        <v>3.31</v>
      </c>
      <c r="N1103" s="150">
        <f t="shared" si="390"/>
        <v>-0.00100468854655056</v>
      </c>
      <c r="O1103" s="150">
        <f t="shared" si="391"/>
        <v>-0.0213254593175853</v>
      </c>
      <c r="P1103" s="150">
        <f t="shared" si="399"/>
        <v>-0.031178954205911</v>
      </c>
      <c r="Q1103" s="89">
        <f t="shared" si="392"/>
        <v>-0.0987915407854985</v>
      </c>
      <c r="AH1103" s="90"/>
      <c r="AI1103" s="85"/>
      <c r="AJ1103" s="36"/>
      <c r="AK1103" s="36"/>
      <c r="AL1103" s="36"/>
      <c r="AM1103" s="36"/>
      <c r="AN1103" s="36"/>
      <c r="AO1103" s="36"/>
      <c r="AP1103" s="36"/>
      <c r="GE1103" s="94"/>
      <c r="GF1103" s="104">
        <f t="shared" si="395"/>
        <v>2017</v>
      </c>
      <c r="GG1103" s="104">
        <f t="shared" si="396"/>
        <v>17</v>
      </c>
      <c r="GH1103" s="35">
        <v>42850</v>
      </c>
      <c r="GI1103" s="26">
        <v>2.891</v>
      </c>
      <c r="GJ1103" s="94">
        <f t="shared" si="397"/>
        <v>5.782</v>
      </c>
      <c r="GK1103" s="104"/>
      <c r="GL1103" s="104"/>
      <c r="GO1103" s="94"/>
    </row>
    <row r="1104" spans="3:197">
      <c r="C1104" s="80" t="str" cm="1">
        <f t="array" ref="C1104">_xlfn.IFS(MONTH(D1104)&lt;4,1,MONTH(D1104)&lt;7,2,MONTH(D1104)&lt;10,3,MONTH(D1104)&gt;9,4)&amp;"Q"&amp;RIGHT(YEAR(D1104),2)</f>
        <v>2Q20</v>
      </c>
      <c r="D1104" s="81">
        <f t="shared" si="393"/>
        <v>44012</v>
      </c>
      <c r="E1104" s="82">
        <f t="shared" si="388"/>
        <v>43994</v>
      </c>
      <c r="F1104" s="83">
        <f t="shared" si="400"/>
        <v>0.371125</v>
      </c>
      <c r="G1104" s="83">
        <f t="shared" si="400"/>
        <v>0.41375</v>
      </c>
      <c r="H1104" s="81"/>
      <c r="I1104" s="146">
        <v>43994</v>
      </c>
      <c r="J1104" s="147">
        <v>3.5</v>
      </c>
      <c r="K1104" s="147">
        <v>2.75</v>
      </c>
      <c r="L1104" s="147">
        <v>2.969</v>
      </c>
      <c r="M1104" s="94" cm="1">
        <f t="array" ref="M1104">INDEX($BV$29:$BV$1449,MATCH($D1104,$BR$29:$BR$1449,0),)</f>
        <v>3.31</v>
      </c>
      <c r="N1104" s="150">
        <f t="shared" si="390"/>
        <v>-0.00469326181696283</v>
      </c>
      <c r="O1104" s="150">
        <f t="shared" si="391"/>
        <v>-0.019160885365048</v>
      </c>
      <c r="P1104" s="150">
        <f t="shared" si="399"/>
        <v>-0.0291039895356442</v>
      </c>
      <c r="Q1104" s="89">
        <f t="shared" si="392"/>
        <v>-0.103021148036254</v>
      </c>
      <c r="AH1104" s="90"/>
      <c r="AI1104" s="85"/>
      <c r="AJ1104" s="36"/>
      <c r="AK1104" s="36"/>
      <c r="AL1104" s="36"/>
      <c r="AM1104" s="36"/>
      <c r="AN1104" s="36"/>
      <c r="AO1104" s="36"/>
      <c r="AP1104" s="36"/>
      <c r="GE1104" s="94"/>
      <c r="GF1104" s="104">
        <f t="shared" si="395"/>
        <v>2017</v>
      </c>
      <c r="GG1104" s="104">
        <f t="shared" si="396"/>
        <v>17</v>
      </c>
      <c r="GH1104" s="35">
        <v>42851</v>
      </c>
      <c r="GI1104" s="26">
        <v>2.891</v>
      </c>
      <c r="GJ1104" s="94">
        <f t="shared" si="397"/>
        <v>5.782</v>
      </c>
      <c r="GK1104" s="104"/>
      <c r="GL1104" s="104"/>
      <c r="GO1104" s="94"/>
    </row>
    <row r="1105" spans="3:197">
      <c r="C1105" s="80" t="str" cm="1">
        <f t="array" ref="C1105">_xlfn.IFS(MONTH(D1105)&lt;4,1,MONTH(D1105)&lt;7,2,MONTH(D1105)&lt;10,3,MONTH(D1105)&gt;9,4)&amp;"Q"&amp;RIGHT(YEAR(D1105),2)</f>
        <v>2Q20</v>
      </c>
      <c r="D1105" s="81">
        <f t="shared" si="393"/>
        <v>44012</v>
      </c>
      <c r="E1105" s="82">
        <f t="shared" ref="E1105:E1168" si="401">I1105</f>
        <v>43997</v>
      </c>
      <c r="F1105" s="83">
        <f t="shared" si="400"/>
        <v>0.363875</v>
      </c>
      <c r="G1105" s="83">
        <f t="shared" si="400"/>
        <v>0.41375</v>
      </c>
      <c r="H1105" s="81"/>
      <c r="I1105" s="146">
        <v>43997</v>
      </c>
      <c r="J1105" s="147">
        <v>3.48</v>
      </c>
      <c r="K1105" s="147">
        <v>2.65</v>
      </c>
      <c r="L1105" s="147">
        <v>2.911</v>
      </c>
      <c r="M1105" s="94" cm="1">
        <f t="array" ref="M1105">INDEX($BV$29:$BV$1449,MATCH($D1105,$BR$29:$BR$1449,0),)</f>
        <v>3.31</v>
      </c>
      <c r="N1105" s="150">
        <f t="shared" ref="N1105:N1168" si="402">L1105/L1104-1</f>
        <v>-0.019535197036039</v>
      </c>
      <c r="O1105" s="150">
        <f t="shared" ref="O1105:O1162" si="403">L1105/L1100-1</f>
        <v>-0.0370492887859742</v>
      </c>
      <c r="P1105" s="150">
        <f t="shared" si="399"/>
        <v>-0.0480706344015696</v>
      </c>
      <c r="Q1105" s="89">
        <f t="shared" ref="Q1105:Q1168" si="404">L1105/M1105-1</f>
        <v>-0.120543806646526</v>
      </c>
      <c r="AH1105" s="90"/>
      <c r="AI1105" s="85"/>
      <c r="AJ1105" s="36"/>
      <c r="AK1105" s="36"/>
      <c r="AL1105" s="36"/>
      <c r="AM1105" s="36"/>
      <c r="AN1105" s="36"/>
      <c r="AO1105" s="36"/>
      <c r="AP1105" s="36"/>
      <c r="GE1105" s="94"/>
      <c r="GF1105" s="104">
        <f t="shared" si="395"/>
        <v>2017</v>
      </c>
      <c r="GG1105" s="104">
        <f t="shared" si="396"/>
        <v>17</v>
      </c>
      <c r="GH1105" s="35">
        <v>42852</v>
      </c>
      <c r="GI1105" s="26">
        <v>2.89</v>
      </c>
      <c r="GJ1105" s="94">
        <f t="shared" si="397"/>
        <v>5.78</v>
      </c>
      <c r="GK1105" s="104"/>
      <c r="GL1105" s="104"/>
      <c r="GO1105" s="94"/>
    </row>
    <row r="1106" spans="3:197">
      <c r="C1106" s="80" t="str" cm="1">
        <f t="array" ref="C1106">_xlfn.IFS(MONTH(D1106)&lt;4,1,MONTH(D1106)&lt;7,2,MONTH(D1106)&lt;10,3,MONTH(D1106)&gt;9,4)&amp;"Q"&amp;RIGHT(YEAR(D1106),2)</f>
        <v>2Q20</v>
      </c>
      <c r="D1106" s="81">
        <f t="shared" si="393"/>
        <v>44012</v>
      </c>
      <c r="E1106" s="82">
        <f t="shared" si="401"/>
        <v>43998</v>
      </c>
      <c r="F1106" s="83">
        <f t="shared" si="400"/>
        <v>0.362125</v>
      </c>
      <c r="G1106" s="83">
        <f t="shared" si="400"/>
        <v>0.41375</v>
      </c>
      <c r="H1106" s="81"/>
      <c r="I1106" s="146">
        <v>43998</v>
      </c>
      <c r="J1106" s="147">
        <v>3.48</v>
      </c>
      <c r="K1106" s="147">
        <v>2.65</v>
      </c>
      <c r="L1106" s="147">
        <v>2.897</v>
      </c>
      <c r="M1106" s="94" cm="1">
        <f t="array" ref="M1106">INDEX($BV$29:$BV$1449,MATCH($D1106,$BR$29:$BR$1449,0),)</f>
        <v>3.31</v>
      </c>
      <c r="N1106" s="150">
        <f t="shared" si="402"/>
        <v>-0.00480934386808662</v>
      </c>
      <c r="O1106" s="150">
        <f t="shared" si="403"/>
        <v>-0.0323981295925185</v>
      </c>
      <c r="P1106" s="150">
        <f t="shared" si="399"/>
        <v>-0.0510972813625942</v>
      </c>
      <c r="Q1106" s="89">
        <f t="shared" si="404"/>
        <v>-0.124773413897281</v>
      </c>
      <c r="AH1106" s="90"/>
      <c r="AI1106" s="85"/>
      <c r="AJ1106" s="36"/>
      <c r="AK1106" s="36"/>
      <c r="AL1106" s="36"/>
      <c r="AM1106" s="36"/>
      <c r="AN1106" s="36"/>
      <c r="AO1106" s="36"/>
      <c r="AP1106" s="36"/>
      <c r="GE1106" s="94"/>
      <c r="GF1106" s="104">
        <f t="shared" si="395"/>
        <v>2017</v>
      </c>
      <c r="GG1106" s="104">
        <f t="shared" si="396"/>
        <v>17</v>
      </c>
      <c r="GH1106" s="35">
        <v>42853</v>
      </c>
      <c r="GI1106" s="26">
        <v>2.89</v>
      </c>
      <c r="GJ1106" s="94">
        <f t="shared" si="397"/>
        <v>5.78</v>
      </c>
      <c r="GK1106" s="104"/>
      <c r="GL1106" s="104"/>
      <c r="GO1106" s="94"/>
    </row>
    <row r="1107" spans="3:197">
      <c r="C1107" s="80" t="str" cm="1">
        <f t="array" ref="C1107">_xlfn.IFS(MONTH(D1107)&lt;4,1,MONTH(D1107)&lt;7,2,MONTH(D1107)&lt;10,3,MONTH(D1107)&gt;9,4)&amp;"Q"&amp;RIGHT(YEAR(D1107),2)</f>
        <v>2Q20</v>
      </c>
      <c r="D1107" s="81">
        <f t="shared" si="393"/>
        <v>44012</v>
      </c>
      <c r="E1107" s="82">
        <f t="shared" si="401"/>
        <v>43999</v>
      </c>
      <c r="F1107" s="83">
        <f t="shared" si="400"/>
        <v>0.3595</v>
      </c>
      <c r="G1107" s="83">
        <f t="shared" si="400"/>
        <v>0.41375</v>
      </c>
      <c r="H1107" s="81"/>
      <c r="I1107" s="146">
        <v>43999</v>
      </c>
      <c r="J1107" s="147">
        <v>3.48</v>
      </c>
      <c r="K1107" s="147">
        <v>2.6</v>
      </c>
      <c r="L1107" s="147">
        <v>2.876</v>
      </c>
      <c r="M1107" s="94" cm="1">
        <f t="array" ref="M1107">INDEX($BV$29:$BV$1449,MATCH($D1107,$BR$29:$BR$1449,0),)</f>
        <v>3.31</v>
      </c>
      <c r="N1107" s="150">
        <f t="shared" si="402"/>
        <v>-0.00724887814981012</v>
      </c>
      <c r="O1107" s="150">
        <f t="shared" si="403"/>
        <v>-0.0368385800401877</v>
      </c>
      <c r="P1107" s="150">
        <f t="shared" si="399"/>
        <v>-0.0579757615460204</v>
      </c>
      <c r="Q1107" s="89">
        <f t="shared" si="404"/>
        <v>-0.131117824773414</v>
      </c>
      <c r="AH1107" s="90"/>
      <c r="AI1107" s="85"/>
      <c r="AJ1107" s="36"/>
      <c r="AK1107" s="36"/>
      <c r="AL1107" s="36"/>
      <c r="AM1107" s="36"/>
      <c r="AN1107" s="36"/>
      <c r="AO1107" s="36"/>
      <c r="AP1107" s="36"/>
      <c r="GE1107" s="94"/>
      <c r="GF1107" s="104">
        <f t="shared" si="395"/>
        <v>2017</v>
      </c>
      <c r="GG1107" s="104">
        <f t="shared" si="396"/>
        <v>18</v>
      </c>
      <c r="GH1107" s="35">
        <v>42857</v>
      </c>
      <c r="GI1107" s="26">
        <v>2.89</v>
      </c>
      <c r="GJ1107" s="94">
        <f t="shared" si="397"/>
        <v>5.78</v>
      </c>
      <c r="GK1107" s="104"/>
      <c r="GL1107" s="104"/>
      <c r="GO1107" s="94"/>
    </row>
    <row r="1108" spans="3:197">
      <c r="C1108" s="80" t="str" cm="1">
        <f t="array" ref="C1108">_xlfn.IFS(MONTH(D1108)&lt;4,1,MONTH(D1108)&lt;7,2,MONTH(D1108)&lt;10,3,MONTH(D1108)&gt;9,4)&amp;"Q"&amp;RIGHT(YEAR(D1108),2)</f>
        <v>2Q20</v>
      </c>
      <c r="D1108" s="81">
        <f t="shared" si="393"/>
        <v>44012</v>
      </c>
      <c r="E1108" s="82">
        <f t="shared" si="401"/>
        <v>44000</v>
      </c>
      <c r="F1108" s="83">
        <f t="shared" si="400"/>
        <v>0.356875</v>
      </c>
      <c r="G1108" s="83">
        <f t="shared" si="400"/>
        <v>0.41375</v>
      </c>
      <c r="H1108" s="81"/>
      <c r="I1108" s="146">
        <v>44000</v>
      </c>
      <c r="J1108" s="147">
        <v>3.48</v>
      </c>
      <c r="K1108" s="147">
        <v>2.6</v>
      </c>
      <c r="L1108" s="147">
        <v>2.855</v>
      </c>
      <c r="M1108" s="94" cm="1">
        <f t="array" ref="M1108">INDEX($BV$29:$BV$1449,MATCH($D1108,$BR$29:$BR$1449,0),)</f>
        <v>3.31</v>
      </c>
      <c r="N1108" s="150">
        <f t="shared" si="402"/>
        <v>-0.0073018080667594</v>
      </c>
      <c r="O1108" s="150">
        <f t="shared" si="403"/>
        <v>-0.042909822326517</v>
      </c>
      <c r="P1108" s="150">
        <f t="shared" si="399"/>
        <v>-0.0633202099737533</v>
      </c>
      <c r="Q1108" s="89">
        <f t="shared" si="404"/>
        <v>-0.137462235649547</v>
      </c>
      <c r="AH1108" s="90"/>
      <c r="AI1108" s="85"/>
      <c r="AJ1108" s="36"/>
      <c r="AK1108" s="36"/>
      <c r="AL1108" s="36"/>
      <c r="AM1108" s="36"/>
      <c r="AN1108" s="36"/>
      <c r="AO1108" s="36"/>
      <c r="AP1108" s="36"/>
      <c r="AQ1108" s="36"/>
      <c r="GE1108" s="94"/>
      <c r="GF1108" s="104">
        <f t="shared" si="395"/>
        <v>2017</v>
      </c>
      <c r="GG1108" s="104">
        <f t="shared" si="396"/>
        <v>18</v>
      </c>
      <c r="GH1108" s="35">
        <v>42858</v>
      </c>
      <c r="GI1108" s="26">
        <v>2.89</v>
      </c>
      <c r="GJ1108" s="94">
        <f t="shared" si="397"/>
        <v>5.78</v>
      </c>
      <c r="GK1108" s="104"/>
      <c r="GL1108" s="104"/>
      <c r="GO1108" s="94"/>
    </row>
    <row r="1109" spans="3:197">
      <c r="C1109" s="80" t="str" cm="1">
        <f t="array" ref="C1109">_xlfn.IFS(MONTH(D1109)&lt;4,1,MONTH(D1109)&lt;7,2,MONTH(D1109)&lt;10,3,MONTH(D1109)&gt;9,4)&amp;"Q"&amp;RIGHT(YEAR(D1109),2)</f>
        <v>2Q20</v>
      </c>
      <c r="D1109" s="81">
        <f t="shared" si="393"/>
        <v>44012</v>
      </c>
      <c r="E1109" s="82">
        <f t="shared" si="401"/>
        <v>44001</v>
      </c>
      <c r="F1109" s="83">
        <f t="shared" ref="F1109:G1124" si="405">+L1109/8</f>
        <v>0.35625</v>
      </c>
      <c r="G1109" s="83">
        <f t="shared" si="405"/>
        <v>0.41375</v>
      </c>
      <c r="H1109" s="81"/>
      <c r="I1109" s="146">
        <v>44001</v>
      </c>
      <c r="J1109" s="147">
        <v>3.45</v>
      </c>
      <c r="K1109" s="147">
        <v>2.6</v>
      </c>
      <c r="L1109" s="147">
        <v>2.85</v>
      </c>
      <c r="M1109" s="94" cm="1">
        <f t="array" ref="M1109">INDEX($BV$29:$BV$1449,MATCH($D1109,$BR$29:$BR$1449,0),)</f>
        <v>3.31</v>
      </c>
      <c r="N1109" s="150">
        <f t="shared" si="402"/>
        <v>-0.00175131348511381</v>
      </c>
      <c r="O1109" s="150">
        <f t="shared" si="403"/>
        <v>-0.04008083529808</v>
      </c>
      <c r="P1109" s="150">
        <f t="shared" si="399"/>
        <v>-0.0584737363726462</v>
      </c>
      <c r="Q1109" s="89">
        <f t="shared" si="404"/>
        <v>-0.138972809667674</v>
      </c>
      <c r="AH1109" s="90"/>
      <c r="AI1109" s="85"/>
      <c r="AJ1109" s="36"/>
      <c r="AK1109" s="36"/>
      <c r="AL1109" s="36"/>
      <c r="AM1109" s="36"/>
      <c r="AN1109" s="36"/>
      <c r="AO1109" s="36"/>
      <c r="AP1109" s="36"/>
      <c r="AQ1109" s="36"/>
      <c r="GE1109" s="94"/>
      <c r="GF1109" s="104">
        <f t="shared" si="395"/>
        <v>2017</v>
      </c>
      <c r="GG1109" s="104">
        <f t="shared" si="396"/>
        <v>18</v>
      </c>
      <c r="GH1109" s="35">
        <v>42859</v>
      </c>
      <c r="GI1109" s="26">
        <v>2.88</v>
      </c>
      <c r="GJ1109" s="94">
        <f t="shared" si="397"/>
        <v>5.76</v>
      </c>
      <c r="GK1109" s="104"/>
      <c r="GL1109" s="104"/>
      <c r="GO1109" s="94"/>
    </row>
    <row r="1110" spans="3:197">
      <c r="C1110" s="80" t="str" cm="1">
        <f t="array" ref="C1110">_xlfn.IFS(MONTH(D1110)&lt;4,1,MONTH(D1110)&lt;7,2,MONTH(D1110)&lt;10,3,MONTH(D1110)&gt;9,4)&amp;"Q"&amp;RIGHT(YEAR(D1110),2)</f>
        <v>2Q20</v>
      </c>
      <c r="D1110" s="81">
        <f t="shared" si="393"/>
        <v>44012</v>
      </c>
      <c r="E1110" s="82">
        <f t="shared" si="401"/>
        <v>44004</v>
      </c>
      <c r="F1110" s="83">
        <f t="shared" si="405"/>
        <v>0.3535</v>
      </c>
      <c r="G1110" s="83">
        <f t="shared" si="405"/>
        <v>0.41375</v>
      </c>
      <c r="H1110" s="81"/>
      <c r="I1110" s="146">
        <v>44004</v>
      </c>
      <c r="J1110" s="147">
        <v>3.45</v>
      </c>
      <c r="K1110" s="147">
        <v>2.6</v>
      </c>
      <c r="L1110" s="147">
        <v>2.828</v>
      </c>
      <c r="M1110" s="94" cm="1">
        <f t="array" ref="M1110">INDEX($BV$29:$BV$1449,MATCH($D1110,$BR$29:$BR$1449,0),)</f>
        <v>3.31</v>
      </c>
      <c r="N1110" s="150">
        <f t="shared" si="402"/>
        <v>-0.00771929824561413</v>
      </c>
      <c r="O1110" s="150">
        <f t="shared" si="403"/>
        <v>-0.0285125386465133</v>
      </c>
      <c r="P1110" s="150">
        <f t="shared" si="399"/>
        <v>-0.0645054581541517</v>
      </c>
      <c r="Q1110" s="89">
        <f t="shared" si="404"/>
        <v>-0.145619335347432</v>
      </c>
      <c r="AH1110" s="90"/>
      <c r="AI1110" s="85"/>
      <c r="AJ1110" s="36"/>
      <c r="AK1110" s="36"/>
      <c r="AL1110" s="36"/>
      <c r="AM1110" s="36"/>
      <c r="AN1110" s="36"/>
      <c r="AO1110" s="36"/>
      <c r="AP1110" s="36"/>
      <c r="AQ1110" s="36"/>
      <c r="GE1110" s="94"/>
      <c r="GF1110" s="104">
        <f t="shared" si="395"/>
        <v>2017</v>
      </c>
      <c r="GG1110" s="104">
        <f t="shared" si="396"/>
        <v>18</v>
      </c>
      <c r="GH1110" s="35">
        <v>42860</v>
      </c>
      <c r="GI1110" s="26">
        <v>2.874</v>
      </c>
      <c r="GJ1110" s="94">
        <f t="shared" si="397"/>
        <v>5.748</v>
      </c>
      <c r="GK1110" s="104"/>
      <c r="GL1110" s="104"/>
      <c r="GO1110" s="94"/>
    </row>
    <row r="1111" spans="3:197">
      <c r="C1111" s="80" t="str" cm="1">
        <f t="array" ref="C1111">_xlfn.IFS(MONTH(D1111)&lt;4,1,MONTH(D1111)&lt;7,2,MONTH(D1111)&lt;10,3,MONTH(D1111)&gt;9,4)&amp;"Q"&amp;RIGHT(YEAR(D1111),2)</f>
        <v>2Q20</v>
      </c>
      <c r="D1111" s="81">
        <f t="shared" si="393"/>
        <v>44012</v>
      </c>
      <c r="E1111" s="82">
        <f t="shared" si="401"/>
        <v>44005</v>
      </c>
      <c r="F1111" s="83">
        <f t="shared" si="405"/>
        <v>0.3525</v>
      </c>
      <c r="G1111" s="83">
        <f t="shared" si="405"/>
        <v>0.41375</v>
      </c>
      <c r="H1111" s="81"/>
      <c r="I1111" s="146">
        <v>44005</v>
      </c>
      <c r="J1111" s="147">
        <v>3.45</v>
      </c>
      <c r="K1111" s="147">
        <v>2.6</v>
      </c>
      <c r="L1111" s="147">
        <v>2.82</v>
      </c>
      <c r="M1111" s="94" cm="1">
        <f t="array" ref="M1111">INDEX($BV$29:$BV$1449,MATCH($D1111,$BR$29:$BR$1449,0),)</f>
        <v>3.31</v>
      </c>
      <c r="N1111" s="150">
        <f t="shared" si="402"/>
        <v>-0.00282885431400282</v>
      </c>
      <c r="O1111" s="150">
        <f t="shared" si="403"/>
        <v>-0.0265792198826372</v>
      </c>
      <c r="P1111" s="150">
        <f t="shared" si="399"/>
        <v>-0.05811623246493</v>
      </c>
      <c r="Q1111" s="89">
        <f t="shared" si="404"/>
        <v>-0.148036253776435</v>
      </c>
      <c r="AH1111" s="90"/>
      <c r="AI1111" s="85"/>
      <c r="AJ1111" s="36"/>
      <c r="AK1111" s="36"/>
      <c r="AL1111" s="36"/>
      <c r="AM1111" s="36"/>
      <c r="AN1111" s="36"/>
      <c r="AO1111" s="36"/>
      <c r="AP1111" s="36"/>
      <c r="AQ1111" s="36"/>
      <c r="GE1111" s="94"/>
      <c r="GF1111" s="104">
        <f t="shared" si="395"/>
        <v>2017</v>
      </c>
      <c r="GG1111" s="104">
        <f t="shared" si="396"/>
        <v>19</v>
      </c>
      <c r="GH1111" s="35">
        <v>42863</v>
      </c>
      <c r="GI1111" s="26">
        <v>2.873</v>
      </c>
      <c r="GJ1111" s="94">
        <f t="shared" si="397"/>
        <v>5.746</v>
      </c>
      <c r="GK1111" s="104"/>
      <c r="GL1111" s="104"/>
      <c r="GO1111" s="94"/>
    </row>
    <row r="1112" spans="3:197">
      <c r="C1112" s="80" t="str" cm="1">
        <f t="array" ref="C1112">_xlfn.IFS(MONTH(D1112)&lt;4,1,MONTH(D1112)&lt;7,2,MONTH(D1112)&lt;10,3,MONTH(D1112)&gt;9,4)&amp;"Q"&amp;RIGHT(YEAR(D1112),2)</f>
        <v>2Q20</v>
      </c>
      <c r="D1112" s="81">
        <f t="shared" si="393"/>
        <v>44012</v>
      </c>
      <c r="E1112" s="82">
        <f t="shared" si="401"/>
        <v>44006</v>
      </c>
      <c r="F1112" s="83">
        <f t="shared" si="405"/>
        <v>0.3505</v>
      </c>
      <c r="G1112" s="83">
        <f t="shared" si="405"/>
        <v>0.41375</v>
      </c>
      <c r="H1112" s="81"/>
      <c r="I1112" s="146">
        <v>44006</v>
      </c>
      <c r="J1112" s="147">
        <v>3.4</v>
      </c>
      <c r="K1112" s="147">
        <v>2.6</v>
      </c>
      <c r="L1112" s="147">
        <v>2.804</v>
      </c>
      <c r="M1112" s="94" cm="1">
        <f t="array" ref="M1112">INDEX($BV$29:$BV$1449,MATCH($D1112,$BR$29:$BR$1449,0),)</f>
        <v>3.31</v>
      </c>
      <c r="N1112" s="150">
        <f t="shared" si="402"/>
        <v>-0.00567375886524824</v>
      </c>
      <c r="O1112" s="150">
        <f t="shared" si="403"/>
        <v>-0.0250347705146037</v>
      </c>
      <c r="P1112" s="150">
        <f t="shared" si="399"/>
        <v>-0.0609511051574013</v>
      </c>
      <c r="Q1112" s="89">
        <f t="shared" si="404"/>
        <v>-0.152870090634441</v>
      </c>
      <c r="AH1112" s="90"/>
      <c r="AI1112" s="85"/>
      <c r="AJ1112" s="36"/>
      <c r="AK1112" s="36"/>
      <c r="AL1112" s="36"/>
      <c r="AM1112" s="36"/>
      <c r="AN1112" s="36"/>
      <c r="AO1112" s="36"/>
      <c r="AP1112" s="36"/>
      <c r="AQ1112" s="36"/>
      <c r="GE1112" s="94"/>
      <c r="GF1112" s="104">
        <f t="shared" si="395"/>
        <v>2017</v>
      </c>
      <c r="GG1112" s="104">
        <f t="shared" si="396"/>
        <v>19</v>
      </c>
      <c r="GH1112" s="35">
        <v>42864</v>
      </c>
      <c r="GI1112" s="26">
        <v>2.867</v>
      </c>
      <c r="GJ1112" s="94">
        <f t="shared" si="397"/>
        <v>5.734</v>
      </c>
      <c r="GK1112" s="104"/>
      <c r="GL1112" s="104"/>
      <c r="GO1112" s="94"/>
    </row>
    <row r="1113" spans="3:197">
      <c r="C1113" s="80" t="str" cm="1">
        <f t="array" ref="C1113">_xlfn.IFS(MONTH(D1113)&lt;4,1,MONTH(D1113)&lt;7,2,MONTH(D1113)&lt;10,3,MONTH(D1113)&gt;9,4)&amp;"Q"&amp;RIGHT(YEAR(D1113),2)</f>
        <v>2Q20</v>
      </c>
      <c r="D1113" s="81">
        <f t="shared" si="393"/>
        <v>44012</v>
      </c>
      <c r="E1113" s="82">
        <f t="shared" si="401"/>
        <v>44011</v>
      </c>
      <c r="F1113" s="83">
        <f t="shared" si="405"/>
        <v>0.3495</v>
      </c>
      <c r="G1113" s="83">
        <f t="shared" si="405"/>
        <v>0.41375</v>
      </c>
      <c r="H1113" s="81"/>
      <c r="I1113" s="146">
        <v>44011</v>
      </c>
      <c r="J1113" s="147">
        <f t="shared" ref="J1113:K1113" si="406">J1112</f>
        <v>3.4</v>
      </c>
      <c r="K1113" s="147">
        <f t="shared" si="406"/>
        <v>2.6</v>
      </c>
      <c r="L1113" s="147">
        <v>2.796</v>
      </c>
      <c r="M1113" s="94" cm="1">
        <f t="array" ref="M1113">INDEX($BV$29:$BV$1449,MATCH($D1113,$BR$29:$BR$1449,0),)</f>
        <v>3.31</v>
      </c>
      <c r="N1113" s="150">
        <f t="shared" si="402"/>
        <v>-0.00285306704707566</v>
      </c>
      <c r="O1113" s="150">
        <f t="shared" si="403"/>
        <v>-0.0206654991243433</v>
      </c>
      <c r="P1113" s="150">
        <f t="shared" si="399"/>
        <v>-0.0626885685551459</v>
      </c>
      <c r="Q1113" s="89">
        <f t="shared" si="404"/>
        <v>-0.155287009063444</v>
      </c>
      <c r="AH1113" s="90"/>
      <c r="AI1113" s="85"/>
      <c r="AJ1113" s="36"/>
      <c r="AK1113" s="36"/>
      <c r="AL1113" s="36"/>
      <c r="AM1113" s="36"/>
      <c r="AN1113" s="36"/>
      <c r="AO1113" s="36"/>
      <c r="AP1113" s="36"/>
      <c r="AQ1113" s="36"/>
      <c r="GE1113" s="94"/>
      <c r="GF1113" s="104">
        <f t="shared" si="395"/>
        <v>2017</v>
      </c>
      <c r="GG1113" s="104">
        <f t="shared" si="396"/>
        <v>19</v>
      </c>
      <c r="GH1113" s="35">
        <v>42865</v>
      </c>
      <c r="GI1113" s="26">
        <v>2.86</v>
      </c>
      <c r="GJ1113" s="94">
        <f t="shared" si="397"/>
        <v>5.72</v>
      </c>
      <c r="GK1113" s="104"/>
      <c r="GL1113" s="104"/>
      <c r="GO1113" s="94"/>
    </row>
    <row r="1114" spans="3:197">
      <c r="C1114" s="80" t="str" cm="1">
        <f t="array" ref="C1114">_xlfn.IFS(MONTH(D1114)&lt;4,1,MONTH(D1114)&lt;7,2,MONTH(D1114)&lt;10,3,MONTH(D1114)&gt;9,4)&amp;"Q"&amp;RIGHT(YEAR(D1114),2)</f>
        <v>2Q20</v>
      </c>
      <c r="D1114" s="81">
        <f t="shared" si="393"/>
        <v>44012</v>
      </c>
      <c r="E1114" s="82">
        <f t="shared" si="401"/>
        <v>44012</v>
      </c>
      <c r="F1114" s="83">
        <f t="shared" si="405"/>
        <v>0.34775</v>
      </c>
      <c r="G1114" s="83">
        <f t="shared" si="405"/>
        <v>0.41375</v>
      </c>
      <c r="H1114" s="81"/>
      <c r="I1114" s="146">
        <v>44012</v>
      </c>
      <c r="J1114" s="147">
        <v>3.35</v>
      </c>
      <c r="K1114" s="147">
        <v>2.57</v>
      </c>
      <c r="L1114" s="147">
        <v>2.782</v>
      </c>
      <c r="M1114" s="94" cm="1">
        <f t="array" ref="M1114">INDEX($BV$29:$BV$1449,MATCH($D1114,$BR$29:$BR$1449,0),)</f>
        <v>3.31</v>
      </c>
      <c r="N1114" s="150">
        <f t="shared" si="402"/>
        <v>-0.00500715307582256</v>
      </c>
      <c r="O1114" s="150">
        <f t="shared" si="403"/>
        <v>-0.023859649122807</v>
      </c>
      <c r="P1114" s="150">
        <f t="shared" si="399"/>
        <v>-0.0629841697541259</v>
      </c>
      <c r="Q1114" s="89">
        <f t="shared" si="404"/>
        <v>-0.159516616314199</v>
      </c>
      <c r="AH1114" s="90"/>
      <c r="AI1114" s="85"/>
      <c r="AJ1114" s="36"/>
      <c r="AK1114" s="36"/>
      <c r="AL1114" s="36"/>
      <c r="AM1114" s="36"/>
      <c r="AN1114" s="36"/>
      <c r="AO1114" s="36"/>
      <c r="AP1114" s="36"/>
      <c r="AQ1114" s="36"/>
      <c r="GE1114" s="94"/>
      <c r="GF1114" s="104">
        <f t="shared" si="395"/>
        <v>2017</v>
      </c>
      <c r="GG1114" s="104">
        <f t="shared" si="396"/>
        <v>19</v>
      </c>
      <c r="GH1114" s="35">
        <v>42866</v>
      </c>
      <c r="GI1114" s="26">
        <v>2.854</v>
      </c>
      <c r="GJ1114" s="94">
        <f t="shared" si="397"/>
        <v>5.708</v>
      </c>
      <c r="GK1114" s="104"/>
      <c r="GL1114" s="104"/>
      <c r="GO1114" s="94"/>
    </row>
    <row r="1115" spans="3:197">
      <c r="C1115" s="80" t="str" cm="1">
        <f t="array" ref="C1115">_xlfn.IFS(MONTH(D1115)&lt;4,1,MONTH(D1115)&lt;7,2,MONTH(D1115)&lt;10,3,MONTH(D1115)&gt;9,4)&amp;"Q"&amp;RIGHT(YEAR(D1115),2)</f>
        <v>3Q20</v>
      </c>
      <c r="D1115" s="81">
        <f t="shared" si="393"/>
        <v>44043</v>
      </c>
      <c r="E1115" s="82">
        <f t="shared" si="401"/>
        <v>44013</v>
      </c>
      <c r="F1115" s="83">
        <f t="shared" si="405"/>
        <v>0.3465</v>
      </c>
      <c r="G1115" s="83">
        <f t="shared" si="405"/>
        <v>0.39125</v>
      </c>
      <c r="H1115" s="81"/>
      <c r="I1115" s="146">
        <v>44013</v>
      </c>
      <c r="J1115" s="147">
        <v>3.35</v>
      </c>
      <c r="K1115" s="147">
        <v>2.56</v>
      </c>
      <c r="L1115" s="147">
        <v>2.772</v>
      </c>
      <c r="M1115" s="94" cm="1">
        <f t="array" ref="M1115">INDEX($BV$29:$BV$1449,MATCH($D1115,$BR$29:$BR$1449,0),)</f>
        <v>3.13</v>
      </c>
      <c r="N1115" s="150">
        <f t="shared" si="402"/>
        <v>-0.00359453630481676</v>
      </c>
      <c r="O1115" s="150">
        <f t="shared" si="403"/>
        <v>-0.0198019801980198</v>
      </c>
      <c r="P1115" s="150">
        <f t="shared" si="399"/>
        <v>-0.0477499141188595</v>
      </c>
      <c r="Q1115" s="89">
        <f t="shared" si="404"/>
        <v>-0.114376996805112</v>
      </c>
      <c r="AH1115" s="90"/>
      <c r="AI1115" s="85"/>
      <c r="AJ1115" s="36"/>
      <c r="AK1115" s="36"/>
      <c r="AL1115" s="36"/>
      <c r="AM1115" s="36"/>
      <c r="AN1115" s="36"/>
      <c r="AO1115" s="36"/>
      <c r="AP1115" s="36"/>
      <c r="AQ1115" s="36"/>
      <c r="GE1115" s="94"/>
      <c r="GF1115" s="104">
        <f t="shared" si="395"/>
        <v>2017</v>
      </c>
      <c r="GG1115" s="104">
        <f t="shared" si="396"/>
        <v>19</v>
      </c>
      <c r="GH1115" s="35">
        <v>42867</v>
      </c>
      <c r="GI1115" s="26">
        <v>2.853</v>
      </c>
      <c r="GJ1115" s="94">
        <f t="shared" si="397"/>
        <v>5.706</v>
      </c>
      <c r="GK1115" s="104"/>
      <c r="GL1115" s="104"/>
      <c r="GO1115" s="94"/>
    </row>
    <row r="1116" spans="3:197">
      <c r="C1116" s="80" t="str" cm="1">
        <f t="array" ref="C1116">_xlfn.IFS(MONTH(D1116)&lt;4,1,MONTH(D1116)&lt;7,2,MONTH(D1116)&lt;10,3,MONTH(D1116)&gt;9,4)&amp;"Q"&amp;RIGHT(YEAR(D1116),2)</f>
        <v>3Q20</v>
      </c>
      <c r="D1116" s="81">
        <f t="shared" si="393"/>
        <v>44043</v>
      </c>
      <c r="E1116" s="82">
        <f t="shared" si="401"/>
        <v>44014</v>
      </c>
      <c r="F1116" s="83">
        <f t="shared" si="405"/>
        <v>0.34525</v>
      </c>
      <c r="G1116" s="83">
        <f t="shared" si="405"/>
        <v>0.39125</v>
      </c>
      <c r="H1116" s="81"/>
      <c r="I1116" s="146">
        <v>44014</v>
      </c>
      <c r="J1116" s="147">
        <v>3.35</v>
      </c>
      <c r="K1116" s="147">
        <v>2.56</v>
      </c>
      <c r="L1116" s="147">
        <v>2.762</v>
      </c>
      <c r="M1116" s="94" cm="1">
        <f t="array" ref="M1116">INDEX($BV$29:$BV$1449,MATCH($D1116,$BR$29:$BR$1449,0),)</f>
        <v>3.13</v>
      </c>
      <c r="N1116" s="150">
        <f t="shared" si="402"/>
        <v>-0.0036075036075035</v>
      </c>
      <c r="O1116" s="150">
        <f t="shared" si="403"/>
        <v>-0.0205673758865248</v>
      </c>
      <c r="P1116" s="150">
        <f t="shared" si="399"/>
        <v>-0.0465999309630651</v>
      </c>
      <c r="Q1116" s="89">
        <f t="shared" si="404"/>
        <v>-0.117571884984025</v>
      </c>
      <c r="AH1116" s="90"/>
      <c r="AI1116" s="85"/>
      <c r="AJ1116" s="36"/>
      <c r="AK1116" s="36"/>
      <c r="AL1116" s="36"/>
      <c r="AM1116" s="36"/>
      <c r="AN1116" s="36"/>
      <c r="AO1116" s="36"/>
      <c r="AP1116" s="36"/>
      <c r="AQ1116" s="36"/>
      <c r="GE1116" s="94"/>
      <c r="GF1116" s="104">
        <f t="shared" si="395"/>
        <v>2017</v>
      </c>
      <c r="GG1116" s="104">
        <f t="shared" si="396"/>
        <v>20</v>
      </c>
      <c r="GH1116" s="35">
        <v>42870</v>
      </c>
      <c r="GI1116" s="26">
        <v>2.852</v>
      </c>
      <c r="GJ1116" s="94">
        <f t="shared" si="397"/>
        <v>5.704</v>
      </c>
      <c r="GK1116" s="104"/>
      <c r="GL1116" s="104"/>
      <c r="GO1116" s="94"/>
    </row>
    <row r="1117" spans="3:197">
      <c r="C1117" s="80" t="str" cm="1">
        <f t="array" ref="C1117">_xlfn.IFS(MONTH(D1117)&lt;4,1,MONTH(D1117)&lt;7,2,MONTH(D1117)&lt;10,3,MONTH(D1117)&gt;9,4)&amp;"Q"&amp;RIGHT(YEAR(D1117),2)</f>
        <v>3Q20</v>
      </c>
      <c r="D1117" s="81">
        <f t="shared" si="393"/>
        <v>44043</v>
      </c>
      <c r="E1117" s="82">
        <f t="shared" si="401"/>
        <v>44015</v>
      </c>
      <c r="F1117" s="83">
        <f t="shared" si="405"/>
        <v>0.34425</v>
      </c>
      <c r="G1117" s="83">
        <f t="shared" si="405"/>
        <v>0.39125</v>
      </c>
      <c r="H1117" s="81"/>
      <c r="I1117" s="146">
        <v>44015</v>
      </c>
      <c r="J1117" s="147">
        <v>3.35</v>
      </c>
      <c r="K1117" s="147">
        <v>2.56</v>
      </c>
      <c r="L1117" s="147">
        <v>2.754</v>
      </c>
      <c r="M1117" s="94" cm="1">
        <f t="array" ref="M1117">INDEX($BV$29:$BV$1449,MATCH($D1117,$BR$29:$BR$1449,0),)</f>
        <v>3.13</v>
      </c>
      <c r="N1117" s="150">
        <f t="shared" si="402"/>
        <v>-0.00289645184648801</v>
      </c>
      <c r="O1117" s="150">
        <f t="shared" si="403"/>
        <v>-0.0178316690442225</v>
      </c>
      <c r="P1117" s="150">
        <f t="shared" si="399"/>
        <v>-0.0424200278164116</v>
      </c>
      <c r="Q1117" s="89">
        <f t="shared" si="404"/>
        <v>-0.120127795527156</v>
      </c>
      <c r="AH1117" s="90"/>
      <c r="AI1117" s="85"/>
      <c r="AJ1117" s="36"/>
      <c r="AK1117" s="36"/>
      <c r="AL1117" s="36"/>
      <c r="AM1117" s="36"/>
      <c r="AN1117" s="36"/>
      <c r="AO1117" s="36"/>
      <c r="AP1117" s="36"/>
      <c r="AQ1117" s="36"/>
      <c r="GE1117" s="94"/>
      <c r="GF1117" s="104">
        <f t="shared" si="395"/>
        <v>2017</v>
      </c>
      <c r="GG1117" s="104">
        <f t="shared" si="396"/>
        <v>20</v>
      </c>
      <c r="GH1117" s="35">
        <v>42871</v>
      </c>
      <c r="GI1117" s="26">
        <v>2.846</v>
      </c>
      <c r="GJ1117" s="94">
        <f t="shared" si="397"/>
        <v>5.692</v>
      </c>
      <c r="GK1117" s="104"/>
      <c r="GL1117" s="104"/>
      <c r="GO1117" s="94"/>
    </row>
    <row r="1118" spans="3:197">
      <c r="C1118" s="80" t="str" cm="1">
        <f t="array" ref="C1118">_xlfn.IFS(MONTH(D1118)&lt;4,1,MONTH(D1118)&lt;7,2,MONTH(D1118)&lt;10,3,MONTH(D1118)&gt;9,4)&amp;"Q"&amp;RIGHT(YEAR(D1118),2)</f>
        <v>3Q20</v>
      </c>
      <c r="D1118" s="81">
        <f t="shared" ref="D1118:D1181" si="407">EOMONTH(E1118,0)</f>
        <v>44043</v>
      </c>
      <c r="E1118" s="82">
        <f t="shared" si="401"/>
        <v>44018</v>
      </c>
      <c r="F1118" s="83">
        <f t="shared" si="405"/>
        <v>0.339</v>
      </c>
      <c r="G1118" s="83">
        <f t="shared" si="405"/>
        <v>0.39125</v>
      </c>
      <c r="H1118" s="81"/>
      <c r="I1118" s="146">
        <v>44018</v>
      </c>
      <c r="J1118" s="147">
        <v>3.3</v>
      </c>
      <c r="K1118" s="147">
        <v>2.56</v>
      </c>
      <c r="L1118" s="147">
        <v>2.712</v>
      </c>
      <c r="M1118" s="94" cm="1">
        <f t="array" ref="M1118">INDEX($BV$29:$BV$1449,MATCH($D1118,$BR$29:$BR$1449,0),)</f>
        <v>3.13</v>
      </c>
      <c r="N1118" s="150">
        <f t="shared" si="402"/>
        <v>-0.0152505446623094</v>
      </c>
      <c r="O1118" s="150">
        <f t="shared" si="403"/>
        <v>-0.0300429184549355</v>
      </c>
      <c r="P1118" s="150">
        <f t="shared" si="399"/>
        <v>-0.0500875656742557</v>
      </c>
      <c r="Q1118" s="89">
        <f t="shared" si="404"/>
        <v>-0.133546325878594</v>
      </c>
      <c r="AH1118" s="90"/>
      <c r="AI1118" s="85"/>
      <c r="AJ1118" s="36"/>
      <c r="AK1118" s="36"/>
      <c r="AL1118" s="36"/>
      <c r="AM1118" s="36"/>
      <c r="AN1118" s="36"/>
      <c r="AO1118" s="36"/>
      <c r="AP1118" s="36"/>
      <c r="AQ1118" s="36"/>
      <c r="GE1118" s="94"/>
      <c r="GF1118" s="104">
        <f t="shared" si="395"/>
        <v>2017</v>
      </c>
      <c r="GG1118" s="104">
        <f t="shared" si="396"/>
        <v>20</v>
      </c>
      <c r="GH1118" s="35">
        <v>42872</v>
      </c>
      <c r="GI1118" s="26">
        <v>2.846</v>
      </c>
      <c r="GJ1118" s="94">
        <f t="shared" si="397"/>
        <v>5.692</v>
      </c>
      <c r="GK1118" s="104"/>
      <c r="GL1118" s="104"/>
      <c r="GO1118" s="94"/>
    </row>
    <row r="1119" spans="3:197">
      <c r="C1119" s="80" t="str" cm="1">
        <f t="array" ref="C1119">_xlfn.IFS(MONTH(D1119)&lt;4,1,MONTH(D1119)&lt;7,2,MONTH(D1119)&lt;10,3,MONTH(D1119)&gt;9,4)&amp;"Q"&amp;RIGHT(YEAR(D1119),2)</f>
        <v>3Q20</v>
      </c>
      <c r="D1119" s="81">
        <f t="shared" si="407"/>
        <v>44043</v>
      </c>
      <c r="E1119" s="82">
        <f t="shared" si="401"/>
        <v>44019</v>
      </c>
      <c r="F1119" s="83">
        <f t="shared" si="405"/>
        <v>0.3385</v>
      </c>
      <c r="G1119" s="83">
        <f t="shared" si="405"/>
        <v>0.39125</v>
      </c>
      <c r="H1119" s="81"/>
      <c r="I1119" s="146">
        <v>44019</v>
      </c>
      <c r="J1119" s="147">
        <v>3.25</v>
      </c>
      <c r="K1119" s="147">
        <v>2.56</v>
      </c>
      <c r="L1119" s="147">
        <v>2.708</v>
      </c>
      <c r="M1119" s="94" cm="1">
        <f t="array" ref="M1119">INDEX($BV$29:$BV$1449,MATCH($D1119,$BR$29:$BR$1449,0),)</f>
        <v>3.13</v>
      </c>
      <c r="N1119" s="150">
        <f t="shared" si="402"/>
        <v>-0.00147492625368728</v>
      </c>
      <c r="O1119" s="150">
        <f t="shared" si="403"/>
        <v>-0.0265995686556434</v>
      </c>
      <c r="P1119" s="150">
        <f t="shared" si="399"/>
        <v>-0.0498245614035088</v>
      </c>
      <c r="Q1119" s="89">
        <f t="shared" si="404"/>
        <v>-0.13482428115016</v>
      </c>
      <c r="AH1119" s="90"/>
      <c r="AI1119" s="85"/>
      <c r="AJ1119" s="36"/>
      <c r="AK1119" s="36"/>
      <c r="AL1119" s="36"/>
      <c r="AM1119" s="36"/>
      <c r="AN1119" s="36"/>
      <c r="AO1119" s="36"/>
      <c r="AP1119" s="36"/>
      <c r="AQ1119" s="36"/>
      <c r="GE1119" s="94"/>
      <c r="GF1119" s="104">
        <f t="shared" si="395"/>
        <v>2017</v>
      </c>
      <c r="GG1119" s="104">
        <f t="shared" si="396"/>
        <v>20</v>
      </c>
      <c r="GH1119" s="35">
        <v>42873</v>
      </c>
      <c r="GI1119" s="26">
        <v>2.846</v>
      </c>
      <c r="GJ1119" s="94">
        <f t="shared" si="397"/>
        <v>5.692</v>
      </c>
      <c r="GK1119" s="104"/>
      <c r="GL1119" s="104"/>
      <c r="GO1119" s="94"/>
    </row>
    <row r="1120" spans="3:197">
      <c r="C1120" s="80" t="str" cm="1">
        <f t="array" ref="C1120">_xlfn.IFS(MONTH(D1120)&lt;4,1,MONTH(D1120)&lt;7,2,MONTH(D1120)&lt;10,3,MONTH(D1120)&gt;9,4)&amp;"Q"&amp;RIGHT(YEAR(D1120),2)</f>
        <v>3Q20</v>
      </c>
      <c r="D1120" s="81">
        <f t="shared" si="407"/>
        <v>44043</v>
      </c>
      <c r="E1120" s="82">
        <f t="shared" si="401"/>
        <v>44020</v>
      </c>
      <c r="F1120" s="83">
        <f t="shared" si="405"/>
        <v>0.3375</v>
      </c>
      <c r="G1120" s="83">
        <f t="shared" si="405"/>
        <v>0.39125</v>
      </c>
      <c r="H1120" s="81"/>
      <c r="I1120" s="146">
        <v>44020</v>
      </c>
      <c r="J1120" s="147">
        <v>3.25</v>
      </c>
      <c r="K1120" s="147">
        <v>2.54</v>
      </c>
      <c r="L1120" s="147">
        <v>2.7</v>
      </c>
      <c r="M1120" s="94" cm="1">
        <f t="array" ref="M1120">INDEX($BV$29:$BV$1449,MATCH($D1120,$BR$29:$BR$1449,0),)</f>
        <v>3.13</v>
      </c>
      <c r="N1120" s="150">
        <f t="shared" si="402"/>
        <v>-0.00295420974889216</v>
      </c>
      <c r="O1120" s="150">
        <f t="shared" si="403"/>
        <v>-0.0259740259740259</v>
      </c>
      <c r="P1120" s="150">
        <f t="shared" si="399"/>
        <v>-0.0452616690240452</v>
      </c>
      <c r="Q1120" s="89">
        <f t="shared" si="404"/>
        <v>-0.137380191693291</v>
      </c>
      <c r="AH1120" s="90"/>
      <c r="AI1120" s="85"/>
      <c r="AJ1120" s="36"/>
      <c r="AK1120" s="36"/>
      <c r="AL1120" s="36"/>
      <c r="AM1120" s="36"/>
      <c r="AN1120" s="36"/>
      <c r="AO1120" s="36"/>
      <c r="AP1120" s="36"/>
      <c r="AQ1120" s="36"/>
      <c r="GE1120" s="94"/>
      <c r="GF1120" s="104">
        <f t="shared" si="395"/>
        <v>2017</v>
      </c>
      <c r="GG1120" s="104">
        <f t="shared" si="396"/>
        <v>20</v>
      </c>
      <c r="GH1120" s="35">
        <v>42874</v>
      </c>
      <c r="GI1120" s="26">
        <v>2.84</v>
      </c>
      <c r="GJ1120" s="94">
        <f t="shared" si="397"/>
        <v>5.68</v>
      </c>
      <c r="GK1120" s="104"/>
      <c r="GL1120" s="104"/>
      <c r="GO1120" s="94"/>
    </row>
    <row r="1121" spans="3:197">
      <c r="C1121" s="80" t="str" cm="1">
        <f t="array" ref="C1121">_xlfn.IFS(MONTH(D1121)&lt;4,1,MONTH(D1121)&lt;7,2,MONTH(D1121)&lt;10,3,MONTH(D1121)&gt;9,4)&amp;"Q"&amp;RIGHT(YEAR(D1121),2)</f>
        <v>3Q20</v>
      </c>
      <c r="D1121" s="81">
        <f t="shared" si="407"/>
        <v>44043</v>
      </c>
      <c r="E1121" s="82">
        <f t="shared" si="401"/>
        <v>44021</v>
      </c>
      <c r="F1121" s="83">
        <f t="shared" si="405"/>
        <v>0.3365</v>
      </c>
      <c r="G1121" s="83">
        <f t="shared" si="405"/>
        <v>0.39125</v>
      </c>
      <c r="H1121" s="81"/>
      <c r="I1121" s="146">
        <v>44021</v>
      </c>
      <c r="J1121" s="147">
        <v>3.23</v>
      </c>
      <c r="K1121" s="147">
        <v>2.54</v>
      </c>
      <c r="L1121" s="147">
        <v>2.692</v>
      </c>
      <c r="M1121" s="94" cm="1">
        <f t="array" ref="M1121">INDEX($BV$29:$BV$1449,MATCH($D1121,$BR$29:$BR$1449,0),)</f>
        <v>3.13</v>
      </c>
      <c r="N1121" s="150">
        <f t="shared" si="402"/>
        <v>-0.00296296296296295</v>
      </c>
      <c r="O1121" s="150">
        <f t="shared" si="403"/>
        <v>-0.0253439536567704</v>
      </c>
      <c r="P1121" s="150">
        <f t="shared" si="399"/>
        <v>-0.0453900709219857</v>
      </c>
      <c r="Q1121" s="89">
        <f t="shared" si="404"/>
        <v>-0.139936102236422</v>
      </c>
      <c r="AH1121" s="90"/>
      <c r="AI1121" s="85"/>
      <c r="AJ1121" s="36"/>
      <c r="AK1121" s="36"/>
      <c r="AL1121" s="36"/>
      <c r="AM1121" s="36"/>
      <c r="AN1121" s="36"/>
      <c r="AO1121" s="36"/>
      <c r="AP1121" s="36"/>
      <c r="AQ1121" s="36"/>
      <c r="GE1121" s="94"/>
      <c r="GF1121" s="104">
        <f t="shared" si="395"/>
        <v>2017</v>
      </c>
      <c r="GG1121" s="104">
        <f t="shared" si="396"/>
        <v>21</v>
      </c>
      <c r="GH1121" s="35">
        <v>42877</v>
      </c>
      <c r="GI1121" s="26">
        <v>2.84</v>
      </c>
      <c r="GJ1121" s="94">
        <f t="shared" si="397"/>
        <v>5.68</v>
      </c>
      <c r="GK1121" s="104"/>
      <c r="GL1121" s="104"/>
      <c r="GO1121" s="94"/>
    </row>
    <row r="1122" spans="3:197">
      <c r="C1122" s="80" t="str" cm="1">
        <f t="array" ref="C1122">_xlfn.IFS(MONTH(D1122)&lt;4,1,MONTH(D1122)&lt;7,2,MONTH(D1122)&lt;10,3,MONTH(D1122)&gt;9,4)&amp;"Q"&amp;RIGHT(YEAR(D1122),2)</f>
        <v>3Q20</v>
      </c>
      <c r="D1122" s="81">
        <f t="shared" si="407"/>
        <v>44043</v>
      </c>
      <c r="E1122" s="82">
        <f t="shared" si="401"/>
        <v>44022</v>
      </c>
      <c r="F1122" s="83">
        <f t="shared" si="405"/>
        <v>0.3355</v>
      </c>
      <c r="G1122" s="83">
        <f t="shared" si="405"/>
        <v>0.39125</v>
      </c>
      <c r="H1122" s="81"/>
      <c r="I1122" s="146">
        <v>44022</v>
      </c>
      <c r="J1122" s="147">
        <v>3.23</v>
      </c>
      <c r="K1122" s="147">
        <v>2.52</v>
      </c>
      <c r="L1122" s="147">
        <v>2.684</v>
      </c>
      <c r="M1122" s="94" cm="1">
        <f t="array" ref="M1122">INDEX($BV$29:$BV$1449,MATCH($D1122,$BR$29:$BR$1449,0),)</f>
        <v>3.13</v>
      </c>
      <c r="N1122" s="150">
        <f t="shared" si="402"/>
        <v>-0.00297176820208023</v>
      </c>
      <c r="O1122" s="150">
        <f t="shared" si="403"/>
        <v>-0.0254175744371822</v>
      </c>
      <c r="P1122" s="150">
        <f t="shared" si="399"/>
        <v>-0.042796005706134</v>
      </c>
      <c r="Q1122" s="89">
        <f t="shared" si="404"/>
        <v>-0.142492012779553</v>
      </c>
      <c r="AH1122" s="90"/>
      <c r="AI1122" s="85"/>
      <c r="AJ1122" s="36"/>
      <c r="AK1122" s="36"/>
      <c r="AL1122" s="36"/>
      <c r="AM1122" s="36"/>
      <c r="AN1122" s="36"/>
      <c r="AO1122" s="36"/>
      <c r="AP1122" s="36"/>
      <c r="AQ1122" s="36"/>
      <c r="GE1122" s="94"/>
      <c r="GF1122" s="104">
        <f t="shared" si="395"/>
        <v>2017</v>
      </c>
      <c r="GG1122" s="104">
        <f t="shared" si="396"/>
        <v>21</v>
      </c>
      <c r="GH1122" s="35">
        <v>42878</v>
      </c>
      <c r="GI1122" s="26">
        <v>2.839</v>
      </c>
      <c r="GJ1122" s="94">
        <f t="shared" si="397"/>
        <v>5.678</v>
      </c>
      <c r="GK1122" s="104"/>
      <c r="GL1122" s="104"/>
      <c r="GO1122" s="94"/>
    </row>
    <row r="1123" spans="3:197">
      <c r="C1123" s="80" t="str" cm="1">
        <f t="array" ref="C1123">_xlfn.IFS(MONTH(D1123)&lt;4,1,MONTH(D1123)&lt;7,2,MONTH(D1123)&lt;10,3,MONTH(D1123)&gt;9,4)&amp;"Q"&amp;RIGHT(YEAR(D1123),2)</f>
        <v>3Q20</v>
      </c>
      <c r="D1123" s="81">
        <f t="shared" si="407"/>
        <v>44043</v>
      </c>
      <c r="E1123" s="82">
        <f t="shared" si="401"/>
        <v>44025</v>
      </c>
      <c r="F1123" s="83">
        <f t="shared" si="405"/>
        <v>0.3345</v>
      </c>
      <c r="G1123" s="83">
        <f t="shared" si="405"/>
        <v>0.39125</v>
      </c>
      <c r="H1123" s="81"/>
      <c r="I1123" s="146">
        <v>44025</v>
      </c>
      <c r="J1123" s="147">
        <v>3.23</v>
      </c>
      <c r="K1123" s="147">
        <v>2.52</v>
      </c>
      <c r="L1123" s="147">
        <v>2.676</v>
      </c>
      <c r="M1123" s="94" cm="1">
        <f t="array" ref="M1123">INDEX($BV$29:$BV$1449,MATCH($D1123,$BR$29:$BR$1449,0),)</f>
        <v>3.13</v>
      </c>
      <c r="N1123" s="150">
        <f t="shared" si="402"/>
        <v>-0.00298062593144566</v>
      </c>
      <c r="O1123" s="150">
        <f t="shared" si="403"/>
        <v>-0.0132743362831859</v>
      </c>
      <c r="P1123" s="150">
        <f t="shared" si="399"/>
        <v>-0.0429184549356222</v>
      </c>
      <c r="Q1123" s="89">
        <f t="shared" si="404"/>
        <v>-0.145047923322684</v>
      </c>
      <c r="AH1123" s="90"/>
      <c r="AI1123" s="85"/>
      <c r="AJ1123" s="36"/>
      <c r="AK1123" s="36"/>
      <c r="AL1123" s="36"/>
      <c r="AM1123" s="36"/>
      <c r="AN1123" s="36"/>
      <c r="AO1123" s="36"/>
      <c r="AP1123" s="36"/>
      <c r="AQ1123" s="36"/>
      <c r="GE1123" s="94"/>
      <c r="GF1123" s="104">
        <f t="shared" si="395"/>
        <v>2017</v>
      </c>
      <c r="GG1123" s="104">
        <f t="shared" si="396"/>
        <v>21</v>
      </c>
      <c r="GH1123" s="35">
        <v>42879</v>
      </c>
      <c r="GI1123" s="26">
        <v>2.839</v>
      </c>
      <c r="GJ1123" s="94">
        <f t="shared" si="397"/>
        <v>5.678</v>
      </c>
      <c r="GK1123" s="104"/>
      <c r="GL1123" s="104"/>
      <c r="GO1123" s="94"/>
    </row>
    <row r="1124" spans="3:197">
      <c r="C1124" s="80" t="str" cm="1">
        <f t="array" ref="C1124">_xlfn.IFS(MONTH(D1124)&lt;4,1,MONTH(D1124)&lt;7,2,MONTH(D1124)&lt;10,3,MONTH(D1124)&gt;9,4)&amp;"Q"&amp;RIGHT(YEAR(D1124),2)</f>
        <v>3Q20</v>
      </c>
      <c r="D1124" s="81">
        <f t="shared" si="407"/>
        <v>44043</v>
      </c>
      <c r="E1124" s="82">
        <f t="shared" si="401"/>
        <v>44026</v>
      </c>
      <c r="F1124" s="83">
        <f t="shared" si="405"/>
        <v>0.3345</v>
      </c>
      <c r="G1124" s="83">
        <f t="shared" si="405"/>
        <v>0.39125</v>
      </c>
      <c r="H1124" s="81"/>
      <c r="I1124" s="146">
        <v>44026</v>
      </c>
      <c r="J1124" s="147">
        <v>3.25</v>
      </c>
      <c r="K1124" s="147">
        <v>2.52</v>
      </c>
      <c r="L1124" s="147">
        <v>2.676</v>
      </c>
      <c r="M1124" s="94" cm="1">
        <f t="array" ref="M1124">INDEX($BV$29:$BV$1449,MATCH($D1124,$BR$29:$BR$1449,0),)</f>
        <v>3.13</v>
      </c>
      <c r="N1124" s="150">
        <f t="shared" si="402"/>
        <v>0</v>
      </c>
      <c r="O1124" s="150">
        <f t="shared" si="403"/>
        <v>-0.0118168389955687</v>
      </c>
      <c r="P1124" s="150">
        <f t="shared" si="399"/>
        <v>-0.0381020848310567</v>
      </c>
      <c r="Q1124" s="89">
        <f t="shared" si="404"/>
        <v>-0.145047923322684</v>
      </c>
      <c r="AH1124" s="90"/>
      <c r="AI1124" s="85"/>
      <c r="AJ1124" s="36"/>
      <c r="AK1124" s="36"/>
      <c r="AL1124" s="36"/>
      <c r="AM1124" s="36"/>
      <c r="AN1124" s="36"/>
      <c r="AO1124" s="36"/>
      <c r="AP1124" s="36"/>
      <c r="AQ1124" s="36"/>
      <c r="GE1124" s="94"/>
      <c r="GF1124" s="104">
        <f t="shared" si="395"/>
        <v>2017</v>
      </c>
      <c r="GG1124" s="104">
        <f t="shared" si="396"/>
        <v>21</v>
      </c>
      <c r="GH1124" s="35">
        <v>42880</v>
      </c>
      <c r="GI1124" s="26">
        <v>2.839</v>
      </c>
      <c r="GJ1124" s="94">
        <f t="shared" si="397"/>
        <v>5.678</v>
      </c>
      <c r="GK1124" s="104"/>
      <c r="GL1124" s="104"/>
      <c r="GO1124" s="94"/>
    </row>
    <row r="1125" spans="3:197">
      <c r="C1125" s="80" t="str" cm="1">
        <f t="array" ref="C1125">_xlfn.IFS(MONTH(D1125)&lt;4,1,MONTH(D1125)&lt;7,2,MONTH(D1125)&lt;10,3,MONTH(D1125)&gt;9,4)&amp;"Q"&amp;RIGHT(YEAR(D1125),2)</f>
        <v>3Q20</v>
      </c>
      <c r="D1125" s="81">
        <f t="shared" si="407"/>
        <v>44043</v>
      </c>
      <c r="E1125" s="82">
        <f t="shared" si="401"/>
        <v>44027</v>
      </c>
      <c r="F1125" s="83">
        <f t="shared" ref="F1125:G1140" si="408">+L1125/8</f>
        <v>0.3335</v>
      </c>
      <c r="G1125" s="83">
        <f t="shared" si="408"/>
        <v>0.39125</v>
      </c>
      <c r="H1125" s="81"/>
      <c r="I1125" s="146">
        <v>44027</v>
      </c>
      <c r="J1125" s="147">
        <v>3.25</v>
      </c>
      <c r="K1125" s="147">
        <v>2.5</v>
      </c>
      <c r="L1125" s="147">
        <v>2.668</v>
      </c>
      <c r="M1125" s="94" cm="1">
        <f t="array" ref="M1125">INDEX($BV$29:$BV$1449,MATCH($D1125,$BR$29:$BR$1449,0),)</f>
        <v>3.13</v>
      </c>
      <c r="N1125" s="150">
        <f t="shared" si="402"/>
        <v>-0.00298953662182366</v>
      </c>
      <c r="O1125" s="150">
        <f t="shared" si="403"/>
        <v>-0.0118518518518519</v>
      </c>
      <c r="P1125" s="150">
        <f t="shared" si="399"/>
        <v>-0.0375180375180374</v>
      </c>
      <c r="Q1125" s="89">
        <f t="shared" si="404"/>
        <v>-0.147603833865815</v>
      </c>
      <c r="AH1125" s="90"/>
      <c r="AI1125" s="85"/>
      <c r="AJ1125" s="36"/>
      <c r="AK1125" s="36"/>
      <c r="AL1125" s="36"/>
      <c r="AM1125" s="36"/>
      <c r="AN1125" s="36"/>
      <c r="AO1125" s="36"/>
      <c r="AP1125" s="36"/>
      <c r="AQ1125" s="36"/>
      <c r="GE1125" s="94"/>
      <c r="GF1125" s="104">
        <f t="shared" si="395"/>
        <v>2017</v>
      </c>
      <c r="GG1125" s="104">
        <f t="shared" si="396"/>
        <v>21</v>
      </c>
      <c r="GH1125" s="35">
        <v>42881</v>
      </c>
      <c r="GI1125" s="26">
        <v>2.839</v>
      </c>
      <c r="GJ1125" s="94">
        <f t="shared" si="397"/>
        <v>5.678</v>
      </c>
      <c r="GK1125" s="104"/>
      <c r="GL1125" s="104"/>
      <c r="GO1125" s="94"/>
    </row>
    <row r="1126" spans="3:197">
      <c r="C1126" s="80" t="str" cm="1">
        <f t="array" ref="C1126">_xlfn.IFS(MONTH(D1126)&lt;4,1,MONTH(D1126)&lt;7,2,MONTH(D1126)&lt;10,3,MONTH(D1126)&gt;9,4)&amp;"Q"&amp;RIGHT(YEAR(D1126),2)</f>
        <v>3Q20</v>
      </c>
      <c r="D1126" s="81">
        <f t="shared" si="407"/>
        <v>44043</v>
      </c>
      <c r="E1126" s="82">
        <f t="shared" si="401"/>
        <v>44028</v>
      </c>
      <c r="F1126" s="83">
        <f t="shared" si="408"/>
        <v>0.333375</v>
      </c>
      <c r="G1126" s="83">
        <f t="shared" si="408"/>
        <v>0.39125</v>
      </c>
      <c r="H1126" s="81"/>
      <c r="I1126" s="146">
        <v>44028</v>
      </c>
      <c r="J1126" s="147">
        <v>3.25</v>
      </c>
      <c r="K1126" s="147">
        <v>2.55</v>
      </c>
      <c r="L1126" s="147">
        <v>2.667</v>
      </c>
      <c r="M1126" s="94" cm="1">
        <f t="array" ref="M1126">INDEX($BV$29:$BV$1449,MATCH($D1126,$BR$29:$BR$1449,0),)</f>
        <v>3.13</v>
      </c>
      <c r="N1126" s="150">
        <f t="shared" si="402"/>
        <v>-0.000374812593703311</v>
      </c>
      <c r="O1126" s="150">
        <f t="shared" si="403"/>
        <v>-0.00928677563150082</v>
      </c>
      <c r="P1126" s="150">
        <f t="shared" si="399"/>
        <v>-0.0343953656770457</v>
      </c>
      <c r="Q1126" s="89">
        <f t="shared" si="404"/>
        <v>-0.147923322683706</v>
      </c>
      <c r="AH1126" s="90"/>
      <c r="AI1126" s="85"/>
      <c r="AJ1126" s="36"/>
      <c r="AK1126" s="36"/>
      <c r="AL1126" s="36"/>
      <c r="AM1126" s="36"/>
      <c r="AN1126" s="36"/>
      <c r="AO1126" s="36"/>
      <c r="AP1126" s="36"/>
      <c r="AQ1126" s="36"/>
      <c r="GE1126" s="94"/>
      <c r="GF1126" s="104">
        <f t="shared" si="395"/>
        <v>2017</v>
      </c>
      <c r="GG1126" s="104">
        <f t="shared" si="396"/>
        <v>22</v>
      </c>
      <c r="GH1126" s="35">
        <v>42886</v>
      </c>
      <c r="GI1126" s="26">
        <v>2.839</v>
      </c>
      <c r="GJ1126" s="94">
        <f t="shared" si="397"/>
        <v>5.678</v>
      </c>
      <c r="GK1126" s="104"/>
      <c r="GL1126" s="104"/>
      <c r="GO1126" s="94"/>
    </row>
    <row r="1127" spans="3:197">
      <c r="C1127" s="80" t="str" cm="1">
        <f t="array" ref="C1127">_xlfn.IFS(MONTH(D1127)&lt;4,1,MONTH(D1127)&lt;7,2,MONTH(D1127)&lt;10,3,MONTH(D1127)&gt;9,4)&amp;"Q"&amp;RIGHT(YEAR(D1127),2)</f>
        <v>3Q20</v>
      </c>
      <c r="D1127" s="81">
        <f t="shared" si="407"/>
        <v>44043</v>
      </c>
      <c r="E1127" s="82">
        <f t="shared" si="401"/>
        <v>44029</v>
      </c>
      <c r="F1127" s="83">
        <f t="shared" si="408"/>
        <v>0.333375</v>
      </c>
      <c r="G1127" s="83">
        <f t="shared" si="408"/>
        <v>0.39125</v>
      </c>
      <c r="H1127" s="81"/>
      <c r="I1127" s="146">
        <v>44029</v>
      </c>
      <c r="J1127" s="147">
        <v>3.25</v>
      </c>
      <c r="K1127" s="147">
        <v>2.55</v>
      </c>
      <c r="L1127" s="147">
        <v>2.667</v>
      </c>
      <c r="M1127" s="94" cm="1">
        <f t="array" ref="M1127">INDEX($BV$29:$BV$1449,MATCH($D1127,$BR$29:$BR$1449,0),)</f>
        <v>3.13</v>
      </c>
      <c r="N1127" s="150">
        <f t="shared" si="402"/>
        <v>0</v>
      </c>
      <c r="O1127" s="150">
        <f t="shared" si="403"/>
        <v>-0.00633383010432209</v>
      </c>
      <c r="P1127" s="150">
        <f t="shared" si="399"/>
        <v>-0.0315904139433552</v>
      </c>
      <c r="Q1127" s="89">
        <f t="shared" si="404"/>
        <v>-0.147923322683706</v>
      </c>
      <c r="AH1127" s="90"/>
      <c r="AI1127" s="85"/>
      <c r="AJ1127" s="36"/>
      <c r="AK1127" s="36"/>
      <c r="AL1127" s="36"/>
      <c r="AM1127" s="36"/>
      <c r="AN1127" s="36"/>
      <c r="AO1127" s="36"/>
      <c r="AP1127" s="36"/>
      <c r="AQ1127" s="36"/>
      <c r="GE1127" s="94"/>
      <c r="GF1127" s="104">
        <f t="shared" si="395"/>
        <v>2017</v>
      </c>
      <c r="GG1127" s="104">
        <f t="shared" si="396"/>
        <v>22</v>
      </c>
      <c r="GH1127" s="35">
        <v>42887</v>
      </c>
      <c r="GI1127" s="26">
        <v>2.839</v>
      </c>
      <c r="GJ1127" s="94">
        <f t="shared" si="397"/>
        <v>5.678</v>
      </c>
      <c r="GK1127" s="104"/>
      <c r="GL1127" s="104"/>
      <c r="GO1127" s="94"/>
    </row>
    <row r="1128" spans="3:197">
      <c r="C1128" s="80" t="str" cm="1">
        <f t="array" ref="C1128">_xlfn.IFS(MONTH(D1128)&lt;4,1,MONTH(D1128)&lt;7,2,MONTH(D1128)&lt;10,3,MONTH(D1128)&gt;9,4)&amp;"Q"&amp;RIGHT(YEAR(D1128),2)</f>
        <v>3Q20</v>
      </c>
      <c r="D1128" s="81">
        <f t="shared" si="407"/>
        <v>44043</v>
      </c>
      <c r="E1128" s="82">
        <f t="shared" si="401"/>
        <v>44032</v>
      </c>
      <c r="F1128" s="83">
        <f t="shared" si="408"/>
        <v>0.333375</v>
      </c>
      <c r="G1128" s="83">
        <f t="shared" si="408"/>
        <v>0.39125</v>
      </c>
      <c r="H1128" s="81"/>
      <c r="I1128" s="146">
        <v>44032</v>
      </c>
      <c r="J1128" s="147">
        <v>3.25</v>
      </c>
      <c r="K1128" s="147">
        <v>2.55</v>
      </c>
      <c r="L1128" s="147">
        <v>2.667</v>
      </c>
      <c r="M1128" s="94" cm="1">
        <f t="array" ref="M1128">INDEX($BV$29:$BV$1449,MATCH($D1128,$BR$29:$BR$1449,0),)</f>
        <v>3.13</v>
      </c>
      <c r="N1128" s="150">
        <f t="shared" si="402"/>
        <v>0</v>
      </c>
      <c r="O1128" s="150">
        <f t="shared" si="403"/>
        <v>-0.00336322869955175</v>
      </c>
      <c r="P1128" s="150">
        <f t="shared" si="399"/>
        <v>-0.0165929203539824</v>
      </c>
      <c r="Q1128" s="89">
        <f t="shared" si="404"/>
        <v>-0.147923322683706</v>
      </c>
      <c r="AH1128" s="90"/>
      <c r="AI1128" s="85"/>
      <c r="AJ1128" s="36"/>
      <c r="AK1128" s="36"/>
      <c r="AL1128" s="36"/>
      <c r="AM1128" s="36"/>
      <c r="AN1128" s="36"/>
      <c r="AO1128" s="36"/>
      <c r="AP1128" s="36"/>
      <c r="AQ1128" s="36"/>
      <c r="GE1128" s="94"/>
      <c r="GF1128" s="104">
        <f t="shared" si="395"/>
        <v>2017</v>
      </c>
      <c r="GG1128" s="104">
        <f t="shared" si="396"/>
        <v>22</v>
      </c>
      <c r="GH1128" s="35">
        <v>42888</v>
      </c>
      <c r="GI1128" s="26">
        <v>2.883</v>
      </c>
      <c r="GJ1128" s="94">
        <f t="shared" si="397"/>
        <v>5.766</v>
      </c>
      <c r="GK1128" s="104"/>
      <c r="GL1128" s="104"/>
      <c r="GO1128" s="94"/>
    </row>
    <row r="1129" spans="3:197">
      <c r="C1129" s="80" t="str" cm="1">
        <f t="array" ref="C1129">_xlfn.IFS(MONTH(D1129)&lt;4,1,MONTH(D1129)&lt;7,2,MONTH(D1129)&lt;10,3,MONTH(D1129)&gt;9,4)&amp;"Q"&amp;RIGHT(YEAR(D1129),2)</f>
        <v>3Q20</v>
      </c>
      <c r="D1129" s="81">
        <f t="shared" si="407"/>
        <v>44043</v>
      </c>
      <c r="E1129" s="82">
        <f t="shared" si="401"/>
        <v>44033</v>
      </c>
      <c r="F1129" s="83">
        <f t="shared" si="408"/>
        <v>0.33225</v>
      </c>
      <c r="G1129" s="83">
        <f t="shared" si="408"/>
        <v>0.39125</v>
      </c>
      <c r="H1129" s="81"/>
      <c r="I1129" s="146">
        <v>44033</v>
      </c>
      <c r="J1129" s="147">
        <v>3.25</v>
      </c>
      <c r="K1129" s="147">
        <v>2.55</v>
      </c>
      <c r="L1129" s="147">
        <v>2.658</v>
      </c>
      <c r="M1129" s="94" cm="1">
        <f t="array" ref="M1129">INDEX($BV$29:$BV$1449,MATCH($D1129,$BR$29:$BR$1449,0),)</f>
        <v>3.13</v>
      </c>
      <c r="N1129" s="150">
        <f t="shared" si="402"/>
        <v>-0.00337457817772779</v>
      </c>
      <c r="O1129" s="150">
        <f t="shared" si="403"/>
        <v>-0.00672645739910327</v>
      </c>
      <c r="P1129" s="150">
        <f t="shared" si="399"/>
        <v>-0.0184638109305761</v>
      </c>
      <c r="Q1129" s="89">
        <f t="shared" si="404"/>
        <v>-0.150798722044728</v>
      </c>
      <c r="AH1129" s="90"/>
      <c r="AI1129" s="85"/>
      <c r="AJ1129" s="36"/>
      <c r="AK1129" s="36"/>
      <c r="AL1129" s="36"/>
      <c r="AM1129" s="36"/>
      <c r="AN1129" s="36"/>
      <c r="AO1129" s="36"/>
      <c r="AP1129" s="36"/>
      <c r="AQ1129" s="36"/>
      <c r="GE1129" s="94"/>
      <c r="GF1129" s="104">
        <f t="shared" si="395"/>
        <v>2017</v>
      </c>
      <c r="GG1129" s="104">
        <f t="shared" si="396"/>
        <v>23</v>
      </c>
      <c r="GH1129" s="35">
        <v>42891</v>
      </c>
      <c r="GI1129" s="26">
        <v>2.886</v>
      </c>
      <c r="GJ1129" s="94">
        <f t="shared" si="397"/>
        <v>5.772</v>
      </c>
      <c r="GK1129" s="104"/>
      <c r="GL1129" s="104"/>
      <c r="GO1129" s="94"/>
    </row>
    <row r="1130" spans="3:197">
      <c r="C1130" s="80" t="str" cm="1">
        <f t="array" ref="C1130">_xlfn.IFS(MONTH(D1130)&lt;4,1,MONTH(D1130)&lt;7,2,MONTH(D1130)&lt;10,3,MONTH(D1130)&gt;9,4)&amp;"Q"&amp;RIGHT(YEAR(D1130),2)</f>
        <v>3Q20</v>
      </c>
      <c r="D1130" s="81">
        <f t="shared" si="407"/>
        <v>44043</v>
      </c>
      <c r="E1130" s="82">
        <f t="shared" si="401"/>
        <v>44034</v>
      </c>
      <c r="F1130" s="83">
        <f t="shared" si="408"/>
        <v>0.330375</v>
      </c>
      <c r="G1130" s="83">
        <f t="shared" si="408"/>
        <v>0.39125</v>
      </c>
      <c r="H1130" s="81"/>
      <c r="I1130" s="146">
        <v>44034</v>
      </c>
      <c r="J1130" s="147">
        <v>3.2</v>
      </c>
      <c r="K1130" s="147">
        <v>2.55</v>
      </c>
      <c r="L1130" s="147">
        <v>2.643</v>
      </c>
      <c r="M1130" s="94" cm="1">
        <f t="array" ref="M1130">INDEX($BV$29:$BV$1449,MATCH($D1130,$BR$29:$BR$1449,0),)</f>
        <v>3.13</v>
      </c>
      <c r="N1130" s="150">
        <f t="shared" si="402"/>
        <v>-0.00564334085778784</v>
      </c>
      <c r="O1130" s="150">
        <f t="shared" si="403"/>
        <v>-0.00937031484257889</v>
      </c>
      <c r="P1130" s="150">
        <f t="shared" si="399"/>
        <v>-0.0211111111111113</v>
      </c>
      <c r="Q1130" s="89">
        <f t="shared" si="404"/>
        <v>-0.155591054313099</v>
      </c>
      <c r="AH1130" s="90"/>
      <c r="AI1130" s="85"/>
      <c r="AJ1130" s="36"/>
      <c r="AK1130" s="36"/>
      <c r="AL1130" s="36"/>
      <c r="AM1130" s="36"/>
      <c r="AN1130" s="36"/>
      <c r="AO1130" s="36"/>
      <c r="AP1130" s="36"/>
      <c r="AQ1130" s="36"/>
      <c r="GE1130" s="94"/>
      <c r="GF1130" s="104">
        <f t="shared" si="395"/>
        <v>2017</v>
      </c>
      <c r="GG1130" s="104">
        <f t="shared" si="396"/>
        <v>23</v>
      </c>
      <c r="GH1130" s="35">
        <v>42892</v>
      </c>
      <c r="GI1130" s="26">
        <v>2.901</v>
      </c>
      <c r="GJ1130" s="94">
        <f t="shared" si="397"/>
        <v>5.802</v>
      </c>
      <c r="GK1130" s="104"/>
      <c r="GL1130" s="104"/>
      <c r="GO1130" s="94"/>
    </row>
    <row r="1131" spans="3:197">
      <c r="C1131" s="80" t="str" cm="1">
        <f t="array" ref="C1131">_xlfn.IFS(MONTH(D1131)&lt;4,1,MONTH(D1131)&lt;7,2,MONTH(D1131)&lt;10,3,MONTH(D1131)&gt;9,4)&amp;"Q"&amp;RIGHT(YEAR(D1131),2)</f>
        <v>3Q20</v>
      </c>
      <c r="D1131" s="81">
        <f t="shared" si="407"/>
        <v>44043</v>
      </c>
      <c r="E1131" s="82">
        <f t="shared" si="401"/>
        <v>44035</v>
      </c>
      <c r="F1131" s="83">
        <f t="shared" si="408"/>
        <v>0.330375</v>
      </c>
      <c r="G1131" s="83">
        <f t="shared" si="408"/>
        <v>0.39125</v>
      </c>
      <c r="H1131" s="81"/>
      <c r="I1131" s="146">
        <v>44035</v>
      </c>
      <c r="J1131" s="147">
        <v>3.2</v>
      </c>
      <c r="K1131" s="147">
        <v>2.55</v>
      </c>
      <c r="L1131" s="147">
        <v>2.643</v>
      </c>
      <c r="M1131" s="94" cm="1">
        <f t="array" ref="M1131">INDEX($BV$29:$BV$1449,MATCH($D1131,$BR$29:$BR$1449,0),)</f>
        <v>3.13</v>
      </c>
      <c r="N1131" s="150">
        <f t="shared" si="402"/>
        <v>0</v>
      </c>
      <c r="O1131" s="150">
        <f t="shared" si="403"/>
        <v>-0.00899887514060749</v>
      </c>
      <c r="P1131" s="150">
        <f t="shared" si="399"/>
        <v>-0.0182020802377416</v>
      </c>
      <c r="Q1131" s="89">
        <f t="shared" si="404"/>
        <v>-0.155591054313099</v>
      </c>
      <c r="AH1131" s="90"/>
      <c r="AI1131" s="85"/>
      <c r="AJ1131" s="36"/>
      <c r="AK1131" s="36"/>
      <c r="AL1131" s="36"/>
      <c r="AM1131" s="36"/>
      <c r="AN1131" s="36"/>
      <c r="AO1131" s="36"/>
      <c r="AP1131" s="36"/>
      <c r="AQ1131" s="36"/>
      <c r="GE1131" s="94"/>
      <c r="GF1131" s="104">
        <f t="shared" si="395"/>
        <v>2017</v>
      </c>
      <c r="GG1131" s="104">
        <f t="shared" si="396"/>
        <v>23</v>
      </c>
      <c r="GH1131" s="35">
        <v>42893</v>
      </c>
      <c r="GI1131" s="26">
        <v>2.905</v>
      </c>
      <c r="GJ1131" s="94">
        <f t="shared" si="397"/>
        <v>5.81</v>
      </c>
      <c r="GK1131" s="104"/>
      <c r="GL1131" s="104"/>
      <c r="GO1131" s="94"/>
    </row>
    <row r="1132" spans="3:197">
      <c r="C1132" s="80" t="str" cm="1">
        <f t="array" ref="C1132">_xlfn.IFS(MONTH(D1132)&lt;4,1,MONTH(D1132)&lt;7,2,MONTH(D1132)&lt;10,3,MONTH(D1132)&gt;9,4)&amp;"Q"&amp;RIGHT(YEAR(D1132),2)</f>
        <v>3Q20</v>
      </c>
      <c r="D1132" s="81">
        <f t="shared" si="407"/>
        <v>44043</v>
      </c>
      <c r="E1132" s="82">
        <f t="shared" si="401"/>
        <v>44036</v>
      </c>
      <c r="F1132" s="83">
        <f t="shared" si="408"/>
        <v>0.33</v>
      </c>
      <c r="G1132" s="83">
        <f t="shared" si="408"/>
        <v>0.39125</v>
      </c>
      <c r="H1132" s="81"/>
      <c r="I1132" s="146">
        <v>44036</v>
      </c>
      <c r="J1132" s="147">
        <v>3.2</v>
      </c>
      <c r="K1132" s="147">
        <v>2.55</v>
      </c>
      <c r="L1132" s="147">
        <v>2.64</v>
      </c>
      <c r="M1132" s="94" cm="1">
        <f t="array" ref="M1132">INDEX($BV$29:$BV$1449,MATCH($D1132,$BR$29:$BR$1449,0),)</f>
        <v>3.13</v>
      </c>
      <c r="N1132" s="150">
        <f t="shared" si="402"/>
        <v>-0.0011350737797956</v>
      </c>
      <c r="O1132" s="150">
        <f t="shared" si="403"/>
        <v>-0.0101237345331833</v>
      </c>
      <c r="P1132" s="150">
        <f t="shared" si="399"/>
        <v>-0.0163934426229508</v>
      </c>
      <c r="Q1132" s="89">
        <f t="shared" si="404"/>
        <v>-0.156549520766773</v>
      </c>
      <c r="AH1132" s="90"/>
      <c r="AI1132" s="85"/>
      <c r="AJ1132" s="36"/>
      <c r="AK1132" s="36"/>
      <c r="AL1132" s="36"/>
      <c r="AM1132" s="36"/>
      <c r="AN1132" s="36"/>
      <c r="AO1132" s="36"/>
      <c r="AP1132" s="36"/>
      <c r="AQ1132" s="36"/>
      <c r="GE1132" s="94"/>
      <c r="GF1132" s="104">
        <f t="shared" si="395"/>
        <v>2017</v>
      </c>
      <c r="GG1132" s="104">
        <f t="shared" si="396"/>
        <v>23</v>
      </c>
      <c r="GH1132" s="35">
        <v>42894</v>
      </c>
      <c r="GI1132" s="26">
        <v>2.914</v>
      </c>
      <c r="GJ1132" s="94">
        <f t="shared" si="397"/>
        <v>5.828</v>
      </c>
      <c r="GK1132" s="104"/>
      <c r="GL1132" s="104"/>
      <c r="GO1132" s="94"/>
    </row>
    <row r="1133" spans="3:197">
      <c r="C1133" s="80" t="str" cm="1">
        <f t="array" ref="C1133">_xlfn.IFS(MONTH(D1133)&lt;4,1,MONTH(D1133)&lt;7,2,MONTH(D1133)&lt;10,3,MONTH(D1133)&gt;9,4)&amp;"Q"&amp;RIGHT(YEAR(D1133),2)</f>
        <v>3Q20</v>
      </c>
      <c r="D1133" s="81">
        <f t="shared" si="407"/>
        <v>44043</v>
      </c>
      <c r="E1133" s="82">
        <f t="shared" si="401"/>
        <v>44039</v>
      </c>
      <c r="F1133" s="83">
        <f t="shared" si="408"/>
        <v>0.329875</v>
      </c>
      <c r="G1133" s="83">
        <f t="shared" si="408"/>
        <v>0.39125</v>
      </c>
      <c r="H1133" s="81"/>
      <c r="I1133" s="146">
        <v>44039</v>
      </c>
      <c r="J1133" s="147">
        <v>3.2</v>
      </c>
      <c r="K1133" s="147">
        <v>2.55</v>
      </c>
      <c r="L1133" s="147">
        <v>2.639</v>
      </c>
      <c r="M1133" s="94" cm="1">
        <f t="array" ref="M1133">INDEX($BV$29:$BV$1449,MATCH($D1133,$BR$29:$BR$1449,0),)</f>
        <v>3.13</v>
      </c>
      <c r="N1133" s="150">
        <f t="shared" si="402"/>
        <v>-0.000378787878787978</v>
      </c>
      <c r="O1133" s="150">
        <f t="shared" si="403"/>
        <v>-0.0104986876640421</v>
      </c>
      <c r="P1133" s="150">
        <f t="shared" si="399"/>
        <v>-0.0138266068759344</v>
      </c>
      <c r="Q1133" s="89">
        <f t="shared" si="404"/>
        <v>-0.156869009584665</v>
      </c>
      <c r="AH1133" s="90"/>
      <c r="AI1133" s="85"/>
      <c r="AJ1133" s="36"/>
      <c r="AK1133" s="36"/>
      <c r="AL1133" s="36"/>
      <c r="AM1133" s="36"/>
      <c r="AN1133" s="36"/>
      <c r="AO1133" s="36"/>
      <c r="AP1133" s="36"/>
      <c r="AQ1133" s="36"/>
      <c r="GE1133" s="94"/>
      <c r="GF1133" s="104">
        <f t="shared" si="395"/>
        <v>2017</v>
      </c>
      <c r="GG1133" s="104">
        <f t="shared" si="396"/>
        <v>23</v>
      </c>
      <c r="GH1133" s="35">
        <v>42895</v>
      </c>
      <c r="GI1133" s="26">
        <v>2.952</v>
      </c>
      <c r="GJ1133" s="94">
        <f t="shared" si="397"/>
        <v>5.904</v>
      </c>
      <c r="GK1133" s="104"/>
      <c r="GL1133" s="104"/>
      <c r="GO1133" s="94"/>
    </row>
    <row r="1134" spans="3:197">
      <c r="C1134" s="80" t="str" cm="1">
        <f t="array" ref="C1134">_xlfn.IFS(MONTH(D1134)&lt;4,1,MONTH(D1134)&lt;7,2,MONTH(D1134)&lt;10,3,MONTH(D1134)&gt;9,4)&amp;"Q"&amp;RIGHT(YEAR(D1134),2)</f>
        <v>3Q20</v>
      </c>
      <c r="D1134" s="81">
        <f t="shared" si="407"/>
        <v>44043</v>
      </c>
      <c r="E1134" s="82">
        <f t="shared" si="401"/>
        <v>44040</v>
      </c>
      <c r="F1134" s="83">
        <f t="shared" si="408"/>
        <v>0.32875</v>
      </c>
      <c r="G1134" s="83">
        <f t="shared" si="408"/>
        <v>0.39125</v>
      </c>
      <c r="H1134" s="81"/>
      <c r="I1134" s="146">
        <v>44040</v>
      </c>
      <c r="J1134" s="147">
        <v>3.2</v>
      </c>
      <c r="K1134" s="147">
        <v>2.55</v>
      </c>
      <c r="L1134" s="147">
        <v>2.63</v>
      </c>
      <c r="M1134" s="94" cm="1">
        <f t="array" ref="M1134">INDEX($BV$29:$BV$1449,MATCH($D1134,$BR$29:$BR$1449,0),)</f>
        <v>3.13</v>
      </c>
      <c r="N1134" s="150">
        <f t="shared" si="402"/>
        <v>-0.00341038272072747</v>
      </c>
      <c r="O1134" s="150">
        <f t="shared" si="403"/>
        <v>-0.0105342362678705</v>
      </c>
      <c r="P1134" s="150">
        <f t="shared" si="399"/>
        <v>-0.0171898355754859</v>
      </c>
      <c r="Q1134" s="89">
        <f t="shared" si="404"/>
        <v>-0.159744408945687</v>
      </c>
      <c r="AH1134" s="90"/>
      <c r="AI1134" s="85"/>
      <c r="AJ1134" s="36"/>
      <c r="AK1134" s="36"/>
      <c r="AL1134" s="36"/>
      <c r="AM1134" s="36"/>
      <c r="AN1134" s="36"/>
      <c r="AO1134" s="36"/>
      <c r="AP1134" s="36"/>
      <c r="AQ1134" s="36"/>
      <c r="GE1134" s="94"/>
      <c r="GF1134" s="104">
        <f t="shared" si="395"/>
        <v>2017</v>
      </c>
      <c r="GG1134" s="104">
        <f t="shared" si="396"/>
        <v>24</v>
      </c>
      <c r="GH1134" s="35">
        <v>42898</v>
      </c>
      <c r="GI1134" s="26">
        <v>2.965</v>
      </c>
      <c r="GJ1134" s="94">
        <f t="shared" si="397"/>
        <v>5.93</v>
      </c>
      <c r="GK1134" s="104"/>
      <c r="GL1134" s="104"/>
      <c r="GO1134" s="94"/>
    </row>
    <row r="1135" spans="3:197">
      <c r="C1135" s="80" t="str" cm="1">
        <f t="array" ref="C1135">_xlfn.IFS(MONTH(D1135)&lt;4,1,MONTH(D1135)&lt;7,2,MONTH(D1135)&lt;10,3,MONTH(D1135)&gt;9,4)&amp;"Q"&amp;RIGHT(YEAR(D1135),2)</f>
        <v>3Q20</v>
      </c>
      <c r="D1135" s="81">
        <f t="shared" si="407"/>
        <v>44043</v>
      </c>
      <c r="E1135" s="82">
        <f t="shared" si="401"/>
        <v>44041</v>
      </c>
      <c r="F1135" s="83">
        <f t="shared" si="408"/>
        <v>0.328625</v>
      </c>
      <c r="G1135" s="83">
        <f t="shared" si="408"/>
        <v>0.39125</v>
      </c>
      <c r="H1135" s="81"/>
      <c r="I1135" s="146">
        <v>44041</v>
      </c>
      <c r="J1135" s="147">
        <v>3.2</v>
      </c>
      <c r="K1135" s="147">
        <v>2.53</v>
      </c>
      <c r="L1135" s="147">
        <v>2.629</v>
      </c>
      <c r="M1135" s="94" cm="1">
        <f t="array" ref="M1135">INDEX($BV$29:$BV$1449,MATCH($D1135,$BR$29:$BR$1449,0),)</f>
        <v>3.13</v>
      </c>
      <c r="N1135" s="150">
        <f t="shared" si="402"/>
        <v>-0.000380228136882099</v>
      </c>
      <c r="O1135" s="150">
        <f t="shared" si="403"/>
        <v>-0.00529701097237978</v>
      </c>
      <c r="P1135" s="150">
        <f t="shared" si="399"/>
        <v>-0.0146176911544228</v>
      </c>
      <c r="Q1135" s="89">
        <f t="shared" si="404"/>
        <v>-0.160063897763578</v>
      </c>
      <c r="AH1135" s="90"/>
      <c r="AI1135" s="85"/>
      <c r="AJ1135" s="36"/>
      <c r="AK1135" s="36"/>
      <c r="AL1135" s="36"/>
      <c r="AM1135" s="36"/>
      <c r="AN1135" s="36"/>
      <c r="AO1135" s="36"/>
      <c r="AP1135" s="36"/>
      <c r="AQ1135" s="36"/>
      <c r="GE1135" s="94"/>
      <c r="GF1135" s="104">
        <f t="shared" si="395"/>
        <v>2017</v>
      </c>
      <c r="GG1135" s="104">
        <f t="shared" si="396"/>
        <v>24</v>
      </c>
      <c r="GH1135" s="35">
        <v>42899</v>
      </c>
      <c r="GI1135" s="26">
        <v>2.965</v>
      </c>
      <c r="GJ1135" s="94">
        <f t="shared" si="397"/>
        <v>5.93</v>
      </c>
      <c r="GK1135" s="104"/>
      <c r="GL1135" s="104"/>
      <c r="GO1135" s="94"/>
    </row>
    <row r="1136" spans="3:197">
      <c r="C1136" s="80" t="str" cm="1">
        <f t="array" ref="C1136">_xlfn.IFS(MONTH(D1136)&lt;4,1,MONTH(D1136)&lt;7,2,MONTH(D1136)&lt;10,3,MONTH(D1136)&gt;9,4)&amp;"Q"&amp;RIGHT(YEAR(D1136),2)</f>
        <v>3Q20</v>
      </c>
      <c r="D1136" s="81">
        <f t="shared" si="407"/>
        <v>44043</v>
      </c>
      <c r="E1136" s="82">
        <f t="shared" si="401"/>
        <v>44042</v>
      </c>
      <c r="F1136" s="83">
        <f t="shared" si="408"/>
        <v>0.3275</v>
      </c>
      <c r="G1136" s="83">
        <f t="shared" si="408"/>
        <v>0.39125</v>
      </c>
      <c r="H1136" s="81"/>
      <c r="I1136" s="146">
        <v>44042</v>
      </c>
      <c r="J1136" s="147">
        <v>3.2</v>
      </c>
      <c r="K1136" s="147">
        <v>2.52</v>
      </c>
      <c r="L1136" s="147">
        <v>2.62</v>
      </c>
      <c r="M1136" s="94" cm="1">
        <f t="array" ref="M1136">INDEX($BV$29:$BV$1449,MATCH($D1136,$BR$29:$BR$1449,0),)</f>
        <v>3.13</v>
      </c>
      <c r="N1136" s="150">
        <f t="shared" si="402"/>
        <v>-0.00342335488779</v>
      </c>
      <c r="O1136" s="150">
        <f t="shared" si="403"/>
        <v>-0.00870223231176681</v>
      </c>
      <c r="P1136" s="150">
        <f t="shared" si="399"/>
        <v>-0.0176227971503561</v>
      </c>
      <c r="Q1136" s="89">
        <f t="shared" si="404"/>
        <v>-0.162939297124601</v>
      </c>
      <c r="AH1136" s="90"/>
      <c r="AI1136" s="85"/>
      <c r="AJ1136" s="36"/>
      <c r="AK1136" s="36"/>
      <c r="AL1136" s="36"/>
      <c r="AM1136" s="36"/>
      <c r="AN1136" s="36"/>
      <c r="AO1136" s="36"/>
      <c r="AP1136" s="36"/>
      <c r="AQ1136" s="36"/>
      <c r="GE1136" s="94"/>
      <c r="GF1136" s="104">
        <f t="shared" si="395"/>
        <v>2017</v>
      </c>
      <c r="GG1136" s="104">
        <f t="shared" si="396"/>
        <v>24</v>
      </c>
      <c r="GH1136" s="35">
        <v>42900</v>
      </c>
      <c r="GI1136" s="26">
        <v>2.965</v>
      </c>
      <c r="GJ1136" s="94">
        <f t="shared" si="397"/>
        <v>5.93</v>
      </c>
      <c r="GK1136" s="104"/>
      <c r="GL1136" s="104"/>
      <c r="GO1136" s="94"/>
    </row>
    <row r="1137" spans="3:197">
      <c r="C1137" s="80" t="str" cm="1">
        <f t="array" ref="C1137">_xlfn.IFS(MONTH(D1137)&lt;4,1,MONTH(D1137)&lt;7,2,MONTH(D1137)&lt;10,3,MONTH(D1137)&gt;9,4)&amp;"Q"&amp;RIGHT(YEAR(D1137),2)</f>
        <v>3Q20</v>
      </c>
      <c r="D1137" s="81">
        <f t="shared" si="407"/>
        <v>44043</v>
      </c>
      <c r="E1137" s="82">
        <f t="shared" si="401"/>
        <v>44043</v>
      </c>
      <c r="F1137" s="83">
        <f t="shared" si="408"/>
        <v>0.327375</v>
      </c>
      <c r="G1137" s="83">
        <f t="shared" si="408"/>
        <v>0.39125</v>
      </c>
      <c r="H1137" s="81"/>
      <c r="I1137" s="146">
        <v>44043</v>
      </c>
      <c r="J1137" s="147">
        <v>3.2</v>
      </c>
      <c r="K1137" s="147">
        <v>2.5</v>
      </c>
      <c r="L1137" s="147">
        <v>2.619</v>
      </c>
      <c r="M1137" s="94" cm="1">
        <f t="array" ref="M1137">INDEX($BV$29:$BV$1449,MATCH($D1137,$BR$29:$BR$1449,0),)</f>
        <v>3.13</v>
      </c>
      <c r="N1137" s="150">
        <f t="shared" si="402"/>
        <v>-0.000381679389312883</v>
      </c>
      <c r="O1137" s="150">
        <f t="shared" si="403"/>
        <v>-0.00795454545454544</v>
      </c>
      <c r="P1137" s="150">
        <f t="shared" si="399"/>
        <v>-0.0179977502812148</v>
      </c>
      <c r="Q1137" s="89">
        <f t="shared" si="404"/>
        <v>-0.163258785942492</v>
      </c>
      <c r="AH1137" s="90"/>
      <c r="AI1137" s="85"/>
      <c r="AJ1137" s="36"/>
      <c r="AK1137" s="36"/>
      <c r="AL1137" s="36"/>
      <c r="AM1137" s="36"/>
      <c r="AN1137" s="36"/>
      <c r="AO1137" s="36"/>
      <c r="AP1137" s="36"/>
      <c r="AQ1137" s="36"/>
      <c r="GE1137" s="94"/>
      <c r="GF1137" s="104">
        <f t="shared" si="395"/>
        <v>2017</v>
      </c>
      <c r="GG1137" s="104">
        <f t="shared" si="396"/>
        <v>24</v>
      </c>
      <c r="GH1137" s="35">
        <v>42901</v>
      </c>
      <c r="GI1137" s="26">
        <v>2.978</v>
      </c>
      <c r="GJ1137" s="94">
        <f t="shared" si="397"/>
        <v>5.956</v>
      </c>
      <c r="GK1137" s="104"/>
      <c r="GL1137" s="104"/>
      <c r="GO1137" s="94"/>
    </row>
    <row r="1138" spans="3:197">
      <c r="C1138" s="80" t="str" cm="1">
        <f t="array" ref="C1138">_xlfn.IFS(MONTH(D1138)&lt;4,1,MONTH(D1138)&lt;7,2,MONTH(D1138)&lt;10,3,MONTH(D1138)&gt;9,4)&amp;"Q"&amp;RIGHT(YEAR(D1138),2)</f>
        <v>3Q20</v>
      </c>
      <c r="D1138" s="81">
        <f t="shared" si="407"/>
        <v>44074</v>
      </c>
      <c r="E1138" s="82">
        <f t="shared" si="401"/>
        <v>44046</v>
      </c>
      <c r="F1138" s="83">
        <f t="shared" si="408"/>
        <v>0.327375</v>
      </c>
      <c r="G1138" s="83">
        <f t="shared" si="408"/>
        <v>0.39125</v>
      </c>
      <c r="H1138" s="81"/>
      <c r="I1138" s="146">
        <v>44046</v>
      </c>
      <c r="J1138" s="147">
        <v>3.2</v>
      </c>
      <c r="K1138" s="147">
        <v>2.5</v>
      </c>
      <c r="L1138" s="147">
        <v>2.619</v>
      </c>
      <c r="M1138" s="94" cm="1">
        <f t="array" ref="M1138">INDEX($BV$29:$BV$1449,MATCH($D1138,$BR$29:$BR$1449,0),)</f>
        <v>3.13</v>
      </c>
      <c r="N1138" s="150">
        <f t="shared" si="402"/>
        <v>0</v>
      </c>
      <c r="O1138" s="150">
        <f t="shared" si="403"/>
        <v>-0.00757862826828326</v>
      </c>
      <c r="P1138" s="150">
        <f t="shared" si="399"/>
        <v>-0.0179977502812148</v>
      </c>
      <c r="Q1138" s="89">
        <f t="shared" si="404"/>
        <v>-0.163258785942492</v>
      </c>
      <c r="AH1138" s="90"/>
      <c r="AI1138" s="85"/>
      <c r="AJ1138" s="36"/>
      <c r="AK1138" s="36"/>
      <c r="AL1138" s="36"/>
      <c r="AM1138" s="36"/>
      <c r="AN1138" s="36"/>
      <c r="AO1138" s="36"/>
      <c r="AP1138" s="36"/>
      <c r="AQ1138" s="36"/>
      <c r="GE1138" s="94"/>
      <c r="GF1138" s="104">
        <f t="shared" si="395"/>
        <v>2017</v>
      </c>
      <c r="GG1138" s="104">
        <f t="shared" si="396"/>
        <v>24</v>
      </c>
      <c r="GH1138" s="35">
        <v>42902</v>
      </c>
      <c r="GI1138" s="26">
        <v>2.984</v>
      </c>
      <c r="GJ1138" s="94">
        <f t="shared" si="397"/>
        <v>5.968</v>
      </c>
      <c r="GK1138" s="104"/>
      <c r="GL1138" s="104"/>
      <c r="GO1138" s="94"/>
    </row>
    <row r="1139" spans="3:197">
      <c r="C1139" s="80" t="str" cm="1">
        <f t="array" ref="C1139">_xlfn.IFS(MONTH(D1139)&lt;4,1,MONTH(D1139)&lt;7,2,MONTH(D1139)&lt;10,3,MONTH(D1139)&gt;9,4)&amp;"Q"&amp;RIGHT(YEAR(D1139),2)</f>
        <v>3Q20</v>
      </c>
      <c r="D1139" s="81">
        <f t="shared" si="407"/>
        <v>44074</v>
      </c>
      <c r="E1139" s="82">
        <f t="shared" si="401"/>
        <v>44047</v>
      </c>
      <c r="F1139" s="83">
        <f t="shared" si="408"/>
        <v>0.32625</v>
      </c>
      <c r="G1139" s="83">
        <f t="shared" si="408"/>
        <v>0.39125</v>
      </c>
      <c r="H1139" s="81"/>
      <c r="I1139" s="146">
        <v>44047</v>
      </c>
      <c r="J1139" s="147">
        <v>3.2</v>
      </c>
      <c r="K1139" s="147">
        <v>2.5</v>
      </c>
      <c r="L1139" s="147">
        <v>2.61</v>
      </c>
      <c r="M1139" s="94" cm="1">
        <f t="array" ref="M1139">INDEX($BV$29:$BV$1449,MATCH($D1139,$BR$29:$BR$1449,0),)</f>
        <v>3.13</v>
      </c>
      <c r="N1139" s="150">
        <f t="shared" si="402"/>
        <v>-0.00343642611683859</v>
      </c>
      <c r="O1139" s="150">
        <f t="shared" si="403"/>
        <v>-0.00760456273764254</v>
      </c>
      <c r="P1139" s="150">
        <f t="shared" si="399"/>
        <v>-0.0180586907449211</v>
      </c>
      <c r="Q1139" s="89">
        <f t="shared" si="404"/>
        <v>-0.166134185303514</v>
      </c>
      <c r="AH1139" s="90"/>
      <c r="AI1139" s="85"/>
      <c r="AJ1139" s="36"/>
      <c r="AK1139" s="36"/>
      <c r="AL1139" s="36"/>
      <c r="AM1139" s="36"/>
      <c r="AN1139" s="36"/>
      <c r="AO1139" s="36"/>
      <c r="AP1139" s="36"/>
      <c r="AQ1139" s="36"/>
      <c r="GE1139" s="94"/>
      <c r="GF1139" s="104">
        <f t="shared" si="395"/>
        <v>2017</v>
      </c>
      <c r="GG1139" s="104">
        <f t="shared" si="396"/>
        <v>25</v>
      </c>
      <c r="GH1139" s="35">
        <v>42905</v>
      </c>
      <c r="GI1139" s="26">
        <v>2.99</v>
      </c>
      <c r="GJ1139" s="94">
        <f t="shared" si="397"/>
        <v>5.98</v>
      </c>
      <c r="GK1139" s="104"/>
      <c r="GL1139" s="104"/>
      <c r="GO1139" s="94"/>
    </row>
    <row r="1140" spans="3:197">
      <c r="C1140" s="80" t="str" cm="1">
        <f t="array" ref="C1140">_xlfn.IFS(MONTH(D1140)&lt;4,1,MONTH(D1140)&lt;7,2,MONTH(D1140)&lt;10,3,MONTH(D1140)&gt;9,4)&amp;"Q"&amp;RIGHT(YEAR(D1140),2)</f>
        <v>3Q20</v>
      </c>
      <c r="D1140" s="81">
        <f t="shared" si="407"/>
        <v>44074</v>
      </c>
      <c r="E1140" s="82">
        <f t="shared" si="401"/>
        <v>44048</v>
      </c>
      <c r="F1140" s="83">
        <f t="shared" si="408"/>
        <v>0.326125</v>
      </c>
      <c r="G1140" s="83">
        <f t="shared" si="408"/>
        <v>0.39125</v>
      </c>
      <c r="H1140" s="81"/>
      <c r="I1140" s="146">
        <v>44048</v>
      </c>
      <c r="J1140" s="147">
        <v>3.2</v>
      </c>
      <c r="K1140" s="147">
        <v>2.5</v>
      </c>
      <c r="L1140" s="147">
        <v>2.609</v>
      </c>
      <c r="M1140" s="94" cm="1">
        <f t="array" ref="M1140">INDEX($BV$29:$BV$1449,MATCH($D1140,$BR$29:$BR$1449,0),)</f>
        <v>3.13</v>
      </c>
      <c r="N1140" s="150">
        <f t="shared" si="402"/>
        <v>-0.000383141762452022</v>
      </c>
      <c r="O1140" s="150">
        <f t="shared" si="403"/>
        <v>-0.00760745530620011</v>
      </c>
      <c r="P1140" s="150">
        <f t="shared" si="399"/>
        <v>-0.0128641695043511</v>
      </c>
      <c r="Q1140" s="89">
        <f t="shared" si="404"/>
        <v>-0.166453674121406</v>
      </c>
      <c r="AH1140" s="90"/>
      <c r="AI1140" s="85"/>
      <c r="AJ1140" s="36"/>
      <c r="AK1140" s="36"/>
      <c r="AL1140" s="36"/>
      <c r="AM1140" s="36"/>
      <c r="AN1140" s="36"/>
      <c r="AO1140" s="36"/>
      <c r="AP1140" s="36"/>
      <c r="AQ1140" s="36"/>
      <c r="GE1140" s="94"/>
      <c r="GF1140" s="104">
        <f t="shared" ref="GF1140:GF1203" si="409">YEAR(GH1140)</f>
        <v>2017</v>
      </c>
      <c r="GG1140" s="104">
        <f t="shared" ref="GG1140:GG1203" si="410">WEEKNUM(GH1140)</f>
        <v>25</v>
      </c>
      <c r="GH1140" s="35">
        <v>42906</v>
      </c>
      <c r="GI1140" s="26">
        <v>2.998</v>
      </c>
      <c r="GJ1140" s="94">
        <f t="shared" ref="GJ1140:GJ1203" si="411">GI1140*2</f>
        <v>5.996</v>
      </c>
      <c r="GK1140" s="104"/>
      <c r="GL1140" s="104"/>
      <c r="GO1140" s="94"/>
    </row>
    <row r="1141" spans="3:197">
      <c r="C1141" s="80" t="str" cm="1">
        <f t="array" ref="C1141">_xlfn.IFS(MONTH(D1141)&lt;4,1,MONTH(D1141)&lt;7,2,MONTH(D1141)&lt;10,3,MONTH(D1141)&gt;9,4)&amp;"Q"&amp;RIGHT(YEAR(D1141),2)</f>
        <v>3Q20</v>
      </c>
      <c r="D1141" s="81">
        <f t="shared" si="407"/>
        <v>44074</v>
      </c>
      <c r="E1141" s="82">
        <f t="shared" si="401"/>
        <v>44049</v>
      </c>
      <c r="F1141" s="83">
        <f t="shared" ref="F1141:G1156" si="412">+L1141/8</f>
        <v>0.326125</v>
      </c>
      <c r="G1141" s="83">
        <f t="shared" si="412"/>
        <v>0.39125</v>
      </c>
      <c r="H1141" s="81"/>
      <c r="I1141" s="146">
        <v>44049</v>
      </c>
      <c r="J1141" s="147">
        <v>3.2</v>
      </c>
      <c r="K1141" s="147">
        <v>2.5</v>
      </c>
      <c r="L1141" s="147">
        <v>2.609</v>
      </c>
      <c r="M1141" s="94" cm="1">
        <f t="array" ref="M1141">INDEX($BV$29:$BV$1449,MATCH($D1141,$BR$29:$BR$1449,0),)</f>
        <v>3.13</v>
      </c>
      <c r="N1141" s="150">
        <f t="shared" si="402"/>
        <v>0</v>
      </c>
      <c r="O1141" s="150">
        <f t="shared" si="403"/>
        <v>-0.00419847328244283</v>
      </c>
      <c r="P1141" s="150">
        <f t="shared" si="399"/>
        <v>-0.0128641695043511</v>
      </c>
      <c r="Q1141" s="89">
        <f t="shared" si="404"/>
        <v>-0.166453674121406</v>
      </c>
      <c r="AH1141" s="90"/>
      <c r="AI1141" s="85"/>
      <c r="AJ1141" s="36"/>
      <c r="AK1141" s="36"/>
      <c r="AL1141" s="36"/>
      <c r="AM1141" s="36"/>
      <c r="AN1141" s="36"/>
      <c r="AO1141" s="36"/>
      <c r="AP1141" s="36"/>
      <c r="AQ1141" s="36"/>
      <c r="GE1141" s="94"/>
      <c r="GF1141" s="104">
        <f t="shared" si="409"/>
        <v>2017</v>
      </c>
      <c r="GG1141" s="104">
        <f t="shared" si="410"/>
        <v>25</v>
      </c>
      <c r="GH1141" s="35">
        <v>42907</v>
      </c>
      <c r="GI1141" s="26">
        <v>3.005</v>
      </c>
      <c r="GJ1141" s="94">
        <f t="shared" si="411"/>
        <v>6.01</v>
      </c>
      <c r="GK1141" s="104"/>
      <c r="GL1141" s="104"/>
      <c r="GO1141" s="94"/>
    </row>
    <row r="1142" spans="3:197">
      <c r="C1142" s="80" t="str" cm="1">
        <f t="array" ref="C1142">_xlfn.IFS(MONTH(D1142)&lt;4,1,MONTH(D1142)&lt;7,2,MONTH(D1142)&lt;10,3,MONTH(D1142)&gt;9,4)&amp;"Q"&amp;RIGHT(YEAR(D1142),2)</f>
        <v>3Q20</v>
      </c>
      <c r="D1142" s="81">
        <f t="shared" si="407"/>
        <v>44074</v>
      </c>
      <c r="E1142" s="82">
        <f t="shared" si="401"/>
        <v>44050</v>
      </c>
      <c r="F1142" s="83">
        <f t="shared" si="412"/>
        <v>0.325875</v>
      </c>
      <c r="G1142" s="83">
        <f t="shared" si="412"/>
        <v>0.39125</v>
      </c>
      <c r="H1142" s="81"/>
      <c r="I1142" s="146">
        <v>44050</v>
      </c>
      <c r="J1142" s="147">
        <v>3.2</v>
      </c>
      <c r="K1142" s="147">
        <v>2.5</v>
      </c>
      <c r="L1142" s="147">
        <v>2.607</v>
      </c>
      <c r="M1142" s="94" cm="1">
        <f t="array" ref="M1142">INDEX($BV$29:$BV$1449,MATCH($D1142,$BR$29:$BR$1449,0),)</f>
        <v>3.13</v>
      </c>
      <c r="N1142" s="150">
        <f t="shared" si="402"/>
        <v>-0.000766577232656052</v>
      </c>
      <c r="O1142" s="150">
        <f t="shared" si="403"/>
        <v>-0.00458190148911797</v>
      </c>
      <c r="P1142" s="150">
        <f t="shared" si="399"/>
        <v>-0.0125</v>
      </c>
      <c r="Q1142" s="89">
        <f t="shared" si="404"/>
        <v>-0.167092651757188</v>
      </c>
      <c r="AH1142" s="90"/>
      <c r="AI1142" s="85"/>
      <c r="AJ1142" s="36"/>
      <c r="AK1142" s="36"/>
      <c r="AL1142" s="36"/>
      <c r="AM1142" s="36"/>
      <c r="AN1142" s="36"/>
      <c r="AO1142" s="36"/>
      <c r="AP1142" s="36"/>
      <c r="AQ1142" s="36"/>
      <c r="GE1142" s="94"/>
      <c r="GF1142" s="104">
        <f t="shared" si="409"/>
        <v>2017</v>
      </c>
      <c r="GG1142" s="104">
        <f t="shared" si="410"/>
        <v>25</v>
      </c>
      <c r="GH1142" s="35">
        <v>42908</v>
      </c>
      <c r="GI1142" s="26">
        <v>3.006</v>
      </c>
      <c r="GJ1142" s="94">
        <f t="shared" si="411"/>
        <v>6.012</v>
      </c>
      <c r="GK1142" s="104"/>
      <c r="GL1142" s="104"/>
      <c r="GO1142" s="94"/>
    </row>
    <row r="1143" spans="3:197">
      <c r="C1143" s="80" t="str" cm="1">
        <f t="array" ref="C1143">_xlfn.IFS(MONTH(D1143)&lt;4,1,MONTH(D1143)&lt;7,2,MONTH(D1143)&lt;10,3,MONTH(D1143)&gt;9,4)&amp;"Q"&amp;RIGHT(YEAR(D1143),2)</f>
        <v>3Q20</v>
      </c>
      <c r="D1143" s="81">
        <f t="shared" si="407"/>
        <v>44074</v>
      </c>
      <c r="E1143" s="82">
        <f t="shared" si="401"/>
        <v>44053</v>
      </c>
      <c r="F1143" s="83">
        <f t="shared" si="412"/>
        <v>0.325875</v>
      </c>
      <c r="G1143" s="83">
        <f t="shared" si="412"/>
        <v>0.39125</v>
      </c>
      <c r="H1143" s="81"/>
      <c r="I1143" s="146">
        <v>44053</v>
      </c>
      <c r="J1143" s="147">
        <v>3.18</v>
      </c>
      <c r="K1143" s="147">
        <v>2.5</v>
      </c>
      <c r="L1143" s="147">
        <v>2.607</v>
      </c>
      <c r="M1143" s="94" cm="1">
        <f t="array" ref="M1143">INDEX($BV$29:$BV$1449,MATCH($D1143,$BR$29:$BR$1449,0),)</f>
        <v>3.13</v>
      </c>
      <c r="N1143" s="150">
        <f t="shared" si="402"/>
        <v>0</v>
      </c>
      <c r="O1143" s="150">
        <f t="shared" si="403"/>
        <v>-0.00458190148911797</v>
      </c>
      <c r="P1143" s="150">
        <f t="shared" si="399"/>
        <v>-0.0121258052292533</v>
      </c>
      <c r="Q1143" s="89">
        <f t="shared" si="404"/>
        <v>-0.167092651757188</v>
      </c>
      <c r="AH1143" s="90"/>
      <c r="AI1143" s="85"/>
      <c r="AJ1143" s="36"/>
      <c r="AK1143" s="36"/>
      <c r="AL1143" s="36"/>
      <c r="AM1143" s="36"/>
      <c r="AN1143" s="36"/>
      <c r="AO1143" s="36"/>
      <c r="AP1143" s="36"/>
      <c r="AQ1143" s="36"/>
      <c r="GE1143" s="94"/>
      <c r="GF1143" s="104">
        <f t="shared" si="409"/>
        <v>2017</v>
      </c>
      <c r="GG1143" s="104">
        <f t="shared" si="410"/>
        <v>25</v>
      </c>
      <c r="GH1143" s="35">
        <v>42909</v>
      </c>
      <c r="GI1143" s="26">
        <v>3.031</v>
      </c>
      <c r="GJ1143" s="94">
        <f t="shared" si="411"/>
        <v>6.062</v>
      </c>
      <c r="GK1143" s="104"/>
      <c r="GL1143" s="104"/>
      <c r="GO1143" s="94"/>
    </row>
    <row r="1144" spans="3:197">
      <c r="C1144" s="80" t="str" cm="1">
        <f t="array" ref="C1144">_xlfn.IFS(MONTH(D1144)&lt;4,1,MONTH(D1144)&lt;7,2,MONTH(D1144)&lt;10,3,MONTH(D1144)&gt;9,4)&amp;"Q"&amp;RIGHT(YEAR(D1144),2)</f>
        <v>3Q20</v>
      </c>
      <c r="D1144" s="81">
        <f t="shared" si="407"/>
        <v>44074</v>
      </c>
      <c r="E1144" s="82">
        <f t="shared" si="401"/>
        <v>44054</v>
      </c>
      <c r="F1144" s="83">
        <f t="shared" si="412"/>
        <v>0.325875</v>
      </c>
      <c r="G1144" s="83">
        <f t="shared" si="412"/>
        <v>0.39125</v>
      </c>
      <c r="H1144" s="81"/>
      <c r="I1144" s="146">
        <v>44054</v>
      </c>
      <c r="J1144" s="147">
        <v>3.18</v>
      </c>
      <c r="K1144" s="147">
        <v>2.5</v>
      </c>
      <c r="L1144" s="147">
        <v>2.607</v>
      </c>
      <c r="M1144" s="94" cm="1">
        <f t="array" ref="M1144">INDEX($BV$29:$BV$1449,MATCH($D1144,$BR$29:$BR$1449,0),)</f>
        <v>3.13</v>
      </c>
      <c r="N1144" s="150">
        <f t="shared" si="402"/>
        <v>0</v>
      </c>
      <c r="O1144" s="150">
        <f t="shared" si="403"/>
        <v>-0.00114942528735618</v>
      </c>
      <c r="P1144" s="150">
        <f t="shared" si="399"/>
        <v>-0.00874524714828884</v>
      </c>
      <c r="Q1144" s="89">
        <f t="shared" si="404"/>
        <v>-0.167092651757188</v>
      </c>
      <c r="AH1144" s="90"/>
      <c r="AI1144" s="85"/>
      <c r="AJ1144" s="36"/>
      <c r="AK1144" s="36"/>
      <c r="AL1144" s="36"/>
      <c r="AM1144" s="36"/>
      <c r="AN1144" s="36"/>
      <c r="AO1144" s="36"/>
      <c r="AP1144" s="36"/>
      <c r="AQ1144" s="36"/>
      <c r="GE1144" s="94"/>
      <c r="GF1144" s="104">
        <f t="shared" si="409"/>
        <v>2017</v>
      </c>
      <c r="GG1144" s="104">
        <f t="shared" si="410"/>
        <v>26</v>
      </c>
      <c r="GH1144" s="35">
        <v>42912</v>
      </c>
      <c r="GI1144" s="26">
        <v>3.043</v>
      </c>
      <c r="GJ1144" s="94">
        <f t="shared" si="411"/>
        <v>6.086</v>
      </c>
      <c r="GK1144" s="104"/>
      <c r="GL1144" s="104"/>
      <c r="GO1144" s="94"/>
    </row>
    <row r="1145" spans="3:197">
      <c r="C1145" s="80" t="str" cm="1">
        <f t="array" ref="C1145">_xlfn.IFS(MONTH(D1145)&lt;4,1,MONTH(D1145)&lt;7,2,MONTH(D1145)&lt;10,3,MONTH(D1145)&gt;9,4)&amp;"Q"&amp;RIGHT(YEAR(D1145),2)</f>
        <v>3Q20</v>
      </c>
      <c r="D1145" s="81">
        <f t="shared" si="407"/>
        <v>44074</v>
      </c>
      <c r="E1145" s="82">
        <f t="shared" si="401"/>
        <v>44055</v>
      </c>
      <c r="F1145" s="83">
        <f t="shared" si="412"/>
        <v>0.325875</v>
      </c>
      <c r="G1145" s="83">
        <f t="shared" si="412"/>
        <v>0.39125</v>
      </c>
      <c r="H1145" s="81"/>
      <c r="I1145" s="146">
        <v>44055</v>
      </c>
      <c r="J1145" s="147">
        <v>3.18</v>
      </c>
      <c r="K1145" s="147">
        <v>2.5</v>
      </c>
      <c r="L1145" s="147">
        <v>2.607</v>
      </c>
      <c r="M1145" s="94" cm="1">
        <f t="array" ref="M1145">INDEX($BV$29:$BV$1449,MATCH($D1145,$BR$29:$BR$1449,0),)</f>
        <v>3.13</v>
      </c>
      <c r="N1145" s="150">
        <f t="shared" si="402"/>
        <v>0</v>
      </c>
      <c r="O1145" s="150">
        <f t="shared" si="403"/>
        <v>-0.000766577232656052</v>
      </c>
      <c r="P1145" s="150">
        <f t="shared" si="399"/>
        <v>-0.00836820083681999</v>
      </c>
      <c r="Q1145" s="89">
        <f t="shared" si="404"/>
        <v>-0.167092651757188</v>
      </c>
      <c r="AH1145" s="90"/>
      <c r="AI1145" s="85"/>
      <c r="AJ1145" s="36"/>
      <c r="AK1145" s="36"/>
      <c r="AL1145" s="36"/>
      <c r="AM1145" s="36"/>
      <c r="AN1145" s="36"/>
      <c r="AO1145" s="36"/>
      <c r="AP1145" s="36"/>
      <c r="AQ1145" s="36"/>
      <c r="GE1145" s="94"/>
      <c r="GF1145" s="104">
        <f t="shared" si="409"/>
        <v>2017</v>
      </c>
      <c r="GG1145" s="104">
        <f t="shared" si="410"/>
        <v>26</v>
      </c>
      <c r="GH1145" s="35">
        <v>42913</v>
      </c>
      <c r="GI1145" s="26">
        <v>3.043</v>
      </c>
      <c r="GJ1145" s="94">
        <f t="shared" si="411"/>
        <v>6.086</v>
      </c>
      <c r="GK1145" s="104"/>
      <c r="GL1145" s="104"/>
      <c r="GO1145" s="94"/>
    </row>
    <row r="1146" spans="3:197">
      <c r="C1146" s="80" t="str" cm="1">
        <f t="array" ref="C1146">_xlfn.IFS(MONTH(D1146)&lt;4,1,MONTH(D1146)&lt;7,2,MONTH(D1146)&lt;10,3,MONTH(D1146)&gt;9,4)&amp;"Q"&amp;RIGHT(YEAR(D1146),2)</f>
        <v>3Q20</v>
      </c>
      <c r="D1146" s="81">
        <f t="shared" si="407"/>
        <v>44074</v>
      </c>
      <c r="E1146" s="82">
        <f t="shared" si="401"/>
        <v>44056</v>
      </c>
      <c r="F1146" s="83">
        <f t="shared" si="412"/>
        <v>0.322625</v>
      </c>
      <c r="G1146" s="83">
        <f t="shared" si="412"/>
        <v>0.39125</v>
      </c>
      <c r="H1146" s="81"/>
      <c r="I1146" s="146">
        <v>44056</v>
      </c>
      <c r="J1146" s="147">
        <v>3.15</v>
      </c>
      <c r="K1146" s="147">
        <v>2.48</v>
      </c>
      <c r="L1146" s="147">
        <v>2.581</v>
      </c>
      <c r="M1146" s="94" cm="1">
        <f t="array" ref="M1146">INDEX($BV$29:$BV$1449,MATCH($D1146,$BR$29:$BR$1449,0),)</f>
        <v>3.13</v>
      </c>
      <c r="N1146" s="150">
        <f t="shared" si="402"/>
        <v>-0.00997314921365566</v>
      </c>
      <c r="O1146" s="150">
        <f t="shared" si="403"/>
        <v>-0.0107320812571867</v>
      </c>
      <c r="P1146" s="150">
        <f t="shared" si="399"/>
        <v>-0.0148854961832061</v>
      </c>
      <c r="Q1146" s="89">
        <f t="shared" si="404"/>
        <v>-0.175399361022364</v>
      </c>
      <c r="AH1146" s="90"/>
      <c r="AI1146" s="85"/>
      <c r="AJ1146" s="36"/>
      <c r="AK1146" s="36"/>
      <c r="AL1146" s="36"/>
      <c r="AM1146" s="36"/>
      <c r="AN1146" s="36"/>
      <c r="AO1146" s="36"/>
      <c r="AP1146" s="36"/>
      <c r="AQ1146" s="36"/>
      <c r="GE1146" s="94"/>
      <c r="GF1146" s="104">
        <f t="shared" si="409"/>
        <v>2017</v>
      </c>
      <c r="GG1146" s="104">
        <f t="shared" si="410"/>
        <v>26</v>
      </c>
      <c r="GH1146" s="35">
        <v>42914</v>
      </c>
      <c r="GI1146" s="26">
        <v>3.046</v>
      </c>
      <c r="GJ1146" s="94">
        <f t="shared" si="411"/>
        <v>6.092</v>
      </c>
      <c r="GK1146" s="104"/>
      <c r="GL1146" s="104"/>
      <c r="GO1146" s="94"/>
    </row>
    <row r="1147" spans="3:197">
      <c r="C1147" s="80" t="str" cm="1">
        <f t="array" ref="C1147">_xlfn.IFS(MONTH(D1147)&lt;4,1,MONTH(D1147)&lt;7,2,MONTH(D1147)&lt;10,3,MONTH(D1147)&gt;9,4)&amp;"Q"&amp;RIGHT(YEAR(D1147),2)</f>
        <v>3Q20</v>
      </c>
      <c r="D1147" s="81">
        <f t="shared" si="407"/>
        <v>44074</v>
      </c>
      <c r="E1147" s="82">
        <f t="shared" si="401"/>
        <v>44057</v>
      </c>
      <c r="F1147" s="83">
        <f t="shared" si="412"/>
        <v>0.321625</v>
      </c>
      <c r="G1147" s="83">
        <f t="shared" si="412"/>
        <v>0.39125</v>
      </c>
      <c r="H1147" s="81"/>
      <c r="I1147" s="146">
        <v>44057</v>
      </c>
      <c r="J1147" s="147">
        <v>3.15</v>
      </c>
      <c r="K1147" s="147">
        <v>2.45</v>
      </c>
      <c r="L1147" s="147">
        <v>2.573</v>
      </c>
      <c r="M1147" s="94" cm="1">
        <f t="array" ref="M1147">INDEX($BV$29:$BV$1449,MATCH($D1147,$BR$29:$BR$1449,0),)</f>
        <v>3.13</v>
      </c>
      <c r="N1147" s="150">
        <f t="shared" si="402"/>
        <v>-0.00309957380860137</v>
      </c>
      <c r="O1147" s="150">
        <f t="shared" si="403"/>
        <v>-0.0130418105101651</v>
      </c>
      <c r="P1147" s="150">
        <f t="shared" si="399"/>
        <v>-0.0175639557082857</v>
      </c>
      <c r="Q1147" s="89">
        <f t="shared" si="404"/>
        <v>-0.177955271565495</v>
      </c>
      <c r="AH1147" s="90"/>
      <c r="AI1147" s="85"/>
      <c r="AJ1147" s="36"/>
      <c r="AK1147" s="36"/>
      <c r="AL1147" s="36"/>
      <c r="AM1147" s="36"/>
      <c r="AN1147" s="36"/>
      <c r="AO1147" s="36"/>
      <c r="AP1147" s="36"/>
      <c r="AQ1147" s="36"/>
      <c r="GE1147" s="94"/>
      <c r="GF1147" s="104">
        <f t="shared" si="409"/>
        <v>2017</v>
      </c>
      <c r="GG1147" s="104">
        <f t="shared" si="410"/>
        <v>26</v>
      </c>
      <c r="GH1147" s="35">
        <v>42915</v>
      </c>
      <c r="GI1147" s="26">
        <v>3.048</v>
      </c>
      <c r="GJ1147" s="94">
        <f t="shared" si="411"/>
        <v>6.096</v>
      </c>
      <c r="GK1147" s="104"/>
      <c r="GL1147" s="104"/>
      <c r="GO1147" s="94"/>
    </row>
    <row r="1148" spans="3:197">
      <c r="C1148" s="80" t="str" cm="1">
        <f t="array" ref="C1148">_xlfn.IFS(MONTH(D1148)&lt;4,1,MONTH(D1148)&lt;7,2,MONTH(D1148)&lt;10,3,MONTH(D1148)&gt;9,4)&amp;"Q"&amp;RIGHT(YEAR(D1148),2)</f>
        <v>3Q20</v>
      </c>
      <c r="D1148" s="81">
        <f t="shared" si="407"/>
        <v>44074</v>
      </c>
      <c r="E1148" s="82">
        <f t="shared" si="401"/>
        <v>44060</v>
      </c>
      <c r="F1148" s="83">
        <f t="shared" si="412"/>
        <v>0.321375</v>
      </c>
      <c r="G1148" s="83">
        <f t="shared" si="412"/>
        <v>0.39125</v>
      </c>
      <c r="H1148" s="81"/>
      <c r="I1148" s="146">
        <v>44060</v>
      </c>
      <c r="J1148" s="147">
        <v>3.15</v>
      </c>
      <c r="K1148" s="147">
        <v>2.45</v>
      </c>
      <c r="L1148" s="147">
        <v>2.571</v>
      </c>
      <c r="M1148" s="94" cm="1">
        <f t="array" ref="M1148">INDEX($BV$29:$BV$1449,MATCH($D1148,$BR$29:$BR$1449,0),)</f>
        <v>3.13</v>
      </c>
      <c r="N1148" s="150">
        <f t="shared" si="402"/>
        <v>-0.00077730275942467</v>
      </c>
      <c r="O1148" s="150">
        <f t="shared" si="403"/>
        <v>-0.0138089758342923</v>
      </c>
      <c r="P1148" s="150">
        <f t="shared" si="399"/>
        <v>-0.018327605956472</v>
      </c>
      <c r="Q1148" s="89">
        <f t="shared" si="404"/>
        <v>-0.178594249201278</v>
      </c>
      <c r="AH1148" s="90"/>
      <c r="AI1148" s="85"/>
      <c r="AJ1148" s="36"/>
      <c r="AK1148" s="36"/>
      <c r="AL1148" s="36"/>
      <c r="AM1148" s="36"/>
      <c r="AN1148" s="36"/>
      <c r="AO1148" s="36"/>
      <c r="AP1148" s="36"/>
      <c r="AQ1148" s="36"/>
      <c r="GE1148" s="94"/>
      <c r="GF1148" s="104">
        <f t="shared" si="409"/>
        <v>2017</v>
      </c>
      <c r="GG1148" s="104">
        <f t="shared" si="410"/>
        <v>26</v>
      </c>
      <c r="GH1148" s="35">
        <v>42916</v>
      </c>
      <c r="GI1148" s="26">
        <v>3.051</v>
      </c>
      <c r="GJ1148" s="94">
        <f t="shared" si="411"/>
        <v>6.102</v>
      </c>
      <c r="GK1148" s="104"/>
      <c r="GL1148" s="104"/>
      <c r="GO1148" s="94"/>
    </row>
    <row r="1149" spans="3:197">
      <c r="C1149" s="80" t="str" cm="1">
        <f t="array" ref="C1149">_xlfn.IFS(MONTH(D1149)&lt;4,1,MONTH(D1149)&lt;7,2,MONTH(D1149)&lt;10,3,MONTH(D1149)&gt;9,4)&amp;"Q"&amp;RIGHT(YEAR(D1149),2)</f>
        <v>3Q20</v>
      </c>
      <c r="D1149" s="81">
        <f t="shared" si="407"/>
        <v>44074</v>
      </c>
      <c r="E1149" s="82">
        <f t="shared" si="401"/>
        <v>44061</v>
      </c>
      <c r="F1149" s="83">
        <f t="shared" si="412"/>
        <v>0.320375</v>
      </c>
      <c r="G1149" s="83">
        <f t="shared" si="412"/>
        <v>0.39125</v>
      </c>
      <c r="H1149" s="81"/>
      <c r="I1149" s="146">
        <v>44061</v>
      </c>
      <c r="J1149" s="147">
        <v>3.15</v>
      </c>
      <c r="K1149" s="147">
        <v>2.44</v>
      </c>
      <c r="L1149" s="147">
        <v>2.563</v>
      </c>
      <c r="M1149" s="94" cm="1">
        <f t="array" ref="M1149">INDEX($BV$29:$BV$1449,MATCH($D1149,$BR$29:$BR$1449,0),)</f>
        <v>3.13</v>
      </c>
      <c r="N1149" s="150">
        <f t="shared" si="402"/>
        <v>-0.00311162971606382</v>
      </c>
      <c r="O1149" s="150">
        <f t="shared" si="403"/>
        <v>-0.0168776371308017</v>
      </c>
      <c r="P1149" s="150">
        <f t="shared" si="399"/>
        <v>-0.0180076628352489</v>
      </c>
      <c r="Q1149" s="89">
        <f t="shared" si="404"/>
        <v>-0.181150159744409</v>
      </c>
      <c r="AH1149" s="90"/>
      <c r="AI1149" s="85"/>
      <c r="AJ1149" s="36"/>
      <c r="AK1149" s="36"/>
      <c r="AL1149" s="36"/>
      <c r="AM1149" s="36"/>
      <c r="AN1149" s="36"/>
      <c r="AO1149" s="36"/>
      <c r="AP1149" s="36"/>
      <c r="AQ1149" s="36"/>
      <c r="GE1149" s="94"/>
      <c r="GF1149" s="104">
        <f t="shared" si="409"/>
        <v>2017</v>
      </c>
      <c r="GG1149" s="104">
        <f t="shared" si="410"/>
        <v>27</v>
      </c>
      <c r="GH1149" s="35">
        <v>42919</v>
      </c>
      <c r="GI1149" s="26">
        <v>3.057</v>
      </c>
      <c r="GJ1149" s="94">
        <f t="shared" si="411"/>
        <v>6.114</v>
      </c>
      <c r="GK1149" s="104"/>
      <c r="GL1149" s="104"/>
      <c r="GO1149" s="94"/>
    </row>
    <row r="1150" spans="3:197">
      <c r="C1150" s="80" t="str" cm="1">
        <f t="array" ref="C1150">_xlfn.IFS(MONTH(D1150)&lt;4,1,MONTH(D1150)&lt;7,2,MONTH(D1150)&lt;10,3,MONTH(D1150)&gt;9,4)&amp;"Q"&amp;RIGHT(YEAR(D1150),2)</f>
        <v>3Q20</v>
      </c>
      <c r="D1150" s="81">
        <f t="shared" si="407"/>
        <v>44074</v>
      </c>
      <c r="E1150" s="82">
        <f t="shared" si="401"/>
        <v>44062</v>
      </c>
      <c r="F1150" s="83">
        <f t="shared" si="412"/>
        <v>0.31925</v>
      </c>
      <c r="G1150" s="83">
        <f t="shared" si="412"/>
        <v>0.39125</v>
      </c>
      <c r="H1150" s="81"/>
      <c r="I1150" s="146">
        <v>44062</v>
      </c>
      <c r="J1150" s="147">
        <v>3.15</v>
      </c>
      <c r="K1150" s="147">
        <v>2.44</v>
      </c>
      <c r="L1150" s="147">
        <v>2.554</v>
      </c>
      <c r="M1150" s="94" cm="1">
        <f t="array" ref="M1150">INDEX($BV$29:$BV$1449,MATCH($D1150,$BR$29:$BR$1449,0),)</f>
        <v>3.13</v>
      </c>
      <c r="N1150" s="150">
        <f t="shared" si="402"/>
        <v>-0.00351150994927829</v>
      </c>
      <c r="O1150" s="150">
        <f t="shared" si="403"/>
        <v>-0.0203298810893749</v>
      </c>
      <c r="P1150" s="150">
        <f t="shared" si="399"/>
        <v>-0.0210808738980452</v>
      </c>
      <c r="Q1150" s="89">
        <f t="shared" si="404"/>
        <v>-0.184025559105431</v>
      </c>
      <c r="AH1150" s="90"/>
      <c r="AI1150" s="85"/>
      <c r="AJ1150" s="36"/>
      <c r="AK1150" s="36"/>
      <c r="AL1150" s="36"/>
      <c r="AM1150" s="36"/>
      <c r="AN1150" s="36"/>
      <c r="AO1150" s="36"/>
      <c r="AP1150" s="36"/>
      <c r="AQ1150" s="36"/>
      <c r="GE1150" s="94"/>
      <c r="GF1150" s="104">
        <f t="shared" si="409"/>
        <v>2017</v>
      </c>
      <c r="GG1150" s="104">
        <f t="shared" si="410"/>
        <v>27</v>
      </c>
      <c r="GH1150" s="35">
        <v>42920</v>
      </c>
      <c r="GI1150" s="26">
        <v>3.06</v>
      </c>
      <c r="GJ1150" s="94">
        <f t="shared" si="411"/>
        <v>6.12</v>
      </c>
      <c r="GK1150" s="104"/>
      <c r="GL1150" s="104"/>
      <c r="GO1150" s="94"/>
    </row>
    <row r="1151" spans="3:197">
      <c r="C1151" s="80" t="str" cm="1">
        <f t="array" ref="C1151">_xlfn.IFS(MONTH(D1151)&lt;4,1,MONTH(D1151)&lt;7,2,MONTH(D1151)&lt;10,3,MONTH(D1151)&gt;9,4)&amp;"Q"&amp;RIGHT(YEAR(D1151),2)</f>
        <v>3Q20</v>
      </c>
      <c r="D1151" s="81">
        <f t="shared" si="407"/>
        <v>44074</v>
      </c>
      <c r="E1151" s="82">
        <f t="shared" si="401"/>
        <v>44063</v>
      </c>
      <c r="F1151" s="83">
        <f t="shared" si="412"/>
        <v>0.317125</v>
      </c>
      <c r="G1151" s="83">
        <f t="shared" si="412"/>
        <v>0.39125</v>
      </c>
      <c r="H1151" s="81"/>
      <c r="I1151" s="146">
        <v>44063</v>
      </c>
      <c r="J1151" s="147">
        <v>3.15</v>
      </c>
      <c r="K1151" s="147">
        <v>2.44</v>
      </c>
      <c r="L1151" s="147">
        <v>2.537</v>
      </c>
      <c r="M1151" s="94" cm="1">
        <f t="array" ref="M1151">INDEX($BV$29:$BV$1449,MATCH($D1151,$BR$29:$BR$1449,0),)</f>
        <v>3.13</v>
      </c>
      <c r="N1151" s="150">
        <f t="shared" si="402"/>
        <v>-0.00665622552858258</v>
      </c>
      <c r="O1151" s="150">
        <f t="shared" si="403"/>
        <v>-0.0170476559473073</v>
      </c>
      <c r="P1151" s="150">
        <f t="shared" si="399"/>
        <v>-0.0275967803756229</v>
      </c>
      <c r="Q1151" s="89">
        <f t="shared" si="404"/>
        <v>-0.189456869009585</v>
      </c>
      <c r="AH1151" s="90"/>
      <c r="AI1151" s="85"/>
      <c r="AJ1151" s="36"/>
      <c r="AK1151" s="36"/>
      <c r="AL1151" s="36"/>
      <c r="AM1151" s="36"/>
      <c r="AN1151" s="36"/>
      <c r="AO1151" s="36"/>
      <c r="AP1151" s="36"/>
      <c r="AQ1151" s="36"/>
      <c r="GE1151" s="94"/>
      <c r="GF1151" s="104">
        <f t="shared" si="409"/>
        <v>2017</v>
      </c>
      <c r="GG1151" s="104">
        <f t="shared" si="410"/>
        <v>27</v>
      </c>
      <c r="GH1151" s="35">
        <v>42921</v>
      </c>
      <c r="GI1151" s="26">
        <v>3.076</v>
      </c>
      <c r="GJ1151" s="94">
        <f t="shared" si="411"/>
        <v>6.152</v>
      </c>
      <c r="GK1151" s="104"/>
      <c r="GL1151" s="104"/>
      <c r="GO1151" s="94"/>
    </row>
    <row r="1152" spans="3:197">
      <c r="C1152" s="80" t="str" cm="1">
        <f t="array" ref="C1152">_xlfn.IFS(MONTH(D1152)&lt;4,1,MONTH(D1152)&lt;7,2,MONTH(D1152)&lt;10,3,MONTH(D1152)&gt;9,4)&amp;"Q"&amp;RIGHT(YEAR(D1152),2)</f>
        <v>3Q20</v>
      </c>
      <c r="D1152" s="81">
        <f t="shared" si="407"/>
        <v>44074</v>
      </c>
      <c r="E1152" s="82">
        <f t="shared" si="401"/>
        <v>44064</v>
      </c>
      <c r="F1152" s="83">
        <f t="shared" si="412"/>
        <v>0.317125</v>
      </c>
      <c r="G1152" s="83">
        <f t="shared" si="412"/>
        <v>0.39125</v>
      </c>
      <c r="H1152" s="81"/>
      <c r="I1152" s="146">
        <v>44064</v>
      </c>
      <c r="J1152" s="147">
        <v>3.15</v>
      </c>
      <c r="K1152" s="147">
        <v>2.44</v>
      </c>
      <c r="L1152" s="147">
        <v>2.537</v>
      </c>
      <c r="M1152" s="94" cm="1">
        <f t="array" ref="M1152">INDEX($BV$29:$BV$1449,MATCH($D1152,$BR$29:$BR$1449,0),)</f>
        <v>3.13</v>
      </c>
      <c r="N1152" s="150">
        <f t="shared" si="402"/>
        <v>0</v>
      </c>
      <c r="O1152" s="150">
        <f t="shared" si="403"/>
        <v>-0.0139914496696464</v>
      </c>
      <c r="P1152" s="150">
        <f t="shared" ref="P1152:P1215" si="413">L1152/L1142-1</f>
        <v>-0.0268507863444574</v>
      </c>
      <c r="Q1152" s="89">
        <f t="shared" si="404"/>
        <v>-0.189456869009585</v>
      </c>
      <c r="AH1152" s="90"/>
      <c r="AI1152" s="85"/>
      <c r="AJ1152" s="36"/>
      <c r="AK1152" s="36"/>
      <c r="AL1152" s="36"/>
      <c r="AM1152" s="36"/>
      <c r="AN1152" s="36"/>
      <c r="AO1152" s="36"/>
      <c r="AP1152" s="36"/>
      <c r="AQ1152" s="36"/>
      <c r="GE1152" s="94"/>
      <c r="GF1152" s="104">
        <f t="shared" si="409"/>
        <v>2017</v>
      </c>
      <c r="GG1152" s="104">
        <f t="shared" si="410"/>
        <v>27</v>
      </c>
      <c r="GH1152" s="35">
        <v>42922</v>
      </c>
      <c r="GI1152" s="26">
        <v>3.089</v>
      </c>
      <c r="GJ1152" s="94">
        <f t="shared" si="411"/>
        <v>6.178</v>
      </c>
      <c r="GK1152" s="104"/>
      <c r="GL1152" s="104"/>
      <c r="GO1152" s="94"/>
    </row>
    <row r="1153" spans="3:197">
      <c r="C1153" s="80" t="str" cm="1">
        <f t="array" ref="C1153">_xlfn.IFS(MONTH(D1153)&lt;4,1,MONTH(D1153)&lt;7,2,MONTH(D1153)&lt;10,3,MONTH(D1153)&gt;9,4)&amp;"Q"&amp;RIGHT(YEAR(D1153),2)</f>
        <v>3Q20</v>
      </c>
      <c r="D1153" s="81">
        <f t="shared" si="407"/>
        <v>44074</v>
      </c>
      <c r="E1153" s="82">
        <f t="shared" si="401"/>
        <v>44067</v>
      </c>
      <c r="F1153" s="83">
        <f t="shared" si="412"/>
        <v>0.316125</v>
      </c>
      <c r="G1153" s="83">
        <f t="shared" si="412"/>
        <v>0.39125</v>
      </c>
      <c r="H1153" s="81"/>
      <c r="I1153" s="146">
        <v>44067</v>
      </c>
      <c r="J1153" s="147">
        <v>3.15</v>
      </c>
      <c r="K1153" s="147">
        <v>2.42</v>
      </c>
      <c r="L1153" s="147">
        <v>2.529</v>
      </c>
      <c r="M1153" s="94" cm="1">
        <f t="array" ref="M1153">INDEX($BV$29:$BV$1449,MATCH($D1153,$BR$29:$BR$1449,0),)</f>
        <v>3.13</v>
      </c>
      <c r="N1153" s="150">
        <f t="shared" si="402"/>
        <v>-0.00315333070555779</v>
      </c>
      <c r="O1153" s="150">
        <f t="shared" si="403"/>
        <v>-0.016336056009335</v>
      </c>
      <c r="P1153" s="150">
        <f t="shared" si="413"/>
        <v>-0.0299194476409668</v>
      </c>
      <c r="Q1153" s="89">
        <f t="shared" si="404"/>
        <v>-0.192012779552716</v>
      </c>
      <c r="AH1153" s="90"/>
      <c r="AI1153" s="85"/>
      <c r="AJ1153" s="36"/>
      <c r="AK1153" s="36"/>
      <c r="AL1153" s="36"/>
      <c r="AM1153" s="36"/>
      <c r="AN1153" s="36"/>
      <c r="AO1153" s="36"/>
      <c r="AP1153" s="36"/>
      <c r="AQ1153" s="36"/>
      <c r="GE1153" s="94"/>
      <c r="GF1153" s="104">
        <f t="shared" si="409"/>
        <v>2017</v>
      </c>
      <c r="GG1153" s="104">
        <f t="shared" si="410"/>
        <v>27</v>
      </c>
      <c r="GH1153" s="35">
        <v>42923</v>
      </c>
      <c r="GI1153" s="26">
        <v>3.095</v>
      </c>
      <c r="GJ1153" s="94">
        <f t="shared" si="411"/>
        <v>6.19</v>
      </c>
      <c r="GK1153" s="104"/>
      <c r="GL1153" s="104"/>
      <c r="GO1153" s="94"/>
    </row>
    <row r="1154" spans="3:197">
      <c r="C1154" s="80" t="str" cm="1">
        <f t="array" ref="C1154">_xlfn.IFS(MONTH(D1154)&lt;4,1,MONTH(D1154)&lt;7,2,MONTH(D1154)&lt;10,3,MONTH(D1154)&gt;9,4)&amp;"Q"&amp;RIGHT(YEAR(D1154),2)</f>
        <v>3Q20</v>
      </c>
      <c r="D1154" s="81">
        <f t="shared" si="407"/>
        <v>44074</v>
      </c>
      <c r="E1154" s="82">
        <f t="shared" si="401"/>
        <v>44068</v>
      </c>
      <c r="F1154" s="83">
        <f t="shared" si="412"/>
        <v>0.316875</v>
      </c>
      <c r="G1154" s="83">
        <f t="shared" si="412"/>
        <v>0.39125</v>
      </c>
      <c r="H1154" s="81"/>
      <c r="I1154" s="146">
        <v>44068</v>
      </c>
      <c r="J1154" s="147">
        <v>3.15</v>
      </c>
      <c r="K1154" s="147">
        <v>2.42</v>
      </c>
      <c r="L1154" s="147">
        <v>2.535</v>
      </c>
      <c r="M1154" s="94" cm="1">
        <f t="array" ref="M1154">INDEX($BV$29:$BV$1449,MATCH($D1154,$BR$29:$BR$1449,0),)</f>
        <v>3.13</v>
      </c>
      <c r="N1154" s="150">
        <f t="shared" si="402"/>
        <v>0.00237247924080664</v>
      </c>
      <c r="O1154" s="150">
        <f t="shared" si="403"/>
        <v>-0.0109246976199766</v>
      </c>
      <c r="P1154" s="150">
        <f t="shared" si="413"/>
        <v>-0.0276179516685846</v>
      </c>
      <c r="Q1154" s="89">
        <f t="shared" si="404"/>
        <v>-0.190095846645367</v>
      </c>
      <c r="AH1154" s="90"/>
      <c r="AI1154" s="85"/>
      <c r="AJ1154" s="36"/>
      <c r="AK1154" s="36"/>
      <c r="AL1154" s="36"/>
      <c r="AM1154" s="36"/>
      <c r="AN1154" s="36"/>
      <c r="AO1154" s="36"/>
      <c r="AP1154" s="36"/>
      <c r="AQ1154" s="36"/>
      <c r="GE1154" s="94"/>
      <c r="GF1154" s="104">
        <f t="shared" si="409"/>
        <v>2017</v>
      </c>
      <c r="GG1154" s="104">
        <f t="shared" si="410"/>
        <v>28</v>
      </c>
      <c r="GH1154" s="35">
        <v>42926</v>
      </c>
      <c r="GI1154" s="26">
        <v>3.121</v>
      </c>
      <c r="GJ1154" s="94">
        <f t="shared" si="411"/>
        <v>6.242</v>
      </c>
      <c r="GK1154" s="104"/>
      <c r="GL1154" s="104"/>
      <c r="GO1154" s="94"/>
    </row>
    <row r="1155" spans="3:197">
      <c r="C1155" s="80" t="str" cm="1">
        <f t="array" ref="C1155">_xlfn.IFS(MONTH(D1155)&lt;4,1,MONTH(D1155)&lt;7,2,MONTH(D1155)&lt;10,3,MONTH(D1155)&gt;9,4)&amp;"Q"&amp;RIGHT(YEAR(D1155),2)</f>
        <v>3Q20</v>
      </c>
      <c r="D1155" s="81">
        <f t="shared" si="407"/>
        <v>44074</v>
      </c>
      <c r="E1155" s="82">
        <f t="shared" si="401"/>
        <v>44069</v>
      </c>
      <c r="F1155" s="83">
        <f t="shared" si="412"/>
        <v>0.32075</v>
      </c>
      <c r="G1155" s="83">
        <f t="shared" si="412"/>
        <v>0.39125</v>
      </c>
      <c r="H1155" s="81"/>
      <c r="I1155" s="146">
        <v>44069</v>
      </c>
      <c r="J1155" s="147">
        <v>3.15</v>
      </c>
      <c r="K1155" s="147">
        <v>2.45</v>
      </c>
      <c r="L1155" s="147">
        <v>2.566</v>
      </c>
      <c r="M1155" s="94" cm="1">
        <f t="array" ref="M1155">INDEX($BV$29:$BV$1449,MATCH($D1155,$BR$29:$BR$1449,0),)</f>
        <v>3.13</v>
      </c>
      <c r="N1155" s="150">
        <f t="shared" si="402"/>
        <v>0.0122287968441814</v>
      </c>
      <c r="O1155" s="150">
        <f t="shared" si="403"/>
        <v>0.00469851213782313</v>
      </c>
      <c r="P1155" s="150">
        <f t="shared" si="413"/>
        <v>-0.0157268891446108</v>
      </c>
      <c r="Q1155" s="89">
        <f t="shared" si="404"/>
        <v>-0.180191693290735</v>
      </c>
      <c r="AH1155" s="90"/>
      <c r="AI1155" s="85"/>
      <c r="AJ1155" s="36"/>
      <c r="AK1155" s="36"/>
      <c r="AL1155" s="36"/>
      <c r="AM1155" s="36"/>
      <c r="AN1155" s="36"/>
      <c r="AO1155" s="36"/>
      <c r="AP1155" s="36"/>
      <c r="AQ1155" s="36"/>
      <c r="GE1155" s="94"/>
      <c r="GF1155" s="104">
        <f t="shared" si="409"/>
        <v>2017</v>
      </c>
      <c r="GG1155" s="104">
        <f t="shared" si="410"/>
        <v>28</v>
      </c>
      <c r="GH1155" s="35">
        <v>42927</v>
      </c>
      <c r="GI1155" s="26">
        <v>3.137</v>
      </c>
      <c r="GJ1155" s="94">
        <f t="shared" si="411"/>
        <v>6.274</v>
      </c>
      <c r="GK1155" s="104"/>
      <c r="GL1155" s="104"/>
      <c r="GO1155" s="94"/>
    </row>
    <row r="1156" spans="3:197">
      <c r="C1156" s="80" t="str" cm="1">
        <f t="array" ref="C1156">_xlfn.IFS(MONTH(D1156)&lt;4,1,MONTH(D1156)&lt;7,2,MONTH(D1156)&lt;10,3,MONTH(D1156)&gt;9,4)&amp;"Q"&amp;RIGHT(YEAR(D1156),2)</f>
        <v>3Q20</v>
      </c>
      <c r="D1156" s="81">
        <f t="shared" si="407"/>
        <v>44074</v>
      </c>
      <c r="E1156" s="82">
        <f t="shared" si="401"/>
        <v>44070</v>
      </c>
      <c r="F1156" s="83">
        <f t="shared" si="412"/>
        <v>0.32325</v>
      </c>
      <c r="G1156" s="83">
        <f t="shared" si="412"/>
        <v>0.39125</v>
      </c>
      <c r="H1156" s="81"/>
      <c r="I1156" s="146">
        <v>44070</v>
      </c>
      <c r="J1156" s="147">
        <v>3.15</v>
      </c>
      <c r="K1156" s="147">
        <v>2.48</v>
      </c>
      <c r="L1156" s="147">
        <v>2.586</v>
      </c>
      <c r="M1156" s="94" cm="1">
        <f t="array" ref="M1156">INDEX($BV$29:$BV$1449,MATCH($D1156,$BR$29:$BR$1449,0),)</f>
        <v>3.13</v>
      </c>
      <c r="N1156" s="150">
        <f t="shared" si="402"/>
        <v>0.0077942322681217</v>
      </c>
      <c r="O1156" s="150">
        <f t="shared" si="403"/>
        <v>0.0193141505715411</v>
      </c>
      <c r="P1156" s="150">
        <f t="shared" si="413"/>
        <v>0.00193723363037579</v>
      </c>
      <c r="Q1156" s="89">
        <f t="shared" si="404"/>
        <v>-0.173801916932907</v>
      </c>
      <c r="AH1156" s="90"/>
      <c r="AI1156" s="85"/>
      <c r="AJ1156" s="36"/>
      <c r="AK1156" s="36"/>
      <c r="AL1156" s="36"/>
      <c r="AM1156" s="36"/>
      <c r="AN1156" s="36"/>
      <c r="AO1156" s="36"/>
      <c r="AP1156" s="36"/>
      <c r="AQ1156" s="36"/>
      <c r="GE1156" s="94"/>
      <c r="GF1156" s="104">
        <f t="shared" si="409"/>
        <v>2017</v>
      </c>
      <c r="GG1156" s="104">
        <f t="shared" si="410"/>
        <v>28</v>
      </c>
      <c r="GH1156" s="35">
        <v>42928</v>
      </c>
      <c r="GI1156" s="26">
        <v>3.138</v>
      </c>
      <c r="GJ1156" s="94">
        <f t="shared" si="411"/>
        <v>6.276</v>
      </c>
      <c r="GK1156" s="104"/>
      <c r="GL1156" s="104"/>
      <c r="GO1156" s="94"/>
    </row>
    <row r="1157" spans="3:197">
      <c r="C1157" s="80" t="str" cm="1">
        <f t="array" ref="C1157">_xlfn.IFS(MONTH(D1157)&lt;4,1,MONTH(D1157)&lt;7,2,MONTH(D1157)&lt;10,3,MONTH(D1157)&gt;9,4)&amp;"Q"&amp;RIGHT(YEAR(D1157),2)</f>
        <v>3Q20</v>
      </c>
      <c r="D1157" s="81">
        <f t="shared" si="407"/>
        <v>44074</v>
      </c>
      <c r="E1157" s="82">
        <f t="shared" si="401"/>
        <v>44071</v>
      </c>
      <c r="F1157" s="83">
        <f t="shared" ref="F1157:G1172" si="414">+L1157/8</f>
        <v>0.32325</v>
      </c>
      <c r="G1157" s="83">
        <f t="shared" si="414"/>
        <v>0.39125</v>
      </c>
      <c r="H1157" s="81"/>
      <c r="I1157" s="146">
        <v>44071</v>
      </c>
      <c r="J1157" s="147">
        <v>3.15</v>
      </c>
      <c r="K1157" s="147">
        <v>2.48</v>
      </c>
      <c r="L1157" s="147">
        <v>2.586</v>
      </c>
      <c r="M1157" s="94" cm="1">
        <f t="array" ref="M1157">INDEX($BV$29:$BV$1449,MATCH($D1157,$BR$29:$BR$1449,0),)</f>
        <v>3.13</v>
      </c>
      <c r="N1157" s="150">
        <f t="shared" si="402"/>
        <v>0</v>
      </c>
      <c r="O1157" s="150">
        <f t="shared" si="403"/>
        <v>0.0193141505715411</v>
      </c>
      <c r="P1157" s="150">
        <f t="shared" si="413"/>
        <v>0.00505246793626113</v>
      </c>
      <c r="Q1157" s="89">
        <f t="shared" si="404"/>
        <v>-0.173801916932907</v>
      </c>
      <c r="AH1157" s="90"/>
      <c r="AI1157" s="85"/>
      <c r="AJ1157" s="36"/>
      <c r="AK1157" s="36"/>
      <c r="AL1157" s="36"/>
      <c r="AM1157" s="36"/>
      <c r="AN1157" s="36"/>
      <c r="AO1157" s="36"/>
      <c r="AP1157" s="36"/>
      <c r="AQ1157" s="36"/>
      <c r="GE1157" s="94"/>
      <c r="GF1157" s="104">
        <f t="shared" si="409"/>
        <v>2017</v>
      </c>
      <c r="GG1157" s="104">
        <f t="shared" si="410"/>
        <v>28</v>
      </c>
      <c r="GH1157" s="35">
        <v>42929</v>
      </c>
      <c r="GI1157" s="26">
        <v>3.144</v>
      </c>
      <c r="GJ1157" s="94">
        <f t="shared" si="411"/>
        <v>6.288</v>
      </c>
      <c r="GK1157" s="104"/>
      <c r="GL1157" s="104"/>
      <c r="GO1157" s="94"/>
    </row>
    <row r="1158" spans="3:197">
      <c r="C1158" s="80" t="str" cm="1">
        <f t="array" ref="C1158">_xlfn.IFS(MONTH(D1158)&lt;4,1,MONTH(D1158)&lt;7,2,MONTH(D1158)&lt;10,3,MONTH(D1158)&gt;9,4)&amp;"Q"&amp;RIGHT(YEAR(D1158),2)</f>
        <v>3Q20</v>
      </c>
      <c r="D1158" s="81">
        <f t="shared" si="407"/>
        <v>44074</v>
      </c>
      <c r="E1158" s="82">
        <f t="shared" si="401"/>
        <v>44074</v>
      </c>
      <c r="F1158" s="83">
        <f t="shared" si="414"/>
        <v>0.32325</v>
      </c>
      <c r="G1158" s="83">
        <f t="shared" si="414"/>
        <v>0.39125</v>
      </c>
      <c r="H1158" s="81"/>
      <c r="I1158" s="146">
        <v>44074</v>
      </c>
      <c r="J1158" s="147">
        <v>3.15</v>
      </c>
      <c r="K1158" s="147">
        <v>2.48</v>
      </c>
      <c r="L1158" s="147">
        <v>2.586</v>
      </c>
      <c r="M1158" s="94" cm="1">
        <f t="array" ref="M1158">INDEX($BV$29:$BV$1449,MATCH($D1158,$BR$29:$BR$1449,0),)</f>
        <v>3.13</v>
      </c>
      <c r="N1158" s="150">
        <f t="shared" si="402"/>
        <v>0</v>
      </c>
      <c r="O1158" s="150">
        <f t="shared" si="403"/>
        <v>0.0225385527876631</v>
      </c>
      <c r="P1158" s="150">
        <f t="shared" si="413"/>
        <v>0.00583430571761956</v>
      </c>
      <c r="Q1158" s="89">
        <f t="shared" si="404"/>
        <v>-0.173801916932907</v>
      </c>
      <c r="AH1158" s="90"/>
      <c r="AI1158" s="85"/>
      <c r="AJ1158" s="36"/>
      <c r="AK1158" s="36"/>
      <c r="AL1158" s="36"/>
      <c r="AM1158" s="36"/>
      <c r="AN1158" s="36"/>
      <c r="AO1158" s="36"/>
      <c r="AP1158" s="36"/>
      <c r="AQ1158" s="36"/>
      <c r="GE1158" s="94"/>
      <c r="GF1158" s="104">
        <f t="shared" si="409"/>
        <v>2017</v>
      </c>
      <c r="GG1158" s="104">
        <f t="shared" si="410"/>
        <v>28</v>
      </c>
      <c r="GH1158" s="35">
        <v>42930</v>
      </c>
      <c r="GI1158" s="26">
        <v>3.19</v>
      </c>
      <c r="GJ1158" s="94">
        <f t="shared" si="411"/>
        <v>6.38</v>
      </c>
      <c r="GK1158" s="104"/>
      <c r="GL1158" s="104"/>
      <c r="GO1158" s="94"/>
    </row>
    <row r="1159" spans="3:197">
      <c r="C1159" s="80" t="str" cm="1">
        <f t="array" ref="C1159">_xlfn.IFS(MONTH(D1159)&lt;4,1,MONTH(D1159)&lt;7,2,MONTH(D1159)&lt;10,3,MONTH(D1159)&gt;9,4)&amp;"Q"&amp;RIGHT(YEAR(D1159),2)</f>
        <v>3Q20</v>
      </c>
      <c r="D1159" s="81">
        <f t="shared" si="407"/>
        <v>44104</v>
      </c>
      <c r="E1159" s="82">
        <f t="shared" si="401"/>
        <v>44075</v>
      </c>
      <c r="F1159" s="83">
        <f t="shared" si="414"/>
        <v>0.3275</v>
      </c>
      <c r="G1159" s="83">
        <f t="shared" si="414"/>
        <v>0.39125</v>
      </c>
      <c r="H1159" s="81"/>
      <c r="I1159" s="146">
        <v>44075</v>
      </c>
      <c r="J1159" s="147">
        <v>3.3</v>
      </c>
      <c r="K1159" s="147">
        <v>2.48</v>
      </c>
      <c r="L1159" s="147">
        <v>2.62</v>
      </c>
      <c r="M1159" s="94" cm="1">
        <f t="array" ref="M1159">INDEX($BV$29:$BV$1449,MATCH($D1159,$BR$29:$BR$1449,0),)</f>
        <v>3.13</v>
      </c>
      <c r="N1159" s="150">
        <f t="shared" si="402"/>
        <v>0.0131477184841455</v>
      </c>
      <c r="O1159" s="150">
        <f t="shared" si="403"/>
        <v>0.0335305719921104</v>
      </c>
      <c r="P1159" s="150">
        <f t="shared" si="413"/>
        <v>0.0222395630120951</v>
      </c>
      <c r="Q1159" s="89">
        <f t="shared" si="404"/>
        <v>-0.162939297124601</v>
      </c>
      <c r="AH1159" s="90"/>
      <c r="AI1159" s="85"/>
      <c r="AJ1159" s="36"/>
      <c r="AK1159" s="36"/>
      <c r="AL1159" s="36"/>
      <c r="AM1159" s="36"/>
      <c r="AN1159" s="36"/>
      <c r="AO1159" s="36"/>
      <c r="AP1159" s="36"/>
      <c r="AQ1159" s="36"/>
      <c r="GE1159" s="94"/>
      <c r="GF1159" s="104">
        <f t="shared" si="409"/>
        <v>2017</v>
      </c>
      <c r="GG1159" s="104">
        <f t="shared" si="410"/>
        <v>29</v>
      </c>
      <c r="GH1159" s="35">
        <v>42933</v>
      </c>
      <c r="GI1159" s="26">
        <v>3.192</v>
      </c>
      <c r="GJ1159" s="94">
        <f t="shared" si="411"/>
        <v>6.384</v>
      </c>
      <c r="GK1159" s="104"/>
      <c r="GL1159" s="104"/>
      <c r="GO1159" s="94"/>
    </row>
    <row r="1160" spans="3:197">
      <c r="C1160" s="80" t="str" cm="1">
        <f t="array" ref="C1160">_xlfn.IFS(MONTH(D1160)&lt;4,1,MONTH(D1160)&lt;7,2,MONTH(D1160)&lt;10,3,MONTH(D1160)&gt;9,4)&amp;"Q"&amp;RIGHT(YEAR(D1160),2)</f>
        <v>3Q20</v>
      </c>
      <c r="D1160" s="81">
        <f t="shared" si="407"/>
        <v>44104</v>
      </c>
      <c r="E1160" s="82">
        <f t="shared" si="401"/>
        <v>44076</v>
      </c>
      <c r="F1160" s="83">
        <f t="shared" si="414"/>
        <v>0.33525</v>
      </c>
      <c r="G1160" s="83">
        <f t="shared" si="414"/>
        <v>0.39125</v>
      </c>
      <c r="H1160" s="81"/>
      <c r="I1160" s="146">
        <v>44076</v>
      </c>
      <c r="J1160" s="147">
        <v>3.35</v>
      </c>
      <c r="K1160" s="147">
        <v>2.5</v>
      </c>
      <c r="L1160" s="147">
        <v>2.682</v>
      </c>
      <c r="M1160" s="94" cm="1">
        <f t="array" ref="M1160">INDEX($BV$29:$BV$1449,MATCH($D1160,$BR$29:$BR$1449,0),)</f>
        <v>3.13</v>
      </c>
      <c r="N1160" s="150">
        <f t="shared" si="402"/>
        <v>0.0236641221374045</v>
      </c>
      <c r="O1160" s="150">
        <f t="shared" si="403"/>
        <v>0.0452065471551053</v>
      </c>
      <c r="P1160" s="150">
        <f t="shared" si="413"/>
        <v>0.0501174628034455</v>
      </c>
      <c r="Q1160" s="89">
        <f t="shared" si="404"/>
        <v>-0.143130990415336</v>
      </c>
      <c r="AH1160" s="90"/>
      <c r="AI1160" s="85"/>
      <c r="AJ1160" s="36"/>
      <c r="AK1160" s="36"/>
      <c r="AL1160" s="36"/>
      <c r="AM1160" s="36"/>
      <c r="AN1160" s="36"/>
      <c r="AO1160" s="36"/>
      <c r="AP1160" s="36"/>
      <c r="AQ1160" s="36"/>
      <c r="GE1160" s="94"/>
      <c r="GF1160" s="104">
        <f t="shared" si="409"/>
        <v>2017</v>
      </c>
      <c r="GG1160" s="104">
        <f t="shared" si="410"/>
        <v>29</v>
      </c>
      <c r="GH1160" s="35">
        <v>42934</v>
      </c>
      <c r="GI1160" s="26">
        <v>3.192</v>
      </c>
      <c r="GJ1160" s="94">
        <f t="shared" si="411"/>
        <v>6.384</v>
      </c>
      <c r="GK1160" s="104"/>
      <c r="GL1160" s="104"/>
      <c r="GO1160" s="94"/>
    </row>
    <row r="1161" spans="3:197">
      <c r="C1161" s="80" t="str" cm="1">
        <f t="array" ref="C1161">_xlfn.IFS(MONTH(D1161)&lt;4,1,MONTH(D1161)&lt;7,2,MONTH(D1161)&lt;10,3,MONTH(D1161)&gt;9,4)&amp;"Q"&amp;RIGHT(YEAR(D1161),2)</f>
        <v>3Q20</v>
      </c>
      <c r="D1161" s="81">
        <f t="shared" si="407"/>
        <v>44104</v>
      </c>
      <c r="E1161" s="82">
        <f t="shared" si="401"/>
        <v>44077</v>
      </c>
      <c r="F1161" s="83">
        <f t="shared" si="414"/>
        <v>0.34475</v>
      </c>
      <c r="G1161" s="83">
        <f t="shared" si="414"/>
        <v>0.39125</v>
      </c>
      <c r="H1161" s="81"/>
      <c r="I1161" s="146">
        <v>44077</v>
      </c>
      <c r="J1161" s="147">
        <v>3.4</v>
      </c>
      <c r="K1161" s="147">
        <v>2.6</v>
      </c>
      <c r="L1161" s="147">
        <v>2.758</v>
      </c>
      <c r="M1161" s="94" cm="1">
        <f t="array" ref="M1161">INDEX($BV$29:$BV$1449,MATCH($D1161,$BR$29:$BR$1449,0),)</f>
        <v>3.13</v>
      </c>
      <c r="N1161" s="150">
        <f t="shared" si="402"/>
        <v>0.028337061894109</v>
      </c>
      <c r="O1161" s="150">
        <f t="shared" si="403"/>
        <v>0.0665119876256768</v>
      </c>
      <c r="P1161" s="150">
        <f t="shared" si="413"/>
        <v>0.0871107607410329</v>
      </c>
      <c r="Q1161" s="89">
        <f t="shared" si="404"/>
        <v>-0.118849840255591</v>
      </c>
      <c r="AH1161" s="90"/>
      <c r="AI1161" s="85"/>
      <c r="AJ1161" s="36"/>
      <c r="AK1161" s="36"/>
      <c r="AL1161" s="36"/>
      <c r="AM1161" s="36"/>
      <c r="AN1161" s="36"/>
      <c r="AO1161" s="36"/>
      <c r="AP1161" s="36"/>
      <c r="AQ1161" s="36"/>
      <c r="GE1161" s="94"/>
      <c r="GF1161" s="104">
        <f t="shared" si="409"/>
        <v>2017</v>
      </c>
      <c r="GG1161" s="104">
        <f t="shared" si="410"/>
        <v>29</v>
      </c>
      <c r="GH1161" s="35">
        <v>42935</v>
      </c>
      <c r="GI1161" s="26">
        <v>3.194</v>
      </c>
      <c r="GJ1161" s="94">
        <f t="shared" si="411"/>
        <v>6.388</v>
      </c>
      <c r="GK1161" s="104"/>
      <c r="GL1161" s="104"/>
      <c r="GO1161" s="94"/>
    </row>
    <row r="1162" spans="3:197">
      <c r="C1162" s="80" t="str" cm="1">
        <f t="array" ref="C1162">_xlfn.IFS(MONTH(D1162)&lt;4,1,MONTH(D1162)&lt;7,2,MONTH(D1162)&lt;10,3,MONTH(D1162)&gt;9,4)&amp;"Q"&amp;RIGHT(YEAR(D1162),2)</f>
        <v>3Q20</v>
      </c>
      <c r="D1162" s="81">
        <f t="shared" si="407"/>
        <v>44104</v>
      </c>
      <c r="E1162" s="82">
        <f t="shared" si="401"/>
        <v>44078</v>
      </c>
      <c r="F1162" s="83">
        <f t="shared" si="414"/>
        <v>0.350875</v>
      </c>
      <c r="G1162" s="83">
        <f t="shared" si="414"/>
        <v>0.39125</v>
      </c>
      <c r="H1162" s="81"/>
      <c r="I1162" s="146">
        <v>44078</v>
      </c>
      <c r="J1162" s="147">
        <v>3.4</v>
      </c>
      <c r="K1162" s="147">
        <v>2.65</v>
      </c>
      <c r="L1162" s="147">
        <v>2.807</v>
      </c>
      <c r="M1162" s="94" cm="1">
        <f t="array" ref="M1162">INDEX($BV$29:$BV$1449,MATCH($D1162,$BR$29:$BR$1449,0),)</f>
        <v>3.13</v>
      </c>
      <c r="N1162" s="150">
        <f t="shared" si="402"/>
        <v>0.0177664974619289</v>
      </c>
      <c r="O1162" s="150">
        <f t="shared" si="403"/>
        <v>0.0854601701469451</v>
      </c>
      <c r="P1162" s="150">
        <f t="shared" si="413"/>
        <v>0.106424911312574</v>
      </c>
      <c r="Q1162" s="89">
        <f t="shared" si="404"/>
        <v>-0.103194888178914</v>
      </c>
      <c r="AH1162" s="90"/>
      <c r="AI1162" s="85"/>
      <c r="AJ1162" s="36"/>
      <c r="AK1162" s="36"/>
      <c r="AL1162" s="36"/>
      <c r="AM1162" s="36"/>
      <c r="AN1162" s="36"/>
      <c r="AO1162" s="36"/>
      <c r="AP1162" s="36"/>
      <c r="AQ1162" s="36"/>
      <c r="GE1162" s="94"/>
      <c r="GF1162" s="104">
        <f t="shared" si="409"/>
        <v>2017</v>
      </c>
      <c r="GG1162" s="104">
        <f t="shared" si="410"/>
        <v>29</v>
      </c>
      <c r="GH1162" s="35">
        <v>42936</v>
      </c>
      <c r="GI1162" s="26">
        <v>3.197</v>
      </c>
      <c r="GJ1162" s="94">
        <f t="shared" si="411"/>
        <v>6.394</v>
      </c>
      <c r="GK1162" s="104"/>
      <c r="GL1162" s="104"/>
      <c r="GO1162" s="94"/>
    </row>
    <row r="1163" spans="3:197">
      <c r="C1163" s="80" t="str" cm="1">
        <f t="array" ref="C1163">_xlfn.IFS(MONTH(D1163)&lt;4,1,MONTH(D1163)&lt;7,2,MONTH(D1163)&lt;10,3,MONTH(D1163)&gt;9,4)&amp;"Q"&amp;RIGHT(YEAR(D1163),2)</f>
        <v>3Q20</v>
      </c>
      <c r="D1163" s="81">
        <f t="shared" si="407"/>
        <v>44104</v>
      </c>
      <c r="E1163" s="82">
        <f t="shared" si="401"/>
        <v>44081</v>
      </c>
      <c r="F1163" s="83">
        <f t="shared" si="414"/>
        <v>0.352</v>
      </c>
      <c r="G1163" s="83">
        <f t="shared" si="414"/>
        <v>0.39125</v>
      </c>
      <c r="H1163" s="81"/>
      <c r="I1163" s="146">
        <v>44081</v>
      </c>
      <c r="J1163" s="147">
        <v>3.4</v>
      </c>
      <c r="K1163" s="147">
        <v>2.65</v>
      </c>
      <c r="L1163" s="147">
        <v>2.816</v>
      </c>
      <c r="M1163" s="94" cm="1">
        <f t="array" ref="M1163">INDEX($BV$29:$BV$1449,MATCH($D1163,$BR$29:$BR$1449,0),)</f>
        <v>3.13</v>
      </c>
      <c r="N1163" s="150">
        <f t="shared" si="402"/>
        <v>0.00320627003918772</v>
      </c>
      <c r="O1163" s="150">
        <f t="shared" ref="O1163:O1226" si="415">L1163/L1158-1</f>
        <v>0.0889404485692189</v>
      </c>
      <c r="P1163" s="150">
        <f t="shared" si="413"/>
        <v>0.113483590351918</v>
      </c>
      <c r="Q1163" s="89">
        <f t="shared" si="404"/>
        <v>-0.100319488817891</v>
      </c>
      <c r="AH1163" s="90"/>
      <c r="AI1163" s="85"/>
      <c r="AJ1163" s="36"/>
      <c r="AK1163" s="36"/>
      <c r="AL1163" s="36"/>
      <c r="AM1163" s="36"/>
      <c r="AN1163" s="36"/>
      <c r="AO1163" s="36"/>
      <c r="AP1163" s="36"/>
      <c r="AQ1163" s="36"/>
      <c r="GE1163" s="94"/>
      <c r="GF1163" s="104">
        <f t="shared" si="409"/>
        <v>2017</v>
      </c>
      <c r="GG1163" s="104">
        <f t="shared" si="410"/>
        <v>29</v>
      </c>
      <c r="GH1163" s="35">
        <v>42937</v>
      </c>
      <c r="GI1163" s="26">
        <v>3.23</v>
      </c>
      <c r="GJ1163" s="94">
        <f t="shared" si="411"/>
        <v>6.46</v>
      </c>
      <c r="GK1163" s="104"/>
      <c r="GL1163" s="104"/>
      <c r="GO1163" s="94"/>
    </row>
    <row r="1164" spans="3:197">
      <c r="C1164" s="80" t="str" cm="1">
        <f t="array" ref="C1164">_xlfn.IFS(MONTH(D1164)&lt;4,1,MONTH(D1164)&lt;7,2,MONTH(D1164)&lt;10,3,MONTH(D1164)&gt;9,4)&amp;"Q"&amp;RIGHT(YEAR(D1164),2)</f>
        <v>3Q20</v>
      </c>
      <c r="D1164" s="81">
        <f t="shared" si="407"/>
        <v>44104</v>
      </c>
      <c r="E1164" s="82">
        <f t="shared" si="401"/>
        <v>44082</v>
      </c>
      <c r="F1164" s="83">
        <f t="shared" si="414"/>
        <v>0.356875</v>
      </c>
      <c r="G1164" s="83">
        <f t="shared" si="414"/>
        <v>0.39125</v>
      </c>
      <c r="H1164" s="81"/>
      <c r="I1164" s="146">
        <v>44082</v>
      </c>
      <c r="J1164" s="147">
        <v>3.45</v>
      </c>
      <c r="K1164" s="147">
        <v>2.65</v>
      </c>
      <c r="L1164" s="147">
        <v>2.855</v>
      </c>
      <c r="M1164" s="94" cm="1">
        <f t="array" ref="M1164">INDEX($BV$29:$BV$1449,MATCH($D1164,$BR$29:$BR$1449,0),)</f>
        <v>3.13</v>
      </c>
      <c r="N1164" s="150">
        <f t="shared" si="402"/>
        <v>0.0138494318181819</v>
      </c>
      <c r="O1164" s="150">
        <f t="shared" si="415"/>
        <v>0.0896946564885495</v>
      </c>
      <c r="P1164" s="150">
        <f t="shared" si="413"/>
        <v>0.126232741617357</v>
      </c>
      <c r="Q1164" s="89">
        <f t="shared" si="404"/>
        <v>-0.0878594249201278</v>
      </c>
      <c r="AH1164" s="90"/>
      <c r="AI1164" s="85"/>
      <c r="AJ1164" s="36"/>
      <c r="AK1164" s="36"/>
      <c r="AL1164" s="36"/>
      <c r="AM1164" s="36"/>
      <c r="AN1164" s="36"/>
      <c r="AO1164" s="36"/>
      <c r="AP1164" s="36"/>
      <c r="AQ1164" s="36"/>
      <c r="GE1164" s="94"/>
      <c r="GF1164" s="104">
        <f t="shared" si="409"/>
        <v>2017</v>
      </c>
      <c r="GG1164" s="104">
        <f t="shared" si="410"/>
        <v>30</v>
      </c>
      <c r="GH1164" s="35">
        <v>42940</v>
      </c>
      <c r="GI1164" s="26">
        <v>3.241</v>
      </c>
      <c r="GJ1164" s="94">
        <f t="shared" si="411"/>
        <v>6.482</v>
      </c>
      <c r="GK1164" s="104"/>
      <c r="GL1164" s="104"/>
      <c r="GO1164" s="94"/>
    </row>
    <row r="1165" spans="3:197">
      <c r="C1165" s="80" t="str" cm="1">
        <f t="array" ref="C1165">_xlfn.IFS(MONTH(D1165)&lt;4,1,MONTH(D1165)&lt;7,2,MONTH(D1165)&lt;10,3,MONTH(D1165)&gt;9,4)&amp;"Q"&amp;RIGHT(YEAR(D1165),2)</f>
        <v>3Q20</v>
      </c>
      <c r="D1165" s="81">
        <f t="shared" si="407"/>
        <v>44104</v>
      </c>
      <c r="E1165" s="82">
        <f t="shared" si="401"/>
        <v>44083</v>
      </c>
      <c r="F1165" s="83">
        <f t="shared" si="414"/>
        <v>0.361</v>
      </c>
      <c r="G1165" s="83">
        <f t="shared" si="414"/>
        <v>0.39125</v>
      </c>
      <c r="H1165" s="81"/>
      <c r="I1165" s="146">
        <v>44083</v>
      </c>
      <c r="J1165" s="147">
        <v>3.4</v>
      </c>
      <c r="K1165" s="147">
        <v>2.65</v>
      </c>
      <c r="L1165" s="147">
        <v>2.888</v>
      </c>
      <c r="M1165" s="94" cm="1">
        <f t="array" ref="M1165">INDEX($BV$29:$BV$1449,MATCH($D1165,$BR$29:$BR$1449,0),)</f>
        <v>3.13</v>
      </c>
      <c r="N1165" s="150">
        <f t="shared" si="402"/>
        <v>0.0115586690017513</v>
      </c>
      <c r="O1165" s="150">
        <f t="shared" si="415"/>
        <v>0.0768083519761371</v>
      </c>
      <c r="P1165" s="150">
        <f t="shared" si="413"/>
        <v>0.125487139516758</v>
      </c>
      <c r="Q1165" s="89">
        <f t="shared" si="404"/>
        <v>-0.0773162939297125</v>
      </c>
      <c r="AH1165" s="90"/>
      <c r="AI1165" s="85"/>
      <c r="AJ1165" s="36"/>
      <c r="AK1165" s="36"/>
      <c r="AL1165" s="36"/>
      <c r="AM1165" s="36"/>
      <c r="AN1165" s="36"/>
      <c r="AO1165" s="36"/>
      <c r="AP1165" s="36"/>
      <c r="AQ1165" s="36"/>
      <c r="GE1165" s="94"/>
      <c r="GF1165" s="104">
        <f t="shared" si="409"/>
        <v>2017</v>
      </c>
      <c r="GG1165" s="104">
        <f t="shared" si="410"/>
        <v>30</v>
      </c>
      <c r="GH1165" s="35">
        <v>42941</v>
      </c>
      <c r="GI1165" s="26">
        <v>3.247</v>
      </c>
      <c r="GJ1165" s="94">
        <f t="shared" si="411"/>
        <v>6.494</v>
      </c>
      <c r="GK1165" s="104"/>
      <c r="GL1165" s="104"/>
      <c r="GO1165" s="94"/>
    </row>
    <row r="1166" spans="3:197">
      <c r="C1166" s="80" t="str" cm="1">
        <f t="array" ref="C1166">_xlfn.IFS(MONTH(D1166)&lt;4,1,MONTH(D1166)&lt;7,2,MONTH(D1166)&lt;10,3,MONTH(D1166)&gt;9,4)&amp;"Q"&amp;RIGHT(YEAR(D1166),2)</f>
        <v>3Q20</v>
      </c>
      <c r="D1166" s="81">
        <f t="shared" si="407"/>
        <v>44104</v>
      </c>
      <c r="E1166" s="82">
        <f t="shared" si="401"/>
        <v>44084</v>
      </c>
      <c r="F1166" s="83">
        <f t="shared" si="414"/>
        <v>0.365625</v>
      </c>
      <c r="G1166" s="83">
        <f t="shared" si="414"/>
        <v>0.39125</v>
      </c>
      <c r="H1166" s="81"/>
      <c r="I1166" s="146">
        <v>44084</v>
      </c>
      <c r="J1166" s="147">
        <v>3.42</v>
      </c>
      <c r="K1166" s="147">
        <v>2.75</v>
      </c>
      <c r="L1166" s="147">
        <v>2.925</v>
      </c>
      <c r="M1166" s="94" cm="1">
        <f t="array" ref="M1166">INDEX($BV$29:$BV$1449,MATCH($D1166,$BR$29:$BR$1449,0),)</f>
        <v>3.13</v>
      </c>
      <c r="N1166" s="150">
        <f t="shared" si="402"/>
        <v>0.0128116343490305</v>
      </c>
      <c r="O1166" s="150">
        <f t="shared" si="415"/>
        <v>0.0605511240029006</v>
      </c>
      <c r="P1166" s="150">
        <f t="shared" si="413"/>
        <v>0.131090487238979</v>
      </c>
      <c r="Q1166" s="89">
        <f t="shared" si="404"/>
        <v>-0.0654952076677316</v>
      </c>
      <c r="AH1166" s="90"/>
      <c r="AI1166" s="85"/>
      <c r="AJ1166" s="36"/>
      <c r="AK1166" s="36"/>
      <c r="AL1166" s="36"/>
      <c r="AM1166" s="36"/>
      <c r="AN1166" s="36"/>
      <c r="AO1166" s="36"/>
      <c r="AP1166" s="36"/>
      <c r="AQ1166" s="36"/>
      <c r="GE1166" s="94"/>
      <c r="GF1166" s="104">
        <f t="shared" si="409"/>
        <v>2017</v>
      </c>
      <c r="GG1166" s="104">
        <f t="shared" si="410"/>
        <v>30</v>
      </c>
      <c r="GH1166" s="35">
        <v>42942</v>
      </c>
      <c r="GI1166" s="26">
        <v>3.25</v>
      </c>
      <c r="GJ1166" s="94">
        <f t="shared" si="411"/>
        <v>6.5</v>
      </c>
      <c r="GK1166" s="104"/>
      <c r="GL1166" s="104"/>
      <c r="GO1166" s="94"/>
    </row>
    <row r="1167" spans="3:197">
      <c r="C1167" s="80" t="str" cm="1">
        <f t="array" ref="C1167">_xlfn.IFS(MONTH(D1167)&lt;4,1,MONTH(D1167)&lt;7,2,MONTH(D1167)&lt;10,3,MONTH(D1167)&gt;9,4)&amp;"Q"&amp;RIGHT(YEAR(D1167),2)</f>
        <v>3Q20</v>
      </c>
      <c r="D1167" s="81">
        <f t="shared" si="407"/>
        <v>44104</v>
      </c>
      <c r="E1167" s="82">
        <f t="shared" si="401"/>
        <v>44085</v>
      </c>
      <c r="F1167" s="83">
        <f t="shared" si="414"/>
        <v>0.368125</v>
      </c>
      <c r="G1167" s="83">
        <f t="shared" si="414"/>
        <v>0.39125</v>
      </c>
      <c r="H1167" s="81"/>
      <c r="I1167" s="146">
        <v>44085</v>
      </c>
      <c r="J1167" s="147">
        <v>3.42</v>
      </c>
      <c r="K1167" s="147">
        <v>2.75</v>
      </c>
      <c r="L1167" s="147">
        <v>2.945</v>
      </c>
      <c r="M1167" s="94" cm="1">
        <f t="array" ref="M1167">INDEX($BV$29:$BV$1449,MATCH($D1167,$BR$29:$BR$1449,0),)</f>
        <v>3.13</v>
      </c>
      <c r="N1167" s="150">
        <f t="shared" si="402"/>
        <v>0.00683760683760681</v>
      </c>
      <c r="O1167" s="150">
        <f t="shared" si="415"/>
        <v>0.0491628072675454</v>
      </c>
      <c r="P1167" s="150">
        <f t="shared" si="413"/>
        <v>0.138824439288476</v>
      </c>
      <c r="Q1167" s="89">
        <f t="shared" si="404"/>
        <v>-0.0591054313099042</v>
      </c>
      <c r="AH1167" s="90"/>
      <c r="AI1167" s="85"/>
      <c r="AJ1167" s="36"/>
      <c r="AK1167" s="36"/>
      <c r="AL1167" s="36"/>
      <c r="AM1167" s="36"/>
      <c r="AN1167" s="36"/>
      <c r="AO1167" s="36"/>
      <c r="AP1167" s="36"/>
      <c r="AQ1167" s="36"/>
      <c r="GE1167" s="94"/>
      <c r="GF1167" s="104">
        <f t="shared" si="409"/>
        <v>2017</v>
      </c>
      <c r="GG1167" s="104">
        <f t="shared" si="410"/>
        <v>30</v>
      </c>
      <c r="GH1167" s="35">
        <v>42943</v>
      </c>
      <c r="GI1167" s="26">
        <v>3.251</v>
      </c>
      <c r="GJ1167" s="94">
        <f t="shared" si="411"/>
        <v>6.502</v>
      </c>
      <c r="GK1167" s="104"/>
      <c r="GL1167" s="104"/>
      <c r="GO1167" s="94"/>
    </row>
    <row r="1168" spans="3:197">
      <c r="C1168" s="80" t="str" cm="1">
        <f t="array" ref="C1168">_xlfn.IFS(MONTH(D1168)&lt;4,1,MONTH(D1168)&lt;7,2,MONTH(D1168)&lt;10,3,MONTH(D1168)&gt;9,4)&amp;"Q"&amp;RIGHT(YEAR(D1168),2)</f>
        <v>3Q20</v>
      </c>
      <c r="D1168" s="81">
        <f t="shared" si="407"/>
        <v>44104</v>
      </c>
      <c r="E1168" s="82">
        <f t="shared" si="401"/>
        <v>44088</v>
      </c>
      <c r="F1168" s="83">
        <f t="shared" si="414"/>
        <v>0.368125</v>
      </c>
      <c r="G1168" s="83">
        <f t="shared" si="414"/>
        <v>0.39125</v>
      </c>
      <c r="H1168" s="81"/>
      <c r="I1168" s="146">
        <v>44088</v>
      </c>
      <c r="J1168" s="147">
        <v>3.42</v>
      </c>
      <c r="K1168" s="147">
        <v>2.75</v>
      </c>
      <c r="L1168" s="147">
        <v>2.945</v>
      </c>
      <c r="M1168" s="94" cm="1">
        <f t="array" ref="M1168">INDEX($BV$29:$BV$1449,MATCH($D1168,$BR$29:$BR$1449,0),)</f>
        <v>3.13</v>
      </c>
      <c r="N1168" s="150">
        <f t="shared" si="402"/>
        <v>0</v>
      </c>
      <c r="O1168" s="150">
        <f t="shared" si="415"/>
        <v>0.0458096590909092</v>
      </c>
      <c r="P1168" s="150">
        <f t="shared" si="413"/>
        <v>0.138824439288476</v>
      </c>
      <c r="Q1168" s="89">
        <f t="shared" si="404"/>
        <v>-0.0591054313099042</v>
      </c>
      <c r="AH1168" s="90"/>
      <c r="AI1168" s="85"/>
      <c r="AJ1168" s="36"/>
      <c r="AK1168" s="36"/>
      <c r="AL1168" s="36"/>
      <c r="AM1168" s="36"/>
      <c r="AN1168" s="36"/>
      <c r="AO1168" s="36"/>
      <c r="AP1168" s="36"/>
      <c r="AQ1168" s="36"/>
      <c r="GE1168" s="94"/>
      <c r="GF1168" s="104">
        <f t="shared" si="409"/>
        <v>2017</v>
      </c>
      <c r="GG1168" s="104">
        <f t="shared" si="410"/>
        <v>30</v>
      </c>
      <c r="GH1168" s="35">
        <v>42944</v>
      </c>
      <c r="GI1168" s="26">
        <v>3.254</v>
      </c>
      <c r="GJ1168" s="94">
        <f t="shared" si="411"/>
        <v>6.508</v>
      </c>
      <c r="GK1168" s="104"/>
      <c r="GL1168" s="104"/>
      <c r="GO1168" s="94"/>
    </row>
    <row r="1169" spans="3:197">
      <c r="C1169" s="80" t="str" cm="1">
        <f t="array" ref="C1169">_xlfn.IFS(MONTH(D1169)&lt;4,1,MONTH(D1169)&lt;7,2,MONTH(D1169)&lt;10,3,MONTH(D1169)&gt;9,4)&amp;"Q"&amp;RIGHT(YEAR(D1169),2)</f>
        <v>3Q20</v>
      </c>
      <c r="D1169" s="81">
        <f t="shared" si="407"/>
        <v>44104</v>
      </c>
      <c r="E1169" s="82">
        <f t="shared" ref="E1169:E1232" si="416">I1169</f>
        <v>44089</v>
      </c>
      <c r="F1169" s="83">
        <f t="shared" si="414"/>
        <v>0.368125</v>
      </c>
      <c r="G1169" s="83">
        <f t="shared" si="414"/>
        <v>0.39125</v>
      </c>
      <c r="H1169" s="81"/>
      <c r="I1169" s="146">
        <v>44089</v>
      </c>
      <c r="J1169" s="147">
        <v>3.42</v>
      </c>
      <c r="K1169" s="147">
        <v>2.75</v>
      </c>
      <c r="L1169" s="147">
        <v>2.945</v>
      </c>
      <c r="M1169" s="94" cm="1">
        <f t="array" ref="M1169">INDEX($BV$29:$BV$1449,MATCH($D1169,$BR$29:$BR$1449,0),)</f>
        <v>3.13</v>
      </c>
      <c r="N1169" s="150">
        <f t="shared" ref="N1169:N1232" si="417">L1169/L1168-1</f>
        <v>0</v>
      </c>
      <c r="O1169" s="150">
        <f t="shared" si="415"/>
        <v>0.0315236427320489</v>
      </c>
      <c r="P1169" s="150">
        <f t="shared" si="413"/>
        <v>0.124045801526717</v>
      </c>
      <c r="Q1169" s="89">
        <f t="shared" ref="Q1169:Q1232" si="418">L1169/M1169-1</f>
        <v>-0.0591054313099042</v>
      </c>
      <c r="AH1169" s="90"/>
      <c r="AI1169" s="85"/>
      <c r="AJ1169" s="36"/>
      <c r="AK1169" s="36"/>
      <c r="AL1169" s="36"/>
      <c r="AM1169" s="36"/>
      <c r="AN1169" s="36"/>
      <c r="AO1169" s="36"/>
      <c r="AP1169" s="36"/>
      <c r="AQ1169" s="36"/>
      <c r="GE1169" s="94"/>
      <c r="GF1169" s="104">
        <f t="shared" si="409"/>
        <v>2017</v>
      </c>
      <c r="GG1169" s="104">
        <f t="shared" si="410"/>
        <v>31</v>
      </c>
      <c r="GH1169" s="35">
        <v>42947</v>
      </c>
      <c r="GI1169" s="26">
        <v>3.26</v>
      </c>
      <c r="GJ1169" s="94">
        <f t="shared" si="411"/>
        <v>6.52</v>
      </c>
      <c r="GK1169" s="104"/>
      <c r="GL1169" s="104"/>
      <c r="GO1169" s="94"/>
    </row>
    <row r="1170" spans="3:197">
      <c r="C1170" s="80" t="str" cm="1">
        <f t="array" ref="C1170">_xlfn.IFS(MONTH(D1170)&lt;4,1,MONTH(D1170)&lt;7,2,MONTH(D1170)&lt;10,3,MONTH(D1170)&gt;9,4)&amp;"Q"&amp;RIGHT(YEAR(D1170),2)</f>
        <v>3Q20</v>
      </c>
      <c r="D1170" s="81">
        <f t="shared" si="407"/>
        <v>44104</v>
      </c>
      <c r="E1170" s="82">
        <f t="shared" si="416"/>
        <v>44090</v>
      </c>
      <c r="F1170" s="83">
        <f t="shared" si="414"/>
        <v>0.371</v>
      </c>
      <c r="G1170" s="83">
        <f t="shared" si="414"/>
        <v>0.39125</v>
      </c>
      <c r="H1170" s="81"/>
      <c r="I1170" s="146">
        <v>44090</v>
      </c>
      <c r="J1170" s="147">
        <v>3.42</v>
      </c>
      <c r="K1170" s="147">
        <v>2.8</v>
      </c>
      <c r="L1170" s="147">
        <v>2.968</v>
      </c>
      <c r="M1170" s="94" cm="1">
        <f t="array" ref="M1170">INDEX($BV$29:$BV$1449,MATCH($D1170,$BR$29:$BR$1449,0),)</f>
        <v>3.13</v>
      </c>
      <c r="N1170" s="150">
        <f t="shared" si="417"/>
        <v>0.00780984719864186</v>
      </c>
      <c r="O1170" s="150">
        <f t="shared" si="415"/>
        <v>0.0277008310249307</v>
      </c>
      <c r="P1170" s="150">
        <f t="shared" si="413"/>
        <v>0.106636838180462</v>
      </c>
      <c r="Q1170" s="89">
        <f t="shared" si="418"/>
        <v>-0.0517571884984025</v>
      </c>
      <c r="AH1170" s="90"/>
      <c r="AI1170" s="85"/>
      <c r="AJ1170" s="36"/>
      <c r="AK1170" s="36"/>
      <c r="AL1170" s="36"/>
      <c r="AM1170" s="36"/>
      <c r="AN1170" s="36"/>
      <c r="AO1170" s="36"/>
      <c r="AP1170" s="36"/>
      <c r="AQ1170" s="36"/>
      <c r="GE1170" s="94"/>
      <c r="GF1170" s="104">
        <f t="shared" si="409"/>
        <v>2017</v>
      </c>
      <c r="GG1170" s="104">
        <f t="shared" si="410"/>
        <v>31</v>
      </c>
      <c r="GH1170" s="35">
        <v>42948</v>
      </c>
      <c r="GI1170" s="26">
        <v>3.26</v>
      </c>
      <c r="GJ1170" s="94">
        <f t="shared" si="411"/>
        <v>6.52</v>
      </c>
      <c r="GK1170" s="104"/>
      <c r="GL1170" s="104"/>
      <c r="GO1170" s="94"/>
    </row>
    <row r="1171" spans="3:197">
      <c r="C1171" s="80" t="str" cm="1">
        <f t="array" ref="C1171">_xlfn.IFS(MONTH(D1171)&lt;4,1,MONTH(D1171)&lt;7,2,MONTH(D1171)&lt;10,3,MONTH(D1171)&gt;9,4)&amp;"Q"&amp;RIGHT(YEAR(D1171),2)</f>
        <v>3Q20</v>
      </c>
      <c r="D1171" s="81">
        <f t="shared" si="407"/>
        <v>44104</v>
      </c>
      <c r="E1171" s="82">
        <f t="shared" si="416"/>
        <v>44091</v>
      </c>
      <c r="F1171" s="83">
        <f t="shared" si="414"/>
        <v>0.371</v>
      </c>
      <c r="G1171" s="83">
        <f t="shared" si="414"/>
        <v>0.39125</v>
      </c>
      <c r="H1171" s="81"/>
      <c r="I1171" s="146">
        <v>44091</v>
      </c>
      <c r="J1171" s="147">
        <v>3.4</v>
      </c>
      <c r="K1171" s="147">
        <v>2.8</v>
      </c>
      <c r="L1171" s="147">
        <v>2.968</v>
      </c>
      <c r="M1171" s="94" cm="1">
        <f t="array" ref="M1171">INDEX($BV$29:$BV$1449,MATCH($D1171,$BR$29:$BR$1449,0),)</f>
        <v>3.13</v>
      </c>
      <c r="N1171" s="150">
        <f t="shared" si="417"/>
        <v>0</v>
      </c>
      <c r="O1171" s="150">
        <f t="shared" si="415"/>
        <v>0.0147008547008547</v>
      </c>
      <c r="P1171" s="150">
        <f t="shared" si="413"/>
        <v>0.0761421319796953</v>
      </c>
      <c r="Q1171" s="89">
        <f t="shared" si="418"/>
        <v>-0.0517571884984025</v>
      </c>
      <c r="AH1171" s="90"/>
      <c r="AI1171" s="85"/>
      <c r="AJ1171" s="36"/>
      <c r="AK1171" s="36"/>
      <c r="AL1171" s="36"/>
      <c r="AM1171" s="36"/>
      <c r="AN1171" s="36"/>
      <c r="AO1171" s="36"/>
      <c r="AP1171" s="36"/>
      <c r="AQ1171" s="36"/>
      <c r="GE1171" s="94"/>
      <c r="GF1171" s="104">
        <f t="shared" si="409"/>
        <v>2017</v>
      </c>
      <c r="GG1171" s="104">
        <f t="shared" si="410"/>
        <v>31</v>
      </c>
      <c r="GH1171" s="35">
        <v>42949</v>
      </c>
      <c r="GI1171" s="26">
        <v>3.231</v>
      </c>
      <c r="GJ1171" s="94">
        <f t="shared" si="411"/>
        <v>6.462</v>
      </c>
      <c r="GK1171" s="104"/>
      <c r="GL1171" s="104"/>
      <c r="GO1171" s="94"/>
    </row>
    <row r="1172" ht="16.8" spans="3:197">
      <c r="C1172" s="80" t="str" cm="1">
        <f t="array" ref="C1172">_xlfn.IFS(MONTH(D1172)&lt;4,1,MONTH(D1172)&lt;7,2,MONTH(D1172)&lt;10,3,MONTH(D1172)&gt;9,4)&amp;"Q"&amp;RIGHT(YEAR(D1172),2)</f>
        <v>3Q20</v>
      </c>
      <c r="D1172" s="81">
        <f t="shared" si="407"/>
        <v>44104</v>
      </c>
      <c r="E1172" s="82">
        <f t="shared" si="416"/>
        <v>44092</v>
      </c>
      <c r="F1172" s="83">
        <f t="shared" si="414"/>
        <v>0.371</v>
      </c>
      <c r="G1172" s="83">
        <f t="shared" si="414"/>
        <v>0.39125</v>
      </c>
      <c r="H1172" s="81"/>
      <c r="I1172" s="146">
        <v>44092</v>
      </c>
      <c r="J1172" s="147">
        <v>3.4</v>
      </c>
      <c r="K1172" s="147">
        <v>2.8</v>
      </c>
      <c r="L1172" s="147">
        <v>2.968</v>
      </c>
      <c r="M1172" s="94" cm="1">
        <f t="array" ref="M1172">INDEX($BV$29:$BV$1449,MATCH($D1172,$BR$29:$BR$1449,0),)</f>
        <v>3.13</v>
      </c>
      <c r="N1172" s="150">
        <f t="shared" si="417"/>
        <v>0</v>
      </c>
      <c r="O1172" s="150">
        <f t="shared" si="415"/>
        <v>0.00780984719864186</v>
      </c>
      <c r="P1172" s="150">
        <f t="shared" si="413"/>
        <v>0.0573566084788031</v>
      </c>
      <c r="Q1172" s="89">
        <f t="shared" si="418"/>
        <v>-0.0517571884984025</v>
      </c>
      <c r="AH1172" s="90"/>
      <c r="AI1172" s="85"/>
      <c r="AJ1172" s="36"/>
      <c r="AK1172" s="36"/>
      <c r="AL1172" s="36"/>
      <c r="AM1172" s="36"/>
      <c r="AN1172" s="36"/>
      <c r="AO1172" s="36"/>
      <c r="AP1172" s="36"/>
      <c r="AQ1172" s="36"/>
      <c r="BT1172" s="155">
        <f>L1172/M1172-1</f>
        <v>-0.0517571884984025</v>
      </c>
      <c r="GE1172" s="94"/>
      <c r="GF1172" s="104">
        <f t="shared" si="409"/>
        <v>2017</v>
      </c>
      <c r="GG1172" s="104">
        <f t="shared" si="410"/>
        <v>31</v>
      </c>
      <c r="GH1172" s="35">
        <v>42950</v>
      </c>
      <c r="GI1172" s="26">
        <v>3.231</v>
      </c>
      <c r="GJ1172" s="94">
        <f t="shared" si="411"/>
        <v>6.462</v>
      </c>
      <c r="GK1172" s="104"/>
      <c r="GL1172" s="104"/>
      <c r="GO1172" s="94"/>
    </row>
    <row r="1173" ht="16.8" spans="3:197">
      <c r="C1173" s="80" t="str" cm="1">
        <f t="array" ref="C1173">_xlfn.IFS(MONTH(D1173)&lt;4,1,MONTH(D1173)&lt;7,2,MONTH(D1173)&lt;10,3,MONTH(D1173)&gt;9,4)&amp;"Q"&amp;RIGHT(YEAR(D1173),2)</f>
        <v>3Q20</v>
      </c>
      <c r="D1173" s="81">
        <f t="shared" si="407"/>
        <v>44104</v>
      </c>
      <c r="E1173" s="82">
        <f t="shared" si="416"/>
        <v>44095</v>
      </c>
      <c r="F1173" s="83">
        <f t="shared" ref="F1173:G1188" si="419">+L1173/8</f>
        <v>0.371</v>
      </c>
      <c r="G1173" s="83">
        <f t="shared" si="419"/>
        <v>0.39125</v>
      </c>
      <c r="H1173" s="81"/>
      <c r="I1173" s="146">
        <v>44095</v>
      </c>
      <c r="J1173" s="147">
        <v>3.4</v>
      </c>
      <c r="K1173" s="147">
        <v>2.8</v>
      </c>
      <c r="L1173" s="147">
        <v>2.968</v>
      </c>
      <c r="M1173" s="94" cm="1">
        <f t="array" ref="M1173">INDEX($BV$29:$BV$1449,MATCH($D1173,$BR$29:$BR$1449,0),)</f>
        <v>3.13</v>
      </c>
      <c r="N1173" s="150">
        <f t="shared" si="417"/>
        <v>0</v>
      </c>
      <c r="O1173" s="150">
        <f t="shared" si="415"/>
        <v>0.00780984719864186</v>
      </c>
      <c r="P1173" s="150">
        <f t="shared" si="413"/>
        <v>0.0539772727272727</v>
      </c>
      <c r="Q1173" s="89">
        <f t="shared" si="418"/>
        <v>-0.0517571884984025</v>
      </c>
      <c r="AH1173" s="90"/>
      <c r="AI1173" s="85"/>
      <c r="AJ1173" s="36"/>
      <c r="AK1173" s="36"/>
      <c r="AL1173" s="36"/>
      <c r="AM1173" s="36"/>
      <c r="AN1173" s="36"/>
      <c r="AO1173" s="36"/>
      <c r="AP1173" s="36"/>
      <c r="AQ1173" s="36"/>
      <c r="BT1173" s="155">
        <f>L1172/L1153-1</f>
        <v>0.173586397785686</v>
      </c>
      <c r="GE1173" s="94"/>
      <c r="GF1173" s="104">
        <f t="shared" si="409"/>
        <v>2017</v>
      </c>
      <c r="GG1173" s="104">
        <f t="shared" si="410"/>
        <v>31</v>
      </c>
      <c r="GH1173" s="35">
        <v>42951</v>
      </c>
      <c r="GI1173" s="26">
        <v>3.184</v>
      </c>
      <c r="GJ1173" s="94">
        <f t="shared" si="411"/>
        <v>6.368</v>
      </c>
      <c r="GK1173" s="104"/>
      <c r="GL1173" s="104"/>
      <c r="GO1173" s="94"/>
    </row>
    <row r="1174" spans="3:197">
      <c r="C1174" s="80" t="str" cm="1">
        <f t="array" ref="C1174">_xlfn.IFS(MONTH(D1174)&lt;4,1,MONTH(D1174)&lt;7,2,MONTH(D1174)&lt;10,3,MONTH(D1174)&gt;9,4)&amp;"Q"&amp;RIGHT(YEAR(D1174),2)</f>
        <v>3Q20</v>
      </c>
      <c r="D1174" s="81">
        <f t="shared" si="407"/>
        <v>44104</v>
      </c>
      <c r="E1174" s="82">
        <f t="shared" si="416"/>
        <v>44096</v>
      </c>
      <c r="F1174" s="83">
        <f t="shared" si="419"/>
        <v>0.37</v>
      </c>
      <c r="G1174" s="83">
        <f t="shared" si="419"/>
        <v>0.39125</v>
      </c>
      <c r="H1174" s="81"/>
      <c r="I1174" s="146">
        <v>44096</v>
      </c>
      <c r="J1174" s="147">
        <v>3.4</v>
      </c>
      <c r="K1174" s="147">
        <v>2.8</v>
      </c>
      <c r="L1174" s="147">
        <v>2.96</v>
      </c>
      <c r="M1174" s="94" cm="1">
        <f t="array" ref="M1174">INDEX($BV$29:$BV$1449,MATCH($D1174,$BR$29:$BR$1449,0),)</f>
        <v>3.13</v>
      </c>
      <c r="N1174" s="150">
        <f t="shared" si="417"/>
        <v>-0.00269541778975746</v>
      </c>
      <c r="O1174" s="150">
        <f t="shared" si="415"/>
        <v>0.00509337860780978</v>
      </c>
      <c r="P1174" s="150">
        <f t="shared" si="413"/>
        <v>0.0367775831873904</v>
      </c>
      <c r="Q1174" s="89">
        <f t="shared" si="418"/>
        <v>-0.0543130990415335</v>
      </c>
      <c r="AH1174" s="90"/>
      <c r="AI1174" s="85"/>
      <c r="AJ1174" s="36"/>
      <c r="AK1174" s="36"/>
      <c r="AL1174" s="36"/>
      <c r="AM1174" s="36"/>
      <c r="AN1174" s="36"/>
      <c r="AO1174" s="36"/>
      <c r="AP1174" s="36"/>
      <c r="AQ1174" s="36"/>
      <c r="GE1174" s="94"/>
      <c r="GF1174" s="104">
        <f t="shared" si="409"/>
        <v>2017</v>
      </c>
      <c r="GG1174" s="104">
        <f t="shared" si="410"/>
        <v>32</v>
      </c>
      <c r="GH1174" s="35">
        <v>42954</v>
      </c>
      <c r="GI1174" s="26">
        <v>3.179</v>
      </c>
      <c r="GJ1174" s="94">
        <f t="shared" si="411"/>
        <v>6.358</v>
      </c>
      <c r="GK1174" s="104"/>
      <c r="GL1174" s="104"/>
      <c r="GO1174" s="94"/>
    </row>
    <row r="1175" spans="3:197">
      <c r="C1175" s="80" t="str" cm="1">
        <f t="array" ref="C1175">_xlfn.IFS(MONTH(D1175)&lt;4,1,MONTH(D1175)&lt;7,2,MONTH(D1175)&lt;10,3,MONTH(D1175)&gt;9,4)&amp;"Q"&amp;RIGHT(YEAR(D1175),2)</f>
        <v>3Q20</v>
      </c>
      <c r="D1175" s="81">
        <f t="shared" si="407"/>
        <v>44104</v>
      </c>
      <c r="E1175" s="82">
        <f t="shared" si="416"/>
        <v>44097</v>
      </c>
      <c r="F1175" s="83">
        <f t="shared" si="419"/>
        <v>0.37</v>
      </c>
      <c r="G1175" s="83">
        <f t="shared" si="419"/>
        <v>0.39125</v>
      </c>
      <c r="H1175" s="81"/>
      <c r="I1175" s="146">
        <v>44097</v>
      </c>
      <c r="J1175" s="147">
        <v>3.4</v>
      </c>
      <c r="K1175" s="147">
        <v>2.8</v>
      </c>
      <c r="L1175" s="147">
        <v>2.96</v>
      </c>
      <c r="M1175" s="94" cm="1">
        <f t="array" ref="M1175">INDEX($BV$29:$BV$1449,MATCH($D1175,$BR$29:$BR$1449,0),)</f>
        <v>3.13</v>
      </c>
      <c r="N1175" s="150">
        <f t="shared" si="417"/>
        <v>0</v>
      </c>
      <c r="O1175" s="150">
        <f t="shared" si="415"/>
        <v>-0.00269541778975746</v>
      </c>
      <c r="P1175" s="150">
        <f t="shared" si="413"/>
        <v>0.0249307479224377</v>
      </c>
      <c r="Q1175" s="89">
        <f t="shared" si="418"/>
        <v>-0.0543130990415335</v>
      </c>
      <c r="AH1175" s="90"/>
      <c r="AI1175" s="85"/>
      <c r="AJ1175" s="36"/>
      <c r="AK1175" s="36"/>
      <c r="AL1175" s="36"/>
      <c r="AM1175" s="36"/>
      <c r="AN1175" s="36"/>
      <c r="AO1175" s="36"/>
      <c r="AP1175" s="36"/>
      <c r="AQ1175" s="36"/>
      <c r="GE1175" s="94"/>
      <c r="GF1175" s="104">
        <f t="shared" si="409"/>
        <v>2017</v>
      </c>
      <c r="GG1175" s="104">
        <f t="shared" si="410"/>
        <v>32</v>
      </c>
      <c r="GH1175" s="35">
        <v>42955</v>
      </c>
      <c r="GI1175" s="26">
        <v>3.176</v>
      </c>
      <c r="GJ1175" s="94">
        <f t="shared" si="411"/>
        <v>6.352</v>
      </c>
      <c r="GK1175" s="104"/>
      <c r="GL1175" s="104"/>
      <c r="GO1175" s="94"/>
    </row>
    <row r="1176" spans="3:197">
      <c r="C1176" s="80" t="str" cm="1">
        <f t="array" ref="C1176">_xlfn.IFS(MONTH(D1176)&lt;4,1,MONTH(D1176)&lt;7,2,MONTH(D1176)&lt;10,3,MONTH(D1176)&gt;9,4)&amp;"Q"&amp;RIGHT(YEAR(D1176),2)</f>
        <v>3Q20</v>
      </c>
      <c r="D1176" s="81">
        <f t="shared" si="407"/>
        <v>44104</v>
      </c>
      <c r="E1176" s="82">
        <f t="shared" si="416"/>
        <v>44098</v>
      </c>
      <c r="F1176" s="83">
        <f t="shared" si="419"/>
        <v>0.37</v>
      </c>
      <c r="G1176" s="83">
        <f t="shared" si="419"/>
        <v>0.39125</v>
      </c>
      <c r="H1176" s="81"/>
      <c r="I1176" s="146">
        <v>44098</v>
      </c>
      <c r="J1176" s="147">
        <v>3.4</v>
      </c>
      <c r="K1176" s="147">
        <v>2.8</v>
      </c>
      <c r="L1176" s="147">
        <v>2.96</v>
      </c>
      <c r="M1176" s="94" cm="1">
        <f t="array" ref="M1176">INDEX($BV$29:$BV$1449,MATCH($D1176,$BR$29:$BR$1449,0),)</f>
        <v>3.13</v>
      </c>
      <c r="N1176" s="150">
        <f t="shared" si="417"/>
        <v>0</v>
      </c>
      <c r="O1176" s="150">
        <f t="shared" si="415"/>
        <v>-0.00269541778975746</v>
      </c>
      <c r="P1176" s="150">
        <f t="shared" si="413"/>
        <v>0.0119658119658119</v>
      </c>
      <c r="Q1176" s="89">
        <f t="shared" si="418"/>
        <v>-0.0543130990415335</v>
      </c>
      <c r="AH1176" s="90"/>
      <c r="AI1176" s="85"/>
      <c r="AJ1176" s="36"/>
      <c r="AK1176" s="36"/>
      <c r="AL1176" s="36"/>
      <c r="AM1176" s="36"/>
      <c r="AN1176" s="36"/>
      <c r="AO1176" s="36"/>
      <c r="AP1176" s="36"/>
      <c r="AQ1176" s="36"/>
      <c r="GE1176" s="94"/>
      <c r="GF1176" s="104">
        <f t="shared" si="409"/>
        <v>2017</v>
      </c>
      <c r="GG1176" s="104">
        <f t="shared" si="410"/>
        <v>32</v>
      </c>
      <c r="GH1176" s="35">
        <v>42956</v>
      </c>
      <c r="GI1176" s="26">
        <v>3.174</v>
      </c>
      <c r="GJ1176" s="94">
        <f t="shared" si="411"/>
        <v>6.348</v>
      </c>
      <c r="GK1176" s="104"/>
      <c r="GL1176" s="104"/>
      <c r="GO1176" s="94"/>
    </row>
    <row r="1177" spans="3:197">
      <c r="C1177" s="80" t="str" cm="1">
        <f t="array" ref="C1177">_xlfn.IFS(MONTH(D1177)&lt;4,1,MONTH(D1177)&lt;7,2,MONTH(D1177)&lt;10,3,MONTH(D1177)&gt;9,4)&amp;"Q"&amp;RIGHT(YEAR(D1177),2)</f>
        <v>3Q20</v>
      </c>
      <c r="D1177" s="81">
        <f t="shared" si="407"/>
        <v>44104</v>
      </c>
      <c r="E1177" s="82">
        <f t="shared" si="416"/>
        <v>44099</v>
      </c>
      <c r="F1177" s="83">
        <f t="shared" si="419"/>
        <v>0.37</v>
      </c>
      <c r="G1177" s="83">
        <f t="shared" si="419"/>
        <v>0.39125</v>
      </c>
      <c r="H1177" s="81"/>
      <c r="I1177" s="146">
        <v>44099</v>
      </c>
      <c r="J1177" s="147">
        <v>3.4</v>
      </c>
      <c r="K1177" s="147">
        <v>2.8</v>
      </c>
      <c r="L1177" s="147">
        <v>2.96</v>
      </c>
      <c r="M1177" s="94" cm="1">
        <f t="array" ref="M1177">INDEX($BV$29:$BV$1449,MATCH($D1177,$BR$29:$BR$1449,0),)</f>
        <v>3.13</v>
      </c>
      <c r="N1177" s="150">
        <f t="shared" si="417"/>
        <v>0</v>
      </c>
      <c r="O1177" s="150">
        <f t="shared" si="415"/>
        <v>-0.00269541778975746</v>
      </c>
      <c r="P1177" s="150">
        <f t="shared" si="413"/>
        <v>0.00509337860780978</v>
      </c>
      <c r="Q1177" s="89">
        <f t="shared" si="418"/>
        <v>-0.0543130990415335</v>
      </c>
      <c r="AH1177" s="90"/>
      <c r="AI1177" s="85"/>
      <c r="AJ1177" s="36"/>
      <c r="AK1177" s="36"/>
      <c r="AL1177" s="36"/>
      <c r="AM1177" s="36"/>
      <c r="AN1177" s="36"/>
      <c r="AO1177" s="36"/>
      <c r="AP1177" s="36"/>
      <c r="AQ1177" s="36"/>
      <c r="GE1177" s="94"/>
      <c r="GF1177" s="104">
        <f t="shared" si="409"/>
        <v>2017</v>
      </c>
      <c r="GG1177" s="104">
        <f t="shared" si="410"/>
        <v>32</v>
      </c>
      <c r="GH1177" s="35">
        <v>42957</v>
      </c>
      <c r="GI1177" s="26">
        <v>3.171</v>
      </c>
      <c r="GJ1177" s="94">
        <f t="shared" si="411"/>
        <v>6.342</v>
      </c>
      <c r="GK1177" s="104"/>
      <c r="GL1177" s="104"/>
      <c r="GO1177" s="94"/>
    </row>
    <row r="1178" spans="3:197">
      <c r="C1178" s="80" t="str" cm="1">
        <f t="array" ref="C1178">_xlfn.IFS(MONTH(D1178)&lt;4,1,MONTH(D1178)&lt;7,2,MONTH(D1178)&lt;10,3,MONTH(D1178)&gt;9,4)&amp;"Q"&amp;RIGHT(YEAR(D1178),2)</f>
        <v>3Q20</v>
      </c>
      <c r="D1178" s="81">
        <f t="shared" si="407"/>
        <v>44104</v>
      </c>
      <c r="E1178" s="82">
        <f t="shared" si="416"/>
        <v>44102</v>
      </c>
      <c r="F1178" s="83">
        <f t="shared" si="419"/>
        <v>0.369125</v>
      </c>
      <c r="G1178" s="83">
        <f t="shared" si="419"/>
        <v>0.39125</v>
      </c>
      <c r="H1178" s="81"/>
      <c r="I1178" s="146">
        <v>44102</v>
      </c>
      <c r="J1178" s="147">
        <v>3.4</v>
      </c>
      <c r="K1178" s="147">
        <v>2.8</v>
      </c>
      <c r="L1178" s="147">
        <v>2.953</v>
      </c>
      <c r="M1178" s="94" cm="1">
        <f t="array" ref="M1178">INDEX($BV$29:$BV$1449,MATCH($D1178,$BR$29:$BR$1449,0),)</f>
        <v>3.13</v>
      </c>
      <c r="N1178" s="150">
        <f t="shared" si="417"/>
        <v>-0.00236486486486487</v>
      </c>
      <c r="O1178" s="150">
        <f t="shared" si="415"/>
        <v>-0.00505390835579522</v>
      </c>
      <c r="P1178" s="150">
        <f t="shared" si="413"/>
        <v>0.00271646859083186</v>
      </c>
      <c r="Q1178" s="89">
        <f t="shared" si="418"/>
        <v>-0.0565495207667732</v>
      </c>
      <c r="AH1178" s="90"/>
      <c r="AI1178" s="85"/>
      <c r="AJ1178" s="36"/>
      <c r="AK1178" s="36"/>
      <c r="AL1178" s="36"/>
      <c r="AM1178" s="36"/>
      <c r="AN1178" s="36"/>
      <c r="AO1178" s="36"/>
      <c r="AP1178" s="36"/>
      <c r="AQ1178" s="36"/>
      <c r="GE1178" s="94"/>
      <c r="GF1178" s="104">
        <f t="shared" si="409"/>
        <v>2017</v>
      </c>
      <c r="GG1178" s="104">
        <f t="shared" si="410"/>
        <v>32</v>
      </c>
      <c r="GH1178" s="35">
        <v>42958</v>
      </c>
      <c r="GI1178" s="26">
        <v>3.169</v>
      </c>
      <c r="GJ1178" s="94">
        <f t="shared" si="411"/>
        <v>6.338</v>
      </c>
      <c r="GK1178" s="104"/>
      <c r="GL1178" s="104"/>
      <c r="GO1178" s="94"/>
    </row>
    <row r="1179" spans="3:197">
      <c r="C1179" s="80" t="str" cm="1">
        <f t="array" ref="C1179">_xlfn.IFS(MONTH(D1179)&lt;4,1,MONTH(D1179)&lt;7,2,MONTH(D1179)&lt;10,3,MONTH(D1179)&gt;9,4)&amp;"Q"&amp;RIGHT(YEAR(D1179),2)</f>
        <v>3Q20</v>
      </c>
      <c r="D1179" s="81">
        <f t="shared" si="407"/>
        <v>44104</v>
      </c>
      <c r="E1179" s="82">
        <f t="shared" si="416"/>
        <v>44103</v>
      </c>
      <c r="F1179" s="83">
        <f t="shared" si="419"/>
        <v>0.369125</v>
      </c>
      <c r="G1179" s="83">
        <f t="shared" si="419"/>
        <v>0.39125</v>
      </c>
      <c r="H1179" s="81"/>
      <c r="I1179" s="146">
        <v>44103</v>
      </c>
      <c r="J1179" s="147">
        <v>3.4</v>
      </c>
      <c r="K1179" s="147">
        <v>2.8</v>
      </c>
      <c r="L1179" s="147">
        <v>2.953</v>
      </c>
      <c r="M1179" s="94" cm="1">
        <f t="array" ref="M1179">INDEX($BV$29:$BV$1449,MATCH($D1179,$BR$29:$BR$1449,0),)</f>
        <v>3.13</v>
      </c>
      <c r="N1179" s="150">
        <f t="shared" si="417"/>
        <v>0</v>
      </c>
      <c r="O1179" s="150">
        <f t="shared" si="415"/>
        <v>-0.00236486486486487</v>
      </c>
      <c r="P1179" s="150">
        <f t="shared" si="413"/>
        <v>0.00271646859083186</v>
      </c>
      <c r="Q1179" s="89">
        <f t="shared" si="418"/>
        <v>-0.0565495207667732</v>
      </c>
      <c r="AH1179" s="90"/>
      <c r="AI1179" s="85"/>
      <c r="AJ1179" s="36"/>
      <c r="AK1179" s="36"/>
      <c r="AL1179" s="36"/>
      <c r="AM1179" s="36"/>
      <c r="AN1179" s="36"/>
      <c r="AO1179" s="36"/>
      <c r="AP1179" s="36"/>
      <c r="AQ1179" s="36"/>
      <c r="GE1179" s="94"/>
      <c r="GF1179" s="104">
        <f t="shared" si="409"/>
        <v>2017</v>
      </c>
      <c r="GG1179" s="104">
        <f t="shared" si="410"/>
        <v>33</v>
      </c>
      <c r="GH1179" s="35">
        <v>42961</v>
      </c>
      <c r="GI1179" s="26">
        <v>3.163</v>
      </c>
      <c r="GJ1179" s="94">
        <f t="shared" si="411"/>
        <v>6.326</v>
      </c>
      <c r="GK1179" s="104"/>
      <c r="GL1179" s="104"/>
      <c r="GO1179" s="94"/>
    </row>
    <row r="1180" spans="3:197">
      <c r="C1180" s="80" t="str" cm="1">
        <f t="array" ref="C1180">_xlfn.IFS(MONTH(D1180)&lt;4,1,MONTH(D1180)&lt;7,2,MONTH(D1180)&lt;10,3,MONTH(D1180)&gt;9,4)&amp;"Q"&amp;RIGHT(YEAR(D1180),2)</f>
        <v>3Q20</v>
      </c>
      <c r="D1180" s="81">
        <f t="shared" si="407"/>
        <v>44104</v>
      </c>
      <c r="E1180" s="82">
        <f t="shared" si="416"/>
        <v>44104</v>
      </c>
      <c r="F1180" s="83">
        <f t="shared" si="419"/>
        <v>0.369125</v>
      </c>
      <c r="G1180" s="83">
        <f t="shared" si="419"/>
        <v>0.39125</v>
      </c>
      <c r="H1180" s="81"/>
      <c r="I1180" s="146">
        <v>44104</v>
      </c>
      <c r="J1180" s="147">
        <v>3.4</v>
      </c>
      <c r="K1180" s="147">
        <v>2.8</v>
      </c>
      <c r="L1180" s="147">
        <v>2.953</v>
      </c>
      <c r="M1180" s="94" cm="1">
        <f t="array" ref="M1180">INDEX($BV$29:$BV$1449,MATCH($D1180,$BR$29:$BR$1449,0),)</f>
        <v>3.13</v>
      </c>
      <c r="N1180" s="150">
        <f t="shared" si="417"/>
        <v>0</v>
      </c>
      <c r="O1180" s="150">
        <f t="shared" si="415"/>
        <v>-0.00236486486486487</v>
      </c>
      <c r="P1180" s="150">
        <f t="shared" si="413"/>
        <v>-0.00505390835579522</v>
      </c>
      <c r="Q1180" s="89">
        <f t="shared" si="418"/>
        <v>-0.0565495207667732</v>
      </c>
      <c r="AH1180" s="90"/>
      <c r="AI1180" s="85"/>
      <c r="AJ1180" s="36"/>
      <c r="AK1180" s="36"/>
      <c r="AL1180" s="36"/>
      <c r="AM1180" s="36"/>
      <c r="AN1180" s="36"/>
      <c r="AO1180" s="36"/>
      <c r="AP1180" s="36"/>
      <c r="AQ1180" s="36"/>
      <c r="GE1180" s="94"/>
      <c r="GF1180" s="104">
        <f t="shared" si="409"/>
        <v>2017</v>
      </c>
      <c r="GG1180" s="104">
        <f t="shared" si="410"/>
        <v>33</v>
      </c>
      <c r="GH1180" s="35">
        <v>42962</v>
      </c>
      <c r="GI1180" s="26">
        <v>3.163</v>
      </c>
      <c r="GJ1180" s="94">
        <f t="shared" si="411"/>
        <v>6.326</v>
      </c>
      <c r="GK1180" s="104"/>
      <c r="GL1180" s="104"/>
      <c r="GO1180" s="94"/>
    </row>
    <row r="1181" spans="3:197">
      <c r="C1181" s="80" t="str" cm="1">
        <f t="array" ref="C1181">_xlfn.IFS(MONTH(D1181)&lt;4,1,MONTH(D1181)&lt;7,2,MONTH(D1181)&lt;10,3,MONTH(D1181)&gt;9,4)&amp;"Q"&amp;RIGHT(YEAR(D1181),2)</f>
        <v>4Q20</v>
      </c>
      <c r="D1181" s="81">
        <f t="shared" si="407"/>
        <v>44135</v>
      </c>
      <c r="E1181" s="82">
        <f t="shared" si="416"/>
        <v>44109</v>
      </c>
      <c r="F1181" s="83">
        <f t="shared" si="419"/>
        <v>0.369125</v>
      </c>
      <c r="G1181" s="83">
        <f t="shared" si="419"/>
        <v>0.35625</v>
      </c>
      <c r="H1181" s="81"/>
      <c r="I1181" s="146">
        <v>44109</v>
      </c>
      <c r="J1181" s="147">
        <v>3.4</v>
      </c>
      <c r="K1181" s="147">
        <v>2.8</v>
      </c>
      <c r="L1181" s="147">
        <v>2.953</v>
      </c>
      <c r="M1181" s="94" cm="1">
        <f t="array" ref="M1181">INDEX($BV$29:$BV$1449,MATCH($D1181,$BR$29:$BR$1449,0),)</f>
        <v>2.85</v>
      </c>
      <c r="N1181" s="150">
        <f t="shared" si="417"/>
        <v>0</v>
      </c>
      <c r="O1181" s="150">
        <f t="shared" si="415"/>
        <v>-0.00236486486486487</v>
      </c>
      <c r="P1181" s="150">
        <f t="shared" si="413"/>
        <v>-0.00505390835579522</v>
      </c>
      <c r="Q1181" s="89">
        <f t="shared" si="418"/>
        <v>0.0361403508771929</v>
      </c>
      <c r="AH1181" s="90"/>
      <c r="AI1181" s="85"/>
      <c r="AJ1181" s="36"/>
      <c r="AK1181" s="36"/>
      <c r="AL1181" s="36"/>
      <c r="AM1181" s="36"/>
      <c r="AN1181" s="36"/>
      <c r="AO1181" s="36"/>
      <c r="AP1181" s="36"/>
      <c r="AQ1181" s="36"/>
      <c r="GE1181" s="94"/>
      <c r="GF1181" s="104">
        <f t="shared" si="409"/>
        <v>2017</v>
      </c>
      <c r="GG1181" s="104">
        <f t="shared" si="410"/>
        <v>33</v>
      </c>
      <c r="GH1181" s="35">
        <v>42963</v>
      </c>
      <c r="GI1181" s="26">
        <v>3.163</v>
      </c>
      <c r="GJ1181" s="94">
        <f t="shared" si="411"/>
        <v>6.326</v>
      </c>
      <c r="GK1181" s="104"/>
      <c r="GL1181" s="104"/>
      <c r="GO1181" s="94"/>
    </row>
    <row r="1182" spans="3:197">
      <c r="C1182" s="80" t="str" cm="1">
        <f t="array" ref="C1182">_xlfn.IFS(MONTH(D1182)&lt;4,1,MONTH(D1182)&lt;7,2,MONTH(D1182)&lt;10,3,MONTH(D1182)&gt;9,4)&amp;"Q"&amp;RIGHT(YEAR(D1182),2)</f>
        <v>4Q20</v>
      </c>
      <c r="D1182" s="81">
        <f t="shared" ref="D1182:D1245" si="420">EOMONTH(E1182,0)</f>
        <v>44135</v>
      </c>
      <c r="E1182" s="82">
        <f t="shared" si="416"/>
        <v>44110</v>
      </c>
      <c r="F1182" s="83">
        <f t="shared" si="419"/>
        <v>0.369125</v>
      </c>
      <c r="G1182" s="83">
        <f t="shared" si="419"/>
        <v>0.35625</v>
      </c>
      <c r="H1182" s="81"/>
      <c r="I1182" s="146">
        <v>44110</v>
      </c>
      <c r="J1182" s="147">
        <v>3.4</v>
      </c>
      <c r="K1182" s="147">
        <v>2.8</v>
      </c>
      <c r="L1182" s="147">
        <v>2.953</v>
      </c>
      <c r="M1182" s="94" cm="1">
        <f t="array" ref="M1182">INDEX($BV$29:$BV$1449,MATCH($D1182,$BR$29:$BR$1449,0),)</f>
        <v>2.85</v>
      </c>
      <c r="N1182" s="150">
        <f t="shared" si="417"/>
        <v>0</v>
      </c>
      <c r="O1182" s="150">
        <f t="shared" si="415"/>
        <v>-0.00236486486486487</v>
      </c>
      <c r="P1182" s="150">
        <f t="shared" si="413"/>
        <v>-0.00505390835579522</v>
      </c>
      <c r="Q1182" s="89">
        <f t="shared" si="418"/>
        <v>0.0361403508771929</v>
      </c>
      <c r="AH1182" s="90"/>
      <c r="AI1182" s="85"/>
      <c r="AJ1182" s="36"/>
      <c r="AK1182" s="36"/>
      <c r="AL1182" s="36"/>
      <c r="AM1182" s="36"/>
      <c r="AN1182" s="36"/>
      <c r="AO1182" s="36"/>
      <c r="AP1182" s="36"/>
      <c r="AQ1182" s="36"/>
      <c r="GE1182" s="94"/>
      <c r="GF1182" s="104">
        <f t="shared" si="409"/>
        <v>2017</v>
      </c>
      <c r="GG1182" s="104">
        <f t="shared" si="410"/>
        <v>33</v>
      </c>
      <c r="GH1182" s="35">
        <v>42964</v>
      </c>
      <c r="GI1182" s="26">
        <v>3.158</v>
      </c>
      <c r="GJ1182" s="94">
        <f t="shared" si="411"/>
        <v>6.316</v>
      </c>
      <c r="GK1182" s="104"/>
      <c r="GL1182" s="104"/>
      <c r="GO1182" s="94"/>
    </row>
    <row r="1183" spans="3:197">
      <c r="C1183" s="80" t="str" cm="1">
        <f t="array" ref="C1183">_xlfn.IFS(MONTH(D1183)&lt;4,1,MONTH(D1183)&lt;7,2,MONTH(D1183)&lt;10,3,MONTH(D1183)&gt;9,4)&amp;"Q"&amp;RIGHT(YEAR(D1183),2)</f>
        <v>4Q20</v>
      </c>
      <c r="D1183" s="81">
        <f t="shared" si="420"/>
        <v>44135</v>
      </c>
      <c r="E1183" s="82">
        <f t="shared" si="416"/>
        <v>44111</v>
      </c>
      <c r="F1183" s="83">
        <f t="shared" si="419"/>
        <v>0.369125</v>
      </c>
      <c r="G1183" s="83">
        <f t="shared" si="419"/>
        <v>0.35625</v>
      </c>
      <c r="H1183" s="81"/>
      <c r="I1183" s="146">
        <v>44111</v>
      </c>
      <c r="J1183" s="147">
        <v>3.43</v>
      </c>
      <c r="K1183" s="147">
        <v>2.82</v>
      </c>
      <c r="L1183" s="147">
        <v>2.953</v>
      </c>
      <c r="M1183" s="94" cm="1">
        <f t="array" ref="M1183">INDEX($BV$29:$BV$1449,MATCH($D1183,$BR$29:$BR$1449,0),)</f>
        <v>2.85</v>
      </c>
      <c r="N1183" s="150">
        <f t="shared" si="417"/>
        <v>0</v>
      </c>
      <c r="O1183" s="150">
        <f t="shared" si="415"/>
        <v>0</v>
      </c>
      <c r="P1183" s="150">
        <f t="shared" si="413"/>
        <v>-0.00505390835579522</v>
      </c>
      <c r="Q1183" s="89">
        <f t="shared" si="418"/>
        <v>0.0361403508771929</v>
      </c>
      <c r="AH1183" s="90"/>
      <c r="AI1183" s="85"/>
      <c r="AJ1183" s="36"/>
      <c r="AK1183" s="36"/>
      <c r="AL1183" s="36"/>
      <c r="AM1183" s="36"/>
      <c r="AN1183" s="36"/>
      <c r="AO1183" s="36"/>
      <c r="AP1183" s="36"/>
      <c r="AQ1183" s="36"/>
      <c r="GE1183" s="94"/>
      <c r="GF1183" s="104">
        <f t="shared" si="409"/>
        <v>2017</v>
      </c>
      <c r="GG1183" s="104">
        <f t="shared" si="410"/>
        <v>33</v>
      </c>
      <c r="GH1183" s="35">
        <v>42965</v>
      </c>
      <c r="GI1183" s="26">
        <v>3.158</v>
      </c>
      <c r="GJ1183" s="94">
        <f t="shared" si="411"/>
        <v>6.316</v>
      </c>
      <c r="GK1183" s="104"/>
      <c r="GL1183" s="104"/>
      <c r="GO1183" s="94"/>
    </row>
    <row r="1184" spans="3:197">
      <c r="C1184" s="80" t="str" cm="1">
        <f t="array" ref="C1184">_xlfn.IFS(MONTH(D1184)&lt;4,1,MONTH(D1184)&lt;7,2,MONTH(D1184)&lt;10,3,MONTH(D1184)&gt;9,4)&amp;"Q"&amp;RIGHT(YEAR(D1184),2)</f>
        <v>4Q20</v>
      </c>
      <c r="D1184" s="81">
        <f t="shared" si="420"/>
        <v>44135</v>
      </c>
      <c r="E1184" s="82">
        <f t="shared" si="416"/>
        <v>44112</v>
      </c>
      <c r="F1184" s="83">
        <f t="shared" si="419"/>
        <v>0.369125</v>
      </c>
      <c r="G1184" s="83">
        <f t="shared" si="419"/>
        <v>0.35625</v>
      </c>
      <c r="H1184" s="81"/>
      <c r="I1184" s="146">
        <v>44112</v>
      </c>
      <c r="J1184" s="147">
        <v>3.43</v>
      </c>
      <c r="K1184" s="147">
        <v>2.8</v>
      </c>
      <c r="L1184" s="147">
        <v>2.953</v>
      </c>
      <c r="M1184" s="94" cm="1">
        <f t="array" ref="M1184">INDEX($BV$29:$BV$1449,MATCH($D1184,$BR$29:$BR$1449,0),)</f>
        <v>2.85</v>
      </c>
      <c r="N1184" s="150">
        <f t="shared" si="417"/>
        <v>0</v>
      </c>
      <c r="O1184" s="150">
        <f t="shared" si="415"/>
        <v>0</v>
      </c>
      <c r="P1184" s="150">
        <f t="shared" si="413"/>
        <v>-0.00236486486486487</v>
      </c>
      <c r="Q1184" s="89">
        <f t="shared" si="418"/>
        <v>0.0361403508771929</v>
      </c>
      <c r="AH1184" s="90"/>
      <c r="AI1184" s="85"/>
      <c r="AJ1184" s="36"/>
      <c r="AK1184" s="36"/>
      <c r="AL1184" s="36"/>
      <c r="AM1184" s="36"/>
      <c r="AN1184" s="36"/>
      <c r="AO1184" s="36"/>
      <c r="AP1184" s="36"/>
      <c r="AQ1184" s="36"/>
      <c r="GE1184" s="94"/>
      <c r="GF1184" s="104">
        <f t="shared" si="409"/>
        <v>2017</v>
      </c>
      <c r="GG1184" s="104">
        <f t="shared" si="410"/>
        <v>34</v>
      </c>
      <c r="GH1184" s="35">
        <v>42968</v>
      </c>
      <c r="GI1184" s="26">
        <v>3.158</v>
      </c>
      <c r="GJ1184" s="94">
        <f t="shared" si="411"/>
        <v>6.316</v>
      </c>
      <c r="GK1184" s="104"/>
      <c r="GL1184" s="104"/>
      <c r="GO1184" s="94"/>
    </row>
    <row r="1185" spans="3:197">
      <c r="C1185" s="80" t="str" cm="1">
        <f t="array" ref="C1185">_xlfn.IFS(MONTH(D1185)&lt;4,1,MONTH(D1185)&lt;7,2,MONTH(D1185)&lt;10,3,MONTH(D1185)&gt;9,4)&amp;"Q"&amp;RIGHT(YEAR(D1185),2)</f>
        <v>4Q20</v>
      </c>
      <c r="D1185" s="81">
        <f t="shared" si="420"/>
        <v>44135</v>
      </c>
      <c r="E1185" s="82">
        <f t="shared" si="416"/>
        <v>44113</v>
      </c>
      <c r="F1185" s="83">
        <f t="shared" si="419"/>
        <v>0.369125</v>
      </c>
      <c r="G1185" s="83">
        <f t="shared" si="419"/>
        <v>0.35625</v>
      </c>
      <c r="H1185" s="81"/>
      <c r="I1185" s="146">
        <v>44113</v>
      </c>
      <c r="J1185" s="147">
        <v>3.43</v>
      </c>
      <c r="K1185" s="147">
        <v>2.8</v>
      </c>
      <c r="L1185" s="147">
        <v>2.953</v>
      </c>
      <c r="M1185" s="94" cm="1">
        <f t="array" ref="M1185">INDEX($BV$29:$BV$1449,MATCH($D1185,$BR$29:$BR$1449,0),)</f>
        <v>2.85</v>
      </c>
      <c r="N1185" s="150">
        <f t="shared" si="417"/>
        <v>0</v>
      </c>
      <c r="O1185" s="150">
        <f t="shared" si="415"/>
        <v>0</v>
      </c>
      <c r="P1185" s="150">
        <f t="shared" si="413"/>
        <v>-0.00236486486486487</v>
      </c>
      <c r="Q1185" s="89">
        <f t="shared" si="418"/>
        <v>0.0361403508771929</v>
      </c>
      <c r="AH1185" s="90"/>
      <c r="AI1185" s="85"/>
      <c r="AJ1185" s="36"/>
      <c r="AK1185" s="36"/>
      <c r="AL1185" s="36"/>
      <c r="AM1185" s="36"/>
      <c r="AN1185" s="36"/>
      <c r="AO1185" s="36"/>
      <c r="AP1185" s="36"/>
      <c r="AQ1185" s="36"/>
      <c r="GE1185" s="94"/>
      <c r="GF1185" s="104">
        <f t="shared" si="409"/>
        <v>2017</v>
      </c>
      <c r="GG1185" s="104">
        <f t="shared" si="410"/>
        <v>34</v>
      </c>
      <c r="GH1185" s="35">
        <v>42969</v>
      </c>
      <c r="GI1185" s="26">
        <v>3.15</v>
      </c>
      <c r="GJ1185" s="94">
        <f t="shared" si="411"/>
        <v>6.3</v>
      </c>
      <c r="GK1185" s="104"/>
      <c r="GL1185" s="104"/>
      <c r="GO1185" s="94"/>
    </row>
    <row r="1186" spans="3:197">
      <c r="C1186" s="80" t="str" cm="1">
        <f t="array" ref="C1186">_xlfn.IFS(MONTH(D1186)&lt;4,1,MONTH(D1186)&lt;7,2,MONTH(D1186)&lt;10,3,MONTH(D1186)&gt;9,4)&amp;"Q"&amp;RIGHT(YEAR(D1186),2)</f>
        <v>4Q20</v>
      </c>
      <c r="D1186" s="81">
        <f t="shared" si="420"/>
        <v>44135</v>
      </c>
      <c r="E1186" s="82">
        <f t="shared" si="416"/>
        <v>44116</v>
      </c>
      <c r="F1186" s="83">
        <f t="shared" si="419"/>
        <v>0.37</v>
      </c>
      <c r="G1186" s="83">
        <f t="shared" si="419"/>
        <v>0.35625</v>
      </c>
      <c r="H1186" s="81"/>
      <c r="I1186" s="146">
        <v>44116</v>
      </c>
      <c r="J1186" s="147">
        <v>3.43</v>
      </c>
      <c r="K1186" s="147">
        <v>2.8</v>
      </c>
      <c r="L1186" s="147">
        <v>2.96</v>
      </c>
      <c r="M1186" s="94" cm="1">
        <f t="array" ref="M1186">INDEX($BV$29:$BV$1449,MATCH($D1186,$BR$29:$BR$1449,0),)</f>
        <v>2.85</v>
      </c>
      <c r="N1186" s="150">
        <f t="shared" si="417"/>
        <v>0.00237047070775476</v>
      </c>
      <c r="O1186" s="150">
        <f t="shared" si="415"/>
        <v>0.00237047070775476</v>
      </c>
      <c r="P1186" s="150">
        <f t="shared" si="413"/>
        <v>0</v>
      </c>
      <c r="Q1186" s="89">
        <f t="shared" si="418"/>
        <v>0.0385964912280701</v>
      </c>
      <c r="AH1186" s="90"/>
      <c r="AI1186" s="85"/>
      <c r="AJ1186" s="36"/>
      <c r="AK1186" s="36"/>
      <c r="AL1186" s="36"/>
      <c r="AM1186" s="36"/>
      <c r="AN1186" s="36"/>
      <c r="AO1186" s="36"/>
      <c r="AP1186" s="36"/>
      <c r="AQ1186" s="36"/>
      <c r="GE1186" s="94"/>
      <c r="GF1186" s="104">
        <f t="shared" si="409"/>
        <v>2017</v>
      </c>
      <c r="GG1186" s="104">
        <f t="shared" si="410"/>
        <v>34</v>
      </c>
      <c r="GH1186" s="35">
        <v>42970</v>
      </c>
      <c r="GI1186" s="26">
        <v>3.15</v>
      </c>
      <c r="GJ1186" s="94">
        <f t="shared" si="411"/>
        <v>6.3</v>
      </c>
      <c r="GK1186" s="104"/>
      <c r="GL1186" s="104"/>
      <c r="GO1186" s="94"/>
    </row>
    <row r="1187" spans="3:197">
      <c r="C1187" s="80" t="str" cm="1">
        <f t="array" ref="C1187">_xlfn.IFS(MONTH(D1187)&lt;4,1,MONTH(D1187)&lt;7,2,MONTH(D1187)&lt;10,3,MONTH(D1187)&gt;9,4)&amp;"Q"&amp;RIGHT(YEAR(D1187),2)</f>
        <v>4Q20</v>
      </c>
      <c r="D1187" s="81">
        <f t="shared" si="420"/>
        <v>44135</v>
      </c>
      <c r="E1187" s="82">
        <f t="shared" si="416"/>
        <v>44117</v>
      </c>
      <c r="F1187" s="83">
        <f t="shared" si="419"/>
        <v>0.37</v>
      </c>
      <c r="G1187" s="83">
        <f t="shared" si="419"/>
        <v>0.35625</v>
      </c>
      <c r="H1187" s="81"/>
      <c r="I1187" s="146">
        <v>44117</v>
      </c>
      <c r="J1187" s="147">
        <v>3.43</v>
      </c>
      <c r="K1187" s="147">
        <v>2.8</v>
      </c>
      <c r="L1187" s="147">
        <v>2.96</v>
      </c>
      <c r="M1187" s="94" cm="1">
        <f t="array" ref="M1187">INDEX($BV$29:$BV$1449,MATCH($D1187,$BR$29:$BR$1449,0),)</f>
        <v>2.85</v>
      </c>
      <c r="N1187" s="150">
        <f t="shared" si="417"/>
        <v>0</v>
      </c>
      <c r="O1187" s="150">
        <f t="shared" si="415"/>
        <v>0.00237047070775476</v>
      </c>
      <c r="P1187" s="150">
        <f t="shared" si="413"/>
        <v>0</v>
      </c>
      <c r="Q1187" s="89">
        <f t="shared" si="418"/>
        <v>0.0385964912280701</v>
      </c>
      <c r="AH1187" s="90"/>
      <c r="AI1187" s="85"/>
      <c r="AJ1187" s="36"/>
      <c r="AK1187" s="36"/>
      <c r="AL1187" s="36"/>
      <c r="AM1187" s="36"/>
      <c r="AN1187" s="36"/>
      <c r="AO1187" s="36"/>
      <c r="AP1187" s="36"/>
      <c r="AQ1187" s="36"/>
      <c r="GE1187" s="94"/>
      <c r="GF1187" s="104">
        <f t="shared" si="409"/>
        <v>2017</v>
      </c>
      <c r="GG1187" s="104">
        <f t="shared" si="410"/>
        <v>34</v>
      </c>
      <c r="GH1187" s="35">
        <v>42971</v>
      </c>
      <c r="GI1187" s="26">
        <v>3.15</v>
      </c>
      <c r="GJ1187" s="94">
        <f t="shared" si="411"/>
        <v>6.3</v>
      </c>
      <c r="GK1187" s="104"/>
      <c r="GL1187" s="104"/>
      <c r="GO1187" s="94"/>
    </row>
    <row r="1188" spans="3:197">
      <c r="C1188" s="80" t="str" cm="1">
        <f t="array" ref="C1188">_xlfn.IFS(MONTH(D1188)&lt;4,1,MONTH(D1188)&lt;7,2,MONTH(D1188)&lt;10,3,MONTH(D1188)&gt;9,4)&amp;"Q"&amp;RIGHT(YEAR(D1188),2)</f>
        <v>4Q20</v>
      </c>
      <c r="D1188" s="81">
        <f t="shared" si="420"/>
        <v>44135</v>
      </c>
      <c r="E1188" s="82">
        <f t="shared" si="416"/>
        <v>44118</v>
      </c>
      <c r="F1188" s="83">
        <f t="shared" si="419"/>
        <v>0.369125</v>
      </c>
      <c r="G1188" s="83">
        <f t="shared" si="419"/>
        <v>0.35625</v>
      </c>
      <c r="H1188" s="81"/>
      <c r="I1188" s="146">
        <v>44118</v>
      </c>
      <c r="J1188" s="147">
        <v>3.4</v>
      </c>
      <c r="K1188" s="147">
        <v>2.78</v>
      </c>
      <c r="L1188" s="147">
        <v>2.953</v>
      </c>
      <c r="M1188" s="94" cm="1">
        <f t="array" ref="M1188">INDEX($BV$29:$BV$1449,MATCH($D1188,$BR$29:$BR$1449,0),)</f>
        <v>2.85</v>
      </c>
      <c r="N1188" s="150">
        <f t="shared" si="417"/>
        <v>-0.00236486486486487</v>
      </c>
      <c r="O1188" s="150">
        <f t="shared" si="415"/>
        <v>0</v>
      </c>
      <c r="P1188" s="150">
        <f t="shared" si="413"/>
        <v>0</v>
      </c>
      <c r="Q1188" s="89">
        <f t="shared" si="418"/>
        <v>0.0361403508771929</v>
      </c>
      <c r="AH1188" s="90"/>
      <c r="AI1188" s="85"/>
      <c r="AJ1188" s="36"/>
      <c r="AK1188" s="36"/>
      <c r="AL1188" s="36"/>
      <c r="AM1188" s="36"/>
      <c r="AN1188" s="36"/>
      <c r="AO1188" s="36"/>
      <c r="AP1188" s="36"/>
      <c r="AQ1188" s="36"/>
      <c r="GE1188" s="94"/>
      <c r="GF1188" s="104">
        <f t="shared" si="409"/>
        <v>2017</v>
      </c>
      <c r="GG1188" s="104">
        <f t="shared" si="410"/>
        <v>34</v>
      </c>
      <c r="GH1188" s="35">
        <v>42972</v>
      </c>
      <c r="GI1188" s="26">
        <v>3.181</v>
      </c>
      <c r="GJ1188" s="94">
        <f t="shared" si="411"/>
        <v>6.362</v>
      </c>
      <c r="GK1188" s="104"/>
      <c r="GL1188" s="104"/>
      <c r="GO1188" s="94"/>
    </row>
    <row r="1189" spans="3:197">
      <c r="C1189" s="80" t="str" cm="1">
        <f t="array" ref="C1189">_xlfn.IFS(MONTH(D1189)&lt;4,1,MONTH(D1189)&lt;7,2,MONTH(D1189)&lt;10,3,MONTH(D1189)&gt;9,4)&amp;"Q"&amp;RIGHT(YEAR(D1189),2)</f>
        <v>4Q20</v>
      </c>
      <c r="D1189" s="81">
        <f t="shared" si="420"/>
        <v>44135</v>
      </c>
      <c r="E1189" s="82">
        <f t="shared" si="416"/>
        <v>44119</v>
      </c>
      <c r="F1189" s="83">
        <f t="shared" ref="F1189:G1204" si="421">+L1189/8</f>
        <v>0.36725</v>
      </c>
      <c r="G1189" s="83">
        <f t="shared" si="421"/>
        <v>0.35625</v>
      </c>
      <c r="H1189" s="81"/>
      <c r="I1189" s="146">
        <v>44119</v>
      </c>
      <c r="J1189" s="147">
        <v>3.38</v>
      </c>
      <c r="K1189" s="147">
        <v>2.7</v>
      </c>
      <c r="L1189" s="147">
        <v>2.938</v>
      </c>
      <c r="M1189" s="94" cm="1">
        <f t="array" ref="M1189">INDEX($BV$29:$BV$1449,MATCH($D1189,$BR$29:$BR$1449,0),)</f>
        <v>2.85</v>
      </c>
      <c r="N1189" s="150">
        <f t="shared" si="417"/>
        <v>-0.00507958008804599</v>
      </c>
      <c r="O1189" s="150">
        <f t="shared" si="415"/>
        <v>-0.00507958008804599</v>
      </c>
      <c r="P1189" s="150">
        <f t="shared" si="413"/>
        <v>-0.00507958008804599</v>
      </c>
      <c r="Q1189" s="89">
        <f t="shared" si="418"/>
        <v>0.0308771929824561</v>
      </c>
      <c r="AH1189" s="90"/>
      <c r="AI1189" s="85"/>
      <c r="AJ1189" s="36"/>
      <c r="AK1189" s="36"/>
      <c r="AL1189" s="36"/>
      <c r="AM1189" s="36"/>
      <c r="AN1189" s="36"/>
      <c r="AO1189" s="36"/>
      <c r="AP1189" s="36"/>
      <c r="AQ1189" s="36"/>
      <c r="GE1189" s="94"/>
      <c r="GF1189" s="104">
        <f t="shared" si="409"/>
        <v>2017</v>
      </c>
      <c r="GG1189" s="104">
        <f t="shared" si="410"/>
        <v>35</v>
      </c>
      <c r="GH1189" s="35">
        <v>42975</v>
      </c>
      <c r="GI1189" s="26">
        <v>3.186</v>
      </c>
      <c r="GJ1189" s="94">
        <f t="shared" si="411"/>
        <v>6.372</v>
      </c>
      <c r="GK1189" s="104"/>
      <c r="GL1189" s="104"/>
      <c r="GO1189" s="94"/>
    </row>
    <row r="1190" spans="3:197">
      <c r="C1190" s="80" t="str" cm="1">
        <f t="array" ref="C1190">_xlfn.IFS(MONTH(D1190)&lt;4,1,MONTH(D1190)&lt;7,2,MONTH(D1190)&lt;10,3,MONTH(D1190)&gt;9,4)&amp;"Q"&amp;RIGHT(YEAR(D1190),2)</f>
        <v>4Q20</v>
      </c>
      <c r="D1190" s="81">
        <f t="shared" si="420"/>
        <v>44135</v>
      </c>
      <c r="E1190" s="82">
        <f t="shared" si="416"/>
        <v>44120</v>
      </c>
      <c r="F1190" s="83">
        <f t="shared" si="421"/>
        <v>0.365375</v>
      </c>
      <c r="G1190" s="83">
        <f t="shared" si="421"/>
        <v>0.35625</v>
      </c>
      <c r="H1190" s="81"/>
      <c r="I1190" s="146">
        <v>44120</v>
      </c>
      <c r="J1190" s="147">
        <v>3.38</v>
      </c>
      <c r="K1190" s="147">
        <v>2.7</v>
      </c>
      <c r="L1190" s="147">
        <v>2.923</v>
      </c>
      <c r="M1190" s="94" cm="1">
        <f t="array" ref="M1190">INDEX($BV$29:$BV$1449,MATCH($D1190,$BR$29:$BR$1449,0),)</f>
        <v>2.85</v>
      </c>
      <c r="N1190" s="150">
        <f t="shared" si="417"/>
        <v>-0.00510551395507153</v>
      </c>
      <c r="O1190" s="150">
        <f t="shared" si="415"/>
        <v>-0.0101591601760921</v>
      </c>
      <c r="P1190" s="150">
        <f t="shared" si="413"/>
        <v>-0.0101591601760921</v>
      </c>
      <c r="Q1190" s="89">
        <f t="shared" si="418"/>
        <v>0.0256140350877192</v>
      </c>
      <c r="AH1190" s="90"/>
      <c r="AI1190" s="85"/>
      <c r="AJ1190" s="36"/>
      <c r="AK1190" s="36"/>
      <c r="AL1190" s="36"/>
      <c r="AM1190" s="36"/>
      <c r="AN1190" s="36"/>
      <c r="AO1190" s="36"/>
      <c r="AP1190" s="36"/>
      <c r="AQ1190" s="36"/>
      <c r="GE1190" s="94"/>
      <c r="GF1190" s="104">
        <f t="shared" si="409"/>
        <v>2017</v>
      </c>
      <c r="GG1190" s="104">
        <f t="shared" si="410"/>
        <v>35</v>
      </c>
      <c r="GH1190" s="35">
        <v>42976</v>
      </c>
      <c r="GI1190" s="26">
        <v>3.188</v>
      </c>
      <c r="GJ1190" s="94">
        <f t="shared" si="411"/>
        <v>6.376</v>
      </c>
      <c r="GK1190" s="104"/>
      <c r="GL1190" s="104"/>
      <c r="GO1190" s="94"/>
    </row>
    <row r="1191" spans="3:197">
      <c r="C1191" s="80" t="str" cm="1">
        <f t="array" ref="C1191">_xlfn.IFS(MONTH(D1191)&lt;4,1,MONTH(D1191)&lt;7,2,MONTH(D1191)&lt;10,3,MONTH(D1191)&gt;9,4)&amp;"Q"&amp;RIGHT(YEAR(D1191),2)</f>
        <v>4Q20</v>
      </c>
      <c r="D1191" s="81">
        <f t="shared" si="420"/>
        <v>44135</v>
      </c>
      <c r="E1191" s="82">
        <f t="shared" si="416"/>
        <v>44123</v>
      </c>
      <c r="F1191" s="83">
        <f t="shared" si="421"/>
        <v>0.363125</v>
      </c>
      <c r="G1191" s="83">
        <f t="shared" si="421"/>
        <v>0.35625</v>
      </c>
      <c r="H1191" s="81"/>
      <c r="I1191" s="146">
        <v>44123</v>
      </c>
      <c r="J1191" s="147">
        <v>3.42</v>
      </c>
      <c r="K1191" s="147">
        <v>2.7</v>
      </c>
      <c r="L1191" s="147">
        <v>2.905</v>
      </c>
      <c r="M1191" s="94" cm="1">
        <f t="array" ref="M1191">INDEX($BV$29:$BV$1449,MATCH($D1191,$BR$29:$BR$1449,0),)</f>
        <v>2.85</v>
      </c>
      <c r="N1191" s="150">
        <f t="shared" si="417"/>
        <v>-0.00615805679096826</v>
      </c>
      <c r="O1191" s="150">
        <f t="shared" si="415"/>
        <v>-0.0185810810810811</v>
      </c>
      <c r="P1191" s="150">
        <f t="shared" si="413"/>
        <v>-0.0162546562817474</v>
      </c>
      <c r="Q1191" s="89">
        <f t="shared" si="418"/>
        <v>0.0192982456140349</v>
      </c>
      <c r="AH1191" s="90"/>
      <c r="AI1191" s="85"/>
      <c r="AJ1191" s="36"/>
      <c r="AK1191" s="36"/>
      <c r="AL1191" s="36"/>
      <c r="AM1191" s="36"/>
      <c r="AN1191" s="36"/>
      <c r="AO1191" s="36"/>
      <c r="AP1191" s="36"/>
      <c r="AQ1191" s="36"/>
      <c r="GE1191" s="94"/>
      <c r="GF1191" s="104">
        <f t="shared" si="409"/>
        <v>2017</v>
      </c>
      <c r="GG1191" s="104">
        <f t="shared" si="410"/>
        <v>35</v>
      </c>
      <c r="GH1191" s="35">
        <v>42977</v>
      </c>
      <c r="GI1191" s="26">
        <v>3.194</v>
      </c>
      <c r="GJ1191" s="94">
        <f t="shared" si="411"/>
        <v>6.388</v>
      </c>
      <c r="GK1191" s="104"/>
      <c r="GL1191" s="104"/>
      <c r="GO1191" s="94"/>
    </row>
    <row r="1192" spans="3:197">
      <c r="C1192" s="80" t="str" cm="1">
        <f t="array" ref="C1192">_xlfn.IFS(MONTH(D1192)&lt;4,1,MONTH(D1192)&lt;7,2,MONTH(D1192)&lt;10,3,MONTH(D1192)&gt;9,4)&amp;"Q"&amp;RIGHT(YEAR(D1192),2)</f>
        <v>4Q20</v>
      </c>
      <c r="D1192" s="81">
        <f t="shared" si="420"/>
        <v>44135</v>
      </c>
      <c r="E1192" s="82">
        <f t="shared" si="416"/>
        <v>44124</v>
      </c>
      <c r="F1192" s="83">
        <f t="shared" si="421"/>
        <v>0.3625</v>
      </c>
      <c r="G1192" s="83">
        <f t="shared" si="421"/>
        <v>0.35625</v>
      </c>
      <c r="H1192" s="81"/>
      <c r="I1192" s="146">
        <v>44124</v>
      </c>
      <c r="J1192" s="147">
        <v>3.4</v>
      </c>
      <c r="K1192" s="147">
        <v>2.7</v>
      </c>
      <c r="L1192" s="147">
        <v>2.9</v>
      </c>
      <c r="M1192" s="94" cm="1">
        <f t="array" ref="M1192">INDEX($BV$29:$BV$1449,MATCH($D1192,$BR$29:$BR$1449,0),)</f>
        <v>2.85</v>
      </c>
      <c r="N1192" s="150">
        <f t="shared" si="417"/>
        <v>-0.00172117039586916</v>
      </c>
      <c r="O1192" s="150">
        <f t="shared" si="415"/>
        <v>-0.0202702702702703</v>
      </c>
      <c r="P1192" s="150">
        <f t="shared" si="413"/>
        <v>-0.0179478496444294</v>
      </c>
      <c r="Q1192" s="89">
        <f t="shared" si="418"/>
        <v>0.0175438596491226</v>
      </c>
      <c r="AH1192" s="90"/>
      <c r="AI1192" s="85"/>
      <c r="AJ1192" s="36"/>
      <c r="AK1192" s="36"/>
      <c r="AL1192" s="36"/>
      <c r="AM1192" s="36"/>
      <c r="AN1192" s="36"/>
      <c r="AO1192" s="36"/>
      <c r="AP1192" s="36"/>
      <c r="AQ1192" s="36"/>
      <c r="GE1192" s="94"/>
      <c r="GF1192" s="104">
        <f t="shared" si="409"/>
        <v>2017</v>
      </c>
      <c r="GG1192" s="104">
        <f t="shared" si="410"/>
        <v>35</v>
      </c>
      <c r="GH1192" s="35">
        <v>42978</v>
      </c>
      <c r="GI1192" s="26">
        <v>3.195</v>
      </c>
      <c r="GJ1192" s="94">
        <f t="shared" si="411"/>
        <v>6.39</v>
      </c>
      <c r="GK1192" s="104"/>
      <c r="GL1192" s="104"/>
      <c r="GO1192" s="94"/>
    </row>
    <row r="1193" spans="3:197">
      <c r="C1193" s="80" t="str" cm="1">
        <f t="array" ref="C1193">_xlfn.IFS(MONTH(D1193)&lt;4,1,MONTH(D1193)&lt;7,2,MONTH(D1193)&lt;10,3,MONTH(D1193)&gt;9,4)&amp;"Q"&amp;RIGHT(YEAR(D1193),2)</f>
        <v>4Q20</v>
      </c>
      <c r="D1193" s="81">
        <f t="shared" si="420"/>
        <v>44135</v>
      </c>
      <c r="E1193" s="82">
        <f t="shared" si="416"/>
        <v>44125</v>
      </c>
      <c r="F1193" s="83">
        <f t="shared" si="421"/>
        <v>0.36225</v>
      </c>
      <c r="G1193" s="83">
        <f t="shared" si="421"/>
        <v>0.35625</v>
      </c>
      <c r="H1193" s="81"/>
      <c r="I1193" s="146">
        <v>44125</v>
      </c>
      <c r="J1193" s="147">
        <v>3.4</v>
      </c>
      <c r="K1193" s="147">
        <v>2.7</v>
      </c>
      <c r="L1193" s="147">
        <v>2.898</v>
      </c>
      <c r="M1193" s="94" cm="1">
        <f t="array" ref="M1193">INDEX($BV$29:$BV$1449,MATCH($D1193,$BR$29:$BR$1449,0),)</f>
        <v>2.85</v>
      </c>
      <c r="N1193" s="150">
        <f t="shared" si="417"/>
        <v>-0.000689655172413706</v>
      </c>
      <c r="O1193" s="150">
        <f t="shared" si="415"/>
        <v>-0.0186251269895021</v>
      </c>
      <c r="P1193" s="150">
        <f t="shared" si="413"/>
        <v>-0.0186251269895021</v>
      </c>
      <c r="Q1193" s="89">
        <f t="shared" si="418"/>
        <v>0.016842105263158</v>
      </c>
      <c r="AH1193" s="90"/>
      <c r="AI1193" s="85"/>
      <c r="AJ1193" s="36"/>
      <c r="AK1193" s="36"/>
      <c r="AL1193" s="36"/>
      <c r="AM1193" s="36"/>
      <c r="AN1193" s="36"/>
      <c r="AO1193" s="36"/>
      <c r="AP1193" s="36"/>
      <c r="AQ1193" s="36"/>
      <c r="GE1193" s="94"/>
      <c r="GF1193" s="104">
        <f t="shared" si="409"/>
        <v>2017</v>
      </c>
      <c r="GG1193" s="104">
        <f t="shared" si="410"/>
        <v>35</v>
      </c>
      <c r="GH1193" s="35">
        <v>42979</v>
      </c>
      <c r="GI1193" s="26">
        <v>3.201</v>
      </c>
      <c r="GJ1193" s="94">
        <f t="shared" si="411"/>
        <v>6.402</v>
      </c>
      <c r="GK1193" s="104"/>
      <c r="GL1193" s="104"/>
      <c r="GO1193" s="94"/>
    </row>
    <row r="1194" spans="3:197">
      <c r="C1194" s="80" t="str" cm="1">
        <f t="array" ref="C1194">_xlfn.IFS(MONTH(D1194)&lt;4,1,MONTH(D1194)&lt;7,2,MONTH(D1194)&lt;10,3,MONTH(D1194)&gt;9,4)&amp;"Q"&amp;RIGHT(YEAR(D1194),2)</f>
        <v>4Q20</v>
      </c>
      <c r="D1194" s="81">
        <f t="shared" si="420"/>
        <v>44135</v>
      </c>
      <c r="E1194" s="82">
        <f t="shared" si="416"/>
        <v>44126</v>
      </c>
      <c r="F1194" s="83">
        <f t="shared" si="421"/>
        <v>0.361875</v>
      </c>
      <c r="G1194" s="83">
        <f t="shared" si="421"/>
        <v>0.35625</v>
      </c>
      <c r="H1194" s="81"/>
      <c r="I1194" s="146">
        <v>44126</v>
      </c>
      <c r="J1194" s="147">
        <v>3.4</v>
      </c>
      <c r="K1194" s="147">
        <v>2.7</v>
      </c>
      <c r="L1194" s="147">
        <v>2.895</v>
      </c>
      <c r="M1194" s="94" cm="1">
        <f t="array" ref="M1194">INDEX($BV$29:$BV$1449,MATCH($D1194,$BR$29:$BR$1449,0),)</f>
        <v>2.85</v>
      </c>
      <c r="N1194" s="150">
        <f t="shared" si="417"/>
        <v>-0.00103519668737062</v>
      </c>
      <c r="O1194" s="150">
        <f t="shared" si="415"/>
        <v>-0.0146358066712049</v>
      </c>
      <c r="P1194" s="150">
        <f t="shared" si="413"/>
        <v>-0.0196410430071113</v>
      </c>
      <c r="Q1194" s="89">
        <f t="shared" si="418"/>
        <v>0.0157894736842106</v>
      </c>
      <c r="AH1194" s="90"/>
      <c r="AI1194" s="85"/>
      <c r="AJ1194" s="36"/>
      <c r="AK1194" s="36"/>
      <c r="AL1194" s="36"/>
      <c r="AM1194" s="36"/>
      <c r="AN1194" s="36"/>
      <c r="AO1194" s="36"/>
      <c r="AP1194" s="36"/>
      <c r="AQ1194" s="36"/>
      <c r="GE1194" s="94"/>
      <c r="GF1194" s="104">
        <f t="shared" si="409"/>
        <v>2017</v>
      </c>
      <c r="GG1194" s="104">
        <f t="shared" si="410"/>
        <v>36</v>
      </c>
      <c r="GH1194" s="35">
        <v>42982</v>
      </c>
      <c r="GI1194" s="26">
        <v>3.215</v>
      </c>
      <c r="GJ1194" s="94">
        <f t="shared" si="411"/>
        <v>6.43</v>
      </c>
      <c r="GK1194" s="104"/>
      <c r="GL1194" s="104"/>
      <c r="GO1194" s="94"/>
    </row>
    <row r="1195" spans="3:197">
      <c r="C1195" s="80" t="str" cm="1">
        <f t="array" ref="C1195">_xlfn.IFS(MONTH(D1195)&lt;4,1,MONTH(D1195)&lt;7,2,MONTH(D1195)&lt;10,3,MONTH(D1195)&gt;9,4)&amp;"Q"&amp;RIGHT(YEAR(D1195),2)</f>
        <v>4Q20</v>
      </c>
      <c r="D1195" s="81">
        <f t="shared" si="420"/>
        <v>44135</v>
      </c>
      <c r="E1195" s="82">
        <f t="shared" si="416"/>
        <v>44127</v>
      </c>
      <c r="F1195" s="83">
        <f t="shared" si="421"/>
        <v>0.361875</v>
      </c>
      <c r="G1195" s="83">
        <f t="shared" si="421"/>
        <v>0.35625</v>
      </c>
      <c r="H1195" s="81"/>
      <c r="I1195" s="146">
        <v>44127</v>
      </c>
      <c r="J1195" s="147">
        <v>3.4</v>
      </c>
      <c r="K1195" s="147">
        <v>2.7</v>
      </c>
      <c r="L1195" s="147">
        <v>2.895</v>
      </c>
      <c r="M1195" s="94" cm="1">
        <f t="array" ref="M1195">INDEX($BV$29:$BV$1449,MATCH($D1195,$BR$29:$BR$1449,0),)</f>
        <v>2.85</v>
      </c>
      <c r="N1195" s="150">
        <f t="shared" si="417"/>
        <v>0</v>
      </c>
      <c r="O1195" s="150">
        <f t="shared" si="415"/>
        <v>-0.0095791994526172</v>
      </c>
      <c r="P1195" s="150">
        <f t="shared" si="413"/>
        <v>-0.0196410430071113</v>
      </c>
      <c r="Q1195" s="89">
        <f t="shared" si="418"/>
        <v>0.0157894736842106</v>
      </c>
      <c r="AH1195" s="90"/>
      <c r="AI1195" s="85"/>
      <c r="AJ1195" s="36"/>
      <c r="AK1195" s="36"/>
      <c r="AL1195" s="36"/>
      <c r="AM1195" s="36"/>
      <c r="AN1195" s="36"/>
      <c r="AO1195" s="36"/>
      <c r="AP1195" s="36"/>
      <c r="AQ1195" s="36"/>
      <c r="GE1195" s="94"/>
      <c r="GF1195" s="104">
        <f t="shared" si="409"/>
        <v>2017</v>
      </c>
      <c r="GG1195" s="104">
        <f t="shared" si="410"/>
        <v>36</v>
      </c>
      <c r="GH1195" s="35">
        <v>42983</v>
      </c>
      <c r="GI1195" s="26">
        <v>3.22</v>
      </c>
      <c r="GJ1195" s="94">
        <f t="shared" si="411"/>
        <v>6.44</v>
      </c>
      <c r="GK1195" s="104"/>
      <c r="GL1195" s="104"/>
      <c r="GO1195" s="94"/>
    </row>
    <row r="1196" spans="3:197">
      <c r="C1196" s="80" t="str" cm="1">
        <f t="array" ref="C1196">_xlfn.IFS(MONTH(D1196)&lt;4,1,MONTH(D1196)&lt;7,2,MONTH(D1196)&lt;10,3,MONTH(D1196)&gt;9,4)&amp;"Q"&amp;RIGHT(YEAR(D1196),2)</f>
        <v>4Q20</v>
      </c>
      <c r="D1196" s="81">
        <f t="shared" si="420"/>
        <v>44135</v>
      </c>
      <c r="E1196" s="82">
        <f t="shared" si="416"/>
        <v>44130</v>
      </c>
      <c r="F1196" s="83">
        <f t="shared" si="421"/>
        <v>0.361</v>
      </c>
      <c r="G1196" s="83">
        <f t="shared" si="421"/>
        <v>0.35625</v>
      </c>
      <c r="H1196" s="81"/>
      <c r="I1196" s="146">
        <v>44130</v>
      </c>
      <c r="J1196" s="147">
        <v>3.4</v>
      </c>
      <c r="K1196" s="147">
        <v>2.7</v>
      </c>
      <c r="L1196" s="147">
        <v>2.888</v>
      </c>
      <c r="M1196" s="94" cm="1">
        <f t="array" ref="M1196">INDEX($BV$29:$BV$1449,MATCH($D1196,$BR$29:$BR$1449,0),)</f>
        <v>2.85</v>
      </c>
      <c r="N1196" s="150">
        <f t="shared" si="417"/>
        <v>-0.00241796200345423</v>
      </c>
      <c r="O1196" s="150">
        <f t="shared" si="415"/>
        <v>-0.00585197934595527</v>
      </c>
      <c r="P1196" s="150">
        <f t="shared" si="413"/>
        <v>-0.0243243243243243</v>
      </c>
      <c r="Q1196" s="89">
        <f t="shared" si="418"/>
        <v>0.0133333333333332</v>
      </c>
      <c r="AH1196" s="90"/>
      <c r="AI1196" s="85"/>
      <c r="AJ1196" s="36"/>
      <c r="AK1196" s="36"/>
      <c r="AL1196" s="36"/>
      <c r="AM1196" s="36"/>
      <c r="AN1196" s="36"/>
      <c r="AO1196" s="36"/>
      <c r="AP1196" s="36"/>
      <c r="AQ1196" s="36"/>
      <c r="GE1196" s="94"/>
      <c r="GF1196" s="104">
        <f t="shared" si="409"/>
        <v>2017</v>
      </c>
      <c r="GG1196" s="104">
        <f t="shared" si="410"/>
        <v>36</v>
      </c>
      <c r="GH1196" s="35">
        <v>42984</v>
      </c>
      <c r="GI1196" s="26">
        <v>3.225</v>
      </c>
      <c r="GJ1196" s="94">
        <f t="shared" si="411"/>
        <v>6.45</v>
      </c>
      <c r="GK1196" s="104"/>
      <c r="GL1196" s="104"/>
      <c r="GO1196" s="94"/>
    </row>
    <row r="1197" spans="3:197">
      <c r="C1197" s="80" t="str" cm="1">
        <f t="array" ref="C1197">_xlfn.IFS(MONTH(D1197)&lt;4,1,MONTH(D1197)&lt;7,2,MONTH(D1197)&lt;10,3,MONTH(D1197)&gt;9,4)&amp;"Q"&amp;RIGHT(YEAR(D1197),2)</f>
        <v>4Q20</v>
      </c>
      <c r="D1197" s="81">
        <f t="shared" si="420"/>
        <v>44135</v>
      </c>
      <c r="E1197" s="82">
        <f t="shared" si="416"/>
        <v>44131</v>
      </c>
      <c r="F1197" s="83">
        <f t="shared" si="421"/>
        <v>0.360625</v>
      </c>
      <c r="G1197" s="83">
        <f t="shared" si="421"/>
        <v>0.35625</v>
      </c>
      <c r="H1197" s="81"/>
      <c r="I1197" s="146">
        <v>44131</v>
      </c>
      <c r="J1197" s="147">
        <v>3.4</v>
      </c>
      <c r="K1197" s="147">
        <v>2.7</v>
      </c>
      <c r="L1197" s="147">
        <v>2.885</v>
      </c>
      <c r="M1197" s="94" cm="1">
        <f t="array" ref="M1197">INDEX($BV$29:$BV$1449,MATCH($D1197,$BR$29:$BR$1449,0),)</f>
        <v>2.85</v>
      </c>
      <c r="N1197" s="150">
        <f t="shared" si="417"/>
        <v>-0.00103878116343492</v>
      </c>
      <c r="O1197" s="150">
        <f t="shared" si="415"/>
        <v>-0.00517241379310351</v>
      </c>
      <c r="P1197" s="150">
        <f t="shared" si="413"/>
        <v>-0.0253378378378379</v>
      </c>
      <c r="Q1197" s="89">
        <f t="shared" si="418"/>
        <v>0.0122807017543858</v>
      </c>
      <c r="AH1197" s="90"/>
      <c r="AI1197" s="85"/>
      <c r="AJ1197" s="36"/>
      <c r="AK1197" s="36"/>
      <c r="AL1197" s="36"/>
      <c r="AM1197" s="36"/>
      <c r="AN1197" s="36"/>
      <c r="AO1197" s="36"/>
      <c r="AP1197" s="36"/>
      <c r="AQ1197" s="36"/>
      <c r="GE1197" s="94"/>
      <c r="GF1197" s="104">
        <f t="shared" si="409"/>
        <v>2017</v>
      </c>
      <c r="GG1197" s="104">
        <f t="shared" si="410"/>
        <v>36</v>
      </c>
      <c r="GH1197" s="35">
        <v>42985</v>
      </c>
      <c r="GI1197" s="26">
        <v>3.232</v>
      </c>
      <c r="GJ1197" s="94">
        <f t="shared" si="411"/>
        <v>6.464</v>
      </c>
      <c r="GK1197" s="104"/>
      <c r="GL1197" s="104"/>
      <c r="GO1197" s="94"/>
    </row>
    <row r="1198" spans="3:197">
      <c r="C1198" s="80" t="str" cm="1">
        <f t="array" ref="C1198">_xlfn.IFS(MONTH(D1198)&lt;4,1,MONTH(D1198)&lt;7,2,MONTH(D1198)&lt;10,3,MONTH(D1198)&gt;9,4)&amp;"Q"&amp;RIGHT(YEAR(D1198),2)</f>
        <v>4Q20</v>
      </c>
      <c r="D1198" s="81">
        <f t="shared" si="420"/>
        <v>44135</v>
      </c>
      <c r="E1198" s="82">
        <f t="shared" si="416"/>
        <v>44132</v>
      </c>
      <c r="F1198" s="83">
        <f t="shared" si="421"/>
        <v>0.35875</v>
      </c>
      <c r="G1198" s="83">
        <f t="shared" si="421"/>
        <v>0.35625</v>
      </c>
      <c r="H1198" s="81"/>
      <c r="I1198" s="146">
        <v>44132</v>
      </c>
      <c r="J1198" s="147">
        <v>3.4</v>
      </c>
      <c r="K1198" s="147">
        <v>2.7</v>
      </c>
      <c r="L1198" s="147">
        <v>2.87</v>
      </c>
      <c r="M1198" s="94" cm="1">
        <f t="array" ref="M1198">INDEX($BV$29:$BV$1449,MATCH($D1198,$BR$29:$BR$1449,0),)</f>
        <v>2.85</v>
      </c>
      <c r="N1198" s="150">
        <f t="shared" si="417"/>
        <v>-0.00519930675909863</v>
      </c>
      <c r="O1198" s="150">
        <f t="shared" si="415"/>
        <v>-0.00966183574879231</v>
      </c>
      <c r="P1198" s="150">
        <f t="shared" si="413"/>
        <v>-0.0281070098205214</v>
      </c>
      <c r="Q1198" s="89">
        <f t="shared" si="418"/>
        <v>0.00701754385964914</v>
      </c>
      <c r="AH1198" s="90"/>
      <c r="AI1198" s="85"/>
      <c r="AJ1198" s="36"/>
      <c r="AK1198" s="36"/>
      <c r="AL1198" s="36"/>
      <c r="AM1198" s="36"/>
      <c r="AN1198" s="36"/>
      <c r="AO1198" s="36"/>
      <c r="AP1198" s="36"/>
      <c r="AQ1198" s="36"/>
      <c r="GE1198" s="94"/>
      <c r="GF1198" s="104">
        <f t="shared" si="409"/>
        <v>2017</v>
      </c>
      <c r="GG1198" s="104">
        <f t="shared" si="410"/>
        <v>36</v>
      </c>
      <c r="GH1198" s="35">
        <v>42986</v>
      </c>
      <c r="GI1198" s="26">
        <v>3.236</v>
      </c>
      <c r="GJ1198" s="94">
        <f t="shared" si="411"/>
        <v>6.472</v>
      </c>
      <c r="GK1198" s="104"/>
      <c r="GL1198" s="104"/>
      <c r="GO1198" s="94"/>
    </row>
    <row r="1199" spans="3:197">
      <c r="C1199" s="80" t="str" cm="1">
        <f t="array" ref="C1199">_xlfn.IFS(MONTH(D1199)&lt;4,1,MONTH(D1199)&lt;7,2,MONTH(D1199)&lt;10,3,MONTH(D1199)&gt;9,4)&amp;"Q"&amp;RIGHT(YEAR(D1199),2)</f>
        <v>4Q20</v>
      </c>
      <c r="D1199" s="81">
        <f t="shared" si="420"/>
        <v>44135</v>
      </c>
      <c r="E1199" s="82">
        <f t="shared" si="416"/>
        <v>44133</v>
      </c>
      <c r="F1199" s="83">
        <f t="shared" si="421"/>
        <v>0.358625</v>
      </c>
      <c r="G1199" s="83">
        <f t="shared" si="421"/>
        <v>0.35625</v>
      </c>
      <c r="H1199" s="81"/>
      <c r="I1199" s="146">
        <v>44133</v>
      </c>
      <c r="J1199" s="147">
        <v>3.4</v>
      </c>
      <c r="K1199" s="147">
        <v>2.7</v>
      </c>
      <c r="L1199" s="147">
        <v>2.869</v>
      </c>
      <c r="M1199" s="94" cm="1">
        <f t="array" ref="M1199">INDEX($BV$29:$BV$1449,MATCH($D1199,$BR$29:$BR$1449,0),)</f>
        <v>2.85</v>
      </c>
      <c r="N1199" s="150">
        <f t="shared" si="417"/>
        <v>-0.000348432055749082</v>
      </c>
      <c r="O1199" s="150">
        <f t="shared" si="415"/>
        <v>-0.00898100172711569</v>
      </c>
      <c r="P1199" s="150">
        <f t="shared" si="413"/>
        <v>-0.0234853641933288</v>
      </c>
      <c r="Q1199" s="89">
        <f t="shared" si="418"/>
        <v>0.00666666666666682</v>
      </c>
      <c r="AH1199" s="90"/>
      <c r="AI1199" s="85"/>
      <c r="AJ1199" s="36"/>
      <c r="AK1199" s="36"/>
      <c r="AL1199" s="36"/>
      <c r="AM1199" s="36"/>
      <c r="AN1199" s="36"/>
      <c r="AO1199" s="36"/>
      <c r="AP1199" s="36"/>
      <c r="AQ1199" s="36"/>
      <c r="GE1199" s="94"/>
      <c r="GF1199" s="104">
        <f t="shared" si="409"/>
        <v>2017</v>
      </c>
      <c r="GG1199" s="104">
        <f t="shared" si="410"/>
        <v>37</v>
      </c>
      <c r="GH1199" s="35">
        <v>42989</v>
      </c>
      <c r="GI1199" s="26">
        <v>3.236</v>
      </c>
      <c r="GJ1199" s="94">
        <f t="shared" si="411"/>
        <v>6.472</v>
      </c>
      <c r="GK1199" s="104"/>
      <c r="GL1199" s="104"/>
      <c r="GO1199" s="94"/>
    </row>
    <row r="1200" spans="3:197">
      <c r="C1200" s="80" t="str" cm="1">
        <f t="array" ref="C1200">_xlfn.IFS(MONTH(D1200)&lt;4,1,MONTH(D1200)&lt;7,2,MONTH(D1200)&lt;10,3,MONTH(D1200)&gt;9,4)&amp;"Q"&amp;RIGHT(YEAR(D1200),2)</f>
        <v>4Q20</v>
      </c>
      <c r="D1200" s="81">
        <f t="shared" si="420"/>
        <v>44135</v>
      </c>
      <c r="E1200" s="82">
        <f t="shared" si="416"/>
        <v>44134</v>
      </c>
      <c r="F1200" s="83">
        <f t="shared" si="421"/>
        <v>0.3565</v>
      </c>
      <c r="G1200" s="83">
        <f t="shared" si="421"/>
        <v>0.35625</v>
      </c>
      <c r="H1200" s="81"/>
      <c r="I1200" s="146">
        <v>44134</v>
      </c>
      <c r="J1200" s="147">
        <v>3.4</v>
      </c>
      <c r="K1200" s="147">
        <v>2.7</v>
      </c>
      <c r="L1200" s="147">
        <v>2.852</v>
      </c>
      <c r="M1200" s="94" cm="1">
        <f t="array" ref="M1200">INDEX($BV$29:$BV$1449,MATCH($D1200,$BR$29:$BR$1449,0),)</f>
        <v>2.85</v>
      </c>
      <c r="N1200" s="150">
        <f t="shared" si="417"/>
        <v>-0.00592540955036613</v>
      </c>
      <c r="O1200" s="150">
        <f t="shared" si="415"/>
        <v>-0.014853195164076</v>
      </c>
      <c r="P1200" s="150">
        <f t="shared" si="413"/>
        <v>-0.0242901128977079</v>
      </c>
      <c r="Q1200" s="89">
        <f t="shared" si="418"/>
        <v>0.00070175438596487</v>
      </c>
      <c r="AH1200" s="90"/>
      <c r="AI1200" s="85"/>
      <c r="AJ1200" s="36"/>
      <c r="AK1200" s="36"/>
      <c r="AL1200" s="36"/>
      <c r="AM1200" s="36"/>
      <c r="AN1200" s="36"/>
      <c r="AO1200" s="36"/>
      <c r="AP1200" s="36"/>
      <c r="AQ1200" s="36"/>
      <c r="GE1200" s="94"/>
      <c r="GF1200" s="104">
        <f t="shared" si="409"/>
        <v>2017</v>
      </c>
      <c r="GG1200" s="104">
        <f t="shared" si="410"/>
        <v>37</v>
      </c>
      <c r="GH1200" s="35">
        <v>42990</v>
      </c>
      <c r="GI1200" s="26">
        <v>3.252</v>
      </c>
      <c r="GJ1200" s="94">
        <f t="shared" si="411"/>
        <v>6.504</v>
      </c>
      <c r="GK1200" s="104"/>
      <c r="GL1200" s="104"/>
      <c r="GO1200" s="94"/>
    </row>
    <row r="1201" spans="3:197">
      <c r="C1201" s="80" t="str" cm="1">
        <f t="array" ref="C1201">_xlfn.IFS(MONTH(D1201)&lt;4,1,MONTH(D1201)&lt;7,2,MONTH(D1201)&lt;10,3,MONTH(D1201)&gt;9,4)&amp;"Q"&amp;RIGHT(YEAR(D1201),2)</f>
        <v>4Q20</v>
      </c>
      <c r="D1201" s="81">
        <f t="shared" si="420"/>
        <v>44165</v>
      </c>
      <c r="E1201" s="82">
        <f t="shared" si="416"/>
        <v>44137</v>
      </c>
      <c r="F1201" s="83">
        <f t="shared" si="421"/>
        <v>0.356375</v>
      </c>
      <c r="G1201" s="83">
        <f t="shared" si="421"/>
        <v>0.35625</v>
      </c>
      <c r="H1201" s="81"/>
      <c r="I1201" s="146">
        <v>44137</v>
      </c>
      <c r="J1201" s="147">
        <v>3.35</v>
      </c>
      <c r="K1201" s="147">
        <v>2.7</v>
      </c>
      <c r="L1201" s="147">
        <v>2.851</v>
      </c>
      <c r="M1201" s="94" cm="1">
        <f t="array" ref="M1201">INDEX($BV$29:$BV$1449,MATCH($D1201,$BR$29:$BR$1449,0),)</f>
        <v>2.85</v>
      </c>
      <c r="N1201" s="150">
        <f t="shared" si="417"/>
        <v>-0.000350631136044832</v>
      </c>
      <c r="O1201" s="150">
        <f t="shared" si="415"/>
        <v>-0.0128116343490304</v>
      </c>
      <c r="P1201" s="150">
        <f t="shared" si="413"/>
        <v>-0.0185886402753872</v>
      </c>
      <c r="Q1201" s="89">
        <f t="shared" si="418"/>
        <v>0.000350877192982324</v>
      </c>
      <c r="AH1201" s="90"/>
      <c r="AI1201" s="85"/>
      <c r="AJ1201" s="36"/>
      <c r="AK1201" s="36"/>
      <c r="AL1201" s="36"/>
      <c r="AM1201" s="36"/>
      <c r="AN1201" s="36"/>
      <c r="AO1201" s="36"/>
      <c r="AP1201" s="36"/>
      <c r="AQ1201" s="36"/>
      <c r="GE1201" s="94"/>
      <c r="GF1201" s="104">
        <f t="shared" si="409"/>
        <v>2017</v>
      </c>
      <c r="GG1201" s="104">
        <f t="shared" si="410"/>
        <v>37</v>
      </c>
      <c r="GH1201" s="35">
        <v>42991</v>
      </c>
      <c r="GI1201" s="26">
        <v>3.26</v>
      </c>
      <c r="GJ1201" s="94">
        <f t="shared" si="411"/>
        <v>6.52</v>
      </c>
      <c r="GK1201" s="104"/>
      <c r="GL1201" s="104"/>
      <c r="GO1201" s="94"/>
    </row>
    <row r="1202" spans="3:197">
      <c r="C1202" s="80" t="str" cm="1">
        <f t="array" ref="C1202">_xlfn.IFS(MONTH(D1202)&lt;4,1,MONTH(D1202)&lt;7,2,MONTH(D1202)&lt;10,3,MONTH(D1202)&gt;9,4)&amp;"Q"&amp;RIGHT(YEAR(D1202),2)</f>
        <v>4Q20</v>
      </c>
      <c r="D1202" s="81">
        <f t="shared" si="420"/>
        <v>44165</v>
      </c>
      <c r="E1202" s="82">
        <f t="shared" si="416"/>
        <v>44138</v>
      </c>
      <c r="F1202" s="83">
        <f t="shared" si="421"/>
        <v>0.356125</v>
      </c>
      <c r="G1202" s="83">
        <f t="shared" si="421"/>
        <v>0.35625</v>
      </c>
      <c r="H1202" s="81"/>
      <c r="I1202" s="146">
        <v>44138</v>
      </c>
      <c r="J1202" s="147">
        <v>3.35</v>
      </c>
      <c r="K1202" s="147">
        <v>2.7</v>
      </c>
      <c r="L1202" s="147">
        <v>2.849</v>
      </c>
      <c r="M1202" s="94" cm="1">
        <f t="array" ref="M1202">INDEX($BV$29:$BV$1449,MATCH($D1202,$BR$29:$BR$1449,0),)</f>
        <v>2.85</v>
      </c>
      <c r="N1202" s="150">
        <f t="shared" si="417"/>
        <v>-0.000701508242721749</v>
      </c>
      <c r="O1202" s="150">
        <f t="shared" si="415"/>
        <v>-0.0124783362218369</v>
      </c>
      <c r="P1202" s="150">
        <f t="shared" si="413"/>
        <v>-0.0175862068965517</v>
      </c>
      <c r="Q1202" s="89">
        <f t="shared" si="418"/>
        <v>-0.000350877192982435</v>
      </c>
      <c r="AH1202" s="90"/>
      <c r="AI1202" s="85"/>
      <c r="AJ1202" s="36"/>
      <c r="AK1202" s="36"/>
      <c r="AL1202" s="36"/>
      <c r="AM1202" s="36"/>
      <c r="AN1202" s="36"/>
      <c r="AO1202" s="36"/>
      <c r="AP1202" s="36"/>
      <c r="AQ1202" s="36"/>
      <c r="GE1202" s="94"/>
      <c r="GF1202" s="104">
        <f t="shared" si="409"/>
        <v>2017</v>
      </c>
      <c r="GG1202" s="104">
        <f t="shared" si="410"/>
        <v>37</v>
      </c>
      <c r="GH1202" s="35">
        <v>42992</v>
      </c>
      <c r="GI1202" s="26">
        <v>3.276</v>
      </c>
      <c r="GJ1202" s="94">
        <f t="shared" si="411"/>
        <v>6.552</v>
      </c>
      <c r="GK1202" s="104"/>
      <c r="GL1202" s="104"/>
      <c r="GO1202" s="94"/>
    </row>
    <row r="1203" spans="3:197">
      <c r="C1203" s="80" t="str" cm="1">
        <f t="array" ref="C1203">_xlfn.IFS(MONTH(D1203)&lt;4,1,MONTH(D1203)&lt;7,2,MONTH(D1203)&lt;10,3,MONTH(D1203)&gt;9,4)&amp;"Q"&amp;RIGHT(YEAR(D1203),2)</f>
        <v>4Q20</v>
      </c>
      <c r="D1203" s="81">
        <f t="shared" si="420"/>
        <v>44165</v>
      </c>
      <c r="E1203" s="82">
        <f t="shared" si="416"/>
        <v>44139</v>
      </c>
      <c r="F1203" s="83">
        <f t="shared" si="421"/>
        <v>0.356125</v>
      </c>
      <c r="G1203" s="83">
        <f t="shared" si="421"/>
        <v>0.35625</v>
      </c>
      <c r="H1203" s="81"/>
      <c r="I1203" s="146">
        <v>44139</v>
      </c>
      <c r="J1203" s="147">
        <v>3.35</v>
      </c>
      <c r="K1203" s="147">
        <v>2.69</v>
      </c>
      <c r="L1203" s="147">
        <v>2.849</v>
      </c>
      <c r="M1203" s="94" cm="1">
        <f t="array" ref="M1203">INDEX($BV$29:$BV$1449,MATCH($D1203,$BR$29:$BR$1449,0),)</f>
        <v>2.85</v>
      </c>
      <c r="N1203" s="150">
        <f t="shared" si="417"/>
        <v>0</v>
      </c>
      <c r="O1203" s="150">
        <f t="shared" si="415"/>
        <v>-0.00731707317073171</v>
      </c>
      <c r="P1203" s="150">
        <f t="shared" si="413"/>
        <v>-0.0169082125603864</v>
      </c>
      <c r="Q1203" s="89">
        <f t="shared" si="418"/>
        <v>-0.000350877192982435</v>
      </c>
      <c r="AH1203" s="90"/>
      <c r="AI1203" s="85"/>
      <c r="AJ1203" s="36"/>
      <c r="AK1203" s="36"/>
      <c r="AL1203" s="36"/>
      <c r="AM1203" s="36"/>
      <c r="AN1203" s="36"/>
      <c r="AO1203" s="36"/>
      <c r="AP1203" s="36"/>
      <c r="AQ1203" s="36"/>
      <c r="GE1203" s="94"/>
      <c r="GF1203" s="104">
        <f t="shared" si="409"/>
        <v>2017</v>
      </c>
      <c r="GG1203" s="104">
        <f t="shared" si="410"/>
        <v>37</v>
      </c>
      <c r="GH1203" s="35">
        <v>42993</v>
      </c>
      <c r="GI1203" s="26">
        <v>3.287</v>
      </c>
      <c r="GJ1203" s="94">
        <f t="shared" si="411"/>
        <v>6.574</v>
      </c>
      <c r="GK1203" s="104"/>
      <c r="GL1203" s="104"/>
      <c r="GO1203" s="94"/>
    </row>
    <row r="1204" spans="3:197">
      <c r="C1204" s="80" t="str" cm="1">
        <f t="array" ref="C1204">_xlfn.IFS(MONTH(D1204)&lt;4,1,MONTH(D1204)&lt;7,2,MONTH(D1204)&lt;10,3,MONTH(D1204)&gt;9,4)&amp;"Q"&amp;RIGHT(YEAR(D1204),2)</f>
        <v>4Q20</v>
      </c>
      <c r="D1204" s="81">
        <f t="shared" si="420"/>
        <v>44165</v>
      </c>
      <c r="E1204" s="82">
        <f t="shared" si="416"/>
        <v>44140</v>
      </c>
      <c r="F1204" s="83">
        <f t="shared" si="421"/>
        <v>0.356125</v>
      </c>
      <c r="G1204" s="83">
        <f t="shared" si="421"/>
        <v>0.35625</v>
      </c>
      <c r="H1204" s="81"/>
      <c r="I1204" s="146">
        <v>44140</v>
      </c>
      <c r="J1204" s="147">
        <v>3.35</v>
      </c>
      <c r="K1204" s="147">
        <v>2.69</v>
      </c>
      <c r="L1204" s="147">
        <v>2.849</v>
      </c>
      <c r="M1204" s="94" cm="1">
        <f t="array" ref="M1204">INDEX($BV$29:$BV$1449,MATCH($D1204,$BR$29:$BR$1449,0),)</f>
        <v>2.85</v>
      </c>
      <c r="N1204" s="150">
        <f t="shared" si="417"/>
        <v>0</v>
      </c>
      <c r="O1204" s="150">
        <f t="shared" si="415"/>
        <v>-0.00697107005925413</v>
      </c>
      <c r="P1204" s="150">
        <f t="shared" si="413"/>
        <v>-0.0158894645941278</v>
      </c>
      <c r="Q1204" s="89">
        <f t="shared" si="418"/>
        <v>-0.000350877192982435</v>
      </c>
      <c r="AH1204" s="90"/>
      <c r="AI1204" s="85"/>
      <c r="AJ1204" s="36"/>
      <c r="AK1204" s="36"/>
      <c r="AL1204" s="36"/>
      <c r="AM1204" s="36"/>
      <c r="AN1204" s="36"/>
      <c r="AO1204" s="36"/>
      <c r="AP1204" s="36"/>
      <c r="AQ1204" s="36"/>
      <c r="GE1204" s="94"/>
      <c r="GF1204" s="104">
        <f t="shared" ref="GF1204:GF1267" si="422">YEAR(GH1204)</f>
        <v>2017</v>
      </c>
      <c r="GG1204" s="104">
        <f t="shared" ref="GG1204:GG1267" si="423">WEEKNUM(GH1204)</f>
        <v>38</v>
      </c>
      <c r="GH1204" s="35">
        <v>42996</v>
      </c>
      <c r="GI1204" s="26">
        <v>3.291</v>
      </c>
      <c r="GJ1204" s="94">
        <f t="shared" ref="GJ1204:GJ1267" si="424">GI1204*2</f>
        <v>6.582</v>
      </c>
      <c r="GK1204" s="104"/>
      <c r="GL1204" s="104"/>
      <c r="GO1204" s="94"/>
    </row>
    <row r="1205" spans="3:197">
      <c r="C1205" s="80" t="str" cm="1">
        <f t="array" ref="C1205">_xlfn.IFS(MONTH(D1205)&lt;4,1,MONTH(D1205)&lt;7,2,MONTH(D1205)&lt;10,3,MONTH(D1205)&gt;9,4)&amp;"Q"&amp;RIGHT(YEAR(D1205),2)</f>
        <v>4Q20</v>
      </c>
      <c r="D1205" s="81">
        <f t="shared" si="420"/>
        <v>44165</v>
      </c>
      <c r="E1205" s="82">
        <f t="shared" si="416"/>
        <v>44141</v>
      </c>
      <c r="F1205" s="83">
        <f t="shared" ref="F1205:G1220" si="425">+L1205/8</f>
        <v>0.35575</v>
      </c>
      <c r="G1205" s="83">
        <f t="shared" si="425"/>
        <v>0.35625</v>
      </c>
      <c r="H1205" s="81"/>
      <c r="I1205" s="146">
        <v>44141</v>
      </c>
      <c r="J1205" s="147">
        <v>3.35</v>
      </c>
      <c r="K1205" s="147">
        <v>2.69</v>
      </c>
      <c r="L1205" s="147">
        <v>2.846</v>
      </c>
      <c r="M1205" s="94" cm="1">
        <f t="array" ref="M1205">INDEX($BV$29:$BV$1449,MATCH($D1205,$BR$29:$BR$1449,0),)</f>
        <v>2.85</v>
      </c>
      <c r="N1205" s="150">
        <f t="shared" si="417"/>
        <v>-0.0010530010530011</v>
      </c>
      <c r="O1205" s="150">
        <f t="shared" si="415"/>
        <v>-0.00210378681626922</v>
      </c>
      <c r="P1205" s="150">
        <f t="shared" si="413"/>
        <v>-0.0169257340241796</v>
      </c>
      <c r="Q1205" s="89">
        <f t="shared" si="418"/>
        <v>-0.00140350877192985</v>
      </c>
      <c r="AH1205" s="90"/>
      <c r="AI1205" s="85"/>
      <c r="AJ1205" s="36"/>
      <c r="AK1205" s="36"/>
      <c r="AL1205" s="36"/>
      <c r="AM1205" s="36"/>
      <c r="AN1205" s="36"/>
      <c r="AO1205" s="36"/>
      <c r="AP1205" s="36"/>
      <c r="AQ1205" s="36"/>
      <c r="GE1205" s="94"/>
      <c r="GF1205" s="104">
        <f t="shared" si="422"/>
        <v>2017</v>
      </c>
      <c r="GG1205" s="104">
        <f t="shared" si="423"/>
        <v>38</v>
      </c>
      <c r="GH1205" s="35">
        <v>42997</v>
      </c>
      <c r="GI1205" s="26">
        <v>3.291</v>
      </c>
      <c r="GJ1205" s="94">
        <f t="shared" si="424"/>
        <v>6.582</v>
      </c>
      <c r="GK1205" s="104"/>
      <c r="GL1205" s="104"/>
      <c r="GO1205" s="94"/>
    </row>
    <row r="1206" spans="3:197">
      <c r="C1206" s="80" t="str" cm="1">
        <f t="array" ref="C1206">_xlfn.IFS(MONTH(D1206)&lt;4,1,MONTH(D1206)&lt;7,2,MONTH(D1206)&lt;10,3,MONTH(D1206)&gt;9,4)&amp;"Q"&amp;RIGHT(YEAR(D1206),2)</f>
        <v>4Q20</v>
      </c>
      <c r="D1206" s="81">
        <f t="shared" si="420"/>
        <v>44165</v>
      </c>
      <c r="E1206" s="82">
        <f t="shared" si="416"/>
        <v>44144</v>
      </c>
      <c r="F1206" s="83">
        <f t="shared" si="425"/>
        <v>0.35575</v>
      </c>
      <c r="G1206" s="83">
        <f t="shared" si="425"/>
        <v>0.35625</v>
      </c>
      <c r="H1206" s="81"/>
      <c r="I1206" s="146">
        <v>44144</v>
      </c>
      <c r="J1206" s="147">
        <v>3.35</v>
      </c>
      <c r="K1206" s="147">
        <v>2.69</v>
      </c>
      <c r="L1206" s="147">
        <v>2.846</v>
      </c>
      <c r="M1206" s="94" cm="1">
        <f t="array" ref="M1206">INDEX($BV$29:$BV$1449,MATCH($D1206,$BR$29:$BR$1449,0),)</f>
        <v>2.85</v>
      </c>
      <c r="N1206" s="150">
        <f t="shared" si="417"/>
        <v>0</v>
      </c>
      <c r="O1206" s="150">
        <f t="shared" si="415"/>
        <v>-0.00175377060680459</v>
      </c>
      <c r="P1206" s="150">
        <f t="shared" si="413"/>
        <v>-0.0145429362880886</v>
      </c>
      <c r="Q1206" s="89">
        <f t="shared" si="418"/>
        <v>-0.00140350877192985</v>
      </c>
      <c r="AH1206" s="90"/>
      <c r="AI1206" s="85"/>
      <c r="AJ1206" s="36"/>
      <c r="AK1206" s="36"/>
      <c r="AL1206" s="36"/>
      <c r="AM1206" s="36"/>
      <c r="AN1206" s="36"/>
      <c r="AO1206" s="36"/>
      <c r="AP1206" s="36"/>
      <c r="AQ1206" s="36"/>
      <c r="GE1206" s="94"/>
      <c r="GF1206" s="104">
        <f t="shared" si="422"/>
        <v>2017</v>
      </c>
      <c r="GG1206" s="104">
        <f t="shared" si="423"/>
        <v>38</v>
      </c>
      <c r="GH1206" s="35">
        <v>42998</v>
      </c>
      <c r="GI1206" s="26">
        <v>3.301</v>
      </c>
      <c r="GJ1206" s="94">
        <f t="shared" si="424"/>
        <v>6.602</v>
      </c>
      <c r="GK1206" s="104"/>
      <c r="GL1206" s="104"/>
      <c r="GO1206" s="94"/>
    </row>
    <row r="1207" spans="3:197">
      <c r="C1207" s="80" t="str" cm="1">
        <f t="array" ref="C1207">_xlfn.IFS(MONTH(D1207)&lt;4,1,MONTH(D1207)&lt;7,2,MONTH(D1207)&lt;10,3,MONTH(D1207)&gt;9,4)&amp;"Q"&amp;RIGHT(YEAR(D1207),2)</f>
        <v>4Q20</v>
      </c>
      <c r="D1207" s="81">
        <f t="shared" si="420"/>
        <v>44165</v>
      </c>
      <c r="E1207" s="82">
        <f t="shared" si="416"/>
        <v>44145</v>
      </c>
      <c r="F1207" s="83">
        <f t="shared" si="425"/>
        <v>0.3555</v>
      </c>
      <c r="G1207" s="83">
        <f t="shared" si="425"/>
        <v>0.35625</v>
      </c>
      <c r="H1207" s="81"/>
      <c r="I1207" s="146">
        <v>44145</v>
      </c>
      <c r="J1207" s="147">
        <v>3.4</v>
      </c>
      <c r="K1207" s="147">
        <v>2.69</v>
      </c>
      <c r="L1207" s="147">
        <v>2.844</v>
      </c>
      <c r="M1207" s="94" cm="1">
        <f t="array" ref="M1207">INDEX($BV$29:$BV$1449,MATCH($D1207,$BR$29:$BR$1449,0),)</f>
        <v>2.85</v>
      </c>
      <c r="N1207" s="150">
        <f t="shared" si="417"/>
        <v>-0.000702740688685921</v>
      </c>
      <c r="O1207" s="150">
        <f t="shared" si="415"/>
        <v>-0.00175500175500187</v>
      </c>
      <c r="P1207" s="150">
        <f t="shared" si="413"/>
        <v>-0.0142114384748699</v>
      </c>
      <c r="Q1207" s="89">
        <f t="shared" si="418"/>
        <v>-0.00210526315789483</v>
      </c>
      <c r="AH1207" s="90"/>
      <c r="AI1207" s="85"/>
      <c r="AJ1207" s="36"/>
      <c r="AK1207" s="36"/>
      <c r="AL1207" s="36"/>
      <c r="AM1207" s="36"/>
      <c r="AN1207" s="36"/>
      <c r="AO1207" s="36"/>
      <c r="AP1207" s="36"/>
      <c r="AQ1207" s="36"/>
      <c r="GE1207" s="94"/>
      <c r="GF1207" s="104">
        <f t="shared" si="422"/>
        <v>2017</v>
      </c>
      <c r="GG1207" s="104">
        <f t="shared" si="423"/>
        <v>38</v>
      </c>
      <c r="GH1207" s="35">
        <v>42999</v>
      </c>
      <c r="GI1207" s="26">
        <v>3.332</v>
      </c>
      <c r="GJ1207" s="94">
        <f t="shared" si="424"/>
        <v>6.664</v>
      </c>
      <c r="GK1207" s="104"/>
      <c r="GL1207" s="104"/>
      <c r="GO1207" s="94"/>
    </row>
    <row r="1208" spans="3:197">
      <c r="C1208" s="80" t="str" cm="1">
        <f t="array" ref="C1208">_xlfn.IFS(MONTH(D1208)&lt;4,1,MONTH(D1208)&lt;7,2,MONTH(D1208)&lt;10,3,MONTH(D1208)&gt;9,4)&amp;"Q"&amp;RIGHT(YEAR(D1208),2)</f>
        <v>4Q20</v>
      </c>
      <c r="D1208" s="81">
        <f t="shared" si="420"/>
        <v>44165</v>
      </c>
      <c r="E1208" s="82">
        <f t="shared" si="416"/>
        <v>44146</v>
      </c>
      <c r="F1208" s="83">
        <f t="shared" si="425"/>
        <v>0.35525</v>
      </c>
      <c r="G1208" s="83">
        <f t="shared" si="425"/>
        <v>0.35625</v>
      </c>
      <c r="H1208" s="81"/>
      <c r="I1208" s="146">
        <v>44146</v>
      </c>
      <c r="J1208" s="147">
        <v>3.4</v>
      </c>
      <c r="K1208" s="147">
        <v>2.7</v>
      </c>
      <c r="L1208" s="147">
        <v>2.842</v>
      </c>
      <c r="M1208" s="94" cm="1">
        <f t="array" ref="M1208">INDEX($BV$29:$BV$1449,MATCH($D1208,$BR$29:$BR$1449,0),)</f>
        <v>2.85</v>
      </c>
      <c r="N1208" s="150">
        <f t="shared" si="417"/>
        <v>-0.000703234880449988</v>
      </c>
      <c r="O1208" s="150">
        <f t="shared" si="415"/>
        <v>-0.00245700245700253</v>
      </c>
      <c r="P1208" s="150">
        <f t="shared" si="413"/>
        <v>-0.00975609756097562</v>
      </c>
      <c r="Q1208" s="89">
        <f t="shared" si="418"/>
        <v>-0.0028070175438597</v>
      </c>
      <c r="AH1208" s="90"/>
      <c r="AI1208" s="85"/>
      <c r="AJ1208" s="36"/>
      <c r="AK1208" s="36"/>
      <c r="AL1208" s="36"/>
      <c r="AM1208" s="36"/>
      <c r="AN1208" s="36"/>
      <c r="AO1208" s="36"/>
      <c r="AP1208" s="36"/>
      <c r="AQ1208" s="36"/>
      <c r="GE1208" s="94"/>
      <c r="GF1208" s="104">
        <f t="shared" si="422"/>
        <v>2017</v>
      </c>
      <c r="GG1208" s="104">
        <f t="shared" si="423"/>
        <v>38</v>
      </c>
      <c r="GH1208" s="35">
        <v>43000</v>
      </c>
      <c r="GI1208" s="26">
        <v>3.348</v>
      </c>
      <c r="GJ1208" s="94">
        <f t="shared" si="424"/>
        <v>6.696</v>
      </c>
      <c r="GK1208" s="104"/>
      <c r="GL1208" s="104"/>
      <c r="GO1208" s="94"/>
    </row>
    <row r="1209" spans="3:197">
      <c r="C1209" s="80" t="str" cm="1">
        <f t="array" ref="C1209">_xlfn.IFS(MONTH(D1209)&lt;4,1,MONTH(D1209)&lt;7,2,MONTH(D1209)&lt;10,3,MONTH(D1209)&gt;9,4)&amp;"Q"&amp;RIGHT(YEAR(D1209),2)</f>
        <v>4Q20</v>
      </c>
      <c r="D1209" s="81">
        <f t="shared" si="420"/>
        <v>44165</v>
      </c>
      <c r="E1209" s="82">
        <f t="shared" si="416"/>
        <v>44147</v>
      </c>
      <c r="F1209" s="83">
        <f t="shared" si="425"/>
        <v>0.352875</v>
      </c>
      <c r="G1209" s="83">
        <f t="shared" si="425"/>
        <v>0.35625</v>
      </c>
      <c r="H1209" s="81"/>
      <c r="I1209" s="146">
        <v>44147</v>
      </c>
      <c r="J1209" s="147">
        <v>3.35</v>
      </c>
      <c r="K1209" s="147">
        <v>2.72</v>
      </c>
      <c r="L1209" s="147">
        <v>2.823</v>
      </c>
      <c r="M1209" s="94" cm="1">
        <f t="array" ref="M1209">INDEX($BV$29:$BV$1449,MATCH($D1209,$BR$29:$BR$1449,0),)</f>
        <v>2.85</v>
      </c>
      <c r="N1209" s="150">
        <f t="shared" si="417"/>
        <v>-0.00668543279380718</v>
      </c>
      <c r="O1209" s="150">
        <f t="shared" si="415"/>
        <v>-0.00912600912600925</v>
      </c>
      <c r="P1209" s="150">
        <f t="shared" si="413"/>
        <v>-0.0160334611362845</v>
      </c>
      <c r="Q1209" s="89">
        <f t="shared" si="418"/>
        <v>-0.00947368421052641</v>
      </c>
      <c r="AH1209" s="90"/>
      <c r="AI1209" s="85"/>
      <c r="AJ1209" s="36"/>
      <c r="AK1209" s="36"/>
      <c r="AL1209" s="36"/>
      <c r="AM1209" s="36"/>
      <c r="AN1209" s="36"/>
      <c r="AO1209" s="36"/>
      <c r="AP1209" s="36"/>
      <c r="AQ1209" s="36"/>
      <c r="GE1209" s="94"/>
      <c r="GF1209" s="104">
        <f t="shared" si="422"/>
        <v>2017</v>
      </c>
      <c r="GG1209" s="104">
        <f t="shared" si="423"/>
        <v>39</v>
      </c>
      <c r="GH1209" s="35">
        <v>43003</v>
      </c>
      <c r="GI1209" s="26">
        <v>3.357</v>
      </c>
      <c r="GJ1209" s="94">
        <f t="shared" si="424"/>
        <v>6.714</v>
      </c>
      <c r="GK1209" s="104"/>
      <c r="GL1209" s="104"/>
      <c r="GO1209" s="94"/>
    </row>
    <row r="1210" spans="3:197">
      <c r="C1210" s="80" t="str" cm="1">
        <f t="array" ref="C1210">_xlfn.IFS(MONTH(D1210)&lt;4,1,MONTH(D1210)&lt;7,2,MONTH(D1210)&lt;10,3,MONTH(D1210)&gt;9,4)&amp;"Q"&amp;RIGHT(YEAR(D1210),2)</f>
        <v>4Q20</v>
      </c>
      <c r="D1210" s="81">
        <f t="shared" si="420"/>
        <v>44165</v>
      </c>
      <c r="E1210" s="82">
        <f t="shared" si="416"/>
        <v>44148</v>
      </c>
      <c r="F1210" s="83">
        <f t="shared" si="425"/>
        <v>0.352125</v>
      </c>
      <c r="G1210" s="83">
        <f t="shared" si="425"/>
        <v>0.35625</v>
      </c>
      <c r="H1210" s="81"/>
      <c r="I1210" s="146">
        <v>44148</v>
      </c>
      <c r="J1210" s="147">
        <v>3.3</v>
      </c>
      <c r="K1210" s="147">
        <v>2.75</v>
      </c>
      <c r="L1210" s="147">
        <v>2.817</v>
      </c>
      <c r="M1210" s="94" cm="1">
        <f t="array" ref="M1210">INDEX($BV$29:$BV$1449,MATCH($D1210,$BR$29:$BR$1449,0),)</f>
        <v>2.85</v>
      </c>
      <c r="N1210" s="150">
        <f t="shared" si="417"/>
        <v>-0.00212539851222093</v>
      </c>
      <c r="O1210" s="150">
        <f t="shared" si="415"/>
        <v>-0.0101897399859452</v>
      </c>
      <c r="P1210" s="150">
        <f t="shared" si="413"/>
        <v>-0.0122720897615707</v>
      </c>
      <c r="Q1210" s="89">
        <f t="shared" si="418"/>
        <v>-0.011578947368421</v>
      </c>
      <c r="AH1210" s="90"/>
      <c r="AI1210" s="85"/>
      <c r="AJ1210" s="36"/>
      <c r="AK1210" s="36"/>
      <c r="AL1210" s="36"/>
      <c r="AM1210" s="36"/>
      <c r="AN1210" s="36"/>
      <c r="AO1210" s="36"/>
      <c r="AP1210" s="36"/>
      <c r="AQ1210" s="36"/>
      <c r="GE1210" s="94"/>
      <c r="GF1210" s="104">
        <f t="shared" si="422"/>
        <v>2017</v>
      </c>
      <c r="GG1210" s="104">
        <f t="shared" si="423"/>
        <v>39</v>
      </c>
      <c r="GH1210" s="35">
        <v>43004</v>
      </c>
      <c r="GI1210" s="26">
        <v>3.357</v>
      </c>
      <c r="GJ1210" s="94">
        <f t="shared" si="424"/>
        <v>6.714</v>
      </c>
      <c r="GK1210" s="104"/>
      <c r="GL1210" s="104"/>
      <c r="GO1210" s="94"/>
    </row>
    <row r="1211" spans="3:197">
      <c r="C1211" s="80" t="str" cm="1">
        <f t="array" ref="C1211">_xlfn.IFS(MONTH(D1211)&lt;4,1,MONTH(D1211)&lt;7,2,MONTH(D1211)&lt;10,3,MONTH(D1211)&gt;9,4)&amp;"Q"&amp;RIGHT(YEAR(D1211),2)</f>
        <v>4Q20</v>
      </c>
      <c r="D1211" s="81">
        <f t="shared" si="420"/>
        <v>44165</v>
      </c>
      <c r="E1211" s="82">
        <f t="shared" si="416"/>
        <v>44151</v>
      </c>
      <c r="F1211" s="83">
        <f t="shared" si="425"/>
        <v>0.352125</v>
      </c>
      <c r="G1211" s="83">
        <f t="shared" si="425"/>
        <v>0.35625</v>
      </c>
      <c r="H1211" s="81"/>
      <c r="I1211" s="146">
        <v>44151</v>
      </c>
      <c r="J1211" s="147">
        <v>3.25</v>
      </c>
      <c r="K1211" s="147">
        <v>2.76</v>
      </c>
      <c r="L1211" s="147">
        <v>2.817</v>
      </c>
      <c r="M1211" s="94" cm="1">
        <f t="array" ref="M1211">INDEX($BV$29:$BV$1449,MATCH($D1211,$BR$29:$BR$1449,0),)</f>
        <v>2.85</v>
      </c>
      <c r="N1211" s="150">
        <f t="shared" si="417"/>
        <v>0</v>
      </c>
      <c r="O1211" s="150">
        <f t="shared" si="415"/>
        <v>-0.0101897399859452</v>
      </c>
      <c r="P1211" s="150">
        <f t="shared" si="413"/>
        <v>-0.0119256401262714</v>
      </c>
      <c r="Q1211" s="89">
        <f t="shared" si="418"/>
        <v>-0.011578947368421</v>
      </c>
      <c r="AH1211" s="90"/>
      <c r="AI1211" s="85"/>
      <c r="AJ1211" s="36"/>
      <c r="AK1211" s="36"/>
      <c r="AL1211" s="36"/>
      <c r="AM1211" s="36"/>
      <c r="AN1211" s="36"/>
      <c r="AO1211" s="36"/>
      <c r="AP1211" s="36"/>
      <c r="AQ1211" s="36"/>
      <c r="GE1211" s="94"/>
      <c r="GF1211" s="104">
        <f t="shared" si="422"/>
        <v>2017</v>
      </c>
      <c r="GG1211" s="104">
        <f t="shared" si="423"/>
        <v>39</v>
      </c>
      <c r="GH1211" s="35">
        <v>43005</v>
      </c>
      <c r="GI1211" s="26">
        <v>3.36</v>
      </c>
      <c r="GJ1211" s="94">
        <f t="shared" si="424"/>
        <v>6.72</v>
      </c>
      <c r="GK1211" s="104"/>
      <c r="GL1211" s="104"/>
      <c r="GO1211" s="94"/>
    </row>
    <row r="1212" spans="3:197">
      <c r="C1212" s="80" t="str" cm="1">
        <f t="array" ref="C1212">_xlfn.IFS(MONTH(D1212)&lt;4,1,MONTH(D1212)&lt;7,2,MONTH(D1212)&lt;10,3,MONTH(D1212)&gt;9,4)&amp;"Q"&amp;RIGHT(YEAR(D1212),2)</f>
        <v>4Q20</v>
      </c>
      <c r="D1212" s="81">
        <f t="shared" si="420"/>
        <v>44165</v>
      </c>
      <c r="E1212" s="82">
        <f t="shared" si="416"/>
        <v>44152</v>
      </c>
      <c r="F1212" s="83">
        <f t="shared" si="425"/>
        <v>0.350875</v>
      </c>
      <c r="G1212" s="83">
        <f t="shared" si="425"/>
        <v>0.35625</v>
      </c>
      <c r="H1212" s="81"/>
      <c r="I1212" s="146">
        <v>44152</v>
      </c>
      <c r="J1212" s="147">
        <v>3.25</v>
      </c>
      <c r="K1212" s="147">
        <v>2.76</v>
      </c>
      <c r="L1212" s="147">
        <v>2.807</v>
      </c>
      <c r="M1212" s="94" cm="1">
        <f t="array" ref="M1212">INDEX($BV$29:$BV$1449,MATCH($D1212,$BR$29:$BR$1449,0),)</f>
        <v>2.85</v>
      </c>
      <c r="N1212" s="150">
        <f t="shared" si="417"/>
        <v>-0.00354987575434873</v>
      </c>
      <c r="O1212" s="150">
        <f t="shared" si="415"/>
        <v>-0.0130098452883263</v>
      </c>
      <c r="P1212" s="150">
        <f t="shared" si="413"/>
        <v>-0.0147420147420149</v>
      </c>
      <c r="Q1212" s="89">
        <f t="shared" si="418"/>
        <v>-0.0150877192982457</v>
      </c>
      <c r="AH1212" s="90"/>
      <c r="AI1212" s="85"/>
      <c r="AJ1212" s="36"/>
      <c r="AK1212" s="36"/>
      <c r="AL1212" s="36"/>
      <c r="AM1212" s="36"/>
      <c r="AN1212" s="36"/>
      <c r="AO1212" s="36"/>
      <c r="AP1212" s="36"/>
      <c r="AQ1212" s="36"/>
      <c r="GE1212" s="94"/>
      <c r="GF1212" s="104">
        <f t="shared" si="422"/>
        <v>2017</v>
      </c>
      <c r="GG1212" s="104">
        <f t="shared" si="423"/>
        <v>39</v>
      </c>
      <c r="GH1212" s="35">
        <v>43006</v>
      </c>
      <c r="GI1212" s="26">
        <v>3.374</v>
      </c>
      <c r="GJ1212" s="94">
        <f t="shared" si="424"/>
        <v>6.748</v>
      </c>
      <c r="GK1212" s="104"/>
      <c r="GL1212" s="104"/>
      <c r="GO1212" s="94"/>
    </row>
    <row r="1213" spans="3:197">
      <c r="C1213" s="80" t="str" cm="1">
        <f t="array" ref="C1213">_xlfn.IFS(MONTH(D1213)&lt;4,1,MONTH(D1213)&lt;7,2,MONTH(D1213)&lt;10,3,MONTH(D1213)&gt;9,4)&amp;"Q"&amp;RIGHT(YEAR(D1213),2)</f>
        <v>4Q20</v>
      </c>
      <c r="D1213" s="81">
        <f t="shared" si="420"/>
        <v>44165</v>
      </c>
      <c r="E1213" s="82">
        <f t="shared" si="416"/>
        <v>44153</v>
      </c>
      <c r="F1213" s="83">
        <f t="shared" si="425"/>
        <v>0.35075</v>
      </c>
      <c r="G1213" s="83">
        <f t="shared" si="425"/>
        <v>0.35625</v>
      </c>
      <c r="H1213" s="81"/>
      <c r="I1213" s="146">
        <v>44153</v>
      </c>
      <c r="J1213" s="147">
        <v>3.24</v>
      </c>
      <c r="K1213" s="147">
        <v>2.73</v>
      </c>
      <c r="L1213" s="147">
        <v>2.806</v>
      </c>
      <c r="M1213" s="94" cm="1">
        <f t="array" ref="M1213">INDEX($BV$29:$BV$1449,MATCH($D1213,$BR$29:$BR$1449,0),)</f>
        <v>2.85</v>
      </c>
      <c r="N1213" s="150">
        <f t="shared" si="417"/>
        <v>-0.000356252226576426</v>
      </c>
      <c r="O1213" s="150">
        <f t="shared" si="415"/>
        <v>-0.0126671358198452</v>
      </c>
      <c r="P1213" s="150">
        <f t="shared" si="413"/>
        <v>-0.0150930150930152</v>
      </c>
      <c r="Q1213" s="89">
        <f t="shared" si="418"/>
        <v>-0.015438596491228</v>
      </c>
      <c r="AH1213" s="90"/>
      <c r="AI1213" s="85"/>
      <c r="AJ1213" s="36"/>
      <c r="AK1213" s="36"/>
      <c r="AL1213" s="36"/>
      <c r="AM1213" s="36"/>
      <c r="AN1213" s="36"/>
      <c r="AO1213" s="36"/>
      <c r="AP1213" s="36"/>
      <c r="AQ1213" s="36"/>
      <c r="BT1213" s="156"/>
      <c r="GE1213" s="94"/>
      <c r="GF1213" s="104">
        <f t="shared" si="422"/>
        <v>2017</v>
      </c>
      <c r="GG1213" s="104">
        <f t="shared" si="423"/>
        <v>39</v>
      </c>
      <c r="GH1213" s="35">
        <v>43007</v>
      </c>
      <c r="GI1213" s="26">
        <v>3.376</v>
      </c>
      <c r="GJ1213" s="94">
        <f t="shared" si="424"/>
        <v>6.752</v>
      </c>
      <c r="GK1213" s="104"/>
      <c r="GL1213" s="104"/>
      <c r="GO1213" s="94"/>
    </row>
    <row r="1214" spans="3:197">
      <c r="C1214" s="80" t="str" cm="1">
        <f t="array" ref="C1214">_xlfn.IFS(MONTH(D1214)&lt;4,1,MONTH(D1214)&lt;7,2,MONTH(D1214)&lt;10,3,MONTH(D1214)&gt;9,4)&amp;"Q"&amp;RIGHT(YEAR(D1214),2)</f>
        <v>4Q20</v>
      </c>
      <c r="D1214" s="81">
        <f t="shared" si="420"/>
        <v>44165</v>
      </c>
      <c r="E1214" s="82">
        <f t="shared" si="416"/>
        <v>44154</v>
      </c>
      <c r="F1214" s="83">
        <f t="shared" si="425"/>
        <v>0.35075</v>
      </c>
      <c r="G1214" s="83">
        <f t="shared" si="425"/>
        <v>0.35625</v>
      </c>
      <c r="H1214" s="81"/>
      <c r="I1214" s="146">
        <v>44154</v>
      </c>
      <c r="J1214" s="147">
        <v>3.25</v>
      </c>
      <c r="K1214" s="147">
        <v>2.73</v>
      </c>
      <c r="L1214" s="147">
        <v>2.806</v>
      </c>
      <c r="M1214" s="94" cm="1">
        <f t="array" ref="M1214">INDEX($BV$29:$BV$1449,MATCH($D1214,$BR$29:$BR$1449,0),)</f>
        <v>2.85</v>
      </c>
      <c r="N1214" s="150">
        <f t="shared" si="417"/>
        <v>0</v>
      </c>
      <c r="O1214" s="150">
        <f t="shared" si="415"/>
        <v>-0.00602196245129294</v>
      </c>
      <c r="P1214" s="150">
        <f t="shared" si="413"/>
        <v>-0.0150930150930152</v>
      </c>
      <c r="Q1214" s="89">
        <f t="shared" si="418"/>
        <v>-0.015438596491228</v>
      </c>
      <c r="AH1214" s="90"/>
      <c r="AI1214" s="85"/>
      <c r="AJ1214" s="36"/>
      <c r="AK1214" s="36"/>
      <c r="AL1214" s="36"/>
      <c r="AM1214" s="36"/>
      <c r="AN1214" s="36"/>
      <c r="AO1214" s="36"/>
      <c r="AP1214" s="36"/>
      <c r="AQ1214" s="36"/>
      <c r="BT1214" s="156"/>
      <c r="GE1214" s="94"/>
      <c r="GF1214" s="104">
        <f t="shared" si="422"/>
        <v>2017</v>
      </c>
      <c r="GG1214" s="104">
        <f t="shared" si="423"/>
        <v>40</v>
      </c>
      <c r="GH1214" s="35">
        <v>43010</v>
      </c>
      <c r="GI1214" s="26">
        <v>3.401</v>
      </c>
      <c r="GJ1214" s="94">
        <f t="shared" si="424"/>
        <v>6.802</v>
      </c>
      <c r="GK1214" s="104"/>
      <c r="GL1214" s="104"/>
      <c r="GO1214" s="94"/>
    </row>
    <row r="1215" spans="3:197">
      <c r="C1215" s="80" t="str" cm="1">
        <f t="array" ref="C1215">_xlfn.IFS(MONTH(D1215)&lt;4,1,MONTH(D1215)&lt;7,2,MONTH(D1215)&lt;10,3,MONTH(D1215)&gt;9,4)&amp;"Q"&amp;RIGHT(YEAR(D1215),2)</f>
        <v>4Q20</v>
      </c>
      <c r="D1215" s="81">
        <f t="shared" si="420"/>
        <v>44165</v>
      </c>
      <c r="E1215" s="82">
        <f t="shared" si="416"/>
        <v>44155</v>
      </c>
      <c r="F1215" s="83">
        <f t="shared" si="425"/>
        <v>0.350125</v>
      </c>
      <c r="G1215" s="83">
        <f t="shared" si="425"/>
        <v>0.35625</v>
      </c>
      <c r="H1215" s="81"/>
      <c r="I1215" s="146">
        <v>44155</v>
      </c>
      <c r="J1215" s="147">
        <v>3.25</v>
      </c>
      <c r="K1215" s="147">
        <v>2.72</v>
      </c>
      <c r="L1215" s="147">
        <v>2.801</v>
      </c>
      <c r="M1215" s="94" cm="1">
        <f t="array" ref="M1215">INDEX($BV$29:$BV$1449,MATCH($D1215,$BR$29:$BR$1449,0),)</f>
        <v>2.85</v>
      </c>
      <c r="N1215" s="150">
        <f t="shared" si="417"/>
        <v>-0.00178189593727718</v>
      </c>
      <c r="O1215" s="150">
        <f t="shared" si="415"/>
        <v>-0.00567980120695777</v>
      </c>
      <c r="P1215" s="150">
        <f t="shared" si="413"/>
        <v>-0.0158116654954321</v>
      </c>
      <c r="Q1215" s="89">
        <f t="shared" si="418"/>
        <v>-0.0171929824561403</v>
      </c>
      <c r="AH1215" s="90"/>
      <c r="AI1215" s="85"/>
      <c r="AJ1215" s="36"/>
      <c r="AK1215" s="36"/>
      <c r="AL1215" s="36"/>
      <c r="AM1215" s="36"/>
      <c r="AN1215" s="36"/>
      <c r="AO1215" s="36"/>
      <c r="AP1215" s="36"/>
      <c r="AQ1215" s="36"/>
      <c r="BT1215" s="156"/>
      <c r="GE1215" s="94"/>
      <c r="GF1215" s="104">
        <f t="shared" si="422"/>
        <v>2017</v>
      </c>
      <c r="GG1215" s="104">
        <f t="shared" si="423"/>
        <v>40</v>
      </c>
      <c r="GH1215" s="35">
        <v>43011</v>
      </c>
      <c r="GI1215" s="26">
        <v>3.401</v>
      </c>
      <c r="GJ1215" s="94">
        <f t="shared" si="424"/>
        <v>6.802</v>
      </c>
      <c r="GK1215" s="104"/>
      <c r="GL1215" s="104"/>
      <c r="GO1215" s="94"/>
    </row>
    <row r="1216" spans="3:197">
      <c r="C1216" s="80" t="str" cm="1">
        <f t="array" ref="C1216">_xlfn.IFS(MONTH(D1216)&lt;4,1,MONTH(D1216)&lt;7,2,MONTH(D1216)&lt;10,3,MONTH(D1216)&gt;9,4)&amp;"Q"&amp;RIGHT(YEAR(D1216),2)</f>
        <v>4Q20</v>
      </c>
      <c r="D1216" s="81">
        <f t="shared" si="420"/>
        <v>44165</v>
      </c>
      <c r="E1216" s="82">
        <f t="shared" si="416"/>
        <v>44158</v>
      </c>
      <c r="F1216" s="83">
        <f t="shared" si="425"/>
        <v>0.349625</v>
      </c>
      <c r="G1216" s="83">
        <f t="shared" si="425"/>
        <v>0.35625</v>
      </c>
      <c r="H1216" s="81"/>
      <c r="I1216" s="146">
        <v>44158</v>
      </c>
      <c r="J1216" s="147">
        <v>3.25</v>
      </c>
      <c r="K1216" s="147">
        <v>2.72</v>
      </c>
      <c r="L1216" s="147">
        <v>2.797</v>
      </c>
      <c r="M1216" s="94" cm="1">
        <f t="array" ref="M1216">INDEX($BV$29:$BV$1449,MATCH($D1216,$BR$29:$BR$1449,0),)</f>
        <v>2.85</v>
      </c>
      <c r="N1216" s="150">
        <f t="shared" si="417"/>
        <v>-0.00142806140664054</v>
      </c>
      <c r="O1216" s="150">
        <f t="shared" si="415"/>
        <v>-0.00709975150869724</v>
      </c>
      <c r="P1216" s="150">
        <f t="shared" ref="P1216:P1279" si="426">L1216/L1206-1</f>
        <v>-0.017217146872804</v>
      </c>
      <c r="Q1216" s="89">
        <f t="shared" si="418"/>
        <v>-0.0185964912280702</v>
      </c>
      <c r="AH1216" s="90"/>
      <c r="AI1216" s="85"/>
      <c r="AJ1216" s="36"/>
      <c r="AK1216" s="36"/>
      <c r="AL1216" s="36"/>
      <c r="AM1216" s="36"/>
      <c r="AN1216" s="36"/>
      <c r="AO1216" s="36"/>
      <c r="AP1216" s="36"/>
      <c r="AQ1216" s="36"/>
      <c r="BT1216" s="156"/>
      <c r="GE1216" s="94"/>
      <c r="GF1216" s="104">
        <f t="shared" si="422"/>
        <v>2017</v>
      </c>
      <c r="GG1216" s="104">
        <f t="shared" si="423"/>
        <v>40</v>
      </c>
      <c r="GH1216" s="35">
        <v>43013</v>
      </c>
      <c r="GI1216" s="26">
        <v>3.427</v>
      </c>
      <c r="GJ1216" s="94">
        <f t="shared" si="424"/>
        <v>6.854</v>
      </c>
      <c r="GK1216" s="104"/>
      <c r="GL1216" s="104"/>
      <c r="GO1216" s="94"/>
    </row>
    <row r="1217" spans="3:197">
      <c r="C1217" s="80" t="str" cm="1">
        <f t="array" ref="C1217">_xlfn.IFS(MONTH(D1217)&lt;4,1,MONTH(D1217)&lt;7,2,MONTH(D1217)&lt;10,3,MONTH(D1217)&gt;9,4)&amp;"Q"&amp;RIGHT(YEAR(D1217),2)</f>
        <v>4Q20</v>
      </c>
      <c r="D1217" s="81">
        <f t="shared" si="420"/>
        <v>44165</v>
      </c>
      <c r="E1217" s="82">
        <f t="shared" si="416"/>
        <v>44159</v>
      </c>
      <c r="F1217" s="83">
        <f t="shared" si="425"/>
        <v>0.34725</v>
      </c>
      <c r="G1217" s="83">
        <f t="shared" si="425"/>
        <v>0.35625</v>
      </c>
      <c r="H1217" s="81"/>
      <c r="I1217" s="146">
        <v>44159</v>
      </c>
      <c r="J1217" s="147">
        <v>3.25</v>
      </c>
      <c r="K1217" s="147">
        <v>2.72</v>
      </c>
      <c r="L1217" s="147">
        <v>2.778</v>
      </c>
      <c r="M1217" s="94" cm="1">
        <f t="array" ref="M1217">INDEX($BV$29:$BV$1449,MATCH($D1217,$BR$29:$BR$1449,0),)</f>
        <v>2.85</v>
      </c>
      <c r="N1217" s="150">
        <f t="shared" si="417"/>
        <v>-0.00679299249195575</v>
      </c>
      <c r="O1217" s="150">
        <f t="shared" si="415"/>
        <v>-0.010331314570716</v>
      </c>
      <c r="P1217" s="150">
        <f t="shared" si="426"/>
        <v>-0.0232067510548523</v>
      </c>
      <c r="Q1217" s="89">
        <f t="shared" si="418"/>
        <v>-0.0252631578947369</v>
      </c>
      <c r="AH1217" s="90"/>
      <c r="AI1217" s="85"/>
      <c r="AJ1217" s="36"/>
      <c r="AK1217" s="36"/>
      <c r="AL1217" s="36"/>
      <c r="AM1217" s="36"/>
      <c r="AN1217" s="36"/>
      <c r="AO1217" s="36"/>
      <c r="AP1217" s="36"/>
      <c r="AQ1217" s="36"/>
      <c r="BT1217" s="156"/>
      <c r="GE1217" s="94"/>
      <c r="GF1217" s="104">
        <f t="shared" si="422"/>
        <v>2017</v>
      </c>
      <c r="GG1217" s="104">
        <f t="shared" si="423"/>
        <v>40</v>
      </c>
      <c r="GH1217" s="35">
        <v>43014</v>
      </c>
      <c r="GI1217" s="26">
        <v>3.432</v>
      </c>
      <c r="GJ1217" s="94">
        <f t="shared" si="424"/>
        <v>6.864</v>
      </c>
      <c r="GK1217" s="104"/>
      <c r="GL1217" s="104"/>
      <c r="GO1217" s="94"/>
    </row>
    <row r="1218" spans="3:197">
      <c r="C1218" s="80" t="str" cm="1">
        <f t="array" ref="C1218">_xlfn.IFS(MONTH(D1218)&lt;4,1,MONTH(D1218)&lt;7,2,MONTH(D1218)&lt;10,3,MONTH(D1218)&gt;9,4)&amp;"Q"&amp;RIGHT(YEAR(D1218),2)</f>
        <v>4Q20</v>
      </c>
      <c r="D1218" s="81">
        <f t="shared" si="420"/>
        <v>44165</v>
      </c>
      <c r="E1218" s="82">
        <f t="shared" si="416"/>
        <v>44160</v>
      </c>
      <c r="F1218" s="83">
        <f t="shared" si="425"/>
        <v>0.34725</v>
      </c>
      <c r="G1218" s="83">
        <f t="shared" si="425"/>
        <v>0.35625</v>
      </c>
      <c r="H1218" s="81"/>
      <c r="I1218" s="146">
        <v>44160</v>
      </c>
      <c r="J1218" s="147">
        <v>3.24</v>
      </c>
      <c r="K1218" s="147">
        <v>2.71</v>
      </c>
      <c r="L1218" s="147">
        <v>2.778</v>
      </c>
      <c r="M1218" s="94" cm="1">
        <f t="array" ref="M1218">INDEX($BV$29:$BV$1449,MATCH($D1218,$BR$29:$BR$1449,0),)</f>
        <v>2.85</v>
      </c>
      <c r="N1218" s="150">
        <f t="shared" si="417"/>
        <v>0</v>
      </c>
      <c r="O1218" s="150">
        <f t="shared" si="415"/>
        <v>-0.00997861724875271</v>
      </c>
      <c r="P1218" s="150">
        <f t="shared" si="426"/>
        <v>-0.0225193525686137</v>
      </c>
      <c r="Q1218" s="89">
        <f t="shared" si="418"/>
        <v>-0.0252631578947369</v>
      </c>
      <c r="AH1218" s="90"/>
      <c r="AI1218" s="85"/>
      <c r="AJ1218" s="36"/>
      <c r="AK1218" s="36"/>
      <c r="AL1218" s="36"/>
      <c r="AM1218" s="36"/>
      <c r="AN1218" s="36"/>
      <c r="AO1218" s="36"/>
      <c r="AP1218" s="36"/>
      <c r="AQ1218" s="36"/>
      <c r="BT1218" s="156"/>
      <c r="GE1218" s="94"/>
      <c r="GF1218" s="104">
        <f t="shared" si="422"/>
        <v>2017</v>
      </c>
      <c r="GG1218" s="104">
        <f t="shared" si="423"/>
        <v>41</v>
      </c>
      <c r="GH1218" s="35">
        <v>43017</v>
      </c>
      <c r="GI1218" s="26">
        <v>3.468</v>
      </c>
      <c r="GJ1218" s="94">
        <f t="shared" si="424"/>
        <v>6.936</v>
      </c>
      <c r="GK1218" s="104"/>
      <c r="GL1218" s="104"/>
      <c r="GO1218" s="94"/>
    </row>
    <row r="1219" spans="3:197">
      <c r="C1219" s="80" t="str" cm="1">
        <f t="array" ref="C1219">_xlfn.IFS(MONTH(D1219)&lt;4,1,MONTH(D1219)&lt;7,2,MONTH(D1219)&lt;10,3,MONTH(D1219)&gt;9,4)&amp;"Q"&amp;RIGHT(YEAR(D1219),2)</f>
        <v>4Q20</v>
      </c>
      <c r="D1219" s="81">
        <f t="shared" si="420"/>
        <v>44165</v>
      </c>
      <c r="E1219" s="82">
        <f t="shared" si="416"/>
        <v>44161</v>
      </c>
      <c r="F1219" s="83">
        <f t="shared" si="425"/>
        <v>0.346875</v>
      </c>
      <c r="G1219" s="83">
        <f t="shared" si="425"/>
        <v>0.35625</v>
      </c>
      <c r="H1219" s="81"/>
      <c r="I1219" s="146">
        <v>44161</v>
      </c>
      <c r="J1219" s="147">
        <v>3.24</v>
      </c>
      <c r="K1219" s="147">
        <v>2.71</v>
      </c>
      <c r="L1219" s="147">
        <v>2.775</v>
      </c>
      <c r="M1219" s="94" cm="1">
        <f t="array" ref="M1219">INDEX($BV$29:$BV$1449,MATCH($D1219,$BR$29:$BR$1449,0),)</f>
        <v>2.85</v>
      </c>
      <c r="N1219" s="150">
        <f t="shared" si="417"/>
        <v>-0.00107991360691151</v>
      </c>
      <c r="O1219" s="150">
        <f t="shared" si="415"/>
        <v>-0.0110477548111191</v>
      </c>
      <c r="P1219" s="150">
        <f t="shared" si="426"/>
        <v>-0.0170031880977684</v>
      </c>
      <c r="Q1219" s="89">
        <f t="shared" si="418"/>
        <v>-0.0263157894736843</v>
      </c>
      <c r="AH1219" s="90"/>
      <c r="AI1219" s="85"/>
      <c r="AJ1219" s="36"/>
      <c r="AK1219" s="36"/>
      <c r="AL1219" s="36"/>
      <c r="AM1219" s="36"/>
      <c r="AN1219" s="36"/>
      <c r="AO1219" s="36"/>
      <c r="AP1219" s="36"/>
      <c r="AQ1219" s="36"/>
      <c r="BT1219" s="156"/>
      <c r="GE1219" s="94"/>
      <c r="GF1219" s="104">
        <f t="shared" si="422"/>
        <v>2017</v>
      </c>
      <c r="GG1219" s="104">
        <f t="shared" si="423"/>
        <v>41</v>
      </c>
      <c r="GH1219" s="35">
        <v>43018</v>
      </c>
      <c r="GI1219" s="26">
        <v>3.547</v>
      </c>
      <c r="GJ1219" s="94">
        <f t="shared" si="424"/>
        <v>7.094</v>
      </c>
      <c r="GK1219" s="104"/>
      <c r="GL1219" s="104"/>
      <c r="GO1219" s="94"/>
    </row>
    <row r="1220" spans="3:197">
      <c r="C1220" s="80" t="str" cm="1">
        <f t="array" ref="C1220">_xlfn.IFS(MONTH(D1220)&lt;4,1,MONTH(D1220)&lt;7,2,MONTH(D1220)&lt;10,3,MONTH(D1220)&gt;9,4)&amp;"Q"&amp;RIGHT(YEAR(D1220),2)</f>
        <v>4Q20</v>
      </c>
      <c r="D1220" s="81">
        <f t="shared" si="420"/>
        <v>44165</v>
      </c>
      <c r="E1220" s="82">
        <f t="shared" si="416"/>
        <v>44162</v>
      </c>
      <c r="F1220" s="83">
        <f t="shared" si="425"/>
        <v>0.346375</v>
      </c>
      <c r="G1220" s="83">
        <f t="shared" si="425"/>
        <v>0.35625</v>
      </c>
      <c r="H1220" s="81"/>
      <c r="I1220" s="146">
        <v>44162</v>
      </c>
      <c r="J1220" s="147">
        <v>3.24</v>
      </c>
      <c r="K1220" s="147">
        <v>2.71</v>
      </c>
      <c r="L1220" s="147">
        <v>2.771</v>
      </c>
      <c r="M1220" s="94" cm="1">
        <f t="array" ref="M1220">INDEX($BV$29:$BV$1449,MATCH($D1220,$BR$29:$BR$1449,0),)</f>
        <v>2.85</v>
      </c>
      <c r="N1220" s="150">
        <f t="shared" si="417"/>
        <v>-0.00144144144144143</v>
      </c>
      <c r="O1220" s="150">
        <f t="shared" si="415"/>
        <v>-0.0107104605498037</v>
      </c>
      <c r="P1220" s="150">
        <f t="shared" si="426"/>
        <v>-0.0163294284700036</v>
      </c>
      <c r="Q1220" s="89">
        <f t="shared" si="418"/>
        <v>-0.0277192982456141</v>
      </c>
      <c r="AH1220" s="90"/>
      <c r="AI1220" s="85"/>
      <c r="AJ1220" s="36"/>
      <c r="AK1220" s="36"/>
      <c r="AL1220" s="36"/>
      <c r="AM1220" s="36"/>
      <c r="AN1220" s="36"/>
      <c r="AO1220" s="36"/>
      <c r="AP1220" s="36"/>
      <c r="AQ1220" s="36"/>
      <c r="BT1220" s="156"/>
      <c r="GE1220" s="94"/>
      <c r="GF1220" s="104">
        <f t="shared" si="422"/>
        <v>2017</v>
      </c>
      <c r="GG1220" s="104">
        <f t="shared" si="423"/>
        <v>41</v>
      </c>
      <c r="GH1220" s="35">
        <v>43019</v>
      </c>
      <c r="GI1220" s="26">
        <v>3.549</v>
      </c>
      <c r="GJ1220" s="94">
        <f t="shared" si="424"/>
        <v>7.098</v>
      </c>
      <c r="GK1220" s="104"/>
      <c r="GL1220" s="104"/>
      <c r="GO1220" s="94"/>
    </row>
    <row r="1221" spans="3:197">
      <c r="C1221" s="80" t="str" cm="1">
        <f t="array" ref="C1221">_xlfn.IFS(MONTH(D1221)&lt;4,1,MONTH(D1221)&lt;7,2,MONTH(D1221)&lt;10,3,MONTH(D1221)&gt;9,4)&amp;"Q"&amp;RIGHT(YEAR(D1221),2)</f>
        <v>4Q20</v>
      </c>
      <c r="D1221" s="81">
        <f t="shared" si="420"/>
        <v>44165</v>
      </c>
      <c r="E1221" s="82">
        <f t="shared" si="416"/>
        <v>44165</v>
      </c>
      <c r="F1221" s="83">
        <f t="shared" ref="F1221:G1236" si="427">+L1221/8</f>
        <v>0.34625</v>
      </c>
      <c r="G1221" s="83">
        <f t="shared" si="427"/>
        <v>0.35625</v>
      </c>
      <c r="H1221" s="81"/>
      <c r="I1221" s="146">
        <v>44165</v>
      </c>
      <c r="J1221" s="147">
        <v>3.24</v>
      </c>
      <c r="K1221" s="147">
        <v>2.71</v>
      </c>
      <c r="L1221" s="147">
        <v>2.77</v>
      </c>
      <c r="M1221" s="94" cm="1">
        <f t="array" ref="M1221">INDEX($BV$29:$BV$1449,MATCH($D1221,$BR$29:$BR$1449,0),)</f>
        <v>2.85</v>
      </c>
      <c r="N1221" s="150">
        <f t="shared" si="417"/>
        <v>-0.000360880548538445</v>
      </c>
      <c r="O1221" s="150">
        <f t="shared" si="415"/>
        <v>-0.00965319985698965</v>
      </c>
      <c r="P1221" s="150">
        <f t="shared" si="426"/>
        <v>-0.0166844160454385</v>
      </c>
      <c r="Q1221" s="89">
        <f t="shared" si="418"/>
        <v>-0.0280701754385965</v>
      </c>
      <c r="AH1221" s="90"/>
      <c r="AI1221" s="85"/>
      <c r="AJ1221" s="36"/>
      <c r="AK1221" s="36"/>
      <c r="AL1221" s="36"/>
      <c r="AM1221" s="36"/>
      <c r="AN1221" s="36"/>
      <c r="AO1221" s="36"/>
      <c r="AP1221" s="36"/>
      <c r="AQ1221" s="36"/>
      <c r="BT1221" s="156"/>
      <c r="GE1221" s="94"/>
      <c r="GF1221" s="104">
        <f t="shared" si="422"/>
        <v>2017</v>
      </c>
      <c r="GG1221" s="104">
        <f t="shared" si="423"/>
        <v>41</v>
      </c>
      <c r="GH1221" s="35">
        <v>43020</v>
      </c>
      <c r="GI1221" s="26">
        <v>3.564</v>
      </c>
      <c r="GJ1221" s="94">
        <f t="shared" si="424"/>
        <v>7.128</v>
      </c>
      <c r="GK1221" s="104"/>
      <c r="GL1221" s="104"/>
      <c r="GO1221" s="94"/>
    </row>
    <row r="1222" spans="3:197">
      <c r="C1222" s="80" t="str" cm="1">
        <f t="array" ref="C1222">_xlfn.IFS(MONTH(D1222)&lt;4,1,MONTH(D1222)&lt;7,2,MONTH(D1222)&lt;10,3,MONTH(D1222)&gt;9,4)&amp;"Q"&amp;RIGHT(YEAR(D1222),2)</f>
        <v>4Q20</v>
      </c>
      <c r="D1222" s="81">
        <f t="shared" si="420"/>
        <v>44196</v>
      </c>
      <c r="E1222" s="82">
        <f t="shared" si="416"/>
        <v>44166</v>
      </c>
      <c r="F1222" s="83">
        <f t="shared" si="427"/>
        <v>0.34625</v>
      </c>
      <c r="G1222" s="83">
        <f t="shared" si="427"/>
        <v>0.35625</v>
      </c>
      <c r="H1222" s="81"/>
      <c r="I1222" s="146">
        <v>44166</v>
      </c>
      <c r="J1222" s="147">
        <v>3.24</v>
      </c>
      <c r="K1222" s="147">
        <v>2.71</v>
      </c>
      <c r="L1222" s="147">
        <v>2.77</v>
      </c>
      <c r="M1222" s="94" cm="1">
        <f t="array" ref="M1222">INDEX($BV$29:$BV$1449,MATCH($D1222,$BR$29:$BR$1449,0),)</f>
        <v>2.85</v>
      </c>
      <c r="N1222" s="150">
        <f t="shared" si="417"/>
        <v>0</v>
      </c>
      <c r="O1222" s="150">
        <f t="shared" si="415"/>
        <v>-0.00287976961843051</v>
      </c>
      <c r="P1222" s="150">
        <f t="shared" si="426"/>
        <v>-0.0131813323833274</v>
      </c>
      <c r="Q1222" s="89">
        <f t="shared" si="418"/>
        <v>-0.0280701754385965</v>
      </c>
      <c r="AH1222" s="90"/>
      <c r="AI1222" s="85"/>
      <c r="AJ1222" s="36"/>
      <c r="AK1222" s="36"/>
      <c r="AL1222" s="36"/>
      <c r="AM1222" s="36"/>
      <c r="AN1222" s="36"/>
      <c r="AO1222" s="36"/>
      <c r="AP1222" s="36"/>
      <c r="AQ1222" s="36"/>
      <c r="BT1222" s="156"/>
      <c r="GE1222" s="94"/>
      <c r="GF1222" s="104">
        <f t="shared" si="422"/>
        <v>2017</v>
      </c>
      <c r="GG1222" s="104">
        <f t="shared" si="423"/>
        <v>41</v>
      </c>
      <c r="GH1222" s="35">
        <v>43021</v>
      </c>
      <c r="GI1222" s="26">
        <v>3.63</v>
      </c>
      <c r="GJ1222" s="94">
        <f t="shared" si="424"/>
        <v>7.26</v>
      </c>
      <c r="GK1222" s="104"/>
      <c r="GL1222" s="104"/>
      <c r="GO1222" s="94"/>
    </row>
    <row r="1223" spans="3:197">
      <c r="C1223" s="80" t="str" cm="1">
        <f t="array" ref="C1223">_xlfn.IFS(MONTH(D1223)&lt;4,1,MONTH(D1223)&lt;7,2,MONTH(D1223)&lt;10,3,MONTH(D1223)&gt;9,4)&amp;"Q"&amp;RIGHT(YEAR(D1223),2)</f>
        <v>4Q20</v>
      </c>
      <c r="D1223" s="81">
        <f t="shared" si="420"/>
        <v>44196</v>
      </c>
      <c r="E1223" s="82">
        <f t="shared" si="416"/>
        <v>44167</v>
      </c>
      <c r="F1223" s="83">
        <f t="shared" si="427"/>
        <v>0.34675</v>
      </c>
      <c r="G1223" s="83">
        <f t="shared" si="427"/>
        <v>0.35625</v>
      </c>
      <c r="H1223" s="81"/>
      <c r="I1223" s="146">
        <v>44167</v>
      </c>
      <c r="J1223" s="147">
        <v>3.3</v>
      </c>
      <c r="K1223" s="147">
        <v>2.71</v>
      </c>
      <c r="L1223" s="147">
        <v>2.774</v>
      </c>
      <c r="M1223" s="94" cm="1">
        <f t="array" ref="M1223">INDEX($BV$29:$BV$1449,MATCH($D1223,$BR$29:$BR$1449,0),)</f>
        <v>2.85</v>
      </c>
      <c r="N1223" s="150">
        <f t="shared" si="417"/>
        <v>0.00144404332129966</v>
      </c>
      <c r="O1223" s="150">
        <f t="shared" si="415"/>
        <v>-0.00143988480921531</v>
      </c>
      <c r="P1223" s="150">
        <f t="shared" si="426"/>
        <v>-0.0114041339985745</v>
      </c>
      <c r="Q1223" s="89">
        <f t="shared" si="418"/>
        <v>-0.0266666666666667</v>
      </c>
      <c r="AH1223" s="90"/>
      <c r="AI1223" s="85"/>
      <c r="AJ1223" s="36"/>
      <c r="AK1223" s="36"/>
      <c r="AL1223" s="36"/>
      <c r="AM1223" s="36"/>
      <c r="AN1223" s="36"/>
      <c r="AO1223" s="36"/>
      <c r="AP1223" s="36"/>
      <c r="AQ1223" s="36"/>
      <c r="BT1223" s="156"/>
      <c r="GE1223" s="94"/>
      <c r="GF1223" s="104">
        <f t="shared" si="422"/>
        <v>2017</v>
      </c>
      <c r="GG1223" s="104">
        <f t="shared" si="423"/>
        <v>42</v>
      </c>
      <c r="GH1223" s="35">
        <v>43024</v>
      </c>
      <c r="GI1223" s="26">
        <v>3.649</v>
      </c>
      <c r="GJ1223" s="94">
        <f t="shared" si="424"/>
        <v>7.298</v>
      </c>
      <c r="GK1223" s="104"/>
      <c r="GL1223" s="104"/>
      <c r="GO1223" s="94"/>
    </row>
    <row r="1224" spans="3:197">
      <c r="C1224" s="80" t="str" cm="1">
        <f t="array" ref="C1224">_xlfn.IFS(MONTH(D1224)&lt;4,1,MONTH(D1224)&lt;7,2,MONTH(D1224)&lt;10,3,MONTH(D1224)&gt;9,4)&amp;"Q"&amp;RIGHT(YEAR(D1224),2)</f>
        <v>4Q20</v>
      </c>
      <c r="D1224" s="81">
        <f t="shared" si="420"/>
        <v>44196</v>
      </c>
      <c r="E1224" s="82">
        <f t="shared" si="416"/>
        <v>44168</v>
      </c>
      <c r="F1224" s="83">
        <f t="shared" si="427"/>
        <v>0.352125</v>
      </c>
      <c r="G1224" s="83">
        <f t="shared" si="427"/>
        <v>0.35625</v>
      </c>
      <c r="H1224" s="81"/>
      <c r="I1224" s="146">
        <v>44168</v>
      </c>
      <c r="J1224" s="147">
        <v>3.35</v>
      </c>
      <c r="K1224" s="147">
        <v>2.75</v>
      </c>
      <c r="L1224" s="147">
        <v>2.817</v>
      </c>
      <c r="M1224" s="94" cm="1">
        <f t="array" ref="M1224">INDEX($BV$29:$BV$1449,MATCH($D1224,$BR$29:$BR$1449,0),)</f>
        <v>2.85</v>
      </c>
      <c r="N1224" s="150">
        <f t="shared" si="417"/>
        <v>0.0155010814708003</v>
      </c>
      <c r="O1224" s="150">
        <f t="shared" si="415"/>
        <v>0.0151351351351352</v>
      </c>
      <c r="P1224" s="150">
        <f t="shared" si="426"/>
        <v>0.00392017106201004</v>
      </c>
      <c r="Q1224" s="89">
        <f t="shared" si="418"/>
        <v>-0.011578947368421</v>
      </c>
      <c r="AH1224" s="90"/>
      <c r="AI1224" s="85"/>
      <c r="AJ1224" s="36"/>
      <c r="AK1224" s="36"/>
      <c r="AL1224" s="36"/>
      <c r="AM1224" s="36"/>
      <c r="AN1224" s="36"/>
      <c r="AO1224" s="36"/>
      <c r="AP1224" s="36"/>
      <c r="AQ1224" s="36"/>
      <c r="BT1224" s="156"/>
      <c r="GE1224" s="94"/>
      <c r="GF1224" s="104">
        <f t="shared" si="422"/>
        <v>2017</v>
      </c>
      <c r="GG1224" s="104">
        <f t="shared" si="423"/>
        <v>42</v>
      </c>
      <c r="GH1224" s="35">
        <v>43025</v>
      </c>
      <c r="GI1224" s="26">
        <v>3.686</v>
      </c>
      <c r="GJ1224" s="94">
        <f t="shared" si="424"/>
        <v>7.372</v>
      </c>
      <c r="GK1224" s="104"/>
      <c r="GL1224" s="104"/>
      <c r="GO1224" s="94"/>
    </row>
    <row r="1225" spans="3:197">
      <c r="C1225" s="80" t="str" cm="1">
        <f t="array" ref="C1225">_xlfn.IFS(MONTH(D1225)&lt;4,1,MONTH(D1225)&lt;7,2,MONTH(D1225)&lt;10,3,MONTH(D1225)&gt;9,4)&amp;"Q"&amp;RIGHT(YEAR(D1225),2)</f>
        <v>4Q20</v>
      </c>
      <c r="D1225" s="81">
        <f t="shared" si="420"/>
        <v>44196</v>
      </c>
      <c r="E1225" s="82">
        <f t="shared" si="416"/>
        <v>44169</v>
      </c>
      <c r="F1225" s="83">
        <f t="shared" si="427"/>
        <v>0.358</v>
      </c>
      <c r="G1225" s="83">
        <f t="shared" si="427"/>
        <v>0.35625</v>
      </c>
      <c r="H1225" s="81"/>
      <c r="I1225" s="146">
        <v>44169</v>
      </c>
      <c r="J1225" s="147">
        <v>3.35</v>
      </c>
      <c r="K1225" s="147">
        <v>2.75</v>
      </c>
      <c r="L1225" s="147">
        <v>2.864</v>
      </c>
      <c r="M1225" s="94" cm="1">
        <f t="array" ref="M1225">INDEX($BV$29:$BV$1449,MATCH($D1225,$BR$29:$BR$1449,0),)</f>
        <v>2.85</v>
      </c>
      <c r="N1225" s="150">
        <f t="shared" si="417"/>
        <v>0.0166844160454382</v>
      </c>
      <c r="O1225" s="150">
        <f t="shared" si="415"/>
        <v>0.0335618910140743</v>
      </c>
      <c r="P1225" s="150">
        <f t="shared" si="426"/>
        <v>0.0224919671545876</v>
      </c>
      <c r="Q1225" s="89">
        <f t="shared" si="418"/>
        <v>0.00491228070175431</v>
      </c>
      <c r="AH1225" s="90"/>
      <c r="AI1225" s="85"/>
      <c r="AJ1225" s="36"/>
      <c r="AK1225" s="36"/>
      <c r="AL1225" s="36"/>
      <c r="AM1225" s="36"/>
      <c r="AN1225" s="36"/>
      <c r="AO1225" s="36"/>
      <c r="AP1225" s="36"/>
      <c r="AQ1225" s="36"/>
      <c r="BT1225" s="156"/>
      <c r="GE1225" s="94"/>
      <c r="GF1225" s="104">
        <f t="shared" si="422"/>
        <v>2017</v>
      </c>
      <c r="GG1225" s="104">
        <f t="shared" si="423"/>
        <v>42</v>
      </c>
      <c r="GH1225" s="35">
        <v>43026</v>
      </c>
      <c r="GI1225" s="26">
        <v>3.695</v>
      </c>
      <c r="GJ1225" s="94">
        <f t="shared" si="424"/>
        <v>7.39</v>
      </c>
      <c r="GK1225" s="104"/>
      <c r="GL1225" s="104"/>
      <c r="GO1225" s="94"/>
    </row>
    <row r="1226" spans="3:197">
      <c r="C1226" s="80" t="str" cm="1">
        <f t="array" ref="C1226">_xlfn.IFS(MONTH(D1226)&lt;4,1,MONTH(D1226)&lt;7,2,MONTH(D1226)&lt;10,3,MONTH(D1226)&gt;9,4)&amp;"Q"&amp;RIGHT(YEAR(D1226),2)</f>
        <v>4Q20</v>
      </c>
      <c r="D1226" s="81">
        <f t="shared" si="420"/>
        <v>44196</v>
      </c>
      <c r="E1226" s="82">
        <f t="shared" si="416"/>
        <v>44172</v>
      </c>
      <c r="F1226" s="83">
        <f t="shared" si="427"/>
        <v>0.36125</v>
      </c>
      <c r="G1226" s="83">
        <f t="shared" si="427"/>
        <v>0.35625</v>
      </c>
      <c r="H1226" s="81"/>
      <c r="I1226" s="146">
        <v>44172</v>
      </c>
      <c r="J1226" s="147">
        <v>3.35</v>
      </c>
      <c r="K1226" s="147">
        <v>2.75</v>
      </c>
      <c r="L1226" s="147">
        <v>2.89</v>
      </c>
      <c r="M1226" s="94" cm="1">
        <f t="array" ref="M1226">INDEX($BV$29:$BV$1449,MATCH($D1226,$BR$29:$BR$1449,0),)</f>
        <v>2.85</v>
      </c>
      <c r="N1226" s="150">
        <f t="shared" si="417"/>
        <v>0.00907821229050287</v>
      </c>
      <c r="O1226" s="150">
        <f t="shared" si="415"/>
        <v>0.0433212996389891</v>
      </c>
      <c r="P1226" s="150">
        <f t="shared" si="426"/>
        <v>0.0332499106185198</v>
      </c>
      <c r="Q1226" s="89">
        <f t="shared" si="418"/>
        <v>0.0140350877192983</v>
      </c>
      <c r="AH1226" s="90"/>
      <c r="AI1226" s="85"/>
      <c r="AJ1226" s="36"/>
      <c r="AK1226" s="36"/>
      <c r="AL1226" s="36"/>
      <c r="AM1226" s="36"/>
      <c r="AN1226" s="36"/>
      <c r="AO1226" s="36"/>
      <c r="AP1226" s="36"/>
      <c r="AQ1226" s="36"/>
      <c r="BT1226" s="156"/>
      <c r="GE1226" s="94"/>
      <c r="GF1226" s="104">
        <f t="shared" si="422"/>
        <v>2017</v>
      </c>
      <c r="GG1226" s="104">
        <f t="shared" si="423"/>
        <v>42</v>
      </c>
      <c r="GH1226" s="35">
        <v>43027</v>
      </c>
      <c r="GI1226" s="26">
        <v>3.764</v>
      </c>
      <c r="GJ1226" s="94">
        <f t="shared" si="424"/>
        <v>7.528</v>
      </c>
      <c r="GK1226" s="104"/>
      <c r="GL1226" s="104"/>
      <c r="GO1226" s="94"/>
    </row>
    <row r="1227" spans="3:197">
      <c r="C1227" s="80" t="str" cm="1">
        <f t="array" ref="C1227">_xlfn.IFS(MONTH(D1227)&lt;4,1,MONTH(D1227)&lt;7,2,MONTH(D1227)&lt;10,3,MONTH(D1227)&gt;9,4)&amp;"Q"&amp;RIGHT(YEAR(D1227),2)</f>
        <v>4Q20</v>
      </c>
      <c r="D1227" s="81">
        <f t="shared" si="420"/>
        <v>44196</v>
      </c>
      <c r="E1227" s="82">
        <f t="shared" si="416"/>
        <v>44173</v>
      </c>
      <c r="F1227" s="83">
        <f t="shared" si="427"/>
        <v>0.369375</v>
      </c>
      <c r="G1227" s="83">
        <f t="shared" si="427"/>
        <v>0.35625</v>
      </c>
      <c r="H1227" s="81"/>
      <c r="I1227" s="146">
        <v>44173</v>
      </c>
      <c r="J1227" s="147">
        <v>3.3</v>
      </c>
      <c r="K1227" s="147">
        <v>2.75</v>
      </c>
      <c r="L1227" s="147">
        <v>2.955</v>
      </c>
      <c r="M1227" s="94" cm="1">
        <f t="array" ref="M1227">INDEX($BV$29:$BV$1449,MATCH($D1227,$BR$29:$BR$1449,0),)</f>
        <v>2.85</v>
      </c>
      <c r="N1227" s="150">
        <f t="shared" si="417"/>
        <v>0.0224913494809689</v>
      </c>
      <c r="O1227" s="150">
        <f t="shared" ref="O1227:O1290" si="428">L1227/L1222-1</f>
        <v>0.0667870036101084</v>
      </c>
      <c r="P1227" s="150">
        <f t="shared" si="426"/>
        <v>0.0637149028077755</v>
      </c>
      <c r="Q1227" s="89">
        <f t="shared" si="418"/>
        <v>0.0368421052631578</v>
      </c>
      <c r="AH1227" s="90"/>
      <c r="AI1227" s="85"/>
      <c r="AJ1227" s="36"/>
      <c r="AK1227" s="36"/>
      <c r="AL1227" s="36"/>
      <c r="AM1227" s="36"/>
      <c r="AN1227" s="36"/>
      <c r="AO1227" s="36"/>
      <c r="AP1227" s="36"/>
      <c r="AQ1227" s="36"/>
      <c r="BT1227" s="156"/>
      <c r="GE1227" s="94"/>
      <c r="GF1227" s="104">
        <f t="shared" si="422"/>
        <v>2017</v>
      </c>
      <c r="GG1227" s="104">
        <f t="shared" si="423"/>
        <v>42</v>
      </c>
      <c r="GH1227" s="35">
        <v>43028</v>
      </c>
      <c r="GI1227" s="26">
        <v>3.79</v>
      </c>
      <c r="GJ1227" s="94">
        <f t="shared" si="424"/>
        <v>7.58</v>
      </c>
      <c r="GK1227" s="104"/>
      <c r="GL1227" s="104"/>
      <c r="GO1227" s="94"/>
    </row>
    <row r="1228" spans="3:197">
      <c r="C1228" s="80" t="str" cm="1">
        <f t="array" ref="C1228">_xlfn.IFS(MONTH(D1228)&lt;4,1,MONTH(D1228)&lt;7,2,MONTH(D1228)&lt;10,3,MONTH(D1228)&gt;9,4)&amp;"Q"&amp;RIGHT(YEAR(D1228),2)</f>
        <v>4Q20</v>
      </c>
      <c r="D1228" s="81">
        <f t="shared" si="420"/>
        <v>44196</v>
      </c>
      <c r="E1228" s="82">
        <f t="shared" si="416"/>
        <v>44174</v>
      </c>
      <c r="F1228" s="83">
        <f t="shared" si="427"/>
        <v>0.3715</v>
      </c>
      <c r="G1228" s="83">
        <f t="shared" si="427"/>
        <v>0.35625</v>
      </c>
      <c r="H1228" s="81"/>
      <c r="I1228" s="146">
        <v>44174</v>
      </c>
      <c r="J1228" s="147">
        <v>3.3</v>
      </c>
      <c r="K1228" s="147">
        <v>2.8</v>
      </c>
      <c r="L1228" s="147">
        <v>2.972</v>
      </c>
      <c r="M1228" s="94" cm="1">
        <f t="array" ref="M1228">INDEX($BV$29:$BV$1449,MATCH($D1228,$BR$29:$BR$1449,0),)</f>
        <v>2.85</v>
      </c>
      <c r="N1228" s="150">
        <f t="shared" si="417"/>
        <v>0.00575296108291035</v>
      </c>
      <c r="O1228" s="150">
        <f t="shared" si="428"/>
        <v>0.0713770728190339</v>
      </c>
      <c r="P1228" s="150">
        <f t="shared" si="426"/>
        <v>0.0698344132469402</v>
      </c>
      <c r="Q1228" s="89">
        <f t="shared" si="418"/>
        <v>0.0428070175438595</v>
      </c>
      <c r="AH1228" s="90"/>
      <c r="AI1228" s="85"/>
      <c r="AJ1228" s="36"/>
      <c r="AK1228" s="36"/>
      <c r="AL1228" s="36"/>
      <c r="AM1228" s="36"/>
      <c r="AN1228" s="36"/>
      <c r="AO1228" s="36"/>
      <c r="AP1228" s="36"/>
      <c r="AQ1228" s="36"/>
      <c r="BT1228" s="156"/>
      <c r="GE1228" s="94"/>
      <c r="GF1228" s="104">
        <f t="shared" si="422"/>
        <v>2017</v>
      </c>
      <c r="GG1228" s="104">
        <f t="shared" si="423"/>
        <v>43</v>
      </c>
      <c r="GH1228" s="35">
        <v>43031</v>
      </c>
      <c r="GI1228" s="26">
        <v>3.841</v>
      </c>
      <c r="GJ1228" s="94">
        <f t="shared" si="424"/>
        <v>7.682</v>
      </c>
      <c r="GK1228" s="104"/>
      <c r="GL1228" s="104"/>
      <c r="GO1228" s="94"/>
    </row>
    <row r="1229" spans="3:197">
      <c r="C1229" s="80" t="str" cm="1">
        <f t="array" ref="C1229">_xlfn.IFS(MONTH(D1229)&lt;4,1,MONTH(D1229)&lt;7,2,MONTH(D1229)&lt;10,3,MONTH(D1229)&gt;9,4)&amp;"Q"&amp;RIGHT(YEAR(D1229),2)</f>
        <v>4Q20</v>
      </c>
      <c r="D1229" s="81">
        <f t="shared" si="420"/>
        <v>44196</v>
      </c>
      <c r="E1229" s="82">
        <f t="shared" si="416"/>
        <v>44175</v>
      </c>
      <c r="F1229" s="83">
        <f t="shared" si="427"/>
        <v>0.3715</v>
      </c>
      <c r="G1229" s="83">
        <f t="shared" si="427"/>
        <v>0.35625</v>
      </c>
      <c r="H1229" s="81"/>
      <c r="I1229" s="146">
        <v>44175</v>
      </c>
      <c r="J1229" s="147">
        <v>3.3</v>
      </c>
      <c r="K1229" s="147">
        <v>2.8</v>
      </c>
      <c r="L1229" s="147">
        <v>2.972</v>
      </c>
      <c r="M1229" s="94" cm="1">
        <f t="array" ref="M1229">INDEX($BV$29:$BV$1449,MATCH($D1229,$BR$29:$BR$1449,0),)</f>
        <v>2.85</v>
      </c>
      <c r="N1229" s="150">
        <f t="shared" si="417"/>
        <v>0</v>
      </c>
      <c r="O1229" s="150">
        <f t="shared" si="428"/>
        <v>0.0550230741924032</v>
      </c>
      <c r="P1229" s="150">
        <f t="shared" si="426"/>
        <v>0.0709909909909909</v>
      </c>
      <c r="Q1229" s="89">
        <f t="shared" si="418"/>
        <v>0.0428070175438595</v>
      </c>
      <c r="AH1229" s="90"/>
      <c r="AI1229" s="85"/>
      <c r="AJ1229" s="36"/>
      <c r="AK1229" s="36"/>
      <c r="AL1229" s="36"/>
      <c r="AM1229" s="36"/>
      <c r="AN1229" s="36"/>
      <c r="AO1229" s="36"/>
      <c r="AP1229" s="36"/>
      <c r="AQ1229" s="36"/>
      <c r="BT1229" s="156"/>
      <c r="GE1229" s="94"/>
      <c r="GF1229" s="104">
        <f t="shared" si="422"/>
        <v>2017</v>
      </c>
      <c r="GG1229" s="104">
        <f t="shared" si="423"/>
        <v>43</v>
      </c>
      <c r="GH1229" s="35">
        <v>43032</v>
      </c>
      <c r="GI1229" s="26">
        <v>3.889</v>
      </c>
      <c r="GJ1229" s="94">
        <f t="shared" si="424"/>
        <v>7.778</v>
      </c>
      <c r="GK1229" s="104"/>
      <c r="GL1229" s="104"/>
      <c r="GO1229" s="94"/>
    </row>
    <row r="1230" spans="3:197">
      <c r="C1230" s="80" t="str" cm="1">
        <f t="array" ref="C1230">_xlfn.IFS(MONTH(D1230)&lt;4,1,MONTH(D1230)&lt;7,2,MONTH(D1230)&lt;10,3,MONTH(D1230)&gt;9,4)&amp;"Q"&amp;RIGHT(YEAR(D1230),2)</f>
        <v>4Q20</v>
      </c>
      <c r="D1230" s="81">
        <f t="shared" si="420"/>
        <v>44196</v>
      </c>
      <c r="E1230" s="82">
        <f t="shared" si="416"/>
        <v>44176</v>
      </c>
      <c r="F1230" s="83">
        <f t="shared" si="427"/>
        <v>0.371875</v>
      </c>
      <c r="G1230" s="83">
        <f t="shared" si="427"/>
        <v>0.35625</v>
      </c>
      <c r="H1230" s="81"/>
      <c r="I1230" s="146">
        <v>44176</v>
      </c>
      <c r="J1230" s="147">
        <v>3.3</v>
      </c>
      <c r="K1230" s="147">
        <v>2.8</v>
      </c>
      <c r="L1230" s="147">
        <v>2.975</v>
      </c>
      <c r="M1230" s="94" cm="1">
        <f t="array" ref="M1230">INDEX($BV$29:$BV$1449,MATCH($D1230,$BR$29:$BR$1449,0),)</f>
        <v>2.85</v>
      </c>
      <c r="N1230" s="150">
        <f t="shared" si="417"/>
        <v>0.00100942126514125</v>
      </c>
      <c r="O1230" s="150">
        <f t="shared" si="428"/>
        <v>0.0387569832402235</v>
      </c>
      <c r="P1230" s="150">
        <f t="shared" si="426"/>
        <v>0.0736196319018405</v>
      </c>
      <c r="Q1230" s="89">
        <f t="shared" si="418"/>
        <v>0.0438596491228069</v>
      </c>
      <c r="AH1230" s="90"/>
      <c r="AI1230" s="85"/>
      <c r="AJ1230" s="36"/>
      <c r="AK1230" s="36"/>
      <c r="AL1230" s="36"/>
      <c r="AM1230" s="36"/>
      <c r="AN1230" s="36"/>
      <c r="AO1230" s="36"/>
      <c r="AP1230" s="36"/>
      <c r="AQ1230" s="36"/>
      <c r="BT1230" s="156"/>
      <c r="GE1230" s="94"/>
      <c r="GF1230" s="104">
        <f t="shared" si="422"/>
        <v>2017</v>
      </c>
      <c r="GG1230" s="104">
        <f t="shared" si="423"/>
        <v>43</v>
      </c>
      <c r="GH1230" s="35">
        <v>43033</v>
      </c>
      <c r="GI1230" s="26">
        <v>3.925</v>
      </c>
      <c r="GJ1230" s="94">
        <f t="shared" si="424"/>
        <v>7.85</v>
      </c>
      <c r="GK1230" s="104"/>
      <c r="GL1230" s="104"/>
      <c r="GO1230" s="94"/>
    </row>
    <row r="1231" spans="3:197">
      <c r="C1231" s="80" t="str" cm="1">
        <f t="array" ref="C1231">_xlfn.IFS(MONTH(D1231)&lt;4,1,MONTH(D1231)&lt;7,2,MONTH(D1231)&lt;10,3,MONTH(D1231)&gt;9,4)&amp;"Q"&amp;RIGHT(YEAR(D1231),2)</f>
        <v>4Q20</v>
      </c>
      <c r="D1231" s="81">
        <f t="shared" si="420"/>
        <v>44196</v>
      </c>
      <c r="E1231" s="82">
        <f t="shared" si="416"/>
        <v>44179</v>
      </c>
      <c r="F1231" s="83">
        <f t="shared" si="427"/>
        <v>0.374</v>
      </c>
      <c r="G1231" s="83">
        <f t="shared" si="427"/>
        <v>0.35625</v>
      </c>
      <c r="H1231" s="81"/>
      <c r="I1231" s="146">
        <v>44179</v>
      </c>
      <c r="J1231" s="147">
        <v>3.35</v>
      </c>
      <c r="K1231" s="147">
        <v>2.8</v>
      </c>
      <c r="L1231" s="147">
        <v>2.992</v>
      </c>
      <c r="M1231" s="94" cm="1">
        <f t="array" ref="M1231">INDEX($BV$29:$BV$1449,MATCH($D1231,$BR$29:$BR$1449,0),)</f>
        <v>2.85</v>
      </c>
      <c r="N1231" s="150">
        <f t="shared" si="417"/>
        <v>0.00571428571428578</v>
      </c>
      <c r="O1231" s="150">
        <f t="shared" si="428"/>
        <v>0.0352941176470587</v>
      </c>
      <c r="P1231" s="150">
        <f t="shared" si="426"/>
        <v>0.08014440433213</v>
      </c>
      <c r="Q1231" s="89">
        <f t="shared" si="418"/>
        <v>0.0498245614035087</v>
      </c>
      <c r="AH1231" s="90"/>
      <c r="AI1231" s="85"/>
      <c r="AJ1231" s="36"/>
      <c r="AK1231" s="36"/>
      <c r="AL1231" s="36"/>
      <c r="AM1231" s="36"/>
      <c r="AN1231" s="36"/>
      <c r="AO1231" s="36"/>
      <c r="AP1231" s="36"/>
      <c r="AQ1231" s="36"/>
      <c r="BT1231" s="156"/>
      <c r="GE1231" s="94"/>
      <c r="GF1231" s="104">
        <f t="shared" si="422"/>
        <v>2017</v>
      </c>
      <c r="GG1231" s="104">
        <f t="shared" si="423"/>
        <v>43</v>
      </c>
      <c r="GH1231" s="35">
        <v>43034</v>
      </c>
      <c r="GI1231" s="26">
        <v>3.957</v>
      </c>
      <c r="GJ1231" s="94">
        <f t="shared" si="424"/>
        <v>7.914</v>
      </c>
      <c r="GK1231" s="104"/>
      <c r="GL1231" s="104"/>
      <c r="GO1231" s="94"/>
    </row>
    <row r="1232" spans="3:197">
      <c r="C1232" s="80" t="str" cm="1">
        <f t="array" ref="C1232">_xlfn.IFS(MONTH(D1232)&lt;4,1,MONTH(D1232)&lt;7,2,MONTH(D1232)&lt;10,3,MONTH(D1232)&gt;9,4)&amp;"Q"&amp;RIGHT(YEAR(D1232),2)</f>
        <v>4Q20</v>
      </c>
      <c r="D1232" s="81">
        <f t="shared" si="420"/>
        <v>44196</v>
      </c>
      <c r="E1232" s="82">
        <f t="shared" si="416"/>
        <v>44180</v>
      </c>
      <c r="F1232" s="83">
        <f t="shared" si="427"/>
        <v>0.3775</v>
      </c>
      <c r="G1232" s="83">
        <f t="shared" si="427"/>
        <v>0.35625</v>
      </c>
      <c r="H1232" s="81"/>
      <c r="I1232" s="146">
        <v>44180</v>
      </c>
      <c r="J1232" s="147">
        <v>3.45</v>
      </c>
      <c r="K1232" s="147">
        <v>2.8</v>
      </c>
      <c r="L1232" s="147">
        <v>3.02</v>
      </c>
      <c r="M1232" s="94" cm="1">
        <f t="array" ref="M1232">INDEX($BV$29:$BV$1449,MATCH($D1232,$BR$29:$BR$1449,0),)</f>
        <v>2.85</v>
      </c>
      <c r="N1232" s="150">
        <f t="shared" si="417"/>
        <v>0.0093582887700534</v>
      </c>
      <c r="O1232" s="150">
        <f t="shared" si="428"/>
        <v>0.0219966159052454</v>
      </c>
      <c r="P1232" s="150">
        <f t="shared" si="426"/>
        <v>0.0902527075812274</v>
      </c>
      <c r="Q1232" s="89">
        <f t="shared" si="418"/>
        <v>0.0596491228070175</v>
      </c>
      <c r="AH1232" s="90"/>
      <c r="AI1232" s="85"/>
      <c r="AJ1232" s="36"/>
      <c r="AK1232" s="36"/>
      <c r="AL1232" s="36"/>
      <c r="AM1232" s="36"/>
      <c r="AN1232" s="36"/>
      <c r="AO1232" s="36"/>
      <c r="AP1232" s="36"/>
      <c r="AQ1232" s="36"/>
      <c r="BT1232" s="156"/>
      <c r="GE1232" s="94"/>
      <c r="GF1232" s="104">
        <f t="shared" si="422"/>
        <v>2017</v>
      </c>
      <c r="GG1232" s="104">
        <f t="shared" si="423"/>
        <v>43</v>
      </c>
      <c r="GH1232" s="35">
        <v>43035</v>
      </c>
      <c r="GI1232" s="26">
        <v>3.957</v>
      </c>
      <c r="GJ1232" s="94">
        <f t="shared" si="424"/>
        <v>7.914</v>
      </c>
      <c r="GK1232" s="104"/>
      <c r="GL1232" s="104"/>
      <c r="GO1232" s="94"/>
    </row>
    <row r="1233" spans="3:197">
      <c r="C1233" s="80" t="str" cm="1">
        <f t="array" ref="C1233">_xlfn.IFS(MONTH(D1233)&lt;4,1,MONTH(D1233)&lt;7,2,MONTH(D1233)&lt;10,3,MONTH(D1233)&gt;9,4)&amp;"Q"&amp;RIGHT(YEAR(D1233),2)</f>
        <v>4Q20</v>
      </c>
      <c r="D1233" s="81">
        <f t="shared" si="420"/>
        <v>44196</v>
      </c>
      <c r="E1233" s="82">
        <f t="shared" ref="E1233:E1296" si="429">I1233</f>
        <v>44181</v>
      </c>
      <c r="F1233" s="83">
        <f t="shared" si="427"/>
        <v>0.401875</v>
      </c>
      <c r="G1233" s="83">
        <f t="shared" si="427"/>
        <v>0.35625</v>
      </c>
      <c r="H1233" s="81"/>
      <c r="I1233" s="146">
        <v>44181</v>
      </c>
      <c r="J1233" s="147">
        <v>3.45</v>
      </c>
      <c r="K1233" s="147">
        <v>3.05</v>
      </c>
      <c r="L1233" s="147">
        <v>3.215</v>
      </c>
      <c r="M1233" s="94" cm="1">
        <f t="array" ref="M1233">INDEX($BV$29:$BV$1449,MATCH($D1233,$BR$29:$BR$1449,0),)</f>
        <v>2.85</v>
      </c>
      <c r="N1233" s="150">
        <f t="shared" ref="N1233:N1296" si="430">L1233/L1232-1</f>
        <v>0.064569536423841</v>
      </c>
      <c r="O1233" s="150">
        <f t="shared" si="428"/>
        <v>0.0817631224764468</v>
      </c>
      <c r="P1233" s="150">
        <f t="shared" si="426"/>
        <v>0.158976207642394</v>
      </c>
      <c r="Q1233" s="89">
        <f t="shared" ref="Q1233:Q1296" si="431">L1233/M1233-1</f>
        <v>0.128070175438596</v>
      </c>
      <c r="AH1233" s="90"/>
      <c r="AI1233" s="85"/>
      <c r="AJ1233" s="36"/>
      <c r="AK1233" s="36"/>
      <c r="AL1233" s="36"/>
      <c r="AM1233" s="36"/>
      <c r="AN1233" s="36"/>
      <c r="AO1233" s="36"/>
      <c r="AP1233" s="36"/>
      <c r="AQ1233" s="36"/>
      <c r="BT1233" s="156"/>
      <c r="GE1233" s="94"/>
      <c r="GF1233" s="104">
        <f t="shared" si="422"/>
        <v>2017</v>
      </c>
      <c r="GG1233" s="104">
        <f t="shared" si="423"/>
        <v>44</v>
      </c>
      <c r="GH1233" s="35">
        <v>43038</v>
      </c>
      <c r="GI1233" s="26">
        <v>3.961</v>
      </c>
      <c r="GJ1233" s="94">
        <f t="shared" si="424"/>
        <v>7.922</v>
      </c>
      <c r="GK1233" s="104"/>
      <c r="GL1233" s="104"/>
      <c r="GO1233" s="94"/>
    </row>
    <row r="1234" spans="3:197">
      <c r="C1234" s="80" t="str" cm="1">
        <f t="array" ref="C1234">_xlfn.IFS(MONTH(D1234)&lt;4,1,MONTH(D1234)&lt;7,2,MONTH(D1234)&lt;10,3,MONTH(D1234)&gt;9,4)&amp;"Q"&amp;RIGHT(YEAR(D1234),2)</f>
        <v>4Q20</v>
      </c>
      <c r="D1234" s="81">
        <f t="shared" si="420"/>
        <v>44196</v>
      </c>
      <c r="E1234" s="82">
        <f t="shared" si="429"/>
        <v>44182</v>
      </c>
      <c r="F1234" s="83">
        <f t="shared" si="427"/>
        <v>0.41475</v>
      </c>
      <c r="G1234" s="83">
        <f t="shared" si="427"/>
        <v>0.35625</v>
      </c>
      <c r="H1234" s="81"/>
      <c r="I1234" s="146">
        <v>44182</v>
      </c>
      <c r="J1234" s="147">
        <v>3.45</v>
      </c>
      <c r="K1234" s="147">
        <v>3.1</v>
      </c>
      <c r="L1234" s="147">
        <v>3.318</v>
      </c>
      <c r="M1234" s="94" cm="1">
        <f t="array" ref="M1234">INDEX($BV$29:$BV$1449,MATCH($D1234,$BR$29:$BR$1449,0),)</f>
        <v>2.85</v>
      </c>
      <c r="N1234" s="150">
        <f t="shared" si="430"/>
        <v>0.0320373250388803</v>
      </c>
      <c r="O1234" s="150">
        <f t="shared" si="428"/>
        <v>0.116419919246299</v>
      </c>
      <c r="P1234" s="150">
        <f t="shared" si="426"/>
        <v>0.177848775292865</v>
      </c>
      <c r="Q1234" s="89">
        <f t="shared" si="431"/>
        <v>0.164210526315789</v>
      </c>
      <c r="AH1234" s="90"/>
      <c r="AI1234" s="85"/>
      <c r="AJ1234" s="36"/>
      <c r="AK1234" s="36"/>
      <c r="AL1234" s="36"/>
      <c r="AM1234" s="36"/>
      <c r="AN1234" s="36"/>
      <c r="AO1234" s="36"/>
      <c r="AP1234" s="36"/>
      <c r="AQ1234" s="36"/>
      <c r="BT1234" s="156"/>
      <c r="GE1234" s="94"/>
      <c r="GF1234" s="104">
        <f t="shared" si="422"/>
        <v>2017</v>
      </c>
      <c r="GG1234" s="104">
        <f t="shared" si="423"/>
        <v>44</v>
      </c>
      <c r="GH1234" s="35">
        <v>43039</v>
      </c>
      <c r="GI1234" s="26">
        <v>3.961</v>
      </c>
      <c r="GJ1234" s="94">
        <f t="shared" si="424"/>
        <v>7.922</v>
      </c>
      <c r="GK1234" s="104"/>
      <c r="GL1234" s="104"/>
      <c r="GO1234" s="94"/>
    </row>
    <row r="1235" spans="3:197">
      <c r="C1235" s="80" t="str" cm="1">
        <f t="array" ref="C1235">_xlfn.IFS(MONTH(D1235)&lt;4,1,MONTH(D1235)&lt;7,2,MONTH(D1235)&lt;10,3,MONTH(D1235)&gt;9,4)&amp;"Q"&amp;RIGHT(YEAR(D1235),2)</f>
        <v>4Q20</v>
      </c>
      <c r="D1235" s="81">
        <f t="shared" si="420"/>
        <v>44196</v>
      </c>
      <c r="E1235" s="82">
        <f t="shared" si="429"/>
        <v>44183</v>
      </c>
      <c r="F1235" s="83">
        <f t="shared" si="427"/>
        <v>0.42325</v>
      </c>
      <c r="G1235" s="83">
        <f t="shared" si="427"/>
        <v>0.35625</v>
      </c>
      <c r="H1235" s="81"/>
      <c r="I1235" s="146">
        <v>44183</v>
      </c>
      <c r="J1235" s="147">
        <v>3.45</v>
      </c>
      <c r="K1235" s="147">
        <v>3.3</v>
      </c>
      <c r="L1235" s="147">
        <v>3.386</v>
      </c>
      <c r="M1235" s="94" cm="1">
        <f t="array" ref="M1235">INDEX($BV$29:$BV$1449,MATCH($D1235,$BR$29:$BR$1449,0),)</f>
        <v>2.85</v>
      </c>
      <c r="N1235" s="150">
        <f t="shared" si="430"/>
        <v>0.0204942736588307</v>
      </c>
      <c r="O1235" s="150">
        <f t="shared" si="428"/>
        <v>0.138151260504202</v>
      </c>
      <c r="P1235" s="150">
        <f t="shared" si="426"/>
        <v>0.182262569832402</v>
      </c>
      <c r="Q1235" s="89">
        <f t="shared" si="431"/>
        <v>0.188070175438596</v>
      </c>
      <c r="AH1235" s="90"/>
      <c r="AI1235" s="85"/>
      <c r="AJ1235" s="36"/>
      <c r="AK1235" s="36"/>
      <c r="AL1235" s="36"/>
      <c r="AM1235" s="36"/>
      <c r="AN1235" s="36"/>
      <c r="AO1235" s="36"/>
      <c r="AP1235" s="36"/>
      <c r="AQ1235" s="36"/>
      <c r="BT1235" s="156"/>
      <c r="GE1235" s="94"/>
      <c r="GF1235" s="104">
        <f t="shared" si="422"/>
        <v>2017</v>
      </c>
      <c r="GG1235" s="104">
        <f t="shared" si="423"/>
        <v>44</v>
      </c>
      <c r="GH1235" s="35">
        <v>43040</v>
      </c>
      <c r="GI1235" s="26">
        <v>3.974</v>
      </c>
      <c r="GJ1235" s="94">
        <f t="shared" si="424"/>
        <v>7.948</v>
      </c>
      <c r="GK1235" s="104"/>
      <c r="GL1235" s="104"/>
      <c r="GO1235" s="94"/>
    </row>
    <row r="1236" spans="3:197">
      <c r="C1236" s="80" t="str" cm="1">
        <f t="array" ref="C1236">_xlfn.IFS(MONTH(D1236)&lt;4,1,MONTH(D1236)&lt;7,2,MONTH(D1236)&lt;10,3,MONTH(D1236)&gt;9,4)&amp;"Q"&amp;RIGHT(YEAR(D1236),2)</f>
        <v>4Q20</v>
      </c>
      <c r="D1236" s="81">
        <f t="shared" si="420"/>
        <v>44196</v>
      </c>
      <c r="E1236" s="82">
        <f t="shared" si="429"/>
        <v>44186</v>
      </c>
      <c r="F1236" s="83">
        <f t="shared" si="427"/>
        <v>0.42425</v>
      </c>
      <c r="G1236" s="83">
        <f t="shared" si="427"/>
        <v>0.35625</v>
      </c>
      <c r="H1236" s="81"/>
      <c r="I1236" s="146">
        <v>44186</v>
      </c>
      <c r="J1236" s="147">
        <v>3.48</v>
      </c>
      <c r="K1236" s="147">
        <v>3.3</v>
      </c>
      <c r="L1236" s="147">
        <v>3.394</v>
      </c>
      <c r="M1236" s="94" cm="1">
        <f t="array" ref="M1236">INDEX($BV$29:$BV$1449,MATCH($D1236,$BR$29:$BR$1449,0),)</f>
        <v>2.85</v>
      </c>
      <c r="N1236" s="150">
        <f t="shared" si="430"/>
        <v>0.00236266981689304</v>
      </c>
      <c r="O1236" s="150">
        <f t="shared" si="428"/>
        <v>0.134358288770054</v>
      </c>
      <c r="P1236" s="150">
        <f t="shared" si="426"/>
        <v>0.17439446366782</v>
      </c>
      <c r="Q1236" s="89">
        <f t="shared" si="431"/>
        <v>0.190877192982456</v>
      </c>
      <c r="AH1236" s="90"/>
      <c r="AI1236" s="85"/>
      <c r="AJ1236" s="36"/>
      <c r="AK1236" s="36"/>
      <c r="AL1236" s="36"/>
      <c r="AM1236" s="36"/>
      <c r="AN1236" s="36"/>
      <c r="AO1236" s="36"/>
      <c r="AP1236" s="36"/>
      <c r="AQ1236" s="36"/>
      <c r="BT1236" s="156"/>
      <c r="GE1236" s="94"/>
      <c r="GF1236" s="104">
        <f t="shared" si="422"/>
        <v>2017</v>
      </c>
      <c r="GG1236" s="104">
        <f t="shared" si="423"/>
        <v>44</v>
      </c>
      <c r="GH1236" s="35">
        <v>43041</v>
      </c>
      <c r="GI1236" s="26">
        <v>3.99</v>
      </c>
      <c r="GJ1236" s="94">
        <f t="shared" si="424"/>
        <v>7.98</v>
      </c>
      <c r="GK1236" s="104"/>
      <c r="GL1236" s="104"/>
      <c r="GO1236" s="94"/>
    </row>
    <row r="1237" spans="3:197">
      <c r="C1237" s="80" t="str" cm="1">
        <f t="array" ref="C1237">_xlfn.IFS(MONTH(D1237)&lt;4,1,MONTH(D1237)&lt;7,2,MONTH(D1237)&lt;10,3,MONTH(D1237)&gt;9,4)&amp;"Q"&amp;RIGHT(YEAR(D1237),2)</f>
        <v>4Q20</v>
      </c>
      <c r="D1237" s="81">
        <f t="shared" si="420"/>
        <v>44196</v>
      </c>
      <c r="E1237" s="82">
        <f t="shared" si="429"/>
        <v>44187</v>
      </c>
      <c r="F1237" s="83">
        <f t="shared" ref="F1237:G1252" si="432">+L1237/8</f>
        <v>0.425</v>
      </c>
      <c r="G1237" s="83">
        <f t="shared" si="432"/>
        <v>0.35625</v>
      </c>
      <c r="H1237" s="81"/>
      <c r="I1237" s="146">
        <v>44187</v>
      </c>
      <c r="J1237" s="147">
        <v>3.5</v>
      </c>
      <c r="K1237" s="147">
        <v>3.3</v>
      </c>
      <c r="L1237" s="147">
        <v>3.4</v>
      </c>
      <c r="M1237" s="94" cm="1">
        <f t="array" ref="M1237">INDEX($BV$29:$BV$1449,MATCH($D1237,$BR$29:$BR$1449,0),)</f>
        <v>2.85</v>
      </c>
      <c r="N1237" s="150">
        <f t="shared" si="430"/>
        <v>0.00176782557454325</v>
      </c>
      <c r="O1237" s="150">
        <f t="shared" si="428"/>
        <v>0.125827814569536</v>
      </c>
      <c r="P1237" s="150">
        <f t="shared" si="426"/>
        <v>0.150592216582064</v>
      </c>
      <c r="Q1237" s="89">
        <f t="shared" si="431"/>
        <v>0.192982456140351</v>
      </c>
      <c r="AH1237" s="90"/>
      <c r="AI1237" s="85"/>
      <c r="AJ1237" s="36"/>
      <c r="AK1237" s="36"/>
      <c r="AL1237" s="36"/>
      <c r="AM1237" s="36"/>
      <c r="AN1237" s="36"/>
      <c r="AO1237" s="36"/>
      <c r="AP1237" s="36"/>
      <c r="AQ1237" s="36"/>
      <c r="BT1237" s="156"/>
      <c r="GE1237" s="94"/>
      <c r="GF1237" s="104">
        <f t="shared" si="422"/>
        <v>2017</v>
      </c>
      <c r="GG1237" s="104">
        <f t="shared" si="423"/>
        <v>44</v>
      </c>
      <c r="GH1237" s="35">
        <v>43042</v>
      </c>
      <c r="GI1237" s="26">
        <v>4.014</v>
      </c>
      <c r="GJ1237" s="94">
        <f t="shared" si="424"/>
        <v>8.028</v>
      </c>
      <c r="GK1237" s="104"/>
      <c r="GL1237" s="104"/>
      <c r="GO1237" s="94"/>
    </row>
    <row r="1238" spans="3:197">
      <c r="C1238" s="80" t="str" cm="1">
        <f t="array" ref="C1238">_xlfn.IFS(MONTH(D1238)&lt;4,1,MONTH(D1238)&lt;7,2,MONTH(D1238)&lt;10,3,MONTH(D1238)&gt;9,4)&amp;"Q"&amp;RIGHT(YEAR(D1238),2)</f>
        <v>4Q20</v>
      </c>
      <c r="D1238" s="81">
        <f t="shared" si="420"/>
        <v>44196</v>
      </c>
      <c r="E1238" s="82">
        <f t="shared" si="429"/>
        <v>44188</v>
      </c>
      <c r="F1238" s="83">
        <f t="shared" si="432"/>
        <v>0.426875</v>
      </c>
      <c r="G1238" s="83">
        <f t="shared" si="432"/>
        <v>0.35625</v>
      </c>
      <c r="H1238" s="81"/>
      <c r="I1238" s="146">
        <v>44188</v>
      </c>
      <c r="J1238" s="147">
        <v>3.5</v>
      </c>
      <c r="K1238" s="147">
        <v>3.35</v>
      </c>
      <c r="L1238" s="147">
        <v>3.415</v>
      </c>
      <c r="M1238" s="94" cm="1">
        <f t="array" ref="M1238">INDEX($BV$29:$BV$1449,MATCH($D1238,$BR$29:$BR$1449,0),)</f>
        <v>2.85</v>
      </c>
      <c r="N1238" s="150">
        <f t="shared" si="430"/>
        <v>0.00441176470588234</v>
      </c>
      <c r="O1238" s="150">
        <f t="shared" si="428"/>
        <v>0.062208398133748</v>
      </c>
      <c r="P1238" s="150">
        <f t="shared" si="426"/>
        <v>0.149057873485868</v>
      </c>
      <c r="Q1238" s="89">
        <f t="shared" si="431"/>
        <v>0.198245614035088</v>
      </c>
      <c r="AH1238" s="90"/>
      <c r="AI1238" s="85"/>
      <c r="AJ1238" s="36"/>
      <c r="AK1238" s="36"/>
      <c r="AL1238" s="36"/>
      <c r="AM1238" s="36"/>
      <c r="AN1238" s="36"/>
      <c r="AO1238" s="36"/>
      <c r="AP1238" s="36"/>
      <c r="AQ1238" s="36"/>
      <c r="BT1238" s="156"/>
      <c r="GE1238" s="94"/>
      <c r="GF1238" s="104">
        <f t="shared" si="422"/>
        <v>2017</v>
      </c>
      <c r="GG1238" s="104">
        <f t="shared" si="423"/>
        <v>45</v>
      </c>
      <c r="GH1238" s="35">
        <v>43045</v>
      </c>
      <c r="GI1238" s="26">
        <v>4.021</v>
      </c>
      <c r="GJ1238" s="94">
        <f t="shared" si="424"/>
        <v>8.042</v>
      </c>
      <c r="GK1238" s="104"/>
      <c r="GL1238" s="104"/>
      <c r="GO1238" s="94"/>
    </row>
    <row r="1239" spans="3:197">
      <c r="C1239" s="80" t="str" cm="1">
        <f t="array" ref="C1239">_xlfn.IFS(MONTH(D1239)&lt;4,1,MONTH(D1239)&lt;7,2,MONTH(D1239)&lt;10,3,MONTH(D1239)&gt;9,4)&amp;"Q"&amp;RIGHT(YEAR(D1239),2)</f>
        <v>4Q20</v>
      </c>
      <c r="D1239" s="81">
        <f t="shared" si="420"/>
        <v>44196</v>
      </c>
      <c r="E1239" s="82">
        <f t="shared" si="429"/>
        <v>44189</v>
      </c>
      <c r="F1239" s="83">
        <f t="shared" si="432"/>
        <v>0.429375</v>
      </c>
      <c r="G1239" s="83">
        <f t="shared" si="432"/>
        <v>0.35625</v>
      </c>
      <c r="H1239" s="81"/>
      <c r="I1239" s="146">
        <v>44189</v>
      </c>
      <c r="J1239" s="147">
        <v>3.5</v>
      </c>
      <c r="K1239" s="147">
        <v>3.37</v>
      </c>
      <c r="L1239" s="147">
        <v>3.435</v>
      </c>
      <c r="M1239" s="94" cm="1">
        <f t="array" ref="M1239">INDEX($BV$29:$BV$1449,MATCH($D1239,$BR$29:$BR$1449,0),)</f>
        <v>2.85</v>
      </c>
      <c r="N1239" s="150">
        <f t="shared" si="430"/>
        <v>0.00585651537335297</v>
      </c>
      <c r="O1239" s="150">
        <f t="shared" si="428"/>
        <v>0.0352622061482821</v>
      </c>
      <c r="P1239" s="150">
        <f t="shared" si="426"/>
        <v>0.15578734858681</v>
      </c>
      <c r="Q1239" s="89">
        <f t="shared" si="431"/>
        <v>0.205263157894737</v>
      </c>
      <c r="AH1239" s="90"/>
      <c r="AI1239" s="85"/>
      <c r="AJ1239" s="36"/>
      <c r="AK1239" s="36"/>
      <c r="AL1239" s="36"/>
      <c r="AM1239" s="36"/>
      <c r="AN1239" s="36"/>
      <c r="AO1239" s="36"/>
      <c r="AP1239" s="36"/>
      <c r="AQ1239" s="36"/>
      <c r="BT1239" s="156"/>
      <c r="GE1239" s="94"/>
      <c r="GF1239" s="104">
        <f t="shared" si="422"/>
        <v>2017</v>
      </c>
      <c r="GG1239" s="104">
        <f t="shared" si="423"/>
        <v>45</v>
      </c>
      <c r="GH1239" s="35">
        <v>43046</v>
      </c>
      <c r="GI1239" s="26">
        <v>4.028</v>
      </c>
      <c r="GJ1239" s="94">
        <f t="shared" si="424"/>
        <v>8.056</v>
      </c>
      <c r="GK1239" s="104"/>
      <c r="GL1239" s="104"/>
      <c r="GO1239" s="94"/>
    </row>
    <row r="1240" spans="3:197">
      <c r="C1240" s="80" t="str" cm="1">
        <f t="array" ref="C1240">_xlfn.IFS(MONTH(D1240)&lt;4,1,MONTH(D1240)&lt;7,2,MONTH(D1240)&lt;10,3,MONTH(D1240)&gt;9,4)&amp;"Q"&amp;RIGHT(YEAR(D1240),2)</f>
        <v>4Q20</v>
      </c>
      <c r="D1240" s="81">
        <f t="shared" si="420"/>
        <v>44196</v>
      </c>
      <c r="E1240" s="82">
        <f t="shared" si="429"/>
        <v>44190</v>
      </c>
      <c r="F1240" s="83">
        <f t="shared" si="432"/>
        <v>0.43125</v>
      </c>
      <c r="G1240" s="83">
        <f t="shared" si="432"/>
        <v>0.35625</v>
      </c>
      <c r="H1240" s="81"/>
      <c r="I1240" s="146">
        <v>44190</v>
      </c>
      <c r="J1240" s="147">
        <v>3.5</v>
      </c>
      <c r="K1240" s="147">
        <v>3.38</v>
      </c>
      <c r="L1240" s="147">
        <v>3.45</v>
      </c>
      <c r="M1240" s="94" cm="1">
        <f t="array" ref="M1240">INDEX($BV$29:$BV$1449,MATCH($D1240,$BR$29:$BR$1449,0),)</f>
        <v>2.85</v>
      </c>
      <c r="N1240" s="150">
        <f t="shared" si="430"/>
        <v>0.00436681222707436</v>
      </c>
      <c r="O1240" s="150">
        <f t="shared" si="428"/>
        <v>0.0189013585351447</v>
      </c>
      <c r="P1240" s="150">
        <f t="shared" si="426"/>
        <v>0.159663865546219</v>
      </c>
      <c r="Q1240" s="89">
        <f t="shared" si="431"/>
        <v>0.210526315789474</v>
      </c>
      <c r="AH1240" s="90"/>
      <c r="AI1240" s="85"/>
      <c r="AJ1240" s="36"/>
      <c r="AK1240" s="36"/>
      <c r="AL1240" s="36"/>
      <c r="AM1240" s="36"/>
      <c r="AN1240" s="36"/>
      <c r="AO1240" s="36"/>
      <c r="AP1240" s="36"/>
      <c r="AQ1240" s="36"/>
      <c r="BT1240" s="156"/>
      <c r="GE1240" s="94"/>
      <c r="GF1240" s="104">
        <f t="shared" si="422"/>
        <v>2017</v>
      </c>
      <c r="GG1240" s="104">
        <f t="shared" si="423"/>
        <v>45</v>
      </c>
      <c r="GH1240" s="35">
        <v>43047</v>
      </c>
      <c r="GI1240" s="26">
        <v>4.032</v>
      </c>
      <c r="GJ1240" s="94">
        <f t="shared" si="424"/>
        <v>8.064</v>
      </c>
      <c r="GK1240" s="104"/>
      <c r="GL1240" s="104"/>
      <c r="GO1240" s="94"/>
    </row>
    <row r="1241" spans="3:197">
      <c r="C1241" s="80" t="str" cm="1">
        <f t="array" ref="C1241">_xlfn.IFS(MONTH(D1241)&lt;4,1,MONTH(D1241)&lt;7,2,MONTH(D1241)&lt;10,3,MONTH(D1241)&gt;9,4)&amp;"Q"&amp;RIGHT(YEAR(D1241),2)</f>
        <v>4Q20</v>
      </c>
      <c r="D1241" s="81">
        <f t="shared" si="420"/>
        <v>44196</v>
      </c>
      <c r="E1241" s="82">
        <f t="shared" si="429"/>
        <v>44193</v>
      </c>
      <c r="F1241" s="83">
        <f t="shared" si="432"/>
        <v>0.43125</v>
      </c>
      <c r="G1241" s="83">
        <f t="shared" si="432"/>
        <v>0.35625</v>
      </c>
      <c r="H1241" s="81"/>
      <c r="I1241" s="146">
        <v>44193</v>
      </c>
      <c r="J1241" s="147">
        <v>3.5</v>
      </c>
      <c r="K1241" s="147">
        <v>3.38</v>
      </c>
      <c r="L1241" s="147">
        <v>3.45</v>
      </c>
      <c r="M1241" s="94" cm="1">
        <f t="array" ref="M1241">INDEX($BV$29:$BV$1449,MATCH($D1241,$BR$29:$BR$1449,0),)</f>
        <v>2.85</v>
      </c>
      <c r="N1241" s="150">
        <f t="shared" si="430"/>
        <v>0</v>
      </c>
      <c r="O1241" s="150">
        <f t="shared" si="428"/>
        <v>0.0164997053624043</v>
      </c>
      <c r="P1241" s="150">
        <f t="shared" si="426"/>
        <v>0.15307486631016</v>
      </c>
      <c r="Q1241" s="89">
        <f t="shared" si="431"/>
        <v>0.210526315789474</v>
      </c>
      <c r="AH1241" s="90"/>
      <c r="AI1241" s="85"/>
      <c r="AJ1241" s="36"/>
      <c r="AK1241" s="36"/>
      <c r="AL1241" s="36"/>
      <c r="AM1241" s="36"/>
      <c r="AN1241" s="36"/>
      <c r="AO1241" s="36"/>
      <c r="AP1241" s="36"/>
      <c r="AQ1241" s="36"/>
      <c r="BT1241" s="156"/>
      <c r="GE1241" s="94"/>
      <c r="GF1241" s="104">
        <f t="shared" si="422"/>
        <v>2017</v>
      </c>
      <c r="GG1241" s="104">
        <f t="shared" si="423"/>
        <v>45</v>
      </c>
      <c r="GH1241" s="35">
        <v>43048</v>
      </c>
      <c r="GI1241" s="26">
        <v>4.037</v>
      </c>
      <c r="GJ1241" s="94">
        <f t="shared" si="424"/>
        <v>8.074</v>
      </c>
      <c r="GK1241" s="104"/>
      <c r="GL1241" s="104"/>
      <c r="GO1241" s="94"/>
    </row>
    <row r="1242" spans="3:197">
      <c r="C1242" s="80" t="str" cm="1">
        <f t="array" ref="C1242">_xlfn.IFS(MONTH(D1242)&lt;4,1,MONTH(D1242)&lt;7,2,MONTH(D1242)&lt;10,3,MONTH(D1242)&gt;9,4)&amp;"Q"&amp;RIGHT(YEAR(D1242),2)</f>
        <v>4Q20</v>
      </c>
      <c r="D1242" s="81">
        <f t="shared" si="420"/>
        <v>44196</v>
      </c>
      <c r="E1242" s="82">
        <f t="shared" si="429"/>
        <v>44194</v>
      </c>
      <c r="F1242" s="83">
        <f t="shared" si="432"/>
        <v>0.43125</v>
      </c>
      <c r="G1242" s="83">
        <f t="shared" si="432"/>
        <v>0.35625</v>
      </c>
      <c r="H1242" s="81"/>
      <c r="I1242" s="146">
        <v>44194</v>
      </c>
      <c r="J1242" s="147">
        <v>3.5</v>
      </c>
      <c r="K1242" s="147">
        <v>3.4</v>
      </c>
      <c r="L1242" s="147">
        <v>3.45</v>
      </c>
      <c r="M1242" s="94" cm="1">
        <f t="array" ref="M1242">INDEX($BV$29:$BV$1449,MATCH($D1242,$BR$29:$BR$1449,0),)</f>
        <v>2.85</v>
      </c>
      <c r="N1242" s="150">
        <f t="shared" si="430"/>
        <v>0</v>
      </c>
      <c r="O1242" s="150">
        <f t="shared" si="428"/>
        <v>0.0147058823529413</v>
      </c>
      <c r="P1242" s="150">
        <f t="shared" si="426"/>
        <v>0.142384105960265</v>
      </c>
      <c r="Q1242" s="89">
        <f t="shared" si="431"/>
        <v>0.210526315789474</v>
      </c>
      <c r="AH1242" s="90"/>
      <c r="AI1242" s="85"/>
      <c r="AJ1242" s="36"/>
      <c r="AK1242" s="36"/>
      <c r="AL1242" s="36"/>
      <c r="AM1242" s="36"/>
      <c r="AN1242" s="36"/>
      <c r="AO1242" s="36"/>
      <c r="AP1242" s="36"/>
      <c r="AQ1242" s="36"/>
      <c r="BT1242" s="156"/>
      <c r="GE1242" s="94"/>
      <c r="GF1242" s="104">
        <f t="shared" si="422"/>
        <v>2017</v>
      </c>
      <c r="GG1242" s="104">
        <f t="shared" si="423"/>
        <v>45</v>
      </c>
      <c r="GH1242" s="35">
        <v>43049</v>
      </c>
      <c r="GI1242" s="26">
        <v>4.043</v>
      </c>
      <c r="GJ1242" s="94">
        <f t="shared" si="424"/>
        <v>8.086</v>
      </c>
      <c r="GK1242" s="104"/>
      <c r="GL1242" s="104"/>
      <c r="GO1242" s="94"/>
    </row>
    <row r="1243" spans="3:197">
      <c r="C1243" s="80" t="str" cm="1">
        <f t="array" ref="C1243">_xlfn.IFS(MONTH(D1243)&lt;4,1,MONTH(D1243)&lt;7,2,MONTH(D1243)&lt;10,3,MONTH(D1243)&gt;9,4)&amp;"Q"&amp;RIGHT(YEAR(D1243),2)</f>
        <v>4Q20</v>
      </c>
      <c r="D1243" s="81">
        <f t="shared" si="420"/>
        <v>44196</v>
      </c>
      <c r="E1243" s="82">
        <f t="shared" si="429"/>
        <v>44195</v>
      </c>
      <c r="F1243" s="83">
        <f t="shared" si="432"/>
        <v>0.4325</v>
      </c>
      <c r="G1243" s="83">
        <f t="shared" si="432"/>
        <v>0.35625</v>
      </c>
      <c r="H1243" s="81"/>
      <c r="I1243" s="146">
        <v>44195</v>
      </c>
      <c r="J1243" s="147">
        <v>3.5</v>
      </c>
      <c r="K1243" s="147">
        <v>3.4</v>
      </c>
      <c r="L1243" s="147">
        <v>3.46</v>
      </c>
      <c r="M1243" s="94" cm="1">
        <f t="array" ref="M1243">INDEX($BV$29:$BV$1449,MATCH($D1243,$BR$29:$BR$1449,0),)</f>
        <v>2.85</v>
      </c>
      <c r="N1243" s="150">
        <f t="shared" si="430"/>
        <v>0.00289855072463752</v>
      </c>
      <c r="O1243" s="150">
        <f t="shared" si="428"/>
        <v>0.0131771595900438</v>
      </c>
      <c r="P1243" s="150">
        <f t="shared" si="426"/>
        <v>0.0762052877138415</v>
      </c>
      <c r="Q1243" s="89">
        <f t="shared" si="431"/>
        <v>0.214035087719298</v>
      </c>
      <c r="AH1243" s="90"/>
      <c r="AI1243" s="85"/>
      <c r="AJ1243" s="36"/>
      <c r="AK1243" s="36"/>
      <c r="AL1243" s="36"/>
      <c r="AM1243" s="36"/>
      <c r="AN1243" s="36"/>
      <c r="AO1243" s="36"/>
      <c r="AP1243" s="36"/>
      <c r="AQ1243" s="36"/>
      <c r="BT1243" s="156"/>
      <c r="GE1243" s="94"/>
      <c r="GF1243" s="104">
        <f t="shared" si="422"/>
        <v>2017</v>
      </c>
      <c r="GG1243" s="104">
        <f t="shared" si="423"/>
        <v>46</v>
      </c>
      <c r="GH1243" s="35">
        <v>43052</v>
      </c>
      <c r="GI1243" s="26">
        <v>4.059</v>
      </c>
      <c r="GJ1243" s="94">
        <f t="shared" si="424"/>
        <v>8.118</v>
      </c>
      <c r="GK1243" s="104"/>
      <c r="GL1243" s="104"/>
      <c r="GO1243" s="94"/>
    </row>
    <row r="1244" spans="3:197">
      <c r="C1244" s="80" t="str" cm="1">
        <f t="array" ref="C1244">_xlfn.IFS(MONTH(D1244)&lt;4,1,MONTH(D1244)&lt;7,2,MONTH(D1244)&lt;10,3,MONTH(D1244)&gt;9,4)&amp;"Q"&amp;RIGHT(YEAR(D1244),2)</f>
        <v>4Q20</v>
      </c>
      <c r="D1244" s="81">
        <f t="shared" si="420"/>
        <v>44196</v>
      </c>
      <c r="E1244" s="82">
        <f t="shared" si="429"/>
        <v>44196</v>
      </c>
      <c r="F1244" s="83">
        <f t="shared" si="432"/>
        <v>0.4325</v>
      </c>
      <c r="G1244" s="83">
        <f t="shared" si="432"/>
        <v>0.35625</v>
      </c>
      <c r="H1244" s="81"/>
      <c r="I1244" s="146">
        <v>44196</v>
      </c>
      <c r="J1244" s="147">
        <v>3.5</v>
      </c>
      <c r="K1244" s="147">
        <v>3.4</v>
      </c>
      <c r="L1244" s="147">
        <v>3.46</v>
      </c>
      <c r="M1244" s="94" cm="1">
        <f t="array" ref="M1244">INDEX($BV$29:$BV$1449,MATCH($D1244,$BR$29:$BR$1449,0),)</f>
        <v>2.85</v>
      </c>
      <c r="N1244" s="150">
        <f t="shared" si="430"/>
        <v>0</v>
      </c>
      <c r="O1244" s="150">
        <f t="shared" si="428"/>
        <v>0.00727802037845704</v>
      </c>
      <c r="P1244" s="150">
        <f t="shared" si="426"/>
        <v>0.0427968655816757</v>
      </c>
      <c r="Q1244" s="89">
        <f t="shared" si="431"/>
        <v>0.214035087719298</v>
      </c>
      <c r="AH1244" s="90"/>
      <c r="AI1244" s="85"/>
      <c r="AJ1244" s="36"/>
      <c r="AK1244" s="36"/>
      <c r="AL1244" s="36"/>
      <c r="AM1244" s="36"/>
      <c r="AN1244" s="36"/>
      <c r="AO1244" s="36"/>
      <c r="AP1244" s="36"/>
      <c r="AQ1244" s="36"/>
      <c r="BT1244" s="156"/>
      <c r="GE1244" s="94"/>
      <c r="GF1244" s="104">
        <f t="shared" si="422"/>
        <v>2017</v>
      </c>
      <c r="GG1244" s="104">
        <f t="shared" si="423"/>
        <v>46</v>
      </c>
      <c r="GH1244" s="35">
        <v>43053</v>
      </c>
      <c r="GI1244" s="26">
        <v>4.087</v>
      </c>
      <c r="GJ1244" s="94">
        <f t="shared" si="424"/>
        <v>8.174</v>
      </c>
      <c r="GK1244" s="104"/>
      <c r="GL1244" s="104"/>
      <c r="GO1244" s="94"/>
    </row>
    <row r="1245" spans="3:197">
      <c r="C1245" s="80" t="str" cm="1">
        <f t="array" ref="C1245">_xlfn.IFS(MONTH(D1245)&lt;4,1,MONTH(D1245)&lt;7,2,MONTH(D1245)&lt;10,3,MONTH(D1245)&gt;9,4)&amp;"Q"&amp;RIGHT(YEAR(D1245),2)</f>
        <v>1Q21</v>
      </c>
      <c r="D1245" s="81">
        <f t="shared" si="420"/>
        <v>44227</v>
      </c>
      <c r="E1245" s="82">
        <f t="shared" si="429"/>
        <v>44200</v>
      </c>
      <c r="F1245" s="83">
        <f t="shared" si="432"/>
        <v>0.4325</v>
      </c>
      <c r="G1245" s="83">
        <f t="shared" si="432"/>
        <v>0.375</v>
      </c>
      <c r="H1245" s="81"/>
      <c r="I1245" s="146">
        <v>44200</v>
      </c>
      <c r="J1245" s="147">
        <v>3.5</v>
      </c>
      <c r="K1245" s="147">
        <v>3.4</v>
      </c>
      <c r="L1245" s="147">
        <v>3.46</v>
      </c>
      <c r="M1245" s="94" cm="1">
        <f t="array" ref="M1245">INDEX($BV$29:$BV$1449,MATCH($D1245,$BR$29:$BR$1449,0),)</f>
        <v>3</v>
      </c>
      <c r="N1245" s="150">
        <f t="shared" si="430"/>
        <v>0</v>
      </c>
      <c r="O1245" s="150">
        <f t="shared" si="428"/>
        <v>0.00289855072463752</v>
      </c>
      <c r="P1245" s="150">
        <f t="shared" si="426"/>
        <v>0.0218546958062611</v>
      </c>
      <c r="Q1245" s="89">
        <f t="shared" si="431"/>
        <v>0.153333333333333</v>
      </c>
      <c r="AH1245" s="90"/>
      <c r="AI1245" s="85"/>
      <c r="AJ1245" s="36"/>
      <c r="AK1245" s="36"/>
      <c r="AL1245" s="36"/>
      <c r="AM1245" s="36"/>
      <c r="AN1245" s="36"/>
      <c r="AO1245" s="36"/>
      <c r="AP1245" s="36"/>
      <c r="AQ1245" s="36"/>
      <c r="BT1245" s="156"/>
      <c r="GE1245" s="94"/>
      <c r="GF1245" s="104">
        <f t="shared" si="422"/>
        <v>2017</v>
      </c>
      <c r="GG1245" s="104">
        <f t="shared" si="423"/>
        <v>46</v>
      </c>
      <c r="GH1245" s="35">
        <v>43054</v>
      </c>
      <c r="GI1245" s="26">
        <v>4.09</v>
      </c>
      <c r="GJ1245" s="94">
        <f t="shared" si="424"/>
        <v>8.18</v>
      </c>
      <c r="GK1245" s="104"/>
      <c r="GL1245" s="104"/>
      <c r="GO1245" s="94"/>
    </row>
    <row r="1246" spans="3:197">
      <c r="C1246" s="80" t="str" cm="1">
        <f t="array" ref="C1246">_xlfn.IFS(MONTH(D1246)&lt;4,1,MONTH(D1246)&lt;7,2,MONTH(D1246)&lt;10,3,MONTH(D1246)&gt;9,4)&amp;"Q"&amp;RIGHT(YEAR(D1246),2)</f>
        <v>1Q21</v>
      </c>
      <c r="D1246" s="81">
        <f t="shared" ref="D1246:D1309" si="433">EOMONTH(E1246,0)</f>
        <v>44227</v>
      </c>
      <c r="E1246" s="82">
        <f t="shared" si="429"/>
        <v>44201</v>
      </c>
      <c r="F1246" s="83">
        <f t="shared" si="432"/>
        <v>0.4325</v>
      </c>
      <c r="G1246" s="83">
        <f t="shared" si="432"/>
        <v>0.375</v>
      </c>
      <c r="H1246" s="81"/>
      <c r="I1246" s="146">
        <v>44201</v>
      </c>
      <c r="J1246" s="147">
        <v>3.5</v>
      </c>
      <c r="K1246" s="147">
        <v>3.4</v>
      </c>
      <c r="L1246" s="147">
        <v>3.46</v>
      </c>
      <c r="M1246" s="94" cm="1">
        <f t="array" ref="M1246">INDEX($BV$29:$BV$1449,MATCH($D1246,$BR$29:$BR$1449,0),)</f>
        <v>3</v>
      </c>
      <c r="N1246" s="150">
        <f t="shared" si="430"/>
        <v>0</v>
      </c>
      <c r="O1246" s="150">
        <f t="shared" si="428"/>
        <v>0.00289855072463752</v>
      </c>
      <c r="P1246" s="150">
        <f t="shared" si="426"/>
        <v>0.0194460813199764</v>
      </c>
      <c r="Q1246" s="89">
        <f t="shared" si="431"/>
        <v>0.153333333333333</v>
      </c>
      <c r="AH1246" s="90"/>
      <c r="AI1246" s="85"/>
      <c r="AJ1246" s="36"/>
      <c r="AK1246" s="36"/>
      <c r="AL1246" s="36"/>
      <c r="AM1246" s="36"/>
      <c r="AN1246" s="36"/>
      <c r="AO1246" s="36"/>
      <c r="AP1246" s="36"/>
      <c r="AQ1246" s="36"/>
      <c r="BT1246" s="156"/>
      <c r="GE1246" s="94"/>
      <c r="GF1246" s="104">
        <f t="shared" si="422"/>
        <v>2017</v>
      </c>
      <c r="GG1246" s="104">
        <f t="shared" si="423"/>
        <v>46</v>
      </c>
      <c r="GH1246" s="35">
        <v>43055</v>
      </c>
      <c r="GI1246" s="26">
        <v>4.097</v>
      </c>
      <c r="GJ1246" s="94">
        <f t="shared" si="424"/>
        <v>8.194</v>
      </c>
      <c r="GK1246" s="104"/>
      <c r="GL1246" s="104"/>
      <c r="GO1246" s="94"/>
    </row>
    <row r="1247" spans="3:197">
      <c r="C1247" s="80" t="str" cm="1">
        <f t="array" ref="C1247">_xlfn.IFS(MONTH(D1247)&lt;4,1,MONTH(D1247)&lt;7,2,MONTH(D1247)&lt;10,3,MONTH(D1247)&gt;9,4)&amp;"Q"&amp;RIGHT(YEAR(D1247),2)</f>
        <v>1Q21</v>
      </c>
      <c r="D1247" s="81">
        <f t="shared" si="433"/>
        <v>44227</v>
      </c>
      <c r="E1247" s="82">
        <f t="shared" si="429"/>
        <v>44202</v>
      </c>
      <c r="F1247" s="83">
        <f t="shared" si="432"/>
        <v>0.4325</v>
      </c>
      <c r="G1247" s="83">
        <f t="shared" si="432"/>
        <v>0.375</v>
      </c>
      <c r="H1247" s="81"/>
      <c r="I1247" s="146">
        <v>44202</v>
      </c>
      <c r="J1247" s="147">
        <v>3.5</v>
      </c>
      <c r="K1247" s="147">
        <v>3.4</v>
      </c>
      <c r="L1247" s="147">
        <v>3.46</v>
      </c>
      <c r="M1247" s="94" cm="1">
        <f t="array" ref="M1247">INDEX($BV$29:$BV$1449,MATCH($D1247,$BR$29:$BR$1449,0),)</f>
        <v>3</v>
      </c>
      <c r="N1247" s="150">
        <f t="shared" si="430"/>
        <v>0</v>
      </c>
      <c r="O1247" s="150">
        <f t="shared" si="428"/>
        <v>0.00289855072463752</v>
      </c>
      <c r="P1247" s="150">
        <f t="shared" si="426"/>
        <v>0.0176470588235293</v>
      </c>
      <c r="Q1247" s="89">
        <f t="shared" si="431"/>
        <v>0.153333333333333</v>
      </c>
      <c r="AH1247" s="90"/>
      <c r="AI1247" s="85"/>
      <c r="AJ1247" s="36"/>
      <c r="AK1247" s="36"/>
      <c r="AL1247" s="36"/>
      <c r="AM1247" s="36"/>
      <c r="AN1247" s="36"/>
      <c r="AO1247" s="36"/>
      <c r="AP1247" s="36"/>
      <c r="AQ1247" s="36"/>
      <c r="BT1247" s="156"/>
      <c r="GE1247" s="94"/>
      <c r="GF1247" s="104">
        <f t="shared" si="422"/>
        <v>2017</v>
      </c>
      <c r="GG1247" s="104">
        <f t="shared" si="423"/>
        <v>46</v>
      </c>
      <c r="GH1247" s="35">
        <v>43056</v>
      </c>
      <c r="GI1247" s="26">
        <v>4.103</v>
      </c>
      <c r="GJ1247" s="94">
        <f t="shared" si="424"/>
        <v>8.206</v>
      </c>
      <c r="GK1247" s="104"/>
      <c r="GL1247" s="104"/>
      <c r="GO1247" s="94"/>
    </row>
    <row r="1248" spans="3:197">
      <c r="C1248" s="80" t="str" cm="1">
        <f t="array" ref="C1248">_xlfn.IFS(MONTH(D1248)&lt;4,1,MONTH(D1248)&lt;7,2,MONTH(D1248)&lt;10,3,MONTH(D1248)&gt;9,4)&amp;"Q"&amp;RIGHT(YEAR(D1248),2)</f>
        <v>1Q21</v>
      </c>
      <c r="D1248" s="81">
        <f t="shared" si="433"/>
        <v>44227</v>
      </c>
      <c r="E1248" s="82">
        <f t="shared" si="429"/>
        <v>44203</v>
      </c>
      <c r="F1248" s="83">
        <f t="shared" si="432"/>
        <v>0.4325</v>
      </c>
      <c r="G1248" s="83">
        <f t="shared" si="432"/>
        <v>0.375</v>
      </c>
      <c r="H1248" s="81"/>
      <c r="I1248" s="146">
        <v>44203</v>
      </c>
      <c r="J1248" s="147">
        <v>3.5</v>
      </c>
      <c r="K1248" s="147">
        <v>3.4</v>
      </c>
      <c r="L1248" s="147">
        <v>3.46</v>
      </c>
      <c r="M1248" s="94" cm="1">
        <f t="array" ref="M1248">INDEX($BV$29:$BV$1449,MATCH($D1248,$BR$29:$BR$1449,0),)</f>
        <v>3</v>
      </c>
      <c r="N1248" s="150">
        <f t="shared" si="430"/>
        <v>0</v>
      </c>
      <c r="O1248" s="150">
        <f t="shared" si="428"/>
        <v>0</v>
      </c>
      <c r="P1248" s="150">
        <f t="shared" si="426"/>
        <v>0.0131771595900438</v>
      </c>
      <c r="Q1248" s="89">
        <f t="shared" si="431"/>
        <v>0.153333333333333</v>
      </c>
      <c r="AH1248" s="90"/>
      <c r="AI1248" s="85"/>
      <c r="AJ1248" s="36"/>
      <c r="AK1248" s="36"/>
      <c r="AL1248" s="36"/>
      <c r="AM1248" s="36"/>
      <c r="AN1248" s="36"/>
      <c r="AO1248" s="36"/>
      <c r="AP1248" s="36"/>
      <c r="AQ1248" s="36"/>
      <c r="BT1248" s="156"/>
      <c r="GE1248" s="94"/>
      <c r="GF1248" s="104">
        <f t="shared" si="422"/>
        <v>2017</v>
      </c>
      <c r="GG1248" s="104">
        <f t="shared" si="423"/>
        <v>47</v>
      </c>
      <c r="GH1248" s="35">
        <v>43059</v>
      </c>
      <c r="GI1248" s="26">
        <v>4.097</v>
      </c>
      <c r="GJ1248" s="94">
        <f t="shared" si="424"/>
        <v>8.194</v>
      </c>
      <c r="GK1248" s="104"/>
      <c r="GL1248" s="104"/>
      <c r="GO1248" s="94"/>
    </row>
    <row r="1249" spans="3:197">
      <c r="C1249" s="80" t="str" cm="1">
        <f t="array" ref="C1249">_xlfn.IFS(MONTH(D1249)&lt;4,1,MONTH(D1249)&lt;7,2,MONTH(D1249)&lt;10,3,MONTH(D1249)&gt;9,4)&amp;"Q"&amp;RIGHT(YEAR(D1249),2)</f>
        <v>1Q21</v>
      </c>
      <c r="D1249" s="81">
        <f t="shared" si="433"/>
        <v>44227</v>
      </c>
      <c r="E1249" s="82">
        <f t="shared" si="429"/>
        <v>44204</v>
      </c>
      <c r="F1249" s="83">
        <f t="shared" si="432"/>
        <v>0.4325</v>
      </c>
      <c r="G1249" s="83">
        <f t="shared" si="432"/>
        <v>0.375</v>
      </c>
      <c r="H1249" s="81"/>
      <c r="I1249" s="146">
        <v>44204</v>
      </c>
      <c r="J1249" s="147">
        <v>3.5</v>
      </c>
      <c r="K1249" s="147">
        <v>3.4</v>
      </c>
      <c r="L1249" s="147">
        <v>3.46</v>
      </c>
      <c r="M1249" s="94" cm="1">
        <f t="array" ref="M1249">INDEX($BV$29:$BV$1449,MATCH($D1249,$BR$29:$BR$1449,0),)</f>
        <v>3</v>
      </c>
      <c r="N1249" s="150">
        <f t="shared" si="430"/>
        <v>0</v>
      </c>
      <c r="O1249" s="150">
        <f t="shared" si="428"/>
        <v>0</v>
      </c>
      <c r="P1249" s="150">
        <f t="shared" si="426"/>
        <v>0.00727802037845704</v>
      </c>
      <c r="Q1249" s="89">
        <f t="shared" si="431"/>
        <v>0.153333333333333</v>
      </c>
      <c r="AH1249" s="90"/>
      <c r="AI1249" s="85"/>
      <c r="AJ1249" s="36"/>
      <c r="AK1249" s="36"/>
      <c r="AL1249" s="36"/>
      <c r="AM1249" s="36"/>
      <c r="AN1249" s="36"/>
      <c r="AO1249" s="36"/>
      <c r="AP1249" s="36"/>
      <c r="AQ1249" s="36"/>
      <c r="BT1249" s="156"/>
      <c r="GE1249" s="94"/>
      <c r="GF1249" s="104">
        <f t="shared" si="422"/>
        <v>2017</v>
      </c>
      <c r="GG1249" s="104">
        <f t="shared" si="423"/>
        <v>47</v>
      </c>
      <c r="GH1249" s="35">
        <v>43060</v>
      </c>
      <c r="GI1249" s="26">
        <v>4.097</v>
      </c>
      <c r="GJ1249" s="94">
        <f t="shared" si="424"/>
        <v>8.194</v>
      </c>
      <c r="GK1249" s="104"/>
      <c r="GL1249" s="104"/>
      <c r="GO1249" s="94"/>
    </row>
    <row r="1250" spans="3:197">
      <c r="C1250" s="80" t="str" cm="1">
        <f t="array" ref="C1250">_xlfn.IFS(MONTH(D1250)&lt;4,1,MONTH(D1250)&lt;7,2,MONTH(D1250)&lt;10,3,MONTH(D1250)&gt;9,4)&amp;"Q"&amp;RIGHT(YEAR(D1250),2)</f>
        <v>1Q21</v>
      </c>
      <c r="D1250" s="81">
        <f t="shared" si="433"/>
        <v>44227</v>
      </c>
      <c r="E1250" s="82">
        <f t="shared" si="429"/>
        <v>44207</v>
      </c>
      <c r="F1250" s="83">
        <f t="shared" si="432"/>
        <v>0.4325</v>
      </c>
      <c r="G1250" s="83">
        <f t="shared" si="432"/>
        <v>0.375</v>
      </c>
      <c r="H1250" s="81"/>
      <c r="I1250" s="146">
        <v>44207</v>
      </c>
      <c r="J1250" s="147">
        <v>3.5</v>
      </c>
      <c r="K1250" s="147">
        <v>3.4</v>
      </c>
      <c r="L1250" s="147">
        <v>3.46</v>
      </c>
      <c r="M1250" s="94" cm="1">
        <f t="array" ref="M1250">INDEX($BV$29:$BV$1449,MATCH($D1250,$BR$29:$BR$1449,0),)</f>
        <v>3</v>
      </c>
      <c r="N1250" s="150">
        <f t="shared" si="430"/>
        <v>0</v>
      </c>
      <c r="O1250" s="150">
        <f t="shared" si="428"/>
        <v>0</v>
      </c>
      <c r="P1250" s="150">
        <f t="shared" si="426"/>
        <v>0.00289855072463752</v>
      </c>
      <c r="Q1250" s="89">
        <f t="shared" si="431"/>
        <v>0.153333333333333</v>
      </c>
      <c r="AH1250" s="90"/>
      <c r="AI1250" s="85"/>
      <c r="AJ1250" s="36"/>
      <c r="AK1250" s="36"/>
      <c r="AL1250" s="36"/>
      <c r="AM1250" s="36"/>
      <c r="AN1250" s="36"/>
      <c r="AO1250" s="36"/>
      <c r="AP1250" s="36"/>
      <c r="AQ1250" s="36"/>
      <c r="BT1250" s="156"/>
      <c r="GE1250" s="94"/>
      <c r="GF1250" s="104">
        <f t="shared" si="422"/>
        <v>2017</v>
      </c>
      <c r="GG1250" s="104">
        <f t="shared" si="423"/>
        <v>47</v>
      </c>
      <c r="GH1250" s="35">
        <v>43061</v>
      </c>
      <c r="GI1250" s="26">
        <v>4.097</v>
      </c>
      <c r="GJ1250" s="94">
        <f t="shared" si="424"/>
        <v>8.194</v>
      </c>
      <c r="GK1250" s="104"/>
      <c r="GL1250" s="104"/>
      <c r="GO1250" s="94"/>
    </row>
    <row r="1251" spans="3:197">
      <c r="C1251" s="80" t="str" cm="1">
        <f t="array" ref="C1251">_xlfn.IFS(MONTH(D1251)&lt;4,1,MONTH(D1251)&lt;7,2,MONTH(D1251)&lt;10,3,MONTH(D1251)&gt;9,4)&amp;"Q"&amp;RIGHT(YEAR(D1251),2)</f>
        <v>1Q21</v>
      </c>
      <c r="D1251" s="81">
        <f t="shared" si="433"/>
        <v>44227</v>
      </c>
      <c r="E1251" s="82">
        <f t="shared" si="429"/>
        <v>44208</v>
      </c>
      <c r="F1251" s="83">
        <f t="shared" si="432"/>
        <v>0.428125</v>
      </c>
      <c r="G1251" s="83">
        <f t="shared" si="432"/>
        <v>0.375</v>
      </c>
      <c r="H1251" s="81"/>
      <c r="I1251" s="146">
        <v>44208</v>
      </c>
      <c r="J1251" s="147">
        <v>3.5</v>
      </c>
      <c r="K1251" s="147">
        <v>3.3</v>
      </c>
      <c r="L1251" s="147">
        <v>3.425</v>
      </c>
      <c r="M1251" s="94" cm="1">
        <f t="array" ref="M1251">INDEX($BV$29:$BV$1449,MATCH($D1251,$BR$29:$BR$1449,0),)</f>
        <v>3</v>
      </c>
      <c r="N1251" s="150">
        <f t="shared" si="430"/>
        <v>-0.0101156069364162</v>
      </c>
      <c r="O1251" s="150">
        <f t="shared" si="428"/>
        <v>-0.0101156069364162</v>
      </c>
      <c r="P1251" s="150">
        <f t="shared" si="426"/>
        <v>-0.00724637681159435</v>
      </c>
      <c r="Q1251" s="89">
        <f t="shared" si="431"/>
        <v>0.141666666666667</v>
      </c>
      <c r="AH1251" s="90"/>
      <c r="AI1251" s="85"/>
      <c r="AJ1251" s="36"/>
      <c r="AK1251" s="36"/>
      <c r="AL1251" s="36"/>
      <c r="AM1251" s="36"/>
      <c r="AN1251" s="36"/>
      <c r="AO1251" s="36"/>
      <c r="AP1251" s="36"/>
      <c r="AQ1251" s="36"/>
      <c r="BT1251" s="156"/>
      <c r="GE1251" s="94"/>
      <c r="GF1251" s="104">
        <f t="shared" si="422"/>
        <v>2017</v>
      </c>
      <c r="GG1251" s="104">
        <f t="shared" si="423"/>
        <v>47</v>
      </c>
      <c r="GH1251" s="35">
        <v>43062</v>
      </c>
      <c r="GI1251" s="26">
        <v>4.116</v>
      </c>
      <c r="GJ1251" s="94">
        <f t="shared" si="424"/>
        <v>8.232</v>
      </c>
      <c r="GK1251" s="104"/>
      <c r="GL1251" s="104"/>
      <c r="GO1251" s="94"/>
    </row>
    <row r="1252" spans="3:197">
      <c r="C1252" s="80" t="str" cm="1">
        <f t="array" ref="C1252">_xlfn.IFS(MONTH(D1252)&lt;4,1,MONTH(D1252)&lt;7,2,MONTH(D1252)&lt;10,3,MONTH(D1252)&gt;9,4)&amp;"Q"&amp;RIGHT(YEAR(D1252),2)</f>
        <v>1Q21</v>
      </c>
      <c r="D1252" s="81">
        <f t="shared" si="433"/>
        <v>44227</v>
      </c>
      <c r="E1252" s="82">
        <f t="shared" si="429"/>
        <v>44209</v>
      </c>
      <c r="F1252" s="83">
        <f t="shared" si="432"/>
        <v>0.428125</v>
      </c>
      <c r="G1252" s="83">
        <f t="shared" si="432"/>
        <v>0.375</v>
      </c>
      <c r="H1252" s="81"/>
      <c r="I1252" s="146">
        <v>44209</v>
      </c>
      <c r="J1252" s="147">
        <v>3.5</v>
      </c>
      <c r="K1252" s="147">
        <v>3.3</v>
      </c>
      <c r="L1252" s="147">
        <v>3.425</v>
      </c>
      <c r="M1252" s="94" cm="1">
        <f t="array" ref="M1252">INDEX($BV$29:$BV$1449,MATCH($D1252,$BR$29:$BR$1449,0),)</f>
        <v>3</v>
      </c>
      <c r="N1252" s="150">
        <f t="shared" si="430"/>
        <v>0</v>
      </c>
      <c r="O1252" s="150">
        <f t="shared" si="428"/>
        <v>-0.0101156069364162</v>
      </c>
      <c r="P1252" s="150">
        <f t="shared" si="426"/>
        <v>-0.00724637681159435</v>
      </c>
      <c r="Q1252" s="89">
        <f t="shared" si="431"/>
        <v>0.141666666666667</v>
      </c>
      <c r="AH1252" s="90"/>
      <c r="AI1252" s="85"/>
      <c r="AJ1252" s="36"/>
      <c r="AK1252" s="36"/>
      <c r="AL1252" s="36"/>
      <c r="AM1252" s="36"/>
      <c r="AN1252" s="36"/>
      <c r="AO1252" s="36"/>
      <c r="AP1252" s="36"/>
      <c r="AQ1252" s="36"/>
      <c r="BT1252" s="156"/>
      <c r="GE1252" s="94"/>
      <c r="GF1252" s="104">
        <f t="shared" si="422"/>
        <v>2017</v>
      </c>
      <c r="GG1252" s="104">
        <f t="shared" si="423"/>
        <v>47</v>
      </c>
      <c r="GH1252" s="35">
        <v>43063</v>
      </c>
      <c r="GI1252" s="26">
        <v>4.123</v>
      </c>
      <c r="GJ1252" s="94">
        <f t="shared" si="424"/>
        <v>8.246</v>
      </c>
      <c r="GK1252" s="104"/>
      <c r="GL1252" s="104"/>
      <c r="GO1252" s="94"/>
    </row>
    <row r="1253" spans="3:197">
      <c r="C1253" s="80" t="str" cm="1">
        <f t="array" ref="C1253">_xlfn.IFS(MONTH(D1253)&lt;4,1,MONTH(D1253)&lt;7,2,MONTH(D1253)&lt;10,3,MONTH(D1253)&gt;9,4)&amp;"Q"&amp;RIGHT(YEAR(D1253),2)</f>
        <v>1Q21</v>
      </c>
      <c r="D1253" s="81">
        <f t="shared" si="433"/>
        <v>44227</v>
      </c>
      <c r="E1253" s="82">
        <f t="shared" si="429"/>
        <v>44210</v>
      </c>
      <c r="F1253" s="83">
        <f t="shared" ref="F1253:G1268" si="434">+L1253/8</f>
        <v>0.428125</v>
      </c>
      <c r="G1253" s="83">
        <f t="shared" si="434"/>
        <v>0.375</v>
      </c>
      <c r="H1253" s="81"/>
      <c r="I1253" s="146">
        <v>44210</v>
      </c>
      <c r="J1253" s="147">
        <v>3.5</v>
      </c>
      <c r="K1253" s="147">
        <v>3.35</v>
      </c>
      <c r="L1253" s="147">
        <v>3.425</v>
      </c>
      <c r="M1253" s="94" cm="1">
        <f t="array" ref="M1253">INDEX($BV$29:$BV$1449,MATCH($D1253,$BR$29:$BR$1449,0),)</f>
        <v>3</v>
      </c>
      <c r="N1253" s="150">
        <f t="shared" si="430"/>
        <v>0</v>
      </c>
      <c r="O1253" s="150">
        <f t="shared" si="428"/>
        <v>-0.0101156069364162</v>
      </c>
      <c r="P1253" s="150">
        <f t="shared" si="426"/>
        <v>-0.0101156069364162</v>
      </c>
      <c r="Q1253" s="89">
        <f t="shared" si="431"/>
        <v>0.141666666666667</v>
      </c>
      <c r="AH1253" s="90"/>
      <c r="AI1253" s="85"/>
      <c r="AJ1253" s="36"/>
      <c r="AK1253" s="36"/>
      <c r="AL1253" s="36"/>
      <c r="AM1253" s="36"/>
      <c r="AN1253" s="36"/>
      <c r="AO1253" s="36"/>
      <c r="AP1253" s="36"/>
      <c r="AQ1253" s="36"/>
      <c r="BT1253" s="156"/>
      <c r="GE1253" s="94"/>
      <c r="GF1253" s="104">
        <f t="shared" si="422"/>
        <v>2017</v>
      </c>
      <c r="GG1253" s="104">
        <f t="shared" si="423"/>
        <v>48</v>
      </c>
      <c r="GH1253" s="35">
        <v>43066</v>
      </c>
      <c r="GI1253" s="26">
        <v>4.123</v>
      </c>
      <c r="GJ1253" s="94">
        <f t="shared" si="424"/>
        <v>8.246</v>
      </c>
      <c r="GK1253" s="104"/>
      <c r="GL1253" s="104"/>
      <c r="GO1253" s="94"/>
    </row>
    <row r="1254" spans="3:197">
      <c r="C1254" s="80" t="str" cm="1">
        <f t="array" ref="C1254">_xlfn.IFS(MONTH(D1254)&lt;4,1,MONTH(D1254)&lt;7,2,MONTH(D1254)&lt;10,3,MONTH(D1254)&gt;9,4)&amp;"Q"&amp;RIGHT(YEAR(D1254),2)</f>
        <v>1Q21</v>
      </c>
      <c r="D1254" s="81">
        <f t="shared" si="433"/>
        <v>44227</v>
      </c>
      <c r="E1254" s="82">
        <f t="shared" si="429"/>
        <v>44211</v>
      </c>
      <c r="F1254" s="83">
        <f t="shared" si="434"/>
        <v>0.43125</v>
      </c>
      <c r="G1254" s="83">
        <f t="shared" si="434"/>
        <v>0.375</v>
      </c>
      <c r="H1254" s="81"/>
      <c r="I1254" s="146">
        <v>44211</v>
      </c>
      <c r="J1254" s="147">
        <v>3.6</v>
      </c>
      <c r="K1254" s="147">
        <v>3.35</v>
      </c>
      <c r="L1254" s="147">
        <v>3.45</v>
      </c>
      <c r="M1254" s="94" cm="1">
        <f t="array" ref="M1254">INDEX($BV$29:$BV$1449,MATCH($D1254,$BR$29:$BR$1449,0),)</f>
        <v>3</v>
      </c>
      <c r="N1254" s="150">
        <f t="shared" si="430"/>
        <v>0.0072992700729928</v>
      </c>
      <c r="O1254" s="150">
        <f t="shared" si="428"/>
        <v>-0.00289017341040454</v>
      </c>
      <c r="P1254" s="150">
        <f t="shared" si="426"/>
        <v>-0.00289017341040454</v>
      </c>
      <c r="Q1254" s="89">
        <f t="shared" si="431"/>
        <v>0.15</v>
      </c>
      <c r="AH1254" s="90"/>
      <c r="AI1254" s="85"/>
      <c r="AJ1254" s="36"/>
      <c r="AK1254" s="36"/>
      <c r="AL1254" s="36"/>
      <c r="AM1254" s="36"/>
      <c r="AN1254" s="36"/>
      <c r="AO1254" s="36"/>
      <c r="AP1254" s="36"/>
      <c r="AQ1254" s="36"/>
      <c r="BT1254" s="156"/>
      <c r="GE1254" s="94"/>
      <c r="GF1254" s="104">
        <f t="shared" si="422"/>
        <v>2017</v>
      </c>
      <c r="GG1254" s="104">
        <f t="shared" si="423"/>
        <v>48</v>
      </c>
      <c r="GH1254" s="35">
        <v>43067</v>
      </c>
      <c r="GI1254" s="26">
        <v>4.105</v>
      </c>
      <c r="GJ1254" s="94">
        <f t="shared" si="424"/>
        <v>8.21</v>
      </c>
      <c r="GK1254" s="104"/>
      <c r="GL1254" s="104"/>
      <c r="GO1254" s="94"/>
    </row>
    <row r="1255" spans="3:197">
      <c r="C1255" s="80" t="str" cm="1">
        <f t="array" ref="C1255">_xlfn.IFS(MONTH(D1255)&lt;4,1,MONTH(D1255)&lt;7,2,MONTH(D1255)&lt;10,3,MONTH(D1255)&gt;9,4)&amp;"Q"&amp;RIGHT(YEAR(D1255),2)</f>
        <v>1Q21</v>
      </c>
      <c r="D1255" s="81">
        <f t="shared" si="433"/>
        <v>44227</v>
      </c>
      <c r="E1255" s="82">
        <f t="shared" si="429"/>
        <v>44214</v>
      </c>
      <c r="F1255" s="83">
        <f t="shared" si="434"/>
        <v>0.43125</v>
      </c>
      <c r="G1255" s="83">
        <f t="shared" si="434"/>
        <v>0.375</v>
      </c>
      <c r="H1255" s="81"/>
      <c r="I1255" s="146">
        <v>44214</v>
      </c>
      <c r="J1255" s="147">
        <v>3.6</v>
      </c>
      <c r="K1255" s="147">
        <v>3.4</v>
      </c>
      <c r="L1255" s="147">
        <v>3.45</v>
      </c>
      <c r="M1255" s="94" cm="1">
        <f t="array" ref="M1255">INDEX($BV$29:$BV$1449,MATCH($D1255,$BR$29:$BR$1449,0),)</f>
        <v>3</v>
      </c>
      <c r="N1255" s="150">
        <f t="shared" si="430"/>
        <v>0</v>
      </c>
      <c r="O1255" s="150">
        <f t="shared" si="428"/>
        <v>-0.00289017341040454</v>
      </c>
      <c r="P1255" s="150">
        <f t="shared" si="426"/>
        <v>-0.00289017341040454</v>
      </c>
      <c r="Q1255" s="89">
        <f t="shared" si="431"/>
        <v>0.15</v>
      </c>
      <c r="AH1255" s="90"/>
      <c r="AI1255" s="85"/>
      <c r="AJ1255" s="36"/>
      <c r="AK1255" s="36"/>
      <c r="AL1255" s="36"/>
      <c r="AM1255" s="36"/>
      <c r="AN1255" s="36"/>
      <c r="AO1255" s="36"/>
      <c r="AP1255" s="36"/>
      <c r="AQ1255" s="36"/>
      <c r="BT1255" s="156"/>
      <c r="GE1255" s="94"/>
      <c r="GF1255" s="104">
        <f t="shared" si="422"/>
        <v>2017</v>
      </c>
      <c r="GG1255" s="104">
        <f t="shared" si="423"/>
        <v>48</v>
      </c>
      <c r="GH1255" s="35">
        <v>43068</v>
      </c>
      <c r="GI1255" s="26">
        <v>4.097</v>
      </c>
      <c r="GJ1255" s="94">
        <f t="shared" si="424"/>
        <v>8.194</v>
      </c>
      <c r="GK1255" s="104"/>
      <c r="GL1255" s="104"/>
      <c r="GO1255" s="94"/>
    </row>
    <row r="1256" spans="3:197">
      <c r="C1256" s="80" t="str" cm="1">
        <f t="array" ref="C1256">_xlfn.IFS(MONTH(D1256)&lt;4,1,MONTH(D1256)&lt;7,2,MONTH(D1256)&lt;10,3,MONTH(D1256)&gt;9,4)&amp;"Q"&amp;RIGHT(YEAR(D1256),2)</f>
        <v>1Q21</v>
      </c>
      <c r="D1256" s="81">
        <f t="shared" si="433"/>
        <v>44227</v>
      </c>
      <c r="E1256" s="82">
        <f t="shared" si="429"/>
        <v>44215</v>
      </c>
      <c r="F1256" s="83">
        <f t="shared" si="434"/>
        <v>0.433125</v>
      </c>
      <c r="G1256" s="83">
        <f t="shared" si="434"/>
        <v>0.375</v>
      </c>
      <c r="H1256" s="81"/>
      <c r="I1256" s="146">
        <v>44215</v>
      </c>
      <c r="J1256" s="147">
        <v>3.55</v>
      </c>
      <c r="K1256" s="147">
        <v>3.4</v>
      </c>
      <c r="L1256" s="147">
        <v>3.465</v>
      </c>
      <c r="M1256" s="94" cm="1">
        <f t="array" ref="M1256">INDEX($BV$29:$BV$1449,MATCH($D1256,$BR$29:$BR$1449,0),)</f>
        <v>3</v>
      </c>
      <c r="N1256" s="150">
        <f t="shared" si="430"/>
        <v>0.0043478260869565</v>
      </c>
      <c r="O1256" s="150">
        <f t="shared" si="428"/>
        <v>0.0116788321167884</v>
      </c>
      <c r="P1256" s="150">
        <f t="shared" si="426"/>
        <v>0.00144508670520227</v>
      </c>
      <c r="Q1256" s="89">
        <f t="shared" si="431"/>
        <v>0.155</v>
      </c>
      <c r="AH1256" s="90"/>
      <c r="AI1256" s="85"/>
      <c r="AJ1256" s="36"/>
      <c r="AK1256" s="36"/>
      <c r="AL1256" s="36"/>
      <c r="AM1256" s="36"/>
      <c r="AN1256" s="36"/>
      <c r="AO1256" s="36"/>
      <c r="AP1256" s="36"/>
      <c r="AQ1256" s="36"/>
      <c r="BT1256" s="156"/>
      <c r="GE1256" s="94"/>
      <c r="GF1256" s="104">
        <f t="shared" si="422"/>
        <v>2017</v>
      </c>
      <c r="GG1256" s="104">
        <f t="shared" si="423"/>
        <v>48</v>
      </c>
      <c r="GH1256" s="35">
        <v>43069</v>
      </c>
      <c r="GI1256" s="26">
        <v>4.071</v>
      </c>
      <c r="GJ1256" s="94">
        <f t="shared" si="424"/>
        <v>8.142</v>
      </c>
      <c r="GK1256" s="104"/>
      <c r="GL1256" s="104"/>
      <c r="GO1256" s="94"/>
    </row>
    <row r="1257" spans="3:197">
      <c r="C1257" s="80" t="str" cm="1">
        <f t="array" ref="C1257">_xlfn.IFS(MONTH(D1257)&lt;4,1,MONTH(D1257)&lt;7,2,MONTH(D1257)&lt;10,3,MONTH(D1257)&gt;9,4)&amp;"Q"&amp;RIGHT(YEAR(D1257),2)</f>
        <v>1Q21</v>
      </c>
      <c r="D1257" s="81">
        <f t="shared" si="433"/>
        <v>44227</v>
      </c>
      <c r="E1257" s="82">
        <f t="shared" si="429"/>
        <v>44216</v>
      </c>
      <c r="F1257" s="83">
        <f t="shared" si="434"/>
        <v>0.433125</v>
      </c>
      <c r="G1257" s="83">
        <f t="shared" si="434"/>
        <v>0.375</v>
      </c>
      <c r="H1257" s="81"/>
      <c r="I1257" s="146">
        <v>44216</v>
      </c>
      <c r="J1257" s="147">
        <v>3.55</v>
      </c>
      <c r="K1257" s="147">
        <v>3.4</v>
      </c>
      <c r="L1257" s="147">
        <v>3.465</v>
      </c>
      <c r="M1257" s="94" cm="1">
        <f t="array" ref="M1257">INDEX($BV$29:$BV$1449,MATCH($D1257,$BR$29:$BR$1449,0),)</f>
        <v>3</v>
      </c>
      <c r="N1257" s="150">
        <f t="shared" si="430"/>
        <v>0</v>
      </c>
      <c r="O1257" s="150">
        <f t="shared" si="428"/>
        <v>0.0116788321167884</v>
      </c>
      <c r="P1257" s="150">
        <f t="shared" si="426"/>
        <v>0.00144508670520227</v>
      </c>
      <c r="Q1257" s="89">
        <f t="shared" si="431"/>
        <v>0.155</v>
      </c>
      <c r="AH1257" s="90"/>
      <c r="AI1257" s="85"/>
      <c r="AJ1257" s="36"/>
      <c r="AK1257" s="36"/>
      <c r="AL1257" s="36"/>
      <c r="AM1257" s="36"/>
      <c r="AN1257" s="36"/>
      <c r="AO1257" s="36"/>
      <c r="AP1257" s="36"/>
      <c r="AQ1257" s="36"/>
      <c r="BT1257" s="156"/>
      <c r="GE1257" s="94"/>
      <c r="GF1257" s="104">
        <f t="shared" si="422"/>
        <v>2017</v>
      </c>
      <c r="GG1257" s="104">
        <f t="shared" si="423"/>
        <v>48</v>
      </c>
      <c r="GH1257" s="35">
        <v>43070</v>
      </c>
      <c r="GI1257" s="26">
        <v>4.046</v>
      </c>
      <c r="GJ1257" s="94">
        <f t="shared" si="424"/>
        <v>8.092</v>
      </c>
      <c r="GK1257" s="104"/>
      <c r="GL1257" s="104"/>
      <c r="GO1257" s="94"/>
    </row>
    <row r="1258" spans="3:197">
      <c r="C1258" s="80" t="str" cm="1">
        <f t="array" ref="C1258">_xlfn.IFS(MONTH(D1258)&lt;4,1,MONTH(D1258)&lt;7,2,MONTH(D1258)&lt;10,3,MONTH(D1258)&gt;9,4)&amp;"Q"&amp;RIGHT(YEAR(D1258),2)</f>
        <v>1Q21</v>
      </c>
      <c r="D1258" s="81">
        <f t="shared" si="433"/>
        <v>44227</v>
      </c>
      <c r="E1258" s="82">
        <f t="shared" si="429"/>
        <v>44217</v>
      </c>
      <c r="F1258" s="83">
        <f t="shared" si="434"/>
        <v>0.433125</v>
      </c>
      <c r="G1258" s="83">
        <f t="shared" si="434"/>
        <v>0.375</v>
      </c>
      <c r="H1258" s="81"/>
      <c r="I1258" s="146">
        <v>44217</v>
      </c>
      <c r="J1258" s="147">
        <v>3.55</v>
      </c>
      <c r="K1258" s="147">
        <v>3.4</v>
      </c>
      <c r="L1258" s="147">
        <v>3.465</v>
      </c>
      <c r="M1258" s="94" cm="1">
        <f t="array" ref="M1258">INDEX($BV$29:$BV$1449,MATCH($D1258,$BR$29:$BR$1449,0),)</f>
        <v>3</v>
      </c>
      <c r="N1258" s="150">
        <f t="shared" si="430"/>
        <v>0</v>
      </c>
      <c r="O1258" s="150">
        <f t="shared" si="428"/>
        <v>0.0116788321167884</v>
      </c>
      <c r="P1258" s="150">
        <f t="shared" si="426"/>
        <v>0.00144508670520227</v>
      </c>
      <c r="Q1258" s="89">
        <f t="shared" si="431"/>
        <v>0.155</v>
      </c>
      <c r="AH1258" s="90"/>
      <c r="AI1258" s="85"/>
      <c r="AJ1258" s="36"/>
      <c r="AK1258" s="36"/>
      <c r="AL1258" s="36"/>
      <c r="AM1258" s="36"/>
      <c r="AN1258" s="36"/>
      <c r="AO1258" s="36"/>
      <c r="AP1258" s="36"/>
      <c r="AQ1258" s="36"/>
      <c r="BT1258" s="156"/>
      <c r="GE1258" s="94"/>
      <c r="GF1258" s="104">
        <f t="shared" si="422"/>
        <v>2017</v>
      </c>
      <c r="GG1258" s="104">
        <f t="shared" si="423"/>
        <v>49</v>
      </c>
      <c r="GH1258" s="35">
        <v>43073</v>
      </c>
      <c r="GI1258" s="26">
        <v>4.04</v>
      </c>
      <c r="GJ1258" s="94">
        <f t="shared" si="424"/>
        <v>8.08</v>
      </c>
      <c r="GK1258" s="104"/>
      <c r="GL1258" s="104"/>
      <c r="GO1258" s="94"/>
    </row>
    <row r="1259" spans="3:197">
      <c r="C1259" s="80" t="str" cm="1">
        <f t="array" ref="C1259">_xlfn.IFS(MONTH(D1259)&lt;4,1,MONTH(D1259)&lt;7,2,MONTH(D1259)&lt;10,3,MONTH(D1259)&gt;9,4)&amp;"Q"&amp;RIGHT(YEAR(D1259),2)</f>
        <v>1Q21</v>
      </c>
      <c r="D1259" s="81">
        <f t="shared" si="433"/>
        <v>44227</v>
      </c>
      <c r="E1259" s="82">
        <f t="shared" si="429"/>
        <v>44218</v>
      </c>
      <c r="F1259" s="83">
        <f t="shared" si="434"/>
        <v>0.43375</v>
      </c>
      <c r="G1259" s="83">
        <f t="shared" si="434"/>
        <v>0.375</v>
      </c>
      <c r="H1259" s="81"/>
      <c r="I1259" s="146">
        <v>44218</v>
      </c>
      <c r="J1259" s="147">
        <v>3.55</v>
      </c>
      <c r="K1259" s="147">
        <v>3.4</v>
      </c>
      <c r="L1259" s="147">
        <v>3.47</v>
      </c>
      <c r="M1259" s="94" cm="1">
        <f t="array" ref="M1259">INDEX($BV$29:$BV$1449,MATCH($D1259,$BR$29:$BR$1449,0),)</f>
        <v>3</v>
      </c>
      <c r="N1259" s="150">
        <f t="shared" si="430"/>
        <v>0.00144300144300158</v>
      </c>
      <c r="O1259" s="150">
        <f t="shared" si="428"/>
        <v>0.00579710144927548</v>
      </c>
      <c r="P1259" s="150">
        <f t="shared" si="426"/>
        <v>0.00289017341040476</v>
      </c>
      <c r="Q1259" s="89">
        <f t="shared" si="431"/>
        <v>0.156666666666667</v>
      </c>
      <c r="AH1259" s="90"/>
      <c r="AI1259" s="85"/>
      <c r="AJ1259" s="36"/>
      <c r="AK1259" s="36"/>
      <c r="AL1259" s="36"/>
      <c r="AM1259" s="36"/>
      <c r="AN1259" s="36"/>
      <c r="AO1259" s="36"/>
      <c r="AP1259" s="36"/>
      <c r="AQ1259" s="36"/>
      <c r="BT1259" s="156"/>
      <c r="GE1259" s="94"/>
      <c r="GF1259" s="104">
        <f t="shared" si="422"/>
        <v>2017</v>
      </c>
      <c r="GG1259" s="104">
        <f t="shared" si="423"/>
        <v>49</v>
      </c>
      <c r="GH1259" s="35">
        <v>43074</v>
      </c>
      <c r="GI1259" s="26">
        <v>4.04</v>
      </c>
      <c r="GJ1259" s="94">
        <f t="shared" si="424"/>
        <v>8.08</v>
      </c>
      <c r="GK1259" s="104"/>
      <c r="GL1259" s="104"/>
      <c r="GO1259" s="94"/>
    </row>
    <row r="1260" spans="3:197">
      <c r="C1260" s="80" t="str" cm="1">
        <f t="array" ref="C1260">_xlfn.IFS(MONTH(D1260)&lt;4,1,MONTH(D1260)&lt;7,2,MONTH(D1260)&lt;10,3,MONTH(D1260)&gt;9,4)&amp;"Q"&amp;RIGHT(YEAR(D1260),2)</f>
        <v>1Q21</v>
      </c>
      <c r="D1260" s="81">
        <f t="shared" si="433"/>
        <v>44227</v>
      </c>
      <c r="E1260" s="82">
        <f t="shared" si="429"/>
        <v>44221</v>
      </c>
      <c r="F1260" s="83">
        <f t="shared" si="434"/>
        <v>0.43375</v>
      </c>
      <c r="G1260" s="83">
        <f t="shared" si="434"/>
        <v>0.375</v>
      </c>
      <c r="H1260" s="81"/>
      <c r="I1260" s="146">
        <v>44221</v>
      </c>
      <c r="J1260" s="147">
        <v>3.55</v>
      </c>
      <c r="K1260" s="147">
        <v>3.4</v>
      </c>
      <c r="L1260" s="147">
        <v>3.47</v>
      </c>
      <c r="M1260" s="94" cm="1">
        <f t="array" ref="M1260">INDEX($BV$29:$BV$1449,MATCH($D1260,$BR$29:$BR$1449,0),)</f>
        <v>3</v>
      </c>
      <c r="N1260" s="150">
        <f t="shared" si="430"/>
        <v>0</v>
      </c>
      <c r="O1260" s="150">
        <f t="shared" si="428"/>
        <v>0.00579710144927548</v>
      </c>
      <c r="P1260" s="150">
        <f t="shared" si="426"/>
        <v>0.00289017341040476</v>
      </c>
      <c r="Q1260" s="89">
        <f t="shared" si="431"/>
        <v>0.156666666666667</v>
      </c>
      <c r="AH1260" s="90"/>
      <c r="AI1260" s="85"/>
      <c r="AJ1260" s="36"/>
      <c r="AK1260" s="36"/>
      <c r="AL1260" s="36"/>
      <c r="AM1260" s="36"/>
      <c r="AN1260" s="36"/>
      <c r="AO1260" s="36"/>
      <c r="AP1260" s="36"/>
      <c r="AQ1260" s="36"/>
      <c r="BT1260" s="156"/>
      <c r="GE1260" s="94"/>
      <c r="GF1260" s="104">
        <f t="shared" si="422"/>
        <v>2017</v>
      </c>
      <c r="GG1260" s="104">
        <f t="shared" si="423"/>
        <v>49</v>
      </c>
      <c r="GH1260" s="35">
        <v>43075</v>
      </c>
      <c r="GI1260" s="26">
        <v>4.053</v>
      </c>
      <c r="GJ1260" s="94">
        <f t="shared" si="424"/>
        <v>8.106</v>
      </c>
      <c r="GK1260" s="104"/>
      <c r="GL1260" s="104"/>
      <c r="GO1260" s="94"/>
    </row>
    <row r="1261" spans="3:197">
      <c r="C1261" s="80" t="str" cm="1">
        <f t="array" ref="C1261">_xlfn.IFS(MONTH(D1261)&lt;4,1,MONTH(D1261)&lt;7,2,MONTH(D1261)&lt;10,3,MONTH(D1261)&gt;9,4)&amp;"Q"&amp;RIGHT(YEAR(D1261),2)</f>
        <v>1Q21</v>
      </c>
      <c r="D1261" s="81">
        <f t="shared" si="433"/>
        <v>44227</v>
      </c>
      <c r="E1261" s="82">
        <f t="shared" si="429"/>
        <v>44222</v>
      </c>
      <c r="F1261" s="83">
        <f t="shared" si="434"/>
        <v>0.440625</v>
      </c>
      <c r="G1261" s="83">
        <f t="shared" si="434"/>
        <v>0.375</v>
      </c>
      <c r="H1261" s="81"/>
      <c r="I1261" s="146">
        <v>44222</v>
      </c>
      <c r="J1261" s="147">
        <v>3.75</v>
      </c>
      <c r="K1261" s="147">
        <v>3.45</v>
      </c>
      <c r="L1261" s="147">
        <v>3.525</v>
      </c>
      <c r="M1261" s="94" cm="1">
        <f t="array" ref="M1261">INDEX($BV$29:$BV$1449,MATCH($D1261,$BR$29:$BR$1449,0),)</f>
        <v>3</v>
      </c>
      <c r="N1261" s="150">
        <f t="shared" si="430"/>
        <v>0.015850144092219</v>
      </c>
      <c r="O1261" s="150">
        <f t="shared" si="428"/>
        <v>0.0173160173160174</v>
      </c>
      <c r="P1261" s="150">
        <f t="shared" si="426"/>
        <v>0.0291970802919708</v>
      </c>
      <c r="Q1261" s="89">
        <f t="shared" si="431"/>
        <v>0.175</v>
      </c>
      <c r="AH1261" s="90"/>
      <c r="AI1261" s="85"/>
      <c r="AJ1261" s="36"/>
      <c r="AK1261" s="36"/>
      <c r="AL1261" s="36"/>
      <c r="AM1261" s="36"/>
      <c r="AN1261" s="36"/>
      <c r="AO1261" s="36"/>
      <c r="AP1261" s="36"/>
      <c r="AQ1261" s="36"/>
      <c r="BT1261" s="156"/>
      <c r="GE1261" s="94"/>
      <c r="GF1261" s="104">
        <f t="shared" si="422"/>
        <v>2017</v>
      </c>
      <c r="GG1261" s="104">
        <f t="shared" si="423"/>
        <v>49</v>
      </c>
      <c r="GH1261" s="35">
        <v>43076</v>
      </c>
      <c r="GI1261" s="26">
        <v>4.042</v>
      </c>
      <c r="GJ1261" s="94">
        <f t="shared" si="424"/>
        <v>8.084</v>
      </c>
      <c r="GK1261" s="104"/>
      <c r="GL1261" s="104"/>
      <c r="GO1261" s="94"/>
    </row>
    <row r="1262" spans="3:197">
      <c r="C1262" s="80" t="str" cm="1">
        <f t="array" ref="C1262">_xlfn.IFS(MONTH(D1262)&lt;4,1,MONTH(D1262)&lt;7,2,MONTH(D1262)&lt;10,3,MONTH(D1262)&gt;9,4)&amp;"Q"&amp;RIGHT(YEAR(D1262),2)</f>
        <v>1Q21</v>
      </c>
      <c r="D1262" s="81">
        <f t="shared" si="433"/>
        <v>44227</v>
      </c>
      <c r="E1262" s="82">
        <f t="shared" si="429"/>
        <v>44223</v>
      </c>
      <c r="F1262" s="83">
        <f t="shared" si="434"/>
        <v>0.441875</v>
      </c>
      <c r="G1262" s="83">
        <f t="shared" si="434"/>
        <v>0.375</v>
      </c>
      <c r="H1262" s="81"/>
      <c r="I1262" s="146">
        <v>44223</v>
      </c>
      <c r="J1262" s="147">
        <v>3.75</v>
      </c>
      <c r="K1262" s="147">
        <v>3.45</v>
      </c>
      <c r="L1262" s="147">
        <v>3.535</v>
      </c>
      <c r="M1262" s="94" cm="1">
        <f t="array" ref="M1262">INDEX($BV$29:$BV$1449,MATCH($D1262,$BR$29:$BR$1449,0),)</f>
        <v>3</v>
      </c>
      <c r="N1262" s="150">
        <f t="shared" si="430"/>
        <v>0.00283687943262412</v>
      </c>
      <c r="O1262" s="150">
        <f t="shared" si="428"/>
        <v>0.0202020202020203</v>
      </c>
      <c r="P1262" s="150">
        <f t="shared" si="426"/>
        <v>0.0321167883211679</v>
      </c>
      <c r="Q1262" s="89">
        <f t="shared" si="431"/>
        <v>0.178333333333333</v>
      </c>
      <c r="AH1262" s="90"/>
      <c r="AI1262" s="85"/>
      <c r="AJ1262" s="36"/>
      <c r="AK1262" s="36"/>
      <c r="AL1262" s="36"/>
      <c r="AM1262" s="36"/>
      <c r="AN1262" s="36"/>
      <c r="AO1262" s="36"/>
      <c r="AP1262" s="36"/>
      <c r="AQ1262" s="36"/>
      <c r="BT1262" s="156"/>
      <c r="GE1262" s="94"/>
      <c r="GF1262" s="104">
        <f t="shared" si="422"/>
        <v>2017</v>
      </c>
      <c r="GG1262" s="104">
        <f t="shared" si="423"/>
        <v>49</v>
      </c>
      <c r="GH1262" s="35">
        <v>43077</v>
      </c>
      <c r="GI1262" s="26">
        <v>4.024</v>
      </c>
      <c r="GJ1262" s="94">
        <f t="shared" si="424"/>
        <v>8.048</v>
      </c>
      <c r="GK1262" s="104"/>
      <c r="GL1262" s="104"/>
      <c r="GO1262" s="94"/>
    </row>
    <row r="1263" spans="3:197">
      <c r="C1263" s="80" t="str" cm="1">
        <f t="array" ref="C1263">_xlfn.IFS(MONTH(D1263)&lt;4,1,MONTH(D1263)&lt;7,2,MONTH(D1263)&lt;10,3,MONTH(D1263)&gt;9,4)&amp;"Q"&amp;RIGHT(YEAR(D1263),2)</f>
        <v>1Q21</v>
      </c>
      <c r="D1263" s="81">
        <f t="shared" si="433"/>
        <v>44227</v>
      </c>
      <c r="E1263" s="82">
        <f t="shared" si="429"/>
        <v>44224</v>
      </c>
      <c r="F1263" s="83">
        <f t="shared" si="434"/>
        <v>0.45125</v>
      </c>
      <c r="G1263" s="83">
        <f t="shared" si="434"/>
        <v>0.375</v>
      </c>
      <c r="H1263" s="81"/>
      <c r="I1263" s="146">
        <v>44224</v>
      </c>
      <c r="J1263" s="147">
        <v>3.85</v>
      </c>
      <c r="K1263" s="147">
        <v>3.5</v>
      </c>
      <c r="L1263" s="147">
        <v>3.61</v>
      </c>
      <c r="M1263" s="94" cm="1">
        <f t="array" ref="M1263">INDEX($BV$29:$BV$1449,MATCH($D1263,$BR$29:$BR$1449,0),)</f>
        <v>3</v>
      </c>
      <c r="N1263" s="150">
        <f t="shared" si="430"/>
        <v>0.0212164073550212</v>
      </c>
      <c r="O1263" s="150">
        <f t="shared" si="428"/>
        <v>0.0418470418470418</v>
      </c>
      <c r="P1263" s="150">
        <f t="shared" si="426"/>
        <v>0.0540145985401459</v>
      </c>
      <c r="Q1263" s="89">
        <f t="shared" si="431"/>
        <v>0.203333333333333</v>
      </c>
      <c r="AH1263" s="90"/>
      <c r="AI1263" s="85"/>
      <c r="AJ1263" s="36"/>
      <c r="AK1263" s="36"/>
      <c r="AL1263" s="36"/>
      <c r="AM1263" s="36"/>
      <c r="AN1263" s="36"/>
      <c r="AO1263" s="36"/>
      <c r="AP1263" s="36"/>
      <c r="AQ1263" s="36"/>
      <c r="BT1263" s="156"/>
      <c r="GE1263" s="94"/>
      <c r="GF1263" s="104">
        <f t="shared" si="422"/>
        <v>2017</v>
      </c>
      <c r="GG1263" s="104">
        <f t="shared" si="423"/>
        <v>50</v>
      </c>
      <c r="GH1263" s="35">
        <v>43080</v>
      </c>
      <c r="GI1263" s="26">
        <v>4.007</v>
      </c>
      <c r="GJ1263" s="94">
        <f t="shared" si="424"/>
        <v>8.014</v>
      </c>
      <c r="GK1263" s="104"/>
      <c r="GL1263" s="104"/>
      <c r="GO1263" s="94"/>
    </row>
    <row r="1264" spans="3:197">
      <c r="C1264" s="80" t="str" cm="1">
        <f t="array" ref="C1264">_xlfn.IFS(MONTH(D1264)&lt;4,1,MONTH(D1264)&lt;7,2,MONTH(D1264)&lt;10,3,MONTH(D1264)&gt;9,4)&amp;"Q"&amp;RIGHT(YEAR(D1264),2)</f>
        <v>1Q21</v>
      </c>
      <c r="D1264" s="81">
        <f t="shared" si="433"/>
        <v>44227</v>
      </c>
      <c r="E1264" s="82">
        <f t="shared" si="429"/>
        <v>44225</v>
      </c>
      <c r="F1264" s="83">
        <f t="shared" si="434"/>
        <v>0.460625</v>
      </c>
      <c r="G1264" s="83">
        <f t="shared" si="434"/>
        <v>0.375</v>
      </c>
      <c r="H1264" s="81"/>
      <c r="I1264" s="146">
        <v>44225</v>
      </c>
      <c r="J1264" s="147">
        <v>3.93</v>
      </c>
      <c r="K1264" s="147">
        <v>3.55</v>
      </c>
      <c r="L1264" s="147">
        <v>3.685</v>
      </c>
      <c r="M1264" s="94" cm="1">
        <f t="array" ref="M1264">INDEX($BV$29:$BV$1449,MATCH($D1264,$BR$29:$BR$1449,0),)</f>
        <v>3</v>
      </c>
      <c r="N1264" s="150">
        <f t="shared" si="430"/>
        <v>0.0207756232686982</v>
      </c>
      <c r="O1264" s="150">
        <f t="shared" si="428"/>
        <v>0.0619596541786742</v>
      </c>
      <c r="P1264" s="150">
        <f t="shared" si="426"/>
        <v>0.0681159420289854</v>
      </c>
      <c r="Q1264" s="89">
        <f t="shared" si="431"/>
        <v>0.228333333333333</v>
      </c>
      <c r="AH1264" s="90"/>
      <c r="AI1264" s="85"/>
      <c r="AJ1264" s="36"/>
      <c r="AK1264" s="36"/>
      <c r="AL1264" s="36"/>
      <c r="AM1264" s="36"/>
      <c r="AN1264" s="36"/>
      <c r="AO1264" s="36"/>
      <c r="AP1264" s="36"/>
      <c r="AQ1264" s="36"/>
      <c r="BT1264" s="156"/>
      <c r="GE1264" s="94"/>
      <c r="GF1264" s="104">
        <f t="shared" si="422"/>
        <v>2017</v>
      </c>
      <c r="GG1264" s="104">
        <f t="shared" si="423"/>
        <v>50</v>
      </c>
      <c r="GH1264" s="35">
        <v>43081</v>
      </c>
      <c r="GI1264" s="26">
        <v>4.001</v>
      </c>
      <c r="GJ1264" s="94">
        <f t="shared" si="424"/>
        <v>8.002</v>
      </c>
      <c r="GK1264" s="104"/>
      <c r="GL1264" s="104"/>
      <c r="GO1264" s="94"/>
    </row>
    <row r="1265" spans="3:197">
      <c r="C1265" s="80" t="str" cm="1">
        <f t="array" ref="C1265">_xlfn.IFS(MONTH(D1265)&lt;4,1,MONTH(D1265)&lt;7,2,MONTH(D1265)&lt;10,3,MONTH(D1265)&gt;9,4)&amp;"Q"&amp;RIGHT(YEAR(D1265),2)</f>
        <v>1Q21</v>
      </c>
      <c r="D1265" s="81">
        <f t="shared" si="433"/>
        <v>44255</v>
      </c>
      <c r="E1265" s="82">
        <f t="shared" si="429"/>
        <v>44228</v>
      </c>
      <c r="F1265" s="83">
        <f t="shared" si="434"/>
        <v>0.4625</v>
      </c>
      <c r="G1265" s="83">
        <f t="shared" si="434"/>
        <v>0.375</v>
      </c>
      <c r="H1265" s="81"/>
      <c r="I1265" s="146">
        <v>44228</v>
      </c>
      <c r="J1265" s="147">
        <v>3.93</v>
      </c>
      <c r="K1265" s="147">
        <v>3.57</v>
      </c>
      <c r="L1265" s="147">
        <v>3.7</v>
      </c>
      <c r="M1265" s="94" cm="1">
        <f t="array" ref="M1265">INDEX($BV$29:$BV$1449,MATCH($D1265,$BR$29:$BR$1449,0),)</f>
        <v>3</v>
      </c>
      <c r="N1265" s="150">
        <f t="shared" si="430"/>
        <v>0.00407055630936237</v>
      </c>
      <c r="O1265" s="150">
        <f t="shared" si="428"/>
        <v>0.0662824207492796</v>
      </c>
      <c r="P1265" s="150">
        <f t="shared" si="426"/>
        <v>0.0724637681159421</v>
      </c>
      <c r="Q1265" s="89">
        <f t="shared" si="431"/>
        <v>0.233333333333333</v>
      </c>
      <c r="AH1265" s="90"/>
      <c r="AI1265" s="85"/>
      <c r="AJ1265" s="36"/>
      <c r="AK1265" s="36"/>
      <c r="AL1265" s="36"/>
      <c r="AM1265" s="36"/>
      <c r="AN1265" s="36"/>
      <c r="AO1265" s="36"/>
      <c r="AP1265" s="36"/>
      <c r="AQ1265" s="36"/>
      <c r="BT1265" s="156"/>
      <c r="GE1265" s="94"/>
      <c r="GF1265" s="104">
        <f t="shared" si="422"/>
        <v>2017</v>
      </c>
      <c r="GG1265" s="104">
        <f t="shared" si="423"/>
        <v>50</v>
      </c>
      <c r="GH1265" s="35">
        <v>43082</v>
      </c>
      <c r="GI1265" s="26">
        <v>3.995</v>
      </c>
      <c r="GJ1265" s="94">
        <f t="shared" si="424"/>
        <v>7.99</v>
      </c>
      <c r="GK1265" s="104"/>
      <c r="GL1265" s="104"/>
      <c r="GO1265" s="94"/>
    </row>
    <row r="1266" spans="3:197">
      <c r="C1266" s="80" t="str" cm="1">
        <f t="array" ref="C1266">_xlfn.IFS(MONTH(D1266)&lt;4,1,MONTH(D1266)&lt;7,2,MONTH(D1266)&lt;10,3,MONTH(D1266)&gt;9,4)&amp;"Q"&amp;RIGHT(YEAR(D1266),2)</f>
        <v>1Q21</v>
      </c>
      <c r="D1266" s="81">
        <f t="shared" si="433"/>
        <v>44255</v>
      </c>
      <c r="E1266" s="82">
        <f t="shared" si="429"/>
        <v>44229</v>
      </c>
      <c r="F1266" s="83">
        <f t="shared" si="434"/>
        <v>0.46375</v>
      </c>
      <c r="G1266" s="83">
        <f t="shared" si="434"/>
        <v>0.375</v>
      </c>
      <c r="H1266" s="81"/>
      <c r="I1266" s="146">
        <v>44229</v>
      </c>
      <c r="J1266" s="147">
        <v>3.93</v>
      </c>
      <c r="K1266" s="147">
        <v>3.55</v>
      </c>
      <c r="L1266" s="147">
        <v>3.71</v>
      </c>
      <c r="M1266" s="94" cm="1">
        <f t="array" ref="M1266">INDEX($BV$29:$BV$1449,MATCH($D1266,$BR$29:$BR$1449,0),)</f>
        <v>3</v>
      </c>
      <c r="N1266" s="150">
        <f t="shared" si="430"/>
        <v>0.00270270270270268</v>
      </c>
      <c r="O1266" s="150">
        <f t="shared" si="428"/>
        <v>0.0524822695035461</v>
      </c>
      <c r="P1266" s="150">
        <f t="shared" si="426"/>
        <v>0.0707070707070707</v>
      </c>
      <c r="Q1266" s="89">
        <f t="shared" si="431"/>
        <v>0.236666666666667</v>
      </c>
      <c r="AH1266" s="90"/>
      <c r="AI1266" s="85"/>
      <c r="AJ1266" s="36"/>
      <c r="AK1266" s="36"/>
      <c r="AL1266" s="36"/>
      <c r="AM1266" s="36"/>
      <c r="AN1266" s="36"/>
      <c r="AO1266" s="36"/>
      <c r="AP1266" s="36"/>
      <c r="AQ1266" s="36"/>
      <c r="BT1266" s="156"/>
      <c r="GE1266" s="94"/>
      <c r="GF1266" s="104">
        <f t="shared" si="422"/>
        <v>2017</v>
      </c>
      <c r="GG1266" s="104">
        <f t="shared" si="423"/>
        <v>50</v>
      </c>
      <c r="GH1266" s="35">
        <v>43083</v>
      </c>
      <c r="GI1266" s="26">
        <v>3.994</v>
      </c>
      <c r="GJ1266" s="94">
        <f t="shared" si="424"/>
        <v>7.988</v>
      </c>
      <c r="GK1266" s="104"/>
      <c r="GL1266" s="104"/>
      <c r="GO1266" s="94"/>
    </row>
    <row r="1267" spans="3:197">
      <c r="C1267" s="80" t="str" cm="1">
        <f t="array" ref="C1267">_xlfn.IFS(MONTH(D1267)&lt;4,1,MONTH(D1267)&lt;7,2,MONTH(D1267)&lt;10,3,MONTH(D1267)&gt;9,4)&amp;"Q"&amp;RIGHT(YEAR(D1267),2)</f>
        <v>1Q21</v>
      </c>
      <c r="D1267" s="81">
        <f t="shared" si="433"/>
        <v>44255</v>
      </c>
      <c r="E1267" s="82">
        <f t="shared" si="429"/>
        <v>44230</v>
      </c>
      <c r="F1267" s="83">
        <f t="shared" si="434"/>
        <v>0.46375</v>
      </c>
      <c r="G1267" s="83">
        <f t="shared" si="434"/>
        <v>0.375</v>
      </c>
      <c r="H1267" s="81"/>
      <c r="I1267" s="146">
        <v>44230</v>
      </c>
      <c r="J1267" s="147">
        <v>3.93</v>
      </c>
      <c r="K1267" s="147">
        <v>3.55</v>
      </c>
      <c r="L1267" s="147">
        <v>3.71</v>
      </c>
      <c r="M1267" s="94" cm="1">
        <f t="array" ref="M1267">INDEX($BV$29:$BV$1449,MATCH($D1267,$BR$29:$BR$1449,0),)</f>
        <v>3</v>
      </c>
      <c r="N1267" s="150">
        <f t="shared" si="430"/>
        <v>0</v>
      </c>
      <c r="O1267" s="150">
        <f t="shared" si="428"/>
        <v>0.0495049504950495</v>
      </c>
      <c r="P1267" s="150">
        <f t="shared" si="426"/>
        <v>0.0707070707070707</v>
      </c>
      <c r="Q1267" s="89">
        <f t="shared" si="431"/>
        <v>0.236666666666667</v>
      </c>
      <c r="AH1267" s="90"/>
      <c r="AI1267" s="85"/>
      <c r="AJ1267" s="36"/>
      <c r="AK1267" s="36"/>
      <c r="AL1267" s="36"/>
      <c r="AM1267" s="36"/>
      <c r="AN1267" s="36"/>
      <c r="AO1267" s="36"/>
      <c r="AP1267" s="36"/>
      <c r="AQ1267" s="36"/>
      <c r="BT1267" s="156"/>
      <c r="GE1267" s="94"/>
      <c r="GF1267" s="104">
        <f t="shared" si="422"/>
        <v>2017</v>
      </c>
      <c r="GG1267" s="104">
        <f t="shared" si="423"/>
        <v>50</v>
      </c>
      <c r="GH1267" s="35">
        <v>43084</v>
      </c>
      <c r="GI1267" s="26">
        <v>3.988</v>
      </c>
      <c r="GJ1267" s="94">
        <f t="shared" si="424"/>
        <v>7.976</v>
      </c>
      <c r="GK1267" s="104"/>
      <c r="GL1267" s="104"/>
      <c r="GO1267" s="94"/>
    </row>
    <row r="1268" spans="3:197">
      <c r="C1268" s="80" t="str" cm="1">
        <f t="array" ref="C1268">_xlfn.IFS(MONTH(D1268)&lt;4,1,MONTH(D1268)&lt;7,2,MONTH(D1268)&lt;10,3,MONTH(D1268)&gt;9,4)&amp;"Q"&amp;RIGHT(YEAR(D1268),2)</f>
        <v>1Q21</v>
      </c>
      <c r="D1268" s="81">
        <f t="shared" si="433"/>
        <v>44255</v>
      </c>
      <c r="E1268" s="82">
        <f t="shared" si="429"/>
        <v>44231</v>
      </c>
      <c r="F1268" s="83">
        <f t="shared" si="434"/>
        <v>0.465</v>
      </c>
      <c r="G1268" s="83">
        <f t="shared" si="434"/>
        <v>0.375</v>
      </c>
      <c r="H1268" s="81"/>
      <c r="I1268" s="146">
        <v>44231</v>
      </c>
      <c r="J1268" s="147">
        <v>3.95</v>
      </c>
      <c r="K1268" s="147">
        <v>3.55</v>
      </c>
      <c r="L1268" s="147">
        <v>3.72</v>
      </c>
      <c r="M1268" s="94" cm="1">
        <f t="array" ref="M1268">INDEX($BV$29:$BV$1449,MATCH($D1268,$BR$29:$BR$1449,0),)</f>
        <v>3</v>
      </c>
      <c r="N1268" s="150">
        <f t="shared" si="430"/>
        <v>0.00269541778975757</v>
      </c>
      <c r="O1268" s="150">
        <f t="shared" si="428"/>
        <v>0.030470914127424</v>
      </c>
      <c r="P1268" s="150">
        <f t="shared" si="426"/>
        <v>0.0735930735930737</v>
      </c>
      <c r="Q1268" s="89">
        <f t="shared" si="431"/>
        <v>0.24</v>
      </c>
      <c r="AH1268" s="90"/>
      <c r="AI1268" s="85"/>
      <c r="AJ1268" s="36"/>
      <c r="AK1268" s="36"/>
      <c r="AL1268" s="36"/>
      <c r="AM1268" s="36"/>
      <c r="AN1268" s="36"/>
      <c r="AO1268" s="36"/>
      <c r="AP1268" s="36"/>
      <c r="AQ1268" s="36"/>
      <c r="BT1268" s="156"/>
      <c r="GE1268" s="94"/>
      <c r="GF1268" s="104">
        <f t="shared" ref="GF1268:GF1331" si="435">YEAR(GH1268)</f>
        <v>2017</v>
      </c>
      <c r="GG1268" s="104">
        <f t="shared" ref="GG1268:GG1331" si="436">WEEKNUM(GH1268)</f>
        <v>51</v>
      </c>
      <c r="GH1268" s="35">
        <v>43087</v>
      </c>
      <c r="GI1268" s="26">
        <v>3.988</v>
      </c>
      <c r="GJ1268" s="94">
        <f t="shared" ref="GJ1268:GJ1331" si="437">GI1268*2</f>
        <v>7.976</v>
      </c>
      <c r="GK1268" s="104"/>
      <c r="GL1268" s="104"/>
      <c r="GO1268" s="94"/>
    </row>
    <row r="1269" spans="3:197">
      <c r="C1269" s="80" t="str" cm="1">
        <f t="array" ref="C1269">_xlfn.IFS(MONTH(D1269)&lt;4,1,MONTH(D1269)&lt;7,2,MONTH(D1269)&lt;10,3,MONTH(D1269)&gt;9,4)&amp;"Q"&amp;RIGHT(YEAR(D1269),2)</f>
        <v>1Q21</v>
      </c>
      <c r="D1269" s="81">
        <f t="shared" si="433"/>
        <v>44255</v>
      </c>
      <c r="E1269" s="82">
        <f t="shared" si="429"/>
        <v>44232</v>
      </c>
      <c r="F1269" s="83">
        <f t="shared" ref="F1269:G1284" si="438">+L1269/8</f>
        <v>0.465</v>
      </c>
      <c r="G1269" s="83">
        <f t="shared" si="438"/>
        <v>0.375</v>
      </c>
      <c r="H1269" s="81"/>
      <c r="I1269" s="146">
        <v>44232</v>
      </c>
      <c r="J1269" s="147">
        <v>3.95</v>
      </c>
      <c r="K1269" s="147">
        <v>3.55</v>
      </c>
      <c r="L1269" s="147">
        <v>3.72</v>
      </c>
      <c r="M1269" s="94" cm="1">
        <f t="array" ref="M1269">INDEX($BV$29:$BV$1449,MATCH($D1269,$BR$29:$BR$1449,0),)</f>
        <v>3</v>
      </c>
      <c r="N1269" s="150">
        <f t="shared" si="430"/>
        <v>0</v>
      </c>
      <c r="O1269" s="150">
        <f t="shared" si="428"/>
        <v>0.00949796472184539</v>
      </c>
      <c r="P1269" s="150">
        <f t="shared" si="426"/>
        <v>0.0720461095100864</v>
      </c>
      <c r="Q1269" s="89">
        <f t="shared" si="431"/>
        <v>0.24</v>
      </c>
      <c r="AH1269" s="90"/>
      <c r="AI1269" s="85"/>
      <c r="AJ1269" s="36"/>
      <c r="AK1269" s="36"/>
      <c r="AL1269" s="36"/>
      <c r="AM1269" s="36"/>
      <c r="AN1269" s="36"/>
      <c r="AO1269" s="36"/>
      <c r="AP1269" s="36"/>
      <c r="AQ1269" s="36"/>
      <c r="BT1269" s="156"/>
      <c r="GE1269" s="94"/>
      <c r="GF1269" s="104">
        <f t="shared" si="435"/>
        <v>2017</v>
      </c>
      <c r="GG1269" s="104">
        <f t="shared" si="436"/>
        <v>51</v>
      </c>
      <c r="GH1269" s="35">
        <v>43088</v>
      </c>
      <c r="GI1269" s="26">
        <v>3.982</v>
      </c>
      <c r="GJ1269" s="94">
        <f t="shared" si="437"/>
        <v>7.964</v>
      </c>
      <c r="GK1269" s="104"/>
      <c r="GL1269" s="104"/>
      <c r="GO1269" s="94"/>
    </row>
    <row r="1270" spans="3:197">
      <c r="C1270" s="80" t="str" cm="1">
        <f t="array" ref="C1270">_xlfn.IFS(MONTH(D1270)&lt;4,1,MONTH(D1270)&lt;7,2,MONTH(D1270)&lt;10,3,MONTH(D1270)&gt;9,4)&amp;"Q"&amp;RIGHT(YEAR(D1270),2)</f>
        <v>1Q21</v>
      </c>
      <c r="D1270" s="81">
        <f t="shared" si="433"/>
        <v>44255</v>
      </c>
      <c r="E1270" s="82">
        <f t="shared" si="429"/>
        <v>44235</v>
      </c>
      <c r="F1270" s="83">
        <f t="shared" si="438"/>
        <v>0.465</v>
      </c>
      <c r="G1270" s="83">
        <f t="shared" si="438"/>
        <v>0.375</v>
      </c>
      <c r="H1270" s="81"/>
      <c r="I1270" s="146">
        <v>44235</v>
      </c>
      <c r="J1270" s="147">
        <v>3.95</v>
      </c>
      <c r="K1270" s="147">
        <v>3.55</v>
      </c>
      <c r="L1270" s="147">
        <v>3.72</v>
      </c>
      <c r="M1270" s="94" cm="1">
        <f t="array" ref="M1270">INDEX($BV$29:$BV$1449,MATCH($D1270,$BR$29:$BR$1449,0),)</f>
        <v>3</v>
      </c>
      <c r="N1270" s="150">
        <f t="shared" si="430"/>
        <v>0</v>
      </c>
      <c r="O1270" s="150">
        <f t="shared" si="428"/>
        <v>0.00540540540540535</v>
      </c>
      <c r="P1270" s="150">
        <f t="shared" si="426"/>
        <v>0.0720461095100864</v>
      </c>
      <c r="Q1270" s="89">
        <f t="shared" si="431"/>
        <v>0.24</v>
      </c>
      <c r="AH1270" s="90"/>
      <c r="AI1270" s="85"/>
      <c r="AJ1270" s="36"/>
      <c r="AK1270" s="36"/>
      <c r="AL1270" s="36"/>
      <c r="AM1270" s="36"/>
      <c r="AN1270" s="36"/>
      <c r="AO1270" s="36"/>
      <c r="AP1270" s="36"/>
      <c r="AQ1270" s="36"/>
      <c r="BT1270" s="156"/>
      <c r="GE1270" s="94"/>
      <c r="GF1270" s="104">
        <f t="shared" si="435"/>
        <v>2017</v>
      </c>
      <c r="GG1270" s="104">
        <f t="shared" si="436"/>
        <v>51</v>
      </c>
      <c r="GH1270" s="35">
        <v>43089</v>
      </c>
      <c r="GI1270" s="26">
        <v>3.986</v>
      </c>
      <c r="GJ1270" s="94">
        <f t="shared" si="437"/>
        <v>7.972</v>
      </c>
      <c r="GK1270" s="104"/>
      <c r="GL1270" s="104"/>
      <c r="GO1270" s="94"/>
    </row>
    <row r="1271" spans="3:197">
      <c r="C1271" s="80" t="str" cm="1">
        <f t="array" ref="C1271">_xlfn.IFS(MONTH(D1271)&lt;4,1,MONTH(D1271)&lt;7,2,MONTH(D1271)&lt;10,3,MONTH(D1271)&gt;9,4)&amp;"Q"&amp;RIGHT(YEAR(D1271),2)</f>
        <v>1Q21</v>
      </c>
      <c r="D1271" s="81">
        <f t="shared" si="433"/>
        <v>44255</v>
      </c>
      <c r="E1271" s="82">
        <f t="shared" si="429"/>
        <v>44236</v>
      </c>
      <c r="F1271" s="83">
        <f t="shared" si="438"/>
        <v>0.466875</v>
      </c>
      <c r="G1271" s="83">
        <f t="shared" si="438"/>
        <v>0.375</v>
      </c>
      <c r="H1271" s="81"/>
      <c r="I1271" s="146">
        <v>44236</v>
      </c>
      <c r="J1271" s="147">
        <v>3.95</v>
      </c>
      <c r="K1271" s="147">
        <v>3.55</v>
      </c>
      <c r="L1271" s="147">
        <v>3.735</v>
      </c>
      <c r="M1271" s="94" cm="1">
        <f t="array" ref="M1271">INDEX($BV$29:$BV$1449,MATCH($D1271,$BR$29:$BR$1449,0),)</f>
        <v>3</v>
      </c>
      <c r="N1271" s="150">
        <f t="shared" si="430"/>
        <v>0.00403225806451601</v>
      </c>
      <c r="O1271" s="150">
        <f t="shared" si="428"/>
        <v>0.00673854447439348</v>
      </c>
      <c r="P1271" s="150">
        <f t="shared" si="426"/>
        <v>0.0595744680851065</v>
      </c>
      <c r="Q1271" s="89">
        <f t="shared" si="431"/>
        <v>0.245</v>
      </c>
      <c r="AH1271" s="90"/>
      <c r="AI1271" s="85"/>
      <c r="AJ1271" s="36"/>
      <c r="AK1271" s="36"/>
      <c r="AL1271" s="36"/>
      <c r="AM1271" s="36"/>
      <c r="AN1271" s="36"/>
      <c r="AO1271" s="36"/>
      <c r="AP1271" s="36"/>
      <c r="AQ1271" s="36"/>
      <c r="BT1271" s="156"/>
      <c r="GE1271" s="94"/>
      <c r="GF1271" s="104">
        <f t="shared" si="435"/>
        <v>2017</v>
      </c>
      <c r="GG1271" s="104">
        <f t="shared" si="436"/>
        <v>51</v>
      </c>
      <c r="GH1271" s="35">
        <v>43090</v>
      </c>
      <c r="GI1271" s="26">
        <v>3.99</v>
      </c>
      <c r="GJ1271" s="94">
        <f t="shared" si="437"/>
        <v>7.98</v>
      </c>
      <c r="GK1271" s="104"/>
      <c r="GL1271" s="104"/>
      <c r="GO1271" s="94"/>
    </row>
    <row r="1272" spans="3:197">
      <c r="C1272" s="80" t="str" cm="1">
        <f t="array" ref="C1272">_xlfn.IFS(MONTH(D1272)&lt;4,1,MONTH(D1272)&lt;7,2,MONTH(D1272)&lt;10,3,MONTH(D1272)&gt;9,4)&amp;"Q"&amp;RIGHT(YEAR(D1272),2)</f>
        <v>1Q21</v>
      </c>
      <c r="D1272" s="81">
        <f t="shared" si="433"/>
        <v>44255</v>
      </c>
      <c r="E1272" s="82">
        <f t="shared" si="429"/>
        <v>44237</v>
      </c>
      <c r="F1272" s="83">
        <f t="shared" si="438"/>
        <v>0.466875</v>
      </c>
      <c r="G1272" s="83">
        <f t="shared" si="438"/>
        <v>0.375</v>
      </c>
      <c r="H1272" s="81"/>
      <c r="I1272" s="146">
        <v>44237</v>
      </c>
      <c r="J1272" s="147">
        <v>3.95</v>
      </c>
      <c r="K1272" s="147">
        <v>3.55</v>
      </c>
      <c r="L1272" s="147">
        <v>3.735</v>
      </c>
      <c r="M1272" s="94" cm="1">
        <f t="array" ref="M1272">INDEX($BV$29:$BV$1449,MATCH($D1272,$BR$29:$BR$1449,0),)</f>
        <v>3</v>
      </c>
      <c r="N1272" s="150">
        <f t="shared" si="430"/>
        <v>0</v>
      </c>
      <c r="O1272" s="150">
        <f t="shared" si="428"/>
        <v>0.00673854447439348</v>
      </c>
      <c r="P1272" s="150">
        <f t="shared" si="426"/>
        <v>0.0565770862800565</v>
      </c>
      <c r="Q1272" s="89">
        <f t="shared" si="431"/>
        <v>0.245</v>
      </c>
      <c r="AH1272" s="90"/>
      <c r="AI1272" s="85"/>
      <c r="AJ1272" s="36"/>
      <c r="AK1272" s="36"/>
      <c r="AL1272" s="36"/>
      <c r="AM1272" s="36"/>
      <c r="AN1272" s="36"/>
      <c r="AO1272" s="36"/>
      <c r="AP1272" s="36"/>
      <c r="AQ1272" s="36"/>
      <c r="BT1272" s="156"/>
      <c r="GE1272" s="94"/>
      <c r="GF1272" s="104">
        <f t="shared" si="435"/>
        <v>2017</v>
      </c>
      <c r="GG1272" s="104">
        <f t="shared" si="436"/>
        <v>51</v>
      </c>
      <c r="GH1272" s="35">
        <v>43091</v>
      </c>
      <c r="GI1272" s="26">
        <v>3.99</v>
      </c>
      <c r="GJ1272" s="94">
        <f t="shared" si="437"/>
        <v>7.98</v>
      </c>
      <c r="GK1272" s="104"/>
      <c r="GL1272" s="104"/>
      <c r="GO1272" s="94"/>
    </row>
    <row r="1273" spans="3:197">
      <c r="C1273" s="80" t="str" cm="1">
        <f t="array" ref="C1273">_xlfn.IFS(MONTH(D1273)&lt;4,1,MONTH(D1273)&lt;7,2,MONTH(D1273)&lt;10,3,MONTH(D1273)&gt;9,4)&amp;"Q"&amp;RIGHT(YEAR(D1273),2)</f>
        <v>1Q21</v>
      </c>
      <c r="D1273" s="81">
        <f t="shared" si="433"/>
        <v>44255</v>
      </c>
      <c r="E1273" s="82">
        <f t="shared" si="429"/>
        <v>44244</v>
      </c>
      <c r="F1273" s="83">
        <f t="shared" si="438"/>
        <v>0.46875</v>
      </c>
      <c r="G1273" s="83">
        <f t="shared" si="438"/>
        <v>0.375</v>
      </c>
      <c r="H1273" s="81"/>
      <c r="I1273" s="146">
        <v>44244</v>
      </c>
      <c r="J1273" s="147">
        <v>3.95</v>
      </c>
      <c r="K1273" s="147">
        <v>3.6</v>
      </c>
      <c r="L1273" s="147">
        <v>3.75</v>
      </c>
      <c r="M1273" s="94" cm="1">
        <f t="array" ref="M1273">INDEX($BV$29:$BV$1449,MATCH($D1273,$BR$29:$BR$1449,0),)</f>
        <v>3</v>
      </c>
      <c r="N1273" s="150">
        <f t="shared" si="430"/>
        <v>0.00401606425702816</v>
      </c>
      <c r="O1273" s="150">
        <f t="shared" si="428"/>
        <v>0.00806451612903225</v>
      </c>
      <c r="P1273" s="150">
        <f t="shared" si="426"/>
        <v>0.0387811634349031</v>
      </c>
      <c r="Q1273" s="89">
        <f t="shared" si="431"/>
        <v>0.25</v>
      </c>
      <c r="AH1273" s="90"/>
      <c r="AI1273" s="85"/>
      <c r="AJ1273" s="36"/>
      <c r="AK1273" s="36"/>
      <c r="AL1273" s="36"/>
      <c r="AM1273" s="36"/>
      <c r="AN1273" s="36"/>
      <c r="AO1273" s="36"/>
      <c r="AP1273" s="36"/>
      <c r="AQ1273" s="36"/>
      <c r="BT1273" s="156"/>
      <c r="GE1273" s="94"/>
      <c r="GF1273" s="104">
        <f t="shared" si="435"/>
        <v>2017</v>
      </c>
      <c r="GG1273" s="104">
        <f t="shared" si="436"/>
        <v>52</v>
      </c>
      <c r="GH1273" s="35">
        <v>43094</v>
      </c>
      <c r="GI1273" s="26">
        <v>3.99</v>
      </c>
      <c r="GJ1273" s="94">
        <f t="shared" si="437"/>
        <v>7.98</v>
      </c>
      <c r="GK1273" s="104"/>
      <c r="GL1273" s="104"/>
      <c r="GO1273" s="94"/>
    </row>
    <row r="1274" spans="3:197">
      <c r="C1274" s="80" t="str" cm="1">
        <f t="array" ref="C1274">_xlfn.IFS(MONTH(D1274)&lt;4,1,MONTH(D1274)&lt;7,2,MONTH(D1274)&lt;10,3,MONTH(D1274)&gt;9,4)&amp;"Q"&amp;RIGHT(YEAR(D1274),2)</f>
        <v>1Q21</v>
      </c>
      <c r="D1274" s="81">
        <f t="shared" si="433"/>
        <v>44255</v>
      </c>
      <c r="E1274" s="82">
        <f t="shared" si="429"/>
        <v>44245</v>
      </c>
      <c r="F1274" s="83">
        <f t="shared" si="438"/>
        <v>0.489375</v>
      </c>
      <c r="G1274" s="83">
        <f t="shared" si="438"/>
        <v>0.375</v>
      </c>
      <c r="H1274" s="81"/>
      <c r="I1274" s="146">
        <v>44245</v>
      </c>
      <c r="J1274" s="147">
        <v>4.1</v>
      </c>
      <c r="K1274" s="147">
        <v>3.75</v>
      </c>
      <c r="L1274" s="147">
        <v>3.915</v>
      </c>
      <c r="M1274" s="94" cm="1">
        <f t="array" ref="M1274">INDEX($BV$29:$BV$1449,MATCH($D1274,$BR$29:$BR$1449,0),)</f>
        <v>3</v>
      </c>
      <c r="N1274" s="150">
        <f t="shared" si="430"/>
        <v>0.044</v>
      </c>
      <c r="O1274" s="150">
        <f t="shared" si="428"/>
        <v>0.0524193548387097</v>
      </c>
      <c r="P1274" s="150">
        <f t="shared" si="426"/>
        <v>0.0624151967435549</v>
      </c>
      <c r="Q1274" s="89">
        <f t="shared" si="431"/>
        <v>0.305</v>
      </c>
      <c r="AH1274" s="90"/>
      <c r="AI1274" s="85"/>
      <c r="AJ1274" s="36"/>
      <c r="AK1274" s="36"/>
      <c r="AL1274" s="36"/>
      <c r="AM1274" s="36"/>
      <c r="AN1274" s="36"/>
      <c r="AO1274" s="36"/>
      <c r="AP1274" s="36"/>
      <c r="AQ1274" s="36"/>
      <c r="BT1274" s="156"/>
      <c r="GE1274" s="94"/>
      <c r="GF1274" s="104">
        <f t="shared" si="435"/>
        <v>2017</v>
      </c>
      <c r="GG1274" s="104">
        <f t="shared" si="436"/>
        <v>52</v>
      </c>
      <c r="GH1274" s="35">
        <v>43095</v>
      </c>
      <c r="GI1274" s="26">
        <v>3.99</v>
      </c>
      <c r="GJ1274" s="94">
        <f t="shared" si="437"/>
        <v>7.98</v>
      </c>
      <c r="GK1274" s="104"/>
      <c r="GL1274" s="104"/>
      <c r="GO1274" s="94"/>
    </row>
    <row r="1275" spans="3:197">
      <c r="C1275" s="80" t="str" cm="1">
        <f t="array" ref="C1275">_xlfn.IFS(MONTH(D1275)&lt;4,1,MONTH(D1275)&lt;7,2,MONTH(D1275)&lt;10,3,MONTH(D1275)&gt;9,4)&amp;"Q"&amp;RIGHT(YEAR(D1275),2)</f>
        <v>1Q21</v>
      </c>
      <c r="D1275" s="81">
        <f t="shared" si="433"/>
        <v>44255</v>
      </c>
      <c r="E1275" s="82">
        <f t="shared" si="429"/>
        <v>44246</v>
      </c>
      <c r="F1275" s="83">
        <f t="shared" si="438"/>
        <v>0.49875</v>
      </c>
      <c r="G1275" s="83">
        <f t="shared" si="438"/>
        <v>0.375</v>
      </c>
      <c r="H1275" s="81"/>
      <c r="I1275" s="146">
        <v>44246</v>
      </c>
      <c r="J1275" s="147">
        <v>4.15</v>
      </c>
      <c r="K1275" s="147">
        <v>3.8</v>
      </c>
      <c r="L1275" s="147">
        <v>3.99</v>
      </c>
      <c r="M1275" s="94" cm="1">
        <f t="array" ref="M1275">INDEX($BV$29:$BV$1449,MATCH($D1275,$BR$29:$BR$1449,0),)</f>
        <v>3</v>
      </c>
      <c r="N1275" s="150">
        <f t="shared" si="430"/>
        <v>0.0191570881226053</v>
      </c>
      <c r="O1275" s="150">
        <f t="shared" si="428"/>
        <v>0.0725806451612903</v>
      </c>
      <c r="P1275" s="150">
        <f t="shared" si="426"/>
        <v>0.0783783783783785</v>
      </c>
      <c r="Q1275" s="89">
        <f t="shared" si="431"/>
        <v>0.33</v>
      </c>
      <c r="AH1275" s="90"/>
      <c r="AI1275" s="85"/>
      <c r="AJ1275" s="36"/>
      <c r="AK1275" s="36"/>
      <c r="AL1275" s="36"/>
      <c r="AM1275" s="36"/>
      <c r="AN1275" s="36"/>
      <c r="AO1275" s="36"/>
      <c r="AP1275" s="36"/>
      <c r="AQ1275" s="36"/>
      <c r="BT1275" s="156"/>
      <c r="GE1275" s="94"/>
      <c r="GF1275" s="104">
        <f t="shared" si="435"/>
        <v>2017</v>
      </c>
      <c r="GG1275" s="104">
        <f t="shared" si="436"/>
        <v>52</v>
      </c>
      <c r="GH1275" s="35">
        <v>43096</v>
      </c>
      <c r="GI1275" s="26">
        <v>3.977</v>
      </c>
      <c r="GJ1275" s="94">
        <f t="shared" si="437"/>
        <v>7.954</v>
      </c>
      <c r="GK1275" s="104"/>
      <c r="GL1275" s="104"/>
      <c r="GO1275" s="94"/>
    </row>
    <row r="1276" spans="3:197">
      <c r="C1276" s="80" t="str" cm="1">
        <f t="array" ref="C1276">_xlfn.IFS(MONTH(D1276)&lt;4,1,MONTH(D1276)&lt;7,2,MONTH(D1276)&lt;10,3,MONTH(D1276)&gt;9,4)&amp;"Q"&amp;RIGHT(YEAR(D1276),2)</f>
        <v>1Q21</v>
      </c>
      <c r="D1276" s="81">
        <f t="shared" si="433"/>
        <v>44255</v>
      </c>
      <c r="E1276" s="82">
        <f t="shared" si="429"/>
        <v>44249</v>
      </c>
      <c r="F1276" s="83">
        <f t="shared" si="438"/>
        <v>0.509375</v>
      </c>
      <c r="G1276" s="83">
        <f t="shared" si="438"/>
        <v>0.375</v>
      </c>
      <c r="H1276" s="81"/>
      <c r="I1276" s="146">
        <v>44249</v>
      </c>
      <c r="J1276" s="147">
        <v>4.25</v>
      </c>
      <c r="K1276" s="147">
        <v>3.9</v>
      </c>
      <c r="L1276" s="147">
        <v>4.075</v>
      </c>
      <c r="M1276" s="94" cm="1">
        <f t="array" ref="M1276">INDEX($BV$29:$BV$1449,MATCH($D1276,$BR$29:$BR$1449,0),)</f>
        <v>3</v>
      </c>
      <c r="N1276" s="150">
        <f t="shared" si="430"/>
        <v>0.0213032581453634</v>
      </c>
      <c r="O1276" s="150">
        <f t="shared" si="428"/>
        <v>0.0910307898259706</v>
      </c>
      <c r="P1276" s="150">
        <f t="shared" si="426"/>
        <v>0.0983827493261455</v>
      </c>
      <c r="Q1276" s="89">
        <f t="shared" si="431"/>
        <v>0.358333333333333</v>
      </c>
      <c r="AH1276" s="90"/>
      <c r="AI1276" s="85"/>
      <c r="AJ1276" s="36"/>
      <c r="AK1276" s="36"/>
      <c r="AL1276" s="36"/>
      <c r="AM1276" s="36"/>
      <c r="AN1276" s="36"/>
      <c r="AO1276" s="36"/>
      <c r="AP1276" s="36"/>
      <c r="AQ1276" s="36"/>
      <c r="BT1276" s="156"/>
      <c r="GE1276" s="94"/>
      <c r="GF1276" s="104">
        <f t="shared" si="435"/>
        <v>2017</v>
      </c>
      <c r="GG1276" s="104">
        <f t="shared" si="436"/>
        <v>52</v>
      </c>
      <c r="GH1276" s="35">
        <v>43097</v>
      </c>
      <c r="GI1276" s="26">
        <v>3.967</v>
      </c>
      <c r="GJ1276" s="94">
        <f t="shared" si="437"/>
        <v>7.934</v>
      </c>
      <c r="GK1276" s="104"/>
      <c r="GL1276" s="104"/>
      <c r="GO1276" s="94"/>
    </row>
    <row r="1277" spans="3:197">
      <c r="C1277" s="80" t="str" cm="1">
        <f t="array" ref="C1277">_xlfn.IFS(MONTH(D1277)&lt;4,1,MONTH(D1277)&lt;7,2,MONTH(D1277)&lt;10,3,MONTH(D1277)&gt;9,4)&amp;"Q"&amp;RIGHT(YEAR(D1277),2)</f>
        <v>1Q21</v>
      </c>
      <c r="D1277" s="81">
        <f t="shared" si="433"/>
        <v>44255</v>
      </c>
      <c r="E1277" s="82">
        <f t="shared" si="429"/>
        <v>44250</v>
      </c>
      <c r="F1277" s="83">
        <f t="shared" si="438"/>
        <v>0.51875</v>
      </c>
      <c r="G1277" s="83">
        <f t="shared" si="438"/>
        <v>0.375</v>
      </c>
      <c r="H1277" s="81"/>
      <c r="I1277" s="146">
        <v>44250</v>
      </c>
      <c r="J1277" s="147">
        <v>4.3</v>
      </c>
      <c r="K1277" s="147">
        <v>3.95</v>
      </c>
      <c r="L1277" s="147">
        <v>4.15</v>
      </c>
      <c r="M1277" s="94" cm="1">
        <f t="array" ref="M1277">INDEX($BV$29:$BV$1449,MATCH($D1277,$BR$29:$BR$1449,0),)</f>
        <v>3</v>
      </c>
      <c r="N1277" s="150">
        <f t="shared" si="430"/>
        <v>0.0184049079754602</v>
      </c>
      <c r="O1277" s="150">
        <f t="shared" si="428"/>
        <v>0.111111111111111</v>
      </c>
      <c r="P1277" s="150">
        <f t="shared" si="426"/>
        <v>0.118598382749326</v>
      </c>
      <c r="Q1277" s="89">
        <f t="shared" si="431"/>
        <v>0.383333333333334</v>
      </c>
      <c r="AH1277" s="90"/>
      <c r="AI1277" s="85"/>
      <c r="AJ1277" s="36"/>
      <c r="AK1277" s="36"/>
      <c r="AL1277" s="36"/>
      <c r="AM1277" s="36"/>
      <c r="AN1277" s="36"/>
      <c r="AO1277" s="36"/>
      <c r="AP1277" s="36"/>
      <c r="AQ1277" s="36"/>
      <c r="BT1277" s="156"/>
      <c r="GE1277" s="94"/>
      <c r="GF1277" s="104">
        <f t="shared" si="435"/>
        <v>2017</v>
      </c>
      <c r="GG1277" s="104">
        <f t="shared" si="436"/>
        <v>52</v>
      </c>
      <c r="GH1277" s="35">
        <v>43098</v>
      </c>
      <c r="GI1277" s="26">
        <v>3.961</v>
      </c>
      <c r="GJ1277" s="94">
        <f t="shared" si="437"/>
        <v>7.922</v>
      </c>
      <c r="GK1277" s="104"/>
      <c r="GL1277" s="104"/>
      <c r="GO1277" s="94"/>
    </row>
    <row r="1278" spans="3:197">
      <c r="C1278" s="80" t="str" cm="1">
        <f t="array" ref="C1278">_xlfn.IFS(MONTH(D1278)&lt;4,1,MONTH(D1278)&lt;7,2,MONTH(D1278)&lt;10,3,MONTH(D1278)&gt;9,4)&amp;"Q"&amp;RIGHT(YEAR(D1278),2)</f>
        <v>1Q21</v>
      </c>
      <c r="D1278" s="81">
        <f t="shared" si="433"/>
        <v>44255</v>
      </c>
      <c r="E1278" s="82">
        <f t="shared" si="429"/>
        <v>44251</v>
      </c>
      <c r="F1278" s="83">
        <f t="shared" si="438"/>
        <v>0.525</v>
      </c>
      <c r="G1278" s="83">
        <f t="shared" si="438"/>
        <v>0.375</v>
      </c>
      <c r="H1278" s="81"/>
      <c r="I1278" s="146">
        <v>44251</v>
      </c>
      <c r="J1278" s="147">
        <v>4.35</v>
      </c>
      <c r="K1278" s="147">
        <v>4.05</v>
      </c>
      <c r="L1278" s="147">
        <v>4.2</v>
      </c>
      <c r="M1278" s="94" cm="1">
        <f t="array" ref="M1278">INDEX($BV$29:$BV$1449,MATCH($D1278,$BR$29:$BR$1449,0),)</f>
        <v>3</v>
      </c>
      <c r="N1278" s="150">
        <f t="shared" si="430"/>
        <v>0.0120481927710843</v>
      </c>
      <c r="O1278" s="150">
        <f t="shared" si="428"/>
        <v>0.12</v>
      </c>
      <c r="P1278" s="150">
        <f t="shared" si="426"/>
        <v>0.129032258064516</v>
      </c>
      <c r="Q1278" s="89">
        <f t="shared" si="431"/>
        <v>0.4</v>
      </c>
      <c r="AH1278" s="90"/>
      <c r="AI1278" s="85"/>
      <c r="AJ1278" s="36"/>
      <c r="AK1278" s="36"/>
      <c r="AL1278" s="36"/>
      <c r="AM1278" s="36"/>
      <c r="AN1278" s="36"/>
      <c r="AO1278" s="36"/>
      <c r="AP1278" s="36"/>
      <c r="AQ1278" s="36"/>
      <c r="BS1278" s="59"/>
      <c r="BT1278" s="156"/>
      <c r="GE1278" s="94"/>
      <c r="GF1278" s="104">
        <f t="shared" si="435"/>
        <v>2018</v>
      </c>
      <c r="GG1278" s="104">
        <f t="shared" si="436"/>
        <v>1</v>
      </c>
      <c r="GH1278" s="35">
        <v>43102</v>
      </c>
      <c r="GI1278" s="26">
        <v>3.957</v>
      </c>
      <c r="GJ1278" s="94">
        <f t="shared" si="437"/>
        <v>7.914</v>
      </c>
      <c r="GK1278" s="104"/>
      <c r="GL1278" s="104"/>
      <c r="GO1278" s="94"/>
    </row>
    <row r="1279" spans="3:197">
      <c r="C1279" s="80" t="str" cm="1">
        <f t="array" ref="C1279">_xlfn.IFS(MONTH(D1279)&lt;4,1,MONTH(D1279)&lt;7,2,MONTH(D1279)&lt;10,3,MONTH(D1279)&gt;9,4)&amp;"Q"&amp;RIGHT(YEAR(D1279),2)</f>
        <v>1Q21</v>
      </c>
      <c r="D1279" s="81">
        <f t="shared" si="433"/>
        <v>44255</v>
      </c>
      <c r="E1279" s="82">
        <f t="shared" si="429"/>
        <v>44252</v>
      </c>
      <c r="F1279" s="83">
        <f t="shared" si="438"/>
        <v>0.534375</v>
      </c>
      <c r="G1279" s="83">
        <f t="shared" si="438"/>
        <v>0.375</v>
      </c>
      <c r="H1279" s="81"/>
      <c r="I1279" s="146">
        <v>44252</v>
      </c>
      <c r="J1279" s="147">
        <v>4.5</v>
      </c>
      <c r="K1279" s="147">
        <v>4.2</v>
      </c>
      <c r="L1279" s="147">
        <v>4.275</v>
      </c>
      <c r="M1279" s="94" cm="1">
        <f t="array" ref="M1279">INDEX($BV$29:$BV$1449,MATCH($D1279,$BR$29:$BR$1449,0),)</f>
        <v>3</v>
      </c>
      <c r="N1279" s="150">
        <f t="shared" si="430"/>
        <v>0.0178571428571428</v>
      </c>
      <c r="O1279" s="150">
        <f t="shared" si="428"/>
        <v>0.0919540229885059</v>
      </c>
      <c r="P1279" s="150">
        <f t="shared" si="426"/>
        <v>0.149193548387097</v>
      </c>
      <c r="Q1279" s="89">
        <f t="shared" si="431"/>
        <v>0.425</v>
      </c>
      <c r="AH1279" s="90"/>
      <c r="AI1279" s="85"/>
      <c r="AJ1279" s="36"/>
      <c r="AK1279" s="36"/>
      <c r="AL1279" s="36"/>
      <c r="AM1279" s="36"/>
      <c r="AN1279" s="36"/>
      <c r="AO1279" s="36"/>
      <c r="AP1279" s="36"/>
      <c r="AQ1279" s="36"/>
      <c r="BS1279" s="59"/>
      <c r="BT1279" s="156"/>
      <c r="GE1279" s="94"/>
      <c r="GF1279" s="104">
        <f t="shared" si="435"/>
        <v>2018</v>
      </c>
      <c r="GG1279" s="104">
        <f t="shared" si="436"/>
        <v>1</v>
      </c>
      <c r="GH1279" s="35">
        <v>43103</v>
      </c>
      <c r="GI1279" s="26">
        <v>3.938</v>
      </c>
      <c r="GJ1279" s="94">
        <f t="shared" si="437"/>
        <v>7.876</v>
      </c>
      <c r="GK1279" s="104"/>
      <c r="GL1279" s="104"/>
      <c r="GO1279" s="94"/>
    </row>
    <row r="1280" spans="3:197">
      <c r="C1280" s="80" t="str" cm="1">
        <f t="array" ref="C1280">_xlfn.IFS(MONTH(D1280)&lt;4,1,MONTH(D1280)&lt;7,2,MONTH(D1280)&lt;10,3,MONTH(D1280)&gt;9,4)&amp;"Q"&amp;RIGHT(YEAR(D1280),2)</f>
        <v>1Q21</v>
      </c>
      <c r="D1280" s="81">
        <f t="shared" si="433"/>
        <v>44255</v>
      </c>
      <c r="E1280" s="82">
        <f t="shared" si="429"/>
        <v>44253</v>
      </c>
      <c r="F1280" s="83">
        <f t="shared" si="438"/>
        <v>0.54375</v>
      </c>
      <c r="G1280" s="83">
        <f t="shared" si="438"/>
        <v>0.375</v>
      </c>
      <c r="H1280" s="81"/>
      <c r="I1280" s="146">
        <v>44253</v>
      </c>
      <c r="J1280" s="147">
        <v>4.5</v>
      </c>
      <c r="K1280" s="147">
        <v>4.2</v>
      </c>
      <c r="L1280" s="147">
        <v>4.35</v>
      </c>
      <c r="M1280" s="94" cm="1">
        <f t="array" ref="M1280">INDEX($BV$29:$BV$1449,MATCH($D1280,$BR$29:$BR$1449,0),)</f>
        <v>3</v>
      </c>
      <c r="N1280" s="150">
        <f t="shared" si="430"/>
        <v>0.0175438596491226</v>
      </c>
      <c r="O1280" s="150">
        <f t="shared" si="428"/>
        <v>0.0902255639097742</v>
      </c>
      <c r="P1280" s="150">
        <f t="shared" ref="P1280:P1343" si="439">L1280/L1270-1</f>
        <v>0.169354838709677</v>
      </c>
      <c r="Q1280" s="89">
        <f t="shared" si="431"/>
        <v>0.45</v>
      </c>
      <c r="AH1280" s="90"/>
      <c r="AI1280" s="85"/>
      <c r="AJ1280" s="36"/>
      <c r="AK1280" s="36"/>
      <c r="AL1280" s="36"/>
      <c r="AM1280" s="36"/>
      <c r="AN1280" s="36"/>
      <c r="AO1280" s="36"/>
      <c r="AP1280" s="36"/>
      <c r="AQ1280" s="36"/>
      <c r="BS1280" s="59"/>
      <c r="BT1280" s="156"/>
      <c r="GE1280" s="94"/>
      <c r="GF1280" s="104">
        <f t="shared" si="435"/>
        <v>2018</v>
      </c>
      <c r="GG1280" s="104">
        <f t="shared" si="436"/>
        <v>1</v>
      </c>
      <c r="GH1280" s="35">
        <v>43104</v>
      </c>
      <c r="GI1280" s="26">
        <v>3.937</v>
      </c>
      <c r="GJ1280" s="94">
        <f t="shared" si="437"/>
        <v>7.874</v>
      </c>
      <c r="GK1280" s="104"/>
      <c r="GL1280" s="104"/>
      <c r="GO1280" s="94"/>
    </row>
    <row r="1281" spans="3:197">
      <c r="C1281" s="80" t="str" cm="1">
        <f t="array" ref="C1281">_xlfn.IFS(MONTH(D1281)&lt;4,1,MONTH(D1281)&lt;7,2,MONTH(D1281)&lt;10,3,MONTH(D1281)&gt;9,4)&amp;"Q"&amp;RIGHT(YEAR(D1281),2)</f>
        <v>1Q21</v>
      </c>
      <c r="D1281" s="81">
        <f t="shared" si="433"/>
        <v>44286</v>
      </c>
      <c r="E1281" s="82">
        <f t="shared" si="429"/>
        <v>44256</v>
      </c>
      <c r="F1281" s="83">
        <f t="shared" si="438"/>
        <v>0.546875</v>
      </c>
      <c r="G1281" s="83">
        <f t="shared" si="438"/>
        <v>0.375</v>
      </c>
      <c r="H1281" s="81"/>
      <c r="I1281" s="146">
        <v>44256</v>
      </c>
      <c r="J1281" s="147">
        <v>4.5</v>
      </c>
      <c r="K1281" s="147">
        <v>4.2</v>
      </c>
      <c r="L1281" s="147">
        <v>4.375</v>
      </c>
      <c r="M1281" s="94" cm="1">
        <f t="array" ref="M1281">INDEX($BV$29:$BV$1449,MATCH($D1281,$BR$29:$BR$1449,0),)</f>
        <v>3</v>
      </c>
      <c r="N1281" s="150">
        <f t="shared" si="430"/>
        <v>0.00574712643678166</v>
      </c>
      <c r="O1281" s="150">
        <f t="shared" si="428"/>
        <v>0.0736196319018405</v>
      </c>
      <c r="P1281" s="150">
        <f t="shared" si="439"/>
        <v>0.171352074966533</v>
      </c>
      <c r="Q1281" s="89">
        <f t="shared" si="431"/>
        <v>0.458333333333333</v>
      </c>
      <c r="AH1281" s="90"/>
      <c r="AI1281" s="85"/>
      <c r="AJ1281" s="36"/>
      <c r="AK1281" s="36"/>
      <c r="AL1281" s="36"/>
      <c r="AM1281" s="36"/>
      <c r="AN1281" s="36"/>
      <c r="AO1281" s="36"/>
      <c r="AP1281" s="36"/>
      <c r="AQ1281" s="36"/>
      <c r="BS1281" s="59"/>
      <c r="BT1281" s="156"/>
      <c r="GE1281" s="94"/>
      <c r="GF1281" s="104">
        <f t="shared" si="435"/>
        <v>2018</v>
      </c>
      <c r="GG1281" s="104">
        <f t="shared" si="436"/>
        <v>1</v>
      </c>
      <c r="GH1281" s="35">
        <v>43105</v>
      </c>
      <c r="GI1281" s="26">
        <v>3.909</v>
      </c>
      <c r="GJ1281" s="94">
        <f t="shared" si="437"/>
        <v>7.818</v>
      </c>
      <c r="GK1281" s="104"/>
      <c r="GL1281" s="104"/>
      <c r="GO1281" s="94"/>
    </row>
    <row r="1282" spans="3:197">
      <c r="C1282" s="80" t="str" cm="1">
        <f t="array" ref="C1282">_xlfn.IFS(MONTH(D1282)&lt;4,1,MONTH(D1282)&lt;7,2,MONTH(D1282)&lt;10,3,MONTH(D1282)&gt;9,4)&amp;"Q"&amp;RIGHT(YEAR(D1282),2)</f>
        <v>1Q21</v>
      </c>
      <c r="D1282" s="81">
        <f t="shared" si="433"/>
        <v>44286</v>
      </c>
      <c r="E1282" s="82">
        <f t="shared" si="429"/>
        <v>44257</v>
      </c>
      <c r="F1282" s="83">
        <f t="shared" si="438"/>
        <v>0.553125</v>
      </c>
      <c r="G1282" s="83">
        <f t="shared" si="438"/>
        <v>0.375</v>
      </c>
      <c r="H1282" s="81"/>
      <c r="I1282" s="146">
        <v>44257</v>
      </c>
      <c r="J1282" s="147">
        <v>4.65</v>
      </c>
      <c r="K1282" s="147">
        <v>4.2</v>
      </c>
      <c r="L1282" s="147">
        <v>4.425</v>
      </c>
      <c r="M1282" s="94" cm="1">
        <f t="array" ref="M1282">INDEX($BV$29:$BV$1449,MATCH($D1282,$BR$29:$BR$1449,0),)</f>
        <v>3</v>
      </c>
      <c r="N1282" s="150">
        <f t="shared" si="430"/>
        <v>0.0114285714285713</v>
      </c>
      <c r="O1282" s="150">
        <f t="shared" si="428"/>
        <v>0.0662650602409638</v>
      </c>
      <c r="P1282" s="150">
        <f t="shared" si="439"/>
        <v>0.184738955823293</v>
      </c>
      <c r="Q1282" s="89">
        <f t="shared" si="431"/>
        <v>0.475</v>
      </c>
      <c r="AH1282" s="90"/>
      <c r="AI1282" s="85"/>
      <c r="AJ1282" s="36"/>
      <c r="AK1282" s="36"/>
      <c r="AL1282" s="36"/>
      <c r="AM1282" s="36"/>
      <c r="AN1282" s="36"/>
      <c r="AO1282" s="36"/>
      <c r="AP1282" s="36"/>
      <c r="AQ1282" s="36"/>
      <c r="BS1282" s="59"/>
      <c r="BT1282" s="156"/>
      <c r="GE1282" s="94"/>
      <c r="GF1282" s="104">
        <f t="shared" si="435"/>
        <v>2018</v>
      </c>
      <c r="GG1282" s="104">
        <f t="shared" si="436"/>
        <v>2</v>
      </c>
      <c r="GH1282" s="35">
        <v>43108</v>
      </c>
      <c r="GI1282" s="26">
        <v>3.909</v>
      </c>
      <c r="GJ1282" s="94">
        <f t="shared" si="437"/>
        <v>7.818</v>
      </c>
      <c r="GK1282" s="104"/>
      <c r="GL1282" s="104"/>
      <c r="GO1282" s="94"/>
    </row>
    <row r="1283" spans="3:197">
      <c r="C1283" s="80" t="str" cm="1">
        <f t="array" ref="C1283">_xlfn.IFS(MONTH(D1283)&lt;4,1,MONTH(D1283)&lt;7,2,MONTH(D1283)&lt;10,3,MONTH(D1283)&gt;9,4)&amp;"Q"&amp;RIGHT(YEAR(D1283),2)</f>
        <v>1Q21</v>
      </c>
      <c r="D1283" s="81">
        <f t="shared" si="433"/>
        <v>44286</v>
      </c>
      <c r="E1283" s="82">
        <f t="shared" si="429"/>
        <v>44258</v>
      </c>
      <c r="F1283" s="83">
        <f t="shared" si="438"/>
        <v>0.553125</v>
      </c>
      <c r="G1283" s="83">
        <f t="shared" si="438"/>
        <v>0.375</v>
      </c>
      <c r="H1283" s="81"/>
      <c r="I1283" s="146">
        <v>44258</v>
      </c>
      <c r="J1283" s="147">
        <v>4.65</v>
      </c>
      <c r="K1283" s="147">
        <v>4.25</v>
      </c>
      <c r="L1283" s="147">
        <v>4.425</v>
      </c>
      <c r="M1283" s="94" cm="1">
        <f t="array" ref="M1283">INDEX($BV$29:$BV$1449,MATCH($D1283,$BR$29:$BR$1449,0),)</f>
        <v>3</v>
      </c>
      <c r="N1283" s="150">
        <f t="shared" si="430"/>
        <v>0</v>
      </c>
      <c r="O1283" s="150">
        <f t="shared" si="428"/>
        <v>0.0535714285714284</v>
      </c>
      <c r="P1283" s="150">
        <f t="shared" si="439"/>
        <v>0.18</v>
      </c>
      <c r="Q1283" s="89">
        <f t="shared" si="431"/>
        <v>0.475</v>
      </c>
      <c r="AH1283" s="90"/>
      <c r="AI1283" s="85"/>
      <c r="AJ1283" s="36"/>
      <c r="AK1283" s="36"/>
      <c r="AL1283" s="36"/>
      <c r="AM1283" s="36"/>
      <c r="AN1283" s="36"/>
      <c r="AO1283" s="36"/>
      <c r="AP1283" s="36"/>
      <c r="AQ1283" s="36"/>
      <c r="BS1283" s="59"/>
      <c r="BT1283" s="156"/>
      <c r="GE1283" s="94"/>
      <c r="GF1283" s="104">
        <f t="shared" si="435"/>
        <v>2018</v>
      </c>
      <c r="GG1283" s="104">
        <f t="shared" si="436"/>
        <v>2</v>
      </c>
      <c r="GH1283" s="35">
        <v>43109</v>
      </c>
      <c r="GI1283" s="26">
        <v>3.903</v>
      </c>
      <c r="GJ1283" s="94">
        <f t="shared" si="437"/>
        <v>7.806</v>
      </c>
      <c r="GK1283" s="104"/>
      <c r="GL1283" s="104"/>
      <c r="GO1283" s="94"/>
    </row>
    <row r="1284" spans="3:197">
      <c r="C1284" s="80" t="str" cm="1">
        <f t="array" ref="C1284">_xlfn.IFS(MONTH(D1284)&lt;4,1,MONTH(D1284)&lt;7,2,MONTH(D1284)&lt;10,3,MONTH(D1284)&gt;9,4)&amp;"Q"&amp;RIGHT(YEAR(D1284),2)</f>
        <v>1Q21</v>
      </c>
      <c r="D1284" s="81">
        <f t="shared" si="433"/>
        <v>44286</v>
      </c>
      <c r="E1284" s="82">
        <f t="shared" si="429"/>
        <v>44259</v>
      </c>
      <c r="F1284" s="83">
        <f t="shared" si="438"/>
        <v>0.553125</v>
      </c>
      <c r="G1284" s="83">
        <f t="shared" si="438"/>
        <v>0.375</v>
      </c>
      <c r="H1284" s="81"/>
      <c r="I1284" s="146">
        <v>44259</v>
      </c>
      <c r="J1284" s="147">
        <v>4.65</v>
      </c>
      <c r="K1284" s="147">
        <v>4.25</v>
      </c>
      <c r="L1284" s="147">
        <v>4.425</v>
      </c>
      <c r="M1284" s="94" cm="1">
        <f t="array" ref="M1284">INDEX($BV$29:$BV$1449,MATCH($D1284,$BR$29:$BR$1449,0),)</f>
        <v>3</v>
      </c>
      <c r="N1284" s="150">
        <f t="shared" si="430"/>
        <v>0</v>
      </c>
      <c r="O1284" s="150">
        <f t="shared" si="428"/>
        <v>0.0350877192982455</v>
      </c>
      <c r="P1284" s="150">
        <f t="shared" si="439"/>
        <v>0.130268199233716</v>
      </c>
      <c r="Q1284" s="89">
        <f t="shared" si="431"/>
        <v>0.475</v>
      </c>
      <c r="AH1284" s="90"/>
      <c r="AI1284" s="85"/>
      <c r="AJ1284" s="36"/>
      <c r="AK1284" s="36"/>
      <c r="AL1284" s="36"/>
      <c r="AM1284" s="36"/>
      <c r="AN1284" s="36"/>
      <c r="AO1284" s="36"/>
      <c r="AP1284" s="36"/>
      <c r="AQ1284" s="36"/>
      <c r="BS1284" s="59"/>
      <c r="BT1284" s="156"/>
      <c r="GE1284" s="94"/>
      <c r="GF1284" s="104">
        <f t="shared" si="435"/>
        <v>2018</v>
      </c>
      <c r="GG1284" s="104">
        <f t="shared" si="436"/>
        <v>2</v>
      </c>
      <c r="GH1284" s="35">
        <v>43110</v>
      </c>
      <c r="GI1284" s="26">
        <v>3.896</v>
      </c>
      <c r="GJ1284" s="94">
        <f t="shared" si="437"/>
        <v>7.792</v>
      </c>
      <c r="GK1284" s="104"/>
      <c r="GL1284" s="104"/>
      <c r="GO1284" s="94"/>
    </row>
    <row r="1285" spans="3:197">
      <c r="C1285" s="80" t="str" cm="1">
        <f t="array" ref="C1285">_xlfn.IFS(MONTH(D1285)&lt;4,1,MONTH(D1285)&lt;7,2,MONTH(D1285)&lt;10,3,MONTH(D1285)&gt;9,4)&amp;"Q"&amp;RIGHT(YEAR(D1285),2)</f>
        <v>1Q21</v>
      </c>
      <c r="D1285" s="81">
        <f t="shared" si="433"/>
        <v>44286</v>
      </c>
      <c r="E1285" s="82">
        <f t="shared" si="429"/>
        <v>44260</v>
      </c>
      <c r="F1285" s="83">
        <f t="shared" ref="F1285:G1316" si="440">+L1285/8</f>
        <v>0.553125</v>
      </c>
      <c r="G1285" s="83">
        <f t="shared" si="440"/>
        <v>0.375</v>
      </c>
      <c r="H1285" s="81"/>
      <c r="I1285" s="146">
        <v>44260</v>
      </c>
      <c r="J1285" s="147">
        <v>4.65</v>
      </c>
      <c r="K1285" s="147">
        <v>4.25</v>
      </c>
      <c r="L1285" s="147">
        <v>4.425</v>
      </c>
      <c r="M1285" s="94" cm="1">
        <f t="array" ref="M1285">INDEX($BV$29:$BV$1449,MATCH($D1285,$BR$29:$BR$1449,0),)</f>
        <v>3</v>
      </c>
      <c r="N1285" s="150">
        <f t="shared" si="430"/>
        <v>0</v>
      </c>
      <c r="O1285" s="150">
        <f t="shared" si="428"/>
        <v>0.017241379310345</v>
      </c>
      <c r="P1285" s="150">
        <f t="shared" si="439"/>
        <v>0.109022556390977</v>
      </c>
      <c r="Q1285" s="89">
        <f t="shared" si="431"/>
        <v>0.475</v>
      </c>
      <c r="AH1285" s="90"/>
      <c r="AI1285" s="85"/>
      <c r="AJ1285" s="36"/>
      <c r="AK1285" s="36"/>
      <c r="AL1285" s="36"/>
      <c r="AM1285" s="36"/>
      <c r="AN1285" s="36"/>
      <c r="AO1285" s="36"/>
      <c r="AP1285" s="36"/>
      <c r="AQ1285" s="36"/>
      <c r="BS1285" s="59"/>
      <c r="BT1285" s="156"/>
      <c r="GE1285" s="94"/>
      <c r="GF1285" s="104">
        <f t="shared" si="435"/>
        <v>2018</v>
      </c>
      <c r="GG1285" s="104">
        <f t="shared" si="436"/>
        <v>2</v>
      </c>
      <c r="GH1285" s="35">
        <v>43111</v>
      </c>
      <c r="GI1285" s="26">
        <v>3.884</v>
      </c>
      <c r="GJ1285" s="94">
        <f t="shared" si="437"/>
        <v>7.768</v>
      </c>
      <c r="GK1285" s="104"/>
      <c r="GL1285" s="104"/>
      <c r="GO1285" s="94"/>
    </row>
    <row r="1286" spans="3:197">
      <c r="C1286" s="80" t="str" cm="1">
        <f t="array" ref="C1286">_xlfn.IFS(MONTH(D1286)&lt;4,1,MONTH(D1286)&lt;7,2,MONTH(D1286)&lt;10,3,MONTH(D1286)&gt;9,4)&amp;"Q"&amp;RIGHT(YEAR(D1286),2)</f>
        <v>1Q21</v>
      </c>
      <c r="D1286" s="81">
        <f t="shared" si="433"/>
        <v>44286</v>
      </c>
      <c r="E1286" s="82">
        <f t="shared" si="429"/>
        <v>44263</v>
      </c>
      <c r="F1286" s="83">
        <f t="shared" si="440"/>
        <v>0.553125</v>
      </c>
      <c r="G1286" s="83">
        <f t="shared" si="440"/>
        <v>0.375</v>
      </c>
      <c r="H1286" s="81"/>
      <c r="I1286" s="146">
        <v>44263</v>
      </c>
      <c r="J1286" s="147">
        <v>4.65</v>
      </c>
      <c r="K1286" s="147">
        <v>4.25</v>
      </c>
      <c r="L1286" s="147">
        <v>4.425</v>
      </c>
      <c r="M1286" s="94" cm="1">
        <f t="array" ref="M1286">INDEX($BV$29:$BV$1449,MATCH($D1286,$BR$29:$BR$1449,0),)</f>
        <v>3</v>
      </c>
      <c r="N1286" s="150">
        <f t="shared" si="430"/>
        <v>0</v>
      </c>
      <c r="O1286" s="150">
        <f t="shared" si="428"/>
        <v>0.0114285714285713</v>
      </c>
      <c r="P1286" s="150">
        <f t="shared" si="439"/>
        <v>0.0858895705521472</v>
      </c>
      <c r="Q1286" s="89">
        <f t="shared" si="431"/>
        <v>0.475</v>
      </c>
      <c r="AH1286" s="90"/>
      <c r="AI1286" s="85"/>
      <c r="AJ1286" s="36"/>
      <c r="AK1286" s="36"/>
      <c r="AL1286" s="36"/>
      <c r="AM1286" s="36"/>
      <c r="AN1286" s="36"/>
      <c r="AO1286" s="36"/>
      <c r="AP1286" s="36"/>
      <c r="AQ1286" s="36"/>
      <c r="BS1286" s="59"/>
      <c r="BT1286" s="156"/>
      <c r="GE1286" s="94"/>
      <c r="GF1286" s="104">
        <f t="shared" si="435"/>
        <v>2018</v>
      </c>
      <c r="GG1286" s="104">
        <f t="shared" si="436"/>
        <v>2</v>
      </c>
      <c r="GH1286" s="35">
        <v>43112</v>
      </c>
      <c r="GI1286" s="26">
        <v>3.883</v>
      </c>
      <c r="GJ1286" s="94">
        <f t="shared" si="437"/>
        <v>7.766</v>
      </c>
      <c r="GK1286" s="104"/>
      <c r="GL1286" s="104"/>
      <c r="GO1286" s="94"/>
    </row>
    <row r="1287" spans="3:197">
      <c r="C1287" s="80" t="str" cm="1">
        <f t="array" ref="C1287">_xlfn.IFS(MONTH(D1287)&lt;4,1,MONTH(D1287)&lt;7,2,MONTH(D1287)&lt;10,3,MONTH(D1287)&gt;9,4)&amp;"Q"&amp;RIGHT(YEAR(D1287),2)</f>
        <v>1Q21</v>
      </c>
      <c r="D1287" s="81">
        <f t="shared" si="433"/>
        <v>44286</v>
      </c>
      <c r="E1287" s="82">
        <f t="shared" si="429"/>
        <v>44264</v>
      </c>
      <c r="F1287" s="83">
        <f t="shared" si="440"/>
        <v>0.553125</v>
      </c>
      <c r="G1287" s="83">
        <f t="shared" si="440"/>
        <v>0.375</v>
      </c>
      <c r="H1287" s="81"/>
      <c r="I1287" s="146">
        <v>44264</v>
      </c>
      <c r="J1287" s="147">
        <v>4.65</v>
      </c>
      <c r="K1287" s="147">
        <v>4.25</v>
      </c>
      <c r="L1287" s="147">
        <v>4.425</v>
      </c>
      <c r="M1287" s="94" cm="1">
        <f t="array" ref="M1287">INDEX($BV$29:$BV$1449,MATCH($D1287,$BR$29:$BR$1449,0),)</f>
        <v>3</v>
      </c>
      <c r="N1287" s="150">
        <f t="shared" si="430"/>
        <v>0</v>
      </c>
      <c r="O1287" s="150">
        <f t="shared" si="428"/>
        <v>0</v>
      </c>
      <c r="P1287" s="150">
        <f t="shared" si="439"/>
        <v>0.0662650602409638</v>
      </c>
      <c r="Q1287" s="89">
        <f t="shared" si="431"/>
        <v>0.475</v>
      </c>
      <c r="AH1287" s="90"/>
      <c r="AI1287" s="85"/>
      <c r="AJ1287" s="36"/>
      <c r="AK1287" s="36"/>
      <c r="AL1287" s="36"/>
      <c r="AM1287" s="36"/>
      <c r="AN1287" s="36"/>
      <c r="AO1287" s="36"/>
      <c r="AP1287" s="36"/>
      <c r="AQ1287" s="36"/>
      <c r="BS1287" s="59"/>
      <c r="BT1287" s="156"/>
      <c r="GE1287" s="94"/>
      <c r="GF1287" s="104">
        <f t="shared" si="435"/>
        <v>2018</v>
      </c>
      <c r="GG1287" s="104">
        <f t="shared" si="436"/>
        <v>3</v>
      </c>
      <c r="GH1287" s="35">
        <v>43115</v>
      </c>
      <c r="GI1287" s="26">
        <v>3.883</v>
      </c>
      <c r="GJ1287" s="94">
        <f t="shared" si="437"/>
        <v>7.766</v>
      </c>
      <c r="GK1287" s="104"/>
      <c r="GL1287" s="104"/>
      <c r="GO1287" s="94"/>
    </row>
    <row r="1288" spans="3:197">
      <c r="C1288" s="80" t="str" cm="1">
        <f t="array" ref="C1288">_xlfn.IFS(MONTH(D1288)&lt;4,1,MONTH(D1288)&lt;7,2,MONTH(D1288)&lt;10,3,MONTH(D1288)&gt;9,4)&amp;"Q"&amp;RIGHT(YEAR(D1288),2)</f>
        <v>1Q21</v>
      </c>
      <c r="D1288" s="81">
        <f t="shared" si="433"/>
        <v>44286</v>
      </c>
      <c r="E1288" s="82">
        <f t="shared" si="429"/>
        <v>44265</v>
      </c>
      <c r="F1288" s="83">
        <f t="shared" si="440"/>
        <v>0.559375</v>
      </c>
      <c r="G1288" s="83">
        <f t="shared" si="440"/>
        <v>0.375</v>
      </c>
      <c r="H1288" s="81"/>
      <c r="I1288" s="146">
        <v>44265</v>
      </c>
      <c r="J1288" s="147">
        <v>4.65</v>
      </c>
      <c r="K1288" s="147">
        <v>4.3</v>
      </c>
      <c r="L1288" s="147">
        <v>4.475</v>
      </c>
      <c r="M1288" s="94" cm="1">
        <f t="array" ref="M1288">INDEX($BV$29:$BV$1449,MATCH($D1288,$BR$29:$BR$1449,0),)</f>
        <v>3</v>
      </c>
      <c r="N1288" s="150">
        <f t="shared" si="430"/>
        <v>0.0112994350282485</v>
      </c>
      <c r="O1288" s="150">
        <f t="shared" si="428"/>
        <v>0.0112994350282485</v>
      </c>
      <c r="P1288" s="150">
        <f t="shared" si="439"/>
        <v>0.0654761904761902</v>
      </c>
      <c r="Q1288" s="89">
        <f t="shared" si="431"/>
        <v>0.491666666666666</v>
      </c>
      <c r="AH1288" s="90"/>
      <c r="AI1288" s="85"/>
      <c r="AJ1288" s="36"/>
      <c r="AK1288" s="36"/>
      <c r="AL1288" s="36"/>
      <c r="AM1288" s="36"/>
      <c r="AN1288" s="36"/>
      <c r="AO1288" s="36"/>
      <c r="AP1288" s="36"/>
      <c r="AQ1288" s="36"/>
      <c r="BS1288" s="59"/>
      <c r="BT1288" s="156"/>
      <c r="GE1288" s="94"/>
      <c r="GF1288" s="104">
        <f t="shared" si="435"/>
        <v>2018</v>
      </c>
      <c r="GG1288" s="104">
        <f t="shared" si="436"/>
        <v>3</v>
      </c>
      <c r="GH1288" s="35">
        <v>43116</v>
      </c>
      <c r="GI1288" s="26">
        <v>3.883</v>
      </c>
      <c r="GJ1288" s="94">
        <f t="shared" si="437"/>
        <v>7.766</v>
      </c>
      <c r="GK1288" s="104"/>
      <c r="GL1288" s="104"/>
      <c r="GO1288" s="94"/>
    </row>
    <row r="1289" spans="3:197">
      <c r="C1289" s="80" t="str" cm="1">
        <f t="array" ref="C1289">_xlfn.IFS(MONTH(D1289)&lt;4,1,MONTH(D1289)&lt;7,2,MONTH(D1289)&lt;10,3,MONTH(D1289)&gt;9,4)&amp;"Q"&amp;RIGHT(YEAR(D1289),2)</f>
        <v>1Q21</v>
      </c>
      <c r="D1289" s="81">
        <f t="shared" si="433"/>
        <v>44286</v>
      </c>
      <c r="E1289" s="82">
        <f t="shared" si="429"/>
        <v>44266</v>
      </c>
      <c r="F1289" s="83">
        <f t="shared" si="440"/>
        <v>0.559375</v>
      </c>
      <c r="G1289" s="83">
        <f t="shared" si="440"/>
        <v>0.375</v>
      </c>
      <c r="H1289" s="81"/>
      <c r="I1289" s="146">
        <v>44266</v>
      </c>
      <c r="J1289" s="147">
        <v>4.65</v>
      </c>
      <c r="K1289" s="147">
        <v>4.35</v>
      </c>
      <c r="L1289" s="147">
        <v>4.475</v>
      </c>
      <c r="M1289" s="94" cm="1">
        <f t="array" ref="M1289">INDEX($BV$29:$BV$1449,MATCH($D1289,$BR$29:$BR$1449,0),)</f>
        <v>3</v>
      </c>
      <c r="N1289" s="150">
        <f t="shared" si="430"/>
        <v>0</v>
      </c>
      <c r="O1289" s="150">
        <f t="shared" si="428"/>
        <v>0.0112994350282485</v>
      </c>
      <c r="P1289" s="150">
        <f t="shared" si="439"/>
        <v>0.0467836257309939</v>
      </c>
      <c r="Q1289" s="89">
        <f t="shared" si="431"/>
        <v>0.491666666666666</v>
      </c>
      <c r="AH1289" s="90"/>
      <c r="AI1289" s="85"/>
      <c r="AJ1289" s="36"/>
      <c r="AK1289" s="36"/>
      <c r="AL1289" s="36"/>
      <c r="AM1289" s="36"/>
      <c r="AN1289" s="36"/>
      <c r="AO1289" s="36"/>
      <c r="AP1289" s="36"/>
      <c r="AQ1289" s="36"/>
      <c r="BS1289" s="59"/>
      <c r="BT1289" s="156"/>
      <c r="GE1289" s="94"/>
      <c r="GF1289" s="104">
        <f t="shared" si="435"/>
        <v>2018</v>
      </c>
      <c r="GG1289" s="104">
        <f t="shared" si="436"/>
        <v>3</v>
      </c>
      <c r="GH1289" s="35">
        <v>43117</v>
      </c>
      <c r="GI1289" s="26">
        <v>3.879</v>
      </c>
      <c r="GJ1289" s="94">
        <f t="shared" si="437"/>
        <v>7.758</v>
      </c>
      <c r="GK1289" s="104"/>
      <c r="GL1289" s="104"/>
      <c r="GO1289" s="94"/>
    </row>
    <row r="1290" spans="3:197">
      <c r="C1290" s="80" t="str" cm="1">
        <f t="array" ref="C1290">_xlfn.IFS(MONTH(D1290)&lt;4,1,MONTH(D1290)&lt;7,2,MONTH(D1290)&lt;10,3,MONTH(D1290)&gt;9,4)&amp;"Q"&amp;RIGHT(YEAR(D1290),2)</f>
        <v>1Q21</v>
      </c>
      <c r="D1290" s="81">
        <f t="shared" si="433"/>
        <v>44286</v>
      </c>
      <c r="E1290" s="82">
        <f t="shared" si="429"/>
        <v>44267</v>
      </c>
      <c r="F1290" s="83">
        <f t="shared" si="440"/>
        <v>0.5625</v>
      </c>
      <c r="G1290" s="83">
        <f t="shared" si="440"/>
        <v>0.375</v>
      </c>
      <c r="H1290" s="81"/>
      <c r="I1290" s="146">
        <v>44267</v>
      </c>
      <c r="J1290" s="147">
        <v>4.6</v>
      </c>
      <c r="K1290" s="147">
        <v>4.4</v>
      </c>
      <c r="L1290" s="147">
        <v>4.5</v>
      </c>
      <c r="M1290" s="94" cm="1">
        <f t="array" ref="M1290">INDEX($BV$29:$BV$1449,MATCH($D1290,$BR$29:$BR$1449,0),)</f>
        <v>3</v>
      </c>
      <c r="N1290" s="150">
        <f t="shared" si="430"/>
        <v>0.005586592178771</v>
      </c>
      <c r="O1290" s="150">
        <f t="shared" si="428"/>
        <v>0.0169491525423728</v>
      </c>
      <c r="P1290" s="150">
        <f t="shared" si="439"/>
        <v>0.0344827586206897</v>
      </c>
      <c r="Q1290" s="89">
        <f t="shared" si="431"/>
        <v>0.5</v>
      </c>
      <c r="AH1290" s="90"/>
      <c r="AI1290" s="85"/>
      <c r="AJ1290" s="36"/>
      <c r="AK1290" s="36"/>
      <c r="AL1290" s="36"/>
      <c r="AM1290" s="36"/>
      <c r="AN1290" s="36"/>
      <c r="AO1290" s="36"/>
      <c r="AP1290" s="36"/>
      <c r="AQ1290" s="36"/>
      <c r="BS1290" s="59"/>
      <c r="BT1290" s="156"/>
      <c r="GE1290" s="94"/>
      <c r="GF1290" s="104">
        <f t="shared" si="435"/>
        <v>2018</v>
      </c>
      <c r="GG1290" s="104">
        <f t="shared" si="436"/>
        <v>3</v>
      </c>
      <c r="GH1290" s="35">
        <v>43118</v>
      </c>
      <c r="GI1290" s="26">
        <v>3.872</v>
      </c>
      <c r="GJ1290" s="94">
        <f t="shared" si="437"/>
        <v>7.744</v>
      </c>
      <c r="GK1290" s="104"/>
      <c r="GL1290" s="104"/>
      <c r="GO1290" s="94"/>
    </row>
    <row r="1291" spans="3:197">
      <c r="C1291" s="80" t="str" cm="1">
        <f t="array" ref="C1291">_xlfn.IFS(MONTH(D1291)&lt;4,1,MONTH(D1291)&lt;7,2,MONTH(D1291)&lt;10,3,MONTH(D1291)&gt;9,4)&amp;"Q"&amp;RIGHT(YEAR(D1291),2)</f>
        <v>1Q21</v>
      </c>
      <c r="D1291" s="81">
        <f t="shared" si="433"/>
        <v>44286</v>
      </c>
      <c r="E1291" s="82">
        <f t="shared" si="429"/>
        <v>44270</v>
      </c>
      <c r="F1291" s="83">
        <f t="shared" si="440"/>
        <v>0.5625</v>
      </c>
      <c r="G1291" s="83">
        <f t="shared" si="440"/>
        <v>0.375</v>
      </c>
      <c r="H1291" s="81"/>
      <c r="I1291" s="146">
        <v>44270</v>
      </c>
      <c r="J1291" s="147">
        <v>4.6</v>
      </c>
      <c r="K1291" s="147">
        <v>4.4</v>
      </c>
      <c r="L1291" s="147">
        <v>4.5</v>
      </c>
      <c r="M1291" s="94" cm="1">
        <f t="array" ref="M1291">INDEX($BV$29:$BV$1449,MATCH($D1291,$BR$29:$BR$1449,0),)</f>
        <v>3</v>
      </c>
      <c r="N1291" s="150">
        <f t="shared" si="430"/>
        <v>0</v>
      </c>
      <c r="O1291" s="150">
        <f t="shared" ref="O1291:O1354" si="441">L1291/L1286-1</f>
        <v>0.0169491525423728</v>
      </c>
      <c r="P1291" s="150">
        <f t="shared" si="439"/>
        <v>0.0285714285714285</v>
      </c>
      <c r="Q1291" s="89">
        <f t="shared" si="431"/>
        <v>0.5</v>
      </c>
      <c r="AH1291" s="90"/>
      <c r="AI1291" s="85"/>
      <c r="AJ1291" s="36"/>
      <c r="AK1291" s="36"/>
      <c r="AL1291" s="36"/>
      <c r="AM1291" s="36"/>
      <c r="AN1291" s="36"/>
      <c r="AO1291" s="36"/>
      <c r="AP1291" s="36"/>
      <c r="AQ1291" s="36"/>
      <c r="BS1291" s="59"/>
      <c r="BT1291" s="156"/>
      <c r="GE1291" s="94"/>
      <c r="GF1291" s="104">
        <f t="shared" si="435"/>
        <v>2018</v>
      </c>
      <c r="GG1291" s="104">
        <f t="shared" si="436"/>
        <v>3</v>
      </c>
      <c r="GH1291" s="35">
        <v>43119</v>
      </c>
      <c r="GI1291" s="26">
        <v>3.871</v>
      </c>
      <c r="GJ1291" s="94">
        <f t="shared" si="437"/>
        <v>7.742</v>
      </c>
      <c r="GK1291" s="104"/>
      <c r="GL1291" s="104"/>
      <c r="GO1291" s="94"/>
    </row>
    <row r="1292" spans="3:197">
      <c r="C1292" s="80" t="str" cm="1">
        <f t="array" ref="C1292">_xlfn.IFS(MONTH(D1292)&lt;4,1,MONTH(D1292)&lt;7,2,MONTH(D1292)&lt;10,3,MONTH(D1292)&gt;9,4)&amp;"Q"&amp;RIGHT(YEAR(D1292),2)</f>
        <v>1Q21</v>
      </c>
      <c r="D1292" s="81">
        <f t="shared" si="433"/>
        <v>44286</v>
      </c>
      <c r="E1292" s="82">
        <f t="shared" si="429"/>
        <v>44271</v>
      </c>
      <c r="F1292" s="83">
        <f t="shared" si="440"/>
        <v>0.55625</v>
      </c>
      <c r="G1292" s="83">
        <f t="shared" si="440"/>
        <v>0.375</v>
      </c>
      <c r="H1292" s="81"/>
      <c r="I1292" s="146">
        <v>44271</v>
      </c>
      <c r="J1292" s="147">
        <v>4.6</v>
      </c>
      <c r="K1292" s="147">
        <v>4.35</v>
      </c>
      <c r="L1292" s="147">
        <v>4.45</v>
      </c>
      <c r="M1292" s="94" cm="1">
        <f t="array" ref="M1292">INDEX($BV$29:$BV$1449,MATCH($D1292,$BR$29:$BR$1449,0),)</f>
        <v>3</v>
      </c>
      <c r="N1292" s="150">
        <f t="shared" si="430"/>
        <v>-0.0111111111111111</v>
      </c>
      <c r="O1292" s="150">
        <f t="shared" si="441"/>
        <v>0.00564971751412435</v>
      </c>
      <c r="P1292" s="150">
        <f t="shared" si="439"/>
        <v>0.00564971751412435</v>
      </c>
      <c r="Q1292" s="89">
        <f t="shared" si="431"/>
        <v>0.483333333333333</v>
      </c>
      <c r="AH1292" s="90"/>
      <c r="AI1292" s="85"/>
      <c r="AJ1292" s="36"/>
      <c r="AK1292" s="36"/>
      <c r="AL1292" s="36"/>
      <c r="AM1292" s="36"/>
      <c r="AN1292" s="36"/>
      <c r="AO1292" s="36"/>
      <c r="AP1292" s="36"/>
      <c r="AQ1292" s="36"/>
      <c r="BS1292" s="59"/>
      <c r="BT1292" s="156"/>
      <c r="GE1292" s="94"/>
      <c r="GF1292" s="104">
        <f t="shared" si="435"/>
        <v>2018</v>
      </c>
      <c r="GG1292" s="104">
        <f t="shared" si="436"/>
        <v>4</v>
      </c>
      <c r="GH1292" s="35">
        <v>43122</v>
      </c>
      <c r="GI1292" s="26">
        <v>3.854</v>
      </c>
      <c r="GJ1292" s="94">
        <f t="shared" si="437"/>
        <v>7.708</v>
      </c>
      <c r="GK1292" s="104"/>
      <c r="GL1292" s="104"/>
      <c r="GO1292" s="94"/>
    </row>
    <row r="1293" spans="3:197">
      <c r="C1293" s="80" t="str" cm="1">
        <f t="array" ref="C1293">_xlfn.IFS(MONTH(D1293)&lt;4,1,MONTH(D1293)&lt;7,2,MONTH(D1293)&lt;10,3,MONTH(D1293)&gt;9,4)&amp;"Q"&amp;RIGHT(YEAR(D1293),2)</f>
        <v>1Q21</v>
      </c>
      <c r="D1293" s="81">
        <f t="shared" si="433"/>
        <v>44286</v>
      </c>
      <c r="E1293" s="82">
        <f t="shared" si="429"/>
        <v>44272</v>
      </c>
      <c r="F1293" s="83">
        <f t="shared" si="440"/>
        <v>0.55</v>
      </c>
      <c r="G1293" s="83">
        <f t="shared" si="440"/>
        <v>0.375</v>
      </c>
      <c r="H1293" s="81"/>
      <c r="I1293" s="146">
        <v>44272</v>
      </c>
      <c r="J1293" s="147">
        <v>4.5</v>
      </c>
      <c r="K1293" s="147">
        <v>4.3</v>
      </c>
      <c r="L1293" s="147">
        <v>4.4</v>
      </c>
      <c r="M1293" s="94" cm="1">
        <f t="array" ref="M1293">INDEX($BV$29:$BV$1449,MATCH($D1293,$BR$29:$BR$1449,0),)</f>
        <v>3</v>
      </c>
      <c r="N1293" s="150">
        <f t="shared" si="430"/>
        <v>-0.0112359550561797</v>
      </c>
      <c r="O1293" s="150">
        <f t="shared" si="441"/>
        <v>-0.0167597765363127</v>
      </c>
      <c r="P1293" s="150">
        <f t="shared" si="439"/>
        <v>-0.00564971751412413</v>
      </c>
      <c r="Q1293" s="89">
        <f t="shared" si="431"/>
        <v>0.466666666666667</v>
      </c>
      <c r="AH1293" s="90"/>
      <c r="AI1293" s="85"/>
      <c r="AJ1293" s="36"/>
      <c r="AK1293" s="36"/>
      <c r="AL1293" s="36"/>
      <c r="AM1293" s="36"/>
      <c r="AN1293" s="36"/>
      <c r="AO1293" s="36"/>
      <c r="AP1293" s="36"/>
      <c r="AQ1293" s="36"/>
      <c r="BS1293" s="59"/>
      <c r="BT1293" s="156"/>
      <c r="GE1293" s="94"/>
      <c r="GF1293" s="104">
        <f t="shared" si="435"/>
        <v>2018</v>
      </c>
      <c r="GG1293" s="104">
        <f t="shared" si="436"/>
        <v>4</v>
      </c>
      <c r="GH1293" s="35">
        <v>43123</v>
      </c>
      <c r="GI1293" s="26">
        <v>3.842</v>
      </c>
      <c r="GJ1293" s="94">
        <f t="shared" si="437"/>
        <v>7.684</v>
      </c>
      <c r="GK1293" s="104"/>
      <c r="GL1293" s="104"/>
      <c r="GO1293" s="94"/>
    </row>
    <row r="1294" spans="3:197">
      <c r="C1294" s="80" t="str" cm="1">
        <f t="array" ref="C1294">_xlfn.IFS(MONTH(D1294)&lt;4,1,MONTH(D1294)&lt;7,2,MONTH(D1294)&lt;10,3,MONTH(D1294)&gt;9,4)&amp;"Q"&amp;RIGHT(YEAR(D1294),2)</f>
        <v>1Q21</v>
      </c>
      <c r="D1294" s="81">
        <f t="shared" si="433"/>
        <v>44286</v>
      </c>
      <c r="E1294" s="82">
        <f t="shared" si="429"/>
        <v>44273</v>
      </c>
      <c r="F1294" s="83">
        <f t="shared" si="440"/>
        <v>0.546875</v>
      </c>
      <c r="G1294" s="83">
        <f t="shared" si="440"/>
        <v>0.375</v>
      </c>
      <c r="H1294" s="81"/>
      <c r="I1294" s="146">
        <v>44273</v>
      </c>
      <c r="J1294" s="147">
        <v>4.45</v>
      </c>
      <c r="K1294" s="147">
        <v>4.25</v>
      </c>
      <c r="L1294" s="147">
        <v>4.375</v>
      </c>
      <c r="M1294" s="94" cm="1">
        <f t="array" ref="M1294">INDEX($BV$29:$BV$1449,MATCH($D1294,$BR$29:$BR$1449,0),)</f>
        <v>3</v>
      </c>
      <c r="N1294" s="150">
        <f t="shared" si="430"/>
        <v>-0.00568181818181823</v>
      </c>
      <c r="O1294" s="150">
        <f t="shared" si="441"/>
        <v>-0.0223463687150838</v>
      </c>
      <c r="P1294" s="150">
        <f t="shared" si="439"/>
        <v>-0.0112994350282486</v>
      </c>
      <c r="Q1294" s="89">
        <f t="shared" si="431"/>
        <v>0.458333333333333</v>
      </c>
      <c r="AH1294" s="90"/>
      <c r="AI1294" s="85"/>
      <c r="AJ1294" s="36"/>
      <c r="AK1294" s="36"/>
      <c r="AL1294" s="36"/>
      <c r="AM1294" s="36"/>
      <c r="AN1294" s="36"/>
      <c r="AO1294" s="36"/>
      <c r="AP1294" s="36"/>
      <c r="AQ1294" s="36"/>
      <c r="BS1294" s="59"/>
      <c r="BT1294" s="156"/>
      <c r="GE1294" s="94"/>
      <c r="GF1294" s="104">
        <f t="shared" si="435"/>
        <v>2018</v>
      </c>
      <c r="GG1294" s="104">
        <f t="shared" si="436"/>
        <v>4</v>
      </c>
      <c r="GH1294" s="35">
        <v>43124</v>
      </c>
      <c r="GI1294" s="26">
        <v>3.837</v>
      </c>
      <c r="GJ1294" s="94">
        <f t="shared" si="437"/>
        <v>7.674</v>
      </c>
      <c r="GK1294" s="104"/>
      <c r="GL1294" s="104"/>
      <c r="GO1294" s="94"/>
    </row>
    <row r="1295" spans="3:197">
      <c r="C1295" s="80" t="str" cm="1">
        <f t="array" ref="C1295">_xlfn.IFS(MONTH(D1295)&lt;4,1,MONTH(D1295)&lt;7,2,MONTH(D1295)&lt;10,3,MONTH(D1295)&gt;9,4)&amp;"Q"&amp;RIGHT(YEAR(D1295),2)</f>
        <v>1Q21</v>
      </c>
      <c r="D1295" s="81">
        <f t="shared" si="433"/>
        <v>44286</v>
      </c>
      <c r="E1295" s="82">
        <f t="shared" si="429"/>
        <v>44274</v>
      </c>
      <c r="F1295" s="83">
        <f t="shared" si="440"/>
        <v>0.54375</v>
      </c>
      <c r="G1295" s="83">
        <f t="shared" si="440"/>
        <v>0.375</v>
      </c>
      <c r="H1295" s="81"/>
      <c r="I1295" s="146">
        <v>44274</v>
      </c>
      <c r="J1295" s="147">
        <v>4.45</v>
      </c>
      <c r="K1295" s="147">
        <v>4.25</v>
      </c>
      <c r="L1295" s="147">
        <v>4.35</v>
      </c>
      <c r="M1295" s="94" cm="1">
        <f t="array" ref="M1295">INDEX($BV$29:$BV$1449,MATCH($D1295,$BR$29:$BR$1449,0),)</f>
        <v>3</v>
      </c>
      <c r="N1295" s="150">
        <f t="shared" si="430"/>
        <v>-0.00571428571428578</v>
      </c>
      <c r="O1295" s="150">
        <f t="shared" si="441"/>
        <v>-0.0333333333333334</v>
      </c>
      <c r="P1295" s="150">
        <f t="shared" si="439"/>
        <v>-0.0169491525423729</v>
      </c>
      <c r="Q1295" s="89">
        <f t="shared" si="431"/>
        <v>0.45</v>
      </c>
      <c r="AH1295" s="90"/>
      <c r="AI1295" s="85"/>
      <c r="AJ1295" s="36"/>
      <c r="AK1295" s="36"/>
      <c r="AL1295" s="36"/>
      <c r="AM1295" s="36"/>
      <c r="AN1295" s="36"/>
      <c r="AO1295" s="36"/>
      <c r="AP1295" s="36"/>
      <c r="AQ1295" s="36"/>
      <c r="BS1295" s="59"/>
      <c r="BT1295" s="156"/>
      <c r="GE1295" s="94"/>
      <c r="GF1295" s="104">
        <f t="shared" si="435"/>
        <v>2018</v>
      </c>
      <c r="GG1295" s="104">
        <f t="shared" si="436"/>
        <v>4</v>
      </c>
      <c r="GH1295" s="35">
        <v>43125</v>
      </c>
      <c r="GI1295" s="26">
        <v>3.831</v>
      </c>
      <c r="GJ1295" s="94">
        <f t="shared" si="437"/>
        <v>7.662</v>
      </c>
      <c r="GK1295" s="104"/>
      <c r="GL1295" s="104"/>
      <c r="GO1295" s="94"/>
    </row>
    <row r="1296" spans="3:197">
      <c r="C1296" s="80" t="str" cm="1">
        <f t="array" ref="C1296">_xlfn.IFS(MONTH(D1296)&lt;4,1,MONTH(D1296)&lt;7,2,MONTH(D1296)&lt;10,3,MONTH(D1296)&gt;9,4)&amp;"Q"&amp;RIGHT(YEAR(D1296),2)</f>
        <v>1Q21</v>
      </c>
      <c r="D1296" s="81">
        <f t="shared" si="433"/>
        <v>44286</v>
      </c>
      <c r="E1296" s="82">
        <f t="shared" si="429"/>
        <v>44277</v>
      </c>
      <c r="F1296" s="83">
        <f t="shared" si="440"/>
        <v>0.5375</v>
      </c>
      <c r="G1296" s="83">
        <f t="shared" si="440"/>
        <v>0.375</v>
      </c>
      <c r="H1296" s="81"/>
      <c r="I1296" s="146">
        <v>44277</v>
      </c>
      <c r="J1296" s="147">
        <v>4.4</v>
      </c>
      <c r="K1296" s="147">
        <v>4.25</v>
      </c>
      <c r="L1296" s="147">
        <v>4.3</v>
      </c>
      <c r="M1296" s="94" cm="1">
        <f t="array" ref="M1296">INDEX($BV$29:$BV$1449,MATCH($D1296,$BR$29:$BR$1449,0),)</f>
        <v>3</v>
      </c>
      <c r="N1296" s="150">
        <f t="shared" si="430"/>
        <v>-0.0114942528735632</v>
      </c>
      <c r="O1296" s="150">
        <f t="shared" si="441"/>
        <v>-0.0444444444444445</v>
      </c>
      <c r="P1296" s="150">
        <f t="shared" si="439"/>
        <v>-0.0282485875706214</v>
      </c>
      <c r="Q1296" s="89">
        <f t="shared" si="431"/>
        <v>0.433333333333333</v>
      </c>
      <c r="AH1296" s="90"/>
      <c r="AI1296" s="85"/>
      <c r="AJ1296" s="36"/>
      <c r="AK1296" s="36"/>
      <c r="AL1296" s="36"/>
      <c r="AM1296" s="36"/>
      <c r="AN1296" s="36"/>
      <c r="AO1296" s="36"/>
      <c r="AP1296" s="36"/>
      <c r="AQ1296" s="36"/>
      <c r="BS1296" s="59"/>
      <c r="BT1296" s="156"/>
      <c r="GE1296" s="94"/>
      <c r="GF1296" s="104">
        <f t="shared" si="435"/>
        <v>2018</v>
      </c>
      <c r="GG1296" s="104">
        <f t="shared" si="436"/>
        <v>4</v>
      </c>
      <c r="GH1296" s="35">
        <v>43126</v>
      </c>
      <c r="GI1296" s="26">
        <v>3.824</v>
      </c>
      <c r="GJ1296" s="94">
        <f t="shared" si="437"/>
        <v>7.648</v>
      </c>
      <c r="GK1296" s="104"/>
      <c r="GL1296" s="104"/>
      <c r="GO1296" s="94"/>
    </row>
    <row r="1297" spans="3:197">
      <c r="C1297" s="80" t="str" cm="1">
        <f t="array" ref="C1297">_xlfn.IFS(MONTH(D1297)&lt;4,1,MONTH(D1297)&lt;7,2,MONTH(D1297)&lt;10,3,MONTH(D1297)&gt;9,4)&amp;"Q"&amp;RIGHT(YEAR(D1297),2)</f>
        <v>1Q21</v>
      </c>
      <c r="D1297" s="81">
        <f t="shared" si="433"/>
        <v>44286</v>
      </c>
      <c r="E1297" s="82">
        <f t="shared" ref="E1297:E1360" si="442">I1297</f>
        <v>44278</v>
      </c>
      <c r="F1297" s="83">
        <f t="shared" si="440"/>
        <v>0.5375</v>
      </c>
      <c r="G1297" s="83">
        <f t="shared" si="440"/>
        <v>0.375</v>
      </c>
      <c r="H1297" s="81"/>
      <c r="I1297" s="146">
        <v>44278</v>
      </c>
      <c r="J1297" s="147">
        <v>4.4</v>
      </c>
      <c r="K1297" s="147">
        <v>4.25</v>
      </c>
      <c r="L1297" s="147">
        <v>4.3</v>
      </c>
      <c r="M1297" s="94" cm="1">
        <f t="array" ref="M1297">INDEX($BV$29:$BV$1449,MATCH($D1297,$BR$29:$BR$1449,0),)</f>
        <v>3</v>
      </c>
      <c r="N1297" s="150">
        <f t="shared" ref="N1297:N1360" si="443">L1297/L1296-1</f>
        <v>0</v>
      </c>
      <c r="O1297" s="150">
        <f t="shared" si="441"/>
        <v>-0.0337078651685394</v>
      </c>
      <c r="P1297" s="150">
        <f t="shared" si="439"/>
        <v>-0.0282485875706214</v>
      </c>
      <c r="Q1297" s="89">
        <f t="shared" ref="Q1297:Q1360" si="444">L1297/M1297-1</f>
        <v>0.433333333333333</v>
      </c>
      <c r="AH1297" s="90"/>
      <c r="AI1297" s="85"/>
      <c r="AJ1297" s="36"/>
      <c r="AK1297" s="36"/>
      <c r="AL1297" s="36"/>
      <c r="AM1297" s="36"/>
      <c r="AN1297" s="36"/>
      <c r="AO1297" s="36"/>
      <c r="AP1297" s="36"/>
      <c r="AQ1297" s="36"/>
      <c r="BS1297" s="59"/>
      <c r="BT1297" s="156"/>
      <c r="GE1297" s="94"/>
      <c r="GF1297" s="104">
        <f t="shared" si="435"/>
        <v>2018</v>
      </c>
      <c r="GG1297" s="104">
        <f t="shared" si="436"/>
        <v>5</v>
      </c>
      <c r="GH1297" s="35">
        <v>43129</v>
      </c>
      <c r="GI1297" s="26">
        <v>3.821</v>
      </c>
      <c r="GJ1297" s="94">
        <f t="shared" si="437"/>
        <v>7.642</v>
      </c>
      <c r="GK1297" s="104"/>
      <c r="GL1297" s="104"/>
      <c r="GO1297" s="94"/>
    </row>
    <row r="1298" spans="3:197">
      <c r="C1298" s="80" t="str" cm="1">
        <f t="array" ref="C1298">_xlfn.IFS(MONTH(D1298)&lt;4,1,MONTH(D1298)&lt;7,2,MONTH(D1298)&lt;10,3,MONTH(D1298)&gt;9,4)&amp;"Q"&amp;RIGHT(YEAR(D1298),2)</f>
        <v>1Q21</v>
      </c>
      <c r="D1298" s="81">
        <f t="shared" si="433"/>
        <v>44286</v>
      </c>
      <c r="E1298" s="82">
        <f t="shared" si="442"/>
        <v>44279</v>
      </c>
      <c r="F1298" s="83">
        <f t="shared" si="440"/>
        <v>0.5375</v>
      </c>
      <c r="G1298" s="83">
        <f t="shared" si="440"/>
        <v>0.375</v>
      </c>
      <c r="H1298" s="81"/>
      <c r="I1298" s="146">
        <v>44279</v>
      </c>
      <c r="J1298" s="147">
        <v>4.4</v>
      </c>
      <c r="K1298" s="147">
        <v>4.25</v>
      </c>
      <c r="L1298" s="147">
        <v>4.3</v>
      </c>
      <c r="M1298" s="94" cm="1">
        <f t="array" ref="M1298">INDEX($BV$29:$BV$1449,MATCH($D1298,$BR$29:$BR$1449,0),)</f>
        <v>3</v>
      </c>
      <c r="N1298" s="150">
        <f t="shared" si="443"/>
        <v>0</v>
      </c>
      <c r="O1298" s="150">
        <f t="shared" si="441"/>
        <v>-0.0227272727272728</v>
      </c>
      <c r="P1298" s="150">
        <f t="shared" si="439"/>
        <v>-0.0391061452513967</v>
      </c>
      <c r="Q1298" s="89">
        <f t="shared" si="444"/>
        <v>0.433333333333333</v>
      </c>
      <c r="AH1298" s="90"/>
      <c r="AI1298" s="85"/>
      <c r="AJ1298" s="36"/>
      <c r="AK1298" s="36"/>
      <c r="AL1298" s="36"/>
      <c r="AM1298" s="36"/>
      <c r="AN1298" s="36"/>
      <c r="AO1298" s="36"/>
      <c r="AP1298" s="36"/>
      <c r="AQ1298" s="36"/>
      <c r="BS1298" s="59"/>
      <c r="BT1298" s="156"/>
      <c r="GE1298" s="94"/>
      <c r="GF1298" s="104">
        <f t="shared" si="435"/>
        <v>2018</v>
      </c>
      <c r="GG1298" s="104">
        <f t="shared" si="436"/>
        <v>5</v>
      </c>
      <c r="GH1298" s="35">
        <v>43130</v>
      </c>
      <c r="GI1298" s="26">
        <v>3.806</v>
      </c>
      <c r="GJ1298" s="94">
        <f t="shared" si="437"/>
        <v>7.612</v>
      </c>
      <c r="GK1298" s="104"/>
      <c r="GL1298" s="104"/>
      <c r="GO1298" s="94"/>
    </row>
    <row r="1299" spans="3:197">
      <c r="C1299" s="80" t="str" cm="1">
        <f t="array" ref="C1299">_xlfn.IFS(MONTH(D1299)&lt;4,1,MONTH(D1299)&lt;7,2,MONTH(D1299)&lt;10,3,MONTH(D1299)&gt;9,4)&amp;"Q"&amp;RIGHT(YEAR(D1299),2)</f>
        <v>1Q21</v>
      </c>
      <c r="D1299" s="81">
        <f t="shared" si="433"/>
        <v>44286</v>
      </c>
      <c r="E1299" s="82">
        <f t="shared" si="442"/>
        <v>44280</v>
      </c>
      <c r="F1299" s="83">
        <f t="shared" si="440"/>
        <v>0.534375</v>
      </c>
      <c r="G1299" s="83">
        <f t="shared" si="440"/>
        <v>0.375</v>
      </c>
      <c r="H1299" s="81"/>
      <c r="I1299" s="146">
        <v>44280</v>
      </c>
      <c r="J1299" s="147">
        <v>4.4</v>
      </c>
      <c r="K1299" s="147">
        <v>4.2</v>
      </c>
      <c r="L1299" s="147">
        <v>4.275</v>
      </c>
      <c r="M1299" s="94" cm="1">
        <f t="array" ref="M1299">INDEX($BV$29:$BV$1449,MATCH($D1299,$BR$29:$BR$1449,0),)</f>
        <v>3</v>
      </c>
      <c r="N1299" s="150">
        <f t="shared" si="443"/>
        <v>-0.00581395348837199</v>
      </c>
      <c r="O1299" s="150">
        <f t="shared" si="441"/>
        <v>-0.0228571428571428</v>
      </c>
      <c r="P1299" s="150">
        <f t="shared" si="439"/>
        <v>-0.0446927374301674</v>
      </c>
      <c r="Q1299" s="89">
        <f t="shared" si="444"/>
        <v>0.425</v>
      </c>
      <c r="AH1299" s="90"/>
      <c r="AI1299" s="85"/>
      <c r="AJ1299" s="36"/>
      <c r="AK1299" s="36"/>
      <c r="AL1299" s="36"/>
      <c r="AM1299" s="36"/>
      <c r="AN1299" s="36"/>
      <c r="AO1299" s="36"/>
      <c r="AP1299" s="36"/>
      <c r="AQ1299" s="36"/>
      <c r="BS1299" s="59"/>
      <c r="BT1299" s="156"/>
      <c r="GE1299" s="94"/>
      <c r="GF1299" s="104">
        <f t="shared" si="435"/>
        <v>2018</v>
      </c>
      <c r="GG1299" s="104">
        <f t="shared" si="436"/>
        <v>5</v>
      </c>
      <c r="GH1299" s="35">
        <v>43131</v>
      </c>
      <c r="GI1299" s="26">
        <v>3.804</v>
      </c>
      <c r="GJ1299" s="94">
        <f t="shared" si="437"/>
        <v>7.608</v>
      </c>
      <c r="GK1299" s="104"/>
      <c r="GL1299" s="104"/>
      <c r="GO1299" s="94"/>
    </row>
    <row r="1300" spans="3:197">
      <c r="C1300" s="80" t="str" cm="1">
        <f t="array" ref="C1300">_xlfn.IFS(MONTH(D1300)&lt;4,1,MONTH(D1300)&lt;7,2,MONTH(D1300)&lt;10,3,MONTH(D1300)&gt;9,4)&amp;"Q"&amp;RIGHT(YEAR(D1300),2)</f>
        <v>1Q21</v>
      </c>
      <c r="D1300" s="81">
        <f t="shared" si="433"/>
        <v>44286</v>
      </c>
      <c r="E1300" s="82">
        <f t="shared" si="442"/>
        <v>44281</v>
      </c>
      <c r="F1300" s="83">
        <f t="shared" si="440"/>
        <v>0.53125</v>
      </c>
      <c r="G1300" s="83">
        <f t="shared" si="440"/>
        <v>0.375</v>
      </c>
      <c r="H1300" s="81"/>
      <c r="I1300" s="146">
        <v>44281</v>
      </c>
      <c r="J1300" s="147">
        <v>4.4</v>
      </c>
      <c r="K1300" s="147">
        <v>4.15</v>
      </c>
      <c r="L1300" s="147">
        <v>4.25</v>
      </c>
      <c r="M1300" s="94" cm="1">
        <f t="array" ref="M1300">INDEX($BV$29:$BV$1449,MATCH($D1300,$BR$29:$BR$1449,0),)</f>
        <v>3</v>
      </c>
      <c r="N1300" s="150">
        <f t="shared" si="443"/>
        <v>-0.00584795321637432</v>
      </c>
      <c r="O1300" s="150">
        <f t="shared" si="441"/>
        <v>-0.0229885057471264</v>
      </c>
      <c r="P1300" s="150">
        <f t="shared" si="439"/>
        <v>-0.0555555555555556</v>
      </c>
      <c r="Q1300" s="89">
        <f t="shared" si="444"/>
        <v>0.416666666666667</v>
      </c>
      <c r="AH1300" s="90"/>
      <c r="AI1300" s="85"/>
      <c r="AJ1300" s="36"/>
      <c r="AK1300" s="36"/>
      <c r="AL1300" s="36"/>
      <c r="AM1300" s="36"/>
      <c r="AN1300" s="36"/>
      <c r="AO1300" s="36"/>
      <c r="AP1300" s="36"/>
      <c r="AQ1300" s="36"/>
      <c r="BS1300" s="59"/>
      <c r="BT1300" s="156"/>
      <c r="GE1300" s="94"/>
      <c r="GF1300" s="104">
        <f t="shared" si="435"/>
        <v>2018</v>
      </c>
      <c r="GG1300" s="104">
        <f t="shared" si="436"/>
        <v>5</v>
      </c>
      <c r="GH1300" s="35">
        <v>43132</v>
      </c>
      <c r="GI1300" s="26">
        <v>3.804</v>
      </c>
      <c r="GJ1300" s="94">
        <f t="shared" si="437"/>
        <v>7.608</v>
      </c>
      <c r="GK1300" s="104"/>
      <c r="GL1300" s="104"/>
      <c r="GO1300" s="94"/>
    </row>
    <row r="1301" spans="3:197">
      <c r="C1301" s="80" t="str" cm="1">
        <f t="array" ref="C1301">_xlfn.IFS(MONTH(D1301)&lt;4,1,MONTH(D1301)&lt;7,2,MONTH(D1301)&lt;10,3,MONTH(D1301)&gt;9,4)&amp;"Q"&amp;RIGHT(YEAR(D1301),2)</f>
        <v>1Q21</v>
      </c>
      <c r="D1301" s="81">
        <f t="shared" si="433"/>
        <v>44286</v>
      </c>
      <c r="E1301" s="82">
        <f t="shared" si="442"/>
        <v>44284</v>
      </c>
      <c r="F1301" s="83">
        <f t="shared" si="440"/>
        <v>0.529375</v>
      </c>
      <c r="G1301" s="83">
        <f t="shared" si="440"/>
        <v>0.375</v>
      </c>
      <c r="H1301" s="81"/>
      <c r="I1301" s="146">
        <v>44284</v>
      </c>
      <c r="J1301" s="147">
        <v>4.4</v>
      </c>
      <c r="K1301" s="147">
        <v>4.15</v>
      </c>
      <c r="L1301" s="147">
        <v>4.235</v>
      </c>
      <c r="M1301" s="94" cm="1">
        <f t="array" ref="M1301">INDEX($BV$29:$BV$1449,MATCH($D1301,$BR$29:$BR$1449,0),)</f>
        <v>3</v>
      </c>
      <c r="N1301" s="150">
        <f t="shared" si="443"/>
        <v>-0.00352941176470578</v>
      </c>
      <c r="O1301" s="150">
        <f t="shared" si="441"/>
        <v>-0.0151162790697673</v>
      </c>
      <c r="P1301" s="150">
        <f t="shared" si="439"/>
        <v>-0.0588888888888888</v>
      </c>
      <c r="Q1301" s="89">
        <f t="shared" si="444"/>
        <v>0.411666666666667</v>
      </c>
      <c r="AH1301" s="90"/>
      <c r="AI1301" s="85"/>
      <c r="AJ1301" s="36"/>
      <c r="AK1301" s="36"/>
      <c r="AL1301" s="36"/>
      <c r="AM1301" s="36"/>
      <c r="AN1301" s="36"/>
      <c r="AO1301" s="36"/>
      <c r="AP1301" s="36"/>
      <c r="AQ1301" s="36"/>
      <c r="BS1301" s="59"/>
      <c r="BT1301" s="156"/>
      <c r="GE1301" s="94"/>
      <c r="GF1301" s="104">
        <f t="shared" si="435"/>
        <v>2018</v>
      </c>
      <c r="GG1301" s="104">
        <f t="shared" si="436"/>
        <v>5</v>
      </c>
      <c r="GH1301" s="35">
        <v>43133</v>
      </c>
      <c r="GI1301" s="26">
        <v>3.798</v>
      </c>
      <c r="GJ1301" s="94">
        <f t="shared" si="437"/>
        <v>7.596</v>
      </c>
      <c r="GK1301" s="104"/>
      <c r="GL1301" s="104"/>
      <c r="GO1301" s="94"/>
    </row>
    <row r="1302" spans="3:197">
      <c r="C1302" s="80" t="str" cm="1">
        <f t="array" ref="C1302">_xlfn.IFS(MONTH(D1302)&lt;4,1,MONTH(D1302)&lt;7,2,MONTH(D1302)&lt;10,3,MONTH(D1302)&gt;9,4)&amp;"Q"&amp;RIGHT(YEAR(D1302),2)</f>
        <v>1Q21</v>
      </c>
      <c r="D1302" s="81">
        <f t="shared" si="433"/>
        <v>44286</v>
      </c>
      <c r="E1302" s="82">
        <f t="shared" si="442"/>
        <v>44285</v>
      </c>
      <c r="F1302" s="83">
        <f t="shared" si="440"/>
        <v>0.52625</v>
      </c>
      <c r="G1302" s="83">
        <f t="shared" si="440"/>
        <v>0.375</v>
      </c>
      <c r="H1302" s="81"/>
      <c r="I1302" s="146">
        <v>44285</v>
      </c>
      <c r="J1302" s="147">
        <v>4.4</v>
      </c>
      <c r="K1302" s="147">
        <v>4.15</v>
      </c>
      <c r="L1302" s="147">
        <v>4.21</v>
      </c>
      <c r="M1302" s="94" cm="1">
        <f t="array" ref="M1302">INDEX($BV$29:$BV$1449,MATCH($D1302,$BR$29:$BR$1449,0),)</f>
        <v>3</v>
      </c>
      <c r="N1302" s="150">
        <f t="shared" si="443"/>
        <v>-0.00590318772136966</v>
      </c>
      <c r="O1302" s="150">
        <f t="shared" si="441"/>
        <v>-0.0209302325581395</v>
      </c>
      <c r="P1302" s="150">
        <f t="shared" si="439"/>
        <v>-0.053932584269663</v>
      </c>
      <c r="Q1302" s="89">
        <f t="shared" si="444"/>
        <v>0.403333333333333</v>
      </c>
      <c r="AH1302" s="90"/>
      <c r="AI1302" s="85"/>
      <c r="AJ1302" s="36"/>
      <c r="AK1302" s="36"/>
      <c r="AL1302" s="36"/>
      <c r="AM1302" s="36"/>
      <c r="AN1302" s="36"/>
      <c r="AO1302" s="36"/>
      <c r="AP1302" s="36"/>
      <c r="AQ1302" s="36"/>
      <c r="GE1302" s="94"/>
      <c r="GF1302" s="104">
        <f t="shared" si="435"/>
        <v>2018</v>
      </c>
      <c r="GG1302" s="104">
        <f t="shared" si="436"/>
        <v>6</v>
      </c>
      <c r="GH1302" s="35">
        <v>43136</v>
      </c>
      <c r="GI1302" s="26">
        <v>3.798</v>
      </c>
      <c r="GJ1302" s="94">
        <f t="shared" si="437"/>
        <v>7.596</v>
      </c>
      <c r="GK1302" s="104"/>
      <c r="GL1302" s="104"/>
      <c r="GO1302" s="94"/>
    </row>
    <row r="1303" spans="3:197">
      <c r="C1303" s="80" t="str" cm="1">
        <f t="array" ref="C1303">_xlfn.IFS(MONTH(D1303)&lt;4,1,MONTH(D1303)&lt;7,2,MONTH(D1303)&lt;10,3,MONTH(D1303)&gt;9,4)&amp;"Q"&amp;RIGHT(YEAR(D1303),2)</f>
        <v>1Q21</v>
      </c>
      <c r="D1303" s="81">
        <f t="shared" si="433"/>
        <v>44286</v>
      </c>
      <c r="E1303" s="82">
        <f t="shared" si="442"/>
        <v>44286</v>
      </c>
      <c r="F1303" s="83">
        <f t="shared" si="440"/>
        <v>0.525</v>
      </c>
      <c r="G1303" s="83">
        <f t="shared" si="440"/>
        <v>0.375</v>
      </c>
      <c r="H1303" s="81"/>
      <c r="I1303" s="146">
        <v>44286</v>
      </c>
      <c r="J1303" s="147">
        <v>4.4</v>
      </c>
      <c r="K1303" s="147">
        <v>4.15</v>
      </c>
      <c r="L1303" s="147">
        <v>4.2</v>
      </c>
      <c r="M1303" s="94" cm="1">
        <f t="array" ref="M1303">INDEX($BV$29:$BV$1449,MATCH($D1303,$BR$29:$BR$1449,0),)</f>
        <v>3</v>
      </c>
      <c r="N1303" s="150">
        <f t="shared" si="443"/>
        <v>-0.00237529691211391</v>
      </c>
      <c r="O1303" s="150">
        <f t="shared" si="441"/>
        <v>-0.0232558139534883</v>
      </c>
      <c r="P1303" s="150">
        <f t="shared" si="439"/>
        <v>-0.0454545454545455</v>
      </c>
      <c r="Q1303" s="89">
        <f t="shared" si="444"/>
        <v>0.4</v>
      </c>
      <c r="AH1303" s="90"/>
      <c r="AI1303" s="85"/>
      <c r="AJ1303" s="36"/>
      <c r="AK1303" s="36"/>
      <c r="AL1303" s="36"/>
      <c r="AM1303" s="36"/>
      <c r="AN1303" s="36"/>
      <c r="AO1303" s="36"/>
      <c r="AP1303" s="36"/>
      <c r="AQ1303" s="36"/>
      <c r="GE1303" s="94"/>
      <c r="GF1303" s="104">
        <f t="shared" si="435"/>
        <v>2018</v>
      </c>
      <c r="GG1303" s="104">
        <f t="shared" si="436"/>
        <v>6</v>
      </c>
      <c r="GH1303" s="35">
        <v>43137</v>
      </c>
      <c r="GI1303" s="26">
        <v>3.794</v>
      </c>
      <c r="GJ1303" s="94">
        <f t="shared" si="437"/>
        <v>7.588</v>
      </c>
      <c r="GK1303" s="104"/>
      <c r="GL1303" s="104"/>
      <c r="GO1303" s="94"/>
    </row>
    <row r="1304" spans="3:197">
      <c r="C1304" s="80" t="str" cm="1">
        <f t="array" ref="C1304">_xlfn.IFS(MONTH(D1304)&lt;4,1,MONTH(D1304)&lt;7,2,MONTH(D1304)&lt;10,3,MONTH(D1304)&gt;9,4)&amp;"Q"&amp;RIGHT(YEAR(D1304),2)</f>
        <v>2Q21</v>
      </c>
      <c r="D1304" s="81">
        <f t="shared" si="433"/>
        <v>44316</v>
      </c>
      <c r="E1304" s="82">
        <f t="shared" si="442"/>
        <v>44287</v>
      </c>
      <c r="F1304" s="83">
        <f t="shared" si="440"/>
        <v>0.521875</v>
      </c>
      <c r="G1304" s="83">
        <f t="shared" si="440"/>
        <v>0.475</v>
      </c>
      <c r="H1304" s="81"/>
      <c r="I1304" s="146">
        <v>44287</v>
      </c>
      <c r="J1304" s="147">
        <v>4.4</v>
      </c>
      <c r="K1304" s="147">
        <v>4.1</v>
      </c>
      <c r="L1304" s="147">
        <v>4.175</v>
      </c>
      <c r="M1304" s="94" cm="1">
        <f t="array" ref="M1304">INDEX($BV$29:$BV$1449,MATCH($D1304,$BR$29:$BR$1449,0),)</f>
        <v>3.8</v>
      </c>
      <c r="N1304" s="150">
        <f t="shared" si="443"/>
        <v>-0.00595238095238104</v>
      </c>
      <c r="O1304" s="150">
        <f t="shared" si="441"/>
        <v>-0.0233918128654972</v>
      </c>
      <c r="P1304" s="150">
        <f t="shared" si="439"/>
        <v>-0.0457142857142857</v>
      </c>
      <c r="Q1304" s="89">
        <f t="shared" si="444"/>
        <v>0.0986842105263157</v>
      </c>
      <c r="AH1304" s="90"/>
      <c r="AI1304" s="85"/>
      <c r="AJ1304" s="36"/>
      <c r="AK1304" s="36"/>
      <c r="AL1304" s="36"/>
      <c r="AM1304" s="36"/>
      <c r="AN1304" s="36"/>
      <c r="AO1304" s="36"/>
      <c r="AP1304" s="36"/>
      <c r="AQ1304" s="36"/>
      <c r="GE1304" s="94"/>
      <c r="GF1304" s="104">
        <f t="shared" si="435"/>
        <v>2018</v>
      </c>
      <c r="GG1304" s="104">
        <f t="shared" si="436"/>
        <v>6</v>
      </c>
      <c r="GH1304" s="35">
        <v>43138</v>
      </c>
      <c r="GI1304" s="26">
        <v>3.794</v>
      </c>
      <c r="GJ1304" s="94">
        <f t="shared" si="437"/>
        <v>7.588</v>
      </c>
      <c r="GK1304" s="104"/>
      <c r="GL1304" s="104"/>
      <c r="GO1304" s="94"/>
    </row>
    <row r="1305" spans="3:197">
      <c r="C1305" s="80" t="str" cm="1">
        <f t="array" ref="C1305">_xlfn.IFS(MONTH(D1305)&lt;4,1,MONTH(D1305)&lt;7,2,MONTH(D1305)&lt;10,3,MONTH(D1305)&gt;9,4)&amp;"Q"&amp;RIGHT(YEAR(D1305),2)</f>
        <v>2Q21</v>
      </c>
      <c r="D1305" s="81">
        <f t="shared" si="433"/>
        <v>44316</v>
      </c>
      <c r="E1305" s="82">
        <f t="shared" si="442"/>
        <v>44292</v>
      </c>
      <c r="F1305" s="83">
        <f t="shared" si="440"/>
        <v>0.521875</v>
      </c>
      <c r="G1305" s="83">
        <f t="shared" si="440"/>
        <v>0.475</v>
      </c>
      <c r="H1305" s="81"/>
      <c r="I1305" s="146">
        <v>44292</v>
      </c>
      <c r="J1305" s="147">
        <v>4.4</v>
      </c>
      <c r="K1305" s="147">
        <v>4.1</v>
      </c>
      <c r="L1305" s="147">
        <v>4.175</v>
      </c>
      <c r="M1305" s="94" cm="1">
        <f t="array" ref="M1305">INDEX($BV$29:$BV$1449,MATCH($D1305,$BR$29:$BR$1449,0),)</f>
        <v>3.8</v>
      </c>
      <c r="N1305" s="150">
        <f t="shared" si="443"/>
        <v>0</v>
      </c>
      <c r="O1305" s="150">
        <f t="shared" si="441"/>
        <v>-0.0176470588235295</v>
      </c>
      <c r="P1305" s="150">
        <f t="shared" si="439"/>
        <v>-0.0402298850574713</v>
      </c>
      <c r="Q1305" s="89">
        <f t="shared" si="444"/>
        <v>0.0986842105263157</v>
      </c>
      <c r="AH1305" s="90"/>
      <c r="AI1305" s="85"/>
      <c r="AJ1305" s="36"/>
      <c r="AK1305" s="36"/>
      <c r="AL1305" s="36"/>
      <c r="AM1305" s="36"/>
      <c r="AN1305" s="36"/>
      <c r="AO1305" s="36"/>
      <c r="AP1305" s="36"/>
      <c r="AQ1305" s="36"/>
      <c r="GE1305" s="94"/>
      <c r="GF1305" s="104">
        <f t="shared" si="435"/>
        <v>2018</v>
      </c>
      <c r="GG1305" s="104">
        <f t="shared" si="436"/>
        <v>6</v>
      </c>
      <c r="GH1305" s="35">
        <v>43139</v>
      </c>
      <c r="GI1305" s="26">
        <v>3.788</v>
      </c>
      <c r="GJ1305" s="94">
        <f t="shared" si="437"/>
        <v>7.576</v>
      </c>
      <c r="GK1305" s="104"/>
      <c r="GL1305" s="104"/>
      <c r="GO1305" s="94"/>
    </row>
    <row r="1306" spans="3:197">
      <c r="C1306" s="80" t="str" cm="1">
        <f t="array" ref="C1306">_xlfn.IFS(MONTH(D1306)&lt;4,1,MONTH(D1306)&lt;7,2,MONTH(D1306)&lt;10,3,MONTH(D1306)&gt;9,4)&amp;"Q"&amp;RIGHT(YEAR(D1306),2)</f>
        <v>2Q21</v>
      </c>
      <c r="D1306" s="81">
        <f t="shared" si="433"/>
        <v>44316</v>
      </c>
      <c r="E1306" s="82">
        <f t="shared" si="442"/>
        <v>44293</v>
      </c>
      <c r="F1306" s="83">
        <f t="shared" si="440"/>
        <v>0.540625</v>
      </c>
      <c r="G1306" s="83">
        <f t="shared" si="440"/>
        <v>0.475</v>
      </c>
      <c r="H1306" s="81"/>
      <c r="I1306" s="146">
        <v>44293</v>
      </c>
      <c r="J1306" s="147">
        <v>4.7</v>
      </c>
      <c r="K1306" s="147">
        <v>4.2</v>
      </c>
      <c r="L1306" s="147">
        <v>4.325</v>
      </c>
      <c r="M1306" s="94" cm="1">
        <f t="array" ref="M1306">INDEX($BV$29:$BV$1449,MATCH($D1306,$BR$29:$BR$1449,0),)</f>
        <v>3.8</v>
      </c>
      <c r="N1306" s="150">
        <f t="shared" si="443"/>
        <v>0.0359281437125749</v>
      </c>
      <c r="O1306" s="150">
        <f t="shared" si="441"/>
        <v>0.0212514757969302</v>
      </c>
      <c r="P1306" s="150">
        <f t="shared" si="439"/>
        <v>0.0058139534883721</v>
      </c>
      <c r="Q1306" s="89">
        <f t="shared" si="444"/>
        <v>0.138157894736842</v>
      </c>
      <c r="AH1306" s="90"/>
      <c r="AI1306" s="85"/>
      <c r="AJ1306" s="36"/>
      <c r="AK1306" s="36"/>
      <c r="AL1306" s="36"/>
      <c r="AM1306" s="36"/>
      <c r="AN1306" s="36"/>
      <c r="AO1306" s="36"/>
      <c r="AP1306" s="36"/>
      <c r="AQ1306" s="36"/>
      <c r="GE1306" s="94"/>
      <c r="GF1306" s="104">
        <f t="shared" si="435"/>
        <v>2018</v>
      </c>
      <c r="GG1306" s="104">
        <f t="shared" si="436"/>
        <v>6</v>
      </c>
      <c r="GH1306" s="35">
        <v>43140</v>
      </c>
      <c r="GI1306" s="26">
        <v>3.788</v>
      </c>
      <c r="GJ1306" s="94">
        <f t="shared" si="437"/>
        <v>7.576</v>
      </c>
      <c r="GK1306" s="104"/>
      <c r="GL1306" s="104"/>
      <c r="GO1306" s="94"/>
    </row>
    <row r="1307" spans="3:197">
      <c r="C1307" s="80" t="str" cm="1">
        <f t="array" ref="C1307">_xlfn.IFS(MONTH(D1307)&lt;4,1,MONTH(D1307)&lt;7,2,MONTH(D1307)&lt;10,3,MONTH(D1307)&gt;9,4)&amp;"Q"&amp;RIGHT(YEAR(D1307),2)</f>
        <v>2Q21</v>
      </c>
      <c r="D1307" s="81">
        <f t="shared" si="433"/>
        <v>44316</v>
      </c>
      <c r="E1307" s="82">
        <f t="shared" si="442"/>
        <v>44294</v>
      </c>
      <c r="F1307" s="83">
        <f t="shared" si="440"/>
        <v>0.546875</v>
      </c>
      <c r="G1307" s="83">
        <f t="shared" si="440"/>
        <v>0.475</v>
      </c>
      <c r="H1307" s="81"/>
      <c r="I1307" s="146">
        <v>44294</v>
      </c>
      <c r="J1307" s="147">
        <v>4.7</v>
      </c>
      <c r="K1307" s="147">
        <v>4.2</v>
      </c>
      <c r="L1307" s="147">
        <v>4.375</v>
      </c>
      <c r="M1307" s="94" cm="1">
        <f t="array" ref="M1307">INDEX($BV$29:$BV$1449,MATCH($D1307,$BR$29:$BR$1449,0),)</f>
        <v>3.8</v>
      </c>
      <c r="N1307" s="150">
        <f t="shared" si="443"/>
        <v>0.0115606936416184</v>
      </c>
      <c r="O1307" s="150">
        <f t="shared" si="441"/>
        <v>0.0391923990498813</v>
      </c>
      <c r="P1307" s="150">
        <f t="shared" si="439"/>
        <v>0.0174418604651163</v>
      </c>
      <c r="Q1307" s="89">
        <f t="shared" si="444"/>
        <v>0.151315789473684</v>
      </c>
      <c r="AH1307" s="90"/>
      <c r="AI1307" s="85"/>
      <c r="AJ1307" s="36"/>
      <c r="AK1307" s="36"/>
      <c r="AL1307" s="36"/>
      <c r="AM1307" s="36"/>
      <c r="AN1307" s="36"/>
      <c r="AO1307" s="36"/>
      <c r="AP1307" s="36"/>
      <c r="AQ1307" s="36"/>
      <c r="GE1307" s="94"/>
      <c r="GF1307" s="104">
        <f t="shared" si="435"/>
        <v>2018</v>
      </c>
      <c r="GG1307" s="104">
        <f t="shared" si="436"/>
        <v>7</v>
      </c>
      <c r="GH1307" s="35">
        <v>43143</v>
      </c>
      <c r="GI1307" s="26">
        <v>3.787</v>
      </c>
      <c r="GJ1307" s="94">
        <f t="shared" si="437"/>
        <v>7.574</v>
      </c>
      <c r="GK1307" s="104"/>
      <c r="GL1307" s="104"/>
      <c r="GO1307" s="94"/>
    </row>
    <row r="1308" spans="3:197">
      <c r="C1308" s="80" t="str" cm="1">
        <f t="array" ref="C1308">_xlfn.IFS(MONTH(D1308)&lt;4,1,MONTH(D1308)&lt;7,2,MONTH(D1308)&lt;10,3,MONTH(D1308)&gt;9,4)&amp;"Q"&amp;RIGHT(YEAR(D1308),2)</f>
        <v>2Q21</v>
      </c>
      <c r="D1308" s="81">
        <f t="shared" si="433"/>
        <v>44316</v>
      </c>
      <c r="E1308" s="82">
        <f t="shared" si="442"/>
        <v>44295</v>
      </c>
      <c r="F1308" s="83">
        <f t="shared" si="440"/>
        <v>0.546875</v>
      </c>
      <c r="G1308" s="83">
        <f t="shared" si="440"/>
        <v>0.475</v>
      </c>
      <c r="H1308" s="81"/>
      <c r="I1308" s="146">
        <v>44295</v>
      </c>
      <c r="J1308" s="147">
        <v>4.7</v>
      </c>
      <c r="K1308" s="147">
        <v>4.2</v>
      </c>
      <c r="L1308" s="147">
        <v>4.375</v>
      </c>
      <c r="M1308" s="94" cm="1">
        <f t="array" ref="M1308">INDEX($BV$29:$BV$1449,MATCH($D1308,$BR$29:$BR$1449,0),)</f>
        <v>3.8</v>
      </c>
      <c r="N1308" s="150">
        <f t="shared" si="443"/>
        <v>0</v>
      </c>
      <c r="O1308" s="150">
        <f t="shared" si="441"/>
        <v>0.0416666666666665</v>
      </c>
      <c r="P1308" s="150">
        <f t="shared" si="439"/>
        <v>0.0174418604651163</v>
      </c>
      <c r="Q1308" s="89">
        <f t="shared" si="444"/>
        <v>0.151315789473684</v>
      </c>
      <c r="AH1308" s="90"/>
      <c r="AI1308" s="85"/>
      <c r="AJ1308" s="36"/>
      <c r="AK1308" s="36"/>
      <c r="AL1308" s="36"/>
      <c r="AM1308" s="36"/>
      <c r="AN1308" s="36"/>
      <c r="AO1308" s="36"/>
      <c r="AP1308" s="36"/>
      <c r="AQ1308" s="36"/>
      <c r="GE1308" s="94"/>
      <c r="GF1308" s="104">
        <f t="shared" si="435"/>
        <v>2018</v>
      </c>
      <c r="GG1308" s="104">
        <f t="shared" si="436"/>
        <v>7</v>
      </c>
      <c r="GH1308" s="35">
        <v>43144</v>
      </c>
      <c r="GI1308" s="26">
        <v>3.787</v>
      </c>
      <c r="GJ1308" s="94">
        <f t="shared" si="437"/>
        <v>7.574</v>
      </c>
      <c r="GK1308" s="104"/>
      <c r="GL1308" s="104"/>
      <c r="GO1308" s="94"/>
    </row>
    <row r="1309" spans="3:197">
      <c r="C1309" s="80" t="str" cm="1">
        <f t="array" ref="C1309">_xlfn.IFS(MONTH(D1309)&lt;4,1,MONTH(D1309)&lt;7,2,MONTH(D1309)&lt;10,3,MONTH(D1309)&gt;9,4)&amp;"Q"&amp;RIGHT(YEAR(D1309),2)</f>
        <v>2Q21</v>
      </c>
      <c r="D1309" s="81">
        <f t="shared" si="433"/>
        <v>44316</v>
      </c>
      <c r="E1309" s="82">
        <f t="shared" si="442"/>
        <v>44298</v>
      </c>
      <c r="F1309" s="83">
        <f t="shared" si="440"/>
        <v>0.54375</v>
      </c>
      <c r="G1309" s="83">
        <f t="shared" si="440"/>
        <v>0.475</v>
      </c>
      <c r="H1309" s="81"/>
      <c r="I1309" s="146">
        <v>44298</v>
      </c>
      <c r="J1309" s="147">
        <v>4.6</v>
      </c>
      <c r="K1309" s="147">
        <v>4.2</v>
      </c>
      <c r="L1309" s="147">
        <v>4.35</v>
      </c>
      <c r="M1309" s="94" cm="1">
        <f t="array" ref="M1309">INDEX($BV$29:$BV$1449,MATCH($D1309,$BR$29:$BR$1449,0),)</f>
        <v>3.8</v>
      </c>
      <c r="N1309" s="150">
        <f t="shared" si="443"/>
        <v>-0.00571428571428578</v>
      </c>
      <c r="O1309" s="150">
        <f t="shared" si="441"/>
        <v>0.0419161676646707</v>
      </c>
      <c r="P1309" s="150">
        <f t="shared" si="439"/>
        <v>0.0175438596491226</v>
      </c>
      <c r="Q1309" s="89">
        <f t="shared" si="444"/>
        <v>0.144736842105263</v>
      </c>
      <c r="AH1309" s="90"/>
      <c r="AI1309" s="85"/>
      <c r="AJ1309" s="36"/>
      <c r="AK1309" s="36"/>
      <c r="AL1309" s="36"/>
      <c r="AM1309" s="36"/>
      <c r="AN1309" s="36"/>
      <c r="AO1309" s="36"/>
      <c r="AP1309" s="36"/>
      <c r="AQ1309" s="36"/>
      <c r="GE1309" s="94"/>
      <c r="GF1309" s="104">
        <f t="shared" si="435"/>
        <v>2018</v>
      </c>
      <c r="GG1309" s="104">
        <f t="shared" si="436"/>
        <v>7</v>
      </c>
      <c r="GH1309" s="35">
        <v>43145</v>
      </c>
      <c r="GI1309" s="26">
        <v>3.787</v>
      </c>
      <c r="GJ1309" s="94">
        <f t="shared" si="437"/>
        <v>7.574</v>
      </c>
      <c r="GK1309" s="104"/>
      <c r="GL1309" s="104"/>
      <c r="GO1309" s="94"/>
    </row>
    <row r="1310" spans="3:197">
      <c r="C1310" s="80" t="str" cm="1">
        <f t="array" ref="C1310">_xlfn.IFS(MONTH(D1310)&lt;4,1,MONTH(D1310)&lt;7,2,MONTH(D1310)&lt;10,3,MONTH(D1310)&gt;9,4)&amp;"Q"&amp;RIGHT(YEAR(D1310),2)</f>
        <v>2Q21</v>
      </c>
      <c r="D1310" s="81">
        <f t="shared" ref="D1310:D1373" si="445">EOMONTH(E1310,0)</f>
        <v>44316</v>
      </c>
      <c r="E1310" s="82">
        <f t="shared" si="442"/>
        <v>44299</v>
      </c>
      <c r="F1310" s="83">
        <f t="shared" si="440"/>
        <v>0.54375</v>
      </c>
      <c r="G1310" s="83">
        <f t="shared" si="440"/>
        <v>0.475</v>
      </c>
      <c r="H1310" s="81"/>
      <c r="I1310" s="146">
        <v>44299</v>
      </c>
      <c r="J1310" s="147">
        <v>4.66</v>
      </c>
      <c r="K1310" s="147">
        <v>4.15</v>
      </c>
      <c r="L1310" s="147">
        <v>4.35</v>
      </c>
      <c r="M1310" s="94" cm="1">
        <f t="array" ref="M1310">INDEX($BV$29:$BV$1449,MATCH($D1310,$BR$29:$BR$1449,0),)</f>
        <v>3.8</v>
      </c>
      <c r="N1310" s="150">
        <f t="shared" si="443"/>
        <v>0</v>
      </c>
      <c r="O1310" s="150">
        <f t="shared" si="441"/>
        <v>0.0419161676646707</v>
      </c>
      <c r="P1310" s="150">
        <f t="shared" si="439"/>
        <v>0.0235294117647058</v>
      </c>
      <c r="Q1310" s="89">
        <f t="shared" si="444"/>
        <v>0.144736842105263</v>
      </c>
      <c r="AH1310" s="90"/>
      <c r="AI1310" s="85"/>
      <c r="AJ1310" s="36"/>
      <c r="AK1310" s="36"/>
      <c r="AL1310" s="36"/>
      <c r="AM1310" s="36"/>
      <c r="AN1310" s="36"/>
      <c r="AO1310" s="36"/>
      <c r="AP1310" s="36"/>
      <c r="AQ1310" s="36"/>
      <c r="GE1310" s="94"/>
      <c r="GF1310" s="104">
        <f t="shared" si="435"/>
        <v>2018</v>
      </c>
      <c r="GG1310" s="104">
        <f t="shared" si="436"/>
        <v>8</v>
      </c>
      <c r="GH1310" s="35">
        <v>43152</v>
      </c>
      <c r="GI1310" s="26">
        <v>3.787</v>
      </c>
      <c r="GJ1310" s="94">
        <f t="shared" si="437"/>
        <v>7.574</v>
      </c>
      <c r="GK1310" s="104"/>
      <c r="GL1310" s="104"/>
      <c r="GO1310" s="94"/>
    </row>
    <row r="1311" spans="3:197">
      <c r="C1311" s="80" t="str" cm="1">
        <f t="array" ref="C1311">_xlfn.IFS(MONTH(D1311)&lt;4,1,MONTH(D1311)&lt;7,2,MONTH(D1311)&lt;10,3,MONTH(D1311)&gt;9,4)&amp;"Q"&amp;RIGHT(YEAR(D1311),2)</f>
        <v>2Q21</v>
      </c>
      <c r="D1311" s="81">
        <f t="shared" si="445"/>
        <v>44316</v>
      </c>
      <c r="E1311" s="82">
        <f t="shared" si="442"/>
        <v>44300</v>
      </c>
      <c r="F1311" s="83">
        <f t="shared" si="440"/>
        <v>0.546875</v>
      </c>
      <c r="G1311" s="83">
        <f t="shared" si="440"/>
        <v>0.475</v>
      </c>
      <c r="H1311" s="81"/>
      <c r="I1311" s="146">
        <v>44300</v>
      </c>
      <c r="J1311" s="147">
        <v>4.66</v>
      </c>
      <c r="K1311" s="147">
        <v>4.15</v>
      </c>
      <c r="L1311" s="147">
        <v>4.375</v>
      </c>
      <c r="M1311" s="94" cm="1">
        <f t="array" ref="M1311">INDEX($BV$29:$BV$1449,MATCH($D1311,$BR$29:$BR$1449,0),)</f>
        <v>3.8</v>
      </c>
      <c r="N1311" s="150">
        <f t="shared" si="443"/>
        <v>0.00574712643678166</v>
      </c>
      <c r="O1311" s="150">
        <f t="shared" si="441"/>
        <v>0.0115606936416184</v>
      </c>
      <c r="P1311" s="150">
        <f t="shared" si="439"/>
        <v>0.0330578512396693</v>
      </c>
      <c r="Q1311" s="89">
        <f t="shared" si="444"/>
        <v>0.151315789473684</v>
      </c>
      <c r="AH1311" s="90"/>
      <c r="AI1311" s="85"/>
      <c r="AJ1311" s="36"/>
      <c r="AK1311" s="36"/>
      <c r="AL1311" s="36"/>
      <c r="AM1311" s="36"/>
      <c r="AN1311" s="36"/>
      <c r="AO1311" s="36"/>
      <c r="AP1311" s="36"/>
      <c r="AQ1311" s="36"/>
      <c r="GE1311" s="94"/>
      <c r="GF1311" s="104">
        <f t="shared" si="435"/>
        <v>2018</v>
      </c>
      <c r="GG1311" s="104">
        <f t="shared" si="436"/>
        <v>8</v>
      </c>
      <c r="GH1311" s="35">
        <v>43153</v>
      </c>
      <c r="GI1311" s="26">
        <v>3.784</v>
      </c>
      <c r="GJ1311" s="94">
        <f t="shared" si="437"/>
        <v>7.568</v>
      </c>
      <c r="GK1311" s="104"/>
      <c r="GL1311" s="104"/>
      <c r="GO1311" s="94"/>
    </row>
    <row r="1312" spans="3:197">
      <c r="C1312" s="80" t="str" cm="1">
        <f t="array" ref="C1312">_xlfn.IFS(MONTH(D1312)&lt;4,1,MONTH(D1312)&lt;7,2,MONTH(D1312)&lt;10,3,MONTH(D1312)&gt;9,4)&amp;"Q"&amp;RIGHT(YEAR(D1312),2)</f>
        <v>2Q21</v>
      </c>
      <c r="D1312" s="81">
        <f t="shared" si="445"/>
        <v>44316</v>
      </c>
      <c r="E1312" s="82">
        <f t="shared" si="442"/>
        <v>44301</v>
      </c>
      <c r="F1312" s="83">
        <f t="shared" si="440"/>
        <v>0.546875</v>
      </c>
      <c r="G1312" s="83">
        <f t="shared" si="440"/>
        <v>0.475</v>
      </c>
      <c r="H1312" s="81"/>
      <c r="I1312" s="146">
        <v>44301</v>
      </c>
      <c r="J1312" s="147">
        <v>4.6</v>
      </c>
      <c r="K1312" s="147">
        <v>4.2</v>
      </c>
      <c r="L1312" s="147">
        <v>4.375</v>
      </c>
      <c r="M1312" s="94" cm="1">
        <f t="array" ref="M1312">INDEX($BV$29:$BV$1449,MATCH($D1312,$BR$29:$BR$1449,0),)</f>
        <v>3.8</v>
      </c>
      <c r="N1312" s="150">
        <f t="shared" si="443"/>
        <v>0</v>
      </c>
      <c r="O1312" s="150">
        <f t="shared" si="441"/>
        <v>0</v>
      </c>
      <c r="P1312" s="150">
        <f t="shared" si="439"/>
        <v>0.0391923990498813</v>
      </c>
      <c r="Q1312" s="89">
        <f t="shared" si="444"/>
        <v>0.151315789473684</v>
      </c>
      <c r="AH1312" s="90"/>
      <c r="AI1312" s="85"/>
      <c r="AJ1312" s="36"/>
      <c r="AK1312" s="36"/>
      <c r="AL1312" s="36"/>
      <c r="AM1312" s="36"/>
      <c r="AN1312" s="36"/>
      <c r="AO1312" s="36"/>
      <c r="AP1312" s="36"/>
      <c r="AQ1312" s="36"/>
      <c r="GE1312" s="94"/>
      <c r="GF1312" s="104">
        <f t="shared" si="435"/>
        <v>2018</v>
      </c>
      <c r="GG1312" s="104">
        <f t="shared" si="436"/>
        <v>8</v>
      </c>
      <c r="GH1312" s="35">
        <v>43154</v>
      </c>
      <c r="GI1312" s="26">
        <v>3.772</v>
      </c>
      <c r="GJ1312" s="94">
        <f t="shared" si="437"/>
        <v>7.544</v>
      </c>
      <c r="GK1312" s="104"/>
      <c r="GL1312" s="104"/>
      <c r="GO1312" s="94"/>
    </row>
    <row r="1313" spans="3:197">
      <c r="C1313" s="80" t="str" cm="1">
        <f t="array" ref="C1313">_xlfn.IFS(MONTH(D1313)&lt;4,1,MONTH(D1313)&lt;7,2,MONTH(D1313)&lt;10,3,MONTH(D1313)&gt;9,4)&amp;"Q"&amp;RIGHT(YEAR(D1313),2)</f>
        <v>2Q21</v>
      </c>
      <c r="D1313" s="81">
        <f t="shared" si="445"/>
        <v>44316</v>
      </c>
      <c r="E1313" s="82">
        <f t="shared" si="442"/>
        <v>44302</v>
      </c>
      <c r="F1313" s="83">
        <f t="shared" si="440"/>
        <v>0.546875</v>
      </c>
      <c r="G1313" s="83">
        <f t="shared" si="440"/>
        <v>0.475</v>
      </c>
      <c r="H1313" s="81"/>
      <c r="I1313" s="146">
        <v>44302</v>
      </c>
      <c r="J1313" s="147">
        <v>4.6</v>
      </c>
      <c r="K1313" s="147">
        <v>4.2</v>
      </c>
      <c r="L1313" s="147">
        <v>4.375</v>
      </c>
      <c r="M1313" s="94" cm="1">
        <f t="array" ref="M1313">INDEX($BV$29:$BV$1449,MATCH($D1313,$BR$29:$BR$1449,0),)</f>
        <v>3.8</v>
      </c>
      <c r="N1313" s="150">
        <f t="shared" si="443"/>
        <v>0</v>
      </c>
      <c r="O1313" s="150">
        <f t="shared" si="441"/>
        <v>0</v>
      </c>
      <c r="P1313" s="150">
        <f t="shared" si="439"/>
        <v>0.0416666666666665</v>
      </c>
      <c r="Q1313" s="89">
        <f t="shared" si="444"/>
        <v>0.151315789473684</v>
      </c>
      <c r="AH1313" s="90"/>
      <c r="AI1313" s="85"/>
      <c r="AJ1313" s="36"/>
      <c r="AK1313" s="36"/>
      <c r="AL1313" s="36"/>
      <c r="AM1313" s="36"/>
      <c r="AN1313" s="36"/>
      <c r="AO1313" s="36"/>
      <c r="AP1313" s="36"/>
      <c r="AQ1313" s="36"/>
      <c r="GE1313" s="94"/>
      <c r="GF1313" s="104">
        <f t="shared" si="435"/>
        <v>2018</v>
      </c>
      <c r="GG1313" s="104">
        <f t="shared" si="436"/>
        <v>9</v>
      </c>
      <c r="GH1313" s="35">
        <v>43157</v>
      </c>
      <c r="GI1313" s="26">
        <v>3.765</v>
      </c>
      <c r="GJ1313" s="94">
        <f t="shared" si="437"/>
        <v>7.53</v>
      </c>
      <c r="GK1313" s="104"/>
      <c r="GL1313" s="104"/>
      <c r="GO1313" s="94"/>
    </row>
    <row r="1314" spans="3:197">
      <c r="C1314" s="80" t="str" cm="1">
        <f t="array" ref="C1314">_xlfn.IFS(MONTH(D1314)&lt;4,1,MONTH(D1314)&lt;7,2,MONTH(D1314)&lt;10,3,MONTH(D1314)&gt;9,4)&amp;"Q"&amp;RIGHT(YEAR(D1314),2)</f>
        <v>2Q21</v>
      </c>
      <c r="D1314" s="81">
        <f t="shared" si="445"/>
        <v>44316</v>
      </c>
      <c r="E1314" s="82">
        <f t="shared" si="442"/>
        <v>44305</v>
      </c>
      <c r="F1314" s="83">
        <f t="shared" si="440"/>
        <v>0.548125</v>
      </c>
      <c r="G1314" s="83">
        <f t="shared" si="440"/>
        <v>0.475</v>
      </c>
      <c r="H1314" s="81"/>
      <c r="I1314" s="146">
        <v>44305</v>
      </c>
      <c r="J1314" s="147">
        <v>4.6</v>
      </c>
      <c r="K1314" s="147">
        <v>4.2</v>
      </c>
      <c r="L1314" s="147">
        <v>4.385</v>
      </c>
      <c r="M1314" s="94" cm="1">
        <f t="array" ref="M1314">INDEX($BV$29:$BV$1449,MATCH($D1314,$BR$29:$BR$1449,0),)</f>
        <v>3.8</v>
      </c>
      <c r="N1314" s="150">
        <f t="shared" si="443"/>
        <v>0.00228571428571422</v>
      </c>
      <c r="O1314" s="150">
        <f t="shared" si="441"/>
        <v>0.00804597701149423</v>
      </c>
      <c r="P1314" s="150">
        <f t="shared" si="439"/>
        <v>0.0502994011976048</v>
      </c>
      <c r="Q1314" s="89">
        <f t="shared" si="444"/>
        <v>0.153947368421053</v>
      </c>
      <c r="AH1314" s="90"/>
      <c r="AI1314" s="85"/>
      <c r="AJ1314" s="36"/>
      <c r="AK1314" s="36"/>
      <c r="AL1314" s="36"/>
      <c r="AM1314" s="36"/>
      <c r="AN1314" s="36"/>
      <c r="AO1314" s="36"/>
      <c r="AP1314" s="36"/>
      <c r="AQ1314" s="36"/>
      <c r="GE1314" s="94"/>
      <c r="GF1314" s="104">
        <f t="shared" si="435"/>
        <v>2018</v>
      </c>
      <c r="GG1314" s="104">
        <f t="shared" si="436"/>
        <v>9</v>
      </c>
      <c r="GH1314" s="35">
        <v>43158</v>
      </c>
      <c r="GI1314" s="26">
        <v>3.761</v>
      </c>
      <c r="GJ1314" s="94">
        <f t="shared" si="437"/>
        <v>7.522</v>
      </c>
      <c r="GK1314" s="104"/>
      <c r="GL1314" s="104"/>
      <c r="GO1314" s="94"/>
    </row>
    <row r="1315" spans="3:197">
      <c r="C1315" s="80" t="str" cm="1">
        <f t="array" ref="C1315">_xlfn.IFS(MONTH(D1315)&lt;4,1,MONTH(D1315)&lt;7,2,MONTH(D1315)&lt;10,3,MONTH(D1315)&gt;9,4)&amp;"Q"&amp;RIGHT(YEAR(D1315),2)</f>
        <v>2Q21</v>
      </c>
      <c r="D1315" s="81">
        <f t="shared" si="445"/>
        <v>44316</v>
      </c>
      <c r="E1315" s="82">
        <f t="shared" si="442"/>
        <v>44306</v>
      </c>
      <c r="F1315" s="83">
        <f t="shared" si="440"/>
        <v>0.55</v>
      </c>
      <c r="G1315" s="83">
        <f t="shared" si="440"/>
        <v>0.475</v>
      </c>
      <c r="H1315" s="81"/>
      <c r="I1315" s="146">
        <v>44306</v>
      </c>
      <c r="J1315" s="147">
        <v>4.6</v>
      </c>
      <c r="K1315" s="147">
        <v>4.2</v>
      </c>
      <c r="L1315" s="147">
        <v>4.4</v>
      </c>
      <c r="M1315" s="94" cm="1">
        <f t="array" ref="M1315">INDEX($BV$29:$BV$1449,MATCH($D1315,$BR$29:$BR$1449,0),)</f>
        <v>3.8</v>
      </c>
      <c r="N1315" s="150">
        <f t="shared" si="443"/>
        <v>0.00342075256556451</v>
      </c>
      <c r="O1315" s="150">
        <f t="shared" si="441"/>
        <v>0.0114942528735633</v>
      </c>
      <c r="P1315" s="150">
        <f t="shared" si="439"/>
        <v>0.0538922155688624</v>
      </c>
      <c r="Q1315" s="89">
        <f t="shared" si="444"/>
        <v>0.157894736842105</v>
      </c>
      <c r="AH1315" s="90"/>
      <c r="AI1315" s="85"/>
      <c r="AJ1315" s="36"/>
      <c r="AK1315" s="36"/>
      <c r="AL1315" s="36"/>
      <c r="AM1315" s="36"/>
      <c r="AN1315" s="36"/>
      <c r="AO1315" s="36"/>
      <c r="AP1315" s="36"/>
      <c r="AQ1315" s="36"/>
      <c r="GE1315" s="94"/>
      <c r="GF1315" s="104">
        <f t="shared" si="435"/>
        <v>2018</v>
      </c>
      <c r="GG1315" s="104">
        <f t="shared" si="436"/>
        <v>9</v>
      </c>
      <c r="GH1315" s="35">
        <v>43159</v>
      </c>
      <c r="GI1315" s="26">
        <v>3.76</v>
      </c>
      <c r="GJ1315" s="94">
        <f t="shared" si="437"/>
        <v>7.52</v>
      </c>
      <c r="GK1315" s="104"/>
      <c r="GL1315" s="104"/>
      <c r="GO1315" s="94"/>
    </row>
    <row r="1316" spans="3:197">
      <c r="C1316" s="80" t="str" cm="1">
        <f t="array" ref="C1316">_xlfn.IFS(MONTH(D1316)&lt;4,1,MONTH(D1316)&lt;7,2,MONTH(D1316)&lt;10,3,MONTH(D1316)&gt;9,4)&amp;"Q"&amp;RIGHT(YEAR(D1316),2)</f>
        <v>2Q21</v>
      </c>
      <c r="D1316" s="81">
        <f t="shared" si="445"/>
        <v>44316</v>
      </c>
      <c r="E1316" s="82">
        <f t="shared" si="442"/>
        <v>44307</v>
      </c>
      <c r="F1316" s="83">
        <f t="shared" si="440"/>
        <v>0.55</v>
      </c>
      <c r="G1316" s="83">
        <f t="shared" si="440"/>
        <v>0.475</v>
      </c>
      <c r="H1316" s="81"/>
      <c r="I1316" s="146">
        <v>44307</v>
      </c>
      <c r="J1316" s="147">
        <v>4.6</v>
      </c>
      <c r="K1316" s="147">
        <v>4.25</v>
      </c>
      <c r="L1316" s="147">
        <v>4.4</v>
      </c>
      <c r="M1316" s="94" cm="1">
        <f t="array" ref="M1316">INDEX($BV$29:$BV$1449,MATCH($D1316,$BR$29:$BR$1449,0),)</f>
        <v>3.8</v>
      </c>
      <c r="N1316" s="150">
        <f t="shared" si="443"/>
        <v>0</v>
      </c>
      <c r="O1316" s="150">
        <f t="shared" si="441"/>
        <v>0.00571428571428578</v>
      </c>
      <c r="P1316" s="150">
        <f t="shared" si="439"/>
        <v>0.0173410404624277</v>
      </c>
      <c r="Q1316" s="89">
        <f t="shared" si="444"/>
        <v>0.157894736842105</v>
      </c>
      <c r="AH1316" s="90"/>
      <c r="AI1316" s="85"/>
      <c r="AJ1316" s="36"/>
      <c r="AK1316" s="36"/>
      <c r="AL1316" s="36"/>
      <c r="AM1316" s="36"/>
      <c r="AN1316" s="36"/>
      <c r="AO1316" s="36"/>
      <c r="AP1316" s="36"/>
      <c r="AQ1316" s="36"/>
      <c r="GE1316" s="94"/>
      <c r="GF1316" s="104">
        <f t="shared" si="435"/>
        <v>2018</v>
      </c>
      <c r="GG1316" s="104">
        <f t="shared" si="436"/>
        <v>9</v>
      </c>
      <c r="GH1316" s="35">
        <v>43160</v>
      </c>
      <c r="GI1316" s="26">
        <v>3.76</v>
      </c>
      <c r="GJ1316" s="94">
        <f t="shared" si="437"/>
        <v>7.52</v>
      </c>
      <c r="GK1316" s="104"/>
      <c r="GL1316" s="104"/>
      <c r="GO1316" s="94"/>
    </row>
    <row r="1317" spans="3:197">
      <c r="C1317" s="80" t="str" cm="1">
        <f t="array" ref="C1317">_xlfn.IFS(MONTH(D1317)&lt;4,1,MONTH(D1317)&lt;7,2,MONTH(D1317)&lt;10,3,MONTH(D1317)&gt;9,4)&amp;"Q"&amp;RIGHT(YEAR(D1317),2)</f>
        <v>2Q21</v>
      </c>
      <c r="D1317" s="81">
        <f t="shared" si="445"/>
        <v>44316</v>
      </c>
      <c r="E1317" s="82">
        <f t="shared" si="442"/>
        <v>44308</v>
      </c>
      <c r="F1317" s="83">
        <f t="shared" ref="F1317:G1380" si="446">+L1317/8</f>
        <v>0.55</v>
      </c>
      <c r="G1317" s="83">
        <f t="shared" si="446"/>
        <v>0.475</v>
      </c>
      <c r="H1317" s="81"/>
      <c r="I1317" s="146">
        <v>44308</v>
      </c>
      <c r="J1317" s="147">
        <v>4.6</v>
      </c>
      <c r="K1317" s="147">
        <v>4.25</v>
      </c>
      <c r="L1317" s="147">
        <v>4.4</v>
      </c>
      <c r="M1317" s="94" cm="1">
        <f t="array" ref="M1317">INDEX($BV$29:$BV$1449,MATCH($D1317,$BR$29:$BR$1449,0),)</f>
        <v>3.8</v>
      </c>
      <c r="N1317" s="150">
        <f t="shared" si="443"/>
        <v>0</v>
      </c>
      <c r="O1317" s="150">
        <f t="shared" si="441"/>
        <v>0.00571428571428578</v>
      </c>
      <c r="P1317" s="150">
        <f t="shared" si="439"/>
        <v>0.00571428571428578</v>
      </c>
      <c r="Q1317" s="89">
        <f t="shared" si="444"/>
        <v>0.157894736842105</v>
      </c>
      <c r="AH1317" s="90"/>
      <c r="AI1317" s="85"/>
      <c r="AJ1317" s="36"/>
      <c r="AK1317" s="36"/>
      <c r="AL1317" s="36"/>
      <c r="AM1317" s="36"/>
      <c r="AN1317" s="36"/>
      <c r="AO1317" s="36"/>
      <c r="AP1317" s="36"/>
      <c r="AQ1317" s="36"/>
      <c r="GE1317" s="94"/>
      <c r="GF1317" s="104">
        <f t="shared" si="435"/>
        <v>2018</v>
      </c>
      <c r="GG1317" s="104">
        <f t="shared" si="436"/>
        <v>9</v>
      </c>
      <c r="GH1317" s="35">
        <v>43161</v>
      </c>
      <c r="GI1317" s="26">
        <v>3.759</v>
      </c>
      <c r="GJ1317" s="94">
        <f t="shared" si="437"/>
        <v>7.518</v>
      </c>
      <c r="GK1317" s="104"/>
      <c r="GL1317" s="104"/>
      <c r="GO1317" s="94"/>
    </row>
    <row r="1318" spans="3:197">
      <c r="C1318" s="80" t="str" cm="1">
        <f t="array" ref="C1318">_xlfn.IFS(MONTH(D1318)&lt;4,1,MONTH(D1318)&lt;7,2,MONTH(D1318)&lt;10,3,MONTH(D1318)&gt;9,4)&amp;"Q"&amp;RIGHT(YEAR(D1318),2)</f>
        <v>2Q21</v>
      </c>
      <c r="D1318" s="81">
        <f t="shared" si="445"/>
        <v>44316</v>
      </c>
      <c r="E1318" s="82">
        <f t="shared" si="442"/>
        <v>44309</v>
      </c>
      <c r="F1318" s="83">
        <f t="shared" si="446"/>
        <v>0.550625</v>
      </c>
      <c r="G1318" s="83">
        <f t="shared" si="446"/>
        <v>0.475</v>
      </c>
      <c r="H1318" s="81"/>
      <c r="I1318" s="146">
        <v>44309</v>
      </c>
      <c r="J1318" s="147">
        <v>4.6</v>
      </c>
      <c r="K1318" s="147">
        <v>4.25</v>
      </c>
      <c r="L1318" s="147">
        <v>4.405</v>
      </c>
      <c r="M1318" s="94" cm="1">
        <f t="array" ref="M1318">INDEX($BV$29:$BV$1449,MATCH($D1318,$BR$29:$BR$1449,0),)</f>
        <v>3.8</v>
      </c>
      <c r="N1318" s="150">
        <f t="shared" si="443"/>
        <v>0.00113636363636371</v>
      </c>
      <c r="O1318" s="150">
        <f t="shared" si="441"/>
        <v>0.00685714285714289</v>
      </c>
      <c r="P1318" s="150">
        <f t="shared" si="439"/>
        <v>0.00685714285714289</v>
      </c>
      <c r="Q1318" s="89">
        <f t="shared" si="444"/>
        <v>0.15921052631579</v>
      </c>
      <c r="AH1318" s="90"/>
      <c r="AI1318" s="85"/>
      <c r="AJ1318" s="36"/>
      <c r="AK1318" s="36"/>
      <c r="AL1318" s="36"/>
      <c r="AM1318" s="36"/>
      <c r="AN1318" s="36"/>
      <c r="AO1318" s="36"/>
      <c r="AP1318" s="36"/>
      <c r="AQ1318" s="36"/>
      <c r="GE1318" s="94"/>
      <c r="GF1318" s="104">
        <f t="shared" si="435"/>
        <v>2018</v>
      </c>
      <c r="GG1318" s="104">
        <f t="shared" si="436"/>
        <v>10</v>
      </c>
      <c r="GH1318" s="35">
        <v>43164</v>
      </c>
      <c r="GI1318" s="26">
        <v>3.755</v>
      </c>
      <c r="GJ1318" s="94">
        <f t="shared" si="437"/>
        <v>7.51</v>
      </c>
      <c r="GK1318" s="104"/>
      <c r="GL1318" s="104"/>
      <c r="GO1318" s="94"/>
    </row>
    <row r="1319" spans="3:197">
      <c r="C1319" s="80" t="str" cm="1">
        <f t="array" ref="C1319">_xlfn.IFS(MONTH(D1319)&lt;4,1,MONTH(D1319)&lt;7,2,MONTH(D1319)&lt;10,3,MONTH(D1319)&gt;9,4)&amp;"Q"&amp;RIGHT(YEAR(D1319),2)</f>
        <v>2Q21</v>
      </c>
      <c r="D1319" s="81">
        <f t="shared" si="445"/>
        <v>44316</v>
      </c>
      <c r="E1319" s="82">
        <f t="shared" si="442"/>
        <v>44312</v>
      </c>
      <c r="F1319" s="83">
        <f t="shared" si="446"/>
        <v>0.55625</v>
      </c>
      <c r="G1319" s="83">
        <f t="shared" si="446"/>
        <v>0.475</v>
      </c>
      <c r="H1319" s="81"/>
      <c r="I1319" s="146">
        <v>44312</v>
      </c>
      <c r="J1319" s="147">
        <v>4.65</v>
      </c>
      <c r="K1319" s="147">
        <v>4.25</v>
      </c>
      <c r="L1319" s="147">
        <v>4.45</v>
      </c>
      <c r="M1319" s="94" cm="1">
        <f t="array" ref="M1319">INDEX($BV$29:$BV$1449,MATCH($D1319,$BR$29:$BR$1449,0),)</f>
        <v>3.8</v>
      </c>
      <c r="N1319" s="150">
        <f t="shared" si="443"/>
        <v>0.0102156640181612</v>
      </c>
      <c r="O1319" s="150">
        <f t="shared" si="441"/>
        <v>0.0148232611174459</v>
      </c>
      <c r="P1319" s="150">
        <f t="shared" si="439"/>
        <v>0.0229885057471266</v>
      </c>
      <c r="Q1319" s="89">
        <f t="shared" si="444"/>
        <v>0.171052631578948</v>
      </c>
      <c r="AH1319" s="90"/>
      <c r="AI1319" s="85"/>
      <c r="AJ1319" s="36"/>
      <c r="AK1319" s="36"/>
      <c r="AL1319" s="36"/>
      <c r="AM1319" s="36"/>
      <c r="AN1319" s="36"/>
      <c r="AO1319" s="36"/>
      <c r="AP1319" s="36"/>
      <c r="AQ1319" s="36"/>
      <c r="GE1319" s="94"/>
      <c r="GF1319" s="104">
        <f t="shared" si="435"/>
        <v>2018</v>
      </c>
      <c r="GG1319" s="104">
        <f t="shared" si="436"/>
        <v>10</v>
      </c>
      <c r="GH1319" s="35">
        <v>43165</v>
      </c>
      <c r="GI1319" s="26">
        <v>3.749</v>
      </c>
      <c r="GJ1319" s="94">
        <f t="shared" si="437"/>
        <v>7.498</v>
      </c>
      <c r="GK1319" s="104"/>
      <c r="GL1319" s="104"/>
      <c r="GO1319" s="94"/>
    </row>
    <row r="1320" spans="3:197">
      <c r="C1320" s="80" t="str" cm="1">
        <f t="array" ref="C1320">_xlfn.IFS(MONTH(D1320)&lt;4,1,MONTH(D1320)&lt;7,2,MONTH(D1320)&lt;10,3,MONTH(D1320)&gt;9,4)&amp;"Q"&amp;RIGHT(YEAR(D1320),2)</f>
        <v>2Q21</v>
      </c>
      <c r="D1320" s="81">
        <f t="shared" si="445"/>
        <v>44316</v>
      </c>
      <c r="E1320" s="82">
        <f t="shared" si="442"/>
        <v>44313</v>
      </c>
      <c r="F1320" s="83">
        <f t="shared" si="446"/>
        <v>0.578125</v>
      </c>
      <c r="G1320" s="83">
        <f t="shared" si="446"/>
        <v>0.475</v>
      </c>
      <c r="H1320" s="81"/>
      <c r="I1320" s="146">
        <v>44313</v>
      </c>
      <c r="J1320" s="147">
        <v>5.05</v>
      </c>
      <c r="K1320" s="147">
        <v>4.25</v>
      </c>
      <c r="L1320" s="147">
        <v>4.625</v>
      </c>
      <c r="M1320" s="94" cm="1">
        <f t="array" ref="M1320">INDEX($BV$29:$BV$1449,MATCH($D1320,$BR$29:$BR$1449,0),)</f>
        <v>3.8</v>
      </c>
      <c r="N1320" s="150">
        <f t="shared" si="443"/>
        <v>0.0393258426966292</v>
      </c>
      <c r="O1320" s="150">
        <f t="shared" si="441"/>
        <v>0.0511363636363635</v>
      </c>
      <c r="P1320" s="150">
        <f t="shared" si="439"/>
        <v>0.0632183908045978</v>
      </c>
      <c r="Q1320" s="89">
        <f t="shared" si="444"/>
        <v>0.217105263157895</v>
      </c>
      <c r="AH1320" s="90"/>
      <c r="AI1320" s="85"/>
      <c r="AJ1320" s="36"/>
      <c r="AK1320" s="36"/>
      <c r="AL1320" s="36"/>
      <c r="AM1320" s="36"/>
      <c r="AN1320" s="36"/>
      <c r="AO1320" s="36"/>
      <c r="AP1320" s="36"/>
      <c r="AQ1320" s="36"/>
      <c r="GE1320" s="94"/>
      <c r="GF1320" s="104">
        <f t="shared" si="435"/>
        <v>2018</v>
      </c>
      <c r="GG1320" s="104">
        <f t="shared" si="436"/>
        <v>10</v>
      </c>
      <c r="GH1320" s="35">
        <v>43166</v>
      </c>
      <c r="GI1320" s="26">
        <v>3.746</v>
      </c>
      <c r="GJ1320" s="94">
        <f t="shared" si="437"/>
        <v>7.492</v>
      </c>
      <c r="GK1320" s="104"/>
      <c r="GL1320" s="104"/>
      <c r="GO1320" s="94"/>
    </row>
    <row r="1321" spans="3:197">
      <c r="C1321" s="80" t="str" cm="1">
        <f t="array" ref="C1321">_xlfn.IFS(MONTH(D1321)&lt;4,1,MONTH(D1321)&lt;7,2,MONTH(D1321)&lt;10,3,MONTH(D1321)&gt;9,4)&amp;"Q"&amp;RIGHT(YEAR(D1321),2)</f>
        <v>2Q21</v>
      </c>
      <c r="D1321" s="81">
        <f t="shared" si="445"/>
        <v>44316</v>
      </c>
      <c r="E1321" s="82">
        <f t="shared" si="442"/>
        <v>44314</v>
      </c>
      <c r="F1321" s="83">
        <f t="shared" si="446"/>
        <v>0.58125</v>
      </c>
      <c r="G1321" s="83">
        <f t="shared" si="446"/>
        <v>0.475</v>
      </c>
      <c r="H1321" s="81"/>
      <c r="I1321" s="146">
        <v>44314</v>
      </c>
      <c r="J1321" s="147">
        <v>5.05</v>
      </c>
      <c r="K1321" s="147">
        <v>4.3</v>
      </c>
      <c r="L1321" s="147">
        <v>4.65</v>
      </c>
      <c r="M1321" s="94" cm="1">
        <f t="array" ref="M1321">INDEX($BV$29:$BV$1449,MATCH($D1321,$BR$29:$BR$1449,0),)</f>
        <v>3.8</v>
      </c>
      <c r="N1321" s="150">
        <f t="shared" si="443"/>
        <v>0.00540540540540557</v>
      </c>
      <c r="O1321" s="150">
        <f t="shared" si="441"/>
        <v>0.0568181818181819</v>
      </c>
      <c r="P1321" s="150">
        <f t="shared" si="439"/>
        <v>0.0628571428571429</v>
      </c>
      <c r="Q1321" s="89">
        <f t="shared" si="444"/>
        <v>0.223684210526316</v>
      </c>
      <c r="AH1321" s="90"/>
      <c r="AI1321" s="85"/>
      <c r="AJ1321" s="36"/>
      <c r="AK1321" s="36"/>
      <c r="AL1321" s="36"/>
      <c r="AM1321" s="36"/>
      <c r="AN1321" s="36"/>
      <c r="AO1321" s="36"/>
      <c r="AP1321" s="36"/>
      <c r="AQ1321" s="36"/>
      <c r="GE1321" s="94"/>
      <c r="GF1321" s="104">
        <f t="shared" si="435"/>
        <v>2018</v>
      </c>
      <c r="GG1321" s="104">
        <f t="shared" si="436"/>
        <v>10</v>
      </c>
      <c r="GH1321" s="35">
        <v>43167</v>
      </c>
      <c r="GI1321" s="26">
        <v>3.746</v>
      </c>
      <c r="GJ1321" s="94">
        <f t="shared" si="437"/>
        <v>7.492</v>
      </c>
      <c r="GK1321" s="104"/>
      <c r="GL1321" s="104"/>
      <c r="GO1321" s="94"/>
    </row>
    <row r="1322" spans="3:197">
      <c r="C1322" s="80" t="str" cm="1">
        <f t="array" ref="C1322">_xlfn.IFS(MONTH(D1322)&lt;4,1,MONTH(D1322)&lt;7,2,MONTH(D1322)&lt;10,3,MONTH(D1322)&gt;9,4)&amp;"Q"&amp;RIGHT(YEAR(D1322),2)</f>
        <v>2Q21</v>
      </c>
      <c r="D1322" s="81">
        <f t="shared" si="445"/>
        <v>44316</v>
      </c>
      <c r="E1322" s="82">
        <f t="shared" si="442"/>
        <v>44315</v>
      </c>
      <c r="F1322" s="83">
        <f t="shared" si="446"/>
        <v>0.58225</v>
      </c>
      <c r="G1322" s="83">
        <f t="shared" si="446"/>
        <v>0.475</v>
      </c>
      <c r="H1322" s="81"/>
      <c r="I1322" s="146">
        <v>44315</v>
      </c>
      <c r="J1322" s="147">
        <v>5.05</v>
      </c>
      <c r="K1322" s="147">
        <v>4.3</v>
      </c>
      <c r="L1322" s="147">
        <v>4.658</v>
      </c>
      <c r="M1322" s="94" cm="1">
        <f t="array" ref="M1322">INDEX($BV$29:$BV$1449,MATCH($D1322,$BR$29:$BR$1449,0),)</f>
        <v>3.8</v>
      </c>
      <c r="N1322" s="150">
        <f t="shared" si="443"/>
        <v>0.00172043010752687</v>
      </c>
      <c r="O1322" s="150">
        <f t="shared" si="441"/>
        <v>0.0586363636363636</v>
      </c>
      <c r="P1322" s="150">
        <f t="shared" si="439"/>
        <v>0.0646857142857145</v>
      </c>
      <c r="Q1322" s="89">
        <f t="shared" si="444"/>
        <v>0.225789473684211</v>
      </c>
      <c r="AH1322" s="90"/>
      <c r="AI1322" s="85"/>
      <c r="AJ1322" s="36"/>
      <c r="AK1322" s="36"/>
      <c r="AL1322" s="36"/>
      <c r="AM1322" s="36"/>
      <c r="AN1322" s="36"/>
      <c r="AO1322" s="36"/>
      <c r="AP1322" s="36"/>
      <c r="AQ1322" s="36"/>
      <c r="GE1322" s="94"/>
      <c r="GF1322" s="104">
        <f t="shared" si="435"/>
        <v>2018</v>
      </c>
      <c r="GG1322" s="104">
        <f t="shared" si="436"/>
        <v>10</v>
      </c>
      <c r="GH1322" s="35">
        <v>43168</v>
      </c>
      <c r="GI1322" s="26">
        <v>3.732</v>
      </c>
      <c r="GJ1322" s="94">
        <f t="shared" si="437"/>
        <v>7.464</v>
      </c>
      <c r="GK1322" s="104"/>
      <c r="GL1322" s="104"/>
      <c r="GO1322" s="94"/>
    </row>
    <row r="1323" spans="3:197">
      <c r="C1323" s="80" t="str" cm="1">
        <f t="array" ref="C1323">_xlfn.IFS(MONTH(D1323)&lt;4,1,MONTH(D1323)&lt;7,2,MONTH(D1323)&lt;10,3,MONTH(D1323)&gt;9,4)&amp;"Q"&amp;RIGHT(YEAR(D1323),2)</f>
        <v>2Q21</v>
      </c>
      <c r="D1323" s="81">
        <f t="shared" si="445"/>
        <v>44316</v>
      </c>
      <c r="E1323" s="82">
        <f t="shared" si="442"/>
        <v>44316</v>
      </c>
      <c r="F1323" s="83">
        <f t="shared" si="446"/>
        <v>0.579</v>
      </c>
      <c r="G1323" s="83">
        <f t="shared" si="446"/>
        <v>0.475</v>
      </c>
      <c r="H1323" s="81"/>
      <c r="I1323" s="146">
        <v>44316</v>
      </c>
      <c r="J1323" s="147">
        <v>5</v>
      </c>
      <c r="K1323" s="147">
        <v>4.3</v>
      </c>
      <c r="L1323" s="147">
        <v>4.632</v>
      </c>
      <c r="M1323" s="94" cm="1">
        <f t="array" ref="M1323">INDEX($BV$29:$BV$1449,MATCH($D1323,$BR$29:$BR$1449,0),)</f>
        <v>3.8</v>
      </c>
      <c r="N1323" s="150">
        <f t="shared" si="443"/>
        <v>-0.0055817947617004</v>
      </c>
      <c r="O1323" s="150">
        <f t="shared" si="441"/>
        <v>0.051532349602724</v>
      </c>
      <c r="P1323" s="150">
        <f t="shared" si="439"/>
        <v>0.058742857142857</v>
      </c>
      <c r="Q1323" s="89">
        <f t="shared" si="444"/>
        <v>0.218947368421053</v>
      </c>
      <c r="AH1323" s="90"/>
      <c r="AI1323" s="85"/>
      <c r="AJ1323" s="36"/>
      <c r="AK1323" s="36"/>
      <c r="AL1323" s="36"/>
      <c r="AM1323" s="36"/>
      <c r="AN1323" s="36"/>
      <c r="AO1323" s="36"/>
      <c r="AP1323" s="36"/>
      <c r="AQ1323" s="36"/>
      <c r="GE1323" s="94"/>
      <c r="GF1323" s="104">
        <f t="shared" si="435"/>
        <v>2018</v>
      </c>
      <c r="GG1323" s="104">
        <f t="shared" si="436"/>
        <v>11</v>
      </c>
      <c r="GH1323" s="35">
        <v>43171</v>
      </c>
      <c r="GI1323" s="26">
        <v>3.725</v>
      </c>
      <c r="GJ1323" s="94">
        <f t="shared" si="437"/>
        <v>7.45</v>
      </c>
      <c r="GK1323" s="104"/>
      <c r="GL1323" s="104"/>
      <c r="GO1323" s="94"/>
    </row>
    <row r="1324" spans="3:197">
      <c r="C1324" s="80" t="str" cm="1">
        <f t="array" ref="C1324">_xlfn.IFS(MONTH(D1324)&lt;4,1,MONTH(D1324)&lt;7,2,MONTH(D1324)&lt;10,3,MONTH(D1324)&gt;9,4)&amp;"Q"&amp;RIGHT(YEAR(D1324),2)</f>
        <v>2Q21</v>
      </c>
      <c r="D1324" s="81">
        <f t="shared" si="445"/>
        <v>44347</v>
      </c>
      <c r="E1324" s="82">
        <f t="shared" si="442"/>
        <v>44319</v>
      </c>
      <c r="F1324" s="83">
        <f t="shared" si="446"/>
        <v>0.579</v>
      </c>
      <c r="G1324" s="83">
        <f t="shared" si="446"/>
        <v>0.475</v>
      </c>
      <c r="H1324" s="81"/>
      <c r="I1324" s="146">
        <v>44319</v>
      </c>
      <c r="J1324" s="147">
        <v>5</v>
      </c>
      <c r="K1324" s="147">
        <v>4.3</v>
      </c>
      <c r="L1324" s="147">
        <v>4.632</v>
      </c>
      <c r="M1324" s="94" cm="1">
        <f t="array" ref="M1324">INDEX($BV$29:$BV$1449,MATCH($D1324,$BR$29:$BR$1449,0),)</f>
        <v>3.8</v>
      </c>
      <c r="N1324" s="150">
        <f t="shared" si="443"/>
        <v>0</v>
      </c>
      <c r="O1324" s="150">
        <f t="shared" si="441"/>
        <v>0.0408988764044942</v>
      </c>
      <c r="P1324" s="150">
        <f t="shared" si="439"/>
        <v>0.0563283922462943</v>
      </c>
      <c r="Q1324" s="89">
        <f t="shared" si="444"/>
        <v>0.218947368421053</v>
      </c>
      <c r="AH1324" s="90"/>
      <c r="AI1324" s="85"/>
      <c r="AJ1324" s="36"/>
      <c r="AK1324" s="36"/>
      <c r="AL1324" s="36"/>
      <c r="AM1324" s="36"/>
      <c r="AN1324" s="36"/>
      <c r="AO1324" s="36"/>
      <c r="AP1324" s="36"/>
      <c r="AQ1324" s="36"/>
      <c r="GE1324" s="94"/>
      <c r="GF1324" s="104">
        <f t="shared" si="435"/>
        <v>2018</v>
      </c>
      <c r="GG1324" s="104">
        <f t="shared" si="436"/>
        <v>11</v>
      </c>
      <c r="GH1324" s="35">
        <v>43172</v>
      </c>
      <c r="GI1324" s="26">
        <v>3.657</v>
      </c>
      <c r="GJ1324" s="94">
        <f t="shared" si="437"/>
        <v>7.314</v>
      </c>
      <c r="GK1324" s="104"/>
      <c r="GL1324" s="104"/>
      <c r="GO1324" s="94"/>
    </row>
    <row r="1325" spans="3:197">
      <c r="C1325" s="80" t="str" cm="1">
        <f t="array" ref="C1325">_xlfn.IFS(MONTH(D1325)&lt;4,1,MONTH(D1325)&lt;7,2,MONTH(D1325)&lt;10,3,MONTH(D1325)&gt;9,4)&amp;"Q"&amp;RIGHT(YEAR(D1325),2)</f>
        <v>2Q21</v>
      </c>
      <c r="D1325" s="81">
        <f t="shared" si="445"/>
        <v>44347</v>
      </c>
      <c r="E1325" s="82">
        <f t="shared" si="442"/>
        <v>44320</v>
      </c>
      <c r="F1325" s="83">
        <f t="shared" si="446"/>
        <v>0.579</v>
      </c>
      <c r="G1325" s="83">
        <f t="shared" si="446"/>
        <v>0.475</v>
      </c>
      <c r="H1325" s="81"/>
      <c r="I1325" s="146">
        <v>44320</v>
      </c>
      <c r="J1325" s="147">
        <v>5</v>
      </c>
      <c r="K1325" s="147">
        <v>4.3</v>
      </c>
      <c r="L1325" s="147">
        <v>4.632</v>
      </c>
      <c r="M1325" s="94" cm="1">
        <f t="array" ref="M1325">INDEX($BV$29:$BV$1449,MATCH($D1325,$BR$29:$BR$1449,0),)</f>
        <v>3.8</v>
      </c>
      <c r="N1325" s="150">
        <f t="shared" si="443"/>
        <v>0</v>
      </c>
      <c r="O1325" s="150">
        <f t="shared" si="441"/>
        <v>0.00151351351351336</v>
      </c>
      <c r="P1325" s="150">
        <f t="shared" si="439"/>
        <v>0.0527272727272725</v>
      </c>
      <c r="Q1325" s="89">
        <f t="shared" si="444"/>
        <v>0.218947368421053</v>
      </c>
      <c r="AH1325" s="90"/>
      <c r="AI1325" s="85"/>
      <c r="AJ1325" s="36"/>
      <c r="AK1325" s="36"/>
      <c r="AL1325" s="36"/>
      <c r="AM1325" s="36"/>
      <c r="AN1325" s="36"/>
      <c r="AO1325" s="36"/>
      <c r="AP1325" s="36"/>
      <c r="AQ1325" s="36"/>
      <c r="GE1325" s="94"/>
      <c r="GF1325" s="104">
        <f t="shared" si="435"/>
        <v>2018</v>
      </c>
      <c r="GG1325" s="104">
        <f t="shared" si="436"/>
        <v>11</v>
      </c>
      <c r="GH1325" s="35">
        <v>43173</v>
      </c>
      <c r="GI1325" s="26">
        <v>3.638</v>
      </c>
      <c r="GJ1325" s="94">
        <f t="shared" si="437"/>
        <v>7.276</v>
      </c>
      <c r="GK1325" s="104"/>
      <c r="GL1325" s="104"/>
      <c r="GO1325" s="94"/>
    </row>
    <row r="1326" spans="3:197">
      <c r="C1326" s="80" t="str" cm="1">
        <f t="array" ref="C1326">_xlfn.IFS(MONTH(D1326)&lt;4,1,MONTH(D1326)&lt;7,2,MONTH(D1326)&lt;10,3,MONTH(D1326)&gt;9,4)&amp;"Q"&amp;RIGHT(YEAR(D1326),2)</f>
        <v>2Q21</v>
      </c>
      <c r="D1326" s="81">
        <f t="shared" si="445"/>
        <v>44347</v>
      </c>
      <c r="E1326" s="82">
        <f t="shared" si="442"/>
        <v>44321</v>
      </c>
      <c r="F1326" s="83">
        <f t="shared" si="446"/>
        <v>0.579</v>
      </c>
      <c r="G1326" s="83">
        <f t="shared" si="446"/>
        <v>0.475</v>
      </c>
      <c r="H1326" s="81"/>
      <c r="I1326" s="146">
        <v>44321</v>
      </c>
      <c r="J1326" s="147">
        <v>5</v>
      </c>
      <c r="K1326" s="147">
        <v>4.2</v>
      </c>
      <c r="L1326" s="147">
        <v>4.632</v>
      </c>
      <c r="M1326" s="94" cm="1">
        <f t="array" ref="M1326">INDEX($BV$29:$BV$1449,MATCH($D1326,$BR$29:$BR$1449,0),)</f>
        <v>3.8</v>
      </c>
      <c r="N1326" s="150">
        <f t="shared" si="443"/>
        <v>0</v>
      </c>
      <c r="O1326" s="150">
        <f t="shared" si="441"/>
        <v>-0.00387096774193563</v>
      </c>
      <c r="P1326" s="150">
        <f t="shared" si="439"/>
        <v>0.0527272727272725</v>
      </c>
      <c r="Q1326" s="89">
        <f t="shared" si="444"/>
        <v>0.218947368421053</v>
      </c>
      <c r="AH1326" s="90"/>
      <c r="AI1326" s="85"/>
      <c r="AJ1326" s="36"/>
      <c r="AK1326" s="36"/>
      <c r="AL1326" s="36"/>
      <c r="AM1326" s="36"/>
      <c r="AN1326" s="36"/>
      <c r="AO1326" s="36"/>
      <c r="AP1326" s="36"/>
      <c r="AQ1326" s="36"/>
      <c r="GE1326" s="94"/>
      <c r="GF1326" s="104">
        <f t="shared" si="435"/>
        <v>2018</v>
      </c>
      <c r="GG1326" s="104">
        <f t="shared" si="436"/>
        <v>11</v>
      </c>
      <c r="GH1326" s="35">
        <v>43174</v>
      </c>
      <c r="GI1326" s="26">
        <v>3.616</v>
      </c>
      <c r="GJ1326" s="94">
        <f t="shared" si="437"/>
        <v>7.232</v>
      </c>
      <c r="GK1326" s="104"/>
      <c r="GL1326" s="104"/>
      <c r="GO1326" s="94"/>
    </row>
    <row r="1327" spans="3:197">
      <c r="C1327" s="80" t="str" cm="1">
        <f t="array" ref="C1327">_xlfn.IFS(MONTH(D1327)&lt;4,1,MONTH(D1327)&lt;7,2,MONTH(D1327)&lt;10,3,MONTH(D1327)&gt;9,4)&amp;"Q"&amp;RIGHT(YEAR(D1327),2)</f>
        <v>2Q21</v>
      </c>
      <c r="D1327" s="81">
        <f t="shared" si="445"/>
        <v>44347</v>
      </c>
      <c r="E1327" s="82">
        <f t="shared" si="442"/>
        <v>44322</v>
      </c>
      <c r="F1327" s="83">
        <f t="shared" si="446"/>
        <v>0.579</v>
      </c>
      <c r="G1327" s="83">
        <f t="shared" si="446"/>
        <v>0.475</v>
      </c>
      <c r="H1327" s="81"/>
      <c r="I1327" s="146">
        <v>44322</v>
      </c>
      <c r="J1327" s="147">
        <v>5</v>
      </c>
      <c r="K1327" s="147">
        <v>4.2</v>
      </c>
      <c r="L1327" s="147">
        <v>4.632</v>
      </c>
      <c r="M1327" s="94" cm="1">
        <f t="array" ref="M1327">INDEX($BV$29:$BV$1449,MATCH($D1327,$BR$29:$BR$1449,0),)</f>
        <v>3.8</v>
      </c>
      <c r="N1327" s="150">
        <f t="shared" si="443"/>
        <v>0</v>
      </c>
      <c r="O1327" s="150">
        <f t="shared" si="441"/>
        <v>-0.0055817947617004</v>
      </c>
      <c r="P1327" s="150">
        <f t="shared" si="439"/>
        <v>0.0527272727272725</v>
      </c>
      <c r="Q1327" s="89">
        <f t="shared" si="444"/>
        <v>0.218947368421053</v>
      </c>
      <c r="AH1327" s="90"/>
      <c r="AI1327" s="85"/>
      <c r="AJ1327" s="36"/>
      <c r="AK1327" s="36"/>
      <c r="AL1327" s="36"/>
      <c r="AM1327" s="36"/>
      <c r="AN1327" s="36"/>
      <c r="AO1327" s="36"/>
      <c r="AP1327" s="36"/>
      <c r="AQ1327" s="36"/>
      <c r="GE1327" s="94"/>
      <c r="GF1327" s="104">
        <f t="shared" si="435"/>
        <v>2018</v>
      </c>
      <c r="GG1327" s="104">
        <f t="shared" si="436"/>
        <v>11</v>
      </c>
      <c r="GH1327" s="35">
        <v>43175</v>
      </c>
      <c r="GI1327" s="26">
        <v>3.61</v>
      </c>
      <c r="GJ1327" s="94">
        <f t="shared" si="437"/>
        <v>7.22</v>
      </c>
      <c r="GK1327" s="104"/>
      <c r="GL1327" s="104"/>
      <c r="GO1327" s="94"/>
    </row>
    <row r="1328" spans="3:197">
      <c r="C1328" s="80" t="str" cm="1">
        <f t="array" ref="C1328">_xlfn.IFS(MONTH(D1328)&lt;4,1,MONTH(D1328)&lt;7,2,MONTH(D1328)&lt;10,3,MONTH(D1328)&gt;9,4)&amp;"Q"&amp;RIGHT(YEAR(D1328),2)</f>
        <v>2Q21</v>
      </c>
      <c r="D1328" s="81">
        <f t="shared" si="445"/>
        <v>44347</v>
      </c>
      <c r="E1328" s="82">
        <f t="shared" si="442"/>
        <v>44323</v>
      </c>
      <c r="F1328" s="83">
        <f t="shared" si="446"/>
        <v>0.57575</v>
      </c>
      <c r="G1328" s="83">
        <f t="shared" si="446"/>
        <v>0.475</v>
      </c>
      <c r="H1328" s="81"/>
      <c r="I1328" s="146">
        <v>44323</v>
      </c>
      <c r="J1328" s="147">
        <v>5</v>
      </c>
      <c r="K1328" s="147">
        <v>4.2</v>
      </c>
      <c r="L1328" s="147">
        <v>4.606</v>
      </c>
      <c r="M1328" s="94" cm="1">
        <f t="array" ref="M1328">INDEX($BV$29:$BV$1449,MATCH($D1328,$BR$29:$BR$1449,0),)</f>
        <v>3.8</v>
      </c>
      <c r="N1328" s="150">
        <f t="shared" si="443"/>
        <v>-0.00561312607944731</v>
      </c>
      <c r="O1328" s="150">
        <f t="shared" si="441"/>
        <v>-0.00561312607944731</v>
      </c>
      <c r="P1328" s="150">
        <f t="shared" si="439"/>
        <v>0.0456299659477866</v>
      </c>
      <c r="Q1328" s="89">
        <f t="shared" si="444"/>
        <v>0.212105263157895</v>
      </c>
      <c r="AH1328" s="90"/>
      <c r="AI1328" s="85"/>
      <c r="AJ1328" s="36"/>
      <c r="AK1328" s="36"/>
      <c r="AL1328" s="36"/>
      <c r="AM1328" s="36"/>
      <c r="AN1328" s="36"/>
      <c r="AO1328" s="36"/>
      <c r="AP1328" s="36"/>
      <c r="AQ1328" s="36"/>
      <c r="GE1328" s="94"/>
      <c r="GF1328" s="104">
        <f t="shared" si="435"/>
        <v>2018</v>
      </c>
      <c r="GG1328" s="104">
        <f t="shared" si="436"/>
        <v>12</v>
      </c>
      <c r="GH1328" s="35">
        <v>43178</v>
      </c>
      <c r="GI1328" s="26">
        <v>3.61</v>
      </c>
      <c r="GJ1328" s="94">
        <f t="shared" si="437"/>
        <v>7.22</v>
      </c>
      <c r="GK1328" s="104"/>
      <c r="GL1328" s="104"/>
      <c r="GO1328" s="94"/>
    </row>
    <row r="1329" spans="3:197">
      <c r="C1329" s="80" t="str" cm="1">
        <f t="array" ref="C1329">_xlfn.IFS(MONTH(D1329)&lt;4,1,MONTH(D1329)&lt;7,2,MONTH(D1329)&lt;10,3,MONTH(D1329)&gt;9,4)&amp;"Q"&amp;RIGHT(YEAR(D1329),2)</f>
        <v>2Q21</v>
      </c>
      <c r="D1329" s="81">
        <f t="shared" si="445"/>
        <v>44347</v>
      </c>
      <c r="E1329" s="82">
        <f t="shared" si="442"/>
        <v>44326</v>
      </c>
      <c r="F1329" s="83">
        <f t="shared" si="446"/>
        <v>0.57575</v>
      </c>
      <c r="G1329" s="83">
        <f t="shared" si="446"/>
        <v>0.475</v>
      </c>
      <c r="H1329" s="81"/>
      <c r="I1329" s="146">
        <v>44326</v>
      </c>
      <c r="J1329" s="147">
        <v>5</v>
      </c>
      <c r="K1329" s="147">
        <v>4.2</v>
      </c>
      <c r="L1329" s="147">
        <v>4.606</v>
      </c>
      <c r="M1329" s="94" cm="1">
        <f t="array" ref="M1329">INDEX($BV$29:$BV$1449,MATCH($D1329,$BR$29:$BR$1449,0),)</f>
        <v>3.8</v>
      </c>
      <c r="N1329" s="150">
        <f t="shared" si="443"/>
        <v>0</v>
      </c>
      <c r="O1329" s="150">
        <f t="shared" si="441"/>
        <v>-0.00561312607944731</v>
      </c>
      <c r="P1329" s="150">
        <f t="shared" si="439"/>
        <v>0.0350561797752809</v>
      </c>
      <c r="Q1329" s="89">
        <f t="shared" si="444"/>
        <v>0.212105263157895</v>
      </c>
      <c r="AH1329" s="90"/>
      <c r="AI1329" s="85"/>
      <c r="AJ1329" s="36"/>
      <c r="AK1329" s="36"/>
      <c r="AL1329" s="36"/>
      <c r="AM1329" s="36"/>
      <c r="AN1329" s="36"/>
      <c r="AO1329" s="36"/>
      <c r="AP1329" s="36"/>
      <c r="AQ1329" s="36"/>
      <c r="GE1329" s="94"/>
      <c r="GF1329" s="104">
        <f t="shared" si="435"/>
        <v>2018</v>
      </c>
      <c r="GG1329" s="104">
        <f t="shared" si="436"/>
        <v>12</v>
      </c>
      <c r="GH1329" s="35">
        <v>43179</v>
      </c>
      <c r="GI1329" s="26">
        <v>3.61</v>
      </c>
      <c r="GJ1329" s="94">
        <f t="shared" si="437"/>
        <v>7.22</v>
      </c>
      <c r="GK1329" s="104"/>
      <c r="GL1329" s="104"/>
      <c r="GO1329" s="94"/>
    </row>
    <row r="1330" spans="3:197">
      <c r="C1330" s="80" t="str" cm="1">
        <f t="array" ref="C1330">_xlfn.IFS(MONTH(D1330)&lt;4,1,MONTH(D1330)&lt;7,2,MONTH(D1330)&lt;10,3,MONTH(D1330)&gt;9,4)&amp;"Q"&amp;RIGHT(YEAR(D1330),2)</f>
        <v>2Q21</v>
      </c>
      <c r="D1330" s="81">
        <f t="shared" si="445"/>
        <v>44347</v>
      </c>
      <c r="E1330" s="82">
        <f t="shared" si="442"/>
        <v>44327</v>
      </c>
      <c r="F1330" s="83">
        <f t="shared" si="446"/>
        <v>0.57575</v>
      </c>
      <c r="G1330" s="83">
        <f t="shared" si="446"/>
        <v>0.475</v>
      </c>
      <c r="H1330" s="81"/>
      <c r="I1330" s="146">
        <v>44327</v>
      </c>
      <c r="J1330" s="147">
        <v>5</v>
      </c>
      <c r="K1330" s="147">
        <v>4.2</v>
      </c>
      <c r="L1330" s="147">
        <v>4.606</v>
      </c>
      <c r="M1330" s="94" cm="1">
        <f t="array" ref="M1330">INDEX($BV$29:$BV$1449,MATCH($D1330,$BR$29:$BR$1449,0),)</f>
        <v>3.8</v>
      </c>
      <c r="N1330" s="150">
        <f t="shared" si="443"/>
        <v>0</v>
      </c>
      <c r="O1330" s="150">
        <f t="shared" si="441"/>
        <v>-0.00561312607944731</v>
      </c>
      <c r="P1330" s="150">
        <f t="shared" si="439"/>
        <v>-0.00410810810810813</v>
      </c>
      <c r="Q1330" s="89">
        <f t="shared" si="444"/>
        <v>0.212105263157895</v>
      </c>
      <c r="AH1330" s="90"/>
      <c r="AI1330" s="85"/>
      <c r="AJ1330" s="36"/>
      <c r="AK1330" s="36"/>
      <c r="AL1330" s="36"/>
      <c r="AM1330" s="36"/>
      <c r="AN1330" s="36"/>
      <c r="AO1330" s="36"/>
      <c r="AP1330" s="36"/>
      <c r="AQ1330" s="36"/>
      <c r="GE1330" s="94"/>
      <c r="GF1330" s="104">
        <f t="shared" si="435"/>
        <v>2018</v>
      </c>
      <c r="GG1330" s="104">
        <f t="shared" si="436"/>
        <v>12</v>
      </c>
      <c r="GH1330" s="35">
        <v>43180</v>
      </c>
      <c r="GI1330" s="26">
        <v>3.608</v>
      </c>
      <c r="GJ1330" s="94">
        <f t="shared" si="437"/>
        <v>7.216</v>
      </c>
      <c r="GK1330" s="104"/>
      <c r="GL1330" s="104"/>
      <c r="GO1330" s="94"/>
    </row>
    <row r="1331" spans="3:197">
      <c r="C1331" s="80" t="str" cm="1">
        <f t="array" ref="C1331">_xlfn.IFS(MONTH(D1331)&lt;4,1,MONTH(D1331)&lt;7,2,MONTH(D1331)&lt;10,3,MONTH(D1331)&gt;9,4)&amp;"Q"&amp;RIGHT(YEAR(D1331),2)</f>
        <v>2Q21</v>
      </c>
      <c r="D1331" s="81">
        <f t="shared" si="445"/>
        <v>44347</v>
      </c>
      <c r="E1331" s="82">
        <f t="shared" si="442"/>
        <v>44328</v>
      </c>
      <c r="F1331" s="83">
        <f t="shared" si="446"/>
        <v>0.5695</v>
      </c>
      <c r="G1331" s="83">
        <f t="shared" si="446"/>
        <v>0.475</v>
      </c>
      <c r="H1331" s="81"/>
      <c r="I1331" s="146">
        <v>44328</v>
      </c>
      <c r="J1331" s="147">
        <v>4.85</v>
      </c>
      <c r="K1331" s="147">
        <v>4.15</v>
      </c>
      <c r="L1331" s="147">
        <v>4.556</v>
      </c>
      <c r="M1331" s="94" cm="1">
        <f t="array" ref="M1331">INDEX($BV$29:$BV$1449,MATCH($D1331,$BR$29:$BR$1449,0),)</f>
        <v>3.8</v>
      </c>
      <c r="N1331" s="150">
        <f t="shared" si="443"/>
        <v>-0.010855405992184</v>
      </c>
      <c r="O1331" s="150">
        <f t="shared" si="441"/>
        <v>-0.0164075993091536</v>
      </c>
      <c r="P1331" s="150">
        <f t="shared" si="439"/>
        <v>-0.0202150537634409</v>
      </c>
      <c r="Q1331" s="89">
        <f t="shared" si="444"/>
        <v>0.198947368421053</v>
      </c>
      <c r="AH1331" s="90"/>
      <c r="AI1331" s="85"/>
      <c r="AJ1331" s="36"/>
      <c r="AK1331" s="36"/>
      <c r="AL1331" s="36"/>
      <c r="AM1331" s="36"/>
      <c r="AN1331" s="36"/>
      <c r="AO1331" s="36"/>
      <c r="AP1331" s="36"/>
      <c r="AQ1331" s="36"/>
      <c r="GE1331" s="94"/>
      <c r="GF1331" s="104">
        <f t="shared" si="435"/>
        <v>2018</v>
      </c>
      <c r="GG1331" s="104">
        <f t="shared" si="436"/>
        <v>12</v>
      </c>
      <c r="GH1331" s="35">
        <v>43181</v>
      </c>
      <c r="GI1331" s="26">
        <v>3.578</v>
      </c>
      <c r="GJ1331" s="94">
        <f t="shared" si="437"/>
        <v>7.156</v>
      </c>
      <c r="GK1331" s="104"/>
      <c r="GL1331" s="104"/>
      <c r="GO1331" s="94"/>
    </row>
    <row r="1332" spans="3:197">
      <c r="C1332" s="80" t="str" cm="1">
        <f t="array" ref="C1332">_xlfn.IFS(MONTH(D1332)&lt;4,1,MONTH(D1332)&lt;7,2,MONTH(D1332)&lt;10,3,MONTH(D1332)&gt;9,4)&amp;"Q"&amp;RIGHT(YEAR(D1332),2)</f>
        <v>2Q21</v>
      </c>
      <c r="D1332" s="81">
        <f t="shared" si="445"/>
        <v>44347</v>
      </c>
      <c r="E1332" s="82">
        <f t="shared" si="442"/>
        <v>44329</v>
      </c>
      <c r="F1332" s="83">
        <f t="shared" si="446"/>
        <v>0.5635</v>
      </c>
      <c r="G1332" s="83">
        <f t="shared" si="446"/>
        <v>0.475</v>
      </c>
      <c r="H1332" s="81"/>
      <c r="I1332" s="146">
        <v>44329</v>
      </c>
      <c r="J1332" s="147">
        <v>4.85</v>
      </c>
      <c r="K1332" s="147">
        <v>4.15</v>
      </c>
      <c r="L1332" s="147">
        <v>4.508</v>
      </c>
      <c r="M1332" s="94" cm="1">
        <f t="array" ref="M1332">INDEX($BV$29:$BV$1449,MATCH($D1332,$BR$29:$BR$1449,0),)</f>
        <v>3.8</v>
      </c>
      <c r="N1332" s="150">
        <f t="shared" si="443"/>
        <v>-0.0105355575065847</v>
      </c>
      <c r="O1332" s="150">
        <f t="shared" si="441"/>
        <v>-0.0267702936096718</v>
      </c>
      <c r="P1332" s="150">
        <f t="shared" si="439"/>
        <v>-0.0322026620867326</v>
      </c>
      <c r="Q1332" s="89">
        <f t="shared" si="444"/>
        <v>0.186315789473684</v>
      </c>
      <c r="AH1332" s="90"/>
      <c r="AI1332" s="85"/>
      <c r="AJ1332" s="36"/>
      <c r="AK1332" s="36"/>
      <c r="AL1332" s="36"/>
      <c r="AM1332" s="36"/>
      <c r="AN1332" s="36"/>
      <c r="AO1332" s="36"/>
      <c r="AP1332" s="36"/>
      <c r="AQ1332" s="36"/>
      <c r="GE1332" s="94"/>
      <c r="GF1332" s="104">
        <f t="shared" ref="GF1332:GF1395" si="447">YEAR(GH1332)</f>
        <v>2018</v>
      </c>
      <c r="GG1332" s="104">
        <f t="shared" ref="GG1332:GG1395" si="448">WEEKNUM(GH1332)</f>
        <v>12</v>
      </c>
      <c r="GH1332" s="35">
        <v>43182</v>
      </c>
      <c r="GI1332" s="26">
        <v>3.571</v>
      </c>
      <c r="GJ1332" s="94">
        <f t="shared" ref="GJ1332:GJ1395" si="449">GI1332*2</f>
        <v>7.142</v>
      </c>
      <c r="GK1332" s="104"/>
      <c r="GL1332" s="104"/>
      <c r="GO1332" s="94"/>
    </row>
    <row r="1333" spans="3:197">
      <c r="C1333" s="80" t="str" cm="1">
        <f t="array" ref="C1333">_xlfn.IFS(MONTH(D1333)&lt;4,1,MONTH(D1333)&lt;7,2,MONTH(D1333)&lt;10,3,MONTH(D1333)&gt;9,4)&amp;"Q"&amp;RIGHT(YEAR(D1333),2)</f>
        <v>2Q21</v>
      </c>
      <c r="D1333" s="81">
        <f t="shared" si="445"/>
        <v>44347</v>
      </c>
      <c r="E1333" s="82">
        <f t="shared" si="442"/>
        <v>44330</v>
      </c>
      <c r="F1333" s="83">
        <f t="shared" si="446"/>
        <v>0.55725</v>
      </c>
      <c r="G1333" s="83">
        <f t="shared" si="446"/>
        <v>0.475</v>
      </c>
      <c r="H1333" s="81"/>
      <c r="I1333" s="146">
        <v>44330</v>
      </c>
      <c r="J1333" s="147">
        <v>4.8</v>
      </c>
      <c r="K1333" s="147">
        <v>4.15</v>
      </c>
      <c r="L1333" s="147">
        <v>4.458</v>
      </c>
      <c r="M1333" s="94" cm="1">
        <f t="array" ref="M1333">INDEX($BV$29:$BV$1449,MATCH($D1333,$BR$29:$BR$1449,0),)</f>
        <v>3.8</v>
      </c>
      <c r="N1333" s="150">
        <f t="shared" si="443"/>
        <v>-0.0110913930789707</v>
      </c>
      <c r="O1333" s="150">
        <f t="shared" si="441"/>
        <v>-0.0321320017368649</v>
      </c>
      <c r="P1333" s="150">
        <f t="shared" si="439"/>
        <v>-0.0375647668393781</v>
      </c>
      <c r="Q1333" s="89">
        <f t="shared" si="444"/>
        <v>0.173157894736842</v>
      </c>
      <c r="AH1333" s="90"/>
      <c r="AI1333" s="85"/>
      <c r="AJ1333" s="36"/>
      <c r="AK1333" s="36"/>
      <c r="AL1333" s="36"/>
      <c r="AM1333" s="36"/>
      <c r="AN1333" s="36"/>
      <c r="AO1333" s="36"/>
      <c r="AP1333" s="36"/>
      <c r="AQ1333" s="36"/>
      <c r="GE1333" s="94"/>
      <c r="GF1333" s="104">
        <f t="shared" si="447"/>
        <v>2018</v>
      </c>
      <c r="GG1333" s="104">
        <f t="shared" si="448"/>
        <v>13</v>
      </c>
      <c r="GH1333" s="35">
        <v>43185</v>
      </c>
      <c r="GI1333" s="26">
        <v>3.568</v>
      </c>
      <c r="GJ1333" s="94">
        <f t="shared" si="449"/>
        <v>7.136</v>
      </c>
      <c r="GK1333" s="104"/>
      <c r="GL1333" s="104"/>
      <c r="GO1333" s="94"/>
    </row>
    <row r="1334" spans="3:197">
      <c r="C1334" s="80" t="str" cm="1">
        <f t="array" ref="C1334">_xlfn.IFS(MONTH(D1334)&lt;4,1,MONTH(D1334)&lt;7,2,MONTH(D1334)&lt;10,3,MONTH(D1334)&gt;9,4)&amp;"Q"&amp;RIGHT(YEAR(D1334),2)</f>
        <v>2Q21</v>
      </c>
      <c r="D1334" s="81">
        <f t="shared" si="445"/>
        <v>44347</v>
      </c>
      <c r="E1334" s="82">
        <f t="shared" si="442"/>
        <v>44333</v>
      </c>
      <c r="F1334" s="83">
        <f t="shared" si="446"/>
        <v>0.55425</v>
      </c>
      <c r="G1334" s="83">
        <f t="shared" si="446"/>
        <v>0.475</v>
      </c>
      <c r="H1334" s="81"/>
      <c r="I1334" s="146">
        <v>44333</v>
      </c>
      <c r="J1334" s="147">
        <v>4.75</v>
      </c>
      <c r="K1334" s="147">
        <v>4.08</v>
      </c>
      <c r="L1334" s="147">
        <v>4.434</v>
      </c>
      <c r="M1334" s="94" cm="1">
        <f t="array" ref="M1334">INDEX($BV$29:$BV$1449,MATCH($D1334,$BR$29:$BR$1449,0),)</f>
        <v>3.8</v>
      </c>
      <c r="N1334" s="150">
        <f t="shared" si="443"/>
        <v>-0.00538358008075368</v>
      </c>
      <c r="O1334" s="150">
        <f t="shared" si="441"/>
        <v>-0.0373425966131132</v>
      </c>
      <c r="P1334" s="150">
        <f t="shared" si="439"/>
        <v>-0.0427461139896372</v>
      </c>
      <c r="Q1334" s="89">
        <f t="shared" si="444"/>
        <v>0.166842105263158</v>
      </c>
      <c r="AH1334" s="90"/>
      <c r="AI1334" s="85"/>
      <c r="AJ1334" s="36"/>
      <c r="AK1334" s="36"/>
      <c r="AL1334" s="36"/>
      <c r="AM1334" s="36"/>
      <c r="AN1334" s="36"/>
      <c r="AO1334" s="36"/>
      <c r="AP1334" s="36"/>
      <c r="AQ1334" s="36"/>
      <c r="GE1334" s="94"/>
      <c r="GF1334" s="104">
        <f t="shared" si="447"/>
        <v>2018</v>
      </c>
      <c r="GG1334" s="104">
        <f t="shared" si="448"/>
        <v>13</v>
      </c>
      <c r="GH1334" s="35">
        <v>43186</v>
      </c>
      <c r="GI1334" s="26">
        <v>3.565</v>
      </c>
      <c r="GJ1334" s="94">
        <f t="shared" si="449"/>
        <v>7.13</v>
      </c>
      <c r="GK1334" s="104"/>
      <c r="GL1334" s="104"/>
      <c r="GO1334" s="94"/>
    </row>
    <row r="1335" spans="3:197">
      <c r="C1335" s="80" t="str" cm="1">
        <f t="array" ref="C1335">_xlfn.IFS(MONTH(D1335)&lt;4,1,MONTH(D1335)&lt;7,2,MONTH(D1335)&lt;10,3,MONTH(D1335)&gt;9,4)&amp;"Q"&amp;RIGHT(YEAR(D1335),2)</f>
        <v>2Q21</v>
      </c>
      <c r="D1335" s="81">
        <f t="shared" si="445"/>
        <v>44347</v>
      </c>
      <c r="E1335" s="82">
        <f t="shared" si="442"/>
        <v>44334</v>
      </c>
      <c r="F1335" s="83">
        <f t="shared" si="446"/>
        <v>0.552375</v>
      </c>
      <c r="G1335" s="83">
        <f t="shared" si="446"/>
        <v>0.475</v>
      </c>
      <c r="H1335" s="81"/>
      <c r="I1335" s="146">
        <v>44334</v>
      </c>
      <c r="J1335" s="147">
        <v>4.75</v>
      </c>
      <c r="K1335" s="147">
        <v>4.08</v>
      </c>
      <c r="L1335" s="147">
        <v>4.419</v>
      </c>
      <c r="M1335" s="94" cm="1">
        <f t="array" ref="M1335">INDEX($BV$29:$BV$1449,MATCH($D1335,$BR$29:$BR$1449,0),)</f>
        <v>3.8</v>
      </c>
      <c r="N1335" s="150">
        <f t="shared" si="443"/>
        <v>-0.00338294993234112</v>
      </c>
      <c r="O1335" s="150">
        <f t="shared" si="441"/>
        <v>-0.0405992184107686</v>
      </c>
      <c r="P1335" s="150">
        <f t="shared" si="439"/>
        <v>-0.0459844559585493</v>
      </c>
      <c r="Q1335" s="89">
        <f t="shared" si="444"/>
        <v>0.162894736842105</v>
      </c>
      <c r="AH1335" s="90"/>
      <c r="AI1335" s="85"/>
      <c r="AJ1335" s="36"/>
      <c r="AK1335" s="36"/>
      <c r="AL1335" s="36"/>
      <c r="AM1335" s="36"/>
      <c r="AN1335" s="36"/>
      <c r="AO1335" s="36"/>
      <c r="AP1335" s="36"/>
      <c r="AQ1335" s="36"/>
      <c r="GE1335" s="94"/>
      <c r="GF1335" s="104">
        <f t="shared" si="447"/>
        <v>2018</v>
      </c>
      <c r="GG1335" s="104">
        <f t="shared" si="448"/>
        <v>13</v>
      </c>
      <c r="GH1335" s="35">
        <v>43187</v>
      </c>
      <c r="GI1335" s="26">
        <v>3.559</v>
      </c>
      <c r="GJ1335" s="94">
        <f t="shared" si="449"/>
        <v>7.118</v>
      </c>
      <c r="GK1335" s="104"/>
      <c r="GL1335" s="104"/>
      <c r="GO1335" s="94"/>
    </row>
    <row r="1336" spans="3:197">
      <c r="C1336" s="80" t="str" cm="1">
        <f t="array" ref="C1336">_xlfn.IFS(MONTH(D1336)&lt;4,1,MONTH(D1336)&lt;7,2,MONTH(D1336)&lt;10,3,MONTH(D1336)&gt;9,4)&amp;"Q"&amp;RIGHT(YEAR(D1336),2)</f>
        <v>2Q21</v>
      </c>
      <c r="D1336" s="81">
        <f t="shared" si="445"/>
        <v>44347</v>
      </c>
      <c r="E1336" s="82">
        <f t="shared" si="442"/>
        <v>44335</v>
      </c>
      <c r="F1336" s="83">
        <f t="shared" si="446"/>
        <v>0.552375</v>
      </c>
      <c r="G1336" s="83">
        <f t="shared" si="446"/>
        <v>0.475</v>
      </c>
      <c r="H1336" s="81"/>
      <c r="I1336" s="146">
        <v>44335</v>
      </c>
      <c r="J1336" s="147">
        <v>4.75</v>
      </c>
      <c r="K1336" s="147">
        <v>4.08</v>
      </c>
      <c r="L1336" s="147">
        <v>4.419</v>
      </c>
      <c r="M1336" s="94" cm="1">
        <f t="array" ref="M1336">INDEX($BV$29:$BV$1449,MATCH($D1336,$BR$29:$BR$1449,0),)</f>
        <v>3.8</v>
      </c>
      <c r="N1336" s="150">
        <f t="shared" si="443"/>
        <v>0</v>
      </c>
      <c r="O1336" s="150">
        <f t="shared" si="441"/>
        <v>-0.030070237050044</v>
      </c>
      <c r="P1336" s="150">
        <f t="shared" si="439"/>
        <v>-0.0459844559585493</v>
      </c>
      <c r="Q1336" s="89">
        <f t="shared" si="444"/>
        <v>0.162894736842105</v>
      </c>
      <c r="AH1336" s="90"/>
      <c r="AI1336" s="85"/>
      <c r="AJ1336" s="36"/>
      <c r="AK1336" s="36"/>
      <c r="AL1336" s="36"/>
      <c r="AM1336" s="36"/>
      <c r="AN1336" s="36"/>
      <c r="AO1336" s="36"/>
      <c r="AP1336" s="36"/>
      <c r="AQ1336" s="36"/>
      <c r="GE1336" s="94"/>
      <c r="GF1336" s="104">
        <f t="shared" si="447"/>
        <v>2018</v>
      </c>
      <c r="GG1336" s="104">
        <f t="shared" si="448"/>
        <v>13</v>
      </c>
      <c r="GH1336" s="35">
        <v>43188</v>
      </c>
      <c r="GI1336" s="26">
        <v>3.549</v>
      </c>
      <c r="GJ1336" s="94">
        <f t="shared" si="449"/>
        <v>7.098</v>
      </c>
      <c r="GK1336" s="104"/>
      <c r="GL1336" s="104"/>
      <c r="GO1336" s="94"/>
    </row>
    <row r="1337" spans="3:197">
      <c r="C1337" s="80" t="str" cm="1">
        <f t="array" ref="C1337">_xlfn.IFS(MONTH(D1337)&lt;4,1,MONTH(D1337)&lt;7,2,MONTH(D1337)&lt;10,3,MONTH(D1337)&gt;9,4)&amp;"Q"&amp;RIGHT(YEAR(D1337),2)</f>
        <v>2Q21</v>
      </c>
      <c r="D1337" s="81">
        <f t="shared" si="445"/>
        <v>44347</v>
      </c>
      <c r="E1337" s="82">
        <f t="shared" si="442"/>
        <v>44336</v>
      </c>
      <c r="F1337" s="83">
        <f t="shared" si="446"/>
        <v>0.548</v>
      </c>
      <c r="G1337" s="83">
        <f t="shared" si="446"/>
        <v>0.475</v>
      </c>
      <c r="H1337" s="81"/>
      <c r="I1337" s="146">
        <v>44336</v>
      </c>
      <c r="J1337" s="147">
        <v>4.75</v>
      </c>
      <c r="K1337" s="147">
        <v>4.08</v>
      </c>
      <c r="L1337" s="147">
        <v>4.384</v>
      </c>
      <c r="M1337" s="94" cm="1">
        <f t="array" ref="M1337">INDEX($BV$29:$BV$1449,MATCH($D1337,$BR$29:$BR$1449,0),)</f>
        <v>3.8</v>
      </c>
      <c r="N1337" s="150">
        <f t="shared" si="443"/>
        <v>-0.00792034396922359</v>
      </c>
      <c r="O1337" s="150">
        <f t="shared" si="441"/>
        <v>-0.0275066548358474</v>
      </c>
      <c r="P1337" s="150">
        <f t="shared" si="439"/>
        <v>-0.0535405872193435</v>
      </c>
      <c r="Q1337" s="89">
        <f t="shared" si="444"/>
        <v>0.153684210526316</v>
      </c>
      <c r="AH1337" s="90"/>
      <c r="AI1337" s="85"/>
      <c r="AJ1337" s="36"/>
      <c r="AK1337" s="36"/>
      <c r="AL1337" s="36"/>
      <c r="AM1337" s="36"/>
      <c r="AN1337" s="36"/>
      <c r="AO1337" s="36"/>
      <c r="AP1337" s="36"/>
      <c r="AQ1337" s="36"/>
      <c r="GE1337" s="94"/>
      <c r="GF1337" s="104">
        <f t="shared" si="447"/>
        <v>2018</v>
      </c>
      <c r="GG1337" s="104">
        <f t="shared" si="448"/>
        <v>13</v>
      </c>
      <c r="GH1337" s="35">
        <v>43189</v>
      </c>
      <c r="GI1337" s="26">
        <v>3.548</v>
      </c>
      <c r="GJ1337" s="94">
        <f t="shared" si="449"/>
        <v>7.096</v>
      </c>
      <c r="GK1337" s="104"/>
      <c r="GL1337" s="104"/>
      <c r="GO1337" s="94"/>
    </row>
    <row r="1338" spans="3:197">
      <c r="C1338" s="80" t="str" cm="1">
        <f t="array" ref="C1338">_xlfn.IFS(MONTH(D1338)&lt;4,1,MONTH(D1338)&lt;7,2,MONTH(D1338)&lt;10,3,MONTH(D1338)&gt;9,4)&amp;"Q"&amp;RIGHT(YEAR(D1338),2)</f>
        <v>2Q21</v>
      </c>
      <c r="D1338" s="81">
        <f t="shared" si="445"/>
        <v>44347</v>
      </c>
      <c r="E1338" s="82">
        <f t="shared" si="442"/>
        <v>44337</v>
      </c>
      <c r="F1338" s="83">
        <f t="shared" si="446"/>
        <v>0.54475</v>
      </c>
      <c r="G1338" s="83">
        <f t="shared" si="446"/>
        <v>0.475</v>
      </c>
      <c r="H1338" s="81"/>
      <c r="I1338" s="146">
        <v>44337</v>
      </c>
      <c r="J1338" s="147">
        <v>4.75</v>
      </c>
      <c r="K1338" s="147">
        <v>4.08</v>
      </c>
      <c r="L1338" s="147">
        <v>4.358</v>
      </c>
      <c r="M1338" s="94" cm="1">
        <f t="array" ref="M1338">INDEX($BV$29:$BV$1449,MATCH($D1338,$BR$29:$BR$1449,0),)</f>
        <v>3.8</v>
      </c>
      <c r="N1338" s="150">
        <f t="shared" si="443"/>
        <v>-0.00593065693430672</v>
      </c>
      <c r="O1338" s="150">
        <f t="shared" si="441"/>
        <v>-0.0224315836698072</v>
      </c>
      <c r="P1338" s="150">
        <f t="shared" si="439"/>
        <v>-0.0538428137212332</v>
      </c>
      <c r="Q1338" s="89">
        <f t="shared" si="444"/>
        <v>0.146842105263158</v>
      </c>
      <c r="AH1338" s="90"/>
      <c r="AI1338" s="85"/>
      <c r="AJ1338" s="36"/>
      <c r="AK1338" s="36"/>
      <c r="AL1338" s="36"/>
      <c r="AM1338" s="36"/>
      <c r="AN1338" s="36"/>
      <c r="AO1338" s="36"/>
      <c r="AP1338" s="36"/>
      <c r="AQ1338" s="36"/>
      <c r="GE1338" s="94"/>
      <c r="GF1338" s="104">
        <f t="shared" si="447"/>
        <v>2018</v>
      </c>
      <c r="GG1338" s="104">
        <f t="shared" si="448"/>
        <v>14</v>
      </c>
      <c r="GH1338" s="35">
        <v>43192</v>
      </c>
      <c r="GI1338" s="26">
        <v>3.546</v>
      </c>
      <c r="GJ1338" s="94">
        <f t="shared" si="449"/>
        <v>7.092</v>
      </c>
      <c r="GK1338" s="104"/>
      <c r="GL1338" s="104"/>
      <c r="GO1338" s="94"/>
    </row>
    <row r="1339" spans="3:197">
      <c r="C1339" s="80" t="str" cm="1">
        <f t="array" ref="C1339">_xlfn.IFS(MONTH(D1339)&lt;4,1,MONTH(D1339)&lt;7,2,MONTH(D1339)&lt;10,3,MONTH(D1339)&gt;9,4)&amp;"Q"&amp;RIGHT(YEAR(D1339),2)</f>
        <v>2Q21</v>
      </c>
      <c r="D1339" s="81">
        <f t="shared" si="445"/>
        <v>44347</v>
      </c>
      <c r="E1339" s="82">
        <f t="shared" si="442"/>
        <v>44340</v>
      </c>
      <c r="F1339" s="83">
        <f t="shared" si="446"/>
        <v>0.5415</v>
      </c>
      <c r="G1339" s="83">
        <f t="shared" si="446"/>
        <v>0.475</v>
      </c>
      <c r="H1339" s="81"/>
      <c r="I1339" s="146">
        <v>44340</v>
      </c>
      <c r="J1339" s="147">
        <v>4.7</v>
      </c>
      <c r="K1339" s="147">
        <v>4.08</v>
      </c>
      <c r="L1339" s="147">
        <v>4.332</v>
      </c>
      <c r="M1339" s="94" cm="1">
        <f t="array" ref="M1339">INDEX($BV$29:$BV$1449,MATCH($D1339,$BR$29:$BR$1449,0),)</f>
        <v>3.8</v>
      </c>
      <c r="N1339" s="150">
        <f t="shared" si="443"/>
        <v>-0.00596603946764562</v>
      </c>
      <c r="O1339" s="150">
        <f t="shared" si="441"/>
        <v>-0.0230040595399189</v>
      </c>
      <c r="P1339" s="150">
        <f t="shared" si="439"/>
        <v>-0.059487624837169</v>
      </c>
      <c r="Q1339" s="89">
        <f t="shared" si="444"/>
        <v>0.14</v>
      </c>
      <c r="AH1339" s="90"/>
      <c r="AI1339" s="85"/>
      <c r="AJ1339" s="36"/>
      <c r="AK1339" s="36"/>
      <c r="AL1339" s="36"/>
      <c r="AM1339" s="36"/>
      <c r="AN1339" s="36"/>
      <c r="AO1339" s="36"/>
      <c r="AP1339" s="36"/>
      <c r="AQ1339" s="36"/>
      <c r="GE1339" s="94"/>
      <c r="GF1339" s="104">
        <f t="shared" si="447"/>
        <v>2018</v>
      </c>
      <c r="GG1339" s="104">
        <f t="shared" si="448"/>
        <v>14</v>
      </c>
      <c r="GH1339" s="35">
        <v>43193</v>
      </c>
      <c r="GI1339" s="26">
        <v>3.54</v>
      </c>
      <c r="GJ1339" s="94">
        <f t="shared" si="449"/>
        <v>7.08</v>
      </c>
      <c r="GK1339" s="104"/>
      <c r="GL1339" s="104"/>
      <c r="GO1339" s="94"/>
    </row>
    <row r="1340" spans="3:197">
      <c r="C1340" s="80" t="str" cm="1">
        <f t="array" ref="C1340">_xlfn.IFS(MONTH(D1340)&lt;4,1,MONTH(D1340)&lt;7,2,MONTH(D1340)&lt;10,3,MONTH(D1340)&gt;9,4)&amp;"Q"&amp;RIGHT(YEAR(D1340),2)</f>
        <v>2Q21</v>
      </c>
      <c r="D1340" s="81">
        <f t="shared" si="445"/>
        <v>44347</v>
      </c>
      <c r="E1340" s="82">
        <f t="shared" si="442"/>
        <v>44341</v>
      </c>
      <c r="F1340" s="83">
        <f t="shared" si="446"/>
        <v>0.5415</v>
      </c>
      <c r="G1340" s="83">
        <f t="shared" si="446"/>
        <v>0.475</v>
      </c>
      <c r="H1340" s="81"/>
      <c r="I1340" s="146">
        <v>44341</v>
      </c>
      <c r="J1340" s="147">
        <v>4.7</v>
      </c>
      <c r="K1340" s="147">
        <v>4.08</v>
      </c>
      <c r="L1340" s="147">
        <v>4.332</v>
      </c>
      <c r="M1340" s="94" cm="1">
        <f t="array" ref="M1340">INDEX($BV$29:$BV$1449,MATCH($D1340,$BR$29:$BR$1449,0),)</f>
        <v>3.8</v>
      </c>
      <c r="N1340" s="150">
        <f t="shared" si="443"/>
        <v>0</v>
      </c>
      <c r="O1340" s="150">
        <f t="shared" si="441"/>
        <v>-0.0196877121520705</v>
      </c>
      <c r="P1340" s="150">
        <f t="shared" si="439"/>
        <v>-0.059487624837169</v>
      </c>
      <c r="Q1340" s="89">
        <f t="shared" si="444"/>
        <v>0.14</v>
      </c>
      <c r="AH1340" s="90"/>
      <c r="AI1340" s="85"/>
      <c r="AJ1340" s="36"/>
      <c r="AK1340" s="36"/>
      <c r="AL1340" s="36"/>
      <c r="AM1340" s="36"/>
      <c r="AN1340" s="36"/>
      <c r="AO1340" s="36"/>
      <c r="AP1340" s="36"/>
      <c r="AQ1340" s="36"/>
      <c r="GE1340" s="94"/>
      <c r="GF1340" s="104">
        <f t="shared" si="447"/>
        <v>2018</v>
      </c>
      <c r="GG1340" s="104">
        <f t="shared" si="448"/>
        <v>14</v>
      </c>
      <c r="GH1340" s="35">
        <v>43194</v>
      </c>
      <c r="GI1340" s="26">
        <v>3.54</v>
      </c>
      <c r="GJ1340" s="94">
        <f t="shared" si="449"/>
        <v>7.08</v>
      </c>
      <c r="GK1340" s="104"/>
      <c r="GL1340" s="104"/>
      <c r="GO1340" s="94"/>
    </row>
    <row r="1341" spans="3:197">
      <c r="C1341" s="80" t="str" cm="1">
        <f t="array" ref="C1341">_xlfn.IFS(MONTH(D1341)&lt;4,1,MONTH(D1341)&lt;7,2,MONTH(D1341)&lt;10,3,MONTH(D1341)&gt;9,4)&amp;"Q"&amp;RIGHT(YEAR(D1341),2)</f>
        <v>2Q21</v>
      </c>
      <c r="D1341" s="81">
        <f t="shared" si="445"/>
        <v>44347</v>
      </c>
      <c r="E1341" s="82">
        <f t="shared" si="442"/>
        <v>44342</v>
      </c>
      <c r="F1341" s="83">
        <f t="shared" si="446"/>
        <v>0.5445</v>
      </c>
      <c r="G1341" s="83">
        <f t="shared" si="446"/>
        <v>0.475</v>
      </c>
      <c r="H1341" s="81"/>
      <c r="I1341" s="146">
        <v>44342</v>
      </c>
      <c r="J1341" s="147">
        <v>4.7</v>
      </c>
      <c r="K1341" s="147">
        <v>4.1</v>
      </c>
      <c r="L1341" s="147">
        <v>4.356</v>
      </c>
      <c r="M1341" s="94" cm="1">
        <f t="array" ref="M1341">INDEX($BV$29:$BV$1449,MATCH($D1341,$BR$29:$BR$1449,0),)</f>
        <v>3.8</v>
      </c>
      <c r="N1341" s="150">
        <f t="shared" si="443"/>
        <v>0.0055401662049861</v>
      </c>
      <c r="O1341" s="150">
        <f t="shared" si="441"/>
        <v>-0.0142566191446027</v>
      </c>
      <c r="P1341" s="150">
        <f t="shared" si="439"/>
        <v>-0.0438981562774364</v>
      </c>
      <c r="Q1341" s="89">
        <f t="shared" si="444"/>
        <v>0.146315789473684</v>
      </c>
      <c r="AH1341" s="90"/>
      <c r="AI1341" s="85"/>
      <c r="AJ1341" s="36"/>
      <c r="AK1341" s="36"/>
      <c r="AL1341" s="36"/>
      <c r="AM1341" s="36"/>
      <c r="AN1341" s="36"/>
      <c r="AO1341" s="36"/>
      <c r="AP1341" s="36"/>
      <c r="AQ1341" s="36"/>
      <c r="GE1341" s="94"/>
      <c r="GF1341" s="104">
        <f t="shared" si="447"/>
        <v>2018</v>
      </c>
      <c r="GG1341" s="104">
        <f t="shared" si="448"/>
        <v>15</v>
      </c>
      <c r="GH1341" s="35">
        <v>43199</v>
      </c>
      <c r="GI1341" s="26">
        <v>3.527</v>
      </c>
      <c r="GJ1341" s="94">
        <f t="shared" si="449"/>
        <v>7.054</v>
      </c>
      <c r="GK1341" s="104"/>
      <c r="GL1341" s="104"/>
      <c r="GO1341" s="94"/>
    </row>
    <row r="1342" spans="3:197">
      <c r="C1342" s="80" t="str" cm="1">
        <f t="array" ref="C1342">_xlfn.IFS(MONTH(D1342)&lt;4,1,MONTH(D1342)&lt;7,2,MONTH(D1342)&lt;10,3,MONTH(D1342)&gt;9,4)&amp;"Q"&amp;RIGHT(YEAR(D1342),2)</f>
        <v>2Q21</v>
      </c>
      <c r="D1342" s="81">
        <f t="shared" si="445"/>
        <v>44347</v>
      </c>
      <c r="E1342" s="82">
        <f t="shared" si="442"/>
        <v>44343</v>
      </c>
      <c r="F1342" s="83">
        <f t="shared" si="446"/>
        <v>0.547625</v>
      </c>
      <c r="G1342" s="83">
        <f t="shared" si="446"/>
        <v>0.475</v>
      </c>
      <c r="H1342" s="81"/>
      <c r="I1342" s="146">
        <v>44343</v>
      </c>
      <c r="J1342" s="147">
        <v>4.7</v>
      </c>
      <c r="K1342" s="147">
        <v>4.14</v>
      </c>
      <c r="L1342" s="147">
        <v>4.381</v>
      </c>
      <c r="M1342" s="94" cm="1">
        <f t="array" ref="M1342">INDEX($BV$29:$BV$1449,MATCH($D1342,$BR$29:$BR$1449,0),)</f>
        <v>3.8</v>
      </c>
      <c r="N1342" s="150">
        <f t="shared" si="443"/>
        <v>0.00573921028466495</v>
      </c>
      <c r="O1342" s="150">
        <f t="shared" si="441"/>
        <v>-0.000684306569343041</v>
      </c>
      <c r="P1342" s="150">
        <f t="shared" si="439"/>
        <v>-0.0281721384205855</v>
      </c>
      <c r="Q1342" s="89">
        <f t="shared" si="444"/>
        <v>0.152894736842105</v>
      </c>
      <c r="AH1342" s="90"/>
      <c r="AI1342" s="85"/>
      <c r="AJ1342" s="36"/>
      <c r="AK1342" s="36"/>
      <c r="AL1342" s="36"/>
      <c r="AM1342" s="36"/>
      <c r="AN1342" s="36"/>
      <c r="AO1342" s="36"/>
      <c r="AP1342" s="36"/>
      <c r="AQ1342" s="36"/>
      <c r="GE1342" s="94"/>
      <c r="GF1342" s="104">
        <f t="shared" si="447"/>
        <v>2018</v>
      </c>
      <c r="GG1342" s="104">
        <f t="shared" si="448"/>
        <v>15</v>
      </c>
      <c r="GH1342" s="35">
        <v>43200</v>
      </c>
      <c r="GI1342" s="26">
        <v>3.524</v>
      </c>
      <c r="GJ1342" s="94">
        <f t="shared" si="449"/>
        <v>7.048</v>
      </c>
      <c r="GK1342" s="104"/>
      <c r="GL1342" s="104"/>
      <c r="GO1342" s="94"/>
    </row>
    <row r="1343" spans="3:197">
      <c r="C1343" s="80" t="str" cm="1">
        <f t="array" ref="C1343">_xlfn.IFS(MONTH(D1343)&lt;4,1,MONTH(D1343)&lt;7,2,MONTH(D1343)&lt;10,3,MONTH(D1343)&gt;9,4)&amp;"Q"&amp;RIGHT(YEAR(D1343),2)</f>
        <v>2Q21</v>
      </c>
      <c r="D1343" s="81">
        <f t="shared" si="445"/>
        <v>44347</v>
      </c>
      <c r="E1343" s="82">
        <f t="shared" si="442"/>
        <v>44344</v>
      </c>
      <c r="F1343" s="83">
        <f t="shared" si="446"/>
        <v>0.553125</v>
      </c>
      <c r="G1343" s="83">
        <f t="shared" si="446"/>
        <v>0.475</v>
      </c>
      <c r="H1343" s="81"/>
      <c r="I1343" s="146">
        <v>44344</v>
      </c>
      <c r="J1343" s="147">
        <v>4.7</v>
      </c>
      <c r="K1343" s="147">
        <v>4.15</v>
      </c>
      <c r="L1343" s="147">
        <v>4.425</v>
      </c>
      <c r="M1343" s="94" cm="1">
        <f t="array" ref="M1343">INDEX($BV$29:$BV$1449,MATCH($D1343,$BR$29:$BR$1449,0),)</f>
        <v>3.8</v>
      </c>
      <c r="N1343" s="150">
        <f t="shared" si="443"/>
        <v>0.0100433690938142</v>
      </c>
      <c r="O1343" s="150">
        <f t="shared" si="441"/>
        <v>0.0153740247820102</v>
      </c>
      <c r="P1343" s="150">
        <f t="shared" si="439"/>
        <v>-0.00740242261103641</v>
      </c>
      <c r="Q1343" s="89">
        <f t="shared" si="444"/>
        <v>0.164473684210526</v>
      </c>
      <c r="R1343" s="36"/>
      <c r="S1343" s="36"/>
      <c r="T1343" s="36"/>
      <c r="U1343" s="36"/>
      <c r="V1343" s="36"/>
      <c r="W1343" s="36"/>
      <c r="X1343" s="36"/>
      <c r="Y1343" s="36"/>
      <c r="Z1343" s="36"/>
      <c r="AA1343" s="36"/>
      <c r="AB1343" s="36"/>
      <c r="AC1343" s="36"/>
      <c r="AD1343" s="36"/>
      <c r="AE1343" s="36"/>
      <c r="AF1343" s="36"/>
      <c r="AG1343" s="36"/>
      <c r="AH1343" s="90"/>
      <c r="AI1343" s="85"/>
      <c r="AJ1343" s="36"/>
      <c r="AK1343" s="36"/>
      <c r="AL1343" s="36"/>
      <c r="AM1343" s="36"/>
      <c r="AN1343" s="36"/>
      <c r="AO1343" s="36"/>
      <c r="AP1343" s="36"/>
      <c r="AQ1343" s="36"/>
      <c r="BP1343" s="36"/>
      <c r="BQ1343" s="36"/>
      <c r="BR1343" s="36"/>
      <c r="GE1343" s="94"/>
      <c r="GF1343" s="104">
        <f t="shared" si="447"/>
        <v>2018</v>
      </c>
      <c r="GG1343" s="104">
        <f t="shared" si="448"/>
        <v>15</v>
      </c>
      <c r="GH1343" s="35">
        <v>43201</v>
      </c>
      <c r="GI1343" s="26">
        <v>3.524</v>
      </c>
      <c r="GJ1343" s="94">
        <f t="shared" si="449"/>
        <v>7.048</v>
      </c>
      <c r="GK1343" s="104"/>
      <c r="GL1343" s="104"/>
      <c r="GO1343" s="94"/>
    </row>
    <row r="1344" spans="3:197">
      <c r="C1344" s="80" t="str" cm="1">
        <f t="array" ref="C1344">_xlfn.IFS(MONTH(D1344)&lt;4,1,MONTH(D1344)&lt;7,2,MONTH(D1344)&lt;10,3,MONTH(D1344)&gt;9,4)&amp;"Q"&amp;RIGHT(YEAR(D1344),2)</f>
        <v>2Q21</v>
      </c>
      <c r="D1344" s="81">
        <f t="shared" si="445"/>
        <v>44347</v>
      </c>
      <c r="E1344" s="82">
        <f t="shared" si="442"/>
        <v>44347</v>
      </c>
      <c r="F1344" s="83">
        <f t="shared" si="446"/>
        <v>0.55625</v>
      </c>
      <c r="G1344" s="83">
        <f t="shared" si="446"/>
        <v>0.475</v>
      </c>
      <c r="H1344" s="81"/>
      <c r="I1344" s="146">
        <v>44347</v>
      </c>
      <c r="J1344" s="147">
        <v>4.7</v>
      </c>
      <c r="K1344" s="147">
        <v>4.15</v>
      </c>
      <c r="L1344" s="147">
        <v>4.45</v>
      </c>
      <c r="M1344" s="94" cm="1">
        <f t="array" ref="M1344">INDEX($BV$29:$BV$1449,MATCH($D1344,$BR$29:$BR$1449,0),)</f>
        <v>3.8</v>
      </c>
      <c r="N1344" s="150">
        <f t="shared" si="443"/>
        <v>0.00564971751412435</v>
      </c>
      <c r="O1344" s="150">
        <f t="shared" si="441"/>
        <v>0.0272391505078486</v>
      </c>
      <c r="P1344" s="150">
        <f t="shared" ref="P1344:P1407" si="450">L1344/L1334-1</f>
        <v>0.00360847992783042</v>
      </c>
      <c r="Q1344" s="89">
        <f t="shared" si="444"/>
        <v>0.171052631578948</v>
      </c>
      <c r="R1344" s="36"/>
      <c r="S1344" s="36"/>
      <c r="T1344" s="36"/>
      <c r="U1344" s="36"/>
      <c r="V1344" s="36"/>
      <c r="W1344" s="36"/>
      <c r="X1344" s="36"/>
      <c r="Y1344" s="36"/>
      <c r="Z1344" s="36"/>
      <c r="AA1344" s="36"/>
      <c r="AB1344" s="36"/>
      <c r="AC1344" s="36"/>
      <c r="AD1344" s="36"/>
      <c r="AE1344" s="36"/>
      <c r="AF1344" s="36"/>
      <c r="AG1344" s="36"/>
      <c r="AH1344" s="90"/>
      <c r="AI1344" s="85"/>
      <c r="AJ1344" s="36"/>
      <c r="AK1344" s="36"/>
      <c r="AL1344" s="36"/>
      <c r="AM1344" s="36"/>
      <c r="AN1344" s="36"/>
      <c r="AO1344" s="36"/>
      <c r="AP1344" s="36"/>
      <c r="AQ1344" s="36"/>
      <c r="BP1344" s="36"/>
      <c r="BQ1344" s="36"/>
      <c r="BR1344" s="36"/>
      <c r="GE1344" s="94"/>
      <c r="GF1344" s="104">
        <f t="shared" si="447"/>
        <v>2018</v>
      </c>
      <c r="GG1344" s="104">
        <f t="shared" si="448"/>
        <v>15</v>
      </c>
      <c r="GH1344" s="35">
        <v>43202</v>
      </c>
      <c r="GI1344" s="26">
        <v>3.524</v>
      </c>
      <c r="GJ1344" s="94">
        <f t="shared" si="449"/>
        <v>7.048</v>
      </c>
      <c r="GK1344" s="104"/>
      <c r="GL1344" s="104"/>
      <c r="GO1344" s="94"/>
    </row>
    <row r="1345" spans="3:197">
      <c r="C1345" s="80" t="str" cm="1">
        <f t="array" ref="C1345">_xlfn.IFS(MONTH(D1345)&lt;4,1,MONTH(D1345)&lt;7,2,MONTH(D1345)&lt;10,3,MONTH(D1345)&gt;9,4)&amp;"Q"&amp;RIGHT(YEAR(D1345),2)</f>
        <v>2Q21</v>
      </c>
      <c r="D1345" s="81">
        <f t="shared" si="445"/>
        <v>44377</v>
      </c>
      <c r="E1345" s="82">
        <f t="shared" si="442"/>
        <v>44348</v>
      </c>
      <c r="F1345" s="83">
        <f t="shared" si="446"/>
        <v>0.559375</v>
      </c>
      <c r="G1345" s="83">
        <f t="shared" si="446"/>
        <v>0.475</v>
      </c>
      <c r="H1345" s="81"/>
      <c r="I1345" s="146">
        <v>44348</v>
      </c>
      <c r="J1345" s="147">
        <v>4.75</v>
      </c>
      <c r="K1345" s="147">
        <v>4.2</v>
      </c>
      <c r="L1345" s="147">
        <v>4.475</v>
      </c>
      <c r="M1345" s="94" cm="1">
        <f t="array" ref="M1345">INDEX($BV$29:$BV$1449,MATCH($D1345,$BR$29:$BR$1449,0),)</f>
        <v>3.8</v>
      </c>
      <c r="N1345" s="150">
        <f t="shared" si="443"/>
        <v>0.00561797752808979</v>
      </c>
      <c r="O1345" s="150">
        <f t="shared" si="441"/>
        <v>0.0330101569713757</v>
      </c>
      <c r="P1345" s="150">
        <f t="shared" si="450"/>
        <v>0.0126725503507581</v>
      </c>
      <c r="Q1345" s="89">
        <f t="shared" si="444"/>
        <v>0.177631578947368</v>
      </c>
      <c r="R1345" s="36"/>
      <c r="S1345" s="36"/>
      <c r="T1345" s="36"/>
      <c r="U1345" s="36"/>
      <c r="V1345" s="36"/>
      <c r="W1345" s="36"/>
      <c r="X1345" s="36"/>
      <c r="Y1345" s="36"/>
      <c r="Z1345" s="36"/>
      <c r="AA1345" s="36"/>
      <c r="AB1345" s="36"/>
      <c r="AC1345" s="36"/>
      <c r="AD1345" s="36"/>
      <c r="AE1345" s="36"/>
      <c r="AF1345" s="36"/>
      <c r="AG1345" s="36"/>
      <c r="AH1345" s="90"/>
      <c r="AI1345" s="85"/>
      <c r="AJ1345" s="36"/>
      <c r="AK1345" s="36"/>
      <c r="AL1345" s="36"/>
      <c r="AM1345" s="36"/>
      <c r="AN1345" s="36"/>
      <c r="AO1345" s="36"/>
      <c r="AP1345" s="36"/>
      <c r="AQ1345" s="36"/>
      <c r="BP1345" s="36"/>
      <c r="BQ1345" s="36"/>
      <c r="BR1345" s="36"/>
      <c r="GE1345" s="94"/>
      <c r="GF1345" s="104">
        <f t="shared" si="447"/>
        <v>2018</v>
      </c>
      <c r="GG1345" s="104">
        <f t="shared" si="448"/>
        <v>15</v>
      </c>
      <c r="GH1345" s="35">
        <v>43203</v>
      </c>
      <c r="GI1345" s="26">
        <v>3.524</v>
      </c>
      <c r="GJ1345" s="94">
        <f t="shared" si="449"/>
        <v>7.048</v>
      </c>
      <c r="GK1345" s="104"/>
      <c r="GL1345" s="104"/>
      <c r="GO1345" s="94"/>
    </row>
    <row r="1346" spans="3:197">
      <c r="C1346" s="80" t="str" cm="1">
        <f t="array" ref="C1346">_xlfn.IFS(MONTH(D1346)&lt;4,1,MONTH(D1346)&lt;7,2,MONTH(D1346)&lt;10,3,MONTH(D1346)&gt;9,4)&amp;"Q"&amp;RIGHT(YEAR(D1346),2)</f>
        <v>2Q21</v>
      </c>
      <c r="D1346" s="81">
        <f t="shared" si="445"/>
        <v>44377</v>
      </c>
      <c r="E1346" s="82">
        <f t="shared" si="442"/>
        <v>44349</v>
      </c>
      <c r="F1346" s="83">
        <f t="shared" si="446"/>
        <v>0.560625</v>
      </c>
      <c r="G1346" s="83">
        <f t="shared" si="446"/>
        <v>0.475</v>
      </c>
      <c r="H1346" s="81"/>
      <c r="I1346" s="146">
        <v>44349</v>
      </c>
      <c r="J1346" s="147">
        <v>4.75</v>
      </c>
      <c r="K1346" s="147">
        <v>4.2</v>
      </c>
      <c r="L1346" s="147">
        <v>4.485</v>
      </c>
      <c r="M1346" s="94" cm="1">
        <f t="array" ref="M1346">INDEX($BV$29:$BV$1449,MATCH($D1346,$BR$29:$BR$1449,0),)</f>
        <v>3.8</v>
      </c>
      <c r="N1346" s="150">
        <f t="shared" si="443"/>
        <v>0.00223463687150849</v>
      </c>
      <c r="O1346" s="150">
        <f t="shared" si="441"/>
        <v>0.0296143250688705</v>
      </c>
      <c r="P1346" s="150">
        <f t="shared" si="450"/>
        <v>0.0149355057705365</v>
      </c>
      <c r="Q1346" s="89">
        <f t="shared" si="444"/>
        <v>0.180263157894737</v>
      </c>
      <c r="R1346" s="36"/>
      <c r="S1346" s="36"/>
      <c r="T1346" s="36"/>
      <c r="U1346" s="36"/>
      <c r="V1346" s="36"/>
      <c r="W1346" s="36"/>
      <c r="X1346" s="36"/>
      <c r="Y1346" s="36"/>
      <c r="Z1346" s="36"/>
      <c r="AA1346" s="36"/>
      <c r="AB1346" s="36"/>
      <c r="AC1346" s="36"/>
      <c r="AD1346" s="36"/>
      <c r="AE1346" s="36"/>
      <c r="AF1346" s="36"/>
      <c r="AG1346" s="36"/>
      <c r="AH1346" s="90"/>
      <c r="AI1346" s="85"/>
      <c r="AJ1346" s="36"/>
      <c r="AK1346" s="36"/>
      <c r="AL1346" s="36"/>
      <c r="AM1346" s="36"/>
      <c r="AN1346" s="36"/>
      <c r="AO1346" s="36"/>
      <c r="AP1346" s="36"/>
      <c r="AQ1346" s="36"/>
      <c r="BP1346" s="36"/>
      <c r="BQ1346" s="36"/>
      <c r="BR1346" s="36"/>
      <c r="GE1346" s="94"/>
      <c r="GF1346" s="104">
        <f t="shared" si="447"/>
        <v>2018</v>
      </c>
      <c r="GG1346" s="104">
        <f t="shared" si="448"/>
        <v>16</v>
      </c>
      <c r="GH1346" s="35">
        <v>43206</v>
      </c>
      <c r="GI1346" s="26">
        <v>3.514</v>
      </c>
      <c r="GJ1346" s="94">
        <f t="shared" si="449"/>
        <v>7.028</v>
      </c>
      <c r="GK1346" s="104"/>
      <c r="GL1346" s="104"/>
      <c r="GO1346" s="94"/>
    </row>
    <row r="1347" spans="3:197">
      <c r="C1347" s="80" t="str" cm="1">
        <f t="array" ref="C1347">_xlfn.IFS(MONTH(D1347)&lt;4,1,MONTH(D1347)&lt;7,2,MONTH(D1347)&lt;10,3,MONTH(D1347)&gt;9,4)&amp;"Q"&amp;RIGHT(YEAR(D1347),2)</f>
        <v>2Q21</v>
      </c>
      <c r="D1347" s="81">
        <f t="shared" si="445"/>
        <v>44377</v>
      </c>
      <c r="E1347" s="82">
        <f t="shared" si="442"/>
        <v>44350</v>
      </c>
      <c r="F1347" s="83">
        <f t="shared" si="446"/>
        <v>0.561875</v>
      </c>
      <c r="G1347" s="83">
        <f t="shared" si="446"/>
        <v>0.475</v>
      </c>
      <c r="H1347" s="81"/>
      <c r="I1347" s="146">
        <v>44350</v>
      </c>
      <c r="J1347" s="147">
        <v>4.75</v>
      </c>
      <c r="K1347" s="147">
        <v>4.2</v>
      </c>
      <c r="L1347" s="147">
        <v>4.495</v>
      </c>
      <c r="M1347" s="94" cm="1">
        <f t="array" ref="M1347">INDEX($BV$29:$BV$1449,MATCH($D1347,$BR$29:$BR$1449,0),)</f>
        <v>3.8</v>
      </c>
      <c r="N1347" s="150">
        <f t="shared" si="443"/>
        <v>0.00222965440356737</v>
      </c>
      <c r="O1347" s="150">
        <f t="shared" si="441"/>
        <v>0.0260214562885186</v>
      </c>
      <c r="P1347" s="150">
        <f t="shared" si="450"/>
        <v>0.0253193430656933</v>
      </c>
      <c r="Q1347" s="89">
        <f t="shared" si="444"/>
        <v>0.182894736842105</v>
      </c>
      <c r="R1347" s="36"/>
      <c r="S1347" s="36"/>
      <c r="T1347" s="36"/>
      <c r="U1347" s="36"/>
      <c r="V1347" s="36"/>
      <c r="W1347" s="36"/>
      <c r="X1347" s="36"/>
      <c r="Y1347" s="36"/>
      <c r="Z1347" s="36"/>
      <c r="AA1347" s="36"/>
      <c r="AB1347" s="36"/>
      <c r="AC1347" s="36"/>
      <c r="AD1347" s="36"/>
      <c r="AE1347" s="36"/>
      <c r="AF1347" s="36"/>
      <c r="AG1347" s="36"/>
      <c r="AH1347" s="90"/>
      <c r="AI1347" s="85"/>
      <c r="AJ1347" s="36"/>
      <c r="AK1347" s="36"/>
      <c r="AL1347" s="36"/>
      <c r="AM1347" s="36"/>
      <c r="AN1347" s="36"/>
      <c r="AO1347" s="36"/>
      <c r="AP1347" s="36"/>
      <c r="AQ1347" s="36"/>
      <c r="BP1347" s="36"/>
      <c r="BQ1347" s="36"/>
      <c r="BR1347" s="36"/>
      <c r="GE1347" s="94"/>
      <c r="GF1347" s="104">
        <f t="shared" si="447"/>
        <v>2018</v>
      </c>
      <c r="GG1347" s="104">
        <f t="shared" si="448"/>
        <v>16</v>
      </c>
      <c r="GH1347" s="35">
        <v>43207</v>
      </c>
      <c r="GI1347" s="26">
        <v>3.514</v>
      </c>
      <c r="GJ1347" s="94">
        <f t="shared" si="449"/>
        <v>7.028</v>
      </c>
      <c r="GK1347" s="104"/>
      <c r="GL1347" s="104"/>
      <c r="GO1347" s="94"/>
    </row>
    <row r="1348" spans="3:197">
      <c r="C1348" s="80" t="str" cm="1">
        <f t="array" ref="C1348">_xlfn.IFS(MONTH(D1348)&lt;4,1,MONTH(D1348)&lt;7,2,MONTH(D1348)&lt;10,3,MONTH(D1348)&gt;9,4)&amp;"Q"&amp;RIGHT(YEAR(D1348),2)</f>
        <v>2Q21</v>
      </c>
      <c r="D1348" s="81">
        <f t="shared" si="445"/>
        <v>44377</v>
      </c>
      <c r="E1348" s="82">
        <f t="shared" si="442"/>
        <v>44351</v>
      </c>
      <c r="F1348" s="83">
        <f t="shared" si="446"/>
        <v>0.559375</v>
      </c>
      <c r="G1348" s="83">
        <f t="shared" si="446"/>
        <v>0.475</v>
      </c>
      <c r="H1348" s="81"/>
      <c r="I1348" s="146">
        <v>44351</v>
      </c>
      <c r="J1348" s="147">
        <v>4.75</v>
      </c>
      <c r="K1348" s="147">
        <v>4.2</v>
      </c>
      <c r="L1348" s="147">
        <v>4.475</v>
      </c>
      <c r="M1348" s="94" cm="1">
        <f t="array" ref="M1348">INDEX($BV$29:$BV$1449,MATCH($D1348,$BR$29:$BR$1449,0),)</f>
        <v>3.8</v>
      </c>
      <c r="N1348" s="150">
        <f t="shared" si="443"/>
        <v>-0.00444938820912133</v>
      </c>
      <c r="O1348" s="150">
        <f t="shared" si="441"/>
        <v>0.0112994350282485</v>
      </c>
      <c r="P1348" s="150">
        <f t="shared" si="450"/>
        <v>0.0268471776044057</v>
      </c>
      <c r="Q1348" s="89">
        <f t="shared" si="444"/>
        <v>0.177631578947368</v>
      </c>
      <c r="R1348" s="36"/>
      <c r="S1348" s="36"/>
      <c r="T1348" s="36"/>
      <c r="U1348" s="36"/>
      <c r="V1348" s="36"/>
      <c r="W1348" s="36"/>
      <c r="X1348" s="36"/>
      <c r="Y1348" s="36"/>
      <c r="Z1348" s="36"/>
      <c r="AA1348" s="36"/>
      <c r="AB1348" s="36"/>
      <c r="AC1348" s="36"/>
      <c r="AD1348" s="36"/>
      <c r="AE1348" s="36"/>
      <c r="AF1348" s="36"/>
      <c r="AG1348" s="36"/>
      <c r="AH1348" s="90"/>
      <c r="AI1348" s="85"/>
      <c r="AJ1348" s="36"/>
      <c r="AK1348" s="36"/>
      <c r="AL1348" s="36"/>
      <c r="AM1348" s="36"/>
      <c r="AN1348" s="36"/>
      <c r="AO1348" s="36"/>
      <c r="AP1348" s="36"/>
      <c r="AQ1348" s="36"/>
      <c r="BP1348" s="36"/>
      <c r="BQ1348" s="36"/>
      <c r="BR1348" s="36"/>
      <c r="GE1348" s="94"/>
      <c r="GF1348" s="104">
        <f t="shared" si="447"/>
        <v>2018</v>
      </c>
      <c r="GG1348" s="104">
        <f t="shared" si="448"/>
        <v>16</v>
      </c>
      <c r="GH1348" s="35">
        <v>43208</v>
      </c>
      <c r="GI1348" s="26">
        <v>3.508</v>
      </c>
      <c r="GJ1348" s="94">
        <f t="shared" si="449"/>
        <v>7.016</v>
      </c>
      <c r="GK1348" s="104"/>
      <c r="GL1348" s="104"/>
      <c r="GO1348" s="94"/>
    </row>
    <row r="1349" spans="3:197">
      <c r="C1349" s="80" t="str" cm="1">
        <f t="array" ref="C1349">_xlfn.IFS(MONTH(D1349)&lt;4,1,MONTH(D1349)&lt;7,2,MONTH(D1349)&lt;10,3,MONTH(D1349)&gt;9,4)&amp;"Q"&amp;RIGHT(YEAR(D1349),2)</f>
        <v>2Q21</v>
      </c>
      <c r="D1349" s="81">
        <f t="shared" si="445"/>
        <v>44377</v>
      </c>
      <c r="E1349" s="82">
        <f t="shared" si="442"/>
        <v>44354</v>
      </c>
      <c r="F1349" s="83">
        <f t="shared" si="446"/>
        <v>0.55625</v>
      </c>
      <c r="G1349" s="83">
        <f t="shared" si="446"/>
        <v>0.475</v>
      </c>
      <c r="H1349" s="81"/>
      <c r="I1349" s="146">
        <v>44354</v>
      </c>
      <c r="J1349" s="147">
        <v>4.7</v>
      </c>
      <c r="K1349" s="147">
        <v>4.22</v>
      </c>
      <c r="L1349" s="147">
        <v>4.45</v>
      </c>
      <c r="M1349" s="94" cm="1">
        <f t="array" ref="M1349">INDEX($BV$29:$BV$1449,MATCH($D1349,$BR$29:$BR$1449,0),)</f>
        <v>3.8</v>
      </c>
      <c r="N1349" s="150">
        <f t="shared" si="443"/>
        <v>-0.00558659217877078</v>
      </c>
      <c r="O1349" s="150">
        <f t="shared" si="441"/>
        <v>0</v>
      </c>
      <c r="P1349" s="150">
        <f t="shared" si="450"/>
        <v>0.0272391505078486</v>
      </c>
      <c r="Q1349" s="89">
        <f t="shared" si="444"/>
        <v>0.171052631578948</v>
      </c>
      <c r="R1349" s="36"/>
      <c r="S1349" s="36"/>
      <c r="T1349" s="36"/>
      <c r="U1349" s="36"/>
      <c r="V1349" s="36"/>
      <c r="W1349" s="36"/>
      <c r="X1349" s="36"/>
      <c r="Y1349" s="36"/>
      <c r="Z1349" s="36"/>
      <c r="AA1349" s="36"/>
      <c r="AB1349" s="36"/>
      <c r="AC1349" s="36"/>
      <c r="AD1349" s="36"/>
      <c r="AE1349" s="36"/>
      <c r="AF1349" s="36"/>
      <c r="AG1349" s="36"/>
      <c r="AH1349" s="90"/>
      <c r="AI1349" s="85"/>
      <c r="AJ1349" s="36"/>
      <c r="AK1349" s="36"/>
      <c r="AL1349" s="36"/>
      <c r="AM1349" s="36"/>
      <c r="AN1349" s="36"/>
      <c r="AO1349" s="36"/>
      <c r="AP1349" s="36"/>
      <c r="AQ1349" s="36"/>
      <c r="BP1349" s="36"/>
      <c r="BQ1349" s="36"/>
      <c r="BR1349" s="36"/>
      <c r="GE1349" s="94"/>
      <c r="GF1349" s="104">
        <f t="shared" si="447"/>
        <v>2018</v>
      </c>
      <c r="GG1349" s="104">
        <f t="shared" si="448"/>
        <v>16</v>
      </c>
      <c r="GH1349" s="35">
        <v>43209</v>
      </c>
      <c r="GI1349" s="26">
        <v>3.508</v>
      </c>
      <c r="GJ1349" s="94">
        <f t="shared" si="449"/>
        <v>7.016</v>
      </c>
      <c r="GK1349" s="104"/>
      <c r="GL1349" s="104"/>
      <c r="GO1349" s="94"/>
    </row>
    <row r="1350" spans="3:197">
      <c r="C1350" s="80" t="str" cm="1">
        <f t="array" ref="C1350">_xlfn.IFS(MONTH(D1350)&lt;4,1,MONTH(D1350)&lt;7,2,MONTH(D1350)&lt;10,3,MONTH(D1350)&gt;9,4)&amp;"Q"&amp;RIGHT(YEAR(D1350),2)</f>
        <v>2Q21</v>
      </c>
      <c r="D1350" s="81">
        <f t="shared" si="445"/>
        <v>44377</v>
      </c>
      <c r="E1350" s="82">
        <f t="shared" si="442"/>
        <v>44355</v>
      </c>
      <c r="F1350" s="83">
        <f t="shared" si="446"/>
        <v>0.55625</v>
      </c>
      <c r="G1350" s="83">
        <f t="shared" si="446"/>
        <v>0.475</v>
      </c>
      <c r="H1350" s="81"/>
      <c r="I1350" s="146">
        <v>44355</v>
      </c>
      <c r="J1350" s="147">
        <v>4.7</v>
      </c>
      <c r="K1350" s="147">
        <v>4.25</v>
      </c>
      <c r="L1350" s="147">
        <v>4.45</v>
      </c>
      <c r="M1350" s="94" cm="1">
        <f t="array" ref="M1350">INDEX($BV$29:$BV$1449,MATCH($D1350,$BR$29:$BR$1449,0),)</f>
        <v>3.8</v>
      </c>
      <c r="N1350" s="150">
        <f t="shared" si="443"/>
        <v>0</v>
      </c>
      <c r="O1350" s="150">
        <f t="shared" si="441"/>
        <v>-0.00558659217877078</v>
      </c>
      <c r="P1350" s="150">
        <f t="shared" si="450"/>
        <v>0.0272391505078486</v>
      </c>
      <c r="Q1350" s="89">
        <f t="shared" si="444"/>
        <v>0.171052631578948</v>
      </c>
      <c r="R1350" s="36"/>
      <c r="S1350" s="36"/>
      <c r="T1350" s="36"/>
      <c r="U1350" s="36"/>
      <c r="V1350" s="36"/>
      <c r="W1350" s="36"/>
      <c r="X1350" s="36"/>
      <c r="Y1350" s="36"/>
      <c r="Z1350" s="36"/>
      <c r="AA1350" s="36"/>
      <c r="AB1350" s="36"/>
      <c r="AC1350" s="36"/>
      <c r="AD1350" s="36"/>
      <c r="AE1350" s="36"/>
      <c r="AF1350" s="36"/>
      <c r="AG1350" s="36"/>
      <c r="AH1350" s="90"/>
      <c r="AI1350" s="85"/>
      <c r="AJ1350" s="36"/>
      <c r="AK1350" s="36"/>
      <c r="AL1350" s="36"/>
      <c r="AM1350" s="36"/>
      <c r="AN1350" s="36"/>
      <c r="AO1350" s="36"/>
      <c r="AP1350" s="36"/>
      <c r="AQ1350" s="36"/>
      <c r="BP1350" s="36"/>
      <c r="BQ1350" s="36"/>
      <c r="BR1350" s="36"/>
      <c r="GE1350" s="94"/>
      <c r="GF1350" s="104">
        <f t="shared" si="447"/>
        <v>2018</v>
      </c>
      <c r="GG1350" s="104">
        <f t="shared" si="448"/>
        <v>16</v>
      </c>
      <c r="GH1350" s="35">
        <v>43210</v>
      </c>
      <c r="GI1350" s="26">
        <v>3.508</v>
      </c>
      <c r="GJ1350" s="94">
        <f t="shared" si="449"/>
        <v>7.016</v>
      </c>
      <c r="GK1350" s="104"/>
      <c r="GL1350" s="104"/>
      <c r="GO1350" s="94"/>
    </row>
    <row r="1351" spans="3:197">
      <c r="C1351" s="80" t="str" cm="1">
        <f t="array" ref="C1351">_xlfn.IFS(MONTH(D1351)&lt;4,1,MONTH(D1351)&lt;7,2,MONTH(D1351)&lt;10,3,MONTH(D1351)&gt;9,4)&amp;"Q"&amp;RIGHT(YEAR(D1351),2)</f>
        <v>2Q21</v>
      </c>
      <c r="D1351" s="81">
        <f t="shared" si="445"/>
        <v>44377</v>
      </c>
      <c r="E1351" s="82">
        <f t="shared" si="442"/>
        <v>44356</v>
      </c>
      <c r="F1351" s="83">
        <f t="shared" si="446"/>
        <v>0.559375</v>
      </c>
      <c r="G1351" s="83">
        <f t="shared" si="446"/>
        <v>0.475</v>
      </c>
      <c r="H1351" s="81"/>
      <c r="I1351" s="146">
        <v>44356</v>
      </c>
      <c r="J1351" s="147">
        <v>4.75</v>
      </c>
      <c r="K1351" s="147">
        <v>4.25</v>
      </c>
      <c r="L1351" s="147">
        <v>4.475</v>
      </c>
      <c r="M1351" s="94" cm="1">
        <f t="array" ref="M1351">INDEX($BV$29:$BV$1449,MATCH($D1351,$BR$29:$BR$1449,0),)</f>
        <v>3.8</v>
      </c>
      <c r="N1351" s="150">
        <f t="shared" si="443"/>
        <v>0.00561797752808979</v>
      </c>
      <c r="O1351" s="150">
        <f t="shared" si="441"/>
        <v>-0.00222965440356759</v>
      </c>
      <c r="P1351" s="150">
        <f t="shared" si="450"/>
        <v>0.0273186409550046</v>
      </c>
      <c r="Q1351" s="89">
        <f t="shared" si="444"/>
        <v>0.177631578947368</v>
      </c>
      <c r="R1351" s="36"/>
      <c r="S1351" s="36"/>
      <c r="T1351" s="36"/>
      <c r="U1351" s="36"/>
      <c r="V1351" s="36"/>
      <c r="W1351" s="36"/>
      <c r="X1351" s="36"/>
      <c r="Y1351" s="36"/>
      <c r="Z1351" s="36"/>
      <c r="AA1351" s="36"/>
      <c r="AB1351" s="36"/>
      <c r="AC1351" s="36"/>
      <c r="AD1351" s="36"/>
      <c r="AE1351" s="36"/>
      <c r="AF1351" s="36"/>
      <c r="AG1351" s="36"/>
      <c r="AH1351" s="90"/>
      <c r="AI1351" s="85"/>
      <c r="AJ1351" s="36"/>
      <c r="AK1351" s="36"/>
      <c r="AL1351" s="36"/>
      <c r="AM1351" s="36"/>
      <c r="AN1351" s="36"/>
      <c r="AO1351" s="36"/>
      <c r="AP1351" s="36"/>
      <c r="AQ1351" s="36"/>
      <c r="BP1351" s="36"/>
      <c r="BQ1351" s="36"/>
      <c r="BR1351" s="36"/>
      <c r="GE1351" s="94"/>
      <c r="GF1351" s="104">
        <f t="shared" si="447"/>
        <v>2018</v>
      </c>
      <c r="GG1351" s="104">
        <f t="shared" si="448"/>
        <v>17</v>
      </c>
      <c r="GH1351" s="35">
        <v>43213</v>
      </c>
      <c r="GI1351" s="26">
        <v>3.492</v>
      </c>
      <c r="GJ1351" s="94">
        <f t="shared" si="449"/>
        <v>6.984</v>
      </c>
      <c r="GK1351" s="104"/>
      <c r="GL1351" s="104"/>
      <c r="GO1351" s="94"/>
    </row>
    <row r="1352" spans="3:197">
      <c r="C1352" s="80" t="str" cm="1">
        <f t="array" ref="C1352">_xlfn.IFS(MONTH(D1352)&lt;4,1,MONTH(D1352)&lt;7,2,MONTH(D1352)&lt;10,3,MONTH(D1352)&gt;9,4)&amp;"Q"&amp;RIGHT(YEAR(D1352),2)</f>
        <v>2Q21</v>
      </c>
      <c r="D1352" s="81">
        <f t="shared" si="445"/>
        <v>44377</v>
      </c>
      <c r="E1352" s="82">
        <f t="shared" si="442"/>
        <v>44357</v>
      </c>
      <c r="F1352" s="83">
        <f t="shared" si="446"/>
        <v>0.560625</v>
      </c>
      <c r="G1352" s="83">
        <f t="shared" si="446"/>
        <v>0.475</v>
      </c>
      <c r="H1352" s="81"/>
      <c r="I1352" s="146">
        <v>44357</v>
      </c>
      <c r="J1352" s="147">
        <v>4.75</v>
      </c>
      <c r="K1352" s="147">
        <v>4.25</v>
      </c>
      <c r="L1352" s="147">
        <v>4.485</v>
      </c>
      <c r="M1352" s="94" cm="1">
        <f t="array" ref="M1352">INDEX($BV$29:$BV$1449,MATCH($D1352,$BR$29:$BR$1449,0),)</f>
        <v>3.8</v>
      </c>
      <c r="N1352" s="150">
        <f t="shared" si="443"/>
        <v>0.00223463687150849</v>
      </c>
      <c r="O1352" s="150">
        <f t="shared" si="441"/>
        <v>-0.00222469410456061</v>
      </c>
      <c r="P1352" s="150">
        <f t="shared" si="450"/>
        <v>0.0237388724035608</v>
      </c>
      <c r="Q1352" s="89">
        <f t="shared" si="444"/>
        <v>0.180263157894737</v>
      </c>
      <c r="R1352" s="36"/>
      <c r="S1352" s="36"/>
      <c r="T1352" s="36"/>
      <c r="U1352" s="36"/>
      <c r="V1352" s="36"/>
      <c r="W1352" s="36"/>
      <c r="X1352" s="36"/>
      <c r="Y1352" s="36"/>
      <c r="Z1352" s="36"/>
      <c r="AA1352" s="36"/>
      <c r="AB1352" s="36"/>
      <c r="AC1352" s="36"/>
      <c r="AD1352" s="36"/>
      <c r="AE1352" s="36"/>
      <c r="AF1352" s="36"/>
      <c r="AG1352" s="36"/>
      <c r="AH1352" s="90"/>
      <c r="AI1352" s="85"/>
      <c r="AJ1352" s="36"/>
      <c r="AK1352" s="36"/>
      <c r="AL1352" s="36"/>
      <c r="AM1352" s="36"/>
      <c r="AN1352" s="36"/>
      <c r="AO1352" s="36"/>
      <c r="AP1352" s="36"/>
      <c r="AQ1352" s="36"/>
      <c r="BP1352" s="36"/>
      <c r="BQ1352" s="36"/>
      <c r="BR1352" s="36"/>
      <c r="GE1352" s="94"/>
      <c r="GF1352" s="104">
        <f t="shared" si="447"/>
        <v>2018</v>
      </c>
      <c r="GG1352" s="104">
        <f t="shared" si="448"/>
        <v>17</v>
      </c>
      <c r="GH1352" s="35">
        <v>43214</v>
      </c>
      <c r="GI1352" s="26">
        <v>3.49</v>
      </c>
      <c r="GJ1352" s="94">
        <f t="shared" si="449"/>
        <v>6.98</v>
      </c>
      <c r="GK1352" s="104"/>
      <c r="GL1352" s="104"/>
      <c r="GO1352" s="94"/>
    </row>
    <row r="1353" spans="3:197">
      <c r="C1353" s="80" t="str" cm="1">
        <f t="array" ref="C1353">_xlfn.IFS(MONTH(D1353)&lt;4,1,MONTH(D1353)&lt;7,2,MONTH(D1353)&lt;10,3,MONTH(D1353)&gt;9,4)&amp;"Q"&amp;RIGHT(YEAR(D1353),2)</f>
        <v>2Q21</v>
      </c>
      <c r="D1353" s="81">
        <f t="shared" si="445"/>
        <v>44377</v>
      </c>
      <c r="E1353" s="82">
        <f t="shared" si="442"/>
        <v>44358</v>
      </c>
      <c r="F1353" s="83">
        <f t="shared" si="446"/>
        <v>0.561875</v>
      </c>
      <c r="G1353" s="83">
        <f t="shared" si="446"/>
        <v>0.475</v>
      </c>
      <c r="H1353" s="81"/>
      <c r="I1353" s="146">
        <v>44358</v>
      </c>
      <c r="J1353" s="147">
        <v>4.85</v>
      </c>
      <c r="K1353" s="147">
        <v>4.25</v>
      </c>
      <c r="L1353" s="147">
        <v>4.495</v>
      </c>
      <c r="M1353" s="94" cm="1">
        <f t="array" ref="M1353">INDEX($BV$29:$BV$1449,MATCH($D1353,$BR$29:$BR$1449,0),)</f>
        <v>3.8</v>
      </c>
      <c r="N1353" s="150">
        <f t="shared" si="443"/>
        <v>0.00222965440356737</v>
      </c>
      <c r="O1353" s="150">
        <f t="shared" si="441"/>
        <v>0.00446927374301676</v>
      </c>
      <c r="P1353" s="150">
        <f t="shared" si="450"/>
        <v>0.0158192090395481</v>
      </c>
      <c r="Q1353" s="89">
        <f t="shared" si="444"/>
        <v>0.182894736842105</v>
      </c>
      <c r="R1353" s="36"/>
      <c r="S1353" s="36"/>
      <c r="T1353" s="36"/>
      <c r="U1353" s="36"/>
      <c r="V1353" s="36"/>
      <c r="W1353" s="36"/>
      <c r="X1353" s="36"/>
      <c r="Y1353" s="36"/>
      <c r="Z1353" s="36"/>
      <c r="AA1353" s="36"/>
      <c r="AB1353" s="36"/>
      <c r="AC1353" s="36"/>
      <c r="AD1353" s="36"/>
      <c r="AE1353" s="36"/>
      <c r="AF1353" s="36"/>
      <c r="AG1353" s="36"/>
      <c r="AH1353" s="90"/>
      <c r="AI1353" s="85"/>
      <c r="AJ1353" s="36"/>
      <c r="AK1353" s="36"/>
      <c r="AL1353" s="36"/>
      <c r="AM1353" s="36"/>
      <c r="AN1353" s="36"/>
      <c r="AO1353" s="36"/>
      <c r="AP1353" s="36"/>
      <c r="AQ1353" s="36"/>
      <c r="BP1353" s="36"/>
      <c r="BQ1353" s="36"/>
      <c r="BR1353" s="36"/>
      <c r="GE1353" s="94"/>
      <c r="GF1353" s="104">
        <f t="shared" si="447"/>
        <v>2018</v>
      </c>
      <c r="GG1353" s="104">
        <f t="shared" si="448"/>
        <v>17</v>
      </c>
      <c r="GH1353" s="35">
        <v>43215</v>
      </c>
      <c r="GI1353" s="26">
        <v>3.49</v>
      </c>
      <c r="GJ1353" s="94">
        <f t="shared" si="449"/>
        <v>6.98</v>
      </c>
      <c r="GK1353" s="104"/>
      <c r="GL1353" s="104"/>
      <c r="GO1353" s="94"/>
    </row>
    <row r="1354" spans="3:197">
      <c r="C1354" s="80" t="str" cm="1">
        <f t="array" ref="C1354">_xlfn.IFS(MONTH(D1354)&lt;4,1,MONTH(D1354)&lt;7,2,MONTH(D1354)&lt;10,3,MONTH(D1354)&gt;9,4)&amp;"Q"&amp;RIGHT(YEAR(D1354),2)</f>
        <v>2Q21</v>
      </c>
      <c r="D1354" s="81">
        <f t="shared" si="445"/>
        <v>44377</v>
      </c>
      <c r="E1354" s="82">
        <f t="shared" si="442"/>
        <v>44362</v>
      </c>
      <c r="F1354" s="83">
        <f t="shared" si="446"/>
        <v>0.561875</v>
      </c>
      <c r="G1354" s="83">
        <f t="shared" si="446"/>
        <v>0.475</v>
      </c>
      <c r="H1354" s="81"/>
      <c r="I1354" s="146">
        <v>44362</v>
      </c>
      <c r="J1354" s="147">
        <v>4.85</v>
      </c>
      <c r="K1354" s="147">
        <v>4.25</v>
      </c>
      <c r="L1354" s="147">
        <v>4.495</v>
      </c>
      <c r="M1354" s="94" cm="1">
        <f t="array" ref="M1354">INDEX($BV$29:$BV$1449,MATCH($D1354,$BR$29:$BR$1449,0),)</f>
        <v>3.8</v>
      </c>
      <c r="N1354" s="150">
        <f t="shared" si="443"/>
        <v>0</v>
      </c>
      <c r="O1354" s="150">
        <f t="shared" si="441"/>
        <v>0.0101123595505619</v>
      </c>
      <c r="P1354" s="150">
        <f t="shared" si="450"/>
        <v>0.0101123595505619</v>
      </c>
      <c r="Q1354" s="89">
        <f t="shared" si="444"/>
        <v>0.182894736842105</v>
      </c>
      <c r="R1354" s="36"/>
      <c r="S1354" s="36"/>
      <c r="T1354" s="36"/>
      <c r="U1354" s="36"/>
      <c r="V1354" s="36"/>
      <c r="W1354" s="36"/>
      <c r="X1354" s="36"/>
      <c r="Y1354" s="36"/>
      <c r="Z1354" s="36"/>
      <c r="AA1354" s="36"/>
      <c r="AB1354" s="36"/>
      <c r="AC1354" s="36"/>
      <c r="AD1354" s="36"/>
      <c r="AE1354" s="36"/>
      <c r="AF1354" s="36"/>
      <c r="AG1354" s="36"/>
      <c r="AH1354" s="90"/>
      <c r="AI1354" s="85"/>
      <c r="AJ1354" s="36"/>
      <c r="AK1354" s="36"/>
      <c r="AL1354" s="36"/>
      <c r="AM1354" s="36"/>
      <c r="AN1354" s="36"/>
      <c r="AO1354" s="36"/>
      <c r="AP1354" s="36"/>
      <c r="AQ1354" s="36"/>
      <c r="BP1354" s="36"/>
      <c r="BQ1354" s="36"/>
      <c r="BR1354" s="36"/>
      <c r="GE1354" s="94"/>
      <c r="GF1354" s="104">
        <f t="shared" si="447"/>
        <v>2018</v>
      </c>
      <c r="GG1354" s="104">
        <f t="shared" si="448"/>
        <v>17</v>
      </c>
      <c r="GH1354" s="35">
        <v>43216</v>
      </c>
      <c r="GI1354" s="26">
        <v>3.489</v>
      </c>
      <c r="GJ1354" s="94">
        <f t="shared" si="449"/>
        <v>6.978</v>
      </c>
      <c r="GK1354" s="104"/>
      <c r="GL1354" s="104"/>
      <c r="GO1354" s="94"/>
    </row>
    <row r="1355" spans="3:197">
      <c r="C1355" s="80" t="str" cm="1">
        <f t="array" ref="C1355">_xlfn.IFS(MONTH(D1355)&lt;4,1,MONTH(D1355)&lt;7,2,MONTH(D1355)&lt;10,3,MONTH(D1355)&gt;9,4)&amp;"Q"&amp;RIGHT(YEAR(D1355),2)</f>
        <v>2Q21</v>
      </c>
      <c r="D1355" s="81">
        <f t="shared" si="445"/>
        <v>44377</v>
      </c>
      <c r="E1355" s="82">
        <f t="shared" si="442"/>
        <v>44363</v>
      </c>
      <c r="F1355" s="83">
        <f t="shared" si="446"/>
        <v>0.56125</v>
      </c>
      <c r="G1355" s="83">
        <f t="shared" si="446"/>
        <v>0.475</v>
      </c>
      <c r="H1355" s="81"/>
      <c r="I1355" s="146">
        <v>44363</v>
      </c>
      <c r="J1355" s="147">
        <v>4.85</v>
      </c>
      <c r="K1355" s="147">
        <v>4.25</v>
      </c>
      <c r="L1355" s="147">
        <v>4.49</v>
      </c>
      <c r="M1355" s="94" cm="1">
        <f t="array" ref="M1355">INDEX($BV$29:$BV$1449,MATCH($D1355,$BR$29:$BR$1449,0),)</f>
        <v>3.8</v>
      </c>
      <c r="N1355" s="150">
        <f t="shared" si="443"/>
        <v>-0.00111234705228025</v>
      </c>
      <c r="O1355" s="150">
        <f t="shared" ref="O1355:O1418" si="451">L1355/L1350-1</f>
        <v>0.00898876404494375</v>
      </c>
      <c r="P1355" s="150">
        <f t="shared" si="450"/>
        <v>0.00335195530726273</v>
      </c>
      <c r="Q1355" s="89">
        <f t="shared" si="444"/>
        <v>0.181578947368421</v>
      </c>
      <c r="R1355" s="36"/>
      <c r="S1355" s="36"/>
      <c r="T1355" s="36"/>
      <c r="U1355" s="36"/>
      <c r="V1355" s="36"/>
      <c r="W1355" s="36"/>
      <c r="X1355" s="36"/>
      <c r="Y1355" s="36"/>
      <c r="Z1355" s="36"/>
      <c r="AA1355" s="36"/>
      <c r="AB1355" s="36"/>
      <c r="AC1355" s="36"/>
      <c r="AD1355" s="36"/>
      <c r="AE1355" s="36"/>
      <c r="AF1355" s="36"/>
      <c r="AG1355" s="36"/>
      <c r="AH1355" s="90"/>
      <c r="AI1355" s="85"/>
      <c r="AJ1355" s="36"/>
      <c r="AK1355" s="36"/>
      <c r="AL1355" s="36"/>
      <c r="AM1355" s="36"/>
      <c r="AN1355" s="36"/>
      <c r="AO1355" s="36"/>
      <c r="AP1355" s="36"/>
      <c r="AQ1355" s="36"/>
      <c r="BP1355" s="36"/>
      <c r="BQ1355" s="36"/>
      <c r="BR1355" s="36"/>
      <c r="GE1355" s="94"/>
      <c r="GF1355" s="104">
        <f t="shared" si="447"/>
        <v>2018</v>
      </c>
      <c r="GG1355" s="104">
        <f t="shared" si="448"/>
        <v>17</v>
      </c>
      <c r="GH1355" s="35">
        <v>43217</v>
      </c>
      <c r="GI1355" s="26">
        <v>3.489</v>
      </c>
      <c r="GJ1355" s="94">
        <f t="shared" si="449"/>
        <v>6.978</v>
      </c>
      <c r="GK1355" s="104"/>
      <c r="GL1355" s="104"/>
      <c r="GO1355" s="94"/>
    </row>
    <row r="1356" spans="3:197">
      <c r="C1356" s="80" t="str" cm="1">
        <f t="array" ref="C1356">_xlfn.IFS(MONTH(D1356)&lt;4,1,MONTH(D1356)&lt;7,2,MONTH(D1356)&lt;10,3,MONTH(D1356)&gt;9,4)&amp;"Q"&amp;RIGHT(YEAR(D1356),2)</f>
        <v>2Q21</v>
      </c>
      <c r="D1356" s="81">
        <f t="shared" si="445"/>
        <v>44377</v>
      </c>
      <c r="E1356" s="82">
        <f t="shared" si="442"/>
        <v>44364</v>
      </c>
      <c r="F1356" s="83">
        <f t="shared" si="446"/>
        <v>0.564375</v>
      </c>
      <c r="G1356" s="83">
        <f t="shared" si="446"/>
        <v>0.475</v>
      </c>
      <c r="H1356" s="81"/>
      <c r="I1356" s="146">
        <v>44364</v>
      </c>
      <c r="J1356" s="147">
        <v>4.85</v>
      </c>
      <c r="K1356" s="147">
        <v>4.25</v>
      </c>
      <c r="L1356" s="147">
        <v>4.515</v>
      </c>
      <c r="M1356" s="94" cm="1">
        <f t="array" ref="M1356">INDEX($BV$29:$BV$1449,MATCH($D1356,$BR$29:$BR$1449,0),)</f>
        <v>3.8</v>
      </c>
      <c r="N1356" s="150">
        <f t="shared" si="443"/>
        <v>0.00556792873051215</v>
      </c>
      <c r="O1356" s="150">
        <f t="shared" si="451"/>
        <v>0.00893854748603351</v>
      </c>
      <c r="P1356" s="150">
        <f t="shared" si="450"/>
        <v>0.00668896321070211</v>
      </c>
      <c r="Q1356" s="89">
        <f t="shared" si="444"/>
        <v>0.188157894736842</v>
      </c>
      <c r="R1356" s="36"/>
      <c r="S1356" s="36"/>
      <c r="T1356" s="36"/>
      <c r="U1356" s="36"/>
      <c r="V1356" s="36"/>
      <c r="W1356" s="36"/>
      <c r="X1356" s="36"/>
      <c r="Y1356" s="36"/>
      <c r="Z1356" s="36"/>
      <c r="AA1356" s="36"/>
      <c r="AB1356" s="36"/>
      <c r="AC1356" s="36"/>
      <c r="AD1356" s="36"/>
      <c r="AE1356" s="36"/>
      <c r="AF1356" s="36"/>
      <c r="AG1356" s="36"/>
      <c r="AH1356" s="90"/>
      <c r="AI1356" s="85"/>
      <c r="AJ1356" s="36"/>
      <c r="AK1356" s="36"/>
      <c r="AL1356" s="36"/>
      <c r="AM1356" s="36"/>
      <c r="AN1356" s="36"/>
      <c r="AO1356" s="36"/>
      <c r="AP1356" s="36"/>
      <c r="AQ1356" s="36"/>
      <c r="BP1356" s="36"/>
      <c r="BQ1356" s="36"/>
      <c r="BR1356" s="36"/>
      <c r="GE1356" s="94"/>
      <c r="GF1356" s="104">
        <f t="shared" si="447"/>
        <v>2018</v>
      </c>
      <c r="GG1356" s="104">
        <f t="shared" si="448"/>
        <v>18</v>
      </c>
      <c r="GH1356" s="35">
        <v>43220</v>
      </c>
      <c r="GI1356" s="26">
        <v>3.489</v>
      </c>
      <c r="GJ1356" s="94">
        <f t="shared" si="449"/>
        <v>6.978</v>
      </c>
      <c r="GK1356" s="104"/>
      <c r="GL1356" s="104"/>
      <c r="GO1356" s="94"/>
    </row>
    <row r="1357" spans="3:197">
      <c r="C1357" s="80" t="str" cm="1">
        <f t="array" ref="C1357">_xlfn.IFS(MONTH(D1357)&lt;4,1,MONTH(D1357)&lt;7,2,MONTH(D1357)&lt;10,3,MONTH(D1357)&gt;9,4)&amp;"Q"&amp;RIGHT(YEAR(D1357),2)</f>
        <v>2Q21</v>
      </c>
      <c r="D1357" s="81">
        <f t="shared" si="445"/>
        <v>44377</v>
      </c>
      <c r="E1357" s="82">
        <f t="shared" si="442"/>
        <v>44365</v>
      </c>
      <c r="F1357" s="83">
        <f t="shared" si="446"/>
        <v>0.565625</v>
      </c>
      <c r="G1357" s="83">
        <f t="shared" si="446"/>
        <v>0.475</v>
      </c>
      <c r="H1357" s="81"/>
      <c r="I1357" s="146">
        <v>44365</v>
      </c>
      <c r="J1357" s="147">
        <v>4.85</v>
      </c>
      <c r="K1357" s="147">
        <v>4.25</v>
      </c>
      <c r="L1357" s="147">
        <v>4.525</v>
      </c>
      <c r="M1357" s="94" cm="1">
        <f t="array" ref="M1357">INDEX($BV$29:$BV$1449,MATCH($D1357,$BR$29:$BR$1449,0),)</f>
        <v>3.8</v>
      </c>
      <c r="N1357" s="150">
        <f t="shared" si="443"/>
        <v>0.00221483942414191</v>
      </c>
      <c r="O1357" s="150">
        <f t="shared" si="451"/>
        <v>0.00891861761426971</v>
      </c>
      <c r="P1357" s="150">
        <f t="shared" si="450"/>
        <v>0.00667408231368194</v>
      </c>
      <c r="Q1357" s="89">
        <f t="shared" si="444"/>
        <v>0.190789473684211</v>
      </c>
      <c r="R1357" s="36"/>
      <c r="S1357" s="36"/>
      <c r="T1357" s="36"/>
      <c r="U1357" s="36"/>
      <c r="V1357" s="36"/>
      <c r="W1357" s="36"/>
      <c r="X1357" s="36"/>
      <c r="Y1357" s="36"/>
      <c r="Z1357" s="36"/>
      <c r="AA1357" s="36"/>
      <c r="AB1357" s="36"/>
      <c r="AC1357" s="36"/>
      <c r="AD1357" s="36"/>
      <c r="AE1357" s="36"/>
      <c r="AF1357" s="36"/>
      <c r="AG1357" s="36"/>
      <c r="AH1357" s="90"/>
      <c r="AI1357" s="85"/>
      <c r="AJ1357" s="36"/>
      <c r="AK1357" s="36"/>
      <c r="AL1357" s="36"/>
      <c r="AM1357" s="36"/>
      <c r="AN1357" s="36"/>
      <c r="AO1357" s="36"/>
      <c r="AP1357" s="36"/>
      <c r="AQ1357" s="36"/>
      <c r="BP1357" s="36"/>
      <c r="BQ1357" s="36"/>
      <c r="BR1357" s="36"/>
      <c r="GE1357" s="94"/>
      <c r="GF1357" s="104">
        <f t="shared" si="447"/>
        <v>2018</v>
      </c>
      <c r="GG1357" s="104">
        <f t="shared" si="448"/>
        <v>18</v>
      </c>
      <c r="GH1357" s="35">
        <v>43222</v>
      </c>
      <c r="GI1357" s="26">
        <v>3.488</v>
      </c>
      <c r="GJ1357" s="94">
        <f t="shared" si="449"/>
        <v>6.976</v>
      </c>
      <c r="GK1357" s="104"/>
      <c r="GL1357" s="104"/>
      <c r="GO1357" s="94"/>
    </row>
    <row r="1358" spans="3:197">
      <c r="C1358" s="80" t="str" cm="1">
        <f t="array" ref="C1358">_xlfn.IFS(MONTH(D1358)&lt;4,1,MONTH(D1358)&lt;7,2,MONTH(D1358)&lt;10,3,MONTH(D1358)&gt;9,4)&amp;"Q"&amp;RIGHT(YEAR(D1358),2)</f>
        <v>2Q21</v>
      </c>
      <c r="D1358" s="81">
        <f t="shared" si="445"/>
        <v>44377</v>
      </c>
      <c r="E1358" s="82">
        <f t="shared" si="442"/>
        <v>44368</v>
      </c>
      <c r="F1358" s="83">
        <f t="shared" si="446"/>
        <v>0.56875</v>
      </c>
      <c r="G1358" s="83">
        <f t="shared" si="446"/>
        <v>0.475</v>
      </c>
      <c r="H1358" s="81"/>
      <c r="I1358" s="146">
        <v>44368</v>
      </c>
      <c r="J1358" s="147">
        <v>4.85</v>
      </c>
      <c r="K1358" s="147">
        <v>4.3</v>
      </c>
      <c r="L1358" s="147">
        <v>4.55</v>
      </c>
      <c r="M1358" s="94" cm="1">
        <f t="array" ref="M1358">INDEX($BV$29:$BV$1449,MATCH($D1358,$BR$29:$BR$1449,0),)</f>
        <v>3.8</v>
      </c>
      <c r="N1358" s="150">
        <f t="shared" si="443"/>
        <v>0.00552486187845291</v>
      </c>
      <c r="O1358" s="150">
        <f t="shared" si="451"/>
        <v>0.0122358175750834</v>
      </c>
      <c r="P1358" s="150">
        <f t="shared" si="450"/>
        <v>0.016759776536313</v>
      </c>
      <c r="Q1358" s="89">
        <f t="shared" si="444"/>
        <v>0.197368421052632</v>
      </c>
      <c r="R1358" s="36"/>
      <c r="S1358" s="36"/>
      <c r="T1358" s="36"/>
      <c r="U1358" s="36"/>
      <c r="V1358" s="36"/>
      <c r="W1358" s="36"/>
      <c r="X1358" s="36"/>
      <c r="Y1358" s="36"/>
      <c r="Z1358" s="36"/>
      <c r="AA1358" s="36"/>
      <c r="AB1358" s="36"/>
      <c r="AC1358" s="36"/>
      <c r="AD1358" s="36"/>
      <c r="AE1358" s="36"/>
      <c r="AF1358" s="36"/>
      <c r="AG1358" s="36"/>
      <c r="AH1358" s="90"/>
      <c r="AI1358" s="85"/>
      <c r="AJ1358" s="36"/>
      <c r="AK1358" s="36"/>
      <c r="AL1358" s="36"/>
      <c r="AM1358" s="36"/>
      <c r="AN1358" s="36"/>
      <c r="AO1358" s="36"/>
      <c r="AP1358" s="36"/>
      <c r="AQ1358" s="36"/>
      <c r="BP1358" s="36"/>
      <c r="BQ1358" s="36"/>
      <c r="BR1358" s="36"/>
      <c r="GE1358" s="94"/>
      <c r="GF1358" s="104">
        <f t="shared" si="447"/>
        <v>2018</v>
      </c>
      <c r="GG1358" s="104">
        <f t="shared" si="448"/>
        <v>18</v>
      </c>
      <c r="GH1358" s="35">
        <v>43223</v>
      </c>
      <c r="GI1358" s="26">
        <v>3.447</v>
      </c>
      <c r="GJ1358" s="94">
        <f t="shared" si="449"/>
        <v>6.894</v>
      </c>
      <c r="GK1358" s="104"/>
      <c r="GL1358" s="104"/>
      <c r="GO1358" s="94"/>
    </row>
    <row r="1359" spans="3:197">
      <c r="C1359" s="80" t="str" cm="1">
        <f t="array" ref="C1359">_xlfn.IFS(MONTH(D1359)&lt;4,1,MONTH(D1359)&lt;7,2,MONTH(D1359)&lt;10,3,MONTH(D1359)&gt;9,4)&amp;"Q"&amp;RIGHT(YEAR(D1359),2)</f>
        <v>2Q21</v>
      </c>
      <c r="D1359" s="81">
        <f t="shared" si="445"/>
        <v>44377</v>
      </c>
      <c r="E1359" s="82">
        <f t="shared" si="442"/>
        <v>44369</v>
      </c>
      <c r="F1359" s="83">
        <f t="shared" si="446"/>
        <v>0.567875</v>
      </c>
      <c r="G1359" s="83">
        <f t="shared" si="446"/>
        <v>0.475</v>
      </c>
      <c r="H1359" s="81"/>
      <c r="I1359" s="146">
        <v>44369</v>
      </c>
      <c r="J1359" s="147">
        <v>5</v>
      </c>
      <c r="K1359" s="147">
        <v>4.45</v>
      </c>
      <c r="L1359" s="147">
        <v>4.543</v>
      </c>
      <c r="M1359" s="94" cm="1">
        <f t="array" ref="M1359">INDEX($BV$29:$BV$1449,MATCH($D1359,$BR$29:$BR$1449,0),)</f>
        <v>3.8</v>
      </c>
      <c r="N1359" s="150">
        <f t="shared" si="443"/>
        <v>-0.00153846153846149</v>
      </c>
      <c r="O1359" s="150">
        <f t="shared" si="451"/>
        <v>0.0106785317018909</v>
      </c>
      <c r="P1359" s="150">
        <f t="shared" si="450"/>
        <v>0.0208988764044944</v>
      </c>
      <c r="Q1359" s="89">
        <f t="shared" si="444"/>
        <v>0.195526315789474</v>
      </c>
      <c r="R1359" s="36"/>
      <c r="S1359" s="36"/>
      <c r="T1359" s="36"/>
      <c r="U1359" s="36"/>
      <c r="V1359" s="36"/>
      <c r="W1359" s="36"/>
      <c r="X1359" s="36"/>
      <c r="Y1359" s="36"/>
      <c r="Z1359" s="36"/>
      <c r="AA1359" s="36"/>
      <c r="AB1359" s="36"/>
      <c r="AC1359" s="36"/>
      <c r="AD1359" s="36"/>
      <c r="AE1359" s="36"/>
      <c r="AF1359" s="36"/>
      <c r="AG1359" s="36"/>
      <c r="AH1359" s="90"/>
      <c r="AI1359" s="85"/>
      <c r="AJ1359" s="36"/>
      <c r="AK1359" s="36"/>
      <c r="AL1359" s="36"/>
      <c r="AM1359" s="36"/>
      <c r="AN1359" s="36"/>
      <c r="AO1359" s="36"/>
      <c r="AP1359" s="36"/>
      <c r="AQ1359" s="36"/>
      <c r="BP1359" s="36"/>
      <c r="BQ1359" s="36"/>
      <c r="BR1359" s="36"/>
      <c r="GE1359" s="94"/>
      <c r="GF1359" s="104">
        <f t="shared" si="447"/>
        <v>2018</v>
      </c>
      <c r="GG1359" s="104">
        <f t="shared" si="448"/>
        <v>18</v>
      </c>
      <c r="GH1359" s="35">
        <v>43224</v>
      </c>
      <c r="GI1359" s="26">
        <v>3.447</v>
      </c>
      <c r="GJ1359" s="94">
        <f t="shared" si="449"/>
        <v>6.894</v>
      </c>
      <c r="GK1359" s="104"/>
      <c r="GL1359" s="104"/>
      <c r="GO1359" s="94"/>
    </row>
    <row r="1360" spans="3:197">
      <c r="C1360" s="80" t="str" cm="1">
        <f t="array" ref="C1360">_xlfn.IFS(MONTH(D1360)&lt;4,1,MONTH(D1360)&lt;7,2,MONTH(D1360)&lt;10,3,MONTH(D1360)&gt;9,4)&amp;"Q"&amp;RIGHT(YEAR(D1360),2)</f>
        <v>2Q21</v>
      </c>
      <c r="D1360" s="81">
        <f t="shared" si="445"/>
        <v>44377</v>
      </c>
      <c r="E1360" s="82">
        <f t="shared" si="442"/>
        <v>44370</v>
      </c>
      <c r="F1360" s="83">
        <f t="shared" si="446"/>
        <v>0.5675</v>
      </c>
      <c r="G1360" s="83">
        <f t="shared" si="446"/>
        <v>0.475</v>
      </c>
      <c r="H1360" s="81"/>
      <c r="I1360" s="146">
        <v>44370</v>
      </c>
      <c r="J1360" s="147">
        <v>5</v>
      </c>
      <c r="K1360" s="147">
        <v>4.45</v>
      </c>
      <c r="L1360" s="147">
        <v>4.54</v>
      </c>
      <c r="M1360" s="94" cm="1">
        <f t="array" ref="M1360">INDEX($BV$29:$BV$1449,MATCH($D1360,$BR$29:$BR$1449,0),)</f>
        <v>3.8</v>
      </c>
      <c r="N1360" s="150">
        <f t="shared" si="443"/>
        <v>-0.00066035659256003</v>
      </c>
      <c r="O1360" s="150">
        <f t="shared" si="451"/>
        <v>0.0111358574610245</v>
      </c>
      <c r="P1360" s="150">
        <f t="shared" si="450"/>
        <v>0.0202247191011236</v>
      </c>
      <c r="Q1360" s="89">
        <f t="shared" si="444"/>
        <v>0.194736842105263</v>
      </c>
      <c r="R1360" s="36"/>
      <c r="S1360" s="36"/>
      <c r="T1360" s="36"/>
      <c r="U1360" s="36"/>
      <c r="V1360" s="36"/>
      <c r="W1360" s="36"/>
      <c r="X1360" s="36"/>
      <c r="Y1360" s="36"/>
      <c r="Z1360" s="36"/>
      <c r="AA1360" s="36"/>
      <c r="AB1360" s="36"/>
      <c r="AC1360" s="36"/>
      <c r="AD1360" s="36"/>
      <c r="AE1360" s="36"/>
      <c r="AF1360" s="36"/>
      <c r="AG1360" s="36"/>
      <c r="AH1360" s="90"/>
      <c r="AI1360" s="85"/>
      <c r="AJ1360" s="36"/>
      <c r="AK1360" s="36"/>
      <c r="AL1360" s="36"/>
      <c r="AM1360" s="36"/>
      <c r="AN1360" s="36"/>
      <c r="AO1360" s="36"/>
      <c r="AP1360" s="36"/>
      <c r="AQ1360" s="36"/>
      <c r="BP1360" s="36"/>
      <c r="BQ1360" s="36"/>
      <c r="BR1360" s="36"/>
      <c r="GE1360" s="94"/>
      <c r="GF1360" s="104">
        <f t="shared" si="447"/>
        <v>2018</v>
      </c>
      <c r="GG1360" s="104">
        <f t="shared" si="448"/>
        <v>19</v>
      </c>
      <c r="GH1360" s="35">
        <v>43227</v>
      </c>
      <c r="GI1360" s="26">
        <v>3.415</v>
      </c>
      <c r="GJ1360" s="94">
        <f t="shared" si="449"/>
        <v>6.83</v>
      </c>
      <c r="GK1360" s="104"/>
      <c r="GL1360" s="104"/>
      <c r="GO1360" s="94"/>
    </row>
    <row r="1361" spans="3:197">
      <c r="C1361" s="80" t="str" cm="1">
        <f t="array" ref="C1361">_xlfn.IFS(MONTH(D1361)&lt;4,1,MONTH(D1361)&lt;7,2,MONTH(D1361)&lt;10,3,MONTH(D1361)&gt;9,4)&amp;"Q"&amp;RIGHT(YEAR(D1361),2)</f>
        <v>2Q21</v>
      </c>
      <c r="D1361" s="81">
        <f t="shared" si="445"/>
        <v>44377</v>
      </c>
      <c r="E1361" s="82">
        <f t="shared" ref="E1361:E1424" si="452">I1361</f>
        <v>44371</v>
      </c>
      <c r="F1361" s="83">
        <f t="shared" si="446"/>
        <v>0.570875</v>
      </c>
      <c r="G1361" s="83">
        <f t="shared" si="446"/>
        <v>0.475</v>
      </c>
      <c r="H1361" s="81"/>
      <c r="I1361" s="146">
        <v>44371</v>
      </c>
      <c r="J1361" s="147">
        <v>5</v>
      </c>
      <c r="K1361" s="147">
        <v>4.5</v>
      </c>
      <c r="L1361" s="147">
        <v>4.567</v>
      </c>
      <c r="M1361" s="94" cm="1">
        <f t="array" ref="M1361">INDEX($BV$29:$BV$1449,MATCH($D1361,$BR$29:$BR$1449,0),)</f>
        <v>3.8</v>
      </c>
      <c r="N1361" s="150">
        <f t="shared" ref="N1361:N1424" si="453">L1361/L1360-1</f>
        <v>0.00594713656387658</v>
      </c>
      <c r="O1361" s="150">
        <f t="shared" si="451"/>
        <v>0.0115171650055372</v>
      </c>
      <c r="P1361" s="150">
        <f t="shared" si="450"/>
        <v>0.0205586592178773</v>
      </c>
      <c r="Q1361" s="89">
        <f t="shared" ref="Q1361:Q1424" si="454">L1361/M1361-1</f>
        <v>0.201842105263158</v>
      </c>
      <c r="R1361" s="36"/>
      <c r="S1361" s="36"/>
      <c r="T1361" s="36"/>
      <c r="U1361" s="36"/>
      <c r="V1361" s="36"/>
      <c r="W1361" s="36"/>
      <c r="X1361" s="36"/>
      <c r="Y1361" s="36"/>
      <c r="Z1361" s="36"/>
      <c r="AA1361" s="36"/>
      <c r="AB1361" s="36"/>
      <c r="AC1361" s="36"/>
      <c r="AD1361" s="36"/>
      <c r="AE1361" s="36"/>
      <c r="AF1361" s="36"/>
      <c r="AG1361" s="36"/>
      <c r="AH1361" s="90"/>
      <c r="AI1361" s="85"/>
      <c r="AJ1361" s="36"/>
      <c r="AK1361" s="36"/>
      <c r="AL1361" s="36"/>
      <c r="AM1361" s="36"/>
      <c r="AN1361" s="36"/>
      <c r="AO1361" s="36"/>
      <c r="AP1361" s="36"/>
      <c r="AQ1361" s="36"/>
      <c r="BP1361" s="36"/>
      <c r="BQ1361" s="36"/>
      <c r="BR1361" s="36"/>
      <c r="GE1361" s="94"/>
      <c r="GF1361" s="104">
        <f t="shared" si="447"/>
        <v>2018</v>
      </c>
      <c r="GG1361" s="104">
        <f t="shared" si="448"/>
        <v>19</v>
      </c>
      <c r="GH1361" s="35">
        <v>43228</v>
      </c>
      <c r="GI1361" s="26">
        <v>3.393</v>
      </c>
      <c r="GJ1361" s="94">
        <f t="shared" si="449"/>
        <v>6.786</v>
      </c>
      <c r="GK1361" s="104"/>
      <c r="GL1361" s="104"/>
      <c r="GO1361" s="94"/>
    </row>
    <row r="1362" spans="3:197">
      <c r="C1362" s="80" t="str" cm="1">
        <f t="array" ref="C1362">_xlfn.IFS(MONTH(D1362)&lt;4,1,MONTH(D1362)&lt;7,2,MONTH(D1362)&lt;10,3,MONTH(D1362)&gt;9,4)&amp;"Q"&amp;RIGHT(YEAR(D1362),2)</f>
        <v>2Q21</v>
      </c>
      <c r="D1362" s="81">
        <f t="shared" si="445"/>
        <v>44377</v>
      </c>
      <c r="E1362" s="82">
        <f t="shared" si="452"/>
        <v>44372</v>
      </c>
      <c r="F1362" s="83">
        <f t="shared" si="446"/>
        <v>0.575</v>
      </c>
      <c r="G1362" s="83">
        <f t="shared" si="446"/>
        <v>0.475</v>
      </c>
      <c r="H1362" s="81"/>
      <c r="I1362" s="146">
        <v>44372</v>
      </c>
      <c r="J1362" s="147">
        <v>5</v>
      </c>
      <c r="K1362" s="147">
        <v>4.5</v>
      </c>
      <c r="L1362" s="147">
        <v>4.6</v>
      </c>
      <c r="M1362" s="94" cm="1">
        <f t="array" ref="M1362">INDEX($BV$29:$BV$1449,MATCH($D1362,$BR$29:$BR$1449,0),)</f>
        <v>3.8</v>
      </c>
      <c r="N1362" s="150">
        <f t="shared" si="453"/>
        <v>0.00722574994525926</v>
      </c>
      <c r="O1362" s="150">
        <f t="shared" si="451"/>
        <v>0.016574585635359</v>
      </c>
      <c r="P1362" s="150">
        <f t="shared" si="450"/>
        <v>0.0256410256410255</v>
      </c>
      <c r="Q1362" s="89">
        <f t="shared" si="454"/>
        <v>0.210526315789474</v>
      </c>
      <c r="R1362" s="36"/>
      <c r="S1362" s="36"/>
      <c r="T1362" s="36"/>
      <c r="U1362" s="36"/>
      <c r="V1362" s="36"/>
      <c r="W1362" s="36"/>
      <c r="X1362" s="36"/>
      <c r="Y1362" s="36"/>
      <c r="Z1362" s="36"/>
      <c r="AA1362" s="36"/>
      <c r="AB1362" s="36"/>
      <c r="AC1362" s="36"/>
      <c r="AD1362" s="36"/>
      <c r="AE1362" s="36"/>
      <c r="AF1362" s="36"/>
      <c r="AG1362" s="36"/>
      <c r="AH1362" s="90"/>
      <c r="AI1362" s="85"/>
      <c r="AJ1362" s="36"/>
      <c r="AK1362" s="36"/>
      <c r="AL1362" s="36"/>
      <c r="AM1362" s="36"/>
      <c r="AN1362" s="36"/>
      <c r="AO1362" s="36"/>
      <c r="AP1362" s="36"/>
      <c r="AQ1362" s="36"/>
      <c r="BP1362" s="36"/>
      <c r="BQ1362" s="36"/>
      <c r="BR1362" s="36"/>
      <c r="GE1362" s="94"/>
      <c r="GF1362" s="104">
        <f t="shared" si="447"/>
        <v>2018</v>
      </c>
      <c r="GG1362" s="104">
        <f t="shared" si="448"/>
        <v>19</v>
      </c>
      <c r="GH1362" s="35">
        <v>43229</v>
      </c>
      <c r="GI1362" s="26">
        <v>3.374</v>
      </c>
      <c r="GJ1362" s="94">
        <f t="shared" si="449"/>
        <v>6.748</v>
      </c>
      <c r="GK1362" s="104"/>
      <c r="GL1362" s="104"/>
      <c r="GO1362" s="94"/>
    </row>
    <row r="1363" spans="3:197">
      <c r="C1363" s="80" t="str" cm="1">
        <f t="array" ref="C1363">_xlfn.IFS(MONTH(D1363)&lt;4,1,MONTH(D1363)&lt;7,2,MONTH(D1363)&lt;10,3,MONTH(D1363)&gt;9,4)&amp;"Q"&amp;RIGHT(YEAR(D1363),2)</f>
        <v>2Q21</v>
      </c>
      <c r="D1363" s="81">
        <f t="shared" si="445"/>
        <v>44377</v>
      </c>
      <c r="E1363" s="82">
        <f t="shared" si="452"/>
        <v>44375</v>
      </c>
      <c r="F1363" s="83">
        <f t="shared" si="446"/>
        <v>0.57375</v>
      </c>
      <c r="G1363" s="83">
        <f t="shared" si="446"/>
        <v>0.475</v>
      </c>
      <c r="H1363" s="81"/>
      <c r="I1363" s="146">
        <v>44375</v>
      </c>
      <c r="J1363" s="147">
        <v>5.1</v>
      </c>
      <c r="K1363" s="147">
        <v>4.55</v>
      </c>
      <c r="L1363" s="147">
        <v>4.59</v>
      </c>
      <c r="M1363" s="94" cm="1">
        <f t="array" ref="M1363">INDEX($BV$29:$BV$1449,MATCH($D1363,$BR$29:$BR$1449,0),)</f>
        <v>3.8</v>
      </c>
      <c r="N1363" s="150">
        <f t="shared" si="453"/>
        <v>-0.00217391304347825</v>
      </c>
      <c r="O1363" s="150">
        <f t="shared" si="451"/>
        <v>0.00879120879120876</v>
      </c>
      <c r="P1363" s="150">
        <f t="shared" si="450"/>
        <v>0.0211345939933258</v>
      </c>
      <c r="Q1363" s="89">
        <f t="shared" si="454"/>
        <v>0.207894736842105</v>
      </c>
      <c r="R1363" s="36"/>
      <c r="S1363" s="36"/>
      <c r="T1363" s="36"/>
      <c r="U1363" s="36"/>
      <c r="V1363" s="36"/>
      <c r="W1363" s="36"/>
      <c r="X1363" s="36"/>
      <c r="Y1363" s="36"/>
      <c r="Z1363" s="36"/>
      <c r="AA1363" s="36"/>
      <c r="AB1363" s="36"/>
      <c r="AC1363" s="36"/>
      <c r="AD1363" s="36"/>
      <c r="AE1363" s="36"/>
      <c r="AF1363" s="36"/>
      <c r="AG1363" s="36"/>
      <c r="AH1363" s="90"/>
      <c r="AI1363" s="85"/>
      <c r="AJ1363" s="36"/>
      <c r="AK1363" s="36"/>
      <c r="AL1363" s="36"/>
      <c r="AM1363" s="36"/>
      <c r="AN1363" s="36"/>
      <c r="AO1363" s="36"/>
      <c r="AP1363" s="36"/>
      <c r="AQ1363" s="36"/>
      <c r="BP1363" s="36"/>
      <c r="BQ1363" s="36"/>
      <c r="BR1363" s="36"/>
      <c r="GE1363" s="94"/>
      <c r="GF1363" s="104">
        <f t="shared" si="447"/>
        <v>2018</v>
      </c>
      <c r="GG1363" s="104">
        <f t="shared" si="448"/>
        <v>19</v>
      </c>
      <c r="GH1363" s="35">
        <v>43230</v>
      </c>
      <c r="GI1363" s="26">
        <v>3.349</v>
      </c>
      <c r="GJ1363" s="94">
        <f t="shared" si="449"/>
        <v>6.698</v>
      </c>
      <c r="GK1363" s="104"/>
      <c r="GL1363" s="104"/>
      <c r="GO1363" s="94"/>
    </row>
    <row r="1364" spans="3:197">
      <c r="C1364" s="80" t="str" cm="1">
        <f t="array" ref="C1364">_xlfn.IFS(MONTH(D1364)&lt;4,1,MONTH(D1364)&lt;7,2,MONTH(D1364)&lt;10,3,MONTH(D1364)&gt;9,4)&amp;"Q"&amp;RIGHT(YEAR(D1364),2)</f>
        <v>2Q21</v>
      </c>
      <c r="D1364" s="81">
        <f t="shared" si="445"/>
        <v>44377</v>
      </c>
      <c r="E1364" s="82">
        <f t="shared" si="452"/>
        <v>44376</v>
      </c>
      <c r="F1364" s="83">
        <f t="shared" si="446"/>
        <v>0.573125</v>
      </c>
      <c r="G1364" s="83">
        <f t="shared" si="446"/>
        <v>0.475</v>
      </c>
      <c r="H1364" s="81"/>
      <c r="I1364" s="146">
        <v>44376</v>
      </c>
      <c r="J1364" s="147">
        <v>5.1</v>
      </c>
      <c r="K1364" s="147">
        <v>4.55</v>
      </c>
      <c r="L1364" s="147">
        <v>4.585</v>
      </c>
      <c r="M1364" s="94" cm="1">
        <f t="array" ref="M1364">INDEX($BV$29:$BV$1449,MATCH($D1364,$BR$29:$BR$1449,0),)</f>
        <v>3.8</v>
      </c>
      <c r="N1364" s="150">
        <f t="shared" si="453"/>
        <v>-0.00108932461873634</v>
      </c>
      <c r="O1364" s="150">
        <f t="shared" si="451"/>
        <v>0.00924499229583975</v>
      </c>
      <c r="P1364" s="150">
        <f t="shared" si="450"/>
        <v>0.0200222469410456</v>
      </c>
      <c r="Q1364" s="89">
        <f t="shared" si="454"/>
        <v>0.206578947368421</v>
      </c>
      <c r="R1364" s="36"/>
      <c r="S1364" s="36"/>
      <c r="T1364" s="36"/>
      <c r="U1364" s="36"/>
      <c r="V1364" s="36"/>
      <c r="W1364" s="36"/>
      <c r="X1364" s="36"/>
      <c r="Y1364" s="36"/>
      <c r="Z1364" s="36"/>
      <c r="AA1364" s="36"/>
      <c r="AB1364" s="36"/>
      <c r="AC1364" s="36"/>
      <c r="AD1364" s="36"/>
      <c r="AE1364" s="36"/>
      <c r="AF1364" s="36"/>
      <c r="AG1364" s="36"/>
      <c r="AH1364" s="90"/>
      <c r="AI1364" s="85"/>
      <c r="AJ1364" s="36"/>
      <c r="AK1364" s="36"/>
      <c r="AL1364" s="36"/>
      <c r="AM1364" s="36"/>
      <c r="AN1364" s="36"/>
      <c r="AO1364" s="36"/>
      <c r="AP1364" s="36"/>
      <c r="AQ1364" s="36"/>
      <c r="BP1364" s="36"/>
      <c r="BQ1364" s="36"/>
      <c r="BR1364" s="36"/>
      <c r="GE1364" s="94"/>
      <c r="GF1364" s="104">
        <f t="shared" si="447"/>
        <v>2018</v>
      </c>
      <c r="GG1364" s="104">
        <f t="shared" si="448"/>
        <v>19</v>
      </c>
      <c r="GH1364" s="35">
        <v>43231</v>
      </c>
      <c r="GI1364" s="26">
        <v>3.33</v>
      </c>
      <c r="GJ1364" s="94">
        <f t="shared" si="449"/>
        <v>6.66</v>
      </c>
      <c r="GK1364" s="104"/>
      <c r="GL1364" s="104"/>
      <c r="GO1364" s="94"/>
    </row>
    <row r="1365" spans="3:197">
      <c r="C1365" s="80" t="str" cm="1">
        <f t="array" ref="C1365">_xlfn.IFS(MONTH(D1365)&lt;4,1,MONTH(D1365)&lt;7,2,MONTH(D1365)&lt;10,3,MONTH(D1365)&gt;9,4)&amp;"Q"&amp;RIGHT(YEAR(D1365),2)</f>
        <v>2Q21</v>
      </c>
      <c r="D1365" s="81">
        <f t="shared" si="445"/>
        <v>44377</v>
      </c>
      <c r="E1365" s="82">
        <f t="shared" si="452"/>
        <v>44377</v>
      </c>
      <c r="F1365" s="83">
        <f t="shared" si="446"/>
        <v>0.573125</v>
      </c>
      <c r="G1365" s="83">
        <f t="shared" si="446"/>
        <v>0.475</v>
      </c>
      <c r="H1365" s="81"/>
      <c r="I1365" s="146">
        <v>44377</v>
      </c>
      <c r="J1365" s="147">
        <v>5.1</v>
      </c>
      <c r="K1365" s="147">
        <v>4.55</v>
      </c>
      <c r="L1365" s="147">
        <v>4.585</v>
      </c>
      <c r="M1365" s="94" cm="1">
        <f t="array" ref="M1365">INDEX($BV$29:$BV$1449,MATCH($D1365,$BR$29:$BR$1449,0),)</f>
        <v>3.8</v>
      </c>
      <c r="N1365" s="150">
        <f t="shared" si="453"/>
        <v>0</v>
      </c>
      <c r="O1365" s="150">
        <f t="shared" si="451"/>
        <v>0.00991189427312777</v>
      </c>
      <c r="P1365" s="150">
        <f t="shared" si="450"/>
        <v>0.0211581291759464</v>
      </c>
      <c r="Q1365" s="89">
        <f t="shared" si="454"/>
        <v>0.206578947368421</v>
      </c>
      <c r="R1365" s="36"/>
      <c r="S1365" s="36"/>
      <c r="T1365" s="36"/>
      <c r="U1365" s="36"/>
      <c r="V1365" s="36"/>
      <c r="W1365" s="36"/>
      <c r="X1365" s="36"/>
      <c r="Y1365" s="36"/>
      <c r="Z1365" s="36"/>
      <c r="AA1365" s="36"/>
      <c r="AB1365" s="36"/>
      <c r="AC1365" s="36"/>
      <c r="AD1365" s="36"/>
      <c r="AE1365" s="36"/>
      <c r="AF1365" s="36"/>
      <c r="AG1365" s="36"/>
      <c r="AH1365" s="90"/>
      <c r="AI1365" s="85"/>
      <c r="AJ1365" s="36"/>
      <c r="AK1365" s="36"/>
      <c r="AL1365" s="36"/>
      <c r="AM1365" s="36"/>
      <c r="AN1365" s="36"/>
      <c r="AO1365" s="36"/>
      <c r="AP1365" s="36"/>
      <c r="AQ1365" s="36"/>
      <c r="BP1365" s="36"/>
      <c r="BQ1365" s="36"/>
      <c r="BR1365" s="36"/>
      <c r="GE1365" s="94"/>
      <c r="GF1365" s="104">
        <f t="shared" si="447"/>
        <v>2018</v>
      </c>
      <c r="GG1365" s="104">
        <f t="shared" si="448"/>
        <v>20</v>
      </c>
      <c r="GH1365" s="35">
        <v>43234</v>
      </c>
      <c r="GI1365" s="26">
        <v>3.309</v>
      </c>
      <c r="GJ1365" s="94">
        <f t="shared" si="449"/>
        <v>6.618</v>
      </c>
      <c r="GK1365" s="104"/>
      <c r="GL1365" s="104"/>
      <c r="GO1365" s="94"/>
    </row>
    <row r="1366" spans="3:197">
      <c r="C1366" s="80" t="str" cm="1">
        <f t="array" ref="C1366">_xlfn.IFS(MONTH(D1366)&lt;4,1,MONTH(D1366)&lt;7,2,MONTH(D1366)&lt;10,3,MONTH(D1366)&gt;9,4)&amp;"Q"&amp;RIGHT(YEAR(D1366),2)</f>
        <v>3Q21</v>
      </c>
      <c r="D1366" s="81">
        <f t="shared" si="445"/>
        <v>44408</v>
      </c>
      <c r="E1366" s="82">
        <f t="shared" si="452"/>
        <v>44378</v>
      </c>
      <c r="F1366" s="83">
        <f t="shared" si="446"/>
        <v>0.573125</v>
      </c>
      <c r="G1366" s="83">
        <f t="shared" si="446"/>
        <v>0.5125</v>
      </c>
      <c r="H1366" s="81"/>
      <c r="I1366" s="146">
        <v>44378</v>
      </c>
      <c r="J1366" s="147">
        <v>5.1</v>
      </c>
      <c r="K1366" s="147">
        <v>4.55</v>
      </c>
      <c r="L1366" s="147">
        <v>4.585</v>
      </c>
      <c r="M1366" s="94" cm="1">
        <f t="array" ref="M1366">INDEX($BV$29:$BV$1449,MATCH($D1366,$BR$29:$BR$1449,0),)</f>
        <v>4.1</v>
      </c>
      <c r="N1366" s="150">
        <f t="shared" si="453"/>
        <v>0</v>
      </c>
      <c r="O1366" s="150">
        <f t="shared" si="451"/>
        <v>0.00394131815195964</v>
      </c>
      <c r="P1366" s="150">
        <f t="shared" si="450"/>
        <v>0.0155038759689923</v>
      </c>
      <c r="Q1366" s="89">
        <f t="shared" si="454"/>
        <v>0.118292682926829</v>
      </c>
      <c r="R1366" s="36"/>
      <c r="S1366" s="36"/>
      <c r="T1366" s="36"/>
      <c r="U1366" s="36"/>
      <c r="V1366" s="36"/>
      <c r="W1366" s="36"/>
      <c r="X1366" s="36"/>
      <c r="Y1366" s="36"/>
      <c r="Z1366" s="36"/>
      <c r="AA1366" s="36"/>
      <c r="AB1366" s="36"/>
      <c r="AC1366" s="36"/>
      <c r="AD1366" s="36"/>
      <c r="AE1366" s="36"/>
      <c r="AF1366" s="36"/>
      <c r="AG1366" s="36"/>
      <c r="AH1366" s="90"/>
      <c r="AI1366" s="85"/>
      <c r="AJ1366" s="36"/>
      <c r="AK1366" s="36"/>
      <c r="AL1366" s="36"/>
      <c r="AM1366" s="36"/>
      <c r="AN1366" s="36"/>
      <c r="AO1366" s="36"/>
      <c r="AP1366" s="36"/>
      <c r="AQ1366" s="36"/>
      <c r="BP1366" s="36"/>
      <c r="BQ1366" s="36"/>
      <c r="BR1366" s="36"/>
      <c r="GE1366" s="94"/>
      <c r="GF1366" s="104">
        <f t="shared" si="447"/>
        <v>2018</v>
      </c>
      <c r="GG1366" s="104">
        <f t="shared" si="448"/>
        <v>20</v>
      </c>
      <c r="GH1366" s="35">
        <v>43235</v>
      </c>
      <c r="GI1366" s="26">
        <v>3.306</v>
      </c>
      <c r="GJ1366" s="94">
        <f t="shared" si="449"/>
        <v>6.612</v>
      </c>
      <c r="GK1366" s="104"/>
      <c r="GL1366" s="104"/>
      <c r="GO1366" s="94"/>
    </row>
    <row r="1367" spans="3:197">
      <c r="C1367" s="80" t="str" cm="1">
        <f t="array" ref="C1367">_xlfn.IFS(MONTH(D1367)&lt;4,1,MONTH(D1367)&lt;7,2,MONTH(D1367)&lt;10,3,MONTH(D1367)&gt;9,4)&amp;"Q"&amp;RIGHT(YEAR(D1367),2)</f>
        <v>3Q21</v>
      </c>
      <c r="D1367" s="81">
        <f t="shared" si="445"/>
        <v>44408</v>
      </c>
      <c r="E1367" s="82">
        <f t="shared" si="452"/>
        <v>44379</v>
      </c>
      <c r="F1367" s="83">
        <f t="shared" si="446"/>
        <v>0.573125</v>
      </c>
      <c r="G1367" s="83">
        <f t="shared" si="446"/>
        <v>0.5125</v>
      </c>
      <c r="H1367" s="81"/>
      <c r="I1367" s="146">
        <v>44379</v>
      </c>
      <c r="J1367" s="147">
        <v>5.1</v>
      </c>
      <c r="K1367" s="147">
        <v>4.55</v>
      </c>
      <c r="L1367" s="147">
        <v>4.585</v>
      </c>
      <c r="M1367" s="94" cm="1">
        <f t="array" ref="M1367">INDEX($BV$29:$BV$1449,MATCH($D1367,$BR$29:$BR$1449,0),)</f>
        <v>4.1</v>
      </c>
      <c r="N1367" s="150">
        <f t="shared" si="453"/>
        <v>0</v>
      </c>
      <c r="O1367" s="150">
        <f t="shared" si="451"/>
        <v>-0.00326086956521732</v>
      </c>
      <c r="P1367" s="150">
        <f t="shared" si="450"/>
        <v>0.0132596685082873</v>
      </c>
      <c r="Q1367" s="89">
        <f t="shared" si="454"/>
        <v>0.118292682926829</v>
      </c>
      <c r="R1367" s="36"/>
      <c r="S1367" s="36"/>
      <c r="T1367" s="36"/>
      <c r="U1367" s="36"/>
      <c r="V1367" s="36"/>
      <c r="W1367" s="36"/>
      <c r="X1367" s="36"/>
      <c r="Y1367" s="36"/>
      <c r="Z1367" s="36"/>
      <c r="AA1367" s="36"/>
      <c r="AB1367" s="36"/>
      <c r="AC1367" s="36"/>
      <c r="AD1367" s="36"/>
      <c r="AE1367" s="36"/>
      <c r="AF1367" s="36"/>
      <c r="AG1367" s="36"/>
      <c r="AH1367" s="90"/>
      <c r="AI1367" s="85"/>
      <c r="AJ1367" s="36"/>
      <c r="AK1367" s="36"/>
      <c r="AL1367" s="36"/>
      <c r="AM1367" s="36"/>
      <c r="AN1367" s="36"/>
      <c r="AO1367" s="36"/>
      <c r="AP1367" s="36"/>
      <c r="AQ1367" s="36"/>
      <c r="BP1367" s="36"/>
      <c r="BQ1367" s="36"/>
      <c r="BR1367" s="36"/>
      <c r="GE1367" s="94"/>
      <c r="GF1367" s="104">
        <f t="shared" si="447"/>
        <v>2018</v>
      </c>
      <c r="GG1367" s="104">
        <f t="shared" si="448"/>
        <v>20</v>
      </c>
      <c r="GH1367" s="35">
        <v>43236</v>
      </c>
      <c r="GI1367" s="26">
        <v>3.29</v>
      </c>
      <c r="GJ1367" s="94">
        <f t="shared" si="449"/>
        <v>6.58</v>
      </c>
      <c r="GK1367" s="104"/>
      <c r="GL1367" s="104"/>
      <c r="GO1367" s="94"/>
    </row>
    <row r="1368" spans="3:197">
      <c r="C1368" s="80" t="str" cm="1">
        <f t="array" ref="C1368">_xlfn.IFS(MONTH(D1368)&lt;4,1,MONTH(D1368)&lt;7,2,MONTH(D1368)&lt;10,3,MONTH(D1368)&gt;9,4)&amp;"Q"&amp;RIGHT(YEAR(D1368),2)</f>
        <v>3Q21</v>
      </c>
      <c r="D1368" s="81">
        <f t="shared" si="445"/>
        <v>44408</v>
      </c>
      <c r="E1368" s="82">
        <f t="shared" si="452"/>
        <v>44382</v>
      </c>
      <c r="F1368" s="83">
        <f t="shared" si="446"/>
        <v>0.573125</v>
      </c>
      <c r="G1368" s="83">
        <f t="shared" si="446"/>
        <v>0.5125</v>
      </c>
      <c r="H1368" s="81"/>
      <c r="I1368" s="146">
        <v>44382</v>
      </c>
      <c r="J1368" s="147">
        <v>5.1</v>
      </c>
      <c r="K1368" s="147">
        <v>4.55</v>
      </c>
      <c r="L1368" s="147">
        <v>4.585</v>
      </c>
      <c r="M1368" s="94" cm="1">
        <f t="array" ref="M1368">INDEX($BV$29:$BV$1449,MATCH($D1368,$BR$29:$BR$1449,0),)</f>
        <v>4.1</v>
      </c>
      <c r="N1368" s="150">
        <f t="shared" si="453"/>
        <v>0</v>
      </c>
      <c r="O1368" s="150">
        <f t="shared" si="451"/>
        <v>-0.00108932461873634</v>
      </c>
      <c r="P1368" s="150">
        <f t="shared" si="450"/>
        <v>0.00769230769230766</v>
      </c>
      <c r="Q1368" s="89">
        <f t="shared" si="454"/>
        <v>0.118292682926829</v>
      </c>
      <c r="R1368" s="36"/>
      <c r="S1368" s="36"/>
      <c r="T1368" s="36"/>
      <c r="U1368" s="36"/>
      <c r="V1368" s="36"/>
      <c r="W1368" s="36"/>
      <c r="X1368" s="36"/>
      <c r="Y1368" s="36"/>
      <c r="Z1368" s="36"/>
      <c r="AA1368" s="36"/>
      <c r="AB1368" s="36"/>
      <c r="AC1368" s="36"/>
      <c r="AD1368" s="36"/>
      <c r="AE1368" s="36"/>
      <c r="AF1368" s="36"/>
      <c r="AG1368" s="36"/>
      <c r="AH1368" s="90"/>
      <c r="AI1368" s="85"/>
      <c r="AJ1368" s="36"/>
      <c r="AK1368" s="36"/>
      <c r="AL1368" s="36"/>
      <c r="AM1368" s="36"/>
      <c r="AN1368" s="36"/>
      <c r="AO1368" s="36"/>
      <c r="AP1368" s="36"/>
      <c r="AQ1368" s="36"/>
      <c r="BP1368" s="36"/>
      <c r="BQ1368" s="36"/>
      <c r="BR1368" s="36"/>
      <c r="GE1368" s="94"/>
      <c r="GF1368" s="104">
        <f t="shared" si="447"/>
        <v>2018</v>
      </c>
      <c r="GG1368" s="104">
        <f t="shared" si="448"/>
        <v>20</v>
      </c>
      <c r="GH1368" s="35">
        <v>43237</v>
      </c>
      <c r="GI1368" s="26">
        <v>3.284</v>
      </c>
      <c r="GJ1368" s="94">
        <f t="shared" si="449"/>
        <v>6.568</v>
      </c>
      <c r="GK1368" s="104"/>
      <c r="GL1368" s="104"/>
      <c r="GO1368" s="94"/>
    </row>
    <row r="1369" spans="3:197">
      <c r="C1369" s="80" t="str" cm="1">
        <f t="array" ref="C1369">_xlfn.IFS(MONTH(D1369)&lt;4,1,MONTH(D1369)&lt;7,2,MONTH(D1369)&lt;10,3,MONTH(D1369)&gt;9,4)&amp;"Q"&amp;RIGHT(YEAR(D1369),2)</f>
        <v>3Q21</v>
      </c>
      <c r="D1369" s="81">
        <f t="shared" si="445"/>
        <v>44408</v>
      </c>
      <c r="E1369" s="82">
        <f t="shared" si="452"/>
        <v>44383</v>
      </c>
      <c r="F1369" s="83">
        <f t="shared" si="446"/>
        <v>0.573125</v>
      </c>
      <c r="G1369" s="83">
        <f t="shared" si="446"/>
        <v>0.5125</v>
      </c>
      <c r="H1369" s="81"/>
      <c r="I1369" s="146">
        <v>44383</v>
      </c>
      <c r="J1369" s="147">
        <v>5.05</v>
      </c>
      <c r="K1369" s="147">
        <v>4.54</v>
      </c>
      <c r="L1369" s="147">
        <v>4.585</v>
      </c>
      <c r="M1369" s="94" cm="1">
        <f t="array" ref="M1369">INDEX($BV$29:$BV$1449,MATCH($D1369,$BR$29:$BR$1449,0),)</f>
        <v>4.1</v>
      </c>
      <c r="N1369" s="150">
        <f t="shared" si="453"/>
        <v>0</v>
      </c>
      <c r="O1369" s="150">
        <f t="shared" si="451"/>
        <v>0</v>
      </c>
      <c r="P1369" s="150">
        <f t="shared" si="450"/>
        <v>0.00924499229583975</v>
      </c>
      <c r="Q1369" s="89">
        <f t="shared" si="454"/>
        <v>0.118292682926829</v>
      </c>
      <c r="R1369" s="36"/>
      <c r="S1369" s="36"/>
      <c r="T1369" s="36"/>
      <c r="U1369" s="36"/>
      <c r="V1369" s="36"/>
      <c r="W1369" s="36"/>
      <c r="X1369" s="36"/>
      <c r="Y1369" s="36"/>
      <c r="Z1369" s="36"/>
      <c r="AA1369" s="36"/>
      <c r="AB1369" s="36"/>
      <c r="AC1369" s="36"/>
      <c r="AD1369" s="36"/>
      <c r="AE1369" s="36"/>
      <c r="AF1369" s="36"/>
      <c r="AG1369" s="36"/>
      <c r="AH1369" s="90"/>
      <c r="AI1369" s="85"/>
      <c r="AJ1369" s="36"/>
      <c r="AK1369" s="36"/>
      <c r="AL1369" s="36"/>
      <c r="AM1369" s="36"/>
      <c r="AN1369" s="36"/>
      <c r="AO1369" s="36"/>
      <c r="AP1369" s="36"/>
      <c r="AQ1369" s="36"/>
      <c r="BP1369" s="36"/>
      <c r="BQ1369" s="36"/>
      <c r="BR1369" s="36"/>
      <c r="GE1369" s="94"/>
      <c r="GF1369" s="104">
        <f t="shared" si="447"/>
        <v>2018</v>
      </c>
      <c r="GG1369" s="104">
        <f t="shared" si="448"/>
        <v>20</v>
      </c>
      <c r="GH1369" s="35">
        <v>43238</v>
      </c>
      <c r="GI1369" s="26">
        <v>3.282</v>
      </c>
      <c r="GJ1369" s="94">
        <f t="shared" si="449"/>
        <v>6.564</v>
      </c>
      <c r="GK1369" s="104"/>
      <c r="GL1369" s="104"/>
      <c r="GO1369" s="94"/>
    </row>
    <row r="1370" spans="3:197">
      <c r="C1370" s="80" t="str" cm="1">
        <f t="array" ref="C1370">_xlfn.IFS(MONTH(D1370)&lt;4,1,MONTH(D1370)&lt;7,2,MONTH(D1370)&lt;10,3,MONTH(D1370)&gt;9,4)&amp;"Q"&amp;RIGHT(YEAR(D1370),2)</f>
        <v>3Q21</v>
      </c>
      <c r="D1370" s="81">
        <f t="shared" si="445"/>
        <v>44408</v>
      </c>
      <c r="E1370" s="82">
        <f t="shared" si="452"/>
        <v>44384</v>
      </c>
      <c r="F1370" s="83">
        <f t="shared" si="446"/>
        <v>0.575</v>
      </c>
      <c r="G1370" s="83">
        <f t="shared" si="446"/>
        <v>0.5125</v>
      </c>
      <c r="H1370" s="81"/>
      <c r="I1370" s="146">
        <v>44384</v>
      </c>
      <c r="J1370" s="147">
        <v>5</v>
      </c>
      <c r="K1370" s="147">
        <v>4.55</v>
      </c>
      <c r="L1370" s="147">
        <v>4.6</v>
      </c>
      <c r="M1370" s="94" cm="1">
        <f t="array" ref="M1370">INDEX($BV$29:$BV$1449,MATCH($D1370,$BR$29:$BR$1449,0),)</f>
        <v>4.1</v>
      </c>
      <c r="N1370" s="150">
        <f t="shared" si="453"/>
        <v>0.00327153762268262</v>
      </c>
      <c r="O1370" s="150">
        <f t="shared" si="451"/>
        <v>0.00327153762268262</v>
      </c>
      <c r="P1370" s="150">
        <f t="shared" si="450"/>
        <v>0.0132158590308369</v>
      </c>
      <c r="Q1370" s="89">
        <f t="shared" si="454"/>
        <v>0.121951219512195</v>
      </c>
      <c r="R1370" s="36"/>
      <c r="S1370" s="36"/>
      <c r="T1370" s="36"/>
      <c r="U1370" s="36"/>
      <c r="V1370" s="36"/>
      <c r="W1370" s="36"/>
      <c r="X1370" s="36"/>
      <c r="Y1370" s="36"/>
      <c r="Z1370" s="36"/>
      <c r="AA1370" s="36"/>
      <c r="AB1370" s="36"/>
      <c r="AC1370" s="36"/>
      <c r="AD1370" s="36"/>
      <c r="AE1370" s="36"/>
      <c r="AF1370" s="36"/>
      <c r="AG1370" s="36"/>
      <c r="AH1370" s="90"/>
      <c r="AI1370" s="85"/>
      <c r="AJ1370" s="36"/>
      <c r="AK1370" s="36"/>
      <c r="AL1370" s="36"/>
      <c r="AM1370" s="36"/>
      <c r="AN1370" s="36"/>
      <c r="AO1370" s="36"/>
      <c r="AP1370" s="36"/>
      <c r="AQ1370" s="36"/>
      <c r="BP1370" s="36"/>
      <c r="BQ1370" s="36"/>
      <c r="BR1370" s="36"/>
      <c r="GE1370" s="94"/>
      <c r="GF1370" s="104">
        <f t="shared" si="447"/>
        <v>2018</v>
      </c>
      <c r="GG1370" s="104">
        <f t="shared" si="448"/>
        <v>21</v>
      </c>
      <c r="GH1370" s="35">
        <v>43241</v>
      </c>
      <c r="GI1370" s="26">
        <v>3.281</v>
      </c>
      <c r="GJ1370" s="94">
        <f t="shared" si="449"/>
        <v>6.562</v>
      </c>
      <c r="GK1370" s="104"/>
      <c r="GL1370" s="104"/>
      <c r="GO1370" s="94"/>
    </row>
    <row r="1371" spans="3:197">
      <c r="C1371" s="80" t="str" cm="1">
        <f t="array" ref="C1371">_xlfn.IFS(MONTH(D1371)&lt;4,1,MONTH(D1371)&lt;7,2,MONTH(D1371)&lt;10,3,MONTH(D1371)&gt;9,4)&amp;"Q"&amp;RIGHT(YEAR(D1371),2)</f>
        <v>3Q21</v>
      </c>
      <c r="D1371" s="81">
        <f t="shared" si="445"/>
        <v>44408</v>
      </c>
      <c r="E1371" s="82">
        <f t="shared" si="452"/>
        <v>44385</v>
      </c>
      <c r="F1371" s="83">
        <f t="shared" si="446"/>
        <v>0.575</v>
      </c>
      <c r="G1371" s="83">
        <f t="shared" si="446"/>
        <v>0.5125</v>
      </c>
      <c r="H1371" s="81"/>
      <c r="I1371" s="146">
        <v>44385</v>
      </c>
      <c r="J1371" s="147">
        <v>5</v>
      </c>
      <c r="K1371" s="147">
        <v>4.55</v>
      </c>
      <c r="L1371" s="147">
        <v>4.6</v>
      </c>
      <c r="M1371" s="94" cm="1">
        <f t="array" ref="M1371">INDEX($BV$29:$BV$1449,MATCH($D1371,$BR$29:$BR$1449,0),)</f>
        <v>4.1</v>
      </c>
      <c r="N1371" s="150">
        <f t="shared" si="453"/>
        <v>0</v>
      </c>
      <c r="O1371" s="150">
        <f t="shared" si="451"/>
        <v>0.00327153762268262</v>
      </c>
      <c r="P1371" s="150">
        <f t="shared" si="450"/>
        <v>0.00722574994525926</v>
      </c>
      <c r="Q1371" s="89">
        <f t="shared" si="454"/>
        <v>0.121951219512195</v>
      </c>
      <c r="R1371" s="36"/>
      <c r="S1371" s="36"/>
      <c r="T1371" s="36"/>
      <c r="U1371" s="36"/>
      <c r="V1371" s="36"/>
      <c r="W1371" s="36"/>
      <c r="X1371" s="36"/>
      <c r="Y1371" s="36"/>
      <c r="Z1371" s="36"/>
      <c r="AA1371" s="36"/>
      <c r="AB1371" s="36"/>
      <c r="AC1371" s="36"/>
      <c r="AD1371" s="36"/>
      <c r="AE1371" s="36"/>
      <c r="AF1371" s="36"/>
      <c r="AG1371" s="36"/>
      <c r="AH1371" s="90"/>
      <c r="AI1371" s="85"/>
      <c r="AJ1371" s="36"/>
      <c r="AK1371" s="36"/>
      <c r="AL1371" s="36"/>
      <c r="AM1371" s="36"/>
      <c r="AN1371" s="36"/>
      <c r="AO1371" s="36"/>
      <c r="AP1371" s="36"/>
      <c r="AQ1371" s="36"/>
      <c r="BP1371" s="36"/>
      <c r="BQ1371" s="36"/>
      <c r="BR1371" s="36"/>
      <c r="GE1371" s="94"/>
      <c r="GF1371" s="104">
        <f t="shared" si="447"/>
        <v>2018</v>
      </c>
      <c r="GG1371" s="104">
        <f t="shared" si="448"/>
        <v>21</v>
      </c>
      <c r="GH1371" s="35">
        <v>43242</v>
      </c>
      <c r="GI1371" s="26">
        <v>3.319</v>
      </c>
      <c r="GJ1371" s="94">
        <f t="shared" si="449"/>
        <v>6.638</v>
      </c>
      <c r="GK1371" s="104"/>
      <c r="GL1371" s="104"/>
      <c r="GO1371" s="94"/>
    </row>
    <row r="1372" spans="3:197">
      <c r="C1372" s="80" t="str" cm="1">
        <f t="array" ref="C1372">_xlfn.IFS(MONTH(D1372)&lt;4,1,MONTH(D1372)&lt;7,2,MONTH(D1372)&lt;10,3,MONTH(D1372)&gt;9,4)&amp;"Q"&amp;RIGHT(YEAR(D1372),2)</f>
        <v>3Q21</v>
      </c>
      <c r="D1372" s="81">
        <f t="shared" si="445"/>
        <v>44408</v>
      </c>
      <c r="E1372" s="82">
        <f t="shared" si="452"/>
        <v>44386</v>
      </c>
      <c r="F1372" s="83">
        <f t="shared" si="446"/>
        <v>0.575</v>
      </c>
      <c r="G1372" s="83">
        <f t="shared" si="446"/>
        <v>0.5125</v>
      </c>
      <c r="H1372" s="81"/>
      <c r="I1372" s="146">
        <v>44386</v>
      </c>
      <c r="J1372" s="147">
        <v>5</v>
      </c>
      <c r="K1372" s="147">
        <v>4.55</v>
      </c>
      <c r="L1372" s="147">
        <v>4.6</v>
      </c>
      <c r="M1372" s="94" cm="1">
        <f t="array" ref="M1372">INDEX($BV$29:$BV$1449,MATCH($D1372,$BR$29:$BR$1449,0),)</f>
        <v>4.1</v>
      </c>
      <c r="N1372" s="150">
        <f t="shared" si="453"/>
        <v>0</v>
      </c>
      <c r="O1372" s="150">
        <f t="shared" si="451"/>
        <v>0.00327153762268262</v>
      </c>
      <c r="P1372" s="150">
        <f t="shared" si="450"/>
        <v>0</v>
      </c>
      <c r="Q1372" s="89">
        <f t="shared" si="454"/>
        <v>0.121951219512195</v>
      </c>
      <c r="R1372" s="36"/>
      <c r="S1372" s="36"/>
      <c r="T1372" s="36"/>
      <c r="U1372" s="36"/>
      <c r="V1372" s="36"/>
      <c r="W1372" s="36"/>
      <c r="X1372" s="36"/>
      <c r="Y1372" s="36"/>
      <c r="Z1372" s="36"/>
      <c r="AA1372" s="36"/>
      <c r="AB1372" s="36"/>
      <c r="AC1372" s="36"/>
      <c r="AD1372" s="36"/>
      <c r="AE1372" s="36"/>
      <c r="AF1372" s="36"/>
      <c r="AG1372" s="36"/>
      <c r="AH1372" s="90"/>
      <c r="AI1372" s="85"/>
      <c r="AJ1372" s="36"/>
      <c r="AK1372" s="36"/>
      <c r="AL1372" s="36"/>
      <c r="AM1372" s="36"/>
      <c r="AN1372" s="36"/>
      <c r="AO1372" s="36"/>
      <c r="AP1372" s="36"/>
      <c r="AQ1372" s="36"/>
      <c r="BP1372" s="36"/>
      <c r="BQ1372" s="36"/>
      <c r="BR1372" s="36"/>
      <c r="GE1372" s="94"/>
      <c r="GF1372" s="104">
        <f t="shared" si="447"/>
        <v>2018</v>
      </c>
      <c r="GG1372" s="104">
        <f t="shared" si="448"/>
        <v>21</v>
      </c>
      <c r="GH1372" s="35">
        <v>43243</v>
      </c>
      <c r="GI1372" s="26">
        <v>3.319</v>
      </c>
      <c r="GJ1372" s="94">
        <f t="shared" si="449"/>
        <v>6.638</v>
      </c>
      <c r="GK1372" s="104"/>
      <c r="GL1372" s="104"/>
      <c r="GO1372" s="94"/>
    </row>
    <row r="1373" spans="3:197">
      <c r="C1373" s="80" t="str" cm="1">
        <f t="array" ref="C1373">_xlfn.IFS(MONTH(D1373)&lt;4,1,MONTH(D1373)&lt;7,2,MONTH(D1373)&lt;10,3,MONTH(D1373)&gt;9,4)&amp;"Q"&amp;RIGHT(YEAR(D1373),2)</f>
        <v>3Q21</v>
      </c>
      <c r="D1373" s="81">
        <f t="shared" si="445"/>
        <v>44408</v>
      </c>
      <c r="E1373" s="82">
        <f t="shared" si="452"/>
        <v>44389</v>
      </c>
      <c r="F1373" s="83">
        <f t="shared" si="446"/>
        <v>0.575</v>
      </c>
      <c r="G1373" s="83">
        <f t="shared" si="446"/>
        <v>0.5125</v>
      </c>
      <c r="H1373" s="81"/>
      <c r="I1373" s="146">
        <v>44389</v>
      </c>
      <c r="J1373" s="147">
        <v>5</v>
      </c>
      <c r="K1373" s="147">
        <v>4.55</v>
      </c>
      <c r="L1373" s="147">
        <v>4.6</v>
      </c>
      <c r="M1373" s="94" cm="1">
        <f t="array" ref="M1373">INDEX($BV$29:$BV$1449,MATCH($D1373,$BR$29:$BR$1449,0),)</f>
        <v>4.1</v>
      </c>
      <c r="N1373" s="150">
        <f t="shared" si="453"/>
        <v>0</v>
      </c>
      <c r="O1373" s="150">
        <f t="shared" si="451"/>
        <v>0.00327153762268262</v>
      </c>
      <c r="P1373" s="150">
        <f t="shared" si="450"/>
        <v>0.00217864923747269</v>
      </c>
      <c r="Q1373" s="89">
        <f t="shared" si="454"/>
        <v>0.121951219512195</v>
      </c>
      <c r="R1373" s="36"/>
      <c r="S1373" s="36"/>
      <c r="T1373" s="36"/>
      <c r="U1373" s="36"/>
      <c r="V1373" s="36"/>
      <c r="W1373" s="36"/>
      <c r="X1373" s="36"/>
      <c r="Y1373" s="36"/>
      <c r="Z1373" s="36"/>
      <c r="AA1373" s="36"/>
      <c r="AB1373" s="36"/>
      <c r="AC1373" s="36"/>
      <c r="AD1373" s="36"/>
      <c r="AE1373" s="36"/>
      <c r="AF1373" s="36"/>
      <c r="AG1373" s="36"/>
      <c r="AH1373" s="90"/>
      <c r="AI1373" s="85"/>
      <c r="AJ1373" s="36"/>
      <c r="AK1373" s="36"/>
      <c r="AL1373" s="36"/>
      <c r="AM1373" s="36"/>
      <c r="AN1373" s="36"/>
      <c r="AO1373" s="36"/>
      <c r="AP1373" s="36"/>
      <c r="AQ1373" s="36"/>
      <c r="BP1373" s="36"/>
      <c r="BQ1373" s="36"/>
      <c r="BR1373" s="36"/>
      <c r="GE1373" s="94"/>
      <c r="GF1373" s="104">
        <f t="shared" si="447"/>
        <v>2018</v>
      </c>
      <c r="GG1373" s="104">
        <f t="shared" si="448"/>
        <v>21</v>
      </c>
      <c r="GH1373" s="35">
        <v>43244</v>
      </c>
      <c r="GI1373" s="26">
        <v>3.319</v>
      </c>
      <c r="GJ1373" s="94">
        <f t="shared" si="449"/>
        <v>6.638</v>
      </c>
      <c r="GK1373" s="104"/>
      <c r="GL1373" s="104"/>
      <c r="GO1373" s="94"/>
    </row>
    <row r="1374" spans="3:197">
      <c r="C1374" s="80" t="str" cm="1">
        <f t="array" ref="C1374">_xlfn.IFS(MONTH(D1374)&lt;4,1,MONTH(D1374)&lt;7,2,MONTH(D1374)&lt;10,3,MONTH(D1374)&gt;9,4)&amp;"Q"&amp;RIGHT(YEAR(D1374),2)</f>
        <v>3Q21</v>
      </c>
      <c r="D1374" s="81">
        <f t="shared" ref="D1374:D1437" si="455">EOMONTH(E1374,0)</f>
        <v>44408</v>
      </c>
      <c r="E1374" s="82">
        <f t="shared" si="452"/>
        <v>44390</v>
      </c>
      <c r="F1374" s="83">
        <f t="shared" si="446"/>
        <v>0.57375</v>
      </c>
      <c r="G1374" s="83">
        <f t="shared" si="446"/>
        <v>0.5125</v>
      </c>
      <c r="H1374" s="81"/>
      <c r="I1374" s="146">
        <v>44390</v>
      </c>
      <c r="J1374" s="147">
        <v>4.9</v>
      </c>
      <c r="K1374" s="147">
        <v>4.5</v>
      </c>
      <c r="L1374" s="147">
        <v>4.59</v>
      </c>
      <c r="M1374" s="94" cm="1">
        <f t="array" ref="M1374">INDEX($BV$29:$BV$1449,MATCH($D1374,$BR$29:$BR$1449,0),)</f>
        <v>4.1</v>
      </c>
      <c r="N1374" s="150">
        <f t="shared" si="453"/>
        <v>-0.00217391304347825</v>
      </c>
      <c r="O1374" s="150">
        <f t="shared" si="451"/>
        <v>0.00109051254089421</v>
      </c>
      <c r="P1374" s="150">
        <f t="shared" si="450"/>
        <v>0.00109051254089421</v>
      </c>
      <c r="Q1374" s="89">
        <f t="shared" si="454"/>
        <v>0.119512195121951</v>
      </c>
      <c r="R1374" s="36"/>
      <c r="S1374" s="36"/>
      <c r="T1374" s="36"/>
      <c r="U1374" s="36"/>
      <c r="V1374" s="36"/>
      <c r="W1374" s="36"/>
      <c r="X1374" s="36"/>
      <c r="Y1374" s="36"/>
      <c r="Z1374" s="36"/>
      <c r="AA1374" s="36"/>
      <c r="AB1374" s="36"/>
      <c r="AC1374" s="36"/>
      <c r="AD1374" s="36"/>
      <c r="AE1374" s="36"/>
      <c r="AF1374" s="36"/>
      <c r="AG1374" s="36"/>
      <c r="AH1374" s="90"/>
      <c r="AI1374" s="85"/>
      <c r="AJ1374" s="36"/>
      <c r="AK1374" s="36"/>
      <c r="AL1374" s="36"/>
      <c r="AM1374" s="36"/>
      <c r="AN1374" s="36"/>
      <c r="AO1374" s="36"/>
      <c r="AP1374" s="36"/>
      <c r="AQ1374" s="36"/>
      <c r="BP1374" s="36"/>
      <c r="BQ1374" s="36"/>
      <c r="BR1374" s="36"/>
      <c r="GE1374" s="94"/>
      <c r="GF1374" s="104">
        <f t="shared" si="447"/>
        <v>2018</v>
      </c>
      <c r="GG1374" s="104">
        <f t="shared" si="448"/>
        <v>21</v>
      </c>
      <c r="GH1374" s="35">
        <v>43245</v>
      </c>
      <c r="GI1374" s="26">
        <v>3.319</v>
      </c>
      <c r="GJ1374" s="94">
        <f t="shared" si="449"/>
        <v>6.638</v>
      </c>
      <c r="GK1374" s="104"/>
      <c r="GL1374" s="104"/>
      <c r="GO1374" s="94"/>
    </row>
    <row r="1375" spans="3:197">
      <c r="C1375" s="80" t="str" cm="1">
        <f t="array" ref="C1375">_xlfn.IFS(MONTH(D1375)&lt;4,1,MONTH(D1375)&lt;7,2,MONTH(D1375)&lt;10,3,MONTH(D1375)&gt;9,4)&amp;"Q"&amp;RIGHT(YEAR(D1375),2)</f>
        <v>3Q21</v>
      </c>
      <c r="D1375" s="81">
        <f t="shared" si="455"/>
        <v>44408</v>
      </c>
      <c r="E1375" s="82">
        <f t="shared" si="452"/>
        <v>44391</v>
      </c>
      <c r="F1375" s="83">
        <f t="shared" si="446"/>
        <v>0.57375</v>
      </c>
      <c r="G1375" s="83">
        <f t="shared" si="446"/>
        <v>0.5125</v>
      </c>
      <c r="H1375" s="81"/>
      <c r="I1375" s="146">
        <v>44391</v>
      </c>
      <c r="J1375" s="147">
        <v>4.9</v>
      </c>
      <c r="K1375" s="147">
        <v>4.5</v>
      </c>
      <c r="L1375" s="147">
        <v>4.59</v>
      </c>
      <c r="M1375" s="94" cm="1">
        <f t="array" ref="M1375">INDEX($BV$29:$BV$1449,MATCH($D1375,$BR$29:$BR$1449,0),)</f>
        <v>4.1</v>
      </c>
      <c r="N1375" s="150">
        <f t="shared" si="453"/>
        <v>0</v>
      </c>
      <c r="O1375" s="150">
        <f t="shared" si="451"/>
        <v>-0.00217391304347825</v>
      </c>
      <c r="P1375" s="150">
        <f t="shared" si="450"/>
        <v>0.00109051254089421</v>
      </c>
      <c r="Q1375" s="89">
        <f t="shared" si="454"/>
        <v>0.119512195121951</v>
      </c>
      <c r="R1375" s="36"/>
      <c r="S1375" s="36"/>
      <c r="T1375" s="36"/>
      <c r="U1375" s="36"/>
      <c r="V1375" s="36"/>
      <c r="W1375" s="36"/>
      <c r="X1375" s="36"/>
      <c r="Y1375" s="36"/>
      <c r="Z1375" s="36"/>
      <c r="AA1375" s="36"/>
      <c r="AB1375" s="36"/>
      <c r="AC1375" s="36"/>
      <c r="AD1375" s="36"/>
      <c r="AE1375" s="36"/>
      <c r="AF1375" s="36"/>
      <c r="AG1375" s="36"/>
      <c r="AH1375" s="90"/>
      <c r="AI1375" s="85"/>
      <c r="AJ1375" s="36"/>
      <c r="AK1375" s="36"/>
      <c r="AL1375" s="36"/>
      <c r="AM1375" s="36"/>
      <c r="AN1375" s="36"/>
      <c r="AO1375" s="36"/>
      <c r="AP1375" s="36"/>
      <c r="AQ1375" s="36"/>
      <c r="BP1375" s="36"/>
      <c r="BQ1375" s="36"/>
      <c r="BR1375" s="36"/>
      <c r="GE1375" s="94"/>
      <c r="GF1375" s="104">
        <f t="shared" si="447"/>
        <v>2018</v>
      </c>
      <c r="GG1375" s="104">
        <f t="shared" si="448"/>
        <v>22</v>
      </c>
      <c r="GH1375" s="35">
        <v>43248</v>
      </c>
      <c r="GI1375" s="26">
        <v>3.319</v>
      </c>
      <c r="GJ1375" s="94">
        <f t="shared" si="449"/>
        <v>6.638</v>
      </c>
      <c r="GK1375" s="104"/>
      <c r="GL1375" s="104"/>
      <c r="GO1375" s="94"/>
    </row>
    <row r="1376" spans="3:197">
      <c r="C1376" s="80" t="str" cm="1">
        <f t="array" ref="C1376">_xlfn.IFS(MONTH(D1376)&lt;4,1,MONTH(D1376)&lt;7,2,MONTH(D1376)&lt;10,3,MONTH(D1376)&gt;9,4)&amp;"Q"&amp;RIGHT(YEAR(D1376),2)</f>
        <v>3Q21</v>
      </c>
      <c r="D1376" s="81">
        <f t="shared" si="455"/>
        <v>44408</v>
      </c>
      <c r="E1376" s="82">
        <f t="shared" si="452"/>
        <v>44392</v>
      </c>
      <c r="F1376" s="83">
        <f t="shared" si="446"/>
        <v>0.576875</v>
      </c>
      <c r="G1376" s="83">
        <f t="shared" si="446"/>
        <v>0.5125</v>
      </c>
      <c r="H1376" s="81"/>
      <c r="I1376" s="146">
        <v>44392</v>
      </c>
      <c r="J1376" s="147">
        <v>4.95</v>
      </c>
      <c r="K1376" s="147">
        <v>4.5</v>
      </c>
      <c r="L1376" s="147">
        <v>4.615</v>
      </c>
      <c r="M1376" s="94" cm="1">
        <f t="array" ref="M1376">INDEX($BV$29:$BV$1449,MATCH($D1376,$BR$29:$BR$1449,0),)</f>
        <v>4.1</v>
      </c>
      <c r="N1376" s="150">
        <f t="shared" si="453"/>
        <v>0.00544662309368205</v>
      </c>
      <c r="O1376" s="150">
        <f t="shared" si="451"/>
        <v>0.00326086956521743</v>
      </c>
      <c r="P1376" s="150">
        <f t="shared" si="450"/>
        <v>0.00654307524536546</v>
      </c>
      <c r="Q1376" s="89">
        <f t="shared" si="454"/>
        <v>0.125609756097561</v>
      </c>
      <c r="R1376" s="36"/>
      <c r="S1376" s="36"/>
      <c r="T1376" s="36"/>
      <c r="U1376" s="36"/>
      <c r="V1376" s="36"/>
      <c r="W1376" s="36"/>
      <c r="X1376" s="36"/>
      <c r="Y1376" s="36"/>
      <c r="Z1376" s="36"/>
      <c r="AA1376" s="36"/>
      <c r="AB1376" s="36"/>
      <c r="AC1376" s="36"/>
      <c r="AD1376" s="36"/>
      <c r="AE1376" s="36"/>
      <c r="AF1376" s="36"/>
      <c r="AG1376" s="36"/>
      <c r="AH1376" s="90"/>
      <c r="AI1376" s="85"/>
      <c r="AJ1376" s="36"/>
      <c r="AK1376" s="36"/>
      <c r="AL1376" s="36"/>
      <c r="AM1376" s="36"/>
      <c r="AN1376" s="36"/>
      <c r="AO1376" s="36"/>
      <c r="AP1376" s="36"/>
      <c r="AQ1376" s="36"/>
      <c r="BP1376" s="36"/>
      <c r="BQ1376" s="36"/>
      <c r="BR1376" s="36"/>
      <c r="GE1376" s="94"/>
      <c r="GF1376" s="104">
        <f t="shared" si="447"/>
        <v>2018</v>
      </c>
      <c r="GG1376" s="104">
        <f t="shared" si="448"/>
        <v>22</v>
      </c>
      <c r="GH1376" s="35">
        <v>43249</v>
      </c>
      <c r="GI1376" s="26">
        <v>3.319</v>
      </c>
      <c r="GJ1376" s="94">
        <f t="shared" si="449"/>
        <v>6.638</v>
      </c>
      <c r="GK1376" s="104"/>
      <c r="GL1376" s="104"/>
      <c r="GO1376" s="94"/>
    </row>
    <row r="1377" spans="3:197">
      <c r="C1377" s="80" t="str" cm="1">
        <f t="array" ref="C1377">_xlfn.IFS(MONTH(D1377)&lt;4,1,MONTH(D1377)&lt;7,2,MONTH(D1377)&lt;10,3,MONTH(D1377)&gt;9,4)&amp;"Q"&amp;RIGHT(YEAR(D1377),2)</f>
        <v>3Q21</v>
      </c>
      <c r="D1377" s="81">
        <f t="shared" si="455"/>
        <v>44408</v>
      </c>
      <c r="E1377" s="82">
        <f t="shared" si="452"/>
        <v>44393</v>
      </c>
      <c r="F1377" s="83">
        <f t="shared" si="446"/>
        <v>0.576875</v>
      </c>
      <c r="G1377" s="83">
        <f t="shared" si="446"/>
        <v>0.5125</v>
      </c>
      <c r="H1377" s="81"/>
      <c r="I1377" s="146">
        <v>44393</v>
      </c>
      <c r="J1377" s="147">
        <v>4.95</v>
      </c>
      <c r="K1377" s="147">
        <v>4.5</v>
      </c>
      <c r="L1377" s="147">
        <v>4.615</v>
      </c>
      <c r="M1377" s="94" cm="1">
        <f t="array" ref="M1377">INDEX($BV$29:$BV$1449,MATCH($D1377,$BR$29:$BR$1449,0),)</f>
        <v>4.1</v>
      </c>
      <c r="N1377" s="150">
        <f t="shared" si="453"/>
        <v>0</v>
      </c>
      <c r="O1377" s="150">
        <f t="shared" si="451"/>
        <v>0.00326086956521743</v>
      </c>
      <c r="P1377" s="150">
        <f t="shared" si="450"/>
        <v>0.00654307524536546</v>
      </c>
      <c r="Q1377" s="89">
        <f t="shared" si="454"/>
        <v>0.125609756097561</v>
      </c>
      <c r="R1377" s="36"/>
      <c r="S1377" s="36"/>
      <c r="T1377" s="36"/>
      <c r="U1377" s="36"/>
      <c r="V1377" s="36"/>
      <c r="W1377" s="36"/>
      <c r="X1377" s="36"/>
      <c r="Y1377" s="36"/>
      <c r="Z1377" s="36"/>
      <c r="AA1377" s="36"/>
      <c r="AB1377" s="36"/>
      <c r="AC1377" s="36"/>
      <c r="AD1377" s="36"/>
      <c r="AE1377" s="36"/>
      <c r="AF1377" s="36"/>
      <c r="AG1377" s="36"/>
      <c r="AH1377" s="90"/>
      <c r="AI1377" s="85"/>
      <c r="AJ1377" s="36"/>
      <c r="AK1377" s="36"/>
      <c r="AL1377" s="36"/>
      <c r="AM1377" s="36"/>
      <c r="AN1377" s="36"/>
      <c r="AO1377" s="36"/>
      <c r="AP1377" s="36"/>
      <c r="AQ1377" s="36"/>
      <c r="BP1377" s="36"/>
      <c r="BQ1377" s="36"/>
      <c r="BR1377" s="36"/>
      <c r="GE1377" s="94"/>
      <c r="GF1377" s="104">
        <f t="shared" si="447"/>
        <v>2018</v>
      </c>
      <c r="GG1377" s="104">
        <f t="shared" si="448"/>
        <v>22</v>
      </c>
      <c r="GH1377" s="35">
        <v>43250</v>
      </c>
      <c r="GI1377" s="26">
        <v>3.319</v>
      </c>
      <c r="GJ1377" s="94">
        <f t="shared" si="449"/>
        <v>6.638</v>
      </c>
      <c r="GK1377" s="104"/>
      <c r="GL1377" s="104"/>
      <c r="GO1377" s="94"/>
    </row>
    <row r="1378" spans="3:197">
      <c r="C1378" s="80" t="str" cm="1">
        <f t="array" ref="C1378">_xlfn.IFS(MONTH(D1378)&lt;4,1,MONTH(D1378)&lt;7,2,MONTH(D1378)&lt;10,3,MONTH(D1378)&gt;9,4)&amp;"Q"&amp;RIGHT(YEAR(D1378),2)</f>
        <v>3Q21</v>
      </c>
      <c r="D1378" s="81">
        <f t="shared" si="455"/>
        <v>44408</v>
      </c>
      <c r="E1378" s="82">
        <f t="shared" si="452"/>
        <v>44396</v>
      </c>
      <c r="F1378" s="83">
        <f t="shared" si="446"/>
        <v>0.571875</v>
      </c>
      <c r="G1378" s="83">
        <f t="shared" si="446"/>
        <v>0.5125</v>
      </c>
      <c r="H1378" s="81"/>
      <c r="I1378" s="146">
        <v>44396</v>
      </c>
      <c r="J1378" s="147">
        <v>4.9</v>
      </c>
      <c r="K1378" s="147">
        <v>4.5</v>
      </c>
      <c r="L1378" s="147">
        <v>4.575</v>
      </c>
      <c r="M1378" s="94" cm="1">
        <f t="array" ref="M1378">INDEX($BV$29:$BV$1449,MATCH($D1378,$BR$29:$BR$1449,0),)</f>
        <v>4.1</v>
      </c>
      <c r="N1378" s="150">
        <f t="shared" si="453"/>
        <v>-0.00866738894907915</v>
      </c>
      <c r="O1378" s="150">
        <f t="shared" si="451"/>
        <v>-0.00543478260869557</v>
      </c>
      <c r="P1378" s="150">
        <f t="shared" si="450"/>
        <v>-0.00218102508178841</v>
      </c>
      <c r="Q1378" s="89">
        <f t="shared" si="454"/>
        <v>0.115853658536585</v>
      </c>
      <c r="R1378" s="36"/>
      <c r="S1378" s="36"/>
      <c r="T1378" s="36"/>
      <c r="U1378" s="36"/>
      <c r="V1378" s="36"/>
      <c r="W1378" s="36"/>
      <c r="X1378" s="36"/>
      <c r="Y1378" s="36"/>
      <c r="Z1378" s="36"/>
      <c r="AA1378" s="36"/>
      <c r="AB1378" s="36"/>
      <c r="AC1378" s="36"/>
      <c r="AD1378" s="36"/>
      <c r="AE1378" s="36"/>
      <c r="AF1378" s="36"/>
      <c r="AG1378" s="36"/>
      <c r="AH1378" s="90"/>
      <c r="AI1378" s="85"/>
      <c r="AJ1378" s="36"/>
      <c r="AK1378" s="36"/>
      <c r="AL1378" s="36"/>
      <c r="AM1378" s="36"/>
      <c r="AN1378" s="36"/>
      <c r="AO1378" s="36"/>
      <c r="AP1378" s="36"/>
      <c r="AQ1378" s="36"/>
      <c r="BP1378" s="36"/>
      <c r="BQ1378" s="36"/>
      <c r="BR1378" s="36"/>
      <c r="GE1378" s="94"/>
      <c r="GF1378" s="104">
        <f t="shared" si="447"/>
        <v>2018</v>
      </c>
      <c r="GG1378" s="104">
        <f t="shared" si="448"/>
        <v>22</v>
      </c>
      <c r="GH1378" s="35">
        <v>43251</v>
      </c>
      <c r="GI1378" s="26">
        <v>3.319</v>
      </c>
      <c r="GJ1378" s="94">
        <f t="shared" si="449"/>
        <v>6.638</v>
      </c>
      <c r="GK1378" s="104"/>
      <c r="GL1378" s="104"/>
      <c r="GO1378" s="94"/>
    </row>
    <row r="1379" spans="3:197">
      <c r="C1379" s="80" t="str" cm="1">
        <f t="array" ref="C1379">_xlfn.IFS(MONTH(D1379)&lt;4,1,MONTH(D1379)&lt;7,2,MONTH(D1379)&lt;10,3,MONTH(D1379)&gt;9,4)&amp;"Q"&amp;RIGHT(YEAR(D1379),2)</f>
        <v>3Q21</v>
      </c>
      <c r="D1379" s="81">
        <f t="shared" si="455"/>
        <v>44408</v>
      </c>
      <c r="E1379" s="82">
        <f t="shared" si="452"/>
        <v>44397</v>
      </c>
      <c r="F1379" s="83">
        <f t="shared" si="446"/>
        <v>0.56875</v>
      </c>
      <c r="G1379" s="83">
        <f t="shared" si="446"/>
        <v>0.5125</v>
      </c>
      <c r="H1379" s="81"/>
      <c r="I1379" s="146">
        <v>44397</v>
      </c>
      <c r="J1379" s="147">
        <v>4.85</v>
      </c>
      <c r="K1379" s="147">
        <v>4.45</v>
      </c>
      <c r="L1379" s="147">
        <v>4.55</v>
      </c>
      <c r="M1379" s="94" cm="1">
        <f t="array" ref="M1379">INDEX($BV$29:$BV$1449,MATCH($D1379,$BR$29:$BR$1449,0),)</f>
        <v>4.1</v>
      </c>
      <c r="N1379" s="150">
        <f t="shared" si="453"/>
        <v>-0.00546448087431706</v>
      </c>
      <c r="O1379" s="150">
        <f t="shared" si="451"/>
        <v>-0.00871459694989107</v>
      </c>
      <c r="P1379" s="150">
        <f t="shared" si="450"/>
        <v>-0.00763358778625955</v>
      </c>
      <c r="Q1379" s="89">
        <f t="shared" si="454"/>
        <v>0.109756097560976</v>
      </c>
      <c r="R1379" s="36"/>
      <c r="S1379" s="36"/>
      <c r="T1379" s="36"/>
      <c r="U1379" s="36"/>
      <c r="V1379" s="36"/>
      <c r="W1379" s="36"/>
      <c r="X1379" s="36"/>
      <c r="Y1379" s="36"/>
      <c r="Z1379" s="36"/>
      <c r="AA1379" s="36"/>
      <c r="AB1379" s="36"/>
      <c r="AC1379" s="36"/>
      <c r="AD1379" s="36"/>
      <c r="AE1379" s="36"/>
      <c r="AF1379" s="36"/>
      <c r="AG1379" s="36"/>
      <c r="AH1379" s="90"/>
      <c r="AI1379" s="85"/>
      <c r="AJ1379" s="36"/>
      <c r="AK1379" s="36"/>
      <c r="AL1379" s="36"/>
      <c r="AM1379" s="36"/>
      <c r="AN1379" s="36"/>
      <c r="AO1379" s="36"/>
      <c r="AP1379" s="36"/>
      <c r="AQ1379" s="36"/>
      <c r="BP1379" s="36"/>
      <c r="BQ1379" s="36"/>
      <c r="BR1379" s="36"/>
      <c r="GE1379" s="94"/>
      <c r="GF1379" s="104">
        <f t="shared" si="447"/>
        <v>2018</v>
      </c>
      <c r="GG1379" s="104">
        <f t="shared" si="448"/>
        <v>22</v>
      </c>
      <c r="GH1379" s="35">
        <v>43252</v>
      </c>
      <c r="GI1379" s="26">
        <v>3.319</v>
      </c>
      <c r="GJ1379" s="94">
        <f t="shared" si="449"/>
        <v>6.638</v>
      </c>
      <c r="GK1379" s="104"/>
      <c r="GL1379" s="104"/>
      <c r="GO1379" s="94"/>
    </row>
    <row r="1380" spans="3:197">
      <c r="C1380" s="80" t="str" cm="1">
        <f t="array" ref="C1380">_xlfn.IFS(MONTH(D1380)&lt;4,1,MONTH(D1380)&lt;7,2,MONTH(D1380)&lt;10,3,MONTH(D1380)&gt;9,4)&amp;"Q"&amp;RIGHT(YEAR(D1380),2)</f>
        <v>3Q21</v>
      </c>
      <c r="D1380" s="81">
        <f t="shared" si="455"/>
        <v>44408</v>
      </c>
      <c r="E1380" s="82">
        <f t="shared" si="452"/>
        <v>44398</v>
      </c>
      <c r="F1380" s="83">
        <f t="shared" si="446"/>
        <v>0.565625</v>
      </c>
      <c r="G1380" s="83">
        <f t="shared" si="446"/>
        <v>0.5125</v>
      </c>
      <c r="H1380" s="81"/>
      <c r="I1380" s="146">
        <v>44398</v>
      </c>
      <c r="J1380" s="147">
        <v>4.85</v>
      </c>
      <c r="K1380" s="147">
        <v>4.45</v>
      </c>
      <c r="L1380" s="147">
        <v>4.525</v>
      </c>
      <c r="M1380" s="94" cm="1">
        <f t="array" ref="M1380">INDEX($BV$29:$BV$1449,MATCH($D1380,$BR$29:$BR$1449,0),)</f>
        <v>4.1</v>
      </c>
      <c r="N1380" s="150">
        <f t="shared" si="453"/>
        <v>-0.00549450549450536</v>
      </c>
      <c r="O1380" s="150">
        <f t="shared" si="451"/>
        <v>-0.0141612200435729</v>
      </c>
      <c r="P1380" s="150">
        <f t="shared" si="450"/>
        <v>-0.0163043478260868</v>
      </c>
      <c r="Q1380" s="89">
        <f t="shared" si="454"/>
        <v>0.103658536585366</v>
      </c>
      <c r="R1380" s="36"/>
      <c r="S1380" s="36"/>
      <c r="T1380" s="36"/>
      <c r="U1380" s="36"/>
      <c r="V1380" s="36"/>
      <c r="W1380" s="36"/>
      <c r="X1380" s="36"/>
      <c r="Y1380" s="36"/>
      <c r="Z1380" s="36"/>
      <c r="AA1380" s="36"/>
      <c r="AB1380" s="36"/>
      <c r="AC1380" s="36"/>
      <c r="AD1380" s="36"/>
      <c r="AE1380" s="36"/>
      <c r="AF1380" s="36"/>
      <c r="AG1380" s="36"/>
      <c r="AH1380" s="90"/>
      <c r="AI1380" s="85"/>
      <c r="AJ1380" s="36"/>
      <c r="AK1380" s="36"/>
      <c r="AL1380" s="36"/>
      <c r="AM1380" s="36"/>
      <c r="AN1380" s="36"/>
      <c r="AO1380" s="36"/>
      <c r="AP1380" s="36"/>
      <c r="AQ1380" s="36"/>
      <c r="BP1380" s="36"/>
      <c r="BQ1380" s="36"/>
      <c r="BR1380" s="36"/>
      <c r="GE1380" s="94"/>
      <c r="GF1380" s="104">
        <f t="shared" si="447"/>
        <v>2018</v>
      </c>
      <c r="GG1380" s="104">
        <f t="shared" si="448"/>
        <v>23</v>
      </c>
      <c r="GH1380" s="35">
        <v>43255</v>
      </c>
      <c r="GI1380" s="26">
        <v>3.319</v>
      </c>
      <c r="GJ1380" s="94">
        <f t="shared" si="449"/>
        <v>6.638</v>
      </c>
      <c r="GK1380" s="104"/>
      <c r="GL1380" s="104"/>
      <c r="GO1380" s="94"/>
    </row>
    <row r="1381" spans="3:197">
      <c r="C1381" s="80" t="str" cm="1">
        <f t="array" ref="C1381">_xlfn.IFS(MONTH(D1381)&lt;4,1,MONTH(D1381)&lt;7,2,MONTH(D1381)&lt;10,3,MONTH(D1381)&gt;9,4)&amp;"Q"&amp;RIGHT(YEAR(D1381),2)</f>
        <v>3Q21</v>
      </c>
      <c r="D1381" s="81">
        <f t="shared" si="455"/>
        <v>44408</v>
      </c>
      <c r="E1381" s="82">
        <f t="shared" si="452"/>
        <v>44399</v>
      </c>
      <c r="F1381" s="83">
        <f t="shared" ref="F1381:G1423" si="456">+L1381/8</f>
        <v>0.56375</v>
      </c>
      <c r="G1381" s="83">
        <f t="shared" si="456"/>
        <v>0.5125</v>
      </c>
      <c r="H1381" s="81"/>
      <c r="I1381" s="146">
        <v>44399</v>
      </c>
      <c r="J1381" s="147">
        <v>4.85</v>
      </c>
      <c r="K1381" s="147">
        <v>4.45</v>
      </c>
      <c r="L1381" s="147">
        <v>4.51</v>
      </c>
      <c r="M1381" s="94" cm="1">
        <f t="array" ref="M1381">INDEX($BV$29:$BV$1449,MATCH($D1381,$BR$29:$BR$1449,0),)</f>
        <v>4.1</v>
      </c>
      <c r="N1381" s="150">
        <f t="shared" si="453"/>
        <v>-0.00331491712707199</v>
      </c>
      <c r="O1381" s="150">
        <f t="shared" si="451"/>
        <v>-0.0227518959913326</v>
      </c>
      <c r="P1381" s="150">
        <f t="shared" si="450"/>
        <v>-0.0195652173913043</v>
      </c>
      <c r="Q1381" s="89">
        <f t="shared" si="454"/>
        <v>0.1</v>
      </c>
      <c r="R1381" s="36"/>
      <c r="S1381" s="36"/>
      <c r="T1381" s="36"/>
      <c r="U1381" s="36"/>
      <c r="V1381" s="36"/>
      <c r="W1381" s="36"/>
      <c r="X1381" s="36"/>
      <c r="Y1381" s="36"/>
      <c r="Z1381" s="36"/>
      <c r="AA1381" s="36"/>
      <c r="AB1381" s="36"/>
      <c r="AC1381" s="36"/>
      <c r="AD1381" s="36"/>
      <c r="AE1381" s="36"/>
      <c r="AF1381" s="36"/>
      <c r="AG1381" s="36"/>
      <c r="AH1381" s="90"/>
      <c r="AI1381" s="85"/>
      <c r="AJ1381" s="36"/>
      <c r="AK1381" s="36"/>
      <c r="AL1381" s="36"/>
      <c r="AM1381" s="36"/>
      <c r="AN1381" s="36"/>
      <c r="AO1381" s="36"/>
      <c r="AP1381" s="36"/>
      <c r="AQ1381" s="36"/>
      <c r="BP1381" s="36"/>
      <c r="BQ1381" s="36"/>
      <c r="BR1381" s="36"/>
      <c r="GE1381" s="94"/>
      <c r="GF1381" s="104">
        <f t="shared" si="447"/>
        <v>2018</v>
      </c>
      <c r="GG1381" s="104">
        <f t="shared" si="448"/>
        <v>23</v>
      </c>
      <c r="GH1381" s="35">
        <v>43256</v>
      </c>
      <c r="GI1381" s="26">
        <v>3.319</v>
      </c>
      <c r="GJ1381" s="94">
        <f t="shared" si="449"/>
        <v>6.638</v>
      </c>
      <c r="GK1381" s="104"/>
      <c r="GL1381" s="104"/>
      <c r="GO1381" s="94"/>
    </row>
    <row r="1382" spans="3:197">
      <c r="C1382" s="80" t="str" cm="1">
        <f t="array" ref="C1382">_xlfn.IFS(MONTH(D1382)&lt;4,1,MONTH(D1382)&lt;7,2,MONTH(D1382)&lt;10,3,MONTH(D1382)&gt;9,4)&amp;"Q"&amp;RIGHT(YEAR(D1382),2)</f>
        <v>3Q21</v>
      </c>
      <c r="D1382" s="81">
        <f t="shared" si="455"/>
        <v>44408</v>
      </c>
      <c r="E1382" s="82">
        <f t="shared" si="452"/>
        <v>44400</v>
      </c>
      <c r="F1382" s="83">
        <f t="shared" si="456"/>
        <v>0.56375</v>
      </c>
      <c r="G1382" s="83">
        <f t="shared" si="456"/>
        <v>0.5125</v>
      </c>
      <c r="H1382" s="81"/>
      <c r="I1382" s="146">
        <v>44400</v>
      </c>
      <c r="J1382" s="147">
        <v>4.8</v>
      </c>
      <c r="K1382" s="147">
        <v>4.45</v>
      </c>
      <c r="L1382" s="147">
        <v>4.51</v>
      </c>
      <c r="M1382" s="94" cm="1">
        <f t="array" ref="M1382">INDEX($BV$29:$BV$1449,MATCH($D1382,$BR$29:$BR$1449,0),)</f>
        <v>4.1</v>
      </c>
      <c r="N1382" s="150">
        <f t="shared" si="453"/>
        <v>0</v>
      </c>
      <c r="O1382" s="150">
        <f t="shared" si="451"/>
        <v>-0.0227518959913326</v>
      </c>
      <c r="P1382" s="150">
        <f t="shared" si="450"/>
        <v>-0.0195652173913043</v>
      </c>
      <c r="Q1382" s="89">
        <f t="shared" si="454"/>
        <v>0.1</v>
      </c>
      <c r="R1382" s="36"/>
      <c r="S1382" s="36"/>
      <c r="T1382" s="36"/>
      <c r="U1382" s="36"/>
      <c r="V1382" s="36"/>
      <c r="W1382" s="36"/>
      <c r="X1382" s="36"/>
      <c r="Y1382" s="36"/>
      <c r="Z1382" s="36"/>
      <c r="AA1382" s="36"/>
      <c r="AB1382" s="36"/>
      <c r="AC1382" s="36"/>
      <c r="AD1382" s="36"/>
      <c r="AE1382" s="36"/>
      <c r="AF1382" s="36"/>
      <c r="AG1382" s="36"/>
      <c r="AH1382" s="90"/>
      <c r="AI1382" s="85"/>
      <c r="AJ1382" s="36"/>
      <c r="AK1382" s="36"/>
      <c r="AL1382" s="36"/>
      <c r="AM1382" s="36"/>
      <c r="AN1382" s="36"/>
      <c r="AO1382" s="36"/>
      <c r="AP1382" s="36"/>
      <c r="AQ1382" s="36"/>
      <c r="BP1382" s="36"/>
      <c r="BQ1382" s="36"/>
      <c r="BR1382" s="36"/>
      <c r="GE1382" s="94"/>
      <c r="GF1382" s="104">
        <f t="shared" si="447"/>
        <v>2018</v>
      </c>
      <c r="GG1382" s="104">
        <f t="shared" si="448"/>
        <v>23</v>
      </c>
      <c r="GH1382" s="35">
        <v>43257</v>
      </c>
      <c r="GI1382" s="26">
        <v>3.319</v>
      </c>
      <c r="GJ1382" s="94">
        <f t="shared" si="449"/>
        <v>6.638</v>
      </c>
      <c r="GK1382" s="104"/>
      <c r="GL1382" s="104"/>
      <c r="GO1382" s="94"/>
    </row>
    <row r="1383" spans="3:197">
      <c r="C1383" s="80" t="str" cm="1">
        <f t="array" ref="C1383">_xlfn.IFS(MONTH(D1383)&lt;4,1,MONTH(D1383)&lt;7,2,MONTH(D1383)&lt;10,3,MONTH(D1383)&gt;9,4)&amp;"Q"&amp;RIGHT(YEAR(D1383),2)</f>
        <v>3Q21</v>
      </c>
      <c r="D1383" s="81">
        <f t="shared" si="455"/>
        <v>44408</v>
      </c>
      <c r="E1383" s="82">
        <f t="shared" si="452"/>
        <v>44403</v>
      </c>
      <c r="F1383" s="83">
        <f t="shared" si="456"/>
        <v>0.5625</v>
      </c>
      <c r="G1383" s="83">
        <f t="shared" si="456"/>
        <v>0.5125</v>
      </c>
      <c r="H1383" s="81"/>
      <c r="I1383" s="146">
        <v>44403</v>
      </c>
      <c r="J1383" s="147">
        <v>4.75</v>
      </c>
      <c r="K1383" s="147">
        <v>4.45</v>
      </c>
      <c r="L1383" s="147">
        <v>4.5</v>
      </c>
      <c r="M1383" s="94" cm="1">
        <f t="array" ref="M1383">INDEX($BV$29:$BV$1449,MATCH($D1383,$BR$29:$BR$1449,0),)</f>
        <v>4.1</v>
      </c>
      <c r="N1383" s="150">
        <f t="shared" si="453"/>
        <v>-0.00221729490022171</v>
      </c>
      <c r="O1383" s="150">
        <f t="shared" si="451"/>
        <v>-0.0163934426229508</v>
      </c>
      <c r="P1383" s="150">
        <f t="shared" si="450"/>
        <v>-0.0217391304347825</v>
      </c>
      <c r="Q1383" s="89">
        <f t="shared" si="454"/>
        <v>0.0975609756097562</v>
      </c>
      <c r="R1383" s="36"/>
      <c r="S1383" s="36"/>
      <c r="T1383" s="36"/>
      <c r="U1383" s="36"/>
      <c r="V1383" s="36"/>
      <c r="W1383" s="36"/>
      <c r="X1383" s="36"/>
      <c r="Y1383" s="36"/>
      <c r="Z1383" s="36"/>
      <c r="AA1383" s="36"/>
      <c r="AB1383" s="36"/>
      <c r="AC1383" s="36"/>
      <c r="AD1383" s="36"/>
      <c r="AE1383" s="36"/>
      <c r="AF1383" s="36"/>
      <c r="AG1383" s="36"/>
      <c r="AH1383" s="90"/>
      <c r="AI1383" s="85"/>
      <c r="AJ1383" s="36"/>
      <c r="AK1383" s="36"/>
      <c r="AL1383" s="36"/>
      <c r="AM1383" s="36"/>
      <c r="AN1383" s="36"/>
      <c r="AO1383" s="36"/>
      <c r="AP1383" s="36"/>
      <c r="AQ1383" s="36"/>
      <c r="BP1383" s="36"/>
      <c r="BQ1383" s="36"/>
      <c r="BR1383" s="36"/>
      <c r="GE1383" s="94"/>
      <c r="GF1383" s="104">
        <f t="shared" si="447"/>
        <v>2018</v>
      </c>
      <c r="GG1383" s="104">
        <f t="shared" si="448"/>
        <v>23</v>
      </c>
      <c r="GH1383" s="35">
        <v>43258</v>
      </c>
      <c r="GI1383" s="26">
        <v>3.319</v>
      </c>
      <c r="GJ1383" s="94">
        <f t="shared" si="449"/>
        <v>6.638</v>
      </c>
      <c r="GK1383" s="104"/>
      <c r="GL1383" s="104"/>
      <c r="GO1383" s="94"/>
    </row>
    <row r="1384" spans="3:197">
      <c r="C1384" s="80" t="str" cm="1">
        <f t="array" ref="C1384">_xlfn.IFS(MONTH(D1384)&lt;4,1,MONTH(D1384)&lt;7,2,MONTH(D1384)&lt;10,3,MONTH(D1384)&gt;9,4)&amp;"Q"&amp;RIGHT(YEAR(D1384),2)</f>
        <v>3Q21</v>
      </c>
      <c r="D1384" s="81">
        <f t="shared" si="455"/>
        <v>44408</v>
      </c>
      <c r="E1384" s="82">
        <f t="shared" si="452"/>
        <v>44404</v>
      </c>
      <c r="F1384" s="83">
        <f t="shared" si="456"/>
        <v>0.5625</v>
      </c>
      <c r="G1384" s="83">
        <f t="shared" si="456"/>
        <v>0.5125</v>
      </c>
      <c r="H1384" s="81"/>
      <c r="I1384" s="146">
        <v>44404</v>
      </c>
      <c r="J1384" s="147">
        <v>4.7</v>
      </c>
      <c r="K1384" s="147">
        <v>4.45</v>
      </c>
      <c r="L1384" s="147">
        <v>4.5</v>
      </c>
      <c r="M1384" s="94" cm="1">
        <f t="array" ref="M1384">INDEX($BV$29:$BV$1449,MATCH($D1384,$BR$29:$BR$1449,0),)</f>
        <v>4.1</v>
      </c>
      <c r="N1384" s="150">
        <f t="shared" si="453"/>
        <v>0</v>
      </c>
      <c r="O1384" s="150">
        <f t="shared" si="451"/>
        <v>-0.0109890109890109</v>
      </c>
      <c r="P1384" s="150">
        <f t="shared" si="450"/>
        <v>-0.0196078431372548</v>
      </c>
      <c r="Q1384" s="89">
        <f t="shared" si="454"/>
        <v>0.0975609756097562</v>
      </c>
      <c r="R1384" s="36"/>
      <c r="S1384" s="36"/>
      <c r="T1384" s="36"/>
      <c r="U1384" s="36"/>
      <c r="V1384" s="36"/>
      <c r="W1384" s="36"/>
      <c r="X1384" s="36"/>
      <c r="Y1384" s="36"/>
      <c r="Z1384" s="36"/>
      <c r="AA1384" s="36"/>
      <c r="AB1384" s="36"/>
      <c r="AC1384" s="36"/>
      <c r="AD1384" s="36"/>
      <c r="AE1384" s="36"/>
      <c r="AF1384" s="36"/>
      <c r="AG1384" s="36"/>
      <c r="AH1384" s="90"/>
      <c r="AI1384" s="85"/>
      <c r="AJ1384" s="36"/>
      <c r="AK1384" s="36"/>
      <c r="AL1384" s="36"/>
      <c r="AM1384" s="36"/>
      <c r="AN1384" s="36"/>
      <c r="AO1384" s="36"/>
      <c r="AP1384" s="36"/>
      <c r="AQ1384" s="36"/>
      <c r="BP1384" s="36"/>
      <c r="BQ1384" s="36"/>
      <c r="BR1384" s="36"/>
      <c r="GE1384" s="94"/>
      <c r="GF1384" s="104">
        <f t="shared" si="447"/>
        <v>2018</v>
      </c>
      <c r="GG1384" s="104">
        <f t="shared" si="448"/>
        <v>23</v>
      </c>
      <c r="GH1384" s="35">
        <v>43259</v>
      </c>
      <c r="GI1384" s="26">
        <v>3.319</v>
      </c>
      <c r="GJ1384" s="94">
        <f t="shared" si="449"/>
        <v>6.638</v>
      </c>
      <c r="GK1384" s="104"/>
      <c r="GL1384" s="104"/>
      <c r="GO1384" s="94"/>
    </row>
    <row r="1385" spans="3:197">
      <c r="C1385" s="80" t="str" cm="1">
        <f t="array" ref="C1385">_xlfn.IFS(MONTH(D1385)&lt;4,1,MONTH(D1385)&lt;7,2,MONTH(D1385)&lt;10,3,MONTH(D1385)&gt;9,4)&amp;"Q"&amp;RIGHT(YEAR(D1385),2)</f>
        <v>3Q21</v>
      </c>
      <c r="D1385" s="81">
        <f t="shared" si="455"/>
        <v>44408</v>
      </c>
      <c r="E1385" s="82">
        <f t="shared" si="452"/>
        <v>44405</v>
      </c>
      <c r="F1385" s="83">
        <f t="shared" si="456"/>
        <v>0.559375</v>
      </c>
      <c r="G1385" s="83">
        <f t="shared" si="456"/>
        <v>0.5125</v>
      </c>
      <c r="H1385" s="81"/>
      <c r="I1385" s="146">
        <v>44405</v>
      </c>
      <c r="J1385" s="147">
        <v>4.65</v>
      </c>
      <c r="K1385" s="147">
        <v>4.4</v>
      </c>
      <c r="L1385" s="147">
        <v>4.475</v>
      </c>
      <c r="M1385" s="94" cm="1">
        <f t="array" ref="M1385">INDEX($BV$29:$BV$1449,MATCH($D1385,$BR$29:$BR$1449,0),)</f>
        <v>4.1</v>
      </c>
      <c r="N1385" s="150">
        <f t="shared" si="453"/>
        <v>-0.00555555555555565</v>
      </c>
      <c r="O1385" s="150">
        <f t="shared" si="451"/>
        <v>-0.0110497237569063</v>
      </c>
      <c r="P1385" s="150">
        <f t="shared" si="450"/>
        <v>-0.0250544662309369</v>
      </c>
      <c r="Q1385" s="89">
        <f t="shared" si="454"/>
        <v>0.0914634146341464</v>
      </c>
      <c r="R1385" s="36"/>
      <c r="S1385" s="36"/>
      <c r="T1385" s="36"/>
      <c r="U1385" s="36"/>
      <c r="V1385" s="36"/>
      <c r="W1385" s="36"/>
      <c r="X1385" s="36"/>
      <c r="Y1385" s="36"/>
      <c r="Z1385" s="36"/>
      <c r="AA1385" s="36"/>
      <c r="AB1385" s="36"/>
      <c r="AC1385" s="36"/>
      <c r="AD1385" s="36"/>
      <c r="AE1385" s="36"/>
      <c r="AF1385" s="36"/>
      <c r="AG1385" s="36"/>
      <c r="AH1385" s="90"/>
      <c r="AI1385" s="85"/>
      <c r="AJ1385" s="36"/>
      <c r="AK1385" s="36"/>
      <c r="AL1385" s="36"/>
      <c r="AM1385" s="36"/>
      <c r="AN1385" s="36"/>
      <c r="AO1385" s="36"/>
      <c r="AP1385" s="36"/>
      <c r="AQ1385" s="36"/>
      <c r="BP1385" s="36"/>
      <c r="BQ1385" s="36"/>
      <c r="BR1385" s="36"/>
      <c r="GE1385" s="94"/>
      <c r="GF1385" s="104">
        <f t="shared" si="447"/>
        <v>2018</v>
      </c>
      <c r="GG1385" s="104">
        <f t="shared" si="448"/>
        <v>24</v>
      </c>
      <c r="GH1385" s="35">
        <v>43262</v>
      </c>
      <c r="GI1385" s="26">
        <v>3.319</v>
      </c>
      <c r="GJ1385" s="94">
        <f t="shared" si="449"/>
        <v>6.638</v>
      </c>
      <c r="GK1385" s="104"/>
      <c r="GL1385" s="104"/>
      <c r="GO1385" s="94"/>
    </row>
    <row r="1386" spans="3:197">
      <c r="C1386" s="80" t="str" cm="1">
        <f t="array" ref="C1386">_xlfn.IFS(MONTH(D1386)&lt;4,1,MONTH(D1386)&lt;7,2,MONTH(D1386)&lt;10,3,MONTH(D1386)&gt;9,4)&amp;"Q"&amp;RIGHT(YEAR(D1386),2)</f>
        <v>3Q21</v>
      </c>
      <c r="D1386" s="81">
        <f t="shared" si="455"/>
        <v>44408</v>
      </c>
      <c r="E1386" s="82">
        <f t="shared" si="452"/>
        <v>44406</v>
      </c>
      <c r="F1386" s="83">
        <f t="shared" si="456"/>
        <v>0.55625</v>
      </c>
      <c r="G1386" s="83">
        <f t="shared" si="456"/>
        <v>0.5125</v>
      </c>
      <c r="H1386" s="81"/>
      <c r="I1386" s="146">
        <v>44406</v>
      </c>
      <c r="J1386" s="147">
        <v>4.65</v>
      </c>
      <c r="K1386" s="147">
        <v>4.4</v>
      </c>
      <c r="L1386" s="147">
        <v>4.45</v>
      </c>
      <c r="M1386" s="94" cm="1">
        <f t="array" ref="M1386">INDEX($BV$29:$BV$1449,MATCH($D1386,$BR$29:$BR$1449,0),)</f>
        <v>4.1</v>
      </c>
      <c r="N1386" s="150">
        <f t="shared" si="453"/>
        <v>-0.00558659217877078</v>
      </c>
      <c r="O1386" s="150">
        <f t="shared" si="451"/>
        <v>-0.0133037694013303</v>
      </c>
      <c r="P1386" s="150">
        <f t="shared" si="450"/>
        <v>-0.0357529794149513</v>
      </c>
      <c r="Q1386" s="89">
        <f t="shared" si="454"/>
        <v>0.0853658536585367</v>
      </c>
      <c r="R1386" s="36"/>
      <c r="S1386" s="36"/>
      <c r="T1386" s="36"/>
      <c r="U1386" s="36"/>
      <c r="V1386" s="36"/>
      <c r="W1386" s="36"/>
      <c r="X1386" s="36"/>
      <c r="Y1386" s="36"/>
      <c r="Z1386" s="36"/>
      <c r="AA1386" s="36"/>
      <c r="AB1386" s="36"/>
      <c r="AC1386" s="36"/>
      <c r="AD1386" s="36"/>
      <c r="AE1386" s="36"/>
      <c r="AF1386" s="36"/>
      <c r="AG1386" s="36"/>
      <c r="AH1386" s="90"/>
      <c r="AI1386" s="85"/>
      <c r="AJ1386" s="36"/>
      <c r="AK1386" s="36"/>
      <c r="AL1386" s="36"/>
      <c r="AM1386" s="36"/>
      <c r="AN1386" s="36"/>
      <c r="AO1386" s="36"/>
      <c r="AP1386" s="36"/>
      <c r="AQ1386" s="36"/>
      <c r="BP1386" s="36"/>
      <c r="BQ1386" s="36"/>
      <c r="BR1386" s="36"/>
      <c r="GE1386" s="94"/>
      <c r="GF1386" s="104">
        <f t="shared" si="447"/>
        <v>2018</v>
      </c>
      <c r="GG1386" s="104">
        <f t="shared" si="448"/>
        <v>24</v>
      </c>
      <c r="GH1386" s="35">
        <v>43263</v>
      </c>
      <c r="GI1386" s="26">
        <v>3.319</v>
      </c>
      <c r="GJ1386" s="94">
        <f t="shared" si="449"/>
        <v>6.638</v>
      </c>
      <c r="GK1386" s="104"/>
      <c r="GL1386" s="104"/>
      <c r="GO1386" s="94"/>
    </row>
    <row r="1387" spans="3:197">
      <c r="C1387" s="80" t="str" cm="1">
        <f t="array" ref="C1387">_xlfn.IFS(MONTH(D1387)&lt;4,1,MONTH(D1387)&lt;7,2,MONTH(D1387)&lt;10,3,MONTH(D1387)&gt;9,4)&amp;"Q"&amp;RIGHT(YEAR(D1387),2)</f>
        <v>3Q21</v>
      </c>
      <c r="D1387" s="81">
        <f t="shared" si="455"/>
        <v>44408</v>
      </c>
      <c r="E1387" s="82">
        <f t="shared" si="452"/>
        <v>44407</v>
      </c>
      <c r="F1387" s="83">
        <f t="shared" si="456"/>
        <v>0.553125</v>
      </c>
      <c r="G1387" s="83">
        <f t="shared" si="456"/>
        <v>0.5125</v>
      </c>
      <c r="H1387" s="81"/>
      <c r="I1387" s="146">
        <v>44407</v>
      </c>
      <c r="J1387" s="147">
        <v>4.65</v>
      </c>
      <c r="K1387" s="147">
        <v>4.35</v>
      </c>
      <c r="L1387" s="147">
        <v>4.425</v>
      </c>
      <c r="M1387" s="94" cm="1">
        <f t="array" ref="M1387">INDEX($BV$29:$BV$1449,MATCH($D1387,$BR$29:$BR$1449,0),)</f>
        <v>4.1</v>
      </c>
      <c r="N1387" s="150">
        <f t="shared" si="453"/>
        <v>-0.00561797752809001</v>
      </c>
      <c r="O1387" s="150">
        <f t="shared" si="451"/>
        <v>-0.0188470066518847</v>
      </c>
      <c r="P1387" s="150">
        <f t="shared" si="450"/>
        <v>-0.0411700975081257</v>
      </c>
      <c r="Q1387" s="89">
        <f t="shared" si="454"/>
        <v>0.0792682926829269</v>
      </c>
      <c r="R1387" s="36"/>
      <c r="S1387" s="36"/>
      <c r="T1387" s="36"/>
      <c r="U1387" s="36"/>
      <c r="V1387" s="36"/>
      <c r="W1387" s="36"/>
      <c r="X1387" s="36"/>
      <c r="Y1387" s="36"/>
      <c r="Z1387" s="36"/>
      <c r="AA1387" s="36"/>
      <c r="AB1387" s="36"/>
      <c r="AC1387" s="36"/>
      <c r="AD1387" s="36"/>
      <c r="AE1387" s="36"/>
      <c r="AF1387" s="36"/>
      <c r="AG1387" s="36"/>
      <c r="AH1387" s="90"/>
      <c r="AI1387" s="85"/>
      <c r="AJ1387" s="36"/>
      <c r="AK1387" s="36"/>
      <c r="AL1387" s="36"/>
      <c r="AM1387" s="36"/>
      <c r="AN1387" s="36"/>
      <c r="AO1387" s="36"/>
      <c r="AP1387" s="36"/>
      <c r="AQ1387" s="36"/>
      <c r="BP1387" s="36"/>
      <c r="BQ1387" s="36"/>
      <c r="BR1387" s="36"/>
      <c r="GE1387" s="94"/>
      <c r="GF1387" s="104">
        <f t="shared" si="447"/>
        <v>2018</v>
      </c>
      <c r="GG1387" s="104">
        <f t="shared" si="448"/>
        <v>24</v>
      </c>
      <c r="GH1387" s="35">
        <v>43264</v>
      </c>
      <c r="GI1387" s="26">
        <v>3.319</v>
      </c>
      <c r="GJ1387" s="94">
        <f t="shared" si="449"/>
        <v>6.638</v>
      </c>
      <c r="GK1387" s="104"/>
      <c r="GL1387" s="104"/>
      <c r="GO1387" s="94"/>
    </row>
    <row r="1388" spans="3:197">
      <c r="C1388" s="80" t="str" cm="1">
        <f t="array" ref="C1388">_xlfn.IFS(MONTH(D1388)&lt;4,1,MONTH(D1388)&lt;7,2,MONTH(D1388)&lt;10,3,MONTH(D1388)&gt;9,4)&amp;"Q"&amp;RIGHT(YEAR(D1388),2)</f>
        <v>3Q21</v>
      </c>
      <c r="D1388" s="81">
        <f t="shared" si="455"/>
        <v>44439</v>
      </c>
      <c r="E1388" s="82">
        <f t="shared" si="452"/>
        <v>44410</v>
      </c>
      <c r="F1388" s="83">
        <f t="shared" si="456"/>
        <v>0.561875</v>
      </c>
      <c r="G1388" s="83">
        <f t="shared" si="456"/>
        <v>0.5125</v>
      </c>
      <c r="H1388" s="81"/>
      <c r="I1388" s="146">
        <v>44410</v>
      </c>
      <c r="J1388" s="147">
        <v>5.98</v>
      </c>
      <c r="K1388" s="147">
        <v>4.3</v>
      </c>
      <c r="L1388" s="147">
        <v>4.495</v>
      </c>
      <c r="M1388" s="94" cm="1">
        <f t="array" ref="M1388">INDEX($BV$29:$BV$1449,MATCH($D1388,$BR$29:$BR$1449,0),)</f>
        <v>4.1</v>
      </c>
      <c r="N1388" s="150">
        <f t="shared" si="453"/>
        <v>0.0158192090395481</v>
      </c>
      <c r="O1388" s="150">
        <f t="shared" si="451"/>
        <v>-0.00111111111111106</v>
      </c>
      <c r="P1388" s="150">
        <f t="shared" si="450"/>
        <v>-0.0174863387978142</v>
      </c>
      <c r="Q1388" s="89">
        <f t="shared" si="454"/>
        <v>0.0963414634146342</v>
      </c>
      <c r="R1388" s="36"/>
      <c r="S1388" s="36"/>
      <c r="T1388" s="36"/>
      <c r="U1388" s="36"/>
      <c r="V1388" s="36"/>
      <c r="W1388" s="36"/>
      <c r="X1388" s="36"/>
      <c r="Y1388" s="36"/>
      <c r="Z1388" s="36"/>
      <c r="AA1388" s="36"/>
      <c r="AB1388" s="36"/>
      <c r="AC1388" s="36"/>
      <c r="AD1388" s="36"/>
      <c r="AE1388" s="36"/>
      <c r="AF1388" s="36"/>
      <c r="AG1388" s="36"/>
      <c r="AH1388" s="90"/>
      <c r="AI1388" s="85"/>
      <c r="AJ1388" s="36"/>
      <c r="AK1388" s="36"/>
      <c r="AL1388" s="36"/>
      <c r="AM1388" s="36"/>
      <c r="AN1388" s="36"/>
      <c r="AO1388" s="36"/>
      <c r="AP1388" s="36"/>
      <c r="AQ1388" s="36"/>
      <c r="BP1388" s="36"/>
      <c r="BQ1388" s="36"/>
      <c r="BR1388" s="36"/>
      <c r="GE1388" s="94"/>
      <c r="GF1388" s="104">
        <f t="shared" si="447"/>
        <v>2018</v>
      </c>
      <c r="GG1388" s="104">
        <f t="shared" si="448"/>
        <v>24</v>
      </c>
      <c r="GH1388" s="35">
        <v>43265</v>
      </c>
      <c r="GI1388" s="26">
        <v>3.315</v>
      </c>
      <c r="GJ1388" s="94">
        <f t="shared" si="449"/>
        <v>6.63</v>
      </c>
      <c r="GK1388" s="104"/>
      <c r="GL1388" s="104"/>
      <c r="GO1388" s="94"/>
    </row>
    <row r="1389" spans="3:197">
      <c r="C1389" s="80" t="str" cm="1">
        <f t="array" ref="C1389">_xlfn.IFS(MONTH(D1389)&lt;4,1,MONTH(D1389)&lt;7,2,MONTH(D1389)&lt;10,3,MONTH(D1389)&gt;9,4)&amp;"Q"&amp;RIGHT(YEAR(D1389),2)</f>
        <v>3Q21</v>
      </c>
      <c r="D1389" s="81">
        <f t="shared" si="455"/>
        <v>44439</v>
      </c>
      <c r="E1389" s="82">
        <f t="shared" si="452"/>
        <v>44411</v>
      </c>
      <c r="F1389" s="83">
        <f t="shared" si="456"/>
        <v>0.560625</v>
      </c>
      <c r="G1389" s="83">
        <f t="shared" si="456"/>
        <v>0.5125</v>
      </c>
      <c r="H1389" s="81"/>
      <c r="I1389" s="146">
        <v>44411</v>
      </c>
      <c r="J1389" s="147">
        <v>5.95</v>
      </c>
      <c r="K1389" s="147">
        <v>4.3</v>
      </c>
      <c r="L1389" s="147">
        <v>4.485</v>
      </c>
      <c r="M1389" s="94" cm="1">
        <f t="array" ref="M1389">INDEX($BV$29:$BV$1449,MATCH($D1389,$BR$29:$BR$1449,0),)</f>
        <v>4.1</v>
      </c>
      <c r="N1389" s="150">
        <f t="shared" si="453"/>
        <v>-0.00222469410456061</v>
      </c>
      <c r="O1389" s="150">
        <f t="shared" si="451"/>
        <v>-0.0033333333333333</v>
      </c>
      <c r="P1389" s="150">
        <f t="shared" si="450"/>
        <v>-0.0142857142857141</v>
      </c>
      <c r="Q1389" s="89">
        <f t="shared" si="454"/>
        <v>0.0939024390243903</v>
      </c>
      <c r="R1389" s="36"/>
      <c r="S1389" s="36"/>
      <c r="T1389" s="36"/>
      <c r="U1389" s="36"/>
      <c r="V1389" s="36"/>
      <c r="W1389" s="36"/>
      <c r="X1389" s="36"/>
      <c r="Y1389" s="36"/>
      <c r="Z1389" s="36"/>
      <c r="AA1389" s="36"/>
      <c r="AB1389" s="36"/>
      <c r="AC1389" s="36"/>
      <c r="AD1389" s="36"/>
      <c r="AE1389" s="36"/>
      <c r="AF1389" s="36"/>
      <c r="AG1389" s="36"/>
      <c r="AH1389" s="90"/>
      <c r="AI1389" s="85"/>
      <c r="AJ1389" s="36"/>
      <c r="AK1389" s="36"/>
      <c r="AL1389" s="36"/>
      <c r="AM1389" s="36"/>
      <c r="AN1389" s="36"/>
      <c r="AO1389" s="36"/>
      <c r="AP1389" s="36"/>
      <c r="AQ1389" s="36"/>
      <c r="BP1389" s="36"/>
      <c r="BQ1389" s="36"/>
      <c r="BR1389" s="36"/>
      <c r="GE1389" s="94"/>
      <c r="GF1389" s="104">
        <f t="shared" si="447"/>
        <v>2018</v>
      </c>
      <c r="GG1389" s="104">
        <f t="shared" si="448"/>
        <v>24</v>
      </c>
      <c r="GH1389" s="35">
        <v>43266</v>
      </c>
      <c r="GI1389" s="26">
        <v>3.314</v>
      </c>
      <c r="GJ1389" s="94">
        <f t="shared" si="449"/>
        <v>6.628</v>
      </c>
      <c r="GK1389" s="104"/>
      <c r="GL1389" s="104"/>
      <c r="GO1389" s="94"/>
    </row>
    <row r="1390" spans="3:197">
      <c r="C1390" s="80" t="str" cm="1">
        <f t="array" ref="C1390">_xlfn.IFS(MONTH(D1390)&lt;4,1,MONTH(D1390)&lt;7,2,MONTH(D1390)&lt;10,3,MONTH(D1390)&gt;9,4)&amp;"Q"&amp;RIGHT(YEAR(D1390),2)</f>
        <v>3Q21</v>
      </c>
      <c r="D1390" s="81">
        <f t="shared" si="455"/>
        <v>44439</v>
      </c>
      <c r="E1390" s="82">
        <f t="shared" si="452"/>
        <v>44412</v>
      </c>
      <c r="F1390" s="83">
        <f t="shared" si="456"/>
        <v>0.56</v>
      </c>
      <c r="G1390" s="83">
        <f t="shared" si="456"/>
        <v>0.5125</v>
      </c>
      <c r="H1390" s="81"/>
      <c r="I1390" s="146">
        <v>44412</v>
      </c>
      <c r="J1390" s="147">
        <v>5.95</v>
      </c>
      <c r="K1390" s="147">
        <v>4.3</v>
      </c>
      <c r="L1390" s="147">
        <v>4.48</v>
      </c>
      <c r="M1390" s="94" cm="1">
        <f t="array" ref="M1390">INDEX($BV$29:$BV$1449,MATCH($D1390,$BR$29:$BR$1449,0),)</f>
        <v>4.1</v>
      </c>
      <c r="N1390" s="150">
        <f t="shared" si="453"/>
        <v>-0.00111482720178369</v>
      </c>
      <c r="O1390" s="150">
        <f t="shared" si="451"/>
        <v>0.00111731843575447</v>
      </c>
      <c r="P1390" s="150">
        <f t="shared" si="450"/>
        <v>-0.00994475138121542</v>
      </c>
      <c r="Q1390" s="89">
        <f t="shared" si="454"/>
        <v>0.0926829268292686</v>
      </c>
      <c r="R1390" s="36"/>
      <c r="S1390" s="36"/>
      <c r="T1390" s="36"/>
      <c r="U1390" s="36"/>
      <c r="V1390" s="36"/>
      <c r="W1390" s="36"/>
      <c r="X1390" s="36"/>
      <c r="Y1390" s="36"/>
      <c r="Z1390" s="36"/>
      <c r="AA1390" s="36"/>
      <c r="AB1390" s="36"/>
      <c r="AC1390" s="36"/>
      <c r="AD1390" s="36"/>
      <c r="AE1390" s="36"/>
      <c r="AF1390" s="36"/>
      <c r="AG1390" s="36"/>
      <c r="AH1390" s="90"/>
      <c r="AI1390" s="85"/>
      <c r="AJ1390" s="36"/>
      <c r="AK1390" s="36"/>
      <c r="AL1390" s="36"/>
      <c r="AM1390" s="36"/>
      <c r="AN1390" s="36"/>
      <c r="AO1390" s="36"/>
      <c r="AP1390" s="36"/>
      <c r="AQ1390" s="36"/>
      <c r="BP1390" s="36"/>
      <c r="BQ1390" s="36"/>
      <c r="BR1390" s="36"/>
      <c r="GE1390" s="94"/>
      <c r="GF1390" s="104">
        <f t="shared" si="447"/>
        <v>2018</v>
      </c>
      <c r="GG1390" s="104">
        <f t="shared" si="448"/>
        <v>25</v>
      </c>
      <c r="GH1390" s="35">
        <v>43270</v>
      </c>
      <c r="GI1390" s="26">
        <v>3.313</v>
      </c>
      <c r="GJ1390" s="94">
        <f t="shared" si="449"/>
        <v>6.626</v>
      </c>
      <c r="GK1390" s="104"/>
      <c r="GL1390" s="104"/>
      <c r="GO1390" s="94"/>
    </row>
    <row r="1391" spans="3:197">
      <c r="C1391" s="80" t="str" cm="1">
        <f t="array" ref="C1391">_xlfn.IFS(MONTH(D1391)&lt;4,1,MONTH(D1391)&lt;7,2,MONTH(D1391)&lt;10,3,MONTH(D1391)&gt;9,4)&amp;"Q"&amp;RIGHT(YEAR(D1391),2)</f>
        <v>3Q21</v>
      </c>
      <c r="D1391" s="81">
        <f t="shared" si="455"/>
        <v>44439</v>
      </c>
      <c r="E1391" s="82">
        <f t="shared" si="452"/>
        <v>44413</v>
      </c>
      <c r="F1391" s="83">
        <f t="shared" si="456"/>
        <v>0.5565</v>
      </c>
      <c r="G1391" s="83">
        <f t="shared" si="456"/>
        <v>0.5125</v>
      </c>
      <c r="H1391" s="81"/>
      <c r="I1391" s="146">
        <v>44413</v>
      </c>
      <c r="J1391" s="147">
        <v>5.8</v>
      </c>
      <c r="K1391" s="147">
        <v>4.3</v>
      </c>
      <c r="L1391" s="147">
        <v>4.452</v>
      </c>
      <c r="M1391" s="94" cm="1">
        <f t="array" ref="M1391">INDEX($BV$29:$BV$1449,MATCH($D1391,$BR$29:$BR$1449,0),)</f>
        <v>4.1</v>
      </c>
      <c r="N1391" s="150">
        <f t="shared" si="453"/>
        <v>-0.00625000000000009</v>
      </c>
      <c r="O1391" s="150">
        <f t="shared" si="451"/>
        <v>0.000449438202247077</v>
      </c>
      <c r="P1391" s="150">
        <f t="shared" si="450"/>
        <v>-0.012860310421286</v>
      </c>
      <c r="Q1391" s="89">
        <f t="shared" si="454"/>
        <v>0.0858536585365854</v>
      </c>
      <c r="R1391" s="36"/>
      <c r="S1391" s="36"/>
      <c r="T1391" s="36"/>
      <c r="U1391" s="36"/>
      <c r="V1391" s="36"/>
      <c r="W1391" s="36"/>
      <c r="X1391" s="36"/>
      <c r="Y1391" s="36"/>
      <c r="Z1391" s="36"/>
      <c r="AA1391" s="36"/>
      <c r="AB1391" s="36"/>
      <c r="AC1391" s="36"/>
      <c r="AD1391" s="36"/>
      <c r="AE1391" s="36"/>
      <c r="AF1391" s="36"/>
      <c r="AG1391" s="36"/>
      <c r="AH1391" s="90"/>
      <c r="AI1391" s="85"/>
      <c r="AJ1391" s="36"/>
      <c r="AK1391" s="36"/>
      <c r="AL1391" s="36"/>
      <c r="AM1391" s="36"/>
      <c r="AN1391" s="36"/>
      <c r="AO1391" s="36"/>
      <c r="AP1391" s="36"/>
      <c r="AQ1391" s="36"/>
      <c r="BP1391" s="36"/>
      <c r="BQ1391" s="36"/>
      <c r="BR1391" s="36"/>
      <c r="GE1391" s="94"/>
      <c r="GF1391" s="104">
        <f t="shared" si="447"/>
        <v>2018</v>
      </c>
      <c r="GG1391" s="104">
        <f t="shared" si="448"/>
        <v>25</v>
      </c>
      <c r="GH1391" s="35">
        <v>43271</v>
      </c>
      <c r="GI1391" s="26">
        <v>3.311</v>
      </c>
      <c r="GJ1391" s="94">
        <f t="shared" si="449"/>
        <v>6.622</v>
      </c>
      <c r="GK1391" s="104"/>
      <c r="GL1391" s="104"/>
      <c r="GO1391" s="94"/>
    </row>
    <row r="1392" spans="3:197">
      <c r="C1392" s="80" t="str" cm="1">
        <f t="array" ref="C1392">_xlfn.IFS(MONTH(D1392)&lt;4,1,MONTH(D1392)&lt;7,2,MONTH(D1392)&lt;10,3,MONTH(D1392)&gt;9,4)&amp;"Q"&amp;RIGHT(YEAR(D1392),2)</f>
        <v>3Q21</v>
      </c>
      <c r="D1392" s="81">
        <f t="shared" si="455"/>
        <v>44439</v>
      </c>
      <c r="E1392" s="82">
        <f t="shared" si="452"/>
        <v>44414</v>
      </c>
      <c r="F1392" s="83">
        <f t="shared" si="456"/>
        <v>0.555125</v>
      </c>
      <c r="G1392" s="83">
        <f t="shared" si="456"/>
        <v>0.5125</v>
      </c>
      <c r="H1392" s="81"/>
      <c r="I1392" s="146">
        <v>44414</v>
      </c>
      <c r="J1392" s="147">
        <v>5.6</v>
      </c>
      <c r="K1392" s="147">
        <v>4.3</v>
      </c>
      <c r="L1392" s="147">
        <v>4.441</v>
      </c>
      <c r="M1392" s="94" cm="1">
        <f t="array" ref="M1392">INDEX($BV$29:$BV$1449,MATCH($D1392,$BR$29:$BR$1449,0),)</f>
        <v>4.1</v>
      </c>
      <c r="N1392" s="150">
        <f t="shared" si="453"/>
        <v>-0.00247079964061103</v>
      </c>
      <c r="O1392" s="150">
        <f t="shared" si="451"/>
        <v>0.00361581920903964</v>
      </c>
      <c r="P1392" s="150">
        <f t="shared" si="450"/>
        <v>-0.0152993348115299</v>
      </c>
      <c r="Q1392" s="89">
        <f t="shared" si="454"/>
        <v>0.0831707317073171</v>
      </c>
      <c r="R1392" s="36"/>
      <c r="S1392" s="36"/>
      <c r="T1392" s="36"/>
      <c r="U1392" s="36"/>
      <c r="V1392" s="36"/>
      <c r="W1392" s="36"/>
      <c r="X1392" s="36"/>
      <c r="Y1392" s="36"/>
      <c r="Z1392" s="36"/>
      <c r="AA1392" s="36"/>
      <c r="AB1392" s="36"/>
      <c r="AC1392" s="36"/>
      <c r="AD1392" s="36"/>
      <c r="AE1392" s="36"/>
      <c r="AF1392" s="36"/>
      <c r="AG1392" s="36"/>
      <c r="AH1392" s="90"/>
      <c r="AI1392" s="85"/>
      <c r="AJ1392" s="36"/>
      <c r="AK1392" s="36"/>
      <c r="AL1392" s="36"/>
      <c r="AM1392" s="36"/>
      <c r="AN1392" s="36"/>
      <c r="AO1392" s="36"/>
      <c r="AP1392" s="36"/>
      <c r="AQ1392" s="36"/>
      <c r="BP1392" s="36"/>
      <c r="BQ1392" s="36"/>
      <c r="BR1392" s="36"/>
      <c r="GE1392" s="94"/>
      <c r="GF1392" s="104">
        <f t="shared" si="447"/>
        <v>2018</v>
      </c>
      <c r="GG1392" s="104">
        <f t="shared" si="448"/>
        <v>25</v>
      </c>
      <c r="GH1392" s="35">
        <v>43272</v>
      </c>
      <c r="GI1392" s="26">
        <v>3.311</v>
      </c>
      <c r="GJ1392" s="94">
        <f t="shared" si="449"/>
        <v>6.622</v>
      </c>
      <c r="GK1392" s="104"/>
      <c r="GL1392" s="104"/>
      <c r="GO1392" s="94"/>
    </row>
    <row r="1393" spans="3:197">
      <c r="C1393" s="80" t="str" cm="1">
        <f t="array" ref="C1393">_xlfn.IFS(MONTH(D1393)&lt;4,1,MONTH(D1393)&lt;7,2,MONTH(D1393)&lt;10,3,MONTH(D1393)&gt;9,4)&amp;"Q"&amp;RIGHT(YEAR(D1393),2)</f>
        <v>3Q21</v>
      </c>
      <c r="D1393" s="81">
        <f t="shared" si="455"/>
        <v>44439</v>
      </c>
      <c r="E1393" s="82">
        <f t="shared" si="452"/>
        <v>44417</v>
      </c>
      <c r="F1393" s="83">
        <f t="shared" si="456"/>
        <v>0.540625</v>
      </c>
      <c r="G1393" s="83">
        <f t="shared" si="456"/>
        <v>0.5125</v>
      </c>
      <c r="H1393" s="81"/>
      <c r="I1393" s="146">
        <v>44417</v>
      </c>
      <c r="J1393" s="147">
        <v>5.35</v>
      </c>
      <c r="K1393" s="147">
        <v>4.1</v>
      </c>
      <c r="L1393" s="147">
        <v>4.325</v>
      </c>
      <c r="M1393" s="94" cm="1">
        <f t="array" ref="M1393">INDEX($BV$29:$BV$1449,MATCH($D1393,$BR$29:$BR$1449,0),)</f>
        <v>4.1</v>
      </c>
      <c r="N1393" s="150">
        <f t="shared" si="453"/>
        <v>-0.0261202431884709</v>
      </c>
      <c r="O1393" s="150">
        <f t="shared" si="451"/>
        <v>-0.0378197997775306</v>
      </c>
      <c r="P1393" s="150">
        <f t="shared" si="450"/>
        <v>-0.0388888888888889</v>
      </c>
      <c r="Q1393" s="89">
        <f t="shared" si="454"/>
        <v>0.0548780487804879</v>
      </c>
      <c r="R1393" s="36"/>
      <c r="S1393" s="36"/>
      <c r="T1393" s="36"/>
      <c r="U1393" s="36"/>
      <c r="V1393" s="36"/>
      <c r="W1393" s="36"/>
      <c r="X1393" s="36"/>
      <c r="Y1393" s="36"/>
      <c r="Z1393" s="36"/>
      <c r="AA1393" s="36"/>
      <c r="AB1393" s="36"/>
      <c r="AC1393" s="36"/>
      <c r="AD1393" s="36"/>
      <c r="AE1393" s="36"/>
      <c r="AF1393" s="36"/>
      <c r="AG1393" s="36"/>
      <c r="AH1393" s="90"/>
      <c r="AI1393" s="85"/>
      <c r="AJ1393" s="36"/>
      <c r="AK1393" s="36"/>
      <c r="AL1393" s="36"/>
      <c r="AM1393" s="36"/>
      <c r="AN1393" s="36"/>
      <c r="AO1393" s="36"/>
      <c r="AP1393" s="36"/>
      <c r="AQ1393" s="36"/>
      <c r="BP1393" s="36"/>
      <c r="BQ1393" s="36"/>
      <c r="BR1393" s="36"/>
      <c r="GE1393" s="94"/>
      <c r="GF1393" s="104">
        <f t="shared" si="447"/>
        <v>2018</v>
      </c>
      <c r="GG1393" s="104">
        <f t="shared" si="448"/>
        <v>25</v>
      </c>
      <c r="GH1393" s="35">
        <v>43273</v>
      </c>
      <c r="GI1393" s="26">
        <v>3.311</v>
      </c>
      <c r="GJ1393" s="94">
        <f t="shared" si="449"/>
        <v>6.622</v>
      </c>
      <c r="GK1393" s="104"/>
      <c r="GL1393" s="104"/>
      <c r="GO1393" s="94"/>
    </row>
    <row r="1394" spans="3:197">
      <c r="C1394" s="80" t="str" cm="1">
        <f t="array" ref="C1394">_xlfn.IFS(MONTH(D1394)&lt;4,1,MONTH(D1394)&lt;7,2,MONTH(D1394)&lt;10,3,MONTH(D1394)&gt;9,4)&amp;"Q"&amp;RIGHT(YEAR(D1394),2)</f>
        <v>3Q21</v>
      </c>
      <c r="D1394" s="81">
        <f t="shared" si="455"/>
        <v>44439</v>
      </c>
      <c r="E1394" s="82">
        <f t="shared" si="452"/>
        <v>44418</v>
      </c>
      <c r="F1394" s="83">
        <f t="shared" si="456"/>
        <v>0.531875</v>
      </c>
      <c r="G1394" s="83">
        <f t="shared" si="456"/>
        <v>0.5125</v>
      </c>
      <c r="H1394" s="81"/>
      <c r="I1394" s="146">
        <v>44418</v>
      </c>
      <c r="J1394" s="147">
        <v>5.25</v>
      </c>
      <c r="K1394" s="147">
        <v>4.1</v>
      </c>
      <c r="L1394" s="147">
        <v>4.255</v>
      </c>
      <c r="M1394" s="94" cm="1">
        <f t="array" ref="M1394">INDEX($BV$29:$BV$1449,MATCH($D1394,$BR$29:$BR$1449,0),)</f>
        <v>4.1</v>
      </c>
      <c r="N1394" s="150">
        <f t="shared" si="453"/>
        <v>-0.016184971098266</v>
      </c>
      <c r="O1394" s="150">
        <f t="shared" si="451"/>
        <v>-0.0512820512820513</v>
      </c>
      <c r="P1394" s="150">
        <f t="shared" si="450"/>
        <v>-0.0544444444444445</v>
      </c>
      <c r="Q1394" s="89">
        <f t="shared" si="454"/>
        <v>0.0378048780487805</v>
      </c>
      <c r="R1394" s="36"/>
      <c r="S1394" s="36"/>
      <c r="T1394" s="36"/>
      <c r="U1394" s="36"/>
      <c r="V1394" s="36"/>
      <c r="W1394" s="36"/>
      <c r="X1394" s="36"/>
      <c r="Y1394" s="36"/>
      <c r="Z1394" s="36"/>
      <c r="AA1394" s="36"/>
      <c r="AB1394" s="36"/>
      <c r="AC1394" s="36"/>
      <c r="AD1394" s="36"/>
      <c r="AE1394" s="36"/>
      <c r="AF1394" s="36"/>
      <c r="AG1394" s="36"/>
      <c r="AH1394" s="90"/>
      <c r="AI1394" s="85"/>
      <c r="AJ1394" s="36"/>
      <c r="AK1394" s="36"/>
      <c r="AL1394" s="36"/>
      <c r="AM1394" s="36"/>
      <c r="AN1394" s="36"/>
      <c r="AO1394" s="36"/>
      <c r="AP1394" s="36"/>
      <c r="AQ1394" s="36"/>
      <c r="BP1394" s="36"/>
      <c r="BQ1394" s="36"/>
      <c r="BR1394" s="36"/>
      <c r="GE1394" s="94"/>
      <c r="GF1394" s="104">
        <f t="shared" si="447"/>
        <v>2018</v>
      </c>
      <c r="GG1394" s="104">
        <f t="shared" si="448"/>
        <v>26</v>
      </c>
      <c r="GH1394" s="35">
        <v>43276</v>
      </c>
      <c r="GI1394" s="26">
        <v>3.311</v>
      </c>
      <c r="GJ1394" s="94">
        <f t="shared" si="449"/>
        <v>6.622</v>
      </c>
      <c r="GK1394" s="104"/>
      <c r="GL1394" s="104"/>
      <c r="GO1394" s="94"/>
    </row>
    <row r="1395" spans="3:197">
      <c r="C1395" s="80" t="str" cm="1">
        <f t="array" ref="C1395">_xlfn.IFS(MONTH(D1395)&lt;4,1,MONTH(D1395)&lt;7,2,MONTH(D1395)&lt;10,3,MONTH(D1395)&gt;9,4)&amp;"Q"&amp;RIGHT(YEAR(D1395),2)</f>
        <v>3Q21</v>
      </c>
      <c r="D1395" s="81">
        <f t="shared" si="455"/>
        <v>44439</v>
      </c>
      <c r="E1395" s="82">
        <f t="shared" si="452"/>
        <v>44419</v>
      </c>
      <c r="F1395" s="83">
        <f t="shared" si="456"/>
        <v>0.529875</v>
      </c>
      <c r="G1395" s="83">
        <f t="shared" si="456"/>
        <v>0.5125</v>
      </c>
      <c r="H1395" s="81"/>
      <c r="I1395" s="146">
        <v>44419</v>
      </c>
      <c r="J1395" s="147">
        <v>5.1</v>
      </c>
      <c r="K1395" s="147">
        <v>4.1</v>
      </c>
      <c r="L1395" s="147">
        <v>4.239</v>
      </c>
      <c r="M1395" s="94" cm="1">
        <f t="array" ref="M1395">INDEX($BV$29:$BV$1449,MATCH($D1395,$BR$29:$BR$1449,0),)</f>
        <v>4.1</v>
      </c>
      <c r="N1395" s="150">
        <f t="shared" si="453"/>
        <v>-0.00376028202115164</v>
      </c>
      <c r="O1395" s="150">
        <f t="shared" si="451"/>
        <v>-0.053794642857143</v>
      </c>
      <c r="P1395" s="150">
        <f t="shared" si="450"/>
        <v>-0.0527374301675977</v>
      </c>
      <c r="Q1395" s="89">
        <f t="shared" si="454"/>
        <v>0.0339024390243903</v>
      </c>
      <c r="R1395" s="36"/>
      <c r="S1395" s="36"/>
      <c r="T1395" s="36"/>
      <c r="U1395" s="36"/>
      <c r="V1395" s="36"/>
      <c r="W1395" s="36"/>
      <c r="X1395" s="36"/>
      <c r="Y1395" s="36"/>
      <c r="Z1395" s="36"/>
      <c r="AA1395" s="36"/>
      <c r="AB1395" s="36"/>
      <c r="AC1395" s="36"/>
      <c r="AD1395" s="36"/>
      <c r="AE1395" s="36"/>
      <c r="AF1395" s="36"/>
      <c r="AG1395" s="36"/>
      <c r="AH1395" s="90"/>
      <c r="AI1395" s="85"/>
      <c r="AJ1395" s="36"/>
      <c r="AK1395" s="36"/>
      <c r="AL1395" s="36"/>
      <c r="AM1395" s="36"/>
      <c r="AN1395" s="36"/>
      <c r="AO1395" s="36"/>
      <c r="AP1395" s="36"/>
      <c r="AQ1395" s="36"/>
      <c r="BP1395" s="36"/>
      <c r="BQ1395" s="36"/>
      <c r="BR1395" s="36"/>
      <c r="GE1395" s="94"/>
      <c r="GF1395" s="104">
        <f t="shared" si="447"/>
        <v>2018</v>
      </c>
      <c r="GG1395" s="104">
        <f t="shared" si="448"/>
        <v>26</v>
      </c>
      <c r="GH1395" s="35">
        <v>43277</v>
      </c>
      <c r="GI1395" s="26">
        <v>3.311</v>
      </c>
      <c r="GJ1395" s="94">
        <f t="shared" si="449"/>
        <v>6.622</v>
      </c>
      <c r="GK1395" s="104"/>
      <c r="GL1395" s="104"/>
      <c r="GO1395" s="94"/>
    </row>
    <row r="1396" spans="3:197">
      <c r="C1396" s="80" t="str" cm="1">
        <f t="array" ref="C1396">_xlfn.IFS(MONTH(D1396)&lt;4,1,MONTH(D1396)&lt;7,2,MONTH(D1396)&lt;10,3,MONTH(D1396)&gt;9,4)&amp;"Q"&amp;RIGHT(YEAR(D1396),2)</f>
        <v>3Q21</v>
      </c>
      <c r="D1396" s="81">
        <f t="shared" si="455"/>
        <v>44439</v>
      </c>
      <c r="E1396" s="82">
        <f t="shared" si="452"/>
        <v>44420</v>
      </c>
      <c r="F1396" s="83">
        <f t="shared" si="456"/>
        <v>0.528125</v>
      </c>
      <c r="G1396" s="83">
        <f t="shared" si="456"/>
        <v>0.5125</v>
      </c>
      <c r="H1396" s="81"/>
      <c r="I1396" s="146">
        <v>44420</v>
      </c>
      <c r="J1396" s="147">
        <v>5.1</v>
      </c>
      <c r="K1396" s="147">
        <v>4.1</v>
      </c>
      <c r="L1396" s="147">
        <v>4.225</v>
      </c>
      <c r="M1396" s="94" cm="1">
        <f t="array" ref="M1396">INDEX($BV$29:$BV$1449,MATCH($D1396,$BR$29:$BR$1449,0),)</f>
        <v>4.1</v>
      </c>
      <c r="N1396" s="150">
        <f t="shared" si="453"/>
        <v>-0.00330266572304794</v>
      </c>
      <c r="O1396" s="150">
        <f t="shared" si="451"/>
        <v>-0.0509883198562444</v>
      </c>
      <c r="P1396" s="150">
        <f t="shared" si="450"/>
        <v>-0.0505617977528091</v>
      </c>
      <c r="Q1396" s="89">
        <f t="shared" si="454"/>
        <v>0.0304878048780488</v>
      </c>
      <c r="R1396" s="36"/>
      <c r="S1396" s="36"/>
      <c r="T1396" s="36"/>
      <c r="U1396" s="36"/>
      <c r="V1396" s="36"/>
      <c r="W1396" s="36"/>
      <c r="X1396" s="36"/>
      <c r="Y1396" s="36"/>
      <c r="Z1396" s="36"/>
      <c r="AA1396" s="36"/>
      <c r="AB1396" s="36"/>
      <c r="AC1396" s="36"/>
      <c r="AD1396" s="36"/>
      <c r="AE1396" s="36"/>
      <c r="AF1396" s="36"/>
      <c r="AG1396" s="36"/>
      <c r="AH1396" s="90"/>
      <c r="AI1396" s="85"/>
      <c r="AJ1396" s="36"/>
      <c r="AK1396" s="36"/>
      <c r="AL1396" s="36"/>
      <c r="AM1396" s="36"/>
      <c r="AN1396" s="36"/>
      <c r="AO1396" s="36"/>
      <c r="AP1396" s="36"/>
      <c r="AQ1396" s="36"/>
      <c r="BP1396" s="36"/>
      <c r="BQ1396" s="36"/>
      <c r="BR1396" s="36"/>
      <c r="GE1396" s="94"/>
      <c r="GF1396" s="104">
        <f t="shared" ref="GF1396:GF1459" si="457">YEAR(GH1396)</f>
        <v>2018</v>
      </c>
      <c r="GG1396" s="104">
        <f t="shared" ref="GG1396:GG1459" si="458">WEEKNUM(GH1396)</f>
        <v>26</v>
      </c>
      <c r="GH1396" s="35">
        <v>43278</v>
      </c>
      <c r="GI1396" s="26">
        <v>3.31</v>
      </c>
      <c r="GJ1396" s="94">
        <f t="shared" ref="GJ1396:GJ1459" si="459">GI1396*2</f>
        <v>6.62</v>
      </c>
      <c r="GK1396" s="104"/>
      <c r="GL1396" s="104"/>
      <c r="GO1396" s="94"/>
    </row>
    <row r="1397" spans="3:197">
      <c r="C1397" s="80" t="str" cm="1">
        <f t="array" ref="C1397">_xlfn.IFS(MONTH(D1397)&lt;4,1,MONTH(D1397)&lt;7,2,MONTH(D1397)&lt;10,3,MONTH(D1397)&gt;9,4)&amp;"Q"&amp;RIGHT(YEAR(D1397),2)</f>
        <v>3Q21</v>
      </c>
      <c r="D1397" s="81">
        <f t="shared" si="455"/>
        <v>44439</v>
      </c>
      <c r="E1397" s="82">
        <f t="shared" si="452"/>
        <v>44421</v>
      </c>
      <c r="F1397" s="83">
        <f t="shared" si="456"/>
        <v>0.527875</v>
      </c>
      <c r="G1397" s="83">
        <f t="shared" si="456"/>
        <v>0.5125</v>
      </c>
      <c r="H1397" s="81"/>
      <c r="I1397" s="146">
        <v>44421</v>
      </c>
      <c r="J1397" s="147">
        <v>5.05</v>
      </c>
      <c r="K1397" s="147">
        <v>4.1</v>
      </c>
      <c r="L1397" s="147">
        <v>4.223</v>
      </c>
      <c r="M1397" s="94" cm="1">
        <f t="array" ref="M1397">INDEX($BV$29:$BV$1449,MATCH($D1397,$BR$29:$BR$1449,0),)</f>
        <v>4.1</v>
      </c>
      <c r="N1397" s="150">
        <f t="shared" si="453"/>
        <v>-0.000473372781065073</v>
      </c>
      <c r="O1397" s="150">
        <f t="shared" si="451"/>
        <v>-0.049088043233506</v>
      </c>
      <c r="P1397" s="150">
        <f t="shared" si="450"/>
        <v>-0.0456497175141243</v>
      </c>
      <c r="Q1397" s="89">
        <f t="shared" si="454"/>
        <v>0.03</v>
      </c>
      <c r="R1397" s="36"/>
      <c r="S1397" s="36"/>
      <c r="T1397" s="36"/>
      <c r="U1397" s="36"/>
      <c r="V1397" s="36"/>
      <c r="W1397" s="36"/>
      <c r="X1397" s="36"/>
      <c r="Y1397" s="36"/>
      <c r="Z1397" s="36"/>
      <c r="AA1397" s="36"/>
      <c r="AB1397" s="36"/>
      <c r="AC1397" s="36"/>
      <c r="AD1397" s="36"/>
      <c r="AE1397" s="36"/>
      <c r="AF1397" s="36"/>
      <c r="AG1397" s="36"/>
      <c r="AH1397" s="90"/>
      <c r="AI1397" s="85"/>
      <c r="AJ1397" s="36"/>
      <c r="AK1397" s="36"/>
      <c r="AL1397" s="36"/>
      <c r="AM1397" s="36"/>
      <c r="AN1397" s="36"/>
      <c r="AO1397" s="36"/>
      <c r="AP1397" s="36"/>
      <c r="AQ1397" s="36"/>
      <c r="BP1397" s="36"/>
      <c r="BQ1397" s="36"/>
      <c r="BR1397" s="36"/>
      <c r="GE1397" s="94"/>
      <c r="GF1397" s="104">
        <f t="shared" si="457"/>
        <v>2018</v>
      </c>
      <c r="GG1397" s="104">
        <f t="shared" si="458"/>
        <v>26</v>
      </c>
      <c r="GH1397" s="35">
        <v>43279</v>
      </c>
      <c r="GI1397" s="26">
        <v>3.31</v>
      </c>
      <c r="GJ1397" s="94">
        <f t="shared" si="459"/>
        <v>6.62</v>
      </c>
      <c r="GK1397" s="104"/>
      <c r="GL1397" s="104"/>
      <c r="GO1397" s="94"/>
    </row>
    <row r="1398" spans="3:197">
      <c r="C1398" s="80" t="str" cm="1">
        <f t="array" ref="C1398">_xlfn.IFS(MONTH(D1398)&lt;4,1,MONTH(D1398)&lt;7,2,MONTH(D1398)&lt;10,3,MONTH(D1398)&gt;9,4)&amp;"Q"&amp;RIGHT(YEAR(D1398),2)</f>
        <v>3Q21</v>
      </c>
      <c r="D1398" s="81">
        <f t="shared" si="455"/>
        <v>44439</v>
      </c>
      <c r="E1398" s="82">
        <f t="shared" si="452"/>
        <v>44424</v>
      </c>
      <c r="F1398" s="83">
        <f t="shared" si="456"/>
        <v>0.52675</v>
      </c>
      <c r="G1398" s="83">
        <f t="shared" si="456"/>
        <v>0.5125</v>
      </c>
      <c r="H1398" s="81"/>
      <c r="I1398" s="146">
        <v>44424</v>
      </c>
      <c r="J1398" s="147">
        <v>5.05</v>
      </c>
      <c r="K1398" s="147">
        <v>4.1</v>
      </c>
      <c r="L1398" s="147">
        <v>4.214</v>
      </c>
      <c r="M1398" s="94" cm="1">
        <f t="array" ref="M1398">INDEX($BV$29:$BV$1449,MATCH($D1398,$BR$29:$BR$1449,0),)</f>
        <v>4.1</v>
      </c>
      <c r="N1398" s="150">
        <f t="shared" si="453"/>
        <v>-0.00213118636040721</v>
      </c>
      <c r="O1398" s="150">
        <f t="shared" si="451"/>
        <v>-0.025664739884393</v>
      </c>
      <c r="P1398" s="150">
        <f t="shared" si="450"/>
        <v>-0.0625139043381534</v>
      </c>
      <c r="Q1398" s="89">
        <f t="shared" si="454"/>
        <v>0.0278048780487807</v>
      </c>
      <c r="R1398" s="36"/>
      <c r="S1398" s="36"/>
      <c r="T1398" s="36"/>
      <c r="U1398" s="36"/>
      <c r="V1398" s="36"/>
      <c r="W1398" s="36"/>
      <c r="X1398" s="36"/>
      <c r="Y1398" s="36"/>
      <c r="Z1398" s="36"/>
      <c r="AA1398" s="36"/>
      <c r="AB1398" s="36"/>
      <c r="AC1398" s="36"/>
      <c r="AD1398" s="36"/>
      <c r="AE1398" s="36"/>
      <c r="AF1398" s="36"/>
      <c r="AG1398" s="36"/>
      <c r="AH1398" s="90"/>
      <c r="AI1398" s="85"/>
      <c r="AJ1398" s="36"/>
      <c r="AK1398" s="36"/>
      <c r="AL1398" s="36"/>
      <c r="AM1398" s="36"/>
      <c r="AN1398" s="36"/>
      <c r="AO1398" s="36"/>
      <c r="AP1398" s="36"/>
      <c r="AQ1398" s="36"/>
      <c r="BP1398" s="36"/>
      <c r="BQ1398" s="36"/>
      <c r="BR1398" s="36"/>
      <c r="GE1398" s="94"/>
      <c r="GF1398" s="104">
        <f t="shared" si="457"/>
        <v>2018</v>
      </c>
      <c r="GG1398" s="104">
        <f t="shared" si="458"/>
        <v>26</v>
      </c>
      <c r="GH1398" s="35">
        <v>43280</v>
      </c>
      <c r="GI1398" s="26">
        <v>3.31</v>
      </c>
      <c r="GJ1398" s="94">
        <f t="shared" si="459"/>
        <v>6.62</v>
      </c>
      <c r="GK1398" s="104"/>
      <c r="GL1398" s="104"/>
      <c r="GO1398" s="94"/>
    </row>
    <row r="1399" spans="3:197">
      <c r="C1399" s="80" t="str" cm="1">
        <f t="array" ref="C1399">_xlfn.IFS(MONTH(D1399)&lt;4,1,MONTH(D1399)&lt;7,2,MONTH(D1399)&lt;10,3,MONTH(D1399)&gt;9,4)&amp;"Q"&amp;RIGHT(YEAR(D1399),2)</f>
        <v>3Q21</v>
      </c>
      <c r="D1399" s="81">
        <f t="shared" si="455"/>
        <v>44439</v>
      </c>
      <c r="E1399" s="82">
        <f t="shared" si="452"/>
        <v>44425</v>
      </c>
      <c r="F1399" s="83">
        <f t="shared" si="456"/>
        <v>0.526625</v>
      </c>
      <c r="G1399" s="83">
        <f t="shared" si="456"/>
        <v>0.5125</v>
      </c>
      <c r="H1399" s="81"/>
      <c r="I1399" s="146">
        <v>44425</v>
      </c>
      <c r="J1399" s="147">
        <v>5</v>
      </c>
      <c r="K1399" s="147">
        <v>4.05</v>
      </c>
      <c r="L1399" s="147">
        <v>4.213</v>
      </c>
      <c r="M1399" s="94" cm="1">
        <f t="array" ref="M1399">INDEX($BV$29:$BV$1449,MATCH($D1399,$BR$29:$BR$1449,0),)</f>
        <v>4.1</v>
      </c>
      <c r="N1399" s="150">
        <f t="shared" si="453"/>
        <v>-0.000237304224015245</v>
      </c>
      <c r="O1399" s="150">
        <f t="shared" si="451"/>
        <v>-0.00987074030552282</v>
      </c>
      <c r="P1399" s="150">
        <f t="shared" si="450"/>
        <v>-0.0606465997770346</v>
      </c>
      <c r="Q1399" s="89">
        <f t="shared" si="454"/>
        <v>0.0275609756097561</v>
      </c>
      <c r="R1399" s="36"/>
      <c r="S1399" s="36"/>
      <c r="T1399" s="36"/>
      <c r="U1399" s="36"/>
      <c r="V1399" s="36"/>
      <c r="W1399" s="36"/>
      <c r="X1399" s="36"/>
      <c r="Y1399" s="36"/>
      <c r="Z1399" s="36"/>
      <c r="AA1399" s="36"/>
      <c r="AB1399" s="36"/>
      <c r="AC1399" s="36"/>
      <c r="AD1399" s="36"/>
      <c r="AE1399" s="36"/>
      <c r="AF1399" s="36"/>
      <c r="AG1399" s="36"/>
      <c r="AH1399" s="90"/>
      <c r="AI1399" s="85"/>
      <c r="AJ1399" s="36"/>
      <c r="AK1399" s="36"/>
      <c r="AL1399" s="36"/>
      <c r="AM1399" s="36"/>
      <c r="AN1399" s="36"/>
      <c r="AO1399" s="36"/>
      <c r="AP1399" s="36"/>
      <c r="AQ1399" s="36"/>
      <c r="BP1399" s="36"/>
      <c r="BQ1399" s="36"/>
      <c r="BR1399" s="36"/>
      <c r="GE1399" s="94"/>
      <c r="GF1399" s="104">
        <f t="shared" si="457"/>
        <v>2018</v>
      </c>
      <c r="GG1399" s="104">
        <f t="shared" si="458"/>
        <v>27</v>
      </c>
      <c r="GH1399" s="35">
        <v>43283</v>
      </c>
      <c r="GI1399" s="26">
        <v>3.31</v>
      </c>
      <c r="GJ1399" s="94">
        <f t="shared" si="459"/>
        <v>6.62</v>
      </c>
      <c r="GK1399" s="104"/>
      <c r="GL1399" s="104"/>
      <c r="GO1399" s="94"/>
    </row>
    <row r="1400" spans="3:197">
      <c r="C1400" s="80" t="str" cm="1">
        <f t="array" ref="C1400">_xlfn.IFS(MONTH(D1400)&lt;4,1,MONTH(D1400)&lt;7,2,MONTH(D1400)&lt;10,3,MONTH(D1400)&gt;9,4)&amp;"Q"&amp;RIGHT(YEAR(D1400),2)</f>
        <v>3Q21</v>
      </c>
      <c r="D1400" s="81">
        <f t="shared" si="455"/>
        <v>44439</v>
      </c>
      <c r="E1400" s="82">
        <f t="shared" si="452"/>
        <v>44426</v>
      </c>
      <c r="F1400" s="83">
        <f t="shared" si="456"/>
        <v>0.523375</v>
      </c>
      <c r="G1400" s="83">
        <f t="shared" si="456"/>
        <v>0.5125</v>
      </c>
      <c r="H1400" s="81"/>
      <c r="I1400" s="146">
        <v>44426</v>
      </c>
      <c r="J1400" s="147">
        <v>5</v>
      </c>
      <c r="K1400" s="147">
        <v>3.9</v>
      </c>
      <c r="L1400" s="147">
        <v>4.187</v>
      </c>
      <c r="M1400" s="94" cm="1">
        <f t="array" ref="M1400">INDEX($BV$29:$BV$1449,MATCH($D1400,$BR$29:$BR$1449,0),)</f>
        <v>4.1</v>
      </c>
      <c r="N1400" s="150">
        <f t="shared" si="453"/>
        <v>-0.00617137431758841</v>
      </c>
      <c r="O1400" s="150">
        <f t="shared" si="451"/>
        <v>-0.0122670441141778</v>
      </c>
      <c r="P1400" s="150">
        <f t="shared" si="450"/>
        <v>-0.0654017857142858</v>
      </c>
      <c r="Q1400" s="89">
        <f t="shared" si="454"/>
        <v>0.0212195121951222</v>
      </c>
      <c r="R1400" s="36"/>
      <c r="S1400" s="36"/>
      <c r="T1400" s="36"/>
      <c r="U1400" s="36"/>
      <c r="V1400" s="36"/>
      <c r="W1400" s="36"/>
      <c r="X1400" s="36"/>
      <c r="Y1400" s="36"/>
      <c r="Z1400" s="36"/>
      <c r="AA1400" s="36"/>
      <c r="AB1400" s="36"/>
      <c r="AC1400" s="36"/>
      <c r="AD1400" s="36"/>
      <c r="AE1400" s="36"/>
      <c r="AF1400" s="36"/>
      <c r="AG1400" s="36"/>
      <c r="AH1400" s="90"/>
      <c r="AI1400" s="85"/>
      <c r="AJ1400" s="36"/>
      <c r="AK1400" s="36"/>
      <c r="AL1400" s="36"/>
      <c r="AM1400" s="36"/>
      <c r="AN1400" s="36"/>
      <c r="AO1400" s="36"/>
      <c r="AP1400" s="36"/>
      <c r="AQ1400" s="36"/>
      <c r="BP1400" s="36"/>
      <c r="BQ1400" s="36"/>
      <c r="BR1400" s="36"/>
      <c r="GE1400" s="94"/>
      <c r="GF1400" s="104">
        <f t="shared" si="457"/>
        <v>2018</v>
      </c>
      <c r="GG1400" s="104">
        <f t="shared" si="458"/>
        <v>27</v>
      </c>
      <c r="GH1400" s="35">
        <v>43284</v>
      </c>
      <c r="GI1400" s="26">
        <v>3.31</v>
      </c>
      <c r="GJ1400" s="94">
        <f t="shared" si="459"/>
        <v>6.62</v>
      </c>
      <c r="GK1400" s="104"/>
      <c r="GL1400" s="104"/>
      <c r="GO1400" s="94"/>
    </row>
    <row r="1401" spans="3:197">
      <c r="C1401" s="80" t="str" cm="1">
        <f t="array" ref="C1401">_xlfn.IFS(MONTH(D1401)&lt;4,1,MONTH(D1401)&lt;7,2,MONTH(D1401)&lt;10,3,MONTH(D1401)&gt;9,4)&amp;"Q"&amp;RIGHT(YEAR(D1401),2)</f>
        <v>3Q21</v>
      </c>
      <c r="D1401" s="81">
        <f t="shared" si="455"/>
        <v>44439</v>
      </c>
      <c r="E1401" s="82">
        <f t="shared" si="452"/>
        <v>44427</v>
      </c>
      <c r="F1401" s="83">
        <f t="shared" si="456"/>
        <v>0.513125</v>
      </c>
      <c r="G1401" s="83">
        <f t="shared" si="456"/>
        <v>0.5125</v>
      </c>
      <c r="H1401" s="81"/>
      <c r="I1401" s="146">
        <v>44427</v>
      </c>
      <c r="J1401" s="147">
        <v>5</v>
      </c>
      <c r="K1401" s="147">
        <v>3.85</v>
      </c>
      <c r="L1401" s="147">
        <v>4.105</v>
      </c>
      <c r="M1401" s="94" cm="1">
        <f t="array" ref="M1401">INDEX($BV$29:$BV$1449,MATCH($D1401,$BR$29:$BR$1449,0),)</f>
        <v>4.1</v>
      </c>
      <c r="N1401" s="150">
        <f t="shared" si="453"/>
        <v>-0.0195844279914019</v>
      </c>
      <c r="O1401" s="150">
        <f t="shared" si="451"/>
        <v>-0.0284023668639052</v>
      </c>
      <c r="P1401" s="150">
        <f t="shared" si="450"/>
        <v>-0.0779424977538185</v>
      </c>
      <c r="Q1401" s="89">
        <f t="shared" si="454"/>
        <v>0.00121951219512217</v>
      </c>
      <c r="R1401" s="36"/>
      <c r="S1401" s="36"/>
      <c r="T1401" s="36"/>
      <c r="U1401" s="36"/>
      <c r="V1401" s="36"/>
      <c r="W1401" s="36"/>
      <c r="X1401" s="36"/>
      <c r="Y1401" s="36"/>
      <c r="Z1401" s="36"/>
      <c r="AA1401" s="36"/>
      <c r="AB1401" s="36"/>
      <c r="AC1401" s="36"/>
      <c r="AD1401" s="36"/>
      <c r="AE1401" s="36"/>
      <c r="AF1401" s="36"/>
      <c r="AG1401" s="36"/>
      <c r="AH1401" s="90"/>
      <c r="AI1401" s="85"/>
      <c r="AJ1401" s="36"/>
      <c r="AK1401" s="36"/>
      <c r="AL1401" s="36"/>
      <c r="AM1401" s="36"/>
      <c r="AN1401" s="36"/>
      <c r="AO1401" s="36"/>
      <c r="AP1401" s="36"/>
      <c r="AQ1401" s="36"/>
      <c r="BP1401" s="36"/>
      <c r="BQ1401" s="36"/>
      <c r="BR1401" s="36"/>
      <c r="GE1401" s="94"/>
      <c r="GF1401" s="104">
        <f t="shared" si="457"/>
        <v>2018</v>
      </c>
      <c r="GG1401" s="104">
        <f t="shared" si="458"/>
        <v>27</v>
      </c>
      <c r="GH1401" s="35">
        <v>43285</v>
      </c>
      <c r="GI1401" s="26">
        <v>3.31</v>
      </c>
      <c r="GJ1401" s="94">
        <f t="shared" si="459"/>
        <v>6.62</v>
      </c>
      <c r="GK1401" s="104"/>
      <c r="GL1401" s="104"/>
      <c r="GO1401" s="94"/>
    </row>
    <row r="1402" spans="3:197">
      <c r="C1402" s="80" t="str" cm="1">
        <f t="array" ref="C1402">_xlfn.IFS(MONTH(D1402)&lt;4,1,MONTH(D1402)&lt;7,2,MONTH(D1402)&lt;10,3,MONTH(D1402)&gt;9,4)&amp;"Q"&amp;RIGHT(YEAR(D1402),2)</f>
        <v>3Q21</v>
      </c>
      <c r="D1402" s="81">
        <f t="shared" si="455"/>
        <v>44439</v>
      </c>
      <c r="E1402" s="82">
        <f t="shared" si="452"/>
        <v>44428</v>
      </c>
      <c r="F1402" s="83">
        <f t="shared" si="456"/>
        <v>0.509875</v>
      </c>
      <c r="G1402" s="83">
        <f t="shared" si="456"/>
        <v>0.5125</v>
      </c>
      <c r="H1402" s="81"/>
      <c r="I1402" s="146">
        <v>44428</v>
      </c>
      <c r="J1402" s="147">
        <v>5</v>
      </c>
      <c r="K1402" s="147">
        <v>3.85</v>
      </c>
      <c r="L1402" s="147">
        <v>4.079</v>
      </c>
      <c r="M1402" s="94" cm="1">
        <f t="array" ref="M1402">INDEX($BV$29:$BV$1449,MATCH($D1402,$BR$29:$BR$1449,0),)</f>
        <v>4.1</v>
      </c>
      <c r="N1402" s="150">
        <f t="shared" si="453"/>
        <v>-0.00633373934226567</v>
      </c>
      <c r="O1402" s="150">
        <f t="shared" si="451"/>
        <v>-0.0340989817665167</v>
      </c>
      <c r="P1402" s="150">
        <f t="shared" si="450"/>
        <v>-0.0815131727088494</v>
      </c>
      <c r="Q1402" s="89">
        <f t="shared" si="454"/>
        <v>-0.0051219512195122</v>
      </c>
      <c r="R1402" s="36"/>
      <c r="S1402" s="36"/>
      <c r="T1402" s="36"/>
      <c r="U1402" s="36"/>
      <c r="V1402" s="36"/>
      <c r="W1402" s="36"/>
      <c r="X1402" s="36"/>
      <c r="Y1402" s="36"/>
      <c r="Z1402" s="36"/>
      <c r="AA1402" s="36"/>
      <c r="AB1402" s="36"/>
      <c r="AC1402" s="36"/>
      <c r="AD1402" s="36"/>
      <c r="AE1402" s="36"/>
      <c r="AF1402" s="36"/>
      <c r="AG1402" s="36"/>
      <c r="AH1402" s="90"/>
      <c r="AI1402" s="85"/>
      <c r="AJ1402" s="36"/>
      <c r="AK1402" s="36"/>
      <c r="AL1402" s="36"/>
      <c r="AM1402" s="36"/>
      <c r="AN1402" s="36"/>
      <c r="AO1402" s="36"/>
      <c r="AP1402" s="36"/>
      <c r="AQ1402" s="36"/>
      <c r="BP1402" s="36"/>
      <c r="BQ1402" s="36"/>
      <c r="BR1402" s="36"/>
      <c r="GE1402" s="94"/>
      <c r="GF1402" s="104">
        <f t="shared" si="457"/>
        <v>2018</v>
      </c>
      <c r="GG1402" s="104">
        <f t="shared" si="458"/>
        <v>27</v>
      </c>
      <c r="GH1402" s="35">
        <v>43286</v>
      </c>
      <c r="GI1402" s="26">
        <v>3.31</v>
      </c>
      <c r="GJ1402" s="94">
        <f t="shared" si="459"/>
        <v>6.62</v>
      </c>
      <c r="GK1402" s="104"/>
      <c r="GL1402" s="104"/>
      <c r="GO1402" s="94"/>
    </row>
    <row r="1403" spans="3:197">
      <c r="C1403" s="80" t="str" cm="1">
        <f t="array" ref="C1403">_xlfn.IFS(MONTH(D1403)&lt;4,1,MONTH(D1403)&lt;7,2,MONTH(D1403)&lt;10,3,MONTH(D1403)&gt;9,4)&amp;"Q"&amp;RIGHT(YEAR(D1403),2)</f>
        <v>3Q21</v>
      </c>
      <c r="D1403" s="81">
        <f t="shared" si="455"/>
        <v>44439</v>
      </c>
      <c r="E1403" s="82">
        <f t="shared" si="452"/>
        <v>44431</v>
      </c>
      <c r="F1403" s="83">
        <f t="shared" si="456"/>
        <v>0.508125</v>
      </c>
      <c r="G1403" s="83">
        <f t="shared" si="456"/>
        <v>0.5125</v>
      </c>
      <c r="H1403" s="81"/>
      <c r="I1403" s="146">
        <v>44431</v>
      </c>
      <c r="J1403" s="147">
        <v>5.1</v>
      </c>
      <c r="K1403" s="147">
        <v>3.9</v>
      </c>
      <c r="L1403" s="147">
        <v>4.065</v>
      </c>
      <c r="M1403" s="94" cm="1">
        <f t="array" ref="M1403">INDEX($BV$29:$BV$1449,MATCH($D1403,$BR$29:$BR$1449,0),)</f>
        <v>4.1</v>
      </c>
      <c r="N1403" s="150">
        <f t="shared" si="453"/>
        <v>-0.00343221377788661</v>
      </c>
      <c r="O1403" s="150">
        <f t="shared" si="451"/>
        <v>-0.0353583293782629</v>
      </c>
      <c r="P1403" s="150">
        <f t="shared" si="450"/>
        <v>-0.0601156069364162</v>
      </c>
      <c r="Q1403" s="89">
        <f t="shared" si="454"/>
        <v>-0.00853658536585344</v>
      </c>
      <c r="R1403" s="36"/>
      <c r="S1403" s="36"/>
      <c r="T1403" s="36"/>
      <c r="U1403" s="36"/>
      <c r="V1403" s="36"/>
      <c r="W1403" s="36"/>
      <c r="X1403" s="36"/>
      <c r="Y1403" s="36"/>
      <c r="Z1403" s="36"/>
      <c r="AA1403" s="36"/>
      <c r="AB1403" s="36"/>
      <c r="AC1403" s="36"/>
      <c r="AD1403" s="36"/>
      <c r="AE1403" s="36"/>
      <c r="AF1403" s="36"/>
      <c r="AG1403" s="36"/>
      <c r="AH1403" s="90"/>
      <c r="AI1403" s="85"/>
      <c r="AJ1403" s="36"/>
      <c r="AK1403" s="36"/>
      <c r="AL1403" s="36"/>
      <c r="AM1403" s="36"/>
      <c r="AN1403" s="36"/>
      <c r="AO1403" s="36"/>
      <c r="AP1403" s="36"/>
      <c r="AQ1403" s="36"/>
      <c r="BP1403" s="36"/>
      <c r="BQ1403" s="36"/>
      <c r="BR1403" s="36"/>
      <c r="GE1403" s="94"/>
      <c r="GF1403" s="104">
        <f t="shared" si="457"/>
        <v>2018</v>
      </c>
      <c r="GG1403" s="104">
        <f t="shared" si="458"/>
        <v>27</v>
      </c>
      <c r="GH1403" s="35">
        <v>43287</v>
      </c>
      <c r="GI1403" s="26">
        <v>3.307</v>
      </c>
      <c r="GJ1403" s="94">
        <f t="shared" si="459"/>
        <v>6.614</v>
      </c>
      <c r="GK1403" s="104"/>
      <c r="GL1403" s="104"/>
      <c r="GO1403" s="94"/>
    </row>
    <row r="1404" spans="3:197">
      <c r="C1404" s="80" t="str" cm="1">
        <f t="array" ref="C1404">_xlfn.IFS(MONTH(D1404)&lt;4,1,MONTH(D1404)&lt;7,2,MONTH(D1404)&lt;10,3,MONTH(D1404)&gt;9,4)&amp;"Q"&amp;RIGHT(YEAR(D1404),2)</f>
        <v>3Q21</v>
      </c>
      <c r="D1404" s="81">
        <f t="shared" si="455"/>
        <v>44439</v>
      </c>
      <c r="E1404" s="82">
        <f t="shared" si="452"/>
        <v>44432</v>
      </c>
      <c r="F1404" s="83">
        <f t="shared" si="456"/>
        <v>0.506375</v>
      </c>
      <c r="G1404" s="83">
        <f t="shared" si="456"/>
        <v>0.5125</v>
      </c>
      <c r="H1404" s="81"/>
      <c r="I1404" s="146">
        <v>44432</v>
      </c>
      <c r="J1404" s="147">
        <v>5.05</v>
      </c>
      <c r="K1404" s="147">
        <v>3.85</v>
      </c>
      <c r="L1404" s="147">
        <v>4.051</v>
      </c>
      <c r="M1404" s="94" cm="1">
        <f t="array" ref="M1404">INDEX($BV$29:$BV$1449,MATCH($D1404,$BR$29:$BR$1449,0),)</f>
        <v>4.1</v>
      </c>
      <c r="N1404" s="150">
        <f t="shared" si="453"/>
        <v>-0.00344403444034447</v>
      </c>
      <c r="O1404" s="150">
        <f t="shared" si="451"/>
        <v>-0.0384524092095894</v>
      </c>
      <c r="P1404" s="150">
        <f t="shared" si="450"/>
        <v>-0.0479435957696827</v>
      </c>
      <c r="Q1404" s="89">
        <f t="shared" si="454"/>
        <v>-0.011951219512195</v>
      </c>
      <c r="R1404" s="36"/>
      <c r="S1404" s="36"/>
      <c r="T1404" s="36"/>
      <c r="U1404" s="36"/>
      <c r="V1404" s="36"/>
      <c r="W1404" s="36"/>
      <c r="X1404" s="36"/>
      <c r="Y1404" s="36"/>
      <c r="Z1404" s="36"/>
      <c r="AA1404" s="36"/>
      <c r="AB1404" s="36"/>
      <c r="AC1404" s="36"/>
      <c r="AD1404" s="36"/>
      <c r="AE1404" s="36"/>
      <c r="AF1404" s="36"/>
      <c r="AG1404" s="36"/>
      <c r="AH1404" s="90"/>
      <c r="AI1404" s="85"/>
      <c r="AJ1404" s="36"/>
      <c r="AK1404" s="36"/>
      <c r="AL1404" s="36"/>
      <c r="AM1404" s="36"/>
      <c r="AN1404" s="36"/>
      <c r="AO1404" s="36"/>
      <c r="AP1404" s="36"/>
      <c r="AQ1404" s="36"/>
      <c r="BP1404" s="36"/>
      <c r="BQ1404" s="36"/>
      <c r="BR1404" s="36"/>
      <c r="GE1404" s="94"/>
      <c r="GF1404" s="104">
        <f t="shared" si="457"/>
        <v>2018</v>
      </c>
      <c r="GG1404" s="104">
        <f t="shared" si="458"/>
        <v>28</v>
      </c>
      <c r="GH1404" s="35">
        <v>43290</v>
      </c>
      <c r="GI1404" s="26">
        <v>3.307</v>
      </c>
      <c r="GJ1404" s="94">
        <f t="shared" si="459"/>
        <v>6.614</v>
      </c>
      <c r="GK1404" s="104"/>
      <c r="GL1404" s="104"/>
      <c r="GO1404" s="94"/>
    </row>
    <row r="1405" spans="3:197">
      <c r="C1405" s="80" t="str" cm="1">
        <f t="array" ref="C1405">_xlfn.IFS(MONTH(D1405)&lt;4,1,MONTH(D1405)&lt;7,2,MONTH(D1405)&lt;10,3,MONTH(D1405)&gt;9,4)&amp;"Q"&amp;RIGHT(YEAR(D1405),2)</f>
        <v>3Q21</v>
      </c>
      <c r="D1405" s="81">
        <f t="shared" si="455"/>
        <v>44439</v>
      </c>
      <c r="E1405" s="82">
        <f t="shared" si="452"/>
        <v>44433</v>
      </c>
      <c r="F1405" s="83">
        <f t="shared" si="456"/>
        <v>0.498875</v>
      </c>
      <c r="G1405" s="83">
        <f t="shared" si="456"/>
        <v>0.5125</v>
      </c>
      <c r="H1405" s="81"/>
      <c r="I1405" s="146">
        <v>44433</v>
      </c>
      <c r="J1405" s="147">
        <v>4.95</v>
      </c>
      <c r="K1405" s="147">
        <v>3.8</v>
      </c>
      <c r="L1405" s="147">
        <v>3.991</v>
      </c>
      <c r="M1405" s="94" cm="1">
        <f t="array" ref="M1405">INDEX($BV$29:$BV$1449,MATCH($D1405,$BR$29:$BR$1449,0),)</f>
        <v>4.1</v>
      </c>
      <c r="N1405" s="150">
        <f t="shared" si="453"/>
        <v>-0.0148111577388299</v>
      </c>
      <c r="O1405" s="150">
        <f t="shared" si="451"/>
        <v>-0.0468115595892047</v>
      </c>
      <c r="P1405" s="150">
        <f t="shared" si="450"/>
        <v>-0.0585043642368482</v>
      </c>
      <c r="Q1405" s="89">
        <f t="shared" si="454"/>
        <v>-0.0265853658536584</v>
      </c>
      <c r="R1405" s="36"/>
      <c r="S1405" s="36"/>
      <c r="T1405" s="36"/>
      <c r="U1405" s="36"/>
      <c r="V1405" s="36"/>
      <c r="W1405" s="36"/>
      <c r="X1405" s="36"/>
      <c r="Y1405" s="36"/>
      <c r="Z1405" s="36"/>
      <c r="AA1405" s="36"/>
      <c r="AB1405" s="36"/>
      <c r="AC1405" s="36"/>
      <c r="AD1405" s="36"/>
      <c r="AE1405" s="36"/>
      <c r="AF1405" s="36"/>
      <c r="AG1405" s="36"/>
      <c r="AH1405" s="90"/>
      <c r="AI1405" s="85"/>
      <c r="AJ1405" s="36"/>
      <c r="AK1405" s="36"/>
      <c r="AL1405" s="36"/>
      <c r="AM1405" s="36"/>
      <c r="AN1405" s="36"/>
      <c r="AO1405" s="36"/>
      <c r="AP1405" s="36"/>
      <c r="AQ1405" s="36"/>
      <c r="BP1405" s="36"/>
      <c r="BQ1405" s="36"/>
      <c r="BR1405" s="36"/>
      <c r="GE1405" s="94"/>
      <c r="GF1405" s="104">
        <f t="shared" si="457"/>
        <v>2018</v>
      </c>
      <c r="GG1405" s="104">
        <f t="shared" si="458"/>
        <v>28</v>
      </c>
      <c r="GH1405" s="35">
        <v>43291</v>
      </c>
      <c r="GI1405" s="26">
        <v>3.302</v>
      </c>
      <c r="GJ1405" s="94">
        <f t="shared" si="459"/>
        <v>6.604</v>
      </c>
      <c r="GK1405" s="104"/>
      <c r="GL1405" s="104"/>
      <c r="GO1405" s="94"/>
    </row>
    <row r="1406" spans="3:197">
      <c r="C1406" s="80" t="str" cm="1">
        <f t="array" ref="C1406">_xlfn.IFS(MONTH(D1406)&lt;4,1,MONTH(D1406)&lt;7,2,MONTH(D1406)&lt;10,3,MONTH(D1406)&gt;9,4)&amp;"Q"&amp;RIGHT(YEAR(D1406),2)</f>
        <v>3Q21</v>
      </c>
      <c r="D1406" s="81">
        <f t="shared" si="455"/>
        <v>44439</v>
      </c>
      <c r="E1406" s="82">
        <f t="shared" si="452"/>
        <v>44434</v>
      </c>
      <c r="F1406" s="83">
        <f t="shared" si="456"/>
        <v>0.492875</v>
      </c>
      <c r="G1406" s="83">
        <f t="shared" si="456"/>
        <v>0.5125</v>
      </c>
      <c r="H1406" s="81"/>
      <c r="I1406" s="146">
        <v>44434</v>
      </c>
      <c r="J1406" s="147">
        <v>4.9</v>
      </c>
      <c r="K1406" s="147">
        <v>3.8</v>
      </c>
      <c r="L1406" s="147">
        <v>3.943</v>
      </c>
      <c r="M1406" s="94" cm="1">
        <f t="array" ref="M1406">INDEX($BV$29:$BV$1449,MATCH($D1406,$BR$29:$BR$1449,0),)</f>
        <v>4.1</v>
      </c>
      <c r="N1406" s="150">
        <f t="shared" si="453"/>
        <v>-0.0120270608869958</v>
      </c>
      <c r="O1406" s="150">
        <f t="shared" si="451"/>
        <v>-0.0394640682095007</v>
      </c>
      <c r="P1406" s="150">
        <f t="shared" si="450"/>
        <v>-0.0667455621301775</v>
      </c>
      <c r="Q1406" s="89">
        <f t="shared" si="454"/>
        <v>-0.0382926829268292</v>
      </c>
      <c r="R1406" s="36"/>
      <c r="S1406" s="36"/>
      <c r="T1406" s="36"/>
      <c r="U1406" s="36"/>
      <c r="V1406" s="36"/>
      <c r="W1406" s="36"/>
      <c r="X1406" s="36"/>
      <c r="Y1406" s="36"/>
      <c r="Z1406" s="36"/>
      <c r="AA1406" s="36"/>
      <c r="AB1406" s="36"/>
      <c r="AC1406" s="36"/>
      <c r="AD1406" s="36"/>
      <c r="AE1406" s="36"/>
      <c r="AF1406" s="36"/>
      <c r="AG1406" s="36"/>
      <c r="AH1406" s="90"/>
      <c r="AI1406" s="85"/>
      <c r="AJ1406" s="36"/>
      <c r="AK1406" s="36"/>
      <c r="AL1406" s="36"/>
      <c r="AM1406" s="36"/>
      <c r="AN1406" s="36"/>
      <c r="AO1406" s="36"/>
      <c r="AP1406" s="36"/>
      <c r="AQ1406" s="36"/>
      <c r="BP1406" s="36"/>
      <c r="BQ1406" s="36"/>
      <c r="BR1406" s="36"/>
      <c r="GE1406" s="94"/>
      <c r="GF1406" s="104">
        <f t="shared" si="457"/>
        <v>2018</v>
      </c>
      <c r="GG1406" s="104">
        <f t="shared" si="458"/>
        <v>28</v>
      </c>
      <c r="GH1406" s="35">
        <v>43292</v>
      </c>
      <c r="GI1406" s="26">
        <v>3.302</v>
      </c>
      <c r="GJ1406" s="94">
        <f t="shared" si="459"/>
        <v>6.604</v>
      </c>
      <c r="GK1406" s="104"/>
      <c r="GL1406" s="104"/>
      <c r="GO1406" s="94"/>
    </row>
    <row r="1407" spans="3:197">
      <c r="C1407" s="80" t="str" cm="1">
        <f t="array" ref="C1407">_xlfn.IFS(MONTH(D1407)&lt;4,1,MONTH(D1407)&lt;7,2,MONTH(D1407)&lt;10,3,MONTH(D1407)&gt;9,4)&amp;"Q"&amp;RIGHT(YEAR(D1407),2)</f>
        <v>3Q21</v>
      </c>
      <c r="D1407" s="81">
        <f t="shared" si="455"/>
        <v>44439</v>
      </c>
      <c r="E1407" s="82">
        <f t="shared" si="452"/>
        <v>44435</v>
      </c>
      <c r="F1407" s="83">
        <f t="shared" si="456"/>
        <v>0.488</v>
      </c>
      <c r="G1407" s="83">
        <f t="shared" si="456"/>
        <v>0.5125</v>
      </c>
      <c r="H1407" s="81"/>
      <c r="I1407" s="146">
        <v>44435</v>
      </c>
      <c r="J1407" s="147">
        <v>4.9</v>
      </c>
      <c r="K1407" s="147">
        <v>3.78</v>
      </c>
      <c r="L1407" s="147">
        <v>3.904</v>
      </c>
      <c r="M1407" s="94" cm="1">
        <f t="array" ref="M1407">INDEX($BV$29:$BV$1449,MATCH($D1407,$BR$29:$BR$1449,0),)</f>
        <v>4.1</v>
      </c>
      <c r="N1407" s="150">
        <f t="shared" si="453"/>
        <v>-0.00989094598021811</v>
      </c>
      <c r="O1407" s="150">
        <f t="shared" si="451"/>
        <v>-0.0429026722235841</v>
      </c>
      <c r="P1407" s="150">
        <f t="shared" si="450"/>
        <v>-0.075538716552214</v>
      </c>
      <c r="Q1407" s="89">
        <f t="shared" si="454"/>
        <v>-0.0478048780487804</v>
      </c>
      <c r="R1407" s="36"/>
      <c r="S1407" s="36"/>
      <c r="T1407" s="36"/>
      <c r="U1407" s="36"/>
      <c r="V1407" s="36"/>
      <c r="W1407" s="36"/>
      <c r="X1407" s="36"/>
      <c r="Y1407" s="36"/>
      <c r="Z1407" s="36"/>
      <c r="AA1407" s="36"/>
      <c r="AB1407" s="36"/>
      <c r="AC1407" s="36"/>
      <c r="AD1407" s="36"/>
      <c r="AE1407" s="36"/>
      <c r="AF1407" s="36"/>
      <c r="AG1407" s="36"/>
      <c r="AH1407" s="90"/>
      <c r="AI1407" s="85"/>
      <c r="AJ1407" s="36"/>
      <c r="AK1407" s="36"/>
      <c r="AL1407" s="36"/>
      <c r="AM1407" s="36"/>
      <c r="AN1407" s="36"/>
      <c r="AO1407" s="36"/>
      <c r="AP1407" s="36"/>
      <c r="AQ1407" s="36"/>
      <c r="BP1407" s="36"/>
      <c r="BQ1407" s="36"/>
      <c r="BR1407" s="36"/>
      <c r="GE1407" s="94"/>
      <c r="GF1407" s="104">
        <f t="shared" si="457"/>
        <v>2018</v>
      </c>
      <c r="GG1407" s="104">
        <f t="shared" si="458"/>
        <v>28</v>
      </c>
      <c r="GH1407" s="35">
        <v>43293</v>
      </c>
      <c r="GI1407" s="26">
        <v>3.302</v>
      </c>
      <c r="GJ1407" s="94">
        <f t="shared" si="459"/>
        <v>6.604</v>
      </c>
      <c r="GK1407" s="104"/>
      <c r="GL1407" s="104"/>
      <c r="GO1407" s="94"/>
    </row>
    <row r="1408" spans="3:197">
      <c r="C1408" s="80" t="str" cm="1">
        <f t="array" ref="C1408">_xlfn.IFS(MONTH(D1408)&lt;4,1,MONTH(D1408)&lt;7,2,MONTH(D1408)&lt;10,3,MONTH(D1408)&gt;9,4)&amp;"Q"&amp;RIGHT(YEAR(D1408),2)</f>
        <v>3Q21</v>
      </c>
      <c r="D1408" s="81">
        <f t="shared" si="455"/>
        <v>44439</v>
      </c>
      <c r="E1408" s="82">
        <f t="shared" si="452"/>
        <v>44438</v>
      </c>
      <c r="F1408" s="83">
        <f t="shared" si="456"/>
        <v>0.486125</v>
      </c>
      <c r="G1408" s="83">
        <f t="shared" si="456"/>
        <v>0.5125</v>
      </c>
      <c r="H1408" s="81"/>
      <c r="I1408" s="146">
        <v>44438</v>
      </c>
      <c r="J1408" s="147">
        <v>4.9</v>
      </c>
      <c r="K1408" s="147">
        <v>3.75</v>
      </c>
      <c r="L1408" s="147">
        <v>3.889</v>
      </c>
      <c r="M1408" s="94" cm="1">
        <f t="array" ref="M1408">INDEX($BV$29:$BV$1449,MATCH($D1408,$BR$29:$BR$1449,0),)</f>
        <v>4.1</v>
      </c>
      <c r="N1408" s="150">
        <f t="shared" si="453"/>
        <v>-0.00384221311475408</v>
      </c>
      <c r="O1408" s="150">
        <f t="shared" si="451"/>
        <v>-0.0432964329643298</v>
      </c>
      <c r="P1408" s="150">
        <f t="shared" ref="P1408:P1471" si="460">L1408/L1398-1</f>
        <v>-0.077123872804936</v>
      </c>
      <c r="Q1408" s="89">
        <f t="shared" si="454"/>
        <v>-0.0514634146341463</v>
      </c>
      <c r="R1408" s="36"/>
      <c r="S1408" s="36"/>
      <c r="T1408" s="36"/>
      <c r="U1408" s="36"/>
      <c r="V1408" s="36"/>
      <c r="W1408" s="36"/>
      <c r="X1408" s="36"/>
      <c r="Y1408" s="36"/>
      <c r="Z1408" s="36"/>
      <c r="AA1408" s="36"/>
      <c r="AB1408" s="36"/>
      <c r="AC1408" s="36"/>
      <c r="AD1408" s="36"/>
      <c r="AE1408" s="36"/>
      <c r="AF1408" s="36"/>
      <c r="AG1408" s="36"/>
      <c r="AH1408" s="90"/>
      <c r="AI1408" s="85"/>
      <c r="AJ1408" s="36"/>
      <c r="AK1408" s="36"/>
      <c r="AL1408" s="36"/>
      <c r="AM1408" s="36"/>
      <c r="AN1408" s="36"/>
      <c r="AO1408" s="36"/>
      <c r="AP1408" s="36"/>
      <c r="AQ1408" s="36"/>
      <c r="BP1408" s="36"/>
      <c r="BQ1408" s="36"/>
      <c r="BR1408" s="36"/>
      <c r="GE1408" s="94"/>
      <c r="GF1408" s="104">
        <f t="shared" si="457"/>
        <v>2018</v>
      </c>
      <c r="GG1408" s="104">
        <f t="shared" si="458"/>
        <v>28</v>
      </c>
      <c r="GH1408" s="35">
        <v>43294</v>
      </c>
      <c r="GI1408" s="26">
        <v>3.299</v>
      </c>
      <c r="GJ1408" s="94">
        <f t="shared" si="459"/>
        <v>6.598</v>
      </c>
      <c r="GK1408" s="104"/>
      <c r="GL1408" s="104"/>
      <c r="GO1408" s="94"/>
    </row>
    <row r="1409" spans="3:197">
      <c r="C1409" s="80" t="str" cm="1">
        <f t="array" ref="C1409">_xlfn.IFS(MONTH(D1409)&lt;4,1,MONTH(D1409)&lt;7,2,MONTH(D1409)&lt;10,3,MONTH(D1409)&gt;9,4)&amp;"Q"&amp;RIGHT(YEAR(D1409),2)</f>
        <v>3Q21</v>
      </c>
      <c r="D1409" s="81">
        <f t="shared" si="455"/>
        <v>44439</v>
      </c>
      <c r="E1409" s="82">
        <f t="shared" si="452"/>
        <v>44439</v>
      </c>
      <c r="F1409" s="83">
        <f t="shared" si="456"/>
        <v>0.483</v>
      </c>
      <c r="G1409" s="83">
        <f t="shared" si="456"/>
        <v>0.5125</v>
      </c>
      <c r="H1409" s="81"/>
      <c r="I1409" s="146">
        <v>44439</v>
      </c>
      <c r="J1409" s="147">
        <v>4.9</v>
      </c>
      <c r="K1409" s="147">
        <v>3.74</v>
      </c>
      <c r="L1409" s="147">
        <v>3.864</v>
      </c>
      <c r="M1409" s="94" cm="1">
        <f t="array" ref="M1409">INDEX($BV$29:$BV$1449,MATCH($D1409,$BR$29:$BR$1449,0),)</f>
        <v>4.1</v>
      </c>
      <c r="N1409" s="150">
        <f t="shared" si="453"/>
        <v>-0.00642838776034971</v>
      </c>
      <c r="O1409" s="150">
        <f t="shared" si="451"/>
        <v>-0.0461614416193533</v>
      </c>
      <c r="P1409" s="150">
        <f t="shared" si="460"/>
        <v>-0.0828388321860907</v>
      </c>
      <c r="Q1409" s="89">
        <f t="shared" si="454"/>
        <v>-0.057560975609756</v>
      </c>
      <c r="R1409" s="36"/>
      <c r="S1409" s="36"/>
      <c r="T1409" s="36"/>
      <c r="U1409" s="36"/>
      <c r="V1409" s="36"/>
      <c r="W1409" s="36"/>
      <c r="X1409" s="36"/>
      <c r="Y1409" s="36"/>
      <c r="Z1409" s="36"/>
      <c r="AA1409" s="36"/>
      <c r="AB1409" s="36"/>
      <c r="AC1409" s="36"/>
      <c r="AD1409" s="36"/>
      <c r="AE1409" s="36"/>
      <c r="AF1409" s="36"/>
      <c r="AG1409" s="36"/>
      <c r="AH1409" s="90"/>
      <c r="AI1409" s="85"/>
      <c r="AJ1409" s="36"/>
      <c r="AK1409" s="36"/>
      <c r="AL1409" s="36"/>
      <c r="AM1409" s="36"/>
      <c r="AN1409" s="36"/>
      <c r="AO1409" s="36"/>
      <c r="AP1409" s="36"/>
      <c r="AQ1409" s="36"/>
      <c r="BP1409" s="36"/>
      <c r="BQ1409" s="36"/>
      <c r="BR1409" s="36"/>
      <c r="GE1409" s="94"/>
      <c r="GF1409" s="104">
        <f t="shared" si="457"/>
        <v>2018</v>
      </c>
      <c r="GG1409" s="104">
        <f t="shared" si="458"/>
        <v>29</v>
      </c>
      <c r="GH1409" s="35">
        <v>43297</v>
      </c>
      <c r="GI1409" s="26">
        <v>3.298</v>
      </c>
      <c r="GJ1409" s="94">
        <f t="shared" si="459"/>
        <v>6.596</v>
      </c>
      <c r="GK1409" s="104"/>
      <c r="GL1409" s="104"/>
      <c r="GO1409" s="94"/>
    </row>
    <row r="1410" spans="3:197">
      <c r="C1410" s="80" t="str" cm="1">
        <f t="array" ref="C1410">_xlfn.IFS(MONTH(D1410)&lt;4,1,MONTH(D1410)&lt;7,2,MONTH(D1410)&lt;10,3,MONTH(D1410)&gt;9,4)&amp;"Q"&amp;RIGHT(YEAR(D1410),2)</f>
        <v>3Q21</v>
      </c>
      <c r="D1410" s="81">
        <f t="shared" si="455"/>
        <v>44469</v>
      </c>
      <c r="E1410" s="82">
        <f t="shared" si="452"/>
        <v>44440</v>
      </c>
      <c r="F1410" s="83">
        <f t="shared" si="456"/>
        <v>0.476125</v>
      </c>
      <c r="G1410" s="83">
        <f t="shared" si="456"/>
        <v>0.5125</v>
      </c>
      <c r="H1410" s="81"/>
      <c r="I1410" s="146">
        <v>44440</v>
      </c>
      <c r="J1410" s="147">
        <v>4.75</v>
      </c>
      <c r="K1410" s="147">
        <v>3.73</v>
      </c>
      <c r="L1410" s="147">
        <v>3.809</v>
      </c>
      <c r="M1410" s="94" cm="1">
        <f t="array" ref="M1410">INDEX($BV$29:$BV$1449,MATCH($D1410,$BR$29:$BR$1449,0),)</f>
        <v>4.1</v>
      </c>
      <c r="N1410" s="150">
        <f t="shared" si="453"/>
        <v>-0.0142339544513457</v>
      </c>
      <c r="O1410" s="150">
        <f t="shared" si="451"/>
        <v>-0.0456026058631922</v>
      </c>
      <c r="P1410" s="150">
        <f t="shared" si="460"/>
        <v>-0.0902794363506091</v>
      </c>
      <c r="Q1410" s="89">
        <f t="shared" si="454"/>
        <v>-0.0709756097560974</v>
      </c>
      <c r="R1410" s="36"/>
      <c r="S1410" s="36"/>
      <c r="T1410" s="36"/>
      <c r="U1410" s="36"/>
      <c r="V1410" s="36"/>
      <c r="W1410" s="36"/>
      <c r="X1410" s="36"/>
      <c r="Y1410" s="36"/>
      <c r="Z1410" s="36"/>
      <c r="AA1410" s="36"/>
      <c r="AB1410" s="36"/>
      <c r="AC1410" s="36"/>
      <c r="AD1410" s="36"/>
      <c r="AE1410" s="36"/>
      <c r="AF1410" s="36"/>
      <c r="AG1410" s="36"/>
      <c r="AH1410" s="90"/>
      <c r="AI1410" s="85"/>
      <c r="AJ1410" s="36"/>
      <c r="AK1410" s="36"/>
      <c r="AL1410" s="36"/>
      <c r="AM1410" s="36"/>
      <c r="AN1410" s="36"/>
      <c r="AO1410" s="36"/>
      <c r="AP1410" s="36"/>
      <c r="AQ1410" s="36"/>
      <c r="BP1410" s="36"/>
      <c r="BQ1410" s="36"/>
      <c r="BR1410" s="36"/>
      <c r="GE1410" s="94"/>
      <c r="GF1410" s="104">
        <f t="shared" si="457"/>
        <v>2018</v>
      </c>
      <c r="GG1410" s="104">
        <f t="shared" si="458"/>
        <v>29</v>
      </c>
      <c r="GH1410" s="35">
        <v>43298</v>
      </c>
      <c r="GI1410" s="26">
        <v>3.298</v>
      </c>
      <c r="GJ1410" s="94">
        <f t="shared" si="459"/>
        <v>6.596</v>
      </c>
      <c r="GK1410" s="104"/>
      <c r="GL1410" s="104"/>
      <c r="GO1410" s="94"/>
    </row>
    <row r="1411" spans="3:197">
      <c r="C1411" s="80" t="str" cm="1">
        <f t="array" ref="C1411">_xlfn.IFS(MONTH(D1411)&lt;4,1,MONTH(D1411)&lt;7,2,MONTH(D1411)&lt;10,3,MONTH(D1411)&gt;9,4)&amp;"Q"&amp;RIGHT(YEAR(D1411),2)</f>
        <v>3Q21</v>
      </c>
      <c r="D1411" s="81">
        <f t="shared" si="455"/>
        <v>44469</v>
      </c>
      <c r="E1411" s="82">
        <f t="shared" si="452"/>
        <v>44441</v>
      </c>
      <c r="F1411" s="83">
        <f t="shared" si="456"/>
        <v>0.475</v>
      </c>
      <c r="G1411" s="83">
        <f t="shared" si="456"/>
        <v>0.5125</v>
      </c>
      <c r="H1411" s="81"/>
      <c r="I1411" s="146">
        <v>44441</v>
      </c>
      <c r="J1411" s="147">
        <v>4.65</v>
      </c>
      <c r="K1411" s="147">
        <v>3.7</v>
      </c>
      <c r="L1411" s="147">
        <v>3.8</v>
      </c>
      <c r="M1411" s="94" cm="1">
        <f t="array" ref="M1411">INDEX($BV$29:$BV$1449,MATCH($D1411,$BR$29:$BR$1449,0),)</f>
        <v>4.1</v>
      </c>
      <c r="N1411" s="150">
        <f t="shared" si="453"/>
        <v>-0.00236282488842221</v>
      </c>
      <c r="O1411" s="150">
        <f t="shared" si="451"/>
        <v>-0.0362668019274665</v>
      </c>
      <c r="P1411" s="150">
        <f t="shared" si="460"/>
        <v>-0.0742996345919612</v>
      </c>
      <c r="Q1411" s="89">
        <f t="shared" si="454"/>
        <v>-0.073170731707317</v>
      </c>
      <c r="R1411" s="36"/>
      <c r="S1411" s="36"/>
      <c r="T1411" s="36"/>
      <c r="U1411" s="36"/>
      <c r="V1411" s="36"/>
      <c r="W1411" s="36"/>
      <c r="X1411" s="36"/>
      <c r="Y1411" s="36"/>
      <c r="Z1411" s="36"/>
      <c r="AA1411" s="36"/>
      <c r="AB1411" s="36"/>
      <c r="AC1411" s="36"/>
      <c r="AD1411" s="36"/>
      <c r="AE1411" s="36"/>
      <c r="AF1411" s="36"/>
      <c r="AG1411" s="36"/>
      <c r="AH1411" s="90"/>
      <c r="AI1411" s="85"/>
      <c r="AJ1411" s="36"/>
      <c r="AK1411" s="36"/>
      <c r="AL1411" s="36"/>
      <c r="AM1411" s="36"/>
      <c r="AN1411" s="36"/>
      <c r="AO1411" s="36"/>
      <c r="AP1411" s="36"/>
      <c r="AQ1411" s="36"/>
      <c r="BP1411" s="36"/>
      <c r="BQ1411" s="36"/>
      <c r="BR1411" s="36"/>
      <c r="GE1411" s="94"/>
      <c r="GF1411" s="104">
        <f t="shared" si="457"/>
        <v>2018</v>
      </c>
      <c r="GG1411" s="104">
        <f t="shared" si="458"/>
        <v>29</v>
      </c>
      <c r="GH1411" s="35">
        <v>43299</v>
      </c>
      <c r="GI1411" s="26">
        <v>3.298</v>
      </c>
      <c r="GJ1411" s="94">
        <f t="shared" si="459"/>
        <v>6.596</v>
      </c>
      <c r="GK1411" s="104"/>
      <c r="GL1411" s="104"/>
      <c r="GO1411" s="94"/>
    </row>
    <row r="1412" spans="3:197">
      <c r="C1412" s="80" t="str" cm="1">
        <f t="array" ref="C1412">_xlfn.IFS(MONTH(D1412)&lt;4,1,MONTH(D1412)&lt;7,2,MONTH(D1412)&lt;10,3,MONTH(D1412)&gt;9,4)&amp;"Q"&amp;RIGHT(YEAR(D1412),2)</f>
        <v>3Q21</v>
      </c>
      <c r="D1412" s="81">
        <f t="shared" si="455"/>
        <v>44469</v>
      </c>
      <c r="E1412" s="82">
        <f t="shared" si="452"/>
        <v>44442</v>
      </c>
      <c r="F1412" s="83">
        <f t="shared" si="456"/>
        <v>0.474875</v>
      </c>
      <c r="G1412" s="83">
        <f t="shared" si="456"/>
        <v>0.5125</v>
      </c>
      <c r="H1412" s="81"/>
      <c r="I1412" s="146">
        <v>44442</v>
      </c>
      <c r="J1412" s="147">
        <v>4.65</v>
      </c>
      <c r="K1412" s="147">
        <v>3.7</v>
      </c>
      <c r="L1412" s="147">
        <v>3.799</v>
      </c>
      <c r="M1412" s="94" cm="1">
        <f t="array" ref="M1412">INDEX($BV$29:$BV$1449,MATCH($D1412,$BR$29:$BR$1449,0),)</f>
        <v>4.1</v>
      </c>
      <c r="N1412" s="150">
        <f t="shared" si="453"/>
        <v>-0.000263157894736854</v>
      </c>
      <c r="O1412" s="150">
        <f t="shared" si="451"/>
        <v>-0.0268954918032787</v>
      </c>
      <c r="P1412" s="150">
        <f t="shared" si="460"/>
        <v>-0.0686442755577347</v>
      </c>
      <c r="Q1412" s="89">
        <f t="shared" si="454"/>
        <v>-0.0734146341463414</v>
      </c>
      <c r="R1412" s="36"/>
      <c r="S1412" s="36"/>
      <c r="T1412" s="36"/>
      <c r="U1412" s="36"/>
      <c r="V1412" s="36"/>
      <c r="W1412" s="36"/>
      <c r="X1412" s="36"/>
      <c r="Y1412" s="36"/>
      <c r="Z1412" s="36"/>
      <c r="AA1412" s="36"/>
      <c r="AB1412" s="36"/>
      <c r="AC1412" s="36"/>
      <c r="AD1412" s="36"/>
      <c r="AE1412" s="36"/>
      <c r="AF1412" s="36"/>
      <c r="AG1412" s="36"/>
      <c r="AH1412" s="90"/>
      <c r="AI1412" s="85"/>
      <c r="AJ1412" s="36"/>
      <c r="AK1412" s="36"/>
      <c r="AL1412" s="36"/>
      <c r="AM1412" s="36"/>
      <c r="AN1412" s="36"/>
      <c r="AO1412" s="36"/>
      <c r="AP1412" s="36"/>
      <c r="AQ1412" s="36"/>
      <c r="BP1412" s="36"/>
      <c r="BQ1412" s="36"/>
      <c r="BR1412" s="36"/>
      <c r="GE1412" s="94"/>
      <c r="GF1412" s="104">
        <f t="shared" si="457"/>
        <v>2018</v>
      </c>
      <c r="GG1412" s="104">
        <f t="shared" si="458"/>
        <v>29</v>
      </c>
      <c r="GH1412" s="35">
        <v>43300</v>
      </c>
      <c r="GI1412" s="26">
        <v>3.293</v>
      </c>
      <c r="GJ1412" s="94">
        <f t="shared" si="459"/>
        <v>6.586</v>
      </c>
      <c r="GK1412" s="104"/>
      <c r="GL1412" s="104"/>
      <c r="GO1412" s="94"/>
    </row>
    <row r="1413" spans="3:197">
      <c r="C1413" s="80" t="str" cm="1">
        <f t="array" ref="C1413">_xlfn.IFS(MONTH(D1413)&lt;4,1,MONTH(D1413)&lt;7,2,MONTH(D1413)&lt;10,3,MONTH(D1413)&gt;9,4)&amp;"Q"&amp;RIGHT(YEAR(D1413),2)</f>
        <v>3Q21</v>
      </c>
      <c r="D1413" s="81">
        <f t="shared" si="455"/>
        <v>44469</v>
      </c>
      <c r="E1413" s="82">
        <f t="shared" si="452"/>
        <v>44445</v>
      </c>
      <c r="F1413" s="83">
        <f t="shared" si="456"/>
        <v>0.47375</v>
      </c>
      <c r="G1413" s="83">
        <f t="shared" si="456"/>
        <v>0.5125</v>
      </c>
      <c r="H1413" s="81"/>
      <c r="I1413" s="146">
        <v>44445</v>
      </c>
      <c r="J1413" s="147">
        <v>4.6</v>
      </c>
      <c r="K1413" s="147">
        <v>3.7</v>
      </c>
      <c r="L1413" s="147">
        <v>3.79</v>
      </c>
      <c r="M1413" s="94" cm="1">
        <f t="array" ref="M1413">INDEX($BV$29:$BV$1449,MATCH($D1413,$BR$29:$BR$1449,0),)</f>
        <v>4.1</v>
      </c>
      <c r="N1413" s="150">
        <f t="shared" si="453"/>
        <v>-0.00236904448539088</v>
      </c>
      <c r="O1413" s="150">
        <f t="shared" si="451"/>
        <v>-0.0254564155309848</v>
      </c>
      <c r="P1413" s="150">
        <f t="shared" si="460"/>
        <v>-0.0676506765067652</v>
      </c>
      <c r="Q1413" s="89">
        <f t="shared" si="454"/>
        <v>-0.0756097560975609</v>
      </c>
      <c r="R1413" s="36"/>
      <c r="S1413" s="36"/>
      <c r="T1413" s="36"/>
      <c r="U1413" s="36"/>
      <c r="V1413" s="36"/>
      <c r="W1413" s="36"/>
      <c r="X1413" s="36"/>
      <c r="Y1413" s="36"/>
      <c r="Z1413" s="36"/>
      <c r="AA1413" s="36"/>
      <c r="AB1413" s="36"/>
      <c r="AC1413" s="36"/>
      <c r="AD1413" s="36"/>
      <c r="AE1413" s="36"/>
      <c r="AF1413" s="36"/>
      <c r="AG1413" s="36"/>
      <c r="AH1413" s="90"/>
      <c r="AI1413" s="85"/>
      <c r="AJ1413" s="36"/>
      <c r="AK1413" s="36"/>
      <c r="AL1413" s="36"/>
      <c r="AM1413" s="36"/>
      <c r="AN1413" s="36"/>
      <c r="AO1413" s="36"/>
      <c r="AP1413" s="36"/>
      <c r="AQ1413" s="36"/>
      <c r="BP1413" s="36"/>
      <c r="BQ1413" s="36"/>
      <c r="BR1413" s="36"/>
      <c r="GE1413" s="94"/>
      <c r="GF1413" s="104">
        <f t="shared" si="457"/>
        <v>2018</v>
      </c>
      <c r="GG1413" s="104">
        <f t="shared" si="458"/>
        <v>29</v>
      </c>
      <c r="GH1413" s="35">
        <v>43301</v>
      </c>
      <c r="GI1413" s="26">
        <v>3.289</v>
      </c>
      <c r="GJ1413" s="94">
        <f t="shared" si="459"/>
        <v>6.578</v>
      </c>
      <c r="GK1413" s="104"/>
      <c r="GL1413" s="104"/>
      <c r="GO1413" s="94"/>
    </row>
    <row r="1414" spans="3:197">
      <c r="C1414" s="80" t="str" cm="1">
        <f t="array" ref="C1414">_xlfn.IFS(MONTH(D1414)&lt;4,1,MONTH(D1414)&lt;7,2,MONTH(D1414)&lt;10,3,MONTH(D1414)&gt;9,4)&amp;"Q"&amp;RIGHT(YEAR(D1414),2)</f>
        <v>3Q21</v>
      </c>
      <c r="D1414" s="81">
        <f t="shared" si="455"/>
        <v>44469</v>
      </c>
      <c r="E1414" s="82">
        <f t="shared" si="452"/>
        <v>44446</v>
      </c>
      <c r="F1414" s="83">
        <f t="shared" si="456"/>
        <v>0.47275</v>
      </c>
      <c r="G1414" s="83">
        <f t="shared" si="456"/>
        <v>0.5125</v>
      </c>
      <c r="H1414" s="81"/>
      <c r="I1414" s="146">
        <v>44446</v>
      </c>
      <c r="J1414" s="147">
        <v>4.55</v>
      </c>
      <c r="K1414" s="147">
        <v>3.7</v>
      </c>
      <c r="L1414" s="147">
        <v>3.782</v>
      </c>
      <c r="M1414" s="94" cm="1">
        <f t="array" ref="M1414">INDEX($BV$29:$BV$1449,MATCH($D1414,$BR$29:$BR$1449,0),)</f>
        <v>4.1</v>
      </c>
      <c r="N1414" s="150">
        <f t="shared" si="453"/>
        <v>-0.00211081794195256</v>
      </c>
      <c r="O1414" s="150">
        <f t="shared" si="451"/>
        <v>-0.0212215320910972</v>
      </c>
      <c r="P1414" s="150">
        <f t="shared" si="460"/>
        <v>-0.0664033571957542</v>
      </c>
      <c r="Q1414" s="89">
        <f t="shared" si="454"/>
        <v>-0.0775609756097561</v>
      </c>
      <c r="R1414" s="36"/>
      <c r="S1414" s="36"/>
      <c r="T1414" s="36"/>
      <c r="U1414" s="36"/>
      <c r="V1414" s="36"/>
      <c r="W1414" s="36"/>
      <c r="X1414" s="36"/>
      <c r="Y1414" s="36"/>
      <c r="Z1414" s="36"/>
      <c r="AA1414" s="36"/>
      <c r="AB1414" s="36"/>
      <c r="AC1414" s="36"/>
      <c r="AD1414" s="36"/>
      <c r="AE1414" s="36"/>
      <c r="AF1414" s="36"/>
      <c r="AG1414" s="36"/>
      <c r="AH1414" s="90"/>
      <c r="AI1414" s="85"/>
      <c r="AJ1414" s="36"/>
      <c r="AK1414" s="36"/>
      <c r="AL1414" s="36"/>
      <c r="AM1414" s="36"/>
      <c r="AN1414" s="36"/>
      <c r="AO1414" s="36"/>
      <c r="AP1414" s="36"/>
      <c r="AQ1414" s="36"/>
      <c r="BP1414" s="36"/>
      <c r="BQ1414" s="36"/>
      <c r="BR1414" s="36"/>
      <c r="GE1414" s="94"/>
      <c r="GF1414" s="104">
        <f t="shared" si="457"/>
        <v>2018</v>
      </c>
      <c r="GG1414" s="104">
        <f t="shared" si="458"/>
        <v>30</v>
      </c>
      <c r="GH1414" s="35">
        <v>43304</v>
      </c>
      <c r="GI1414" s="26">
        <v>3.286</v>
      </c>
      <c r="GJ1414" s="94">
        <f t="shared" si="459"/>
        <v>6.572</v>
      </c>
      <c r="GK1414" s="104"/>
      <c r="GL1414" s="104"/>
      <c r="GO1414" s="94"/>
    </row>
    <row r="1415" spans="3:197">
      <c r="C1415" s="80" t="str" cm="1">
        <f t="array" ref="C1415">_xlfn.IFS(MONTH(D1415)&lt;4,1,MONTH(D1415)&lt;7,2,MONTH(D1415)&lt;10,3,MONTH(D1415)&gt;9,4)&amp;"Q"&amp;RIGHT(YEAR(D1415),2)</f>
        <v>3Q21</v>
      </c>
      <c r="D1415" s="81">
        <f t="shared" si="455"/>
        <v>44469</v>
      </c>
      <c r="E1415" s="82">
        <f t="shared" si="452"/>
        <v>44447</v>
      </c>
      <c r="F1415" s="83">
        <f t="shared" si="456"/>
        <v>0.470625</v>
      </c>
      <c r="G1415" s="83">
        <f t="shared" si="456"/>
        <v>0.5125</v>
      </c>
      <c r="H1415" s="81"/>
      <c r="I1415" s="146">
        <v>44447</v>
      </c>
      <c r="J1415" s="147">
        <v>4.55</v>
      </c>
      <c r="K1415" s="147">
        <v>3.7</v>
      </c>
      <c r="L1415" s="147">
        <v>3.765</v>
      </c>
      <c r="M1415" s="94" cm="1">
        <f t="array" ref="M1415">INDEX($BV$29:$BV$1449,MATCH($D1415,$BR$29:$BR$1449,0),)</f>
        <v>4.1</v>
      </c>
      <c r="N1415" s="150">
        <f t="shared" si="453"/>
        <v>-0.00449497620306716</v>
      </c>
      <c r="O1415" s="150">
        <f t="shared" si="451"/>
        <v>-0.0115515883433972</v>
      </c>
      <c r="P1415" s="150">
        <f t="shared" si="460"/>
        <v>-0.0566274116762716</v>
      </c>
      <c r="Q1415" s="89">
        <f t="shared" si="454"/>
        <v>-0.0817073170731706</v>
      </c>
      <c r="R1415" s="36"/>
      <c r="S1415" s="36"/>
      <c r="T1415" s="36"/>
      <c r="U1415" s="36"/>
      <c r="V1415" s="36"/>
      <c r="W1415" s="36"/>
      <c r="X1415" s="36"/>
      <c r="Y1415" s="36"/>
      <c r="Z1415" s="36"/>
      <c r="AA1415" s="36"/>
      <c r="AB1415" s="36"/>
      <c r="AC1415" s="36"/>
      <c r="AD1415" s="36"/>
      <c r="AE1415" s="36"/>
      <c r="AF1415" s="36"/>
      <c r="AG1415" s="36"/>
      <c r="AH1415" s="90"/>
      <c r="AI1415" s="85"/>
      <c r="AJ1415" s="36"/>
      <c r="AK1415" s="36"/>
      <c r="AL1415" s="36"/>
      <c r="AM1415" s="36"/>
      <c r="AN1415" s="36"/>
      <c r="AO1415" s="36"/>
      <c r="AP1415" s="36"/>
      <c r="AQ1415" s="36"/>
      <c r="BP1415" s="36"/>
      <c r="BQ1415" s="36"/>
      <c r="BR1415" s="36"/>
      <c r="GE1415" s="94"/>
      <c r="GF1415" s="104">
        <f t="shared" si="457"/>
        <v>2018</v>
      </c>
      <c r="GG1415" s="104">
        <f t="shared" si="458"/>
        <v>30</v>
      </c>
      <c r="GH1415" s="35">
        <v>43305</v>
      </c>
      <c r="GI1415" s="26">
        <v>3.279</v>
      </c>
      <c r="GJ1415" s="94">
        <f t="shared" si="459"/>
        <v>6.558</v>
      </c>
      <c r="GK1415" s="104"/>
      <c r="GL1415" s="104"/>
      <c r="GO1415" s="94"/>
    </row>
    <row r="1416" spans="3:197">
      <c r="C1416" s="80" t="str" cm="1">
        <f t="array" ref="C1416">_xlfn.IFS(MONTH(D1416)&lt;4,1,MONTH(D1416)&lt;7,2,MONTH(D1416)&lt;10,3,MONTH(D1416)&gt;9,4)&amp;"Q"&amp;RIGHT(YEAR(D1416),2)</f>
        <v>3Q21</v>
      </c>
      <c r="D1416" s="81">
        <f t="shared" si="455"/>
        <v>44469</v>
      </c>
      <c r="E1416" s="82">
        <f t="shared" si="452"/>
        <v>44448</v>
      </c>
      <c r="F1416" s="83">
        <f t="shared" si="456"/>
        <v>0.4695</v>
      </c>
      <c r="G1416" s="83">
        <f t="shared" si="456"/>
        <v>0.5125</v>
      </c>
      <c r="H1416" s="81"/>
      <c r="I1416" s="146">
        <v>44448</v>
      </c>
      <c r="J1416" s="147">
        <v>4.4</v>
      </c>
      <c r="K1416" s="147">
        <v>3.69</v>
      </c>
      <c r="L1416" s="147">
        <v>3.756</v>
      </c>
      <c r="M1416" s="94" cm="1">
        <f t="array" ref="M1416">INDEX($BV$29:$BV$1449,MATCH($D1416,$BR$29:$BR$1449,0),)</f>
        <v>4.1</v>
      </c>
      <c r="N1416" s="150">
        <f t="shared" si="453"/>
        <v>-0.00239043824701202</v>
      </c>
      <c r="O1416" s="150">
        <f t="shared" si="451"/>
        <v>-0.011578947368421</v>
      </c>
      <c r="P1416" s="150">
        <f t="shared" si="460"/>
        <v>-0.0474258179051484</v>
      </c>
      <c r="Q1416" s="89">
        <f t="shared" si="454"/>
        <v>-0.0839024390243902</v>
      </c>
      <c r="R1416" s="36"/>
      <c r="S1416" s="36"/>
      <c r="T1416" s="36"/>
      <c r="U1416" s="36"/>
      <c r="V1416" s="36"/>
      <c r="W1416" s="36"/>
      <c r="X1416" s="36"/>
      <c r="Y1416" s="36"/>
      <c r="Z1416" s="36"/>
      <c r="AA1416" s="36"/>
      <c r="AB1416" s="36"/>
      <c r="AC1416" s="36"/>
      <c r="AD1416" s="36"/>
      <c r="AE1416" s="36"/>
      <c r="AF1416" s="36"/>
      <c r="AG1416" s="36"/>
      <c r="AH1416" s="90"/>
      <c r="AI1416" s="85"/>
      <c r="AJ1416" s="36"/>
      <c r="AK1416" s="36"/>
      <c r="AL1416" s="36"/>
      <c r="AM1416" s="36"/>
      <c r="AN1416" s="36"/>
      <c r="AO1416" s="36"/>
      <c r="AP1416" s="36"/>
      <c r="AQ1416" s="36"/>
      <c r="BP1416" s="36"/>
      <c r="BQ1416" s="36"/>
      <c r="BR1416" s="36"/>
      <c r="GE1416" s="94"/>
      <c r="GF1416" s="104">
        <f t="shared" si="457"/>
        <v>2018</v>
      </c>
      <c r="GG1416" s="104">
        <f t="shared" si="458"/>
        <v>30</v>
      </c>
      <c r="GH1416" s="35">
        <v>43306</v>
      </c>
      <c r="GI1416" s="26">
        <v>3.275</v>
      </c>
      <c r="GJ1416" s="94">
        <f t="shared" si="459"/>
        <v>6.55</v>
      </c>
      <c r="GK1416" s="104"/>
      <c r="GL1416" s="104"/>
      <c r="GO1416" s="94"/>
    </row>
    <row r="1417" spans="3:197">
      <c r="C1417" s="80" t="str" cm="1">
        <f t="array" ref="C1417">_xlfn.IFS(MONTH(D1417)&lt;4,1,MONTH(D1417)&lt;7,2,MONTH(D1417)&lt;10,3,MONTH(D1417)&gt;9,4)&amp;"Q"&amp;RIGHT(YEAR(D1417),2)</f>
        <v>3Q21</v>
      </c>
      <c r="D1417" s="81">
        <f t="shared" si="455"/>
        <v>44469</v>
      </c>
      <c r="E1417" s="82">
        <f t="shared" si="452"/>
        <v>44449</v>
      </c>
      <c r="F1417" s="83">
        <f t="shared" si="456"/>
        <v>0.46825</v>
      </c>
      <c r="G1417" s="83">
        <f t="shared" si="456"/>
        <v>0.5125</v>
      </c>
      <c r="H1417" s="81"/>
      <c r="I1417" s="146">
        <v>44449</v>
      </c>
      <c r="J1417" s="147">
        <v>4.35</v>
      </c>
      <c r="K1417" s="147">
        <v>3.69</v>
      </c>
      <c r="L1417" s="147">
        <v>3.746</v>
      </c>
      <c r="M1417" s="94" cm="1">
        <f t="array" ref="M1417">INDEX($BV$29:$BV$1449,MATCH($D1417,$BR$29:$BR$1449,0),)</f>
        <v>4.1</v>
      </c>
      <c r="N1417" s="150">
        <f t="shared" si="453"/>
        <v>-0.00266240681576135</v>
      </c>
      <c r="O1417" s="150">
        <f t="shared" si="451"/>
        <v>-0.0139510397473019</v>
      </c>
      <c r="P1417" s="150">
        <f t="shared" si="460"/>
        <v>-0.0404713114754098</v>
      </c>
      <c r="Q1417" s="89">
        <f t="shared" si="454"/>
        <v>-0.0863414634146341</v>
      </c>
      <c r="R1417" s="36"/>
      <c r="S1417" s="36"/>
      <c r="T1417" s="36"/>
      <c r="U1417" s="36"/>
      <c r="V1417" s="36"/>
      <c r="W1417" s="36"/>
      <c r="X1417" s="36"/>
      <c r="Y1417" s="36"/>
      <c r="Z1417" s="36"/>
      <c r="AA1417" s="36"/>
      <c r="AB1417" s="36"/>
      <c r="AC1417" s="36"/>
      <c r="AD1417" s="36"/>
      <c r="AE1417" s="36"/>
      <c r="AF1417" s="36"/>
      <c r="AG1417" s="36"/>
      <c r="AH1417" s="90"/>
      <c r="AI1417" s="85"/>
      <c r="AJ1417" s="36"/>
      <c r="AK1417" s="36"/>
      <c r="AL1417" s="36"/>
      <c r="AM1417" s="36"/>
      <c r="AN1417" s="36"/>
      <c r="AO1417" s="36"/>
      <c r="AP1417" s="36"/>
      <c r="AQ1417" s="36"/>
      <c r="BP1417" s="36"/>
      <c r="BQ1417" s="36"/>
      <c r="BR1417" s="36"/>
      <c r="GE1417" s="94"/>
      <c r="GF1417" s="104">
        <f t="shared" si="457"/>
        <v>2018</v>
      </c>
      <c r="GG1417" s="104">
        <f t="shared" si="458"/>
        <v>30</v>
      </c>
      <c r="GH1417" s="35">
        <v>43307</v>
      </c>
      <c r="GI1417" s="26">
        <v>3.231</v>
      </c>
      <c r="GJ1417" s="94">
        <f t="shared" si="459"/>
        <v>6.462</v>
      </c>
      <c r="GK1417" s="104"/>
      <c r="GL1417" s="104"/>
      <c r="GO1417" s="94"/>
    </row>
    <row r="1418" spans="3:197">
      <c r="C1418" s="80" t="str" cm="1">
        <f t="array" ref="C1418">_xlfn.IFS(MONTH(D1418)&lt;4,1,MONTH(D1418)&lt;7,2,MONTH(D1418)&lt;10,3,MONTH(D1418)&gt;9,4)&amp;"Q"&amp;RIGHT(YEAR(D1418),2)</f>
        <v>3Q21</v>
      </c>
      <c r="D1418" s="81">
        <f t="shared" si="455"/>
        <v>44469</v>
      </c>
      <c r="E1418" s="82">
        <f t="shared" si="452"/>
        <v>44452</v>
      </c>
      <c r="F1418" s="83">
        <f t="shared" si="456"/>
        <v>0.466875</v>
      </c>
      <c r="G1418" s="83">
        <f t="shared" si="456"/>
        <v>0.5125</v>
      </c>
      <c r="H1418" s="81"/>
      <c r="I1418" s="146">
        <v>44452</v>
      </c>
      <c r="J1418" s="147">
        <v>4.3</v>
      </c>
      <c r="K1418" s="147">
        <v>3.68</v>
      </c>
      <c r="L1418" s="147">
        <v>3.735</v>
      </c>
      <c r="M1418" s="94" cm="1">
        <f t="array" ref="M1418">INDEX($BV$29:$BV$1449,MATCH($D1418,$BR$29:$BR$1449,0),)</f>
        <v>4.1</v>
      </c>
      <c r="N1418" s="150">
        <f t="shared" si="453"/>
        <v>-0.00293646556326754</v>
      </c>
      <c r="O1418" s="150">
        <f t="shared" si="451"/>
        <v>-0.0145118733509235</v>
      </c>
      <c r="P1418" s="150">
        <f t="shared" si="460"/>
        <v>-0.0395988686037542</v>
      </c>
      <c r="Q1418" s="89">
        <f t="shared" si="454"/>
        <v>-0.0890243902439024</v>
      </c>
      <c r="R1418" s="36"/>
      <c r="S1418" s="36"/>
      <c r="T1418" s="36"/>
      <c r="U1418" s="36"/>
      <c r="V1418" s="36"/>
      <c r="W1418" s="36"/>
      <c r="X1418" s="36"/>
      <c r="Y1418" s="36"/>
      <c r="Z1418" s="36"/>
      <c r="AA1418" s="36"/>
      <c r="AB1418" s="36"/>
      <c r="AC1418" s="36"/>
      <c r="AD1418" s="36"/>
      <c r="AE1418" s="36"/>
      <c r="AF1418" s="36"/>
      <c r="AG1418" s="36"/>
      <c r="AH1418" s="90"/>
      <c r="AI1418" s="85"/>
      <c r="AJ1418" s="36"/>
      <c r="AK1418" s="36"/>
      <c r="AL1418" s="36"/>
      <c r="AM1418" s="36"/>
      <c r="AN1418" s="36"/>
      <c r="AO1418" s="36"/>
      <c r="AP1418" s="36"/>
      <c r="AQ1418" s="36"/>
      <c r="BO1418" s="36"/>
      <c r="BP1418" s="36"/>
      <c r="BQ1418" s="36"/>
      <c r="BR1418" s="36"/>
      <c r="GE1418" s="94"/>
      <c r="GF1418" s="104">
        <f t="shared" si="457"/>
        <v>2018</v>
      </c>
      <c r="GG1418" s="104">
        <f t="shared" si="458"/>
        <v>30</v>
      </c>
      <c r="GH1418" s="35">
        <v>43308</v>
      </c>
      <c r="GI1418" s="26">
        <v>3.228</v>
      </c>
      <c r="GJ1418" s="94">
        <f t="shared" si="459"/>
        <v>6.456</v>
      </c>
      <c r="GK1418" s="104"/>
      <c r="GL1418" s="104"/>
      <c r="GO1418" s="94"/>
    </row>
    <row r="1419" spans="3:197">
      <c r="C1419" s="80" t="str" cm="1">
        <f t="array" ref="C1419">_xlfn.IFS(MONTH(D1419)&lt;4,1,MONTH(D1419)&lt;7,2,MONTH(D1419)&lt;10,3,MONTH(D1419)&gt;9,4)&amp;"Q"&amp;RIGHT(YEAR(D1419),2)</f>
        <v>3Q21</v>
      </c>
      <c r="D1419" s="81">
        <f t="shared" si="455"/>
        <v>44469</v>
      </c>
      <c r="E1419" s="82">
        <f t="shared" si="452"/>
        <v>44453</v>
      </c>
      <c r="F1419" s="83">
        <f t="shared" si="456"/>
        <v>0.46575</v>
      </c>
      <c r="G1419" s="83">
        <f t="shared" si="456"/>
        <v>0.5125</v>
      </c>
      <c r="H1419" s="81"/>
      <c r="I1419" s="146">
        <v>44453</v>
      </c>
      <c r="J1419" s="147">
        <v>4.25</v>
      </c>
      <c r="K1419" s="147">
        <v>3.68</v>
      </c>
      <c r="L1419" s="147">
        <v>3.726</v>
      </c>
      <c r="M1419" s="94" cm="1">
        <f t="array" ref="M1419">INDEX($BV$29:$BV$1449,MATCH($D1419,$BR$29:$BR$1449,0),)</f>
        <v>4.1</v>
      </c>
      <c r="N1419" s="150">
        <f t="shared" si="453"/>
        <v>-0.00240963855421683</v>
      </c>
      <c r="O1419" s="150">
        <f t="shared" ref="O1419:O1482" si="461">L1419/L1414-1</f>
        <v>-0.014806980433633</v>
      </c>
      <c r="P1419" s="150">
        <f t="shared" si="460"/>
        <v>-0.0357142857142857</v>
      </c>
      <c r="Q1419" s="89">
        <f t="shared" si="454"/>
        <v>-0.0912195121951219</v>
      </c>
      <c r="R1419" s="36"/>
      <c r="S1419" s="36"/>
      <c r="T1419" s="36"/>
      <c r="U1419" s="36"/>
      <c r="V1419" s="36"/>
      <c r="W1419" s="36"/>
      <c r="X1419" s="36"/>
      <c r="Y1419" s="36"/>
      <c r="Z1419" s="36"/>
      <c r="AA1419" s="36"/>
      <c r="AB1419" s="36"/>
      <c r="AC1419" s="36"/>
      <c r="AD1419" s="36"/>
      <c r="AE1419" s="36"/>
      <c r="AF1419" s="36"/>
      <c r="AG1419" s="36"/>
      <c r="AH1419" s="90"/>
      <c r="AI1419" s="85"/>
      <c r="AJ1419" s="36"/>
      <c r="AK1419" s="36"/>
      <c r="AL1419" s="36"/>
      <c r="AM1419" s="36"/>
      <c r="AN1419" s="36"/>
      <c r="AO1419" s="36"/>
      <c r="AP1419" s="36"/>
      <c r="AQ1419" s="36"/>
      <c r="BO1419" s="36"/>
      <c r="BP1419" s="36"/>
      <c r="BQ1419" s="36"/>
      <c r="BR1419" s="36"/>
      <c r="GE1419" s="94"/>
      <c r="GF1419" s="104">
        <f t="shared" si="457"/>
        <v>2018</v>
      </c>
      <c r="GG1419" s="104">
        <f t="shared" si="458"/>
        <v>31</v>
      </c>
      <c r="GH1419" s="35">
        <v>43311</v>
      </c>
      <c r="GI1419" s="26">
        <v>3.228</v>
      </c>
      <c r="GJ1419" s="94">
        <f t="shared" si="459"/>
        <v>6.456</v>
      </c>
      <c r="GK1419" s="104"/>
      <c r="GL1419" s="104"/>
      <c r="GO1419" s="94"/>
    </row>
    <row r="1420" spans="3:197">
      <c r="C1420" s="80" t="str" cm="1">
        <f t="array" ref="C1420">_xlfn.IFS(MONTH(D1420)&lt;4,1,MONTH(D1420)&lt;7,2,MONTH(D1420)&lt;10,3,MONTH(D1420)&gt;9,4)&amp;"Q"&amp;RIGHT(YEAR(D1420),2)</f>
        <v>3Q21</v>
      </c>
      <c r="D1420" s="81">
        <f t="shared" si="455"/>
        <v>44469</v>
      </c>
      <c r="E1420" s="82">
        <f t="shared" si="452"/>
        <v>44454</v>
      </c>
      <c r="F1420" s="83">
        <f t="shared" si="456"/>
        <v>0.4655</v>
      </c>
      <c r="G1420" s="83">
        <f t="shared" si="456"/>
        <v>0.5125</v>
      </c>
      <c r="H1420" s="81"/>
      <c r="I1420" s="146">
        <v>44454</v>
      </c>
      <c r="J1420" s="147">
        <v>4.2</v>
      </c>
      <c r="K1420" s="147">
        <v>3.68</v>
      </c>
      <c r="L1420" s="147">
        <v>3.724</v>
      </c>
      <c r="M1420" s="94" cm="1">
        <f t="array" ref="M1420">INDEX($BV$29:$BV$1449,MATCH($D1420,$BR$29:$BR$1449,0),)</f>
        <v>4.1</v>
      </c>
      <c r="N1420" s="150">
        <f t="shared" si="453"/>
        <v>-0.000536768652710573</v>
      </c>
      <c r="O1420" s="150">
        <f t="shared" si="461"/>
        <v>-0.0108897742363878</v>
      </c>
      <c r="P1420" s="150">
        <f t="shared" si="460"/>
        <v>-0.0223155683906537</v>
      </c>
      <c r="Q1420" s="89">
        <f t="shared" si="454"/>
        <v>-0.0917073170731706</v>
      </c>
      <c r="R1420" s="36"/>
      <c r="S1420" s="36"/>
      <c r="T1420" s="36"/>
      <c r="U1420" s="36"/>
      <c r="V1420" s="36"/>
      <c r="W1420" s="36"/>
      <c r="X1420" s="36"/>
      <c r="Y1420" s="36"/>
      <c r="Z1420" s="36"/>
      <c r="AA1420" s="36"/>
      <c r="AB1420" s="36"/>
      <c r="AC1420" s="36"/>
      <c r="AD1420" s="36"/>
      <c r="AE1420" s="36"/>
      <c r="AF1420" s="36"/>
      <c r="AG1420" s="36"/>
      <c r="AH1420" s="90"/>
      <c r="AI1420" s="85"/>
      <c r="AJ1420" s="36"/>
      <c r="AK1420" s="36"/>
      <c r="AL1420" s="36"/>
      <c r="AM1420" s="36"/>
      <c r="AN1420" s="36"/>
      <c r="AO1420" s="36"/>
      <c r="AP1420" s="36"/>
      <c r="AQ1420" s="36"/>
      <c r="BO1420" s="36"/>
      <c r="BP1420" s="36"/>
      <c r="BQ1420" s="36"/>
      <c r="BR1420" s="36"/>
      <c r="GE1420" s="94"/>
      <c r="GF1420" s="104">
        <f t="shared" si="457"/>
        <v>2018</v>
      </c>
      <c r="GG1420" s="104">
        <f t="shared" si="458"/>
        <v>31</v>
      </c>
      <c r="GH1420" s="35">
        <v>43312</v>
      </c>
      <c r="GI1420" s="26">
        <v>3.225</v>
      </c>
      <c r="GJ1420" s="94">
        <f t="shared" si="459"/>
        <v>6.45</v>
      </c>
      <c r="GK1420" s="104"/>
      <c r="GL1420" s="104"/>
      <c r="GO1420" s="94"/>
    </row>
    <row r="1421" spans="3:197">
      <c r="C1421" s="80" t="str" cm="1">
        <f t="array" ref="C1421">_xlfn.IFS(MONTH(D1421)&lt;4,1,MONTH(D1421)&lt;7,2,MONTH(D1421)&lt;10,3,MONTH(D1421)&gt;9,4)&amp;"Q"&amp;RIGHT(YEAR(D1421),2)</f>
        <v>3Q21</v>
      </c>
      <c r="D1421" s="81">
        <f t="shared" si="455"/>
        <v>44469</v>
      </c>
      <c r="E1421" s="82">
        <f t="shared" si="452"/>
        <v>44455</v>
      </c>
      <c r="F1421" s="83">
        <f t="shared" si="456"/>
        <v>0.4655</v>
      </c>
      <c r="G1421" s="83">
        <f t="shared" si="456"/>
        <v>0.5125</v>
      </c>
      <c r="H1421" s="81"/>
      <c r="I1421" s="146">
        <v>44455</v>
      </c>
      <c r="J1421" s="147">
        <v>4.15</v>
      </c>
      <c r="K1421" s="147">
        <v>3.65</v>
      </c>
      <c r="L1421" s="147">
        <v>3.724</v>
      </c>
      <c r="M1421" s="94" cm="1">
        <f t="array" ref="M1421">INDEX($BV$29:$BV$1449,MATCH($D1421,$BR$29:$BR$1449,0),)</f>
        <v>4.1</v>
      </c>
      <c r="N1421" s="150">
        <f t="shared" si="453"/>
        <v>0</v>
      </c>
      <c r="O1421" s="150">
        <f t="shared" si="461"/>
        <v>-0.00851970181043649</v>
      </c>
      <c r="P1421" s="150">
        <f t="shared" si="460"/>
        <v>-0.0199999999999999</v>
      </c>
      <c r="Q1421" s="89">
        <f t="shared" si="454"/>
        <v>-0.0917073170731706</v>
      </c>
      <c r="R1421" s="36"/>
      <c r="S1421" s="36"/>
      <c r="T1421" s="36"/>
      <c r="U1421" s="36"/>
      <c r="V1421" s="36"/>
      <c r="W1421" s="36"/>
      <c r="X1421" s="36"/>
      <c r="Y1421" s="36"/>
      <c r="Z1421" s="36"/>
      <c r="AA1421" s="36"/>
      <c r="AB1421" s="36"/>
      <c r="AC1421" s="36"/>
      <c r="AD1421" s="36"/>
      <c r="AE1421" s="36"/>
      <c r="AF1421" s="36"/>
      <c r="AG1421" s="36"/>
      <c r="AH1421" s="90"/>
      <c r="AI1421" s="85"/>
      <c r="AJ1421" s="36"/>
      <c r="AK1421" s="36"/>
      <c r="AL1421" s="36"/>
      <c r="AM1421" s="36"/>
      <c r="AN1421" s="36"/>
      <c r="AO1421" s="36"/>
      <c r="AP1421" s="36"/>
      <c r="AQ1421" s="36"/>
      <c r="BO1421" s="36"/>
      <c r="BP1421" s="36"/>
      <c r="BQ1421" s="36"/>
      <c r="BR1421" s="36"/>
      <c r="GE1421" s="94"/>
      <c r="GF1421" s="104">
        <f t="shared" si="457"/>
        <v>2018</v>
      </c>
      <c r="GG1421" s="104">
        <f t="shared" si="458"/>
        <v>31</v>
      </c>
      <c r="GH1421" s="35">
        <v>43313</v>
      </c>
      <c r="GI1421" s="26">
        <v>3.221</v>
      </c>
      <c r="GJ1421" s="94">
        <f t="shared" si="459"/>
        <v>6.442</v>
      </c>
      <c r="GK1421" s="104"/>
      <c r="GL1421" s="104"/>
      <c r="GO1421" s="94"/>
    </row>
    <row r="1422" spans="3:197">
      <c r="C1422" s="80" t="str" cm="1">
        <f t="array" ref="C1422">_xlfn.IFS(MONTH(D1422)&lt;4,1,MONTH(D1422)&lt;7,2,MONTH(D1422)&lt;10,3,MONTH(D1422)&gt;9,4)&amp;"Q"&amp;RIGHT(YEAR(D1422),2)</f>
        <v>3Q21</v>
      </c>
      <c r="D1422" s="81">
        <f t="shared" si="455"/>
        <v>44469</v>
      </c>
      <c r="E1422" s="82">
        <f t="shared" si="452"/>
        <v>44456</v>
      </c>
      <c r="F1422" s="83">
        <f t="shared" si="456"/>
        <v>0.465375</v>
      </c>
      <c r="G1422" s="83">
        <f t="shared" si="456"/>
        <v>0.5125</v>
      </c>
      <c r="H1422" s="81"/>
      <c r="I1422" s="146">
        <v>44456</v>
      </c>
      <c r="J1422" s="147">
        <v>4.15</v>
      </c>
      <c r="K1422" s="147">
        <v>3.65</v>
      </c>
      <c r="L1422" s="147">
        <v>3.723</v>
      </c>
      <c r="M1422" s="94" cm="1">
        <f t="array" ref="M1422">INDEX($BV$29:$BV$1449,MATCH($D1422,$BR$29:$BR$1449,0),)</f>
        <v>4.1</v>
      </c>
      <c r="N1422" s="150">
        <f t="shared" si="453"/>
        <v>-0.000268528464017259</v>
      </c>
      <c r="O1422" s="150">
        <f t="shared" si="461"/>
        <v>-0.00613988254137754</v>
      </c>
      <c r="P1422" s="150">
        <f t="shared" si="460"/>
        <v>-0.0200052645433009</v>
      </c>
      <c r="Q1422" s="89">
        <f t="shared" si="454"/>
        <v>-0.0919512195121951</v>
      </c>
      <c r="R1422" s="36"/>
      <c r="S1422" s="36"/>
      <c r="T1422" s="36"/>
      <c r="U1422" s="36"/>
      <c r="V1422" s="36"/>
      <c r="W1422" s="36"/>
      <c r="X1422" s="36"/>
      <c r="Y1422" s="36"/>
      <c r="Z1422" s="36"/>
      <c r="AA1422" s="36"/>
      <c r="AB1422" s="36"/>
      <c r="AC1422" s="36"/>
      <c r="AD1422" s="36"/>
      <c r="AE1422" s="36"/>
      <c r="AF1422" s="36"/>
      <c r="AG1422" s="36"/>
      <c r="AH1422" s="90"/>
      <c r="AI1422" s="85"/>
      <c r="AJ1422" s="36"/>
      <c r="AK1422" s="36"/>
      <c r="AL1422" s="36"/>
      <c r="AM1422" s="36"/>
      <c r="AN1422" s="36"/>
      <c r="AO1422" s="36"/>
      <c r="AP1422" s="36"/>
      <c r="AQ1422" s="36"/>
      <c r="BO1422" s="36"/>
      <c r="BP1422" s="36"/>
      <c r="BQ1422" s="36"/>
      <c r="BR1422" s="36"/>
      <c r="GE1422" s="94"/>
      <c r="GF1422" s="104">
        <f t="shared" si="457"/>
        <v>2018</v>
      </c>
      <c r="GG1422" s="104">
        <f t="shared" si="458"/>
        <v>31</v>
      </c>
      <c r="GH1422" s="35">
        <v>43314</v>
      </c>
      <c r="GI1422" s="26">
        <v>3.212</v>
      </c>
      <c r="GJ1422" s="94">
        <f t="shared" si="459"/>
        <v>6.424</v>
      </c>
      <c r="GK1422" s="104"/>
      <c r="GL1422" s="104"/>
      <c r="GO1422" s="94"/>
    </row>
    <row r="1423" spans="3:197">
      <c r="C1423" s="80" t="str" cm="1">
        <f t="array" ref="C1423">_xlfn.IFS(MONTH(D1423)&lt;4,1,MONTH(D1423)&lt;7,2,MONTH(D1423)&lt;10,3,MONTH(D1423)&gt;9,4)&amp;"Q"&amp;RIGHT(YEAR(D1423),2)</f>
        <v>3Q21</v>
      </c>
      <c r="D1423" s="81">
        <f t="shared" si="455"/>
        <v>44469</v>
      </c>
      <c r="E1423" s="82">
        <f t="shared" si="452"/>
        <v>44461</v>
      </c>
      <c r="F1423" s="83">
        <f t="shared" si="456"/>
        <v>0.46525</v>
      </c>
      <c r="G1423" s="83">
        <f t="shared" si="456"/>
        <v>0.5125</v>
      </c>
      <c r="H1423" s="81"/>
      <c r="I1423" s="146">
        <v>44461</v>
      </c>
      <c r="J1423" s="147">
        <v>4.1</v>
      </c>
      <c r="K1423" s="147">
        <v>3.65</v>
      </c>
      <c r="L1423" s="147">
        <v>3.722</v>
      </c>
      <c r="M1423" s="94" cm="1">
        <f t="array" ref="M1423">INDEX($BV$29:$BV$1449,MATCH($D1423,$BR$29:$BR$1449,0),)</f>
        <v>4.1</v>
      </c>
      <c r="N1423" s="150">
        <f t="shared" si="453"/>
        <v>-0.000268600590921264</v>
      </c>
      <c r="O1423" s="150">
        <f t="shared" si="461"/>
        <v>-0.00348058902275772</v>
      </c>
      <c r="P1423" s="150">
        <f t="shared" si="460"/>
        <v>-0.0179419525065964</v>
      </c>
      <c r="Q1423" s="89">
        <f t="shared" si="454"/>
        <v>-0.0921951219512195</v>
      </c>
      <c r="R1423" s="36"/>
      <c r="S1423" s="36"/>
      <c r="T1423" s="36"/>
      <c r="U1423" s="36"/>
      <c r="V1423" s="36"/>
      <c r="W1423" s="36"/>
      <c r="X1423" s="36"/>
      <c r="Y1423" s="36"/>
      <c r="Z1423" s="36"/>
      <c r="AA1423" s="36"/>
      <c r="AB1423" s="36"/>
      <c r="AC1423" s="36"/>
      <c r="AD1423" s="36"/>
      <c r="AE1423" s="36"/>
      <c r="AF1423" s="36"/>
      <c r="AG1423" s="36"/>
      <c r="AH1423" s="90"/>
      <c r="AI1423" s="85"/>
      <c r="AJ1423" s="36"/>
      <c r="AK1423" s="36"/>
      <c r="AL1423" s="36"/>
      <c r="AM1423" s="36"/>
      <c r="AN1423" s="36"/>
      <c r="AO1423" s="36"/>
      <c r="AP1423" s="36"/>
      <c r="AQ1423" s="36"/>
      <c r="BO1423" s="36"/>
      <c r="BP1423" s="36"/>
      <c r="BQ1423" s="36"/>
      <c r="BR1423" s="36"/>
      <c r="GE1423" s="94"/>
      <c r="GF1423" s="104">
        <f t="shared" si="457"/>
        <v>2018</v>
      </c>
      <c r="GG1423" s="104">
        <f t="shared" si="458"/>
        <v>31</v>
      </c>
      <c r="GH1423" s="35">
        <v>43315</v>
      </c>
      <c r="GI1423" s="26">
        <v>3.205</v>
      </c>
      <c r="GJ1423" s="94">
        <f t="shared" si="459"/>
        <v>6.41</v>
      </c>
      <c r="GK1423" s="104"/>
      <c r="GL1423" s="104"/>
      <c r="GO1423" s="94"/>
    </row>
    <row r="1424" spans="3:197">
      <c r="C1424" s="80" t="str" cm="1">
        <f t="array" ref="C1424">_xlfn.IFS(MONTH(D1424)&lt;4,1,MONTH(D1424)&lt;7,2,MONTH(D1424)&lt;10,3,MONTH(D1424)&gt;9,4)&amp;"Q"&amp;RIGHT(YEAR(D1424),2)</f>
        <v>3Q21</v>
      </c>
      <c r="D1424" s="81">
        <f t="shared" si="455"/>
        <v>44469</v>
      </c>
      <c r="E1424" s="82">
        <f t="shared" si="452"/>
        <v>44462</v>
      </c>
      <c r="F1424" s="83">
        <f t="shared" ref="F1424:G1449" si="462">+L1424/8</f>
        <v>0.464875</v>
      </c>
      <c r="G1424" s="83">
        <f t="shared" si="462"/>
        <v>0.5125</v>
      </c>
      <c r="H1424" s="81"/>
      <c r="I1424" s="146">
        <v>44462</v>
      </c>
      <c r="J1424" s="147">
        <v>4.1</v>
      </c>
      <c r="K1424" s="147">
        <v>3.64</v>
      </c>
      <c r="L1424" s="147">
        <v>3.719</v>
      </c>
      <c r="M1424" s="94" cm="1">
        <f t="array" ref="M1424">INDEX($BV$29:$BV$1449,MATCH($D1424,$BR$29:$BR$1449,0),)</f>
        <v>4.1</v>
      </c>
      <c r="N1424" s="150">
        <f t="shared" si="453"/>
        <v>-0.000806018269747466</v>
      </c>
      <c r="O1424" s="150">
        <f t="shared" si="461"/>
        <v>-0.00187869028448739</v>
      </c>
      <c r="P1424" s="150">
        <f t="shared" si="460"/>
        <v>-0.0166578529878372</v>
      </c>
      <c r="Q1424" s="89">
        <f t="shared" si="454"/>
        <v>-0.0929268292682927</v>
      </c>
      <c r="R1424" s="36"/>
      <c r="S1424" s="36"/>
      <c r="T1424" s="36"/>
      <c r="U1424" s="36"/>
      <c r="V1424" s="36"/>
      <c r="W1424" s="36"/>
      <c r="X1424" s="36"/>
      <c r="Y1424" s="36"/>
      <c r="Z1424" s="36"/>
      <c r="AA1424" s="36"/>
      <c r="AB1424" s="36"/>
      <c r="AC1424" s="36"/>
      <c r="AD1424" s="36"/>
      <c r="AE1424" s="36"/>
      <c r="AF1424" s="36"/>
      <c r="AG1424" s="36"/>
      <c r="AH1424" s="90"/>
      <c r="AI1424" s="85"/>
      <c r="AJ1424" s="36"/>
      <c r="AK1424" s="36"/>
      <c r="AL1424" s="36"/>
      <c r="AM1424" s="36"/>
      <c r="AN1424" s="36"/>
      <c r="AO1424" s="36"/>
      <c r="AP1424" s="36"/>
      <c r="AQ1424" s="36"/>
      <c r="BO1424" s="36"/>
      <c r="BP1424" s="36"/>
      <c r="BQ1424" s="36"/>
      <c r="BR1424" s="36"/>
      <c r="GE1424" s="94"/>
      <c r="GF1424" s="104">
        <f t="shared" si="457"/>
        <v>2018</v>
      </c>
      <c r="GG1424" s="104">
        <f t="shared" si="458"/>
        <v>32</v>
      </c>
      <c r="GH1424" s="35">
        <v>43318</v>
      </c>
      <c r="GI1424" s="26">
        <v>3.198</v>
      </c>
      <c r="GJ1424" s="94">
        <f t="shared" si="459"/>
        <v>6.396</v>
      </c>
      <c r="GK1424" s="104"/>
      <c r="GL1424" s="104"/>
      <c r="GO1424" s="94"/>
    </row>
    <row r="1425" spans="3:197">
      <c r="C1425" s="80" t="str" cm="1">
        <f t="array" ref="C1425">_xlfn.IFS(MONTH(D1425)&lt;4,1,MONTH(D1425)&lt;7,2,MONTH(D1425)&lt;10,3,MONTH(D1425)&gt;9,4)&amp;"Q"&amp;RIGHT(YEAR(D1425),2)</f>
        <v>3Q21</v>
      </c>
      <c r="D1425" s="81">
        <f t="shared" si="455"/>
        <v>44469</v>
      </c>
      <c r="E1425" s="82">
        <f t="shared" ref="E1425:E1488" si="463">I1425</f>
        <v>44463</v>
      </c>
      <c r="F1425" s="83">
        <f t="shared" si="462"/>
        <v>0.4625</v>
      </c>
      <c r="G1425" s="83">
        <f t="shared" si="462"/>
        <v>0.5125</v>
      </c>
      <c r="H1425" s="81"/>
      <c r="I1425" s="146">
        <v>44463</v>
      </c>
      <c r="J1425" s="147">
        <v>4.1</v>
      </c>
      <c r="K1425" s="147">
        <v>3.63</v>
      </c>
      <c r="L1425" s="147">
        <v>3.7</v>
      </c>
      <c r="M1425" s="94" cm="1">
        <f t="array" ref="M1425">INDEX($BV$29:$BV$1449,MATCH($D1425,$BR$29:$BR$1449,0),)</f>
        <v>4.1</v>
      </c>
      <c r="N1425" s="150">
        <f t="shared" ref="N1425:N1465" si="464">L1425/L1424-1</f>
        <v>-0.0051089002420005</v>
      </c>
      <c r="O1425" s="150">
        <f t="shared" si="461"/>
        <v>-0.00644468313641244</v>
      </c>
      <c r="P1425" s="150">
        <f t="shared" si="460"/>
        <v>-0.0172642762284196</v>
      </c>
      <c r="Q1425" s="89">
        <f t="shared" ref="Q1425:Q1488" si="465">L1425/M1425-1</f>
        <v>-0.097560975609756</v>
      </c>
      <c r="R1425" s="36"/>
      <c r="S1425" s="36"/>
      <c r="T1425" s="36"/>
      <c r="U1425" s="36"/>
      <c r="V1425" s="36"/>
      <c r="W1425" s="36"/>
      <c r="X1425" s="36"/>
      <c r="Y1425" s="36"/>
      <c r="Z1425" s="36"/>
      <c r="AA1425" s="36"/>
      <c r="AB1425" s="36"/>
      <c r="AC1425" s="36"/>
      <c r="AD1425" s="36"/>
      <c r="AE1425" s="36"/>
      <c r="AF1425" s="36"/>
      <c r="AG1425" s="36"/>
      <c r="AH1425" s="90"/>
      <c r="AI1425" s="85"/>
      <c r="AJ1425" s="36"/>
      <c r="AK1425" s="36"/>
      <c r="AL1425" s="36"/>
      <c r="AM1425" s="36"/>
      <c r="AN1425" s="36"/>
      <c r="AO1425" s="36"/>
      <c r="AP1425" s="36"/>
      <c r="AQ1425" s="36"/>
      <c r="BO1425" s="36"/>
      <c r="BP1425" s="36"/>
      <c r="BQ1425" s="36"/>
      <c r="BR1425" s="36"/>
      <c r="GE1425" s="94"/>
      <c r="GF1425" s="104">
        <f t="shared" si="457"/>
        <v>2018</v>
      </c>
      <c r="GG1425" s="104">
        <f t="shared" si="458"/>
        <v>32</v>
      </c>
      <c r="GH1425" s="35">
        <v>43319</v>
      </c>
      <c r="GI1425" s="26">
        <v>3.18</v>
      </c>
      <c r="GJ1425" s="94">
        <f t="shared" si="459"/>
        <v>6.36</v>
      </c>
      <c r="GK1425" s="104"/>
      <c r="GL1425" s="104"/>
      <c r="GO1425" s="94"/>
    </row>
    <row r="1426" spans="3:197">
      <c r="C1426" s="80" t="str" cm="1">
        <f t="array" ref="C1426">_xlfn.IFS(MONTH(D1426)&lt;4,1,MONTH(D1426)&lt;7,2,MONTH(D1426)&lt;10,3,MONTH(D1426)&gt;9,4)&amp;"Q"&amp;RIGHT(YEAR(D1426),2)</f>
        <v>3Q21</v>
      </c>
      <c r="D1426" s="81">
        <f t="shared" si="455"/>
        <v>44469</v>
      </c>
      <c r="E1426" s="82">
        <f t="shared" si="463"/>
        <v>44466</v>
      </c>
      <c r="F1426" s="83">
        <f t="shared" si="462"/>
        <v>0.461375</v>
      </c>
      <c r="G1426" s="83">
        <f t="shared" si="462"/>
        <v>0.5125</v>
      </c>
      <c r="H1426" s="81"/>
      <c r="I1426" s="146">
        <v>44466</v>
      </c>
      <c r="J1426" s="147">
        <v>4.05</v>
      </c>
      <c r="K1426" s="147">
        <v>3.63</v>
      </c>
      <c r="L1426" s="147">
        <v>3.691</v>
      </c>
      <c r="M1426" s="94" cm="1">
        <f t="array" ref="M1426">INDEX($BV$29:$BV$1449,MATCH($D1426,$BR$29:$BR$1449,0),)</f>
        <v>4.1</v>
      </c>
      <c r="N1426" s="150">
        <f t="shared" si="464"/>
        <v>-0.00243243243243252</v>
      </c>
      <c r="O1426" s="150">
        <f t="shared" si="461"/>
        <v>-0.00886143931256722</v>
      </c>
      <c r="P1426" s="150">
        <f t="shared" si="460"/>
        <v>-0.0173056443024494</v>
      </c>
      <c r="Q1426" s="89">
        <f t="shared" si="465"/>
        <v>-0.0997560975609756</v>
      </c>
      <c r="R1426" s="36"/>
      <c r="S1426" s="36"/>
      <c r="T1426" s="36"/>
      <c r="U1426" s="36"/>
      <c r="V1426" s="36"/>
      <c r="W1426" s="36"/>
      <c r="X1426" s="36"/>
      <c r="Y1426" s="36"/>
      <c r="Z1426" s="36"/>
      <c r="AA1426" s="36"/>
      <c r="AB1426" s="36"/>
      <c r="AC1426" s="36"/>
      <c r="AD1426" s="36"/>
      <c r="AE1426" s="36"/>
      <c r="AF1426" s="36"/>
      <c r="AG1426" s="36"/>
      <c r="AH1426" s="90"/>
      <c r="AI1426" s="85"/>
      <c r="AJ1426" s="36"/>
      <c r="AK1426" s="36"/>
      <c r="AL1426" s="36"/>
      <c r="AM1426" s="36"/>
      <c r="AN1426" s="36"/>
      <c r="AO1426" s="36"/>
      <c r="AP1426" s="36"/>
      <c r="AQ1426" s="36"/>
      <c r="BO1426" s="36"/>
      <c r="BP1426" s="36"/>
      <c r="BQ1426" s="36"/>
      <c r="BR1426" s="36"/>
      <c r="GE1426" s="94"/>
      <c r="GF1426" s="104">
        <f t="shared" si="457"/>
        <v>2018</v>
      </c>
      <c r="GG1426" s="104">
        <f t="shared" si="458"/>
        <v>32</v>
      </c>
      <c r="GH1426" s="35">
        <v>43320</v>
      </c>
      <c r="GI1426" s="26">
        <v>3.18</v>
      </c>
      <c r="GJ1426" s="94">
        <f t="shared" si="459"/>
        <v>6.36</v>
      </c>
      <c r="GK1426" s="104"/>
      <c r="GL1426" s="104"/>
      <c r="GO1426" s="94"/>
    </row>
    <row r="1427" spans="3:197">
      <c r="C1427" s="80" t="str" cm="1">
        <f t="array" ref="C1427">_xlfn.IFS(MONTH(D1427)&lt;4,1,MONTH(D1427)&lt;7,2,MONTH(D1427)&lt;10,3,MONTH(D1427)&gt;9,4)&amp;"Q"&amp;RIGHT(YEAR(D1427),2)</f>
        <v>3Q21</v>
      </c>
      <c r="D1427" s="81">
        <f t="shared" si="455"/>
        <v>44469</v>
      </c>
      <c r="E1427" s="82">
        <f t="shared" si="463"/>
        <v>44467</v>
      </c>
      <c r="F1427" s="83">
        <f t="shared" si="462"/>
        <v>0.461125</v>
      </c>
      <c r="G1427" s="83">
        <f t="shared" si="462"/>
        <v>0.5125</v>
      </c>
      <c r="H1427" s="81"/>
      <c r="I1427" s="146">
        <v>44467</v>
      </c>
      <c r="J1427" s="147">
        <v>4</v>
      </c>
      <c r="K1427" s="147">
        <v>3.63</v>
      </c>
      <c r="L1427" s="147">
        <v>3.689</v>
      </c>
      <c r="M1427" s="94" cm="1">
        <f t="array" ref="M1427">INDEX($BV$29:$BV$1449,MATCH($D1427,$BR$29:$BR$1449,0),)</f>
        <v>4.1</v>
      </c>
      <c r="N1427" s="150">
        <f t="shared" si="464"/>
        <v>-0.000541858574911847</v>
      </c>
      <c r="O1427" s="150">
        <f t="shared" si="461"/>
        <v>-0.0091324200913242</v>
      </c>
      <c r="P1427" s="150">
        <f t="shared" si="460"/>
        <v>-0.0152162306460224</v>
      </c>
      <c r="Q1427" s="89">
        <f t="shared" si="465"/>
        <v>-0.100243902439024</v>
      </c>
      <c r="R1427" s="36"/>
      <c r="S1427" s="36"/>
      <c r="T1427" s="36"/>
      <c r="U1427" s="36"/>
      <c r="V1427" s="36"/>
      <c r="W1427" s="36"/>
      <c r="X1427" s="36"/>
      <c r="Y1427" s="36"/>
      <c r="Z1427" s="36"/>
      <c r="AA1427" s="36"/>
      <c r="AB1427" s="36"/>
      <c r="AC1427" s="36"/>
      <c r="AD1427" s="36"/>
      <c r="AE1427" s="36"/>
      <c r="AF1427" s="36"/>
      <c r="AG1427" s="36"/>
      <c r="AH1427" s="90"/>
      <c r="AI1427" s="85"/>
      <c r="AJ1427" s="36"/>
      <c r="AK1427" s="36"/>
      <c r="AL1427" s="36"/>
      <c r="AM1427" s="36"/>
      <c r="AN1427" s="36"/>
      <c r="AO1427" s="36"/>
      <c r="AP1427" s="36"/>
      <c r="AQ1427" s="36"/>
      <c r="BO1427" s="36"/>
      <c r="BP1427" s="36"/>
      <c r="BQ1427" s="36"/>
      <c r="BR1427" s="36"/>
      <c r="GE1427" s="94"/>
      <c r="GF1427" s="104">
        <f t="shared" si="457"/>
        <v>2018</v>
      </c>
      <c r="GG1427" s="104">
        <f t="shared" si="458"/>
        <v>32</v>
      </c>
      <c r="GH1427" s="35">
        <v>43321</v>
      </c>
      <c r="GI1427" s="26">
        <v>3.178</v>
      </c>
      <c r="GJ1427" s="94">
        <f t="shared" si="459"/>
        <v>6.356</v>
      </c>
      <c r="GK1427" s="104"/>
      <c r="GL1427" s="104"/>
      <c r="GO1427" s="94"/>
    </row>
    <row r="1428" spans="3:197">
      <c r="C1428" s="80" t="str" cm="1">
        <f t="array" ref="C1428">_xlfn.IFS(MONTH(D1428)&lt;4,1,MONTH(D1428)&lt;7,2,MONTH(D1428)&lt;10,3,MONTH(D1428)&gt;9,4)&amp;"Q"&amp;RIGHT(YEAR(D1428),2)</f>
        <v>3Q21</v>
      </c>
      <c r="D1428" s="81">
        <f t="shared" si="455"/>
        <v>44469</v>
      </c>
      <c r="E1428" s="82">
        <f t="shared" si="463"/>
        <v>44468</v>
      </c>
      <c r="F1428" s="83">
        <f t="shared" si="462"/>
        <v>0.460875</v>
      </c>
      <c r="G1428" s="83">
        <f t="shared" si="462"/>
        <v>0.5125</v>
      </c>
      <c r="H1428" s="81"/>
      <c r="I1428" s="146">
        <v>44468</v>
      </c>
      <c r="J1428" s="147">
        <v>3.98</v>
      </c>
      <c r="K1428" s="147">
        <v>3.62</v>
      </c>
      <c r="L1428" s="147">
        <v>3.687</v>
      </c>
      <c r="M1428" s="94" cm="1">
        <f t="array" ref="M1428">INDEX($BV$29:$BV$1449,MATCH($D1428,$BR$29:$BR$1449,0),)</f>
        <v>4.1</v>
      </c>
      <c r="N1428" s="150">
        <f t="shared" si="464"/>
        <v>-0.000542152344808922</v>
      </c>
      <c r="O1428" s="150">
        <f t="shared" si="461"/>
        <v>-0.00940354648038688</v>
      </c>
      <c r="P1428" s="150">
        <f t="shared" si="460"/>
        <v>-0.01285140562249</v>
      </c>
      <c r="Q1428" s="89">
        <f t="shared" si="465"/>
        <v>-0.100731707317073</v>
      </c>
      <c r="R1428" s="36"/>
      <c r="S1428" s="36"/>
      <c r="T1428" s="36"/>
      <c r="U1428" s="36"/>
      <c r="V1428" s="36"/>
      <c r="W1428" s="36"/>
      <c r="X1428" s="36"/>
      <c r="Y1428" s="36"/>
      <c r="Z1428" s="36"/>
      <c r="AA1428" s="36"/>
      <c r="AB1428" s="36"/>
      <c r="AC1428" s="36"/>
      <c r="AD1428" s="36"/>
      <c r="AE1428" s="36"/>
      <c r="AF1428" s="36"/>
      <c r="AG1428" s="36"/>
      <c r="AH1428" s="90"/>
      <c r="AI1428" s="85"/>
      <c r="AJ1428" s="36"/>
      <c r="AK1428" s="36"/>
      <c r="AL1428" s="36"/>
      <c r="AM1428" s="36"/>
      <c r="AN1428" s="36"/>
      <c r="AO1428" s="36"/>
      <c r="AP1428" s="36"/>
      <c r="AQ1428" s="36"/>
      <c r="BO1428" s="36"/>
      <c r="BP1428" s="36"/>
      <c r="BQ1428" s="36"/>
      <c r="BR1428" s="36"/>
      <c r="GE1428" s="94"/>
      <c r="GF1428" s="104">
        <f t="shared" si="457"/>
        <v>2018</v>
      </c>
      <c r="GG1428" s="104">
        <f t="shared" si="458"/>
        <v>32</v>
      </c>
      <c r="GH1428" s="35">
        <v>43322</v>
      </c>
      <c r="GI1428" s="26">
        <v>3.178</v>
      </c>
      <c r="GJ1428" s="94">
        <f t="shared" si="459"/>
        <v>6.356</v>
      </c>
      <c r="GK1428" s="104"/>
      <c r="GL1428" s="104"/>
      <c r="GO1428" s="94"/>
    </row>
    <row r="1429" spans="3:197">
      <c r="C1429" s="80" t="str" cm="1">
        <f t="array" ref="C1429">_xlfn.IFS(MONTH(D1429)&lt;4,1,MONTH(D1429)&lt;7,2,MONTH(D1429)&lt;10,3,MONTH(D1429)&gt;9,4)&amp;"Q"&amp;RIGHT(YEAR(D1429),2)</f>
        <v>3Q21</v>
      </c>
      <c r="D1429" s="81">
        <f t="shared" si="455"/>
        <v>44469</v>
      </c>
      <c r="E1429" s="82">
        <f t="shared" si="463"/>
        <v>44469</v>
      </c>
      <c r="F1429" s="83">
        <f t="shared" si="462"/>
        <v>0.457125</v>
      </c>
      <c r="G1429" s="83">
        <f t="shared" si="462"/>
        <v>0.5125</v>
      </c>
      <c r="H1429" s="81"/>
      <c r="I1429" s="146">
        <v>44469</v>
      </c>
      <c r="J1429" s="147">
        <v>3.95</v>
      </c>
      <c r="K1429" s="147">
        <v>3.62</v>
      </c>
      <c r="L1429" s="147">
        <v>3.657</v>
      </c>
      <c r="M1429" s="94" cm="1">
        <f t="array" ref="M1429">INDEX($BV$29:$BV$1449,MATCH($D1429,$BR$29:$BR$1449,0),)</f>
        <v>4.1</v>
      </c>
      <c r="N1429" s="150">
        <f t="shared" si="464"/>
        <v>-0.0081366965012204</v>
      </c>
      <c r="O1429" s="150">
        <f t="shared" si="461"/>
        <v>-0.016671148158107</v>
      </c>
      <c r="P1429" s="150">
        <f t="shared" si="460"/>
        <v>-0.0185185185185185</v>
      </c>
      <c r="Q1429" s="89">
        <f t="shared" si="465"/>
        <v>-0.108048780487805</v>
      </c>
      <c r="R1429" s="36"/>
      <c r="S1429" s="36"/>
      <c r="T1429" s="36"/>
      <c r="U1429" s="36"/>
      <c r="V1429" s="36"/>
      <c r="W1429" s="36"/>
      <c r="X1429" s="36"/>
      <c r="Y1429" s="36"/>
      <c r="Z1429" s="36"/>
      <c r="AA1429" s="36"/>
      <c r="AB1429" s="36"/>
      <c r="AC1429" s="36"/>
      <c r="AD1429" s="36"/>
      <c r="AE1429" s="36"/>
      <c r="AF1429" s="36"/>
      <c r="AG1429" s="36"/>
      <c r="AH1429" s="90"/>
      <c r="AI1429" s="85"/>
      <c r="AJ1429" s="36"/>
      <c r="AK1429" s="36"/>
      <c r="AL1429" s="36"/>
      <c r="AM1429" s="36"/>
      <c r="AN1429" s="36"/>
      <c r="AO1429" s="36"/>
      <c r="AP1429" s="36"/>
      <c r="AQ1429" s="36"/>
      <c r="BO1429" s="36"/>
      <c r="BP1429" s="36"/>
      <c r="BQ1429" s="36"/>
      <c r="BR1429" s="36"/>
      <c r="GE1429" s="94"/>
      <c r="GF1429" s="104">
        <f t="shared" si="457"/>
        <v>2018</v>
      </c>
      <c r="GG1429" s="104">
        <f t="shared" si="458"/>
        <v>33</v>
      </c>
      <c r="GH1429" s="35">
        <v>43325</v>
      </c>
      <c r="GI1429" s="26">
        <v>3.178</v>
      </c>
      <c r="GJ1429" s="94">
        <f t="shared" si="459"/>
        <v>6.356</v>
      </c>
      <c r="GK1429" s="104"/>
      <c r="GL1429" s="104"/>
      <c r="GO1429" s="94"/>
    </row>
    <row r="1430" spans="3:197">
      <c r="C1430" s="80" t="str" cm="1">
        <f t="array" ref="C1430">_xlfn.IFS(MONTH(D1430)&lt;4,1,MONTH(D1430)&lt;7,2,MONTH(D1430)&lt;10,3,MONTH(D1430)&gt;9,4)&amp;"Q"&amp;RIGHT(YEAR(D1430),2)</f>
        <v>4Q21</v>
      </c>
      <c r="D1430" s="81">
        <f t="shared" si="455"/>
        <v>44500</v>
      </c>
      <c r="E1430" s="82">
        <f t="shared" si="463"/>
        <v>44470</v>
      </c>
      <c r="F1430" s="83">
        <f t="shared" si="462"/>
        <v>0.455875</v>
      </c>
      <c r="G1430" s="83">
        <f t="shared" si="462"/>
        <v>0.46375</v>
      </c>
      <c r="H1430" s="81"/>
      <c r="I1430" s="146">
        <v>44470</v>
      </c>
      <c r="J1430" s="147">
        <v>3.9</v>
      </c>
      <c r="K1430" s="147">
        <v>3.61</v>
      </c>
      <c r="L1430" s="147">
        <v>3.647</v>
      </c>
      <c r="M1430" s="94" cm="1">
        <f t="array" ref="M1430">INDEX($BV$29:$BV$1449,MATCH($D1430,$BR$29:$BR$1449,0),)</f>
        <v>3.71</v>
      </c>
      <c r="N1430" s="150">
        <f t="shared" si="464"/>
        <v>-0.00273448181569602</v>
      </c>
      <c r="O1430" s="150">
        <f t="shared" si="461"/>
        <v>-0.0143243243243244</v>
      </c>
      <c r="P1430" s="150">
        <f t="shared" si="460"/>
        <v>-0.0206766917293234</v>
      </c>
      <c r="Q1430" s="89">
        <f t="shared" si="465"/>
        <v>-0.0169811320754717</v>
      </c>
      <c r="R1430" s="36"/>
      <c r="S1430" s="36"/>
      <c r="T1430" s="36"/>
      <c r="U1430" s="36"/>
      <c r="V1430" s="36"/>
      <c r="W1430" s="36"/>
      <c r="X1430" s="36"/>
      <c r="Y1430" s="36"/>
      <c r="Z1430" s="36"/>
      <c r="AA1430" s="36"/>
      <c r="AB1430" s="36"/>
      <c r="AC1430" s="36"/>
      <c r="AD1430" s="36"/>
      <c r="AE1430" s="36"/>
      <c r="AF1430" s="36"/>
      <c r="AG1430" s="36"/>
      <c r="AH1430" s="90"/>
      <c r="AI1430" s="85"/>
      <c r="AJ1430" s="36"/>
      <c r="AK1430" s="36"/>
      <c r="AL1430" s="36"/>
      <c r="AM1430" s="36"/>
      <c r="AN1430" s="36"/>
      <c r="AO1430" s="36"/>
      <c r="AP1430" s="36"/>
      <c r="AQ1430" s="36"/>
      <c r="BO1430" s="36"/>
      <c r="BP1430" s="36"/>
      <c r="BQ1430" s="36"/>
      <c r="BR1430" s="36"/>
      <c r="GE1430" s="94"/>
      <c r="GF1430" s="104">
        <f t="shared" si="457"/>
        <v>2018</v>
      </c>
      <c r="GG1430" s="104">
        <f t="shared" si="458"/>
        <v>33</v>
      </c>
      <c r="GH1430" s="35">
        <v>43326</v>
      </c>
      <c r="GI1430" s="26">
        <v>3.17</v>
      </c>
      <c r="GJ1430" s="94">
        <f t="shared" si="459"/>
        <v>6.34</v>
      </c>
      <c r="GK1430" s="104"/>
      <c r="GL1430" s="104"/>
      <c r="GO1430" s="94"/>
    </row>
    <row r="1431" spans="3:197">
      <c r="C1431" s="80" t="str" cm="1">
        <f t="array" ref="C1431">_xlfn.IFS(MONTH(D1431)&lt;4,1,MONTH(D1431)&lt;7,2,MONTH(D1431)&lt;10,3,MONTH(D1431)&gt;9,4)&amp;"Q"&amp;RIGHT(YEAR(D1431),2)</f>
        <v>4Q21</v>
      </c>
      <c r="D1431" s="81">
        <f t="shared" si="455"/>
        <v>44500</v>
      </c>
      <c r="E1431" s="82">
        <f t="shared" si="463"/>
        <v>44473</v>
      </c>
      <c r="F1431" s="83">
        <f t="shared" si="462"/>
        <v>0.455875</v>
      </c>
      <c r="G1431" s="83">
        <f t="shared" si="462"/>
        <v>0.46375</v>
      </c>
      <c r="H1431" s="81"/>
      <c r="I1431" s="146">
        <v>44473</v>
      </c>
      <c r="J1431" s="147">
        <v>3.9</v>
      </c>
      <c r="K1431" s="147">
        <v>3.6</v>
      </c>
      <c r="L1431" s="147">
        <v>3.647</v>
      </c>
      <c r="M1431" s="94" cm="1">
        <f t="array" ref="M1431">INDEX($BV$29:$BV$1449,MATCH($D1431,$BR$29:$BR$1449,0),)</f>
        <v>3.71</v>
      </c>
      <c r="N1431" s="150">
        <f t="shared" si="464"/>
        <v>0</v>
      </c>
      <c r="O1431" s="150">
        <f t="shared" si="461"/>
        <v>-0.0119208886480628</v>
      </c>
      <c r="P1431" s="150">
        <f t="shared" si="460"/>
        <v>-0.0206766917293234</v>
      </c>
      <c r="Q1431" s="89">
        <f t="shared" si="465"/>
        <v>-0.0169811320754717</v>
      </c>
      <c r="R1431" s="36"/>
      <c r="S1431" s="36"/>
      <c r="T1431" s="36"/>
      <c r="U1431" s="36"/>
      <c r="V1431" s="36"/>
      <c r="W1431" s="36"/>
      <c r="X1431" s="36"/>
      <c r="Y1431" s="36"/>
      <c r="Z1431" s="36"/>
      <c r="AA1431" s="36"/>
      <c r="AB1431" s="36"/>
      <c r="AC1431" s="36"/>
      <c r="AD1431" s="36"/>
      <c r="AE1431" s="36"/>
      <c r="AF1431" s="36"/>
      <c r="AG1431" s="36"/>
      <c r="AH1431" s="90"/>
      <c r="AI1431" s="85"/>
      <c r="AJ1431" s="36"/>
      <c r="AK1431" s="36"/>
      <c r="AL1431" s="36"/>
      <c r="AM1431" s="36"/>
      <c r="AN1431" s="36"/>
      <c r="AO1431" s="36"/>
      <c r="AP1431" s="36"/>
      <c r="AQ1431" s="36"/>
      <c r="BO1431" s="36"/>
      <c r="BP1431" s="36"/>
      <c r="BQ1431" s="36"/>
      <c r="BR1431" s="36"/>
      <c r="GE1431" s="94"/>
      <c r="GF1431" s="104">
        <f t="shared" si="457"/>
        <v>2018</v>
      </c>
      <c r="GG1431" s="104">
        <f t="shared" si="458"/>
        <v>33</v>
      </c>
      <c r="GH1431" s="35">
        <v>43327</v>
      </c>
      <c r="GI1431" s="26">
        <v>3.168</v>
      </c>
      <c r="GJ1431" s="94">
        <f t="shared" si="459"/>
        <v>6.336</v>
      </c>
      <c r="GK1431" s="104"/>
      <c r="GL1431" s="104"/>
      <c r="GO1431" s="94"/>
    </row>
    <row r="1432" spans="3:197">
      <c r="C1432" s="80" t="str" cm="1">
        <f t="array" ref="C1432">_xlfn.IFS(MONTH(D1432)&lt;4,1,MONTH(D1432)&lt;7,2,MONTH(D1432)&lt;10,3,MONTH(D1432)&gt;9,4)&amp;"Q"&amp;RIGHT(YEAR(D1432),2)</f>
        <v>4Q21</v>
      </c>
      <c r="D1432" s="81">
        <f t="shared" si="455"/>
        <v>44500</v>
      </c>
      <c r="E1432" s="82">
        <f t="shared" si="463"/>
        <v>44474</v>
      </c>
      <c r="F1432" s="83">
        <f t="shared" si="462"/>
        <v>0.455875</v>
      </c>
      <c r="G1432" s="83">
        <f t="shared" si="462"/>
        <v>0.46375</v>
      </c>
      <c r="H1432" s="81"/>
      <c r="I1432" s="146">
        <v>44474</v>
      </c>
      <c r="J1432" s="147">
        <v>3.9</v>
      </c>
      <c r="K1432" s="147">
        <v>3.6</v>
      </c>
      <c r="L1432" s="147">
        <v>3.647</v>
      </c>
      <c r="M1432" s="94" cm="1">
        <f t="array" ref="M1432">INDEX($BV$29:$BV$1449,MATCH($D1432,$BR$29:$BR$1449,0),)</f>
        <v>3.71</v>
      </c>
      <c r="N1432" s="150">
        <f t="shared" si="464"/>
        <v>0</v>
      </c>
      <c r="O1432" s="150">
        <f t="shared" si="461"/>
        <v>-0.0113851992409868</v>
      </c>
      <c r="P1432" s="150">
        <f t="shared" si="460"/>
        <v>-0.0204136449100188</v>
      </c>
      <c r="Q1432" s="89">
        <f t="shared" si="465"/>
        <v>-0.0169811320754717</v>
      </c>
      <c r="R1432" s="36"/>
      <c r="S1432" s="36"/>
      <c r="T1432" s="36"/>
      <c r="U1432" s="36"/>
      <c r="V1432" s="36"/>
      <c r="W1432" s="36"/>
      <c r="X1432" s="36"/>
      <c r="Y1432" s="36"/>
      <c r="Z1432" s="36"/>
      <c r="AA1432" s="36"/>
      <c r="AB1432" s="36"/>
      <c r="AC1432" s="36"/>
      <c r="AD1432" s="36"/>
      <c r="AE1432" s="36"/>
      <c r="AF1432" s="36"/>
      <c r="AG1432" s="36"/>
      <c r="AH1432" s="90"/>
      <c r="AI1432" s="85"/>
      <c r="AJ1432" s="36"/>
      <c r="AK1432" s="36"/>
      <c r="AL1432" s="36"/>
      <c r="AM1432" s="36"/>
      <c r="AN1432" s="36"/>
      <c r="AO1432" s="36"/>
      <c r="AP1432" s="36"/>
      <c r="AQ1432" s="36"/>
      <c r="BO1432" s="36"/>
      <c r="BP1432" s="36"/>
      <c r="BQ1432" s="36"/>
      <c r="BR1432" s="36"/>
      <c r="GE1432" s="94"/>
      <c r="GF1432" s="104">
        <f t="shared" si="457"/>
        <v>2018</v>
      </c>
      <c r="GG1432" s="104">
        <f t="shared" si="458"/>
        <v>33</v>
      </c>
      <c r="GH1432" s="35">
        <v>43328</v>
      </c>
      <c r="GI1432" s="26">
        <v>3.145</v>
      </c>
      <c r="GJ1432" s="94">
        <f t="shared" si="459"/>
        <v>6.29</v>
      </c>
      <c r="GK1432" s="104"/>
      <c r="GL1432" s="104"/>
      <c r="GO1432" s="94"/>
    </row>
    <row r="1433" spans="3:197">
      <c r="C1433" s="80" t="str" cm="1">
        <f t="array" ref="C1433">_xlfn.IFS(MONTH(D1433)&lt;4,1,MONTH(D1433)&lt;7,2,MONTH(D1433)&lt;10,3,MONTH(D1433)&gt;9,4)&amp;"Q"&amp;RIGHT(YEAR(D1433),2)</f>
        <v>4Q21</v>
      </c>
      <c r="D1433" s="81">
        <f t="shared" si="455"/>
        <v>44500</v>
      </c>
      <c r="E1433" s="82">
        <f t="shared" si="463"/>
        <v>44475</v>
      </c>
      <c r="F1433" s="83">
        <f t="shared" si="462"/>
        <v>0.45575</v>
      </c>
      <c r="G1433" s="83">
        <f t="shared" si="462"/>
        <v>0.46375</v>
      </c>
      <c r="H1433" s="81"/>
      <c r="I1433" s="146">
        <v>44475</v>
      </c>
      <c r="J1433" s="147">
        <v>3.88</v>
      </c>
      <c r="K1433" s="147">
        <v>3.62</v>
      </c>
      <c r="L1433" s="147">
        <v>3.646</v>
      </c>
      <c r="M1433" s="94" cm="1">
        <f t="array" ref="M1433">INDEX($BV$29:$BV$1449,MATCH($D1433,$BR$29:$BR$1449,0),)</f>
        <v>3.71</v>
      </c>
      <c r="N1433" s="150">
        <f t="shared" si="464"/>
        <v>-0.000274197970934975</v>
      </c>
      <c r="O1433" s="150">
        <f t="shared" si="461"/>
        <v>-0.0111201518850014</v>
      </c>
      <c r="P1433" s="150">
        <f t="shared" si="460"/>
        <v>-0.0204191295002687</v>
      </c>
      <c r="Q1433" s="89">
        <f t="shared" si="465"/>
        <v>-0.0172506738544475</v>
      </c>
      <c r="R1433" s="36"/>
      <c r="S1433" s="36"/>
      <c r="T1433" s="36"/>
      <c r="U1433" s="36"/>
      <c r="V1433" s="36"/>
      <c r="W1433" s="36"/>
      <c r="X1433" s="36"/>
      <c r="Y1433" s="36"/>
      <c r="Z1433" s="36"/>
      <c r="AA1433" s="36"/>
      <c r="AB1433" s="36"/>
      <c r="AC1433" s="36"/>
      <c r="AD1433" s="36"/>
      <c r="AE1433" s="36"/>
      <c r="AF1433" s="36"/>
      <c r="AG1433" s="36"/>
      <c r="AH1433" s="90"/>
      <c r="AI1433" s="85"/>
      <c r="AJ1433" s="36"/>
      <c r="AK1433" s="36"/>
      <c r="AL1433" s="36"/>
      <c r="AM1433" s="36"/>
      <c r="AN1433" s="36"/>
      <c r="AO1433" s="36"/>
      <c r="AP1433" s="36"/>
      <c r="AQ1433" s="36"/>
      <c r="BO1433" s="36"/>
      <c r="BP1433" s="36"/>
      <c r="BQ1433" s="36"/>
      <c r="BR1433" s="36"/>
      <c r="GE1433" s="94"/>
      <c r="GF1433" s="104">
        <f t="shared" si="457"/>
        <v>2018</v>
      </c>
      <c r="GG1433" s="104">
        <f t="shared" si="458"/>
        <v>33</v>
      </c>
      <c r="GH1433" s="35">
        <v>43329</v>
      </c>
      <c r="GI1433" s="26">
        <v>3.14</v>
      </c>
      <c r="GJ1433" s="94">
        <f t="shared" si="459"/>
        <v>6.28</v>
      </c>
      <c r="GK1433" s="104"/>
      <c r="GL1433" s="104"/>
      <c r="GO1433" s="94"/>
    </row>
    <row r="1434" spans="3:197">
      <c r="C1434" s="80" t="str" cm="1">
        <f t="array" ref="C1434">_xlfn.IFS(MONTH(D1434)&lt;4,1,MONTH(D1434)&lt;7,2,MONTH(D1434)&lt;10,3,MONTH(D1434)&gt;9,4)&amp;"Q"&amp;RIGHT(YEAR(D1434),2)</f>
        <v>4Q21</v>
      </c>
      <c r="D1434" s="81">
        <f t="shared" si="455"/>
        <v>44500</v>
      </c>
      <c r="E1434" s="82">
        <f t="shared" si="463"/>
        <v>44476</v>
      </c>
      <c r="F1434" s="83">
        <f t="shared" si="462"/>
        <v>0.4545</v>
      </c>
      <c r="G1434" s="83">
        <f t="shared" si="462"/>
        <v>0.46375</v>
      </c>
      <c r="H1434" s="81"/>
      <c r="I1434" s="146">
        <v>44476</v>
      </c>
      <c r="J1434" s="147">
        <v>3.88</v>
      </c>
      <c r="K1434" s="147">
        <v>3.6</v>
      </c>
      <c r="L1434" s="147">
        <v>3.636</v>
      </c>
      <c r="M1434" s="94" cm="1">
        <f t="array" ref="M1434">INDEX($BV$29:$BV$1449,MATCH($D1434,$BR$29:$BR$1449,0),)</f>
        <v>3.71</v>
      </c>
      <c r="N1434" s="150">
        <f t="shared" si="464"/>
        <v>-0.00274273176083373</v>
      </c>
      <c r="O1434" s="150">
        <f t="shared" si="461"/>
        <v>-0.00574241181296142</v>
      </c>
      <c r="P1434" s="150">
        <f t="shared" si="460"/>
        <v>-0.0223178273729496</v>
      </c>
      <c r="Q1434" s="89">
        <f t="shared" si="465"/>
        <v>-0.0199460916442048</v>
      </c>
      <c r="R1434" s="36"/>
      <c r="S1434" s="36"/>
      <c r="T1434" s="36"/>
      <c r="U1434" s="36"/>
      <c r="V1434" s="36"/>
      <c r="W1434" s="36"/>
      <c r="X1434" s="36"/>
      <c r="Y1434" s="36"/>
      <c r="Z1434" s="36"/>
      <c r="AA1434" s="36"/>
      <c r="AB1434" s="36"/>
      <c r="AC1434" s="36"/>
      <c r="AD1434" s="36"/>
      <c r="AE1434" s="36"/>
      <c r="AF1434" s="36"/>
      <c r="AG1434" s="36"/>
      <c r="AH1434" s="90"/>
      <c r="AI1434" s="85"/>
      <c r="AJ1434" s="36"/>
      <c r="AK1434" s="36"/>
      <c r="AL1434" s="36"/>
      <c r="AM1434" s="36"/>
      <c r="AN1434" s="36"/>
      <c r="AO1434" s="36"/>
      <c r="AP1434" s="36"/>
      <c r="AQ1434" s="36"/>
      <c r="BO1434" s="36"/>
      <c r="BP1434" s="36"/>
      <c r="BQ1434" s="36"/>
      <c r="BR1434" s="36"/>
      <c r="GE1434" s="94"/>
      <c r="GF1434" s="104">
        <f t="shared" si="457"/>
        <v>2018</v>
      </c>
      <c r="GG1434" s="104">
        <f t="shared" si="458"/>
        <v>34</v>
      </c>
      <c r="GH1434" s="35">
        <v>43332</v>
      </c>
      <c r="GI1434" s="26">
        <v>3.14</v>
      </c>
      <c r="GJ1434" s="94">
        <f t="shared" si="459"/>
        <v>6.28</v>
      </c>
      <c r="GK1434" s="104"/>
      <c r="GL1434" s="104"/>
      <c r="GO1434" s="94"/>
    </row>
    <row r="1435" spans="3:197">
      <c r="C1435" s="80" t="str" cm="1">
        <f t="array" ref="C1435">_xlfn.IFS(MONTH(D1435)&lt;4,1,MONTH(D1435)&lt;7,2,MONTH(D1435)&lt;10,3,MONTH(D1435)&gt;9,4)&amp;"Q"&amp;RIGHT(YEAR(D1435),2)</f>
        <v>4Q21</v>
      </c>
      <c r="D1435" s="81">
        <f t="shared" si="455"/>
        <v>44500</v>
      </c>
      <c r="E1435" s="82">
        <f t="shared" si="463"/>
        <v>44477</v>
      </c>
      <c r="F1435" s="83">
        <f t="shared" si="462"/>
        <v>0.453125</v>
      </c>
      <c r="G1435" s="83">
        <f t="shared" si="462"/>
        <v>0.46375</v>
      </c>
      <c r="H1435" s="81"/>
      <c r="I1435" s="146">
        <v>44477</v>
      </c>
      <c r="J1435" s="147">
        <v>3.85</v>
      </c>
      <c r="K1435" s="147">
        <v>3.58</v>
      </c>
      <c r="L1435" s="147">
        <v>3.625</v>
      </c>
      <c r="M1435" s="94" cm="1">
        <f t="array" ref="M1435">INDEX($BV$29:$BV$1449,MATCH($D1435,$BR$29:$BR$1449,0),)</f>
        <v>3.71</v>
      </c>
      <c r="N1435" s="150">
        <f t="shared" si="464"/>
        <v>-0.00302530253025302</v>
      </c>
      <c r="O1435" s="150">
        <f t="shared" si="461"/>
        <v>-0.00603235536057023</v>
      </c>
      <c r="P1435" s="150">
        <f t="shared" si="460"/>
        <v>-0.0202702702702703</v>
      </c>
      <c r="Q1435" s="89">
        <f t="shared" si="465"/>
        <v>-0.022911051212938</v>
      </c>
      <c r="R1435" s="36"/>
      <c r="S1435" s="36"/>
      <c r="T1435" s="36"/>
      <c r="U1435" s="36"/>
      <c r="V1435" s="36"/>
      <c r="W1435" s="36"/>
      <c r="X1435" s="36"/>
      <c r="Y1435" s="36"/>
      <c r="Z1435" s="36"/>
      <c r="AA1435" s="36"/>
      <c r="AB1435" s="36"/>
      <c r="AC1435" s="36"/>
      <c r="AD1435" s="36"/>
      <c r="AE1435" s="36"/>
      <c r="AF1435" s="36"/>
      <c r="AG1435" s="36"/>
      <c r="AH1435" s="90"/>
      <c r="AI1435" s="85"/>
      <c r="AJ1435" s="36"/>
      <c r="AK1435" s="36"/>
      <c r="AL1435" s="36"/>
      <c r="AM1435" s="36"/>
      <c r="AN1435" s="36"/>
      <c r="AO1435" s="36"/>
      <c r="AP1435" s="36"/>
      <c r="AQ1435" s="36"/>
      <c r="BO1435" s="36"/>
      <c r="BP1435" s="36"/>
      <c r="BQ1435" s="36"/>
      <c r="BR1435" s="36"/>
      <c r="GE1435" s="94"/>
      <c r="GF1435" s="104">
        <f t="shared" si="457"/>
        <v>2018</v>
      </c>
      <c r="GG1435" s="104">
        <f t="shared" si="458"/>
        <v>34</v>
      </c>
      <c r="GH1435" s="35">
        <v>43333</v>
      </c>
      <c r="GI1435" s="26">
        <v>3.14</v>
      </c>
      <c r="GJ1435" s="94">
        <f t="shared" si="459"/>
        <v>6.28</v>
      </c>
      <c r="GK1435" s="104"/>
      <c r="GL1435" s="104"/>
      <c r="GO1435" s="94"/>
    </row>
    <row r="1436" spans="3:197">
      <c r="C1436" s="80" t="str" cm="1">
        <f t="array" ref="C1436">_xlfn.IFS(MONTH(D1436)&lt;4,1,MONTH(D1436)&lt;7,2,MONTH(D1436)&lt;10,3,MONTH(D1436)&gt;9,4)&amp;"Q"&amp;RIGHT(YEAR(D1436),2)</f>
        <v>4Q21</v>
      </c>
      <c r="D1436" s="81">
        <f t="shared" si="455"/>
        <v>44500</v>
      </c>
      <c r="E1436" s="82">
        <f t="shared" si="463"/>
        <v>44480</v>
      </c>
      <c r="F1436" s="83">
        <f t="shared" si="462"/>
        <v>0.45175</v>
      </c>
      <c r="G1436" s="83">
        <f t="shared" si="462"/>
        <v>0.46375</v>
      </c>
      <c r="H1436" s="81"/>
      <c r="I1436" s="146">
        <v>44480</v>
      </c>
      <c r="J1436" s="147">
        <v>3.8</v>
      </c>
      <c r="K1436" s="147">
        <v>3.55</v>
      </c>
      <c r="L1436" s="147">
        <v>3.614</v>
      </c>
      <c r="M1436" s="94" cm="1">
        <f t="array" ref="M1436">INDEX($BV$29:$BV$1449,MATCH($D1436,$BR$29:$BR$1449,0),)</f>
        <v>3.71</v>
      </c>
      <c r="N1436" s="150">
        <f t="shared" si="464"/>
        <v>-0.00303448275862073</v>
      </c>
      <c r="O1436" s="150">
        <f t="shared" si="461"/>
        <v>-0.00904853304085551</v>
      </c>
      <c r="P1436" s="150">
        <f t="shared" si="460"/>
        <v>-0.02086155513411</v>
      </c>
      <c r="Q1436" s="89">
        <f t="shared" si="465"/>
        <v>-0.0258760107816712</v>
      </c>
      <c r="R1436" s="36"/>
      <c r="S1436" s="36"/>
      <c r="T1436" s="36"/>
      <c r="U1436" s="36"/>
      <c r="V1436" s="36"/>
      <c r="W1436" s="36"/>
      <c r="X1436" s="36"/>
      <c r="Y1436" s="36"/>
      <c r="Z1436" s="36"/>
      <c r="AA1436" s="36"/>
      <c r="AB1436" s="36"/>
      <c r="AC1436" s="36"/>
      <c r="AD1436" s="36"/>
      <c r="AE1436" s="36"/>
      <c r="AF1436" s="36"/>
      <c r="AG1436" s="36"/>
      <c r="AH1436" s="90"/>
      <c r="AI1436" s="85"/>
      <c r="AJ1436" s="36"/>
      <c r="AK1436" s="36"/>
      <c r="AL1436" s="36"/>
      <c r="AM1436" s="36"/>
      <c r="AN1436" s="36"/>
      <c r="AO1436" s="36"/>
      <c r="AP1436" s="36"/>
      <c r="AQ1436" s="36"/>
      <c r="BO1436" s="36"/>
      <c r="BP1436" s="36"/>
      <c r="BQ1436" s="36"/>
      <c r="BR1436" s="36"/>
      <c r="GE1436" s="94"/>
      <c r="GF1436" s="104">
        <f t="shared" si="457"/>
        <v>2018</v>
      </c>
      <c r="GG1436" s="104">
        <f t="shared" si="458"/>
        <v>34</v>
      </c>
      <c r="GH1436" s="35">
        <v>43334</v>
      </c>
      <c r="GI1436" s="26">
        <v>3.14</v>
      </c>
      <c r="GJ1436" s="94">
        <f t="shared" si="459"/>
        <v>6.28</v>
      </c>
      <c r="GK1436" s="104"/>
      <c r="GL1436" s="104"/>
      <c r="GO1436" s="94"/>
    </row>
    <row r="1437" spans="3:197">
      <c r="C1437" s="80" t="str" cm="1">
        <f t="array" ref="C1437">_xlfn.IFS(MONTH(D1437)&lt;4,1,MONTH(D1437)&lt;7,2,MONTH(D1437)&lt;10,3,MONTH(D1437)&gt;9,4)&amp;"Q"&amp;RIGHT(YEAR(D1437),2)</f>
        <v>4Q21</v>
      </c>
      <c r="D1437" s="81">
        <f t="shared" si="455"/>
        <v>44500</v>
      </c>
      <c r="E1437" s="82">
        <f t="shared" si="463"/>
        <v>44481</v>
      </c>
      <c r="F1437" s="83">
        <f t="shared" si="462"/>
        <v>0.451625</v>
      </c>
      <c r="G1437" s="83">
        <f t="shared" si="462"/>
        <v>0.46375</v>
      </c>
      <c r="H1437" s="81"/>
      <c r="I1437" s="146">
        <v>44481</v>
      </c>
      <c r="J1437" s="147">
        <v>3.86</v>
      </c>
      <c r="K1437" s="147">
        <v>3.54</v>
      </c>
      <c r="L1437" s="147">
        <v>3.613</v>
      </c>
      <c r="M1437" s="94" cm="1">
        <f t="array" ref="M1437">INDEX($BV$29:$BV$1449,MATCH($D1437,$BR$29:$BR$1449,0),)</f>
        <v>3.71</v>
      </c>
      <c r="N1437" s="150">
        <f t="shared" si="464"/>
        <v>-0.000276701715550609</v>
      </c>
      <c r="O1437" s="150">
        <f t="shared" si="461"/>
        <v>-0.00932273101179049</v>
      </c>
      <c r="P1437" s="150">
        <f t="shared" si="460"/>
        <v>-0.0206017891027379</v>
      </c>
      <c r="Q1437" s="89">
        <f t="shared" si="465"/>
        <v>-0.0261455525606469</v>
      </c>
      <c r="R1437" s="36"/>
      <c r="S1437" s="36"/>
      <c r="T1437" s="36"/>
      <c r="U1437" s="36"/>
      <c r="V1437" s="36"/>
      <c r="W1437" s="36"/>
      <c r="X1437" s="36"/>
      <c r="Y1437" s="36"/>
      <c r="Z1437" s="36"/>
      <c r="AA1437" s="36"/>
      <c r="AB1437" s="36"/>
      <c r="AC1437" s="36"/>
      <c r="AD1437" s="36"/>
      <c r="AE1437" s="36"/>
      <c r="AF1437" s="36"/>
      <c r="AG1437" s="36"/>
      <c r="AH1437" s="90"/>
      <c r="AI1437" s="85"/>
      <c r="AJ1437" s="36"/>
      <c r="AK1437" s="36"/>
      <c r="AL1437" s="36"/>
      <c r="AM1437" s="36"/>
      <c r="AN1437" s="36"/>
      <c r="AO1437" s="36"/>
      <c r="AP1437" s="36"/>
      <c r="AQ1437" s="36"/>
      <c r="BO1437" s="36"/>
      <c r="BP1437" s="36"/>
      <c r="BQ1437" s="36"/>
      <c r="BR1437" s="36"/>
      <c r="GE1437" s="94"/>
      <c r="GF1437" s="104">
        <f t="shared" si="457"/>
        <v>2018</v>
      </c>
      <c r="GG1437" s="104">
        <f t="shared" si="458"/>
        <v>34</v>
      </c>
      <c r="GH1437" s="35">
        <v>43335</v>
      </c>
      <c r="GI1437" s="26">
        <v>3.14</v>
      </c>
      <c r="GJ1437" s="94">
        <f t="shared" si="459"/>
        <v>6.28</v>
      </c>
      <c r="GK1437" s="104"/>
      <c r="GL1437" s="104"/>
      <c r="GO1437" s="94"/>
    </row>
    <row r="1438" spans="3:197">
      <c r="C1438" s="80" t="str" cm="1">
        <f t="array" ref="C1438">_xlfn.IFS(MONTH(D1438)&lt;4,1,MONTH(D1438)&lt;7,2,MONTH(D1438)&lt;10,3,MONTH(D1438)&gt;9,4)&amp;"Q"&amp;RIGHT(YEAR(D1438),2)</f>
        <v>4Q21</v>
      </c>
      <c r="D1438" s="81">
        <f t="shared" ref="D1438:D1501" si="466">EOMONTH(E1438,0)</f>
        <v>44500</v>
      </c>
      <c r="E1438" s="82">
        <f t="shared" si="463"/>
        <v>44482</v>
      </c>
      <c r="F1438" s="83">
        <f t="shared" si="462"/>
        <v>0.450375</v>
      </c>
      <c r="G1438" s="83">
        <f t="shared" si="462"/>
        <v>0.46375</v>
      </c>
      <c r="H1438" s="81"/>
      <c r="I1438" s="146">
        <v>44482</v>
      </c>
      <c r="J1438" s="147">
        <v>3.86</v>
      </c>
      <c r="K1438" s="147">
        <v>3.52</v>
      </c>
      <c r="L1438" s="147">
        <v>3.603</v>
      </c>
      <c r="M1438" s="94" cm="1">
        <f t="array" ref="M1438">INDEX($BV$29:$BV$1449,MATCH($D1438,$BR$29:$BR$1449,0),)</f>
        <v>3.71</v>
      </c>
      <c r="N1438" s="150">
        <f t="shared" si="464"/>
        <v>-0.00276778300581226</v>
      </c>
      <c r="O1438" s="150">
        <f t="shared" si="461"/>
        <v>-0.0117937465715853</v>
      </c>
      <c r="P1438" s="150">
        <f t="shared" si="460"/>
        <v>-0.0227827502034174</v>
      </c>
      <c r="Q1438" s="89">
        <f t="shared" si="465"/>
        <v>-0.0288409703504042</v>
      </c>
      <c r="R1438" s="36"/>
      <c r="S1438" s="36"/>
      <c r="T1438" s="36"/>
      <c r="U1438" s="36"/>
      <c r="V1438" s="36"/>
      <c r="W1438" s="36"/>
      <c r="X1438" s="36"/>
      <c r="Y1438" s="36"/>
      <c r="Z1438" s="36"/>
      <c r="AA1438" s="36"/>
      <c r="AB1438" s="36"/>
      <c r="AC1438" s="36"/>
      <c r="AD1438" s="36"/>
      <c r="AE1438" s="36"/>
      <c r="AF1438" s="36"/>
      <c r="AG1438" s="36"/>
      <c r="AH1438" s="90"/>
      <c r="AI1438" s="85"/>
      <c r="AJ1438" s="36"/>
      <c r="AK1438" s="36"/>
      <c r="AL1438" s="36"/>
      <c r="AM1438" s="36"/>
      <c r="AN1438" s="36"/>
      <c r="AO1438" s="36"/>
      <c r="AP1438" s="36"/>
      <c r="AQ1438" s="36"/>
      <c r="BO1438" s="36"/>
      <c r="BP1438" s="36"/>
      <c r="BQ1438" s="36"/>
      <c r="BR1438" s="36"/>
      <c r="GE1438" s="94"/>
      <c r="GF1438" s="104">
        <f t="shared" si="457"/>
        <v>2018</v>
      </c>
      <c r="GG1438" s="104">
        <f t="shared" si="458"/>
        <v>34</v>
      </c>
      <c r="GH1438" s="35">
        <v>43336</v>
      </c>
      <c r="GI1438" s="26">
        <v>3.14</v>
      </c>
      <c r="GJ1438" s="94">
        <f t="shared" si="459"/>
        <v>6.28</v>
      </c>
      <c r="GK1438" s="104"/>
      <c r="GL1438" s="104"/>
      <c r="GO1438" s="94"/>
    </row>
    <row r="1439" spans="3:197">
      <c r="C1439" s="80" t="str" cm="1">
        <f t="array" ref="C1439">_xlfn.IFS(MONTH(D1439)&lt;4,1,MONTH(D1439)&lt;7,2,MONTH(D1439)&lt;10,3,MONTH(D1439)&gt;9,4)&amp;"Q"&amp;RIGHT(YEAR(D1439),2)</f>
        <v>4Q21</v>
      </c>
      <c r="D1439" s="81">
        <f t="shared" si="466"/>
        <v>44500</v>
      </c>
      <c r="E1439" s="82">
        <f t="shared" si="463"/>
        <v>44483</v>
      </c>
      <c r="F1439" s="83">
        <f t="shared" si="462"/>
        <v>0.44825</v>
      </c>
      <c r="G1439" s="83">
        <f t="shared" si="462"/>
        <v>0.46375</v>
      </c>
      <c r="H1439" s="81"/>
      <c r="I1439" s="146">
        <v>44483</v>
      </c>
      <c r="J1439" s="147">
        <v>3.85</v>
      </c>
      <c r="K1439" s="147">
        <v>3.5</v>
      </c>
      <c r="L1439" s="147">
        <v>3.586</v>
      </c>
      <c r="M1439" s="94" cm="1">
        <f t="array" ref="M1439">INDEX($BV$29:$BV$1449,MATCH($D1439,$BR$29:$BR$1449,0),)</f>
        <v>3.71</v>
      </c>
      <c r="N1439" s="150">
        <f t="shared" si="464"/>
        <v>-0.00471829031362758</v>
      </c>
      <c r="O1439" s="150">
        <f t="shared" si="461"/>
        <v>-0.0137513751375138</v>
      </c>
      <c r="P1439" s="150">
        <f t="shared" si="460"/>
        <v>-0.0194148208914411</v>
      </c>
      <c r="Q1439" s="89">
        <f t="shared" si="465"/>
        <v>-0.033423180592992</v>
      </c>
      <c r="R1439" s="36"/>
      <c r="S1439" s="36"/>
      <c r="T1439" s="36"/>
      <c r="U1439" s="36"/>
      <c r="V1439" s="36"/>
      <c r="W1439" s="36"/>
      <c r="X1439" s="36"/>
      <c r="Y1439" s="36"/>
      <c r="Z1439" s="36"/>
      <c r="AA1439" s="36"/>
      <c r="AB1439" s="36"/>
      <c r="AC1439" s="36"/>
      <c r="AD1439" s="36"/>
      <c r="AE1439" s="36"/>
      <c r="AF1439" s="36"/>
      <c r="AG1439" s="36"/>
      <c r="AH1439" s="90"/>
      <c r="AI1439" s="85"/>
      <c r="AJ1439" s="36"/>
      <c r="AK1439" s="36"/>
      <c r="AL1439" s="36"/>
      <c r="AM1439" s="36"/>
      <c r="AN1439" s="36"/>
      <c r="AO1439" s="36"/>
      <c r="AP1439" s="36"/>
      <c r="AQ1439" s="36"/>
      <c r="BO1439" s="36"/>
      <c r="BP1439" s="36"/>
      <c r="BQ1439" s="36"/>
      <c r="BR1439" s="36"/>
      <c r="GE1439" s="94"/>
      <c r="GF1439" s="104">
        <f t="shared" si="457"/>
        <v>2018</v>
      </c>
      <c r="GG1439" s="104">
        <f t="shared" si="458"/>
        <v>35</v>
      </c>
      <c r="GH1439" s="35">
        <v>43339</v>
      </c>
      <c r="GI1439" s="26">
        <v>3.136</v>
      </c>
      <c r="GJ1439" s="94">
        <f t="shared" si="459"/>
        <v>6.272</v>
      </c>
      <c r="GK1439" s="104"/>
      <c r="GL1439" s="104"/>
      <c r="GO1439" s="94"/>
    </row>
    <row r="1440" spans="3:197">
      <c r="C1440" s="80" t="str" cm="1">
        <f t="array" ref="C1440">_xlfn.IFS(MONTH(D1440)&lt;4,1,MONTH(D1440)&lt;7,2,MONTH(D1440)&lt;10,3,MONTH(D1440)&gt;9,4)&amp;"Q"&amp;RIGHT(YEAR(D1440),2)</f>
        <v>4Q21</v>
      </c>
      <c r="D1440" s="81">
        <f t="shared" si="466"/>
        <v>44500</v>
      </c>
      <c r="E1440" s="82">
        <f t="shared" si="463"/>
        <v>44484</v>
      </c>
      <c r="F1440" s="83">
        <f t="shared" si="462"/>
        <v>0.44325</v>
      </c>
      <c r="G1440" s="83">
        <f t="shared" si="462"/>
        <v>0.46375</v>
      </c>
      <c r="H1440" s="81"/>
      <c r="I1440" s="146">
        <v>44484</v>
      </c>
      <c r="J1440" s="147">
        <v>3.82</v>
      </c>
      <c r="K1440" s="147">
        <v>3.45</v>
      </c>
      <c r="L1440" s="147">
        <v>3.546</v>
      </c>
      <c r="M1440" s="94" cm="1">
        <f t="array" ref="M1440">INDEX($BV$29:$BV$1449,MATCH($D1440,$BR$29:$BR$1449,0),)</f>
        <v>3.71</v>
      </c>
      <c r="N1440" s="150">
        <f t="shared" si="464"/>
        <v>-0.0111544896820971</v>
      </c>
      <c r="O1440" s="150">
        <f t="shared" si="461"/>
        <v>-0.0217931034482759</v>
      </c>
      <c r="P1440" s="150">
        <f t="shared" si="460"/>
        <v>-0.0276939950644365</v>
      </c>
      <c r="Q1440" s="89">
        <f t="shared" si="465"/>
        <v>-0.0442048517520216</v>
      </c>
      <c r="R1440" s="36"/>
      <c r="S1440" s="36"/>
      <c r="T1440" s="36"/>
      <c r="U1440" s="36"/>
      <c r="V1440" s="36"/>
      <c r="W1440" s="36"/>
      <c r="X1440" s="36"/>
      <c r="Y1440" s="36"/>
      <c r="Z1440" s="36"/>
      <c r="AA1440" s="36"/>
      <c r="AB1440" s="36"/>
      <c r="AC1440" s="36"/>
      <c r="AD1440" s="36"/>
      <c r="AE1440" s="36"/>
      <c r="AF1440" s="36"/>
      <c r="AG1440" s="36"/>
      <c r="AH1440" s="90"/>
      <c r="AI1440" s="85"/>
      <c r="AJ1440" s="36"/>
      <c r="AK1440" s="36"/>
      <c r="AL1440" s="36"/>
      <c r="AM1440" s="36"/>
      <c r="AN1440" s="36"/>
      <c r="AO1440" s="36"/>
      <c r="AP1440" s="36"/>
      <c r="AQ1440" s="36"/>
      <c r="BO1440" s="36"/>
      <c r="BP1440" s="36"/>
      <c r="BQ1440" s="36"/>
      <c r="BR1440" s="36"/>
      <c r="GE1440" s="94"/>
      <c r="GF1440" s="104">
        <f t="shared" si="457"/>
        <v>2018</v>
      </c>
      <c r="GG1440" s="104">
        <f t="shared" si="458"/>
        <v>35</v>
      </c>
      <c r="GH1440" s="35">
        <v>43340</v>
      </c>
      <c r="GI1440" s="26">
        <v>3.136</v>
      </c>
      <c r="GJ1440" s="94">
        <f t="shared" si="459"/>
        <v>6.272</v>
      </c>
      <c r="GK1440" s="104"/>
      <c r="GL1440" s="104"/>
      <c r="GO1440" s="94"/>
    </row>
    <row r="1441" spans="3:197">
      <c r="C1441" s="80" t="str" cm="1">
        <f t="array" ref="C1441">_xlfn.IFS(MONTH(D1441)&lt;4,1,MONTH(D1441)&lt;7,2,MONTH(D1441)&lt;10,3,MONTH(D1441)&gt;9,4)&amp;"Q"&amp;RIGHT(YEAR(D1441),2)</f>
        <v>4Q21</v>
      </c>
      <c r="D1441" s="81">
        <f t="shared" si="466"/>
        <v>44500</v>
      </c>
      <c r="E1441" s="82">
        <f t="shared" si="463"/>
        <v>44487</v>
      </c>
      <c r="F1441" s="83">
        <f t="shared" si="462"/>
        <v>0.44175</v>
      </c>
      <c r="G1441" s="83">
        <f t="shared" si="462"/>
        <v>0.46375</v>
      </c>
      <c r="H1441" s="81"/>
      <c r="I1441" s="146">
        <v>44487</v>
      </c>
      <c r="J1441" s="147">
        <v>3.8</v>
      </c>
      <c r="K1441" s="147">
        <v>3.45</v>
      </c>
      <c r="L1441" s="147">
        <v>3.534</v>
      </c>
      <c r="M1441" s="94" cm="1">
        <f t="array" ref="M1441">INDEX($BV$29:$BV$1449,MATCH($D1441,$BR$29:$BR$1449,0),)</f>
        <v>3.71</v>
      </c>
      <c r="N1441" s="150">
        <f t="shared" si="464"/>
        <v>-0.00338409475465318</v>
      </c>
      <c r="O1441" s="150">
        <f t="shared" si="461"/>
        <v>-0.0221361372440509</v>
      </c>
      <c r="P1441" s="150">
        <f t="shared" si="460"/>
        <v>-0.0309843707156567</v>
      </c>
      <c r="Q1441" s="89">
        <f t="shared" si="465"/>
        <v>-0.0474393530997305</v>
      </c>
      <c r="R1441" s="36"/>
      <c r="S1441" s="36"/>
      <c r="T1441" s="36"/>
      <c r="U1441" s="36"/>
      <c r="V1441" s="36"/>
      <c r="W1441" s="36"/>
      <c r="X1441" s="36"/>
      <c r="Y1441" s="36"/>
      <c r="Z1441" s="36"/>
      <c r="AA1441" s="36"/>
      <c r="AB1441" s="36"/>
      <c r="AC1441" s="36"/>
      <c r="AD1441" s="36"/>
      <c r="AE1441" s="36"/>
      <c r="AF1441" s="36"/>
      <c r="AG1441" s="36"/>
      <c r="AH1441" s="90"/>
      <c r="AI1441" s="85"/>
      <c r="AJ1441" s="36"/>
      <c r="AK1441" s="36"/>
      <c r="AL1441" s="36"/>
      <c r="AM1441" s="36"/>
      <c r="AN1441" s="36"/>
      <c r="AO1441" s="36"/>
      <c r="AP1441" s="36"/>
      <c r="AQ1441" s="36"/>
      <c r="BO1441" s="36"/>
      <c r="BP1441" s="36"/>
      <c r="BQ1441" s="36"/>
      <c r="BR1441" s="36"/>
      <c r="GE1441" s="94"/>
      <c r="GF1441" s="104">
        <f t="shared" si="457"/>
        <v>2018</v>
      </c>
      <c r="GG1441" s="104">
        <f t="shared" si="458"/>
        <v>35</v>
      </c>
      <c r="GH1441" s="35">
        <v>43341</v>
      </c>
      <c r="GI1441" s="26">
        <v>3.134</v>
      </c>
      <c r="GJ1441" s="94">
        <f t="shared" si="459"/>
        <v>6.268</v>
      </c>
      <c r="GK1441" s="104"/>
      <c r="GL1441" s="104"/>
      <c r="GO1441" s="94"/>
    </row>
    <row r="1442" spans="3:197">
      <c r="C1442" s="80" t="str" cm="1">
        <f t="array" ref="C1442">_xlfn.IFS(MONTH(D1442)&lt;4,1,MONTH(D1442)&lt;7,2,MONTH(D1442)&lt;10,3,MONTH(D1442)&gt;9,4)&amp;"Q"&amp;RIGHT(YEAR(D1442),2)</f>
        <v>4Q21</v>
      </c>
      <c r="D1442" s="81">
        <f t="shared" si="466"/>
        <v>44500</v>
      </c>
      <c r="E1442" s="82">
        <f t="shared" si="463"/>
        <v>44488</v>
      </c>
      <c r="F1442" s="83">
        <f t="shared" si="462"/>
        <v>0.43875</v>
      </c>
      <c r="G1442" s="83">
        <f t="shared" si="462"/>
        <v>0.46375</v>
      </c>
      <c r="H1442" s="81"/>
      <c r="I1442" s="146">
        <v>44488</v>
      </c>
      <c r="J1442" s="147">
        <v>3.78</v>
      </c>
      <c r="K1442" s="147">
        <v>3.44</v>
      </c>
      <c r="L1442" s="147">
        <v>3.51</v>
      </c>
      <c r="M1442" s="94" cm="1">
        <f t="array" ref="M1442">INDEX($BV$29:$BV$1449,MATCH($D1442,$BR$29:$BR$1449,0),)</f>
        <v>3.71</v>
      </c>
      <c r="N1442" s="150">
        <f t="shared" si="464"/>
        <v>-0.00679117147707975</v>
      </c>
      <c r="O1442" s="150">
        <f t="shared" si="461"/>
        <v>-0.0285081649598672</v>
      </c>
      <c r="P1442" s="150">
        <f t="shared" si="460"/>
        <v>-0.037565122018097</v>
      </c>
      <c r="Q1442" s="89">
        <f t="shared" si="465"/>
        <v>-0.0539083557951483</v>
      </c>
      <c r="R1442" s="36"/>
      <c r="S1442" s="36"/>
      <c r="T1442" s="36"/>
      <c r="U1442" s="36"/>
      <c r="V1442" s="36"/>
      <c r="W1442" s="36"/>
      <c r="X1442" s="36"/>
      <c r="Y1442" s="36"/>
      <c r="Z1442" s="36"/>
      <c r="AA1442" s="36"/>
      <c r="AB1442" s="36"/>
      <c r="AC1442" s="36"/>
      <c r="AD1442" s="36"/>
      <c r="AE1442" s="36"/>
      <c r="AF1442" s="36"/>
      <c r="AG1442" s="36"/>
      <c r="AH1442" s="90"/>
      <c r="AI1442" s="85"/>
      <c r="AJ1442" s="36"/>
      <c r="AK1442" s="36"/>
      <c r="AL1442" s="36"/>
      <c r="AM1442" s="36"/>
      <c r="AN1442" s="36"/>
      <c r="AO1442" s="36"/>
      <c r="AP1442" s="36"/>
      <c r="AQ1442" s="36"/>
      <c r="BO1442" s="36"/>
      <c r="BP1442" s="36"/>
      <c r="BQ1442" s="36"/>
      <c r="BR1442" s="36"/>
      <c r="GE1442" s="94"/>
      <c r="GF1442" s="104">
        <f t="shared" si="457"/>
        <v>2018</v>
      </c>
      <c r="GG1442" s="104">
        <f t="shared" si="458"/>
        <v>35</v>
      </c>
      <c r="GH1442" s="35">
        <v>43342</v>
      </c>
      <c r="GI1442" s="26">
        <v>3.134</v>
      </c>
      <c r="GJ1442" s="94">
        <f t="shared" si="459"/>
        <v>6.268</v>
      </c>
      <c r="GK1442" s="104"/>
      <c r="GL1442" s="104"/>
      <c r="GO1442" s="94"/>
    </row>
    <row r="1443" spans="3:197">
      <c r="C1443" s="80" t="str" cm="1">
        <f t="array" ref="C1443">_xlfn.IFS(MONTH(D1443)&lt;4,1,MONTH(D1443)&lt;7,2,MONTH(D1443)&lt;10,3,MONTH(D1443)&gt;9,4)&amp;"Q"&amp;RIGHT(YEAR(D1443),2)</f>
        <v>4Q21</v>
      </c>
      <c r="D1443" s="81">
        <f t="shared" si="466"/>
        <v>44500</v>
      </c>
      <c r="E1443" s="82">
        <f t="shared" si="463"/>
        <v>44489</v>
      </c>
      <c r="F1443" s="83">
        <f t="shared" si="462"/>
        <v>0.43675</v>
      </c>
      <c r="G1443" s="83">
        <f t="shared" si="462"/>
        <v>0.46375</v>
      </c>
      <c r="H1443" s="81"/>
      <c r="I1443" s="146">
        <v>44489</v>
      </c>
      <c r="J1443" s="147">
        <v>3.8</v>
      </c>
      <c r="K1443" s="147">
        <v>3.43</v>
      </c>
      <c r="L1443" s="147">
        <v>3.494</v>
      </c>
      <c r="M1443" s="94" cm="1">
        <f t="array" ref="M1443">INDEX($BV$29:$BV$1449,MATCH($D1443,$BR$29:$BR$1449,0),)</f>
        <v>3.71</v>
      </c>
      <c r="N1443" s="150">
        <f t="shared" si="464"/>
        <v>-0.00455840455840439</v>
      </c>
      <c r="O1443" s="150">
        <f t="shared" si="461"/>
        <v>-0.0302525673050236</v>
      </c>
      <c r="P1443" s="150">
        <f t="shared" si="460"/>
        <v>-0.0416895227646735</v>
      </c>
      <c r="Q1443" s="89">
        <f t="shared" si="465"/>
        <v>-0.0582210242587601</v>
      </c>
      <c r="R1443" s="36"/>
      <c r="S1443" s="36"/>
      <c r="T1443" s="36"/>
      <c r="U1443" s="36"/>
      <c r="V1443" s="36"/>
      <c r="W1443" s="36"/>
      <c r="X1443" s="36"/>
      <c r="Y1443" s="36"/>
      <c r="Z1443" s="36"/>
      <c r="AA1443" s="36"/>
      <c r="AB1443" s="36"/>
      <c r="AC1443" s="36"/>
      <c r="AD1443" s="36"/>
      <c r="AE1443" s="36"/>
      <c r="AF1443" s="36"/>
      <c r="AG1443" s="36"/>
      <c r="AH1443" s="90"/>
      <c r="AI1443" s="85"/>
      <c r="AJ1443" s="36"/>
      <c r="AK1443" s="36"/>
      <c r="AL1443" s="36"/>
      <c r="AM1443" s="36"/>
      <c r="AN1443" s="36"/>
      <c r="AO1443" s="36"/>
      <c r="AP1443" s="36"/>
      <c r="AQ1443" s="36"/>
      <c r="BO1443" s="36"/>
      <c r="BP1443" s="36"/>
      <c r="BQ1443" s="36"/>
      <c r="BR1443" s="36"/>
      <c r="GE1443" s="94"/>
      <c r="GF1443" s="104">
        <f t="shared" si="457"/>
        <v>2018</v>
      </c>
      <c r="GG1443" s="104">
        <f t="shared" si="458"/>
        <v>35</v>
      </c>
      <c r="GH1443" s="35">
        <v>43343</v>
      </c>
      <c r="GI1443" s="26">
        <v>3.134</v>
      </c>
      <c r="GJ1443" s="94">
        <f t="shared" si="459"/>
        <v>6.268</v>
      </c>
      <c r="GK1443" s="104"/>
      <c r="GL1443" s="104"/>
      <c r="GO1443" s="94"/>
    </row>
    <row r="1444" spans="3:197">
      <c r="C1444" s="80" t="str" cm="1">
        <f t="array" ref="C1444">_xlfn.IFS(MONTH(D1444)&lt;4,1,MONTH(D1444)&lt;7,2,MONTH(D1444)&lt;10,3,MONTH(D1444)&gt;9,4)&amp;"Q"&amp;RIGHT(YEAR(D1444),2)</f>
        <v>4Q21</v>
      </c>
      <c r="D1444" s="81">
        <f t="shared" si="466"/>
        <v>44500</v>
      </c>
      <c r="E1444" s="82">
        <f t="shared" si="463"/>
        <v>44490</v>
      </c>
      <c r="F1444" s="83">
        <f t="shared" si="462"/>
        <v>0.43625</v>
      </c>
      <c r="G1444" s="83">
        <f t="shared" si="462"/>
        <v>0.46375</v>
      </c>
      <c r="H1444" s="81"/>
      <c r="I1444" s="146">
        <v>44490</v>
      </c>
      <c r="J1444" s="147">
        <v>3.8</v>
      </c>
      <c r="K1444" s="147">
        <v>3.43</v>
      </c>
      <c r="L1444" s="147">
        <v>3.49</v>
      </c>
      <c r="M1444" s="94" cm="1">
        <f t="array" ref="M1444">INDEX($BV$29:$BV$1449,MATCH($D1444,$BR$29:$BR$1449,0),)</f>
        <v>3.71</v>
      </c>
      <c r="N1444" s="150">
        <f t="shared" si="464"/>
        <v>-0.00114481969089864</v>
      </c>
      <c r="O1444" s="150">
        <f t="shared" si="461"/>
        <v>-0.0267707752370329</v>
      </c>
      <c r="P1444" s="150">
        <f t="shared" si="460"/>
        <v>-0.0401540154015402</v>
      </c>
      <c r="Q1444" s="89">
        <f t="shared" si="465"/>
        <v>-0.059299191374663</v>
      </c>
      <c r="R1444" s="36"/>
      <c r="S1444" s="36"/>
      <c r="T1444" s="36"/>
      <c r="U1444" s="36"/>
      <c r="V1444" s="36"/>
      <c r="W1444" s="36"/>
      <c r="X1444" s="36"/>
      <c r="Y1444" s="36"/>
      <c r="Z1444" s="36"/>
      <c r="AA1444" s="36"/>
      <c r="AB1444" s="36"/>
      <c r="AC1444" s="36"/>
      <c r="AD1444" s="36"/>
      <c r="AE1444" s="36"/>
      <c r="AF1444" s="36"/>
      <c r="AG1444" s="36"/>
      <c r="AH1444" s="90"/>
      <c r="AI1444" s="85"/>
      <c r="AJ1444" s="36"/>
      <c r="AK1444" s="36"/>
      <c r="AL1444" s="36"/>
      <c r="AM1444" s="36"/>
      <c r="AN1444" s="36"/>
      <c r="AO1444" s="36"/>
      <c r="AP1444" s="36"/>
      <c r="AQ1444" s="36"/>
      <c r="BO1444" s="36"/>
      <c r="BP1444" s="36"/>
      <c r="BQ1444" s="36"/>
      <c r="BR1444" s="36"/>
      <c r="GE1444" s="94"/>
      <c r="GF1444" s="104">
        <f t="shared" si="457"/>
        <v>2018</v>
      </c>
      <c r="GG1444" s="104">
        <f t="shared" si="458"/>
        <v>36</v>
      </c>
      <c r="GH1444" s="35">
        <v>43346</v>
      </c>
      <c r="GI1444" s="26">
        <v>3.12</v>
      </c>
      <c r="GJ1444" s="94">
        <f t="shared" si="459"/>
        <v>6.24</v>
      </c>
      <c r="GK1444" s="104"/>
      <c r="GL1444" s="104"/>
      <c r="GO1444" s="94"/>
    </row>
    <row r="1445" spans="3:197">
      <c r="C1445" s="80" t="str" cm="1">
        <f t="array" ref="C1445">_xlfn.IFS(MONTH(D1445)&lt;4,1,MONTH(D1445)&lt;7,2,MONTH(D1445)&lt;10,3,MONTH(D1445)&gt;9,4)&amp;"Q"&amp;RIGHT(YEAR(D1445),2)</f>
        <v>4Q21</v>
      </c>
      <c r="D1445" s="81">
        <f t="shared" si="466"/>
        <v>44500</v>
      </c>
      <c r="E1445" s="82">
        <f t="shared" si="463"/>
        <v>44491</v>
      </c>
      <c r="F1445" s="83">
        <f t="shared" si="462"/>
        <v>0.434125</v>
      </c>
      <c r="G1445" s="83">
        <f t="shared" si="462"/>
        <v>0.46375</v>
      </c>
      <c r="H1445" s="81"/>
      <c r="I1445" s="146">
        <v>44491</v>
      </c>
      <c r="J1445" s="147">
        <v>3.78</v>
      </c>
      <c r="K1445" s="147">
        <v>3.4</v>
      </c>
      <c r="L1445" s="147">
        <v>3.473</v>
      </c>
      <c r="M1445" s="94" cm="1">
        <f t="array" ref="M1445">INDEX($BV$29:$BV$1449,MATCH($D1445,$BR$29:$BR$1449,0),)</f>
        <v>3.71</v>
      </c>
      <c r="N1445" s="150">
        <f t="shared" si="464"/>
        <v>-0.00487106017191985</v>
      </c>
      <c r="O1445" s="150">
        <f t="shared" si="461"/>
        <v>-0.0205865764241399</v>
      </c>
      <c r="P1445" s="150">
        <f t="shared" si="460"/>
        <v>-0.0419310344827587</v>
      </c>
      <c r="Q1445" s="89">
        <f t="shared" si="465"/>
        <v>-0.0638814016172508</v>
      </c>
      <c r="R1445" s="36"/>
      <c r="S1445" s="36"/>
      <c r="T1445" s="36"/>
      <c r="U1445" s="36"/>
      <c r="V1445" s="36"/>
      <c r="W1445" s="36"/>
      <c r="X1445" s="36"/>
      <c r="Y1445" s="36"/>
      <c r="Z1445" s="36"/>
      <c r="AA1445" s="36"/>
      <c r="AB1445" s="36"/>
      <c r="AC1445" s="36"/>
      <c r="AD1445" s="36"/>
      <c r="AE1445" s="36"/>
      <c r="AF1445" s="36"/>
      <c r="AG1445" s="36"/>
      <c r="AH1445" s="90"/>
      <c r="AI1445" s="85"/>
      <c r="AJ1445" s="36"/>
      <c r="AK1445" s="36"/>
      <c r="AL1445" s="36"/>
      <c r="AM1445" s="36"/>
      <c r="AN1445" s="36"/>
      <c r="AO1445" s="36"/>
      <c r="AP1445" s="36"/>
      <c r="AQ1445" s="36"/>
      <c r="BO1445" s="36"/>
      <c r="BP1445" s="36"/>
      <c r="BQ1445" s="36"/>
      <c r="BR1445" s="36"/>
      <c r="GE1445" s="94"/>
      <c r="GF1445" s="104">
        <f t="shared" si="457"/>
        <v>2018</v>
      </c>
      <c r="GG1445" s="104">
        <f t="shared" si="458"/>
        <v>36</v>
      </c>
      <c r="GH1445" s="35">
        <v>43347</v>
      </c>
      <c r="GI1445" s="26">
        <v>3.116</v>
      </c>
      <c r="GJ1445" s="94">
        <f t="shared" si="459"/>
        <v>6.232</v>
      </c>
      <c r="GK1445" s="104"/>
      <c r="GL1445" s="104"/>
      <c r="GO1445" s="94"/>
    </row>
    <row r="1446" spans="3:197">
      <c r="C1446" s="80" t="str" cm="1">
        <f t="array" ref="C1446">_xlfn.IFS(MONTH(D1446)&lt;4,1,MONTH(D1446)&lt;7,2,MONTH(D1446)&lt;10,3,MONTH(D1446)&gt;9,4)&amp;"Q"&amp;RIGHT(YEAR(D1446),2)</f>
        <v>4Q21</v>
      </c>
      <c r="D1446" s="81">
        <f t="shared" si="466"/>
        <v>44500</v>
      </c>
      <c r="E1446" s="82">
        <f t="shared" si="463"/>
        <v>44494</v>
      </c>
      <c r="F1446" s="83">
        <f t="shared" si="462"/>
        <v>0.433125</v>
      </c>
      <c r="G1446" s="83">
        <f t="shared" si="462"/>
        <v>0.46375</v>
      </c>
      <c r="H1446" s="81"/>
      <c r="I1446" s="146">
        <v>44494</v>
      </c>
      <c r="J1446" s="147">
        <v>3.76</v>
      </c>
      <c r="K1446" s="147">
        <v>3.42</v>
      </c>
      <c r="L1446" s="147">
        <v>3.465</v>
      </c>
      <c r="M1446" s="94" cm="1">
        <f t="array" ref="M1446">INDEX($BV$29:$BV$1449,MATCH($D1446,$BR$29:$BR$1449,0),)</f>
        <v>3.71</v>
      </c>
      <c r="N1446" s="150">
        <f t="shared" si="464"/>
        <v>-0.00230348401957958</v>
      </c>
      <c r="O1446" s="150">
        <f t="shared" si="461"/>
        <v>-0.0195246179966044</v>
      </c>
      <c r="P1446" s="150">
        <f t="shared" si="460"/>
        <v>-0.0412285556170449</v>
      </c>
      <c r="Q1446" s="89">
        <f t="shared" si="465"/>
        <v>-0.0660377358490566</v>
      </c>
      <c r="R1446" s="36"/>
      <c r="S1446" s="36"/>
      <c r="T1446" s="36"/>
      <c r="U1446" s="36"/>
      <c r="V1446" s="36"/>
      <c r="W1446" s="36"/>
      <c r="X1446" s="36"/>
      <c r="Y1446" s="36"/>
      <c r="Z1446" s="36"/>
      <c r="AA1446" s="36"/>
      <c r="AB1446" s="36"/>
      <c r="AC1446" s="36"/>
      <c r="AD1446" s="36"/>
      <c r="AE1446" s="36"/>
      <c r="AF1446" s="36"/>
      <c r="AG1446" s="36"/>
      <c r="AH1446" s="90"/>
      <c r="AI1446" s="85"/>
      <c r="AJ1446" s="36"/>
      <c r="AK1446" s="36"/>
      <c r="AL1446" s="36"/>
      <c r="AM1446" s="36"/>
      <c r="AN1446" s="36"/>
      <c r="AO1446" s="36"/>
      <c r="AP1446" s="36"/>
      <c r="AQ1446" s="36"/>
      <c r="BO1446" s="36"/>
      <c r="BP1446" s="36"/>
      <c r="BQ1446" s="36"/>
      <c r="BR1446" s="36"/>
      <c r="GE1446" s="94"/>
      <c r="GF1446" s="104">
        <f t="shared" si="457"/>
        <v>2018</v>
      </c>
      <c r="GG1446" s="104">
        <f t="shared" si="458"/>
        <v>36</v>
      </c>
      <c r="GH1446" s="35">
        <v>43348</v>
      </c>
      <c r="GI1446" s="26">
        <v>3.116</v>
      </c>
      <c r="GJ1446" s="94">
        <f t="shared" si="459"/>
        <v>6.232</v>
      </c>
      <c r="GK1446" s="104"/>
      <c r="GL1446" s="104"/>
      <c r="GO1446" s="94"/>
    </row>
    <row r="1447" spans="3:197">
      <c r="C1447" s="80" t="str" cm="1">
        <f t="array" ref="C1447">_xlfn.IFS(MONTH(D1447)&lt;4,1,MONTH(D1447)&lt;7,2,MONTH(D1447)&lt;10,3,MONTH(D1447)&gt;9,4)&amp;"Q"&amp;RIGHT(YEAR(D1447),2)</f>
        <v>4Q21</v>
      </c>
      <c r="D1447" s="81">
        <f t="shared" si="466"/>
        <v>44500</v>
      </c>
      <c r="E1447" s="82">
        <f t="shared" si="463"/>
        <v>44495</v>
      </c>
      <c r="F1447" s="83">
        <f t="shared" si="462"/>
        <v>0.432625</v>
      </c>
      <c r="G1447" s="83">
        <f t="shared" si="462"/>
        <v>0.46375</v>
      </c>
      <c r="H1447" s="81"/>
      <c r="I1447" s="146">
        <v>44495</v>
      </c>
      <c r="J1447" s="147">
        <v>3.76</v>
      </c>
      <c r="K1447" s="147">
        <v>3.42</v>
      </c>
      <c r="L1447" s="147">
        <v>3.461</v>
      </c>
      <c r="M1447" s="94" cm="1">
        <f t="array" ref="M1447">INDEX($BV$29:$BV$1449,MATCH($D1447,$BR$29:$BR$1449,0),)</f>
        <v>3.71</v>
      </c>
      <c r="N1447" s="150">
        <f t="shared" si="464"/>
        <v>-0.00115440115440113</v>
      </c>
      <c r="O1447" s="150">
        <f t="shared" si="461"/>
        <v>-0.013960113960114</v>
      </c>
      <c r="P1447" s="150">
        <f t="shared" si="460"/>
        <v>-0.0420703016883477</v>
      </c>
      <c r="Q1447" s="89">
        <f t="shared" si="465"/>
        <v>-0.0671159029649596</v>
      </c>
      <c r="R1447" s="36"/>
      <c r="S1447" s="36"/>
      <c r="T1447" s="36"/>
      <c r="U1447" s="36"/>
      <c r="V1447" s="36"/>
      <c r="W1447" s="36"/>
      <c r="X1447" s="36"/>
      <c r="Y1447" s="36"/>
      <c r="Z1447" s="36"/>
      <c r="AA1447" s="36"/>
      <c r="AB1447" s="36"/>
      <c r="AC1447" s="36"/>
      <c r="AD1447" s="36"/>
      <c r="AE1447" s="36"/>
      <c r="AF1447" s="36"/>
      <c r="AG1447" s="36"/>
      <c r="AH1447" s="90"/>
      <c r="AI1447" s="85"/>
      <c r="AJ1447" s="36"/>
      <c r="AK1447" s="36"/>
      <c r="AL1447" s="36"/>
      <c r="AM1447" s="36"/>
      <c r="AN1447" s="36"/>
      <c r="AO1447" s="36"/>
      <c r="AP1447" s="36"/>
      <c r="AQ1447" s="36"/>
      <c r="BO1447" s="36"/>
      <c r="BP1447" s="36"/>
      <c r="BQ1447" s="36"/>
      <c r="BR1447" s="36"/>
      <c r="GE1447" s="94"/>
      <c r="GF1447" s="104">
        <f t="shared" si="457"/>
        <v>2018</v>
      </c>
      <c r="GG1447" s="104">
        <f t="shared" si="458"/>
        <v>36</v>
      </c>
      <c r="GH1447" s="35">
        <v>43349</v>
      </c>
      <c r="GI1447" s="26">
        <v>3.088</v>
      </c>
      <c r="GJ1447" s="94">
        <f t="shared" si="459"/>
        <v>6.176</v>
      </c>
      <c r="GK1447" s="104"/>
      <c r="GL1447" s="104"/>
      <c r="GO1447" s="94"/>
    </row>
    <row r="1448" spans="3:197">
      <c r="C1448" s="80" t="str" cm="1">
        <f t="array" ref="C1448">_xlfn.IFS(MONTH(D1448)&lt;4,1,MONTH(D1448)&lt;7,2,MONTH(D1448)&lt;10,3,MONTH(D1448)&gt;9,4)&amp;"Q"&amp;RIGHT(YEAR(D1448),2)</f>
        <v>4Q21</v>
      </c>
      <c r="D1448" s="81">
        <f t="shared" si="466"/>
        <v>44500</v>
      </c>
      <c r="E1448" s="82">
        <f t="shared" si="463"/>
        <v>44496</v>
      </c>
      <c r="F1448" s="83">
        <f t="shared" si="462"/>
        <v>0.428</v>
      </c>
      <c r="G1448" s="83">
        <f t="shared" si="462"/>
        <v>0.46375</v>
      </c>
      <c r="H1448" s="81"/>
      <c r="I1448" s="146">
        <v>44496</v>
      </c>
      <c r="J1448" s="147">
        <v>3.75</v>
      </c>
      <c r="K1448" s="147">
        <v>3.35</v>
      </c>
      <c r="L1448" s="147">
        <v>3.424</v>
      </c>
      <c r="M1448" s="94" cm="1">
        <f t="array" ref="M1448">INDEX($BV$29:$BV$1449,MATCH($D1448,$BR$29:$BR$1449,0),)</f>
        <v>3.71</v>
      </c>
      <c r="N1448" s="150">
        <f t="shared" si="464"/>
        <v>-0.0106905518636232</v>
      </c>
      <c r="O1448" s="150">
        <f t="shared" si="461"/>
        <v>-0.0200343445907271</v>
      </c>
      <c r="P1448" s="150">
        <f t="shared" si="460"/>
        <v>-0.0496808215376077</v>
      </c>
      <c r="Q1448" s="89">
        <f t="shared" si="465"/>
        <v>-0.077088948787062</v>
      </c>
      <c r="R1448" s="36"/>
      <c r="S1448" s="36"/>
      <c r="T1448" s="36"/>
      <c r="U1448" s="36"/>
      <c r="V1448" s="36"/>
      <c r="W1448" s="36"/>
      <c r="X1448" s="36"/>
      <c r="Y1448" s="36"/>
      <c r="Z1448" s="36"/>
      <c r="AA1448" s="36"/>
      <c r="AB1448" s="36"/>
      <c r="AC1448" s="36"/>
      <c r="AD1448" s="36"/>
      <c r="AE1448" s="36"/>
      <c r="AF1448" s="36"/>
      <c r="AG1448" s="36"/>
      <c r="AH1448" s="90"/>
      <c r="AI1448" s="85"/>
      <c r="AJ1448" s="36"/>
      <c r="AK1448" s="36"/>
      <c r="AL1448" s="36"/>
      <c r="AM1448" s="36"/>
      <c r="AN1448" s="36"/>
      <c r="AO1448" s="36"/>
      <c r="AP1448" s="36"/>
      <c r="AQ1448" s="36"/>
      <c r="BO1448" s="36"/>
      <c r="BP1448" s="36"/>
      <c r="BQ1448" s="36"/>
      <c r="BR1448" s="36"/>
      <c r="GE1448" s="94"/>
      <c r="GF1448" s="104">
        <f t="shared" si="457"/>
        <v>2018</v>
      </c>
      <c r="GG1448" s="104">
        <f t="shared" si="458"/>
        <v>36</v>
      </c>
      <c r="GH1448" s="35">
        <v>43350</v>
      </c>
      <c r="GI1448" s="26">
        <v>3.081</v>
      </c>
      <c r="GJ1448" s="94">
        <f t="shared" si="459"/>
        <v>6.162</v>
      </c>
      <c r="GK1448" s="104"/>
      <c r="GL1448" s="104"/>
      <c r="GO1448" s="94"/>
    </row>
    <row r="1449" spans="3:197">
      <c r="C1449" s="80" t="str" cm="1">
        <f t="array" ref="C1449">_xlfn.IFS(MONTH(D1449)&lt;4,1,MONTH(D1449)&lt;7,2,MONTH(D1449)&lt;10,3,MONTH(D1449)&gt;9,4)&amp;"Q"&amp;RIGHT(YEAR(D1449),2)</f>
        <v>4Q21</v>
      </c>
      <c r="D1449" s="81">
        <f t="shared" si="466"/>
        <v>44500</v>
      </c>
      <c r="E1449" s="82">
        <f t="shared" si="463"/>
        <v>44497</v>
      </c>
      <c r="F1449" s="83">
        <f t="shared" si="462"/>
        <v>0.4255</v>
      </c>
      <c r="G1449" s="83">
        <f t="shared" si="462"/>
        <v>0.46375</v>
      </c>
      <c r="H1449" s="81"/>
      <c r="I1449" s="146">
        <v>44497</v>
      </c>
      <c r="J1449" s="147">
        <v>3.72</v>
      </c>
      <c r="K1449" s="147">
        <v>3.32</v>
      </c>
      <c r="L1449" s="147">
        <v>3.404</v>
      </c>
      <c r="M1449" s="94" cm="1">
        <f t="array" ref="M1449">INDEX($BV$29:$BV$1449,MATCH($D1449,$BR$29:$BR$1449,0),)</f>
        <v>3.71</v>
      </c>
      <c r="N1449" s="150">
        <f t="shared" si="464"/>
        <v>-0.00584112149532712</v>
      </c>
      <c r="O1449" s="150">
        <f t="shared" si="461"/>
        <v>-0.0246418338108884</v>
      </c>
      <c r="P1449" s="150">
        <f t="shared" si="460"/>
        <v>-0.0507529280535416</v>
      </c>
      <c r="Q1449" s="89">
        <f t="shared" si="465"/>
        <v>-0.0824797843665769</v>
      </c>
      <c r="R1449" s="36"/>
      <c r="S1449" s="36"/>
      <c r="T1449" s="36"/>
      <c r="U1449" s="36"/>
      <c r="V1449" s="36"/>
      <c r="W1449" s="36"/>
      <c r="X1449" s="36"/>
      <c r="Y1449" s="36"/>
      <c r="Z1449" s="36"/>
      <c r="AA1449" s="36"/>
      <c r="AB1449" s="36"/>
      <c r="AC1449" s="36"/>
      <c r="AD1449" s="36"/>
      <c r="AE1449" s="36"/>
      <c r="AF1449" s="36"/>
      <c r="AG1449" s="36"/>
      <c r="AH1449" s="90"/>
      <c r="AI1449" s="85"/>
      <c r="AJ1449" s="36"/>
      <c r="AK1449" s="36"/>
      <c r="AL1449" s="36"/>
      <c r="AM1449" s="36"/>
      <c r="AN1449" s="36"/>
      <c r="AO1449" s="36"/>
      <c r="AP1449" s="36"/>
      <c r="AQ1449" s="36"/>
      <c r="BO1449" s="36"/>
      <c r="BP1449" s="36"/>
      <c r="BQ1449" s="36"/>
      <c r="BR1449" s="36"/>
      <c r="GE1449" s="94"/>
      <c r="GF1449" s="104">
        <f t="shared" si="457"/>
        <v>2018</v>
      </c>
      <c r="GG1449" s="104">
        <f t="shared" si="458"/>
        <v>37</v>
      </c>
      <c r="GH1449" s="35">
        <v>43353</v>
      </c>
      <c r="GI1449" s="26">
        <v>3.078</v>
      </c>
      <c r="GJ1449" s="94">
        <f t="shared" si="459"/>
        <v>6.156</v>
      </c>
      <c r="GK1449" s="104"/>
      <c r="GL1449" s="104"/>
      <c r="GO1449" s="94"/>
    </row>
    <row r="1450" spans="3:197">
      <c r="C1450" s="80" t="str" cm="1">
        <f t="array" ref="C1450">_xlfn.IFS(MONTH(D1450)&lt;4,1,MONTH(D1450)&lt;7,2,MONTH(D1450)&lt;10,3,MONTH(D1450)&gt;9,4)&amp;"Q"&amp;RIGHT(YEAR(D1450),2)</f>
        <v>4Q21</v>
      </c>
      <c r="D1450" s="81">
        <f t="shared" si="466"/>
        <v>44500</v>
      </c>
      <c r="E1450" s="82">
        <f t="shared" si="463"/>
        <v>44498</v>
      </c>
      <c r="F1450" s="83">
        <f t="shared" ref="F1450:G1465" si="467">+L1450/8</f>
        <v>0.420625</v>
      </c>
      <c r="G1450" s="83">
        <f t="shared" si="467"/>
        <v>0.46375</v>
      </c>
      <c r="H1450" s="81"/>
      <c r="I1450" s="146">
        <v>44498</v>
      </c>
      <c r="J1450" s="147">
        <v>3.7</v>
      </c>
      <c r="K1450" s="147">
        <v>3.25</v>
      </c>
      <c r="L1450" s="147">
        <v>3.365</v>
      </c>
      <c r="M1450" s="94" cm="1">
        <f t="array" ref="M1450">INDEX($BV$29:$BV$1449,MATCH($D1450,$BR$29:$BR$1449,0),)</f>
        <v>3.71</v>
      </c>
      <c r="N1450" s="150">
        <f t="shared" si="464"/>
        <v>-0.0114571092831961</v>
      </c>
      <c r="O1450" s="150">
        <f t="shared" si="461"/>
        <v>-0.0310970342643246</v>
      </c>
      <c r="P1450" s="150">
        <f t="shared" si="460"/>
        <v>-0.0510434292160179</v>
      </c>
      <c r="Q1450" s="89">
        <f t="shared" si="465"/>
        <v>-0.0929919137466306</v>
      </c>
      <c r="AH1450" s="90"/>
      <c r="AI1450" s="85"/>
      <c r="AJ1450" s="36"/>
      <c r="AK1450" s="36"/>
      <c r="AL1450" s="36"/>
      <c r="AM1450" s="36"/>
      <c r="AN1450" s="36"/>
      <c r="AO1450" s="36"/>
      <c r="AP1450" s="36"/>
      <c r="AQ1450" s="36"/>
      <c r="BO1450" s="36"/>
      <c r="GE1450" s="94"/>
      <c r="GF1450" s="104">
        <f t="shared" si="457"/>
        <v>2018</v>
      </c>
      <c r="GG1450" s="104">
        <f t="shared" si="458"/>
        <v>37</v>
      </c>
      <c r="GH1450" s="35">
        <v>43354</v>
      </c>
      <c r="GI1450" s="26">
        <v>3.064</v>
      </c>
      <c r="GJ1450" s="94">
        <f t="shared" si="459"/>
        <v>6.128</v>
      </c>
      <c r="GK1450" s="104"/>
      <c r="GL1450" s="104"/>
      <c r="GO1450" s="94"/>
    </row>
    <row r="1451" spans="3:197">
      <c r="C1451" s="80" t="str" cm="1">
        <f t="array" ref="C1451">_xlfn.IFS(MONTH(D1451)&lt;4,1,MONTH(D1451)&lt;7,2,MONTH(D1451)&lt;10,3,MONTH(D1451)&gt;9,4)&amp;"Q"&amp;RIGHT(YEAR(D1451),2)</f>
        <v>4Q21</v>
      </c>
      <c r="D1451" s="81">
        <f t="shared" si="466"/>
        <v>44530</v>
      </c>
      <c r="E1451" s="82">
        <f t="shared" si="463"/>
        <v>44501</v>
      </c>
      <c r="F1451" s="83">
        <f t="shared" si="467"/>
        <v>0.417125</v>
      </c>
      <c r="G1451" s="83">
        <f t="shared" si="467"/>
        <v>0.46375</v>
      </c>
      <c r="H1451" s="81"/>
      <c r="I1451" s="146">
        <v>44501</v>
      </c>
      <c r="J1451" s="147">
        <v>3.68</v>
      </c>
      <c r="K1451" s="147">
        <v>3.23</v>
      </c>
      <c r="L1451" s="147">
        <v>3.337</v>
      </c>
      <c r="M1451" s="94" cm="1">
        <f t="array" ref="M1451">INDEX($BV$29:$BV$1449,MATCH($D1451,$BR$29:$BR$1449,0),)</f>
        <v>3.71</v>
      </c>
      <c r="N1451" s="150">
        <f t="shared" si="464"/>
        <v>-0.00832095096582464</v>
      </c>
      <c r="O1451" s="150">
        <f t="shared" si="461"/>
        <v>-0.0369408369408368</v>
      </c>
      <c r="P1451" s="150">
        <f t="shared" si="460"/>
        <v>-0.0557441992076966</v>
      </c>
      <c r="Q1451" s="89">
        <f t="shared" si="465"/>
        <v>-0.100539083557951</v>
      </c>
      <c r="AH1451" s="90"/>
      <c r="AI1451" s="85"/>
      <c r="AJ1451" s="36"/>
      <c r="AK1451" s="36"/>
      <c r="AL1451" s="36"/>
      <c r="AM1451" s="36"/>
      <c r="AN1451" s="36"/>
      <c r="AO1451" s="36"/>
      <c r="AP1451" s="36"/>
      <c r="AQ1451" s="36"/>
      <c r="BO1451" s="36"/>
      <c r="GE1451" s="94"/>
      <c r="GF1451" s="104">
        <f t="shared" si="457"/>
        <v>2018</v>
      </c>
      <c r="GG1451" s="104">
        <f t="shared" si="458"/>
        <v>37</v>
      </c>
      <c r="GH1451" s="35">
        <v>43355</v>
      </c>
      <c r="GI1451" s="26">
        <v>3.054</v>
      </c>
      <c r="GJ1451" s="94">
        <f t="shared" si="459"/>
        <v>6.108</v>
      </c>
      <c r="GK1451" s="104"/>
      <c r="GL1451" s="104"/>
      <c r="GO1451" s="94"/>
    </row>
    <row r="1452" spans="3:197">
      <c r="C1452" s="80" t="str" cm="1">
        <f t="array" ref="C1452">_xlfn.IFS(MONTH(D1452)&lt;4,1,MONTH(D1452)&lt;7,2,MONTH(D1452)&lt;10,3,MONTH(D1452)&gt;9,4)&amp;"Q"&amp;RIGHT(YEAR(D1452),2)</f>
        <v>4Q21</v>
      </c>
      <c r="D1452" s="81">
        <f t="shared" si="466"/>
        <v>44530</v>
      </c>
      <c r="E1452" s="82">
        <f t="shared" si="463"/>
        <v>44502</v>
      </c>
      <c r="F1452" s="83">
        <f t="shared" si="467"/>
        <v>0.41275</v>
      </c>
      <c r="G1452" s="83">
        <f t="shared" si="467"/>
        <v>0.46375</v>
      </c>
      <c r="H1452" s="81"/>
      <c r="I1452" s="146">
        <v>44502</v>
      </c>
      <c r="J1452" s="147">
        <v>3.68</v>
      </c>
      <c r="K1452" s="147">
        <v>3.2</v>
      </c>
      <c r="L1452" s="147">
        <v>3.302</v>
      </c>
      <c r="M1452" s="94" cm="1">
        <f t="array" ref="M1452">INDEX($BV$29:$BV$1449,MATCH($D1452,$BR$29:$BR$1449,0),)</f>
        <v>3.71</v>
      </c>
      <c r="N1452" s="150">
        <f t="shared" si="464"/>
        <v>-0.0104884626910399</v>
      </c>
      <c r="O1452" s="150">
        <f t="shared" si="461"/>
        <v>-0.0459404796301647</v>
      </c>
      <c r="P1452" s="150">
        <f t="shared" si="460"/>
        <v>-0.0592592592592592</v>
      </c>
      <c r="Q1452" s="89">
        <f t="shared" si="465"/>
        <v>-0.109973045822102</v>
      </c>
      <c r="AH1452" s="90"/>
      <c r="AI1452" s="85"/>
      <c r="AJ1452" s="36"/>
      <c r="AK1452" s="36"/>
      <c r="AL1452" s="36"/>
      <c r="AM1452" s="36"/>
      <c r="AN1452" s="36"/>
      <c r="AO1452" s="36"/>
      <c r="AP1452" s="36"/>
      <c r="AQ1452" s="36"/>
      <c r="BO1452" s="36"/>
      <c r="GE1452" s="94"/>
      <c r="GF1452" s="104">
        <f t="shared" si="457"/>
        <v>2018</v>
      </c>
      <c r="GG1452" s="104">
        <f t="shared" si="458"/>
        <v>37</v>
      </c>
      <c r="GH1452" s="35">
        <v>43356</v>
      </c>
      <c r="GI1452" s="26">
        <v>3.053</v>
      </c>
      <c r="GJ1452" s="94">
        <f t="shared" si="459"/>
        <v>6.106</v>
      </c>
      <c r="GK1452" s="104"/>
      <c r="GL1452" s="104"/>
      <c r="GO1452" s="94"/>
    </row>
    <row r="1453" spans="3:197">
      <c r="C1453" s="80" t="str" cm="1">
        <f t="array" ref="C1453">_xlfn.IFS(MONTH(D1453)&lt;4,1,MONTH(D1453)&lt;7,2,MONTH(D1453)&lt;10,3,MONTH(D1453)&gt;9,4)&amp;"Q"&amp;RIGHT(YEAR(D1453),2)</f>
        <v>4Q21</v>
      </c>
      <c r="D1453" s="81">
        <f t="shared" si="466"/>
        <v>44530</v>
      </c>
      <c r="E1453" s="82">
        <f t="shared" si="463"/>
        <v>44503</v>
      </c>
      <c r="F1453" s="83">
        <f t="shared" si="467"/>
        <v>0.41</v>
      </c>
      <c r="G1453" s="83">
        <f t="shared" si="467"/>
        <v>0.46375</v>
      </c>
      <c r="H1453" s="81"/>
      <c r="I1453" s="146">
        <v>44503</v>
      </c>
      <c r="J1453" s="147">
        <v>3.65</v>
      </c>
      <c r="K1453" s="147">
        <v>3.18</v>
      </c>
      <c r="L1453" s="147">
        <v>3.28</v>
      </c>
      <c r="M1453" s="94" cm="1">
        <f t="array" ref="M1453">INDEX($BV$29:$BV$1449,MATCH($D1453,$BR$29:$BR$1449,0),)</f>
        <v>3.71</v>
      </c>
      <c r="N1453" s="150">
        <f t="shared" si="464"/>
        <v>-0.00666262870987289</v>
      </c>
      <c r="O1453" s="150">
        <f t="shared" si="461"/>
        <v>-0.0420560747663552</v>
      </c>
      <c r="P1453" s="150">
        <f t="shared" si="460"/>
        <v>-0.0612478534630797</v>
      </c>
      <c r="Q1453" s="89">
        <f t="shared" si="465"/>
        <v>-0.115902964959569</v>
      </c>
      <c r="AH1453" s="90"/>
      <c r="AI1453" s="85"/>
      <c r="AJ1453" s="36"/>
      <c r="AK1453" s="36"/>
      <c r="AL1453" s="36"/>
      <c r="AM1453" s="36"/>
      <c r="AN1453" s="36"/>
      <c r="AO1453" s="36"/>
      <c r="AP1453" s="36"/>
      <c r="AQ1453" s="36"/>
      <c r="BO1453" s="36"/>
      <c r="GE1453" s="94"/>
      <c r="GF1453" s="104">
        <f t="shared" si="457"/>
        <v>2018</v>
      </c>
      <c r="GG1453" s="104">
        <f t="shared" si="458"/>
        <v>37</v>
      </c>
      <c r="GH1453" s="35">
        <v>43357</v>
      </c>
      <c r="GI1453" s="26">
        <v>3.053</v>
      </c>
      <c r="GJ1453" s="94">
        <f t="shared" si="459"/>
        <v>6.106</v>
      </c>
      <c r="GK1453" s="104"/>
      <c r="GL1453" s="104"/>
      <c r="GO1453" s="94"/>
    </row>
    <row r="1454" spans="3:197">
      <c r="C1454" s="80" t="str" cm="1">
        <f t="array" ref="C1454">_xlfn.IFS(MONTH(D1454)&lt;4,1,MONTH(D1454)&lt;7,2,MONTH(D1454)&lt;10,3,MONTH(D1454)&gt;9,4)&amp;"Q"&amp;RIGHT(YEAR(D1454),2)</f>
        <v>4Q21</v>
      </c>
      <c r="D1454" s="81">
        <f t="shared" si="466"/>
        <v>44530</v>
      </c>
      <c r="E1454" s="82">
        <f t="shared" si="463"/>
        <v>44504</v>
      </c>
      <c r="F1454" s="83">
        <f t="shared" si="467"/>
        <v>0.409375</v>
      </c>
      <c r="G1454" s="83">
        <f t="shared" si="467"/>
        <v>0.46375</v>
      </c>
      <c r="H1454" s="81"/>
      <c r="I1454" s="146">
        <v>44504</v>
      </c>
      <c r="J1454" s="147">
        <v>3.64</v>
      </c>
      <c r="K1454" s="147">
        <v>3.17</v>
      </c>
      <c r="L1454" s="147">
        <v>3.275</v>
      </c>
      <c r="M1454" s="94" cm="1">
        <f t="array" ref="M1454">INDEX($BV$29:$BV$1449,MATCH($D1454,$BR$29:$BR$1449,0),)</f>
        <v>3.71</v>
      </c>
      <c r="N1454" s="150">
        <f t="shared" si="464"/>
        <v>-0.00152439024390238</v>
      </c>
      <c r="O1454" s="150">
        <f t="shared" si="461"/>
        <v>-0.0378965922444183</v>
      </c>
      <c r="P1454" s="150">
        <f t="shared" si="460"/>
        <v>-0.0616045845272207</v>
      </c>
      <c r="Q1454" s="89">
        <f t="shared" si="465"/>
        <v>-0.117250673854447</v>
      </c>
      <c r="AH1454" s="90"/>
      <c r="AI1454" s="85"/>
      <c r="AJ1454" s="36"/>
      <c r="AK1454" s="36"/>
      <c r="AL1454" s="36"/>
      <c r="AM1454" s="36"/>
      <c r="AN1454" s="36"/>
      <c r="AO1454" s="36"/>
      <c r="AP1454" s="36"/>
      <c r="AQ1454" s="36"/>
      <c r="BO1454" s="36"/>
      <c r="GE1454" s="94"/>
      <c r="GF1454" s="104">
        <f t="shared" si="457"/>
        <v>2018</v>
      </c>
      <c r="GG1454" s="104">
        <f t="shared" si="458"/>
        <v>38</v>
      </c>
      <c r="GH1454" s="35">
        <v>43360</v>
      </c>
      <c r="GI1454" s="26">
        <v>3.053</v>
      </c>
      <c r="GJ1454" s="94">
        <f t="shared" si="459"/>
        <v>6.106</v>
      </c>
      <c r="GK1454" s="104"/>
      <c r="GL1454" s="104"/>
      <c r="GO1454" s="94"/>
    </row>
    <row r="1455" spans="3:197">
      <c r="C1455" s="80" t="str" cm="1">
        <f t="array" ref="C1455">_xlfn.IFS(MONTH(D1455)&lt;4,1,MONTH(D1455)&lt;7,2,MONTH(D1455)&lt;10,3,MONTH(D1455)&gt;9,4)&amp;"Q"&amp;RIGHT(YEAR(D1455),2)</f>
        <v>4Q21</v>
      </c>
      <c r="D1455" s="81">
        <f t="shared" si="466"/>
        <v>44530</v>
      </c>
      <c r="E1455" s="82">
        <f t="shared" si="463"/>
        <v>44505</v>
      </c>
      <c r="F1455" s="83">
        <f t="shared" si="467"/>
        <v>0.408875</v>
      </c>
      <c r="G1455" s="83">
        <f t="shared" si="467"/>
        <v>0.46375</v>
      </c>
      <c r="H1455" s="81"/>
      <c r="I1455" s="146">
        <v>44505</v>
      </c>
      <c r="J1455" s="147">
        <v>3.64</v>
      </c>
      <c r="K1455" s="147">
        <v>3.17</v>
      </c>
      <c r="L1455" s="147">
        <v>3.271</v>
      </c>
      <c r="M1455" s="94" cm="1">
        <f t="array" ref="M1455">INDEX($BV$29:$BV$1449,MATCH($D1455,$BR$29:$BR$1449,0),)</f>
        <v>3.71</v>
      </c>
      <c r="N1455" s="150">
        <f t="shared" si="464"/>
        <v>-0.00122137404580158</v>
      </c>
      <c r="O1455" s="150">
        <f t="shared" si="461"/>
        <v>-0.0279346210995544</v>
      </c>
      <c r="P1455" s="150">
        <f t="shared" si="460"/>
        <v>-0.0581629714943852</v>
      </c>
      <c r="Q1455" s="89">
        <f t="shared" si="465"/>
        <v>-0.11832884097035</v>
      </c>
      <c r="AH1455" s="90"/>
      <c r="AI1455" s="85"/>
      <c r="AJ1455" s="36"/>
      <c r="AK1455" s="36"/>
      <c r="AL1455" s="36"/>
      <c r="AM1455" s="36"/>
      <c r="AN1455" s="36"/>
      <c r="AO1455" s="36"/>
      <c r="AP1455" s="36"/>
      <c r="AQ1455" s="36"/>
      <c r="BO1455" s="36"/>
      <c r="GE1455" s="94"/>
      <c r="GF1455" s="104">
        <f t="shared" si="457"/>
        <v>2018</v>
      </c>
      <c r="GG1455" s="104">
        <f t="shared" si="458"/>
        <v>38</v>
      </c>
      <c r="GH1455" s="35">
        <v>43361</v>
      </c>
      <c r="GI1455" s="26">
        <v>3.051</v>
      </c>
      <c r="GJ1455" s="94">
        <f t="shared" si="459"/>
        <v>6.102</v>
      </c>
      <c r="GK1455" s="104"/>
      <c r="GL1455" s="104"/>
      <c r="GO1455" s="94"/>
    </row>
    <row r="1456" spans="3:197">
      <c r="C1456" s="80" t="str" cm="1">
        <f t="array" ref="C1456">_xlfn.IFS(MONTH(D1456)&lt;4,1,MONTH(D1456)&lt;7,2,MONTH(D1456)&lt;10,3,MONTH(D1456)&gt;9,4)&amp;"Q"&amp;RIGHT(YEAR(D1456),2)</f>
        <v>4Q21</v>
      </c>
      <c r="D1456" s="81">
        <f t="shared" si="466"/>
        <v>44530</v>
      </c>
      <c r="E1456" s="82">
        <f t="shared" si="463"/>
        <v>44508</v>
      </c>
      <c r="F1456" s="83">
        <f t="shared" si="467"/>
        <v>0.408875</v>
      </c>
      <c r="G1456" s="83">
        <f t="shared" si="467"/>
        <v>0.46375</v>
      </c>
      <c r="H1456" s="81"/>
      <c r="I1456" s="146">
        <v>44508</v>
      </c>
      <c r="J1456" s="147">
        <v>3.65</v>
      </c>
      <c r="K1456" s="147">
        <v>3.16</v>
      </c>
      <c r="L1456" s="147">
        <v>3.271</v>
      </c>
      <c r="M1456" s="94" cm="1">
        <f t="array" ref="M1456">INDEX($BV$29:$BV$1449,MATCH($D1456,$BR$29:$BR$1449,0),)</f>
        <v>3.71</v>
      </c>
      <c r="N1456" s="150">
        <f t="shared" si="464"/>
        <v>0</v>
      </c>
      <c r="O1456" s="150">
        <f t="shared" si="461"/>
        <v>-0.0197782439316753</v>
      </c>
      <c r="P1456" s="150">
        <f t="shared" si="460"/>
        <v>-0.055988455988456</v>
      </c>
      <c r="Q1456" s="89">
        <f t="shared" si="465"/>
        <v>-0.11832884097035</v>
      </c>
      <c r="AH1456" s="90"/>
      <c r="AI1456" s="85"/>
      <c r="AJ1456" s="36"/>
      <c r="AK1456" s="36"/>
      <c r="AL1456" s="36"/>
      <c r="AM1456" s="36"/>
      <c r="AN1456" s="36"/>
      <c r="AO1456" s="36"/>
      <c r="AP1456" s="36"/>
      <c r="AQ1456" s="36"/>
      <c r="BO1456" s="36"/>
      <c r="GE1456" s="94"/>
      <c r="GF1456" s="104">
        <f t="shared" si="457"/>
        <v>2018</v>
      </c>
      <c r="GG1456" s="104">
        <f t="shared" si="458"/>
        <v>38</v>
      </c>
      <c r="GH1456" s="35">
        <v>43362</v>
      </c>
      <c r="GI1456" s="26">
        <v>3.049</v>
      </c>
      <c r="GJ1456" s="94">
        <f t="shared" si="459"/>
        <v>6.098</v>
      </c>
      <c r="GK1456" s="104"/>
      <c r="GL1456" s="104"/>
      <c r="GO1456" s="94"/>
    </row>
    <row r="1457" spans="3:197">
      <c r="C1457" s="80" t="str" cm="1">
        <f t="array" ref="C1457">_xlfn.IFS(MONTH(D1457)&lt;4,1,MONTH(D1457)&lt;7,2,MONTH(D1457)&lt;10,3,MONTH(D1457)&gt;9,4)&amp;"Q"&amp;RIGHT(YEAR(D1457),2)</f>
        <v>4Q21</v>
      </c>
      <c r="D1457" s="81">
        <f t="shared" si="466"/>
        <v>44530</v>
      </c>
      <c r="E1457" s="82">
        <f t="shared" si="463"/>
        <v>44509</v>
      </c>
      <c r="F1457" s="83">
        <f t="shared" si="467"/>
        <v>0.408375</v>
      </c>
      <c r="G1457" s="83">
        <f t="shared" si="467"/>
        <v>0.46375</v>
      </c>
      <c r="H1457" s="81"/>
      <c r="I1457" s="146">
        <v>44509</v>
      </c>
      <c r="J1457" s="147">
        <v>3.65</v>
      </c>
      <c r="K1457" s="147">
        <v>3.16</v>
      </c>
      <c r="L1457" s="147">
        <v>3.267</v>
      </c>
      <c r="M1457" s="94" cm="1">
        <f t="array" ref="M1457">INDEX($BV$29:$BV$1449,MATCH($D1457,$BR$29:$BR$1449,0),)</f>
        <v>3.71</v>
      </c>
      <c r="N1457" s="150">
        <f t="shared" si="464"/>
        <v>-0.00122286762457968</v>
      </c>
      <c r="O1457" s="150">
        <f t="shared" si="461"/>
        <v>-0.0105996365838886</v>
      </c>
      <c r="P1457" s="150">
        <f t="shared" si="460"/>
        <v>-0.056053163825484</v>
      </c>
      <c r="Q1457" s="89">
        <f t="shared" si="465"/>
        <v>-0.119407008086253</v>
      </c>
      <c r="AH1457" s="90"/>
      <c r="AI1457" s="85"/>
      <c r="AJ1457" s="36"/>
      <c r="AK1457" s="36"/>
      <c r="AL1457" s="36"/>
      <c r="AM1457" s="36"/>
      <c r="AN1457" s="36"/>
      <c r="AO1457" s="36"/>
      <c r="AP1457" s="36"/>
      <c r="AQ1457" s="36"/>
      <c r="BO1457" s="36"/>
      <c r="GE1457" s="94"/>
      <c r="GF1457" s="104">
        <f t="shared" si="457"/>
        <v>2018</v>
      </c>
      <c r="GG1457" s="104">
        <f t="shared" si="458"/>
        <v>38</v>
      </c>
      <c r="GH1457" s="35">
        <v>43363</v>
      </c>
      <c r="GI1457" s="26">
        <v>3.049</v>
      </c>
      <c r="GJ1457" s="94">
        <f t="shared" si="459"/>
        <v>6.098</v>
      </c>
      <c r="GK1457" s="104"/>
      <c r="GL1457" s="104"/>
      <c r="GO1457" s="94"/>
    </row>
    <row r="1458" spans="3:197">
      <c r="C1458" s="80" t="str" cm="1">
        <f t="array" ref="C1458">_xlfn.IFS(MONTH(D1458)&lt;4,1,MONTH(D1458)&lt;7,2,MONTH(D1458)&lt;10,3,MONTH(D1458)&gt;9,4)&amp;"Q"&amp;RIGHT(YEAR(D1458),2)</f>
        <v>4Q21</v>
      </c>
      <c r="D1458" s="81">
        <f t="shared" si="466"/>
        <v>44530</v>
      </c>
      <c r="E1458" s="82">
        <f t="shared" si="463"/>
        <v>44510</v>
      </c>
      <c r="F1458" s="83">
        <f t="shared" si="467"/>
        <v>0.40275</v>
      </c>
      <c r="G1458" s="83">
        <f t="shared" si="467"/>
        <v>0.46375</v>
      </c>
      <c r="H1458" s="81"/>
      <c r="I1458" s="146">
        <v>44510</v>
      </c>
      <c r="J1458" s="147">
        <v>3.68</v>
      </c>
      <c r="K1458" s="147">
        <v>3.1</v>
      </c>
      <c r="L1458" s="147">
        <v>3.222</v>
      </c>
      <c r="M1458" s="94" cm="1">
        <f t="array" ref="M1458">INDEX($BV$29:$BV$1449,MATCH($D1458,$BR$29:$BR$1449,0),)</f>
        <v>3.71</v>
      </c>
      <c r="N1458" s="150">
        <f t="shared" si="464"/>
        <v>-0.0137741046831956</v>
      </c>
      <c r="O1458" s="150">
        <f t="shared" si="461"/>
        <v>-0.0176829268292682</v>
      </c>
      <c r="P1458" s="150">
        <f t="shared" si="460"/>
        <v>-0.0589953271028038</v>
      </c>
      <c r="Q1458" s="89">
        <f t="shared" si="465"/>
        <v>-0.131536388140162</v>
      </c>
      <c r="AH1458" s="90"/>
      <c r="AI1458" s="85"/>
      <c r="AJ1458" s="36"/>
      <c r="AK1458" s="36"/>
      <c r="AL1458" s="36"/>
      <c r="AM1458" s="36"/>
      <c r="AN1458" s="36"/>
      <c r="AO1458" s="36"/>
      <c r="AP1458" s="36"/>
      <c r="AQ1458" s="36"/>
      <c r="BO1458" s="36"/>
      <c r="GE1458" s="94"/>
      <c r="GF1458" s="104">
        <f t="shared" si="457"/>
        <v>2018</v>
      </c>
      <c r="GG1458" s="104">
        <f t="shared" si="458"/>
        <v>38</v>
      </c>
      <c r="GH1458" s="35">
        <v>43364</v>
      </c>
      <c r="GI1458" s="26">
        <v>3.04</v>
      </c>
      <c r="GJ1458" s="94">
        <f t="shared" si="459"/>
        <v>6.08</v>
      </c>
      <c r="GK1458" s="104"/>
      <c r="GL1458" s="104"/>
      <c r="GO1458" s="94"/>
    </row>
    <row r="1459" spans="3:197">
      <c r="C1459" s="80" t="str" cm="1">
        <f t="array" ref="C1459">_xlfn.IFS(MONTH(D1459)&lt;4,1,MONTH(D1459)&lt;7,2,MONTH(D1459)&lt;10,3,MONTH(D1459)&gt;9,4)&amp;"Q"&amp;RIGHT(YEAR(D1459),2)</f>
        <v>4Q21</v>
      </c>
      <c r="D1459" s="81">
        <f t="shared" si="466"/>
        <v>44530</v>
      </c>
      <c r="E1459" s="82">
        <f t="shared" si="463"/>
        <v>44511</v>
      </c>
      <c r="F1459" s="83">
        <f t="shared" si="467"/>
        <v>0.4</v>
      </c>
      <c r="G1459" s="83">
        <f t="shared" si="467"/>
        <v>0.46375</v>
      </c>
      <c r="H1459" s="81"/>
      <c r="I1459" s="146">
        <v>44511</v>
      </c>
      <c r="J1459" s="147">
        <v>3.65</v>
      </c>
      <c r="K1459" s="147">
        <v>3.05</v>
      </c>
      <c r="L1459" s="147">
        <v>3.2</v>
      </c>
      <c r="M1459" s="94" cm="1">
        <f t="array" ref="M1459">INDEX($BV$29:$BV$1449,MATCH($D1459,$BR$29:$BR$1449,0),)</f>
        <v>3.71</v>
      </c>
      <c r="N1459" s="150">
        <f t="shared" si="464"/>
        <v>-0.00682805710738665</v>
      </c>
      <c r="O1459" s="150">
        <f t="shared" si="461"/>
        <v>-0.0229007633587786</v>
      </c>
      <c r="P1459" s="150">
        <f t="shared" si="460"/>
        <v>-0.0599294947121033</v>
      </c>
      <c r="Q1459" s="89">
        <f t="shared" si="465"/>
        <v>-0.137466307277628</v>
      </c>
      <c r="AH1459" s="90"/>
      <c r="AI1459" s="85"/>
      <c r="AJ1459" s="36"/>
      <c r="AK1459" s="36"/>
      <c r="AL1459" s="36"/>
      <c r="AM1459" s="36"/>
      <c r="AN1459" s="36"/>
      <c r="AO1459" s="36"/>
      <c r="AP1459" s="36"/>
      <c r="AQ1459" s="36"/>
      <c r="BO1459" s="36"/>
      <c r="GE1459" s="94"/>
      <c r="GF1459" s="104">
        <f t="shared" si="457"/>
        <v>2018</v>
      </c>
      <c r="GG1459" s="104">
        <f t="shared" si="458"/>
        <v>39</v>
      </c>
      <c r="GH1459" s="35">
        <v>43368</v>
      </c>
      <c r="GI1459" s="26">
        <v>3.026</v>
      </c>
      <c r="GJ1459" s="94">
        <f t="shared" si="459"/>
        <v>6.052</v>
      </c>
      <c r="GK1459" s="104"/>
      <c r="GL1459" s="104"/>
      <c r="GO1459" s="94"/>
    </row>
    <row r="1460" spans="3:197">
      <c r="C1460" s="80" t="str" cm="1">
        <f t="array" ref="C1460">_xlfn.IFS(MONTH(D1460)&lt;4,1,MONTH(D1460)&lt;7,2,MONTH(D1460)&lt;10,3,MONTH(D1460)&gt;9,4)&amp;"Q"&amp;RIGHT(YEAR(D1460),2)</f>
        <v>4Q21</v>
      </c>
      <c r="D1460" s="81">
        <f t="shared" si="466"/>
        <v>44530</v>
      </c>
      <c r="E1460" s="82">
        <f t="shared" si="463"/>
        <v>44512</v>
      </c>
      <c r="F1460" s="83">
        <f t="shared" si="467"/>
        <v>0.399</v>
      </c>
      <c r="G1460" s="83">
        <f t="shared" si="467"/>
        <v>0.46375</v>
      </c>
      <c r="H1460" s="81"/>
      <c r="I1460" s="146">
        <v>44512</v>
      </c>
      <c r="J1460" s="147">
        <v>3.7</v>
      </c>
      <c r="K1460" s="147">
        <v>3.04</v>
      </c>
      <c r="L1460" s="147">
        <v>3.192</v>
      </c>
      <c r="M1460" s="94" cm="1">
        <f t="array" ref="M1460">INDEX($BV$29:$BV$1449,MATCH($D1460,$BR$29:$BR$1449,0),)</f>
        <v>3.71</v>
      </c>
      <c r="N1460" s="150">
        <f t="shared" si="464"/>
        <v>-0.00249999999999995</v>
      </c>
      <c r="O1460" s="150">
        <f t="shared" si="461"/>
        <v>-0.0241516355854478</v>
      </c>
      <c r="P1460" s="150">
        <f t="shared" si="460"/>
        <v>-0.0514115898959882</v>
      </c>
      <c r="Q1460" s="89">
        <f t="shared" si="465"/>
        <v>-0.139622641509434</v>
      </c>
      <c r="AH1460" s="90"/>
      <c r="AI1460" s="85"/>
      <c r="AJ1460" s="36"/>
      <c r="AK1460" s="36"/>
      <c r="AL1460" s="36"/>
      <c r="AM1460" s="36"/>
      <c r="AN1460" s="36"/>
      <c r="AO1460" s="36"/>
      <c r="AP1460" s="36"/>
      <c r="AQ1460" s="36"/>
      <c r="BO1460" s="36"/>
      <c r="GE1460" s="94"/>
      <c r="GF1460" s="104">
        <f t="shared" ref="GF1460:GF1523" si="468">YEAR(GH1460)</f>
        <v>2018</v>
      </c>
      <c r="GG1460" s="104">
        <f t="shared" ref="GG1460:GG1523" si="469">WEEKNUM(GH1460)</f>
        <v>39</v>
      </c>
      <c r="GH1460" s="35">
        <v>43369</v>
      </c>
      <c r="GI1460" s="26">
        <v>3.021</v>
      </c>
      <c r="GJ1460" s="94">
        <f t="shared" ref="GJ1460:GJ1523" si="470">GI1460*2</f>
        <v>6.042</v>
      </c>
      <c r="GK1460" s="104"/>
      <c r="GL1460" s="104"/>
      <c r="GO1460" s="94"/>
    </row>
    <row r="1461" spans="3:197">
      <c r="C1461" s="80" t="str" cm="1">
        <f t="array" ref="C1461">_xlfn.IFS(MONTH(D1461)&lt;4,1,MONTH(D1461)&lt;7,2,MONTH(D1461)&lt;10,3,MONTH(D1461)&gt;9,4)&amp;"Q"&amp;RIGHT(YEAR(D1461),2)</f>
        <v>4Q21</v>
      </c>
      <c r="D1461" s="81">
        <f t="shared" si="466"/>
        <v>44530</v>
      </c>
      <c r="E1461" s="82">
        <f t="shared" si="463"/>
        <v>44515</v>
      </c>
      <c r="F1461" s="83">
        <f t="shared" si="467"/>
        <v>0.39825</v>
      </c>
      <c r="G1461" s="83">
        <f t="shared" si="467"/>
        <v>0.46375</v>
      </c>
      <c r="H1461" s="81"/>
      <c r="I1461" s="146">
        <v>44515</v>
      </c>
      <c r="J1461" s="147">
        <v>3.72</v>
      </c>
      <c r="K1461" s="147">
        <v>3.03</v>
      </c>
      <c r="L1461" s="147">
        <v>3.186</v>
      </c>
      <c r="M1461" s="94" cm="1">
        <f t="array" ref="M1461">INDEX($BV$29:$BV$1449,MATCH($D1461,$BR$29:$BR$1449,0),)</f>
        <v>3.71</v>
      </c>
      <c r="N1461" s="150">
        <f t="shared" si="464"/>
        <v>-0.00187969924812037</v>
      </c>
      <c r="O1461" s="150">
        <f t="shared" si="461"/>
        <v>-0.0259859370223173</v>
      </c>
      <c r="P1461" s="150">
        <f t="shared" si="460"/>
        <v>-0.0452502247527721</v>
      </c>
      <c r="Q1461" s="89">
        <f t="shared" si="465"/>
        <v>-0.141239892183288</v>
      </c>
      <c r="AH1461" s="90"/>
      <c r="AI1461" s="85"/>
      <c r="AJ1461" s="36"/>
      <c r="AK1461" s="36"/>
      <c r="AL1461" s="36"/>
      <c r="AM1461" s="36"/>
      <c r="AN1461" s="36"/>
      <c r="AO1461" s="36"/>
      <c r="AP1461" s="36"/>
      <c r="AQ1461" s="36"/>
      <c r="BO1461" s="36"/>
      <c r="GE1461" s="94"/>
      <c r="GF1461" s="104">
        <f t="shared" si="468"/>
        <v>2018</v>
      </c>
      <c r="GG1461" s="104">
        <f t="shared" si="469"/>
        <v>39</v>
      </c>
      <c r="GH1461" s="35">
        <v>43370</v>
      </c>
      <c r="GI1461" s="26">
        <v>3.011</v>
      </c>
      <c r="GJ1461" s="94">
        <f t="shared" si="470"/>
        <v>6.022</v>
      </c>
      <c r="GK1461" s="104"/>
      <c r="GL1461" s="104"/>
      <c r="GO1461" s="94"/>
    </row>
    <row r="1462" spans="3:197">
      <c r="C1462" s="80" t="str" cm="1">
        <f t="array" ref="C1462">_xlfn.IFS(MONTH(D1462)&lt;4,1,MONTH(D1462)&lt;7,2,MONTH(D1462)&lt;10,3,MONTH(D1462)&gt;9,4)&amp;"Q"&amp;RIGHT(YEAR(D1462),2)</f>
        <v>4Q21</v>
      </c>
      <c r="D1462" s="81">
        <f t="shared" si="466"/>
        <v>44530</v>
      </c>
      <c r="E1462" s="82">
        <f t="shared" si="463"/>
        <v>44516</v>
      </c>
      <c r="F1462" s="83">
        <f t="shared" si="467"/>
        <v>0.397625</v>
      </c>
      <c r="G1462" s="83">
        <f t="shared" si="467"/>
        <v>0.46375</v>
      </c>
      <c r="H1462" s="81"/>
      <c r="I1462" s="146">
        <v>44516</v>
      </c>
      <c r="J1462" s="147">
        <v>3.7</v>
      </c>
      <c r="K1462" s="147">
        <v>3.02</v>
      </c>
      <c r="L1462" s="147">
        <v>3.181</v>
      </c>
      <c r="M1462" s="94" cm="1">
        <f t="array" ref="M1462">INDEX($BV$29:$BV$1449,MATCH($D1462,$BR$29:$BR$1449,0),)</f>
        <v>3.71</v>
      </c>
      <c r="N1462" s="150">
        <f t="shared" si="464"/>
        <v>-0.00156936597614565</v>
      </c>
      <c r="O1462" s="150">
        <f t="shared" si="461"/>
        <v>-0.0263238445056626</v>
      </c>
      <c r="P1462" s="150">
        <f t="shared" si="460"/>
        <v>-0.0366444579043004</v>
      </c>
      <c r="Q1462" s="89">
        <f t="shared" si="465"/>
        <v>-0.142587601078167</v>
      </c>
      <c r="AH1462" s="90"/>
      <c r="AI1462" s="85"/>
      <c r="AJ1462" s="36"/>
      <c r="AK1462" s="36"/>
      <c r="AL1462" s="36"/>
      <c r="AM1462" s="36"/>
      <c r="AN1462" s="36"/>
      <c r="AO1462" s="36"/>
      <c r="AP1462" s="36"/>
      <c r="AQ1462" s="36"/>
      <c r="BO1462" s="36"/>
      <c r="GE1462" s="94"/>
      <c r="GF1462" s="104">
        <f t="shared" si="468"/>
        <v>2018</v>
      </c>
      <c r="GG1462" s="104">
        <f t="shared" si="469"/>
        <v>39</v>
      </c>
      <c r="GH1462" s="35">
        <v>43371</v>
      </c>
      <c r="GI1462" s="26">
        <v>3.007</v>
      </c>
      <c r="GJ1462" s="94">
        <f t="shared" si="470"/>
        <v>6.014</v>
      </c>
      <c r="GK1462" s="104"/>
      <c r="GL1462" s="104"/>
      <c r="GO1462" s="94"/>
    </row>
    <row r="1463" spans="3:197">
      <c r="C1463" s="80" t="str" cm="1">
        <f t="array" ref="C1463">_xlfn.IFS(MONTH(D1463)&lt;4,1,MONTH(D1463)&lt;7,2,MONTH(D1463)&lt;10,3,MONTH(D1463)&gt;9,4)&amp;"Q"&amp;RIGHT(YEAR(D1463),2)</f>
        <v>4Q21</v>
      </c>
      <c r="D1463" s="81">
        <f t="shared" si="466"/>
        <v>44530</v>
      </c>
      <c r="E1463" s="82">
        <f t="shared" si="463"/>
        <v>44517</v>
      </c>
      <c r="F1463" s="83">
        <f t="shared" si="467"/>
        <v>0.39675</v>
      </c>
      <c r="G1463" s="83">
        <f t="shared" si="467"/>
        <v>0.46375</v>
      </c>
      <c r="H1463" s="81"/>
      <c r="I1463" s="146">
        <v>44517</v>
      </c>
      <c r="J1463" s="147">
        <v>3.7</v>
      </c>
      <c r="K1463" s="147">
        <v>3.02</v>
      </c>
      <c r="L1463" s="147">
        <v>3.174</v>
      </c>
      <c r="M1463" s="94" cm="1">
        <f t="array" ref="M1463">INDEX($BV$29:$BV$1449,MATCH($D1463,$BR$29:$BR$1449,0),)</f>
        <v>3.71</v>
      </c>
      <c r="N1463" s="150">
        <f t="shared" si="464"/>
        <v>-0.00220056585979256</v>
      </c>
      <c r="O1463" s="150">
        <f t="shared" si="461"/>
        <v>-0.0148975791433892</v>
      </c>
      <c r="P1463" s="150">
        <f t="shared" si="460"/>
        <v>-0.0323170731707316</v>
      </c>
      <c r="Q1463" s="89">
        <f t="shared" si="465"/>
        <v>-0.144474393530997</v>
      </c>
      <c r="AH1463" s="90"/>
      <c r="AI1463" s="85"/>
      <c r="AJ1463" s="36"/>
      <c r="AK1463" s="36"/>
      <c r="AL1463" s="36"/>
      <c r="AM1463" s="36"/>
      <c r="AN1463" s="36"/>
      <c r="AO1463" s="36"/>
      <c r="AP1463" s="36"/>
      <c r="AQ1463" s="36"/>
      <c r="BO1463" s="36"/>
      <c r="GE1463" s="94"/>
      <c r="GF1463" s="104">
        <f t="shared" si="468"/>
        <v>2018</v>
      </c>
      <c r="GG1463" s="104">
        <f t="shared" si="469"/>
        <v>40</v>
      </c>
      <c r="GH1463" s="35">
        <v>43374</v>
      </c>
      <c r="GI1463" s="26">
        <v>3.007</v>
      </c>
      <c r="GJ1463" s="94">
        <f t="shared" si="470"/>
        <v>6.014</v>
      </c>
      <c r="GK1463" s="104"/>
      <c r="GL1463" s="104"/>
      <c r="GO1463" s="94"/>
    </row>
    <row r="1464" spans="3:197">
      <c r="C1464" s="80" t="str" cm="1">
        <f t="array" ref="C1464">_xlfn.IFS(MONTH(D1464)&lt;4,1,MONTH(D1464)&lt;7,2,MONTH(D1464)&lt;10,3,MONTH(D1464)&gt;9,4)&amp;"Q"&amp;RIGHT(YEAR(D1464),2)</f>
        <v>4Q21</v>
      </c>
      <c r="D1464" s="81">
        <f t="shared" si="466"/>
        <v>44530</v>
      </c>
      <c r="E1464" s="82">
        <f t="shared" si="463"/>
        <v>44518</v>
      </c>
      <c r="F1464" s="83">
        <f t="shared" si="467"/>
        <v>0.396625</v>
      </c>
      <c r="G1464" s="83">
        <f t="shared" si="467"/>
        <v>0.46375</v>
      </c>
      <c r="H1464" s="81"/>
      <c r="I1464" s="146">
        <v>44518</v>
      </c>
      <c r="J1464" s="147">
        <v>3.68</v>
      </c>
      <c r="K1464" s="147">
        <v>3.03</v>
      </c>
      <c r="L1464" s="147">
        <v>3.173</v>
      </c>
      <c r="M1464" s="94" cm="1">
        <f t="array" ref="M1464">INDEX($BV$29:$BV$1449,MATCH($D1464,$BR$29:$BR$1449,0),)</f>
        <v>3.71</v>
      </c>
      <c r="N1464" s="150">
        <f t="shared" si="464"/>
        <v>-0.00031505986137359</v>
      </c>
      <c r="O1464" s="150">
        <f t="shared" si="461"/>
        <v>-0.00843749999999999</v>
      </c>
      <c r="P1464" s="150">
        <f t="shared" si="460"/>
        <v>-0.0311450381679389</v>
      </c>
      <c r="Q1464" s="89">
        <f t="shared" si="465"/>
        <v>-0.144743935309973</v>
      </c>
      <c r="AH1464" s="90"/>
      <c r="AI1464" s="85"/>
      <c r="AJ1464" s="36"/>
      <c r="AK1464" s="36"/>
      <c r="AL1464" s="36"/>
      <c r="AM1464" s="36"/>
      <c r="AN1464" s="36"/>
      <c r="AO1464" s="36"/>
      <c r="AP1464" s="36"/>
      <c r="AQ1464" s="36"/>
      <c r="BO1464" s="36"/>
      <c r="GE1464" s="94"/>
      <c r="GF1464" s="104">
        <f t="shared" si="468"/>
        <v>2018</v>
      </c>
      <c r="GG1464" s="104">
        <f t="shared" si="469"/>
        <v>40</v>
      </c>
      <c r="GH1464" s="35">
        <v>43375</v>
      </c>
      <c r="GI1464" s="26">
        <v>3.003</v>
      </c>
      <c r="GJ1464" s="94">
        <f t="shared" si="470"/>
        <v>6.006</v>
      </c>
      <c r="GK1464" s="104"/>
      <c r="GL1464" s="104"/>
      <c r="GO1464" s="94"/>
    </row>
    <row r="1465" spans="3:197">
      <c r="C1465" s="80" t="str" cm="1">
        <f t="array" ref="C1465">_xlfn.IFS(MONTH(D1465)&lt;4,1,MONTH(D1465)&lt;7,2,MONTH(D1465)&lt;10,3,MONTH(D1465)&gt;9,4)&amp;"Q"&amp;RIGHT(YEAR(D1465),2)</f>
        <v>4Q21</v>
      </c>
      <c r="D1465" s="81">
        <f t="shared" si="466"/>
        <v>44530</v>
      </c>
      <c r="E1465" s="82">
        <f t="shared" si="463"/>
        <v>44519</v>
      </c>
      <c r="F1465" s="83">
        <f t="shared" si="467"/>
        <v>0.39625</v>
      </c>
      <c r="G1465" s="83">
        <f t="shared" si="467"/>
        <v>0.46375</v>
      </c>
      <c r="H1465" s="81"/>
      <c r="I1465" s="146">
        <v>44519</v>
      </c>
      <c r="J1465" s="147">
        <v>3.68</v>
      </c>
      <c r="K1465" s="147">
        <v>3.03</v>
      </c>
      <c r="L1465" s="147">
        <v>3.17</v>
      </c>
      <c r="M1465" s="94" cm="1">
        <f t="array" ref="M1465">INDEX($BV$29:$BV$1449,MATCH($D1465,$BR$29:$BR$1449,0),)</f>
        <v>3.71</v>
      </c>
      <c r="N1465" s="150">
        <f t="shared" si="464"/>
        <v>-0.000945477466120392</v>
      </c>
      <c r="O1465" s="150">
        <f t="shared" si="461"/>
        <v>-0.00689223057644117</v>
      </c>
      <c r="P1465" s="150">
        <f t="shared" si="460"/>
        <v>-0.0308774075206358</v>
      </c>
      <c r="Q1465" s="89">
        <f t="shared" si="465"/>
        <v>-0.1455525606469</v>
      </c>
      <c r="AH1465" s="90"/>
      <c r="AI1465" s="85"/>
      <c r="AJ1465" s="36"/>
      <c r="AK1465" s="36"/>
      <c r="AL1465" s="36"/>
      <c r="AM1465" s="36"/>
      <c r="AN1465" s="36"/>
      <c r="AO1465" s="36"/>
      <c r="AP1465" s="36"/>
      <c r="AQ1465" s="36"/>
      <c r="BO1465" s="36"/>
      <c r="GE1465" s="94"/>
      <c r="GF1465" s="104">
        <f t="shared" si="468"/>
        <v>2018</v>
      </c>
      <c r="GG1465" s="104">
        <f t="shared" si="469"/>
        <v>40</v>
      </c>
      <c r="GH1465" s="35">
        <v>43376</v>
      </c>
      <c r="GI1465" s="26">
        <v>3.003</v>
      </c>
      <c r="GJ1465" s="94">
        <f t="shared" si="470"/>
        <v>6.006</v>
      </c>
      <c r="GK1465" s="104"/>
      <c r="GL1465" s="104"/>
      <c r="GO1465" s="94"/>
    </row>
    <row r="1466" spans="3:197">
      <c r="C1466" s="80" t="str" cm="1">
        <f t="array" ref="C1466">_xlfn.IFS(MONTH(D1466)&lt;4,1,MONTH(D1466)&lt;7,2,MONTH(D1466)&lt;10,3,MONTH(D1466)&gt;9,4)&amp;"Q"&amp;RIGHT(YEAR(D1466),2)</f>
        <v>4Q21</v>
      </c>
      <c r="D1466" s="81">
        <f t="shared" si="466"/>
        <v>44530</v>
      </c>
      <c r="E1466" s="82">
        <f t="shared" si="463"/>
        <v>44522</v>
      </c>
      <c r="F1466" s="83">
        <f t="shared" ref="F1466:G1481" si="471">+L1466/8</f>
        <v>0.396</v>
      </c>
      <c r="G1466" s="83">
        <f t="shared" si="471"/>
        <v>0.46375</v>
      </c>
      <c r="H1466" s="81"/>
      <c r="I1466" s="146">
        <v>44522</v>
      </c>
      <c r="J1466" s="147">
        <v>3.65</v>
      </c>
      <c r="K1466" s="147">
        <v>3.02</v>
      </c>
      <c r="L1466" s="147">
        <v>3.168</v>
      </c>
      <c r="M1466" s="94" cm="1">
        <f t="array" ref="M1466">INDEX($BV$29:$BV$1449,MATCH($D1466,$BR$29:$BR$1449,0),)</f>
        <v>3.71</v>
      </c>
      <c r="N1466" s="150">
        <f t="shared" ref="N1466:N1515" si="472">L1466/L1465-1</f>
        <v>-0.000630914826498352</v>
      </c>
      <c r="O1466" s="150">
        <f t="shared" si="461"/>
        <v>-0.00564971751412424</v>
      </c>
      <c r="P1466" s="150">
        <f t="shared" si="460"/>
        <v>-0.0314888413329256</v>
      </c>
      <c r="Q1466" s="89">
        <f t="shared" si="465"/>
        <v>-0.146091644204852</v>
      </c>
      <c r="AI1466" s="157"/>
      <c r="BO1466" s="36"/>
      <c r="GE1466" s="94"/>
      <c r="GF1466" s="104">
        <f t="shared" si="468"/>
        <v>2018</v>
      </c>
      <c r="GG1466" s="104">
        <f t="shared" si="469"/>
        <v>40</v>
      </c>
      <c r="GH1466" s="35">
        <v>43377</v>
      </c>
      <c r="GI1466" s="26">
        <v>3.003</v>
      </c>
      <c r="GJ1466" s="94">
        <f t="shared" si="470"/>
        <v>6.006</v>
      </c>
      <c r="GK1466" s="104"/>
      <c r="GL1466" s="104"/>
      <c r="GO1466" s="94"/>
    </row>
    <row r="1467" spans="3:197">
      <c r="C1467" s="80" t="str" cm="1">
        <f t="array" ref="C1467">_xlfn.IFS(MONTH(D1467)&lt;4,1,MONTH(D1467)&lt;7,2,MONTH(D1467)&lt;10,3,MONTH(D1467)&gt;9,4)&amp;"Q"&amp;RIGHT(YEAR(D1467),2)</f>
        <v>4Q21</v>
      </c>
      <c r="D1467" s="81">
        <f t="shared" si="466"/>
        <v>44530</v>
      </c>
      <c r="E1467" s="82">
        <f t="shared" si="463"/>
        <v>44523</v>
      </c>
      <c r="F1467" s="83">
        <f t="shared" si="471"/>
        <v>0.3985</v>
      </c>
      <c r="G1467" s="83">
        <f t="shared" si="471"/>
        <v>0.46375</v>
      </c>
      <c r="H1467" s="81"/>
      <c r="I1467" s="146">
        <v>44523</v>
      </c>
      <c r="J1467" s="147">
        <v>3.68</v>
      </c>
      <c r="K1467" s="147">
        <v>3.05</v>
      </c>
      <c r="L1467" s="147">
        <v>3.188</v>
      </c>
      <c r="M1467" s="94" cm="1">
        <f t="array" ref="M1467">INDEX($BV$29:$BV$1449,MATCH($D1467,$BR$29:$BR$1449,0),)</f>
        <v>3.71</v>
      </c>
      <c r="N1467" s="150">
        <f t="shared" si="472"/>
        <v>0.00631313131313127</v>
      </c>
      <c r="O1467" s="150">
        <f t="shared" si="461"/>
        <v>0.00220056585979256</v>
      </c>
      <c r="P1467" s="150">
        <f t="shared" si="460"/>
        <v>-0.0241812059993878</v>
      </c>
      <c r="Q1467" s="89">
        <f t="shared" si="465"/>
        <v>-0.140700808625337</v>
      </c>
      <c r="BO1467" s="36"/>
      <c r="GE1467" s="94"/>
      <c r="GF1467" s="104">
        <f t="shared" si="468"/>
        <v>2018</v>
      </c>
      <c r="GG1467" s="104">
        <f t="shared" si="469"/>
        <v>40</v>
      </c>
      <c r="GH1467" s="35">
        <v>43378</v>
      </c>
      <c r="GI1467" s="26">
        <v>2.998</v>
      </c>
      <c r="GJ1467" s="94">
        <f t="shared" si="470"/>
        <v>5.996</v>
      </c>
      <c r="GK1467" s="104"/>
      <c r="GL1467" s="104"/>
      <c r="GO1467" s="94"/>
    </row>
    <row r="1468" spans="3:197">
      <c r="C1468" s="80" t="str" cm="1">
        <f t="array" ref="C1468">_xlfn.IFS(MONTH(D1468)&lt;4,1,MONTH(D1468)&lt;7,2,MONTH(D1468)&lt;10,3,MONTH(D1468)&gt;9,4)&amp;"Q"&amp;RIGHT(YEAR(D1468),2)</f>
        <v>4Q21</v>
      </c>
      <c r="D1468" s="81">
        <f t="shared" si="466"/>
        <v>44530</v>
      </c>
      <c r="E1468" s="82">
        <f t="shared" si="463"/>
        <v>44524</v>
      </c>
      <c r="F1468" s="83">
        <f t="shared" si="471"/>
        <v>0.40175</v>
      </c>
      <c r="G1468" s="83">
        <f t="shared" si="471"/>
        <v>0.46375</v>
      </c>
      <c r="H1468" s="81"/>
      <c r="I1468" s="146">
        <v>44524</v>
      </c>
      <c r="J1468" s="147">
        <v>3.65</v>
      </c>
      <c r="K1468" s="147">
        <v>3.1</v>
      </c>
      <c r="L1468" s="147">
        <v>3.214</v>
      </c>
      <c r="M1468" s="94" cm="1">
        <f t="array" ref="M1468">INDEX($BV$29:$BV$1449,MATCH($D1468,$BR$29:$BR$1449,0),)</f>
        <v>3.71</v>
      </c>
      <c r="N1468" s="150">
        <f t="shared" si="472"/>
        <v>0.00815558343789213</v>
      </c>
      <c r="O1468" s="150">
        <f t="shared" si="461"/>
        <v>0.0126023944549465</v>
      </c>
      <c r="P1468" s="150">
        <f t="shared" si="460"/>
        <v>-0.00248292985723153</v>
      </c>
      <c r="Q1468" s="89">
        <f t="shared" si="465"/>
        <v>-0.133692722371968</v>
      </c>
      <c r="BO1468" s="36"/>
      <c r="GE1468" s="94"/>
      <c r="GF1468" s="104">
        <f t="shared" si="468"/>
        <v>2018</v>
      </c>
      <c r="GG1468" s="104">
        <f t="shared" si="469"/>
        <v>41</v>
      </c>
      <c r="GH1468" s="35">
        <v>43381</v>
      </c>
      <c r="GI1468" s="26">
        <v>2.984</v>
      </c>
      <c r="GJ1468" s="94">
        <f t="shared" si="470"/>
        <v>5.968</v>
      </c>
      <c r="GK1468" s="104"/>
      <c r="GL1468" s="104"/>
      <c r="GO1468" s="94"/>
    </row>
    <row r="1469" spans="3:197">
      <c r="C1469" s="80" t="str" cm="1">
        <f t="array" ref="C1469">_xlfn.IFS(MONTH(D1469)&lt;4,1,MONTH(D1469)&lt;7,2,MONTH(D1469)&lt;10,3,MONTH(D1469)&gt;9,4)&amp;"Q"&amp;RIGHT(YEAR(D1469),2)</f>
        <v>4Q21</v>
      </c>
      <c r="D1469" s="81">
        <f t="shared" si="466"/>
        <v>44530</v>
      </c>
      <c r="E1469" s="82">
        <f t="shared" si="463"/>
        <v>44525</v>
      </c>
      <c r="F1469" s="83">
        <f t="shared" si="471"/>
        <v>0.402125</v>
      </c>
      <c r="G1469" s="83">
        <f t="shared" si="471"/>
        <v>0.46375</v>
      </c>
      <c r="H1469" s="81"/>
      <c r="I1469" s="146">
        <v>44525</v>
      </c>
      <c r="J1469" s="147">
        <v>3.58</v>
      </c>
      <c r="K1469" s="147">
        <v>3.12</v>
      </c>
      <c r="L1469" s="147">
        <v>3.217</v>
      </c>
      <c r="M1469" s="94" cm="1">
        <f t="array" ref="M1469">INDEX($BV$29:$BV$1449,MATCH($D1469,$BR$29:$BR$1449,0),)</f>
        <v>3.71</v>
      </c>
      <c r="N1469" s="150">
        <f t="shared" si="472"/>
        <v>0.000933416303671386</v>
      </c>
      <c r="O1469" s="150">
        <f t="shared" si="461"/>
        <v>0.0138670028364325</v>
      </c>
      <c r="P1469" s="150">
        <f t="shared" si="460"/>
        <v>0.00531250000000005</v>
      </c>
      <c r="Q1469" s="89">
        <f t="shared" si="465"/>
        <v>-0.13288409703504</v>
      </c>
      <c r="BO1469" s="36"/>
      <c r="GE1469" s="94"/>
      <c r="GF1469" s="104">
        <f t="shared" si="468"/>
        <v>2018</v>
      </c>
      <c r="GG1469" s="104">
        <f t="shared" si="469"/>
        <v>41</v>
      </c>
      <c r="GH1469" s="35">
        <v>43382</v>
      </c>
      <c r="GI1469" s="26">
        <v>2.967</v>
      </c>
      <c r="GJ1469" s="94">
        <f t="shared" si="470"/>
        <v>5.934</v>
      </c>
      <c r="GK1469" s="104"/>
      <c r="GL1469" s="104"/>
      <c r="GO1469" s="94"/>
    </row>
    <row r="1470" spans="3:197">
      <c r="C1470" s="80" t="str" cm="1">
        <f t="array" ref="C1470">_xlfn.IFS(MONTH(D1470)&lt;4,1,MONTH(D1470)&lt;7,2,MONTH(D1470)&lt;10,3,MONTH(D1470)&gt;9,4)&amp;"Q"&amp;RIGHT(YEAR(D1470),2)</f>
        <v>4Q21</v>
      </c>
      <c r="D1470" s="81">
        <f t="shared" si="466"/>
        <v>44530</v>
      </c>
      <c r="E1470" s="82">
        <f t="shared" si="463"/>
        <v>44526</v>
      </c>
      <c r="F1470" s="83">
        <f t="shared" si="471"/>
        <v>0.402125</v>
      </c>
      <c r="G1470" s="83">
        <f t="shared" si="471"/>
        <v>0.46375</v>
      </c>
      <c r="H1470" s="81"/>
      <c r="I1470" s="146">
        <v>44526</v>
      </c>
      <c r="J1470" s="147">
        <v>3.55</v>
      </c>
      <c r="K1470" s="147">
        <v>3.1</v>
      </c>
      <c r="L1470" s="147">
        <v>3.217</v>
      </c>
      <c r="M1470" s="94" cm="1">
        <f t="array" ref="M1470">INDEX($BV$29:$BV$1449,MATCH($D1470,$BR$29:$BR$1449,0),)</f>
        <v>3.71</v>
      </c>
      <c r="N1470" s="150">
        <f t="shared" si="472"/>
        <v>0</v>
      </c>
      <c r="O1470" s="150">
        <f t="shared" si="461"/>
        <v>0.0148264984227129</v>
      </c>
      <c r="P1470" s="150">
        <f t="shared" si="460"/>
        <v>0.00783208020050119</v>
      </c>
      <c r="Q1470" s="89">
        <f t="shared" si="465"/>
        <v>-0.13288409703504</v>
      </c>
      <c r="BO1470" s="36"/>
      <c r="GE1470" s="94"/>
      <c r="GF1470" s="104">
        <f t="shared" si="468"/>
        <v>2018</v>
      </c>
      <c r="GG1470" s="104">
        <f t="shared" si="469"/>
        <v>41</v>
      </c>
      <c r="GH1470" s="35">
        <v>43383</v>
      </c>
      <c r="GI1470" s="26">
        <v>2.962</v>
      </c>
      <c r="GJ1470" s="94">
        <f t="shared" si="470"/>
        <v>5.924</v>
      </c>
      <c r="GK1470" s="104"/>
      <c r="GL1470" s="104"/>
      <c r="GO1470" s="94"/>
    </row>
    <row r="1471" spans="3:197">
      <c r="C1471" s="80" t="str" cm="1">
        <f t="array" ref="C1471">_xlfn.IFS(MONTH(D1471)&lt;4,1,MONTH(D1471)&lt;7,2,MONTH(D1471)&lt;10,3,MONTH(D1471)&gt;9,4)&amp;"Q"&amp;RIGHT(YEAR(D1471),2)</f>
        <v>4Q21</v>
      </c>
      <c r="D1471" s="81">
        <f t="shared" si="466"/>
        <v>44530</v>
      </c>
      <c r="E1471" s="82">
        <f t="shared" si="463"/>
        <v>44529</v>
      </c>
      <c r="F1471" s="83">
        <f t="shared" si="471"/>
        <v>0.40325</v>
      </c>
      <c r="G1471" s="83">
        <f t="shared" si="471"/>
        <v>0.46375</v>
      </c>
      <c r="H1471" s="81"/>
      <c r="I1471" s="146">
        <v>44529</v>
      </c>
      <c r="J1471" s="147">
        <v>3.52</v>
      </c>
      <c r="K1471" s="147">
        <v>3.15</v>
      </c>
      <c r="L1471" s="147">
        <v>3.226</v>
      </c>
      <c r="M1471" s="94" cm="1">
        <f t="array" ref="M1471">INDEX($BV$29:$BV$1449,MATCH($D1471,$BR$29:$BR$1449,0),)</f>
        <v>3.71</v>
      </c>
      <c r="N1471" s="150">
        <f t="shared" si="472"/>
        <v>0.00279763755051277</v>
      </c>
      <c r="O1471" s="150">
        <f t="shared" si="461"/>
        <v>0.0183080808080807</v>
      </c>
      <c r="P1471" s="150">
        <f t="shared" si="460"/>
        <v>0.012554927809165</v>
      </c>
      <c r="Q1471" s="89">
        <f t="shared" si="465"/>
        <v>-0.130458221024259</v>
      </c>
      <c r="BO1471" s="36"/>
      <c r="GE1471" s="94"/>
      <c r="GF1471" s="104">
        <f t="shared" si="468"/>
        <v>2018</v>
      </c>
      <c r="GG1471" s="104">
        <f t="shared" si="469"/>
        <v>41</v>
      </c>
      <c r="GH1471" s="35">
        <v>43384</v>
      </c>
      <c r="GI1471" s="26">
        <v>2.945</v>
      </c>
      <c r="GJ1471" s="94">
        <f t="shared" si="470"/>
        <v>5.89</v>
      </c>
      <c r="GK1471" s="104"/>
      <c r="GL1471" s="104"/>
      <c r="GO1471" s="94"/>
    </row>
    <row r="1472" spans="3:197">
      <c r="C1472" s="80" t="str" cm="1">
        <f t="array" ref="C1472">_xlfn.IFS(MONTH(D1472)&lt;4,1,MONTH(D1472)&lt;7,2,MONTH(D1472)&lt;10,3,MONTH(D1472)&gt;9,4)&amp;"Q"&amp;RIGHT(YEAR(D1472),2)</f>
        <v>4Q21</v>
      </c>
      <c r="D1472" s="81">
        <f t="shared" si="466"/>
        <v>44530</v>
      </c>
      <c r="E1472" s="82">
        <f t="shared" si="463"/>
        <v>44530</v>
      </c>
      <c r="F1472" s="83">
        <f t="shared" si="471"/>
        <v>0.406875</v>
      </c>
      <c r="G1472" s="83">
        <f t="shared" si="471"/>
        <v>0.46375</v>
      </c>
      <c r="H1472" s="81"/>
      <c r="I1472" s="146">
        <v>44530</v>
      </c>
      <c r="J1472" s="147">
        <v>3.53</v>
      </c>
      <c r="K1472" s="147">
        <v>3.2</v>
      </c>
      <c r="L1472" s="147">
        <v>3.255</v>
      </c>
      <c r="M1472" s="59" cm="1">
        <f t="array" ref="M1472">INDEX($BV$29:$BV$1449,MATCH($D1472,$BR$29:$BR$1449,0),)</f>
        <v>3.71</v>
      </c>
      <c r="N1472" s="150">
        <f t="shared" si="472"/>
        <v>0.00898946063236195</v>
      </c>
      <c r="O1472" s="150">
        <f t="shared" si="461"/>
        <v>0.0210163111668757</v>
      </c>
      <c r="P1472" s="150">
        <f t="shared" ref="P1472:P1476" si="473">L1472/L1462-1</f>
        <v>0.0232631248035209</v>
      </c>
      <c r="Q1472" s="89">
        <f t="shared" si="465"/>
        <v>-0.122641509433962</v>
      </c>
      <c r="BO1472" s="36"/>
      <c r="GE1472" s="94"/>
      <c r="GF1472" s="104">
        <f t="shared" si="468"/>
        <v>2018</v>
      </c>
      <c r="GG1472" s="104">
        <f t="shared" si="469"/>
        <v>41</v>
      </c>
      <c r="GH1472" s="35">
        <v>43385</v>
      </c>
      <c r="GI1472" s="26">
        <v>2.925</v>
      </c>
      <c r="GJ1472" s="94">
        <f t="shared" si="470"/>
        <v>5.85</v>
      </c>
      <c r="GK1472" s="104"/>
      <c r="GL1472" s="104"/>
      <c r="GO1472" s="94"/>
    </row>
    <row r="1473" spans="3:197">
      <c r="C1473" s="80" t="str" cm="1">
        <f t="array" ref="C1473">_xlfn.IFS(MONTH(D1473)&lt;4,1,MONTH(D1473)&lt;7,2,MONTH(D1473)&lt;10,3,MONTH(D1473)&gt;9,4)&amp;"Q"&amp;RIGHT(YEAR(D1473),2)</f>
        <v>4Q21</v>
      </c>
      <c r="D1473" s="81">
        <f t="shared" si="466"/>
        <v>44561</v>
      </c>
      <c r="E1473" s="82">
        <f t="shared" si="463"/>
        <v>44531</v>
      </c>
      <c r="F1473" s="83">
        <f t="shared" si="471"/>
        <v>0.410875</v>
      </c>
      <c r="G1473" s="83">
        <f>+M1473/8</f>
        <v>0.46375</v>
      </c>
      <c r="H1473" s="81"/>
      <c r="I1473" s="146">
        <v>44531</v>
      </c>
      <c r="J1473" s="147">
        <v>3.53</v>
      </c>
      <c r="K1473" s="147">
        <v>3.22</v>
      </c>
      <c r="L1473" s="147">
        <v>3.287</v>
      </c>
      <c r="M1473" s="59" cm="1">
        <f t="array" ref="M1473">INDEX($BV$29:$BV$1449,MATCH($D1473,$BR$29:$BR$1449,0),)</f>
        <v>3.71</v>
      </c>
      <c r="N1473" s="150">
        <f t="shared" si="472"/>
        <v>0.00983102918586787</v>
      </c>
      <c r="O1473" s="150">
        <f t="shared" si="461"/>
        <v>0.0227131300560051</v>
      </c>
      <c r="P1473" s="150">
        <f t="shared" si="473"/>
        <v>0.0356017643352238</v>
      </c>
      <c r="Q1473" s="89">
        <f t="shared" si="465"/>
        <v>-0.114016172506739</v>
      </c>
      <c r="AR1473" s="36"/>
      <c r="AT1473" s="36"/>
      <c r="AU1473" s="36"/>
      <c r="AV1473" s="36"/>
      <c r="AW1473" s="36"/>
      <c r="AX1473" s="36"/>
      <c r="AY1473" s="36"/>
      <c r="AZ1473" s="36"/>
      <c r="BA1473" s="36"/>
      <c r="BB1473" s="36"/>
      <c r="BC1473" s="36"/>
      <c r="BD1473" s="36"/>
      <c r="BE1473" s="36"/>
      <c r="BF1473" s="36"/>
      <c r="BG1473" s="36"/>
      <c r="BH1473" s="36"/>
      <c r="BI1473" s="36"/>
      <c r="BJ1473" s="36"/>
      <c r="BK1473" s="36"/>
      <c r="BL1473" s="36"/>
      <c r="BM1473" s="36"/>
      <c r="BN1473" s="36"/>
      <c r="BO1473" s="36"/>
      <c r="GE1473" s="94"/>
      <c r="GF1473" s="104">
        <f t="shared" si="468"/>
        <v>2018</v>
      </c>
      <c r="GG1473" s="104">
        <f t="shared" si="469"/>
        <v>42</v>
      </c>
      <c r="GH1473" s="35">
        <v>43388</v>
      </c>
      <c r="GI1473" s="26">
        <v>2.923</v>
      </c>
      <c r="GJ1473" s="94">
        <f t="shared" si="470"/>
        <v>5.846</v>
      </c>
      <c r="GK1473" s="104"/>
      <c r="GL1473" s="104"/>
      <c r="GO1473" s="94"/>
    </row>
    <row r="1474" spans="3:197">
      <c r="C1474" s="80" t="str" cm="1">
        <f t="array" ref="C1474">_xlfn.IFS(MONTH(D1474)&lt;4,1,MONTH(D1474)&lt;7,2,MONTH(D1474)&lt;10,3,MONTH(D1474)&gt;9,4)&amp;"Q"&amp;RIGHT(YEAR(D1474),2)</f>
        <v>4Q21</v>
      </c>
      <c r="D1474" s="81">
        <f t="shared" si="466"/>
        <v>44561</v>
      </c>
      <c r="E1474" s="82">
        <f t="shared" si="463"/>
        <v>44532</v>
      </c>
      <c r="F1474" s="83">
        <f t="shared" si="471"/>
        <v>0.412625</v>
      </c>
      <c r="G1474" s="83">
        <f t="shared" si="471"/>
        <v>0.46375</v>
      </c>
      <c r="H1474" s="81"/>
      <c r="I1474" s="146">
        <v>44532</v>
      </c>
      <c r="J1474" s="147">
        <v>3.53</v>
      </c>
      <c r="K1474" s="147">
        <v>3.25</v>
      </c>
      <c r="L1474" s="147">
        <v>3.301</v>
      </c>
      <c r="M1474" s="59" cm="1">
        <f t="array" ref="M1474">INDEX($BV$29:$BV$1449,MATCH($D1474,$BR$29:$BR$1449,0),)</f>
        <v>3.71</v>
      </c>
      <c r="N1474" s="150">
        <f t="shared" si="472"/>
        <v>0.00425920292059634</v>
      </c>
      <c r="O1474" s="150">
        <f t="shared" si="461"/>
        <v>0.026111283804787</v>
      </c>
      <c r="P1474" s="150">
        <f t="shared" si="473"/>
        <v>0.0403403718878035</v>
      </c>
      <c r="Q1474" s="89">
        <f t="shared" si="465"/>
        <v>-0.110242587601078</v>
      </c>
      <c r="AR1474" s="36"/>
      <c r="AT1474" s="36"/>
      <c r="AU1474" s="36"/>
      <c r="AV1474" s="36"/>
      <c r="AW1474" s="36"/>
      <c r="AX1474" s="36"/>
      <c r="AY1474" s="36"/>
      <c r="AZ1474" s="36"/>
      <c r="BA1474" s="36"/>
      <c r="BB1474" s="36"/>
      <c r="BC1474" s="36"/>
      <c r="BD1474" s="36"/>
      <c r="BE1474" s="36"/>
      <c r="BF1474" s="36"/>
      <c r="BG1474" s="36"/>
      <c r="BH1474" s="36"/>
      <c r="BI1474" s="36"/>
      <c r="BJ1474" s="36"/>
      <c r="BK1474" s="36"/>
      <c r="BL1474" s="36"/>
      <c r="BM1474" s="36"/>
      <c r="BN1474" s="36"/>
      <c r="BO1474" s="36"/>
      <c r="GE1474" s="94"/>
      <c r="GF1474" s="104">
        <f t="shared" si="468"/>
        <v>2018</v>
      </c>
      <c r="GG1474" s="104">
        <f t="shared" si="469"/>
        <v>42</v>
      </c>
      <c r="GH1474" s="35">
        <v>43389</v>
      </c>
      <c r="GI1474" s="26">
        <v>2.92</v>
      </c>
      <c r="GJ1474" s="94">
        <f t="shared" si="470"/>
        <v>5.84</v>
      </c>
      <c r="GK1474" s="104"/>
      <c r="GL1474" s="104"/>
      <c r="GO1474" s="94"/>
    </row>
    <row r="1475" spans="3:197">
      <c r="C1475" s="80" t="str" cm="1">
        <f t="array" ref="C1475">_xlfn.IFS(MONTH(D1475)&lt;4,1,MONTH(D1475)&lt;7,2,MONTH(D1475)&lt;10,3,MONTH(D1475)&gt;9,4)&amp;"Q"&amp;RIGHT(YEAR(D1475),2)</f>
        <v>4Q21</v>
      </c>
      <c r="D1475" s="81">
        <f t="shared" si="466"/>
        <v>44561</v>
      </c>
      <c r="E1475" s="82">
        <f t="shared" si="463"/>
        <v>44533</v>
      </c>
      <c r="F1475" s="83">
        <f t="shared" si="471"/>
        <v>0.41575</v>
      </c>
      <c r="G1475" s="83">
        <f t="shared" si="471"/>
        <v>0.46375</v>
      </c>
      <c r="H1475" s="81"/>
      <c r="I1475" s="146">
        <v>44533</v>
      </c>
      <c r="J1475" s="147">
        <v>3.6</v>
      </c>
      <c r="K1475" s="147">
        <v>3.25</v>
      </c>
      <c r="L1475" s="147">
        <v>3.326</v>
      </c>
      <c r="M1475" s="59" cm="1">
        <f t="array" ref="M1475">INDEX($BV$29:$BV$1449,MATCH($D1475,$BR$29:$BR$1449,0),)</f>
        <v>3.71</v>
      </c>
      <c r="N1475" s="150">
        <f t="shared" si="472"/>
        <v>0.00757346258709468</v>
      </c>
      <c r="O1475" s="150">
        <f t="shared" si="461"/>
        <v>0.0338824992228786</v>
      </c>
      <c r="P1475" s="150">
        <f t="shared" si="473"/>
        <v>0.049211356466877</v>
      </c>
      <c r="Q1475" s="89">
        <f t="shared" si="465"/>
        <v>-0.103504043126685</v>
      </c>
      <c r="AR1475" s="36"/>
      <c r="AT1475" s="36"/>
      <c r="AU1475" s="36"/>
      <c r="AV1475" s="36"/>
      <c r="AW1475" s="36"/>
      <c r="AX1475" s="36"/>
      <c r="AY1475" s="36"/>
      <c r="AZ1475" s="36"/>
      <c r="BA1475" s="36"/>
      <c r="BB1475" s="36"/>
      <c r="BC1475" s="36"/>
      <c r="BD1475" s="36"/>
      <c r="BE1475" s="36"/>
      <c r="BF1475" s="36"/>
      <c r="BG1475" s="36"/>
      <c r="BH1475" s="36"/>
      <c r="BI1475" s="36"/>
      <c r="BJ1475" s="36"/>
      <c r="BK1475" s="36"/>
      <c r="BL1475" s="36"/>
      <c r="BM1475" s="36"/>
      <c r="BN1475" s="36"/>
      <c r="BO1475" s="36"/>
      <c r="GE1475" s="94"/>
      <c r="GF1475" s="104">
        <f t="shared" si="468"/>
        <v>2018</v>
      </c>
      <c r="GG1475" s="104">
        <f t="shared" si="469"/>
        <v>42</v>
      </c>
      <c r="GH1475" s="35">
        <v>43390</v>
      </c>
      <c r="GI1475" s="26">
        <v>2.92</v>
      </c>
      <c r="GJ1475" s="94">
        <f t="shared" si="470"/>
        <v>5.84</v>
      </c>
      <c r="GK1475" s="104"/>
      <c r="GL1475" s="104"/>
      <c r="GO1475" s="94"/>
    </row>
    <row r="1476" spans="3:197">
      <c r="C1476" s="80" t="str" cm="1">
        <f t="array" ref="C1476">_xlfn.IFS(MONTH(D1476)&lt;4,1,MONTH(D1476)&lt;7,2,MONTH(D1476)&lt;10,3,MONTH(D1476)&gt;9,4)&amp;"Q"&amp;RIGHT(YEAR(D1476),2)</f>
        <v>4Q21</v>
      </c>
      <c r="D1476" s="81">
        <f t="shared" si="466"/>
        <v>44561</v>
      </c>
      <c r="E1476" s="82">
        <f t="shared" si="463"/>
        <v>44536</v>
      </c>
      <c r="F1476" s="83">
        <f t="shared" si="471"/>
        <v>0.41575</v>
      </c>
      <c r="G1476" s="83">
        <f t="shared" si="471"/>
        <v>0.46375</v>
      </c>
      <c r="H1476" s="81"/>
      <c r="I1476" s="146">
        <v>44536</v>
      </c>
      <c r="J1476" s="147">
        <v>3.62</v>
      </c>
      <c r="K1476" s="147">
        <v>3.23</v>
      </c>
      <c r="L1476" s="147">
        <v>3.326</v>
      </c>
      <c r="M1476" s="59" cm="1">
        <f t="array" ref="M1476">INDEX($BV$29:$BV$1449,MATCH($D1476,$BR$29:$BR$1449,0),)</f>
        <v>3.71</v>
      </c>
      <c r="N1476" s="150">
        <f t="shared" si="472"/>
        <v>0</v>
      </c>
      <c r="O1476" s="150">
        <f t="shared" si="461"/>
        <v>0.0309981401115933</v>
      </c>
      <c r="P1476" s="150">
        <f t="shared" si="473"/>
        <v>0.0498737373737372</v>
      </c>
      <c r="Q1476" s="89">
        <f t="shared" si="465"/>
        <v>-0.103504043126685</v>
      </c>
      <c r="AR1476" s="36"/>
      <c r="AT1476" s="36"/>
      <c r="AU1476" s="36"/>
      <c r="AV1476" s="36"/>
      <c r="AW1476" s="36"/>
      <c r="AX1476" s="36"/>
      <c r="AY1476" s="36"/>
      <c r="AZ1476" s="36"/>
      <c r="BA1476" s="36"/>
      <c r="BB1476" s="36"/>
      <c r="BC1476" s="36"/>
      <c r="BD1476" s="36"/>
      <c r="BE1476" s="36"/>
      <c r="BF1476" s="36"/>
      <c r="BG1476" s="36"/>
      <c r="BH1476" s="36"/>
      <c r="BI1476" s="36"/>
      <c r="BJ1476" s="36"/>
      <c r="BK1476" s="36"/>
      <c r="BL1476" s="36"/>
      <c r="BM1476" s="36"/>
      <c r="BN1476" s="36"/>
      <c r="BO1476" s="36"/>
      <c r="GE1476" s="94"/>
      <c r="GF1476" s="104">
        <f t="shared" si="468"/>
        <v>2018</v>
      </c>
      <c r="GG1476" s="104">
        <f t="shared" si="469"/>
        <v>42</v>
      </c>
      <c r="GH1476" s="35">
        <v>43391</v>
      </c>
      <c r="GI1476" s="26">
        <v>2.92</v>
      </c>
      <c r="GJ1476" s="94">
        <f t="shared" si="470"/>
        <v>5.84</v>
      </c>
      <c r="GK1476" s="104"/>
      <c r="GL1476" s="104"/>
      <c r="GO1476" s="94"/>
    </row>
    <row r="1477" spans="3:197">
      <c r="C1477" s="80" t="str" cm="1">
        <f t="array" ref="C1477">_xlfn.IFS(MONTH(D1477)&lt;4,1,MONTH(D1477)&lt;7,2,MONTH(D1477)&lt;10,3,MONTH(D1477)&gt;9,4)&amp;"Q"&amp;RIGHT(YEAR(D1477),2)</f>
        <v>4Q21</v>
      </c>
      <c r="D1477" s="81">
        <f t="shared" si="466"/>
        <v>44561</v>
      </c>
      <c r="E1477" s="82">
        <f t="shared" si="463"/>
        <v>44537</v>
      </c>
      <c r="F1477" s="83">
        <f t="shared" si="471"/>
        <v>0.413125</v>
      </c>
      <c r="G1477" s="83">
        <f t="shared" si="471"/>
        <v>0.46375</v>
      </c>
      <c r="H1477" s="81"/>
      <c r="I1477" s="146">
        <v>44537</v>
      </c>
      <c r="J1477" s="147">
        <v>3.62</v>
      </c>
      <c r="K1477" s="147">
        <v>3.23</v>
      </c>
      <c r="L1477" s="147">
        <v>3.305</v>
      </c>
      <c r="M1477" s="59" cm="1">
        <f t="array" ref="M1477">INDEX($BV$29:$BV$1449,MATCH($D1477,$BR$29:$BR$1449,0),)</f>
        <v>3.71</v>
      </c>
      <c r="N1477" s="150">
        <f t="shared" si="472"/>
        <v>-0.00631389055923026</v>
      </c>
      <c r="O1477" s="150">
        <f t="shared" si="461"/>
        <v>0.0153609831029187</v>
      </c>
      <c r="P1477" s="150">
        <f t="shared" ref="P1477:P1486" si="474">L1477/L1467-1</f>
        <v>0.0367001254705144</v>
      </c>
      <c r="Q1477" s="89">
        <f t="shared" si="465"/>
        <v>-0.109164420485175</v>
      </c>
      <c r="AR1477" s="36"/>
      <c r="AT1477" s="36"/>
      <c r="AU1477" s="36"/>
      <c r="AV1477" s="36"/>
      <c r="AW1477" s="36"/>
      <c r="AX1477" s="36"/>
      <c r="AY1477" s="36"/>
      <c r="AZ1477" s="36"/>
      <c r="BA1477" s="36"/>
      <c r="BB1477" s="36"/>
      <c r="BC1477" s="36"/>
      <c r="BD1477" s="36"/>
      <c r="BE1477" s="36"/>
      <c r="BF1477" s="36"/>
      <c r="BG1477" s="36"/>
      <c r="BH1477" s="36"/>
      <c r="BI1477" s="36"/>
      <c r="BJ1477" s="36"/>
      <c r="BK1477" s="36"/>
      <c r="BL1477" s="36"/>
      <c r="BM1477" s="36"/>
      <c r="BN1477" s="36"/>
      <c r="BO1477" s="36"/>
      <c r="GE1477" s="94"/>
      <c r="GF1477" s="104">
        <f t="shared" si="468"/>
        <v>2018</v>
      </c>
      <c r="GG1477" s="104">
        <f t="shared" si="469"/>
        <v>42</v>
      </c>
      <c r="GH1477" s="35">
        <v>43392</v>
      </c>
      <c r="GI1477" s="26">
        <v>2.913</v>
      </c>
      <c r="GJ1477" s="94">
        <f t="shared" si="470"/>
        <v>5.826</v>
      </c>
      <c r="GK1477" s="104"/>
      <c r="GL1477" s="104"/>
      <c r="GO1477" s="94"/>
    </row>
    <row r="1478" spans="3:197">
      <c r="C1478" s="80" t="str" cm="1">
        <f t="array" ref="C1478">_xlfn.IFS(MONTH(D1478)&lt;4,1,MONTH(D1478)&lt;7,2,MONTH(D1478)&lt;10,3,MONTH(D1478)&gt;9,4)&amp;"Q"&amp;RIGHT(YEAR(D1478),2)</f>
        <v>4Q21</v>
      </c>
      <c r="D1478" s="81">
        <f t="shared" si="466"/>
        <v>44561</v>
      </c>
      <c r="E1478" s="82">
        <f t="shared" si="463"/>
        <v>44538</v>
      </c>
      <c r="F1478" s="83">
        <f t="shared" si="471"/>
        <v>0.4115</v>
      </c>
      <c r="G1478" s="83">
        <f t="shared" si="471"/>
        <v>0.46375</v>
      </c>
      <c r="H1478" s="81"/>
      <c r="I1478" s="146">
        <v>44538</v>
      </c>
      <c r="J1478" s="147">
        <v>3.62</v>
      </c>
      <c r="K1478" s="147">
        <v>3.23</v>
      </c>
      <c r="L1478" s="147">
        <v>3.292</v>
      </c>
      <c r="M1478" s="59" cm="1">
        <f t="array" ref="M1478">INDEX($BV$29:$BV$1449,MATCH($D1478,$BR$29:$BR$1449,0),)</f>
        <v>3.71</v>
      </c>
      <c r="N1478" s="150">
        <f t="shared" si="472"/>
        <v>-0.00393343419062042</v>
      </c>
      <c r="O1478" s="150">
        <f t="shared" si="461"/>
        <v>0.00152114390021296</v>
      </c>
      <c r="P1478" s="150">
        <f t="shared" si="474"/>
        <v>0.0242688238954574</v>
      </c>
      <c r="Q1478" s="89">
        <f t="shared" si="465"/>
        <v>-0.11266846361186</v>
      </c>
      <c r="AR1478" s="36"/>
      <c r="AT1478" s="36"/>
      <c r="AU1478" s="36"/>
      <c r="AV1478" s="36"/>
      <c r="AW1478" s="36"/>
      <c r="AX1478" s="36"/>
      <c r="AY1478" s="36"/>
      <c r="AZ1478" s="36"/>
      <c r="BA1478" s="36"/>
      <c r="BB1478" s="36"/>
      <c r="BC1478" s="36"/>
      <c r="BD1478" s="36"/>
      <c r="BE1478" s="36"/>
      <c r="BF1478" s="36"/>
      <c r="BG1478" s="36"/>
      <c r="BH1478" s="36"/>
      <c r="BI1478" s="36"/>
      <c r="BJ1478" s="36"/>
      <c r="BK1478" s="36"/>
      <c r="BL1478" s="36"/>
      <c r="BM1478" s="36"/>
      <c r="BN1478" s="36"/>
      <c r="BO1478" s="36"/>
      <c r="GE1478" s="94"/>
      <c r="GF1478" s="104">
        <f t="shared" si="468"/>
        <v>2018</v>
      </c>
      <c r="GG1478" s="104">
        <f t="shared" si="469"/>
        <v>43</v>
      </c>
      <c r="GH1478" s="35">
        <v>43395</v>
      </c>
      <c r="GI1478" s="26">
        <v>2.913</v>
      </c>
      <c r="GJ1478" s="94">
        <f t="shared" si="470"/>
        <v>5.826</v>
      </c>
      <c r="GK1478" s="104"/>
      <c r="GL1478" s="104"/>
      <c r="GO1478" s="94"/>
    </row>
    <row r="1479" spans="3:197">
      <c r="C1479" s="80" t="str" cm="1">
        <f t="array" ref="C1479">_xlfn.IFS(MONTH(D1479)&lt;4,1,MONTH(D1479)&lt;7,2,MONTH(D1479)&lt;10,3,MONTH(D1479)&gt;9,4)&amp;"Q"&amp;RIGHT(YEAR(D1479),2)</f>
        <v>4Q21</v>
      </c>
      <c r="D1479" s="81">
        <f t="shared" si="466"/>
        <v>44561</v>
      </c>
      <c r="E1479" s="82">
        <f t="shared" si="463"/>
        <v>44539</v>
      </c>
      <c r="F1479" s="83">
        <f t="shared" si="471"/>
        <v>0.41025</v>
      </c>
      <c r="G1479" s="83">
        <f t="shared" si="471"/>
        <v>0.46375</v>
      </c>
      <c r="H1479" s="81"/>
      <c r="I1479" s="146">
        <v>44539</v>
      </c>
      <c r="J1479" s="147">
        <v>3.6</v>
      </c>
      <c r="K1479" s="147">
        <v>3.21</v>
      </c>
      <c r="L1479" s="147">
        <v>3.282</v>
      </c>
      <c r="M1479" s="59" cm="1">
        <f t="array" ref="M1479">INDEX($BV$29:$BV$1449,MATCH($D1479,$BR$29:$BR$1449,0),)</f>
        <v>3.71</v>
      </c>
      <c r="N1479" s="150">
        <f t="shared" si="472"/>
        <v>-0.00303766707168884</v>
      </c>
      <c r="O1479" s="150">
        <f t="shared" si="461"/>
        <v>-0.00575583156619208</v>
      </c>
      <c r="P1479" s="150">
        <f t="shared" si="474"/>
        <v>0.0202051600870377</v>
      </c>
      <c r="Q1479" s="89">
        <f t="shared" si="465"/>
        <v>-0.115363881401617</v>
      </c>
      <c r="AR1479" s="36"/>
      <c r="AT1479" s="36"/>
      <c r="AU1479" s="36"/>
      <c r="AV1479" s="36"/>
      <c r="AW1479" s="36"/>
      <c r="AX1479" s="36"/>
      <c r="AY1479" s="36"/>
      <c r="AZ1479" s="36"/>
      <c r="BA1479" s="36"/>
      <c r="BB1479" s="36"/>
      <c r="BC1479" s="36"/>
      <c r="BD1479" s="36"/>
      <c r="BE1479" s="36"/>
      <c r="BF1479" s="36"/>
      <c r="BG1479" s="36"/>
      <c r="BH1479" s="36"/>
      <c r="BI1479" s="36"/>
      <c r="BJ1479" s="36"/>
      <c r="BK1479" s="36"/>
      <c r="BL1479" s="36"/>
      <c r="BM1479" s="36"/>
      <c r="BN1479" s="36"/>
      <c r="BO1479" s="36"/>
      <c r="GE1479" s="94"/>
      <c r="GF1479" s="104">
        <f t="shared" si="468"/>
        <v>2018</v>
      </c>
      <c r="GG1479" s="104">
        <f t="shared" si="469"/>
        <v>43</v>
      </c>
      <c r="GH1479" s="35">
        <v>43396</v>
      </c>
      <c r="GI1479" s="26">
        <v>2.909</v>
      </c>
      <c r="GJ1479" s="94">
        <f t="shared" si="470"/>
        <v>5.818</v>
      </c>
      <c r="GK1479" s="104"/>
      <c r="GL1479" s="104"/>
      <c r="GO1479" s="94"/>
    </row>
    <row r="1480" spans="3:197">
      <c r="C1480" s="80" t="str" cm="1">
        <f t="array" ref="C1480">_xlfn.IFS(MONTH(D1480)&lt;4,1,MONTH(D1480)&lt;7,2,MONTH(D1480)&lt;10,3,MONTH(D1480)&gt;9,4)&amp;"Q"&amp;RIGHT(YEAR(D1480),2)</f>
        <v>4Q21</v>
      </c>
      <c r="D1480" s="81">
        <f t="shared" si="466"/>
        <v>44561</v>
      </c>
      <c r="E1480" s="82">
        <f t="shared" si="463"/>
        <v>44540</v>
      </c>
      <c r="F1480" s="83">
        <f t="shared" si="471"/>
        <v>0.41</v>
      </c>
      <c r="G1480" s="83">
        <f t="shared" si="471"/>
        <v>0.46375</v>
      </c>
      <c r="H1480" s="81"/>
      <c r="I1480" s="146">
        <v>44540</v>
      </c>
      <c r="J1480" s="147">
        <v>3.58</v>
      </c>
      <c r="K1480" s="147">
        <v>3.2</v>
      </c>
      <c r="L1480" s="147">
        <v>3.28</v>
      </c>
      <c r="M1480" s="59" cm="1">
        <f t="array" ref="M1480">INDEX($BV$29:$BV$1449,MATCH($D1480,$BR$29:$BR$1449,0),)</f>
        <v>3.71</v>
      </c>
      <c r="N1480" s="150">
        <f t="shared" si="472"/>
        <v>-0.000609384521633172</v>
      </c>
      <c r="O1480" s="150">
        <f t="shared" si="461"/>
        <v>-0.0138304269392665</v>
      </c>
      <c r="P1480" s="150">
        <f t="shared" si="474"/>
        <v>0.0195834628535902</v>
      </c>
      <c r="Q1480" s="89">
        <f t="shared" si="465"/>
        <v>-0.115902964959569</v>
      </c>
      <c r="AR1480" s="36"/>
      <c r="AT1480" s="36"/>
      <c r="AU1480" s="36"/>
      <c r="AV1480" s="36"/>
      <c r="AW1480" s="36"/>
      <c r="AX1480" s="36"/>
      <c r="AY1480" s="36"/>
      <c r="AZ1480" s="36"/>
      <c r="BA1480" s="36"/>
      <c r="BB1480" s="36"/>
      <c r="BC1480" s="36"/>
      <c r="BD1480" s="36"/>
      <c r="BE1480" s="36"/>
      <c r="BF1480" s="36"/>
      <c r="BG1480" s="36"/>
      <c r="BH1480" s="36"/>
      <c r="BI1480" s="36"/>
      <c r="BJ1480" s="36"/>
      <c r="BK1480" s="36"/>
      <c r="BL1480" s="36"/>
      <c r="BM1480" s="36"/>
      <c r="BN1480" s="36"/>
      <c r="BO1480" s="36"/>
      <c r="GE1480" s="94"/>
      <c r="GF1480" s="104">
        <f t="shared" si="468"/>
        <v>2018</v>
      </c>
      <c r="GG1480" s="104">
        <f t="shared" si="469"/>
        <v>43</v>
      </c>
      <c r="GH1480" s="35">
        <v>43397</v>
      </c>
      <c r="GI1480" s="26">
        <v>2.909</v>
      </c>
      <c r="GJ1480" s="94">
        <f t="shared" si="470"/>
        <v>5.818</v>
      </c>
      <c r="GK1480" s="104"/>
      <c r="GL1480" s="104"/>
      <c r="GO1480" s="94"/>
    </row>
    <row r="1481" spans="3:197">
      <c r="C1481" s="80" t="str" cm="1">
        <f t="array" ref="C1481">_xlfn.IFS(MONTH(D1481)&lt;4,1,MONTH(D1481)&lt;7,2,MONTH(D1481)&lt;10,3,MONTH(D1481)&gt;9,4)&amp;"Q"&amp;RIGHT(YEAR(D1481),2)</f>
        <v>4Q21</v>
      </c>
      <c r="D1481" s="81">
        <f t="shared" si="466"/>
        <v>44561</v>
      </c>
      <c r="E1481" s="82">
        <f t="shared" si="463"/>
        <v>44543</v>
      </c>
      <c r="F1481" s="83">
        <f t="shared" si="471"/>
        <v>0.41</v>
      </c>
      <c r="G1481" s="83">
        <f>+M1481/8</f>
        <v>0.46375</v>
      </c>
      <c r="H1481" s="81"/>
      <c r="I1481" s="146">
        <v>44543</v>
      </c>
      <c r="J1481" s="147">
        <v>3.6</v>
      </c>
      <c r="K1481" s="147">
        <v>3.21</v>
      </c>
      <c r="L1481" s="147">
        <v>3.28</v>
      </c>
      <c r="M1481" s="59" cm="1">
        <f t="array" ref="M1481">INDEX($BV$29:$BV$1449,MATCH($D1481,$BR$29:$BR$1449,0),)</f>
        <v>3.71</v>
      </c>
      <c r="N1481" s="150">
        <f t="shared" si="472"/>
        <v>0</v>
      </c>
      <c r="O1481" s="150">
        <f t="shared" si="461"/>
        <v>-0.0138304269392665</v>
      </c>
      <c r="P1481" s="150">
        <f t="shared" si="474"/>
        <v>0.0167389956602604</v>
      </c>
      <c r="Q1481" s="89">
        <f t="shared" si="465"/>
        <v>-0.115902964959569</v>
      </c>
      <c r="AR1481" s="36"/>
      <c r="AT1481" s="36"/>
      <c r="AU1481" s="36"/>
      <c r="AV1481" s="36"/>
      <c r="AW1481" s="36"/>
      <c r="AX1481" s="36"/>
      <c r="AY1481" s="36"/>
      <c r="AZ1481" s="36"/>
      <c r="BA1481" s="36"/>
      <c r="BB1481" s="36"/>
      <c r="BC1481" s="36"/>
      <c r="BD1481" s="36"/>
      <c r="BE1481" s="36"/>
      <c r="BF1481" s="36"/>
      <c r="BG1481" s="36"/>
      <c r="BH1481" s="36"/>
      <c r="BI1481" s="36"/>
      <c r="BJ1481" s="36"/>
      <c r="BK1481" s="36"/>
      <c r="BL1481" s="36"/>
      <c r="BM1481" s="36"/>
      <c r="BN1481" s="36"/>
      <c r="BO1481" s="36"/>
      <c r="GE1481" s="94"/>
      <c r="GF1481" s="104">
        <f t="shared" si="468"/>
        <v>2018</v>
      </c>
      <c r="GG1481" s="104">
        <f t="shared" si="469"/>
        <v>43</v>
      </c>
      <c r="GH1481" s="35">
        <v>43398</v>
      </c>
      <c r="GI1481" s="26">
        <v>2.909</v>
      </c>
      <c r="GJ1481" s="94">
        <f t="shared" si="470"/>
        <v>5.818</v>
      </c>
      <c r="GK1481" s="104"/>
      <c r="GL1481" s="104"/>
      <c r="GO1481" s="94"/>
    </row>
    <row r="1482" spans="3:197">
      <c r="C1482" s="80" t="str" cm="1">
        <f t="array" ref="C1482">_xlfn.IFS(MONTH(D1482)&lt;4,1,MONTH(D1482)&lt;7,2,MONTH(D1482)&lt;10,3,MONTH(D1482)&gt;9,4)&amp;"Q"&amp;RIGHT(YEAR(D1482),2)</f>
        <v>4Q21</v>
      </c>
      <c r="D1482" s="81">
        <f t="shared" si="466"/>
        <v>44561</v>
      </c>
      <c r="E1482" s="82">
        <f t="shared" si="463"/>
        <v>44544</v>
      </c>
      <c r="F1482" s="83">
        <f t="shared" ref="F1482:G1497" si="475">+L1482/8</f>
        <v>0.41</v>
      </c>
      <c r="G1482" s="83">
        <f t="shared" si="475"/>
        <v>0.46375</v>
      </c>
      <c r="H1482" s="81"/>
      <c r="I1482" s="146">
        <v>44544</v>
      </c>
      <c r="J1482" s="147">
        <v>3.6</v>
      </c>
      <c r="K1482" s="147">
        <v>3.21</v>
      </c>
      <c r="L1482" s="147">
        <v>3.28</v>
      </c>
      <c r="M1482" s="59" cm="1">
        <f t="array" ref="M1482">INDEX($BV$29:$BV$1449,MATCH($D1482,$BR$29:$BR$1449,0),)</f>
        <v>3.71</v>
      </c>
      <c r="N1482" s="150">
        <f t="shared" si="472"/>
        <v>0</v>
      </c>
      <c r="O1482" s="150">
        <f t="shared" si="461"/>
        <v>-0.00756429652042367</v>
      </c>
      <c r="P1482" s="150">
        <f t="shared" si="474"/>
        <v>0.00768049155145922</v>
      </c>
      <c r="Q1482" s="89">
        <f t="shared" si="465"/>
        <v>-0.115902964959569</v>
      </c>
      <c r="AR1482" s="36"/>
      <c r="AT1482" s="36"/>
      <c r="AU1482" s="36"/>
      <c r="AV1482" s="36"/>
      <c r="AW1482" s="36"/>
      <c r="AX1482" s="36"/>
      <c r="AY1482" s="36"/>
      <c r="AZ1482" s="36"/>
      <c r="BA1482" s="36"/>
      <c r="BB1482" s="36"/>
      <c r="BC1482" s="36"/>
      <c r="BD1482" s="36"/>
      <c r="BE1482" s="36"/>
      <c r="BF1482" s="36"/>
      <c r="BG1482" s="36"/>
      <c r="BH1482" s="36"/>
      <c r="BI1482" s="36"/>
      <c r="BJ1482" s="36"/>
      <c r="BK1482" s="36"/>
      <c r="BL1482" s="36"/>
      <c r="BM1482" s="36"/>
      <c r="BN1482" s="36"/>
      <c r="BO1482" s="36"/>
      <c r="GE1482" s="94"/>
      <c r="GF1482" s="104">
        <f t="shared" si="468"/>
        <v>2018</v>
      </c>
      <c r="GG1482" s="104">
        <f t="shared" si="469"/>
        <v>43</v>
      </c>
      <c r="GH1482" s="35">
        <v>43399</v>
      </c>
      <c r="GI1482" s="26">
        <v>2.909</v>
      </c>
      <c r="GJ1482" s="94">
        <f t="shared" si="470"/>
        <v>5.818</v>
      </c>
      <c r="GK1482" s="104"/>
      <c r="GL1482" s="104"/>
      <c r="GO1482" s="94"/>
    </row>
    <row r="1483" spans="3:197">
      <c r="C1483" s="80" t="str" cm="1">
        <f t="array" ref="C1483">_xlfn.IFS(MONTH(D1483)&lt;4,1,MONTH(D1483)&lt;7,2,MONTH(D1483)&lt;10,3,MONTH(D1483)&gt;9,4)&amp;"Q"&amp;RIGHT(YEAR(D1483),2)</f>
        <v>4Q21</v>
      </c>
      <c r="D1483" s="81">
        <f t="shared" si="466"/>
        <v>44561</v>
      </c>
      <c r="E1483" s="82">
        <f t="shared" si="463"/>
        <v>44545</v>
      </c>
      <c r="F1483" s="83">
        <f t="shared" si="475"/>
        <v>0.416625</v>
      </c>
      <c r="G1483" s="83">
        <f t="shared" si="475"/>
        <v>0.46375</v>
      </c>
      <c r="H1483" s="81"/>
      <c r="I1483" s="146">
        <v>44545</v>
      </c>
      <c r="J1483" s="147">
        <v>3.65</v>
      </c>
      <c r="K1483" s="147">
        <v>3.25</v>
      </c>
      <c r="L1483" s="147">
        <v>3.333</v>
      </c>
      <c r="M1483" s="59" cm="1">
        <f t="array" ref="M1483">INDEX($BV$29:$BV$1449,MATCH($D1483,$BR$29:$BR$1449,0),)</f>
        <v>3.71</v>
      </c>
      <c r="N1483" s="150">
        <f t="shared" si="472"/>
        <v>0.016158536585366</v>
      </c>
      <c r="O1483" s="150">
        <f t="shared" ref="O1483:O1486" si="476">L1483/L1478-1</f>
        <v>0.0124544349939248</v>
      </c>
      <c r="P1483" s="150">
        <f t="shared" si="474"/>
        <v>0.0139945238819592</v>
      </c>
      <c r="Q1483" s="89">
        <f t="shared" si="465"/>
        <v>-0.101617250673854</v>
      </c>
      <c r="AR1483" s="36"/>
      <c r="AT1483" s="36"/>
      <c r="AU1483" s="36"/>
      <c r="AV1483" s="36"/>
      <c r="AW1483" s="36"/>
      <c r="AX1483" s="36"/>
      <c r="AY1483" s="36"/>
      <c r="AZ1483" s="36"/>
      <c r="BA1483" s="36"/>
      <c r="BB1483" s="36"/>
      <c r="BC1483" s="36"/>
      <c r="BD1483" s="36"/>
      <c r="BE1483" s="36"/>
      <c r="BF1483" s="36"/>
      <c r="BG1483" s="36"/>
      <c r="BH1483" s="36"/>
      <c r="BI1483" s="36"/>
      <c r="BJ1483" s="36"/>
      <c r="BK1483" s="36"/>
      <c r="BL1483" s="36"/>
      <c r="BM1483" s="36"/>
      <c r="BN1483" s="36"/>
      <c r="BO1483" s="36"/>
      <c r="GE1483" s="94"/>
      <c r="GF1483" s="104">
        <f t="shared" si="468"/>
        <v>2018</v>
      </c>
      <c r="GG1483" s="104">
        <f t="shared" si="469"/>
        <v>44</v>
      </c>
      <c r="GH1483" s="35">
        <v>43402</v>
      </c>
      <c r="GI1483" s="26">
        <v>2.909</v>
      </c>
      <c r="GJ1483" s="94">
        <f t="shared" si="470"/>
        <v>5.818</v>
      </c>
      <c r="GK1483" s="104"/>
      <c r="GL1483" s="104"/>
      <c r="GO1483" s="94"/>
    </row>
    <row r="1484" spans="3:197">
      <c r="C1484" s="80" t="str" cm="1">
        <f t="array" ref="C1484">_xlfn.IFS(MONTH(D1484)&lt;4,1,MONTH(D1484)&lt;7,2,MONTH(D1484)&lt;10,3,MONTH(D1484)&gt;9,4)&amp;"Q"&amp;RIGHT(YEAR(D1484),2)</f>
        <v>4Q21</v>
      </c>
      <c r="D1484" s="81">
        <f t="shared" si="466"/>
        <v>44561</v>
      </c>
      <c r="E1484" s="82">
        <f t="shared" si="463"/>
        <v>44546</v>
      </c>
      <c r="F1484" s="83">
        <f t="shared" si="475"/>
        <v>0.4185</v>
      </c>
      <c r="G1484" s="83">
        <f t="shared" si="475"/>
        <v>0.46375</v>
      </c>
      <c r="H1484" s="81"/>
      <c r="I1484" s="146">
        <v>44546</v>
      </c>
      <c r="J1484" s="147">
        <v>3.66</v>
      </c>
      <c r="K1484" s="147">
        <v>3.3</v>
      </c>
      <c r="L1484" s="147">
        <v>3.348</v>
      </c>
      <c r="M1484" s="59" cm="1">
        <f t="array" ref="M1484">INDEX($BV$29:$BV$1449,MATCH($D1484,$BR$29:$BR$1449,0),)</f>
        <v>3.71</v>
      </c>
      <c r="N1484" s="150">
        <f t="shared" si="472"/>
        <v>0.00450045004500432</v>
      </c>
      <c r="O1484" s="150">
        <f t="shared" si="476"/>
        <v>0.0201096892138939</v>
      </c>
      <c r="P1484" s="150">
        <f t="shared" si="474"/>
        <v>0.0142381096637381</v>
      </c>
      <c r="Q1484" s="89">
        <f t="shared" si="465"/>
        <v>-0.0975741239892184</v>
      </c>
      <c r="AR1484" s="36"/>
      <c r="AT1484" s="36"/>
      <c r="AU1484" s="36"/>
      <c r="AV1484" s="36"/>
      <c r="AW1484" s="36"/>
      <c r="AX1484" s="36"/>
      <c r="AY1484" s="36"/>
      <c r="AZ1484" s="36"/>
      <c r="BA1484" s="36"/>
      <c r="BB1484" s="36"/>
      <c r="BC1484" s="36"/>
      <c r="BD1484" s="36"/>
      <c r="BE1484" s="36"/>
      <c r="BF1484" s="36"/>
      <c r="BG1484" s="36"/>
      <c r="BH1484" s="36"/>
      <c r="BI1484" s="36"/>
      <c r="BJ1484" s="36"/>
      <c r="BK1484" s="36"/>
      <c r="BL1484" s="36"/>
      <c r="BM1484" s="36"/>
      <c r="BN1484" s="36"/>
      <c r="BO1484" s="36"/>
      <c r="GE1484" s="94"/>
      <c r="GF1484" s="104">
        <f t="shared" si="468"/>
        <v>2018</v>
      </c>
      <c r="GG1484" s="104">
        <f t="shared" si="469"/>
        <v>44</v>
      </c>
      <c r="GH1484" s="35">
        <v>43403</v>
      </c>
      <c r="GI1484" s="26">
        <v>2.888</v>
      </c>
      <c r="GJ1484" s="94">
        <f t="shared" si="470"/>
        <v>5.776</v>
      </c>
      <c r="GK1484" s="104"/>
      <c r="GL1484" s="104"/>
      <c r="GO1484" s="94"/>
    </row>
    <row r="1485" spans="3:197">
      <c r="C1485" s="80" t="str" cm="1">
        <f t="array" ref="C1485">_xlfn.IFS(MONTH(D1485)&lt;4,1,MONTH(D1485)&lt;7,2,MONTH(D1485)&lt;10,3,MONTH(D1485)&gt;9,4)&amp;"Q"&amp;RIGHT(YEAR(D1485),2)</f>
        <v>4Q21</v>
      </c>
      <c r="D1485" s="81">
        <f t="shared" si="466"/>
        <v>44561</v>
      </c>
      <c r="E1485" s="82">
        <f t="shared" si="463"/>
        <v>44547</v>
      </c>
      <c r="F1485" s="83">
        <f t="shared" si="475"/>
        <v>0.424625</v>
      </c>
      <c r="G1485" s="83">
        <f t="shared" si="475"/>
        <v>0.46375</v>
      </c>
      <c r="H1485" s="81"/>
      <c r="I1485" s="146">
        <v>44547</v>
      </c>
      <c r="J1485" s="147">
        <v>3.66</v>
      </c>
      <c r="K1485" s="147">
        <v>3.35</v>
      </c>
      <c r="L1485" s="147">
        <v>3.397</v>
      </c>
      <c r="M1485" s="59" cm="1">
        <f t="array" ref="M1485">INDEX($BV$29:$BV$1449,MATCH($D1485,$BR$29:$BR$1449,0),)</f>
        <v>3.71</v>
      </c>
      <c r="N1485" s="150">
        <f t="shared" si="472"/>
        <v>0.0146356033452808</v>
      </c>
      <c r="O1485" s="150">
        <f t="shared" si="476"/>
        <v>0.035670731707317</v>
      </c>
      <c r="P1485" s="150">
        <f t="shared" si="474"/>
        <v>0.0213469633193024</v>
      </c>
      <c r="Q1485" s="89">
        <f t="shared" si="465"/>
        <v>-0.0843665768194071</v>
      </c>
      <c r="AR1485" s="36"/>
      <c r="AT1485" s="36"/>
      <c r="AU1485" s="36"/>
      <c r="AV1485" s="36"/>
      <c r="AW1485" s="36"/>
      <c r="AX1485" s="36"/>
      <c r="AY1485" s="36"/>
      <c r="AZ1485" s="36"/>
      <c r="BA1485" s="36"/>
      <c r="BB1485" s="36"/>
      <c r="BC1485" s="36"/>
      <c r="BD1485" s="36"/>
      <c r="BE1485" s="36"/>
      <c r="BF1485" s="36"/>
      <c r="BG1485" s="36"/>
      <c r="BH1485" s="36"/>
      <c r="BI1485" s="36"/>
      <c r="BJ1485" s="36"/>
      <c r="BK1485" s="36"/>
      <c r="BL1485" s="36"/>
      <c r="BM1485" s="36"/>
      <c r="BN1485" s="36"/>
      <c r="BO1485" s="36"/>
      <c r="GE1485" s="94"/>
      <c r="GF1485" s="104">
        <f t="shared" si="468"/>
        <v>2018</v>
      </c>
      <c r="GG1485" s="104">
        <f t="shared" si="469"/>
        <v>44</v>
      </c>
      <c r="GH1485" s="35">
        <v>43404</v>
      </c>
      <c r="GI1485" s="26">
        <v>2.884</v>
      </c>
      <c r="GJ1485" s="94">
        <f t="shared" si="470"/>
        <v>5.768</v>
      </c>
      <c r="GK1485" s="104"/>
      <c r="GL1485" s="104"/>
      <c r="GO1485" s="94"/>
    </row>
    <row r="1486" spans="3:197">
      <c r="C1486" s="80" t="str" cm="1">
        <f t="array" ref="C1486">_xlfn.IFS(MONTH(D1486)&lt;4,1,MONTH(D1486)&lt;7,2,MONTH(D1486)&lt;10,3,MONTH(D1486)&gt;9,4)&amp;"Q"&amp;RIGHT(YEAR(D1486),2)</f>
        <v>4Q21</v>
      </c>
      <c r="D1486" s="81">
        <f t="shared" si="466"/>
        <v>44561</v>
      </c>
      <c r="E1486" s="82">
        <f t="shared" si="463"/>
        <v>44550</v>
      </c>
      <c r="F1486" s="83">
        <f t="shared" si="475"/>
        <v>0.433875</v>
      </c>
      <c r="G1486" s="83">
        <f t="shared" si="475"/>
        <v>0.46375</v>
      </c>
      <c r="H1486" s="81"/>
      <c r="I1486" s="146">
        <v>44550</v>
      </c>
      <c r="J1486" s="147">
        <v>3.67</v>
      </c>
      <c r="K1486" s="147">
        <v>3.4</v>
      </c>
      <c r="L1486" s="147">
        <v>3.471</v>
      </c>
      <c r="M1486" s="59" cm="1">
        <f t="array" ref="M1486">INDEX($BV$29:$BV$1449,MATCH($D1486,$BR$29:$BR$1449,0),)</f>
        <v>3.71</v>
      </c>
      <c r="N1486" s="150">
        <f t="shared" si="472"/>
        <v>0.0217839269944069</v>
      </c>
      <c r="O1486" s="150">
        <f t="shared" si="476"/>
        <v>0.0582317073170733</v>
      </c>
      <c r="P1486" s="150">
        <f t="shared" si="474"/>
        <v>0.0435959110042092</v>
      </c>
      <c r="Q1486" s="89">
        <f t="shared" si="465"/>
        <v>-0.0644204851752022</v>
      </c>
      <c r="AR1486" s="36"/>
      <c r="AT1486" s="36"/>
      <c r="AU1486" s="36"/>
      <c r="AV1486" s="36"/>
      <c r="AW1486" s="36"/>
      <c r="AX1486" s="36"/>
      <c r="AY1486" s="36"/>
      <c r="AZ1486" s="36"/>
      <c r="BA1486" s="36"/>
      <c r="BB1486" s="36"/>
      <c r="BC1486" s="36"/>
      <c r="BD1486" s="36"/>
      <c r="BE1486" s="36"/>
      <c r="BF1486" s="36"/>
      <c r="BG1486" s="36"/>
      <c r="BH1486" s="36"/>
      <c r="BI1486" s="36"/>
      <c r="BJ1486" s="36"/>
      <c r="BK1486" s="36"/>
      <c r="BL1486" s="36"/>
      <c r="BM1486" s="36"/>
      <c r="BN1486" s="36"/>
      <c r="BO1486" s="36"/>
      <c r="GE1486" s="94"/>
      <c r="GF1486" s="104">
        <f t="shared" si="468"/>
        <v>2018</v>
      </c>
      <c r="GG1486" s="104">
        <f t="shared" si="469"/>
        <v>44</v>
      </c>
      <c r="GH1486" s="35">
        <v>43405</v>
      </c>
      <c r="GI1486" s="26">
        <v>2.884</v>
      </c>
      <c r="GJ1486" s="94">
        <f t="shared" si="470"/>
        <v>5.768</v>
      </c>
      <c r="GK1486" s="104"/>
      <c r="GL1486" s="104"/>
      <c r="GO1486" s="94"/>
    </row>
    <row r="1487" spans="3:197">
      <c r="C1487" s="80" t="str" cm="1">
        <f t="array" ref="C1487">_xlfn.IFS(MONTH(D1487)&lt;4,1,MONTH(D1487)&lt;7,2,MONTH(D1487)&lt;10,3,MONTH(D1487)&gt;9,4)&amp;"Q"&amp;RIGHT(YEAR(D1487),2)</f>
        <v>4Q21</v>
      </c>
      <c r="D1487" s="81">
        <f t="shared" si="466"/>
        <v>44561</v>
      </c>
      <c r="E1487" s="82">
        <f t="shared" si="463"/>
        <v>44551</v>
      </c>
      <c r="F1487" s="83">
        <f t="shared" si="475"/>
        <v>0.438625</v>
      </c>
      <c r="G1487" s="83">
        <f t="shared" si="475"/>
        <v>0.46375</v>
      </c>
      <c r="H1487" s="81"/>
      <c r="I1487" s="146">
        <v>44551</v>
      </c>
      <c r="J1487" s="147">
        <v>3.72</v>
      </c>
      <c r="K1487" s="147">
        <v>3.42</v>
      </c>
      <c r="L1487" s="147">
        <v>3.509</v>
      </c>
      <c r="M1487" s="59" cm="1">
        <f t="array" ref="M1487">INDEX($BV$29:$BV$1449,MATCH($D1487,$BR$29:$BR$1449,0),)</f>
        <v>3.71</v>
      </c>
      <c r="N1487" s="150">
        <f t="shared" si="472"/>
        <v>0.0109478536444827</v>
      </c>
      <c r="O1487" s="150">
        <f t="shared" ref="O1487:O1515" si="477">L1487/L1482-1</f>
        <v>0.0698170731707317</v>
      </c>
      <c r="P1487" s="150">
        <f t="shared" ref="P1487:P1550" si="478">L1487/L1477-1</f>
        <v>0.0617246596066565</v>
      </c>
      <c r="Q1487" s="89">
        <f t="shared" si="465"/>
        <v>-0.0541778975741241</v>
      </c>
      <c r="AR1487" s="36"/>
      <c r="AT1487" s="36"/>
      <c r="AU1487" s="36"/>
      <c r="AV1487" s="36"/>
      <c r="AW1487" s="36"/>
      <c r="AX1487" s="36"/>
      <c r="AY1487" s="36"/>
      <c r="AZ1487" s="36"/>
      <c r="BA1487" s="36"/>
      <c r="BB1487" s="36"/>
      <c r="BC1487" s="36"/>
      <c r="BD1487" s="36"/>
      <c r="BE1487" s="36"/>
      <c r="BF1487" s="36"/>
      <c r="BG1487" s="36"/>
      <c r="BH1487" s="36"/>
      <c r="BI1487" s="36"/>
      <c r="BJ1487" s="36"/>
      <c r="BK1487" s="36"/>
      <c r="BL1487" s="36"/>
      <c r="BM1487" s="36"/>
      <c r="BN1487" s="36"/>
      <c r="BO1487" s="36"/>
      <c r="GE1487" s="94"/>
      <c r="GF1487" s="104">
        <f t="shared" si="468"/>
        <v>2018</v>
      </c>
      <c r="GG1487" s="104">
        <f t="shared" si="469"/>
        <v>44</v>
      </c>
      <c r="GH1487" s="35">
        <v>43406</v>
      </c>
      <c r="GI1487" s="26">
        <v>2.884</v>
      </c>
      <c r="GJ1487" s="94">
        <f t="shared" si="470"/>
        <v>5.768</v>
      </c>
      <c r="GK1487" s="104"/>
      <c r="GL1487" s="104"/>
      <c r="GO1487" s="94"/>
    </row>
    <row r="1488" spans="3:197">
      <c r="C1488" s="80" t="str" cm="1">
        <f t="array" ref="C1488">_xlfn.IFS(MONTH(D1488)&lt;4,1,MONTH(D1488)&lt;7,2,MONTH(D1488)&lt;10,3,MONTH(D1488)&gt;9,4)&amp;"Q"&amp;RIGHT(YEAR(D1488),2)</f>
        <v>4Q21</v>
      </c>
      <c r="D1488" s="81">
        <f t="shared" si="466"/>
        <v>44561</v>
      </c>
      <c r="E1488" s="82">
        <f t="shared" si="463"/>
        <v>44552</v>
      </c>
      <c r="F1488" s="83">
        <f t="shared" si="475"/>
        <v>0.4425</v>
      </c>
      <c r="G1488" s="83">
        <f t="shared" si="475"/>
        <v>0.46375</v>
      </c>
      <c r="H1488" s="81"/>
      <c r="I1488" s="146">
        <v>44552</v>
      </c>
      <c r="J1488" s="147">
        <v>3.8</v>
      </c>
      <c r="K1488" s="147">
        <v>3.45</v>
      </c>
      <c r="L1488" s="147">
        <v>3.54</v>
      </c>
      <c r="M1488" s="59" cm="1">
        <f t="array" ref="M1488">INDEX($BV$29:$BV$1449,MATCH($D1488,$BR$29:$BR$1449,0),)</f>
        <v>3.71</v>
      </c>
      <c r="N1488" s="150">
        <f t="shared" si="472"/>
        <v>0.0088344257623254</v>
      </c>
      <c r="O1488" s="150">
        <f t="shared" si="477"/>
        <v>0.0621062106210621</v>
      </c>
      <c r="P1488" s="150">
        <f t="shared" si="478"/>
        <v>0.0753341433778858</v>
      </c>
      <c r="Q1488" s="89">
        <f t="shared" si="465"/>
        <v>-0.045822102425876</v>
      </c>
      <c r="AR1488" s="36"/>
      <c r="AT1488" s="36"/>
      <c r="AU1488" s="36"/>
      <c r="AV1488" s="36"/>
      <c r="AW1488" s="36"/>
      <c r="AX1488" s="36"/>
      <c r="AY1488" s="36"/>
      <c r="AZ1488" s="36"/>
      <c r="BA1488" s="36"/>
      <c r="BB1488" s="36"/>
      <c r="BC1488" s="36"/>
      <c r="BD1488" s="36"/>
      <c r="BE1488" s="36"/>
      <c r="BF1488" s="36"/>
      <c r="BG1488" s="36"/>
      <c r="BH1488" s="36"/>
      <c r="BI1488" s="36"/>
      <c r="BJ1488" s="36"/>
      <c r="BK1488" s="36"/>
      <c r="BL1488" s="36"/>
      <c r="BM1488" s="36"/>
      <c r="BN1488" s="36"/>
      <c r="BO1488" s="36"/>
      <c r="GE1488" s="94"/>
      <c r="GF1488" s="104">
        <f t="shared" si="468"/>
        <v>2018</v>
      </c>
      <c r="GG1488" s="104">
        <f t="shared" si="469"/>
        <v>45</v>
      </c>
      <c r="GH1488" s="35">
        <v>43409</v>
      </c>
      <c r="GI1488" s="26">
        <v>2.876</v>
      </c>
      <c r="GJ1488" s="94">
        <f t="shared" si="470"/>
        <v>5.752</v>
      </c>
      <c r="GK1488" s="104"/>
      <c r="GL1488" s="104"/>
      <c r="GO1488" s="94"/>
    </row>
    <row r="1489" spans="3:197">
      <c r="C1489" s="80" t="str" cm="1">
        <f t="array" ref="C1489">_xlfn.IFS(MONTH(D1489)&lt;4,1,MONTH(D1489)&lt;7,2,MONTH(D1489)&lt;10,3,MONTH(D1489)&gt;9,4)&amp;"Q"&amp;RIGHT(YEAR(D1489),2)</f>
        <v>4Q21</v>
      </c>
      <c r="D1489" s="81">
        <f t="shared" si="466"/>
        <v>44561</v>
      </c>
      <c r="E1489" s="82">
        <f t="shared" ref="E1489:E1552" si="479">I1489</f>
        <v>44553</v>
      </c>
      <c r="F1489" s="83">
        <f t="shared" si="475"/>
        <v>0.44425</v>
      </c>
      <c r="G1489" s="83">
        <f t="shared" si="475"/>
        <v>0.46375</v>
      </c>
      <c r="H1489" s="81"/>
      <c r="I1489" s="146">
        <v>44553</v>
      </c>
      <c r="J1489" s="147">
        <v>3.8</v>
      </c>
      <c r="K1489" s="147">
        <v>3.43</v>
      </c>
      <c r="L1489" s="147">
        <v>3.554</v>
      </c>
      <c r="M1489" s="59" cm="1">
        <f t="array" ref="M1489">INDEX($BV$29:$BV$1449,MATCH($D1489,$BR$29:$BR$1449,0),)</f>
        <v>3.71</v>
      </c>
      <c r="N1489" s="150">
        <f t="shared" si="472"/>
        <v>0.00395480225988698</v>
      </c>
      <c r="O1489" s="150">
        <f t="shared" si="477"/>
        <v>0.0615292712066906</v>
      </c>
      <c r="P1489" s="150">
        <f t="shared" si="478"/>
        <v>0.0828762949421085</v>
      </c>
      <c r="Q1489" s="89">
        <f t="shared" ref="Q1489:Q1552" si="480">L1489/M1489-1</f>
        <v>-0.0420485175202157</v>
      </c>
      <c r="AR1489" s="36"/>
      <c r="AT1489" s="36"/>
      <c r="AU1489" s="36"/>
      <c r="AV1489" s="36"/>
      <c r="AW1489" s="36"/>
      <c r="AX1489" s="36"/>
      <c r="AY1489" s="36"/>
      <c r="AZ1489" s="36"/>
      <c r="BA1489" s="36"/>
      <c r="BB1489" s="36"/>
      <c r="BC1489" s="36"/>
      <c r="BD1489" s="36"/>
      <c r="BE1489" s="36"/>
      <c r="BF1489" s="36"/>
      <c r="BG1489" s="36"/>
      <c r="BH1489" s="36"/>
      <c r="BI1489" s="36"/>
      <c r="BJ1489" s="36"/>
      <c r="BK1489" s="36"/>
      <c r="BL1489" s="36"/>
      <c r="BM1489" s="36"/>
      <c r="BN1489" s="36"/>
      <c r="BO1489" s="36"/>
      <c r="GE1489" s="94"/>
      <c r="GF1489" s="104">
        <f t="shared" si="468"/>
        <v>2018</v>
      </c>
      <c r="GG1489" s="104">
        <f t="shared" si="469"/>
        <v>45</v>
      </c>
      <c r="GH1489" s="35">
        <v>43410</v>
      </c>
      <c r="GI1489" s="26">
        <v>2.853</v>
      </c>
      <c r="GJ1489" s="94">
        <f t="shared" si="470"/>
        <v>5.706</v>
      </c>
      <c r="GK1489" s="104"/>
      <c r="GL1489" s="104"/>
      <c r="GO1489" s="94"/>
    </row>
    <row r="1490" spans="3:197">
      <c r="C1490" s="80" t="str" cm="1">
        <f t="array" ref="C1490">_xlfn.IFS(MONTH(D1490)&lt;4,1,MONTH(D1490)&lt;7,2,MONTH(D1490)&lt;10,3,MONTH(D1490)&gt;9,4)&amp;"Q"&amp;RIGHT(YEAR(D1490),2)</f>
        <v>4Q21</v>
      </c>
      <c r="D1490" s="81">
        <f t="shared" si="466"/>
        <v>44561</v>
      </c>
      <c r="E1490" s="82">
        <f t="shared" si="479"/>
        <v>44554</v>
      </c>
      <c r="F1490" s="83">
        <f t="shared" si="475"/>
        <v>0.448</v>
      </c>
      <c r="G1490" s="83">
        <f t="shared" si="475"/>
        <v>0.46375</v>
      </c>
      <c r="H1490" s="81"/>
      <c r="I1490" s="146">
        <v>44554</v>
      </c>
      <c r="J1490" s="147">
        <v>3.85</v>
      </c>
      <c r="K1490" s="147">
        <v>3.45</v>
      </c>
      <c r="L1490" s="147">
        <v>3.584</v>
      </c>
      <c r="M1490" s="59" cm="1">
        <f t="array" ref="M1490">INDEX($BV$29:$BV$1449,MATCH($D1490,$BR$29:$BR$1449,0),)</f>
        <v>3.71</v>
      </c>
      <c r="N1490" s="150">
        <f t="shared" si="472"/>
        <v>0.00844119302194724</v>
      </c>
      <c r="O1490" s="150">
        <f t="shared" si="477"/>
        <v>0.0550485722696499</v>
      </c>
      <c r="P1490" s="150">
        <f t="shared" si="478"/>
        <v>0.0926829268292684</v>
      </c>
      <c r="Q1490" s="89">
        <f t="shared" si="480"/>
        <v>-0.0339622641509434</v>
      </c>
      <c r="AR1490" s="36"/>
      <c r="AT1490" s="36"/>
      <c r="AU1490" s="36"/>
      <c r="AV1490" s="36"/>
      <c r="AW1490" s="36"/>
      <c r="AX1490" s="36"/>
      <c r="AY1490" s="36"/>
      <c r="AZ1490" s="36"/>
      <c r="BA1490" s="36"/>
      <c r="BB1490" s="36"/>
      <c r="BC1490" s="36"/>
      <c r="BD1490" s="36"/>
      <c r="BE1490" s="36"/>
      <c r="BF1490" s="36"/>
      <c r="BG1490" s="36"/>
      <c r="BH1490" s="36"/>
      <c r="BI1490" s="36"/>
      <c r="BJ1490" s="36"/>
      <c r="BK1490" s="36"/>
      <c r="BL1490" s="36"/>
      <c r="BM1490" s="36"/>
      <c r="BN1490" s="36"/>
      <c r="BO1490" s="36"/>
      <c r="GE1490" s="94"/>
      <c r="GF1490" s="104">
        <f t="shared" si="468"/>
        <v>2018</v>
      </c>
      <c r="GG1490" s="104">
        <f t="shared" si="469"/>
        <v>45</v>
      </c>
      <c r="GH1490" s="35">
        <v>43411</v>
      </c>
      <c r="GI1490" s="26">
        <v>2.846</v>
      </c>
      <c r="GJ1490" s="94">
        <f t="shared" si="470"/>
        <v>5.692</v>
      </c>
      <c r="GK1490" s="104"/>
      <c r="GL1490" s="104"/>
      <c r="GO1490" s="94"/>
    </row>
    <row r="1491" spans="3:197">
      <c r="C1491" s="80" t="str" cm="1">
        <f t="array" ref="C1491">_xlfn.IFS(MONTH(D1491)&lt;4,1,MONTH(D1491)&lt;7,2,MONTH(D1491)&lt;10,3,MONTH(D1491)&gt;9,4)&amp;"Q"&amp;RIGHT(YEAR(D1491),2)</f>
        <v>4Q21</v>
      </c>
      <c r="D1491" s="81">
        <f t="shared" si="466"/>
        <v>44561</v>
      </c>
      <c r="E1491" s="82">
        <f t="shared" si="479"/>
        <v>44557</v>
      </c>
      <c r="F1491" s="83">
        <f t="shared" si="475"/>
        <v>0.44925</v>
      </c>
      <c r="G1491" s="83">
        <f t="shared" si="475"/>
        <v>0.46375</v>
      </c>
      <c r="H1491" s="81"/>
      <c r="I1491" s="146">
        <v>44557</v>
      </c>
      <c r="J1491" s="147">
        <v>3.88</v>
      </c>
      <c r="K1491" s="147">
        <v>3.46</v>
      </c>
      <c r="L1491" s="147">
        <v>3.594</v>
      </c>
      <c r="M1491" s="59" cm="1">
        <f t="array" ref="M1491">INDEX($BV$29:$BV$1449,MATCH($D1491,$BR$29:$BR$1449,0),)</f>
        <v>3.71</v>
      </c>
      <c r="N1491" s="150">
        <f t="shared" si="472"/>
        <v>0.0027901785714286</v>
      </c>
      <c r="O1491" s="150">
        <f t="shared" si="477"/>
        <v>0.0354364736387207</v>
      </c>
      <c r="P1491" s="150">
        <f t="shared" si="478"/>
        <v>0.0957317073170731</v>
      </c>
      <c r="Q1491" s="89">
        <f t="shared" si="480"/>
        <v>-0.031266846361186</v>
      </c>
      <c r="AR1491" s="36"/>
      <c r="AT1491" s="36"/>
      <c r="AU1491" s="36"/>
      <c r="AV1491" s="36"/>
      <c r="AW1491" s="36"/>
      <c r="AX1491" s="36"/>
      <c r="AY1491" s="36"/>
      <c r="AZ1491" s="36"/>
      <c r="BA1491" s="36"/>
      <c r="BB1491" s="36"/>
      <c r="BC1491" s="36"/>
      <c r="BD1491" s="36"/>
      <c r="BE1491" s="36"/>
      <c r="BF1491" s="36"/>
      <c r="BG1491" s="36"/>
      <c r="BH1491" s="36"/>
      <c r="BI1491" s="36"/>
      <c r="BJ1491" s="36"/>
      <c r="BK1491" s="36"/>
      <c r="BL1491" s="36"/>
      <c r="BM1491" s="36"/>
      <c r="BN1491" s="36"/>
      <c r="BO1491" s="36"/>
      <c r="GE1491" s="94"/>
      <c r="GF1491" s="104">
        <f t="shared" si="468"/>
        <v>2018</v>
      </c>
      <c r="GG1491" s="104">
        <f t="shared" si="469"/>
        <v>45</v>
      </c>
      <c r="GH1491" s="35">
        <v>43412</v>
      </c>
      <c r="GI1491" s="26">
        <v>2.846</v>
      </c>
      <c r="GJ1491" s="94">
        <f t="shared" si="470"/>
        <v>5.692</v>
      </c>
      <c r="GK1491" s="104"/>
      <c r="GL1491" s="104"/>
      <c r="GO1491" s="94"/>
    </row>
    <row r="1492" spans="3:197">
      <c r="C1492" s="80" t="str" cm="1">
        <f t="array" ref="C1492">_xlfn.IFS(MONTH(D1492)&lt;4,1,MONTH(D1492)&lt;7,2,MONTH(D1492)&lt;10,3,MONTH(D1492)&gt;9,4)&amp;"Q"&amp;RIGHT(YEAR(D1492),2)</f>
        <v>4Q21</v>
      </c>
      <c r="D1492" s="81">
        <f t="shared" si="466"/>
        <v>44561</v>
      </c>
      <c r="E1492" s="82">
        <f t="shared" si="479"/>
        <v>44558</v>
      </c>
      <c r="F1492" s="83">
        <f t="shared" si="475"/>
        <v>0.45175</v>
      </c>
      <c r="G1492" s="83">
        <f t="shared" si="475"/>
        <v>0.46375</v>
      </c>
      <c r="H1492" s="81"/>
      <c r="I1492" s="146">
        <v>44558</v>
      </c>
      <c r="J1492" s="147">
        <v>3.88</v>
      </c>
      <c r="K1492" s="147">
        <v>3.48</v>
      </c>
      <c r="L1492" s="147">
        <v>3.614</v>
      </c>
      <c r="M1492" s="59" cm="1">
        <f t="array" ref="M1492">INDEX($BV$29:$BV$1449,MATCH($D1492,$BR$29:$BR$1449,0),)</f>
        <v>3.71</v>
      </c>
      <c r="N1492" s="150">
        <f t="shared" si="472"/>
        <v>0.00556483027267674</v>
      </c>
      <c r="O1492" s="150">
        <f t="shared" si="477"/>
        <v>0.0299230550014249</v>
      </c>
      <c r="P1492" s="150">
        <f t="shared" si="478"/>
        <v>0.101829268292683</v>
      </c>
      <c r="Q1492" s="89">
        <f t="shared" si="480"/>
        <v>-0.0258760107816712</v>
      </c>
      <c r="AR1492" s="36"/>
      <c r="AT1492" s="36"/>
      <c r="AU1492" s="36"/>
      <c r="AV1492" s="36"/>
      <c r="AW1492" s="36"/>
      <c r="AX1492" s="36"/>
      <c r="AY1492" s="36"/>
      <c r="AZ1492" s="36"/>
      <c r="BA1492" s="36"/>
      <c r="BB1492" s="36"/>
      <c r="BC1492" s="36"/>
      <c r="BD1492" s="36"/>
      <c r="BE1492" s="36"/>
      <c r="BF1492" s="36"/>
      <c r="BG1492" s="36"/>
      <c r="BH1492" s="36"/>
      <c r="BI1492" s="36"/>
      <c r="BJ1492" s="36"/>
      <c r="BK1492" s="36"/>
      <c r="BL1492" s="36"/>
      <c r="BM1492" s="36"/>
      <c r="BN1492" s="36"/>
      <c r="BO1492" s="36"/>
      <c r="GE1492" s="94"/>
      <c r="GF1492" s="104">
        <f t="shared" si="468"/>
        <v>2018</v>
      </c>
      <c r="GG1492" s="104">
        <f t="shared" si="469"/>
        <v>45</v>
      </c>
      <c r="GH1492" s="35">
        <v>43413</v>
      </c>
      <c r="GI1492" s="26">
        <v>2.846</v>
      </c>
      <c r="GJ1492" s="94">
        <f t="shared" si="470"/>
        <v>5.692</v>
      </c>
      <c r="GK1492" s="104"/>
      <c r="GL1492" s="104"/>
      <c r="GO1492" s="94"/>
    </row>
    <row r="1493" spans="3:197">
      <c r="C1493" s="80" t="str" cm="1">
        <f t="array" ref="C1493">_xlfn.IFS(MONTH(D1493)&lt;4,1,MONTH(D1493)&lt;7,2,MONTH(D1493)&lt;10,3,MONTH(D1493)&gt;9,4)&amp;"Q"&amp;RIGHT(YEAR(D1493),2)</f>
        <v>4Q21</v>
      </c>
      <c r="D1493" s="81">
        <f t="shared" si="466"/>
        <v>44561</v>
      </c>
      <c r="E1493" s="82">
        <f t="shared" si="479"/>
        <v>44559</v>
      </c>
      <c r="F1493" s="83">
        <f t="shared" si="475"/>
        <v>0.457375</v>
      </c>
      <c r="G1493" s="83">
        <f t="shared" si="475"/>
        <v>0.46375</v>
      </c>
      <c r="H1493" s="81"/>
      <c r="I1493" s="146">
        <v>44559</v>
      </c>
      <c r="J1493" s="147">
        <v>3.95</v>
      </c>
      <c r="K1493" s="147">
        <v>3.5</v>
      </c>
      <c r="L1493" s="147">
        <v>3.659</v>
      </c>
      <c r="M1493" s="59" cm="1">
        <f t="array" ref="M1493">INDEX($BV$29:$BV$1449,MATCH($D1493,$BR$29:$BR$1449,0),)</f>
        <v>3.71</v>
      </c>
      <c r="N1493" s="150">
        <f t="shared" si="472"/>
        <v>0.0124515771997786</v>
      </c>
      <c r="O1493" s="150">
        <f t="shared" si="477"/>
        <v>0.0336158192090394</v>
      </c>
      <c r="P1493" s="150">
        <f t="shared" si="478"/>
        <v>0.0978097809780978</v>
      </c>
      <c r="Q1493" s="89">
        <f t="shared" si="480"/>
        <v>-0.0137466307277628</v>
      </c>
      <c r="AR1493" s="36"/>
      <c r="AT1493" s="36"/>
      <c r="AU1493" s="36"/>
      <c r="AV1493" s="36"/>
      <c r="AW1493" s="36"/>
      <c r="AX1493" s="36"/>
      <c r="AY1493" s="36"/>
      <c r="AZ1493" s="36"/>
      <c r="BA1493" s="36"/>
      <c r="BB1493" s="36"/>
      <c r="BC1493" s="36"/>
      <c r="BD1493" s="36"/>
      <c r="BE1493" s="36"/>
      <c r="BF1493" s="36"/>
      <c r="BG1493" s="36"/>
      <c r="BH1493" s="36"/>
      <c r="BI1493" s="36"/>
      <c r="BJ1493" s="36"/>
      <c r="BK1493" s="36"/>
      <c r="BL1493" s="36"/>
      <c r="BM1493" s="36"/>
      <c r="BN1493" s="36"/>
      <c r="BO1493" s="36"/>
      <c r="GE1493" s="94"/>
      <c r="GF1493" s="104">
        <f t="shared" si="468"/>
        <v>2018</v>
      </c>
      <c r="GG1493" s="104">
        <f t="shared" si="469"/>
        <v>46</v>
      </c>
      <c r="GH1493" s="35">
        <v>43416</v>
      </c>
      <c r="GI1493" s="26">
        <v>2.845</v>
      </c>
      <c r="GJ1493" s="94">
        <f t="shared" si="470"/>
        <v>5.69</v>
      </c>
      <c r="GK1493" s="104"/>
      <c r="GL1493" s="104"/>
      <c r="GO1493" s="94"/>
    </row>
    <row r="1494" spans="3:197">
      <c r="C1494" s="80" t="str" cm="1">
        <f t="array" ref="C1494">_xlfn.IFS(MONTH(D1494)&lt;4,1,MONTH(D1494)&lt;7,2,MONTH(D1494)&lt;10,3,MONTH(D1494)&gt;9,4)&amp;"Q"&amp;RIGHT(YEAR(D1494),2)</f>
        <v>4Q21</v>
      </c>
      <c r="D1494" s="81">
        <f t="shared" si="466"/>
        <v>44561</v>
      </c>
      <c r="E1494" s="82">
        <f t="shared" si="479"/>
        <v>44560</v>
      </c>
      <c r="F1494" s="83">
        <f t="shared" si="475"/>
        <v>0.456</v>
      </c>
      <c r="G1494" s="83">
        <f t="shared" si="475"/>
        <v>0.46375</v>
      </c>
      <c r="H1494" s="81"/>
      <c r="I1494" s="146">
        <v>44560</v>
      </c>
      <c r="J1494" s="147">
        <v>3.9</v>
      </c>
      <c r="K1494" s="147">
        <v>3.5</v>
      </c>
      <c r="L1494" s="147">
        <v>3.648</v>
      </c>
      <c r="M1494" s="59" cm="1">
        <f t="array" ref="M1494">INDEX($BV$29:$BV$1449,MATCH($D1494,$BR$29:$BR$1449,0),)</f>
        <v>3.71</v>
      </c>
      <c r="N1494" s="150">
        <f t="shared" si="472"/>
        <v>-0.00300628587045637</v>
      </c>
      <c r="O1494" s="150">
        <f t="shared" si="477"/>
        <v>0.0264490714687677</v>
      </c>
      <c r="P1494" s="150">
        <f t="shared" si="478"/>
        <v>0.0896057347670252</v>
      </c>
      <c r="Q1494" s="89">
        <f t="shared" si="480"/>
        <v>-0.0167115902964959</v>
      </c>
      <c r="AR1494" s="36"/>
      <c r="AT1494" s="36"/>
      <c r="AU1494" s="36"/>
      <c r="AV1494" s="36"/>
      <c r="AW1494" s="36"/>
      <c r="AX1494" s="36"/>
      <c r="AY1494" s="36"/>
      <c r="AZ1494" s="36"/>
      <c r="BA1494" s="36"/>
      <c r="BB1494" s="36"/>
      <c r="BC1494" s="36"/>
      <c r="BD1494" s="36"/>
      <c r="BE1494" s="36"/>
      <c r="BF1494" s="36"/>
      <c r="BG1494" s="36"/>
      <c r="BH1494" s="36"/>
      <c r="BI1494" s="36"/>
      <c r="BJ1494" s="36"/>
      <c r="BK1494" s="36"/>
      <c r="BL1494" s="36"/>
      <c r="BM1494" s="36"/>
      <c r="BN1494" s="36"/>
      <c r="BO1494" s="36"/>
      <c r="GE1494" s="94"/>
      <c r="GF1494" s="104">
        <f t="shared" si="468"/>
        <v>2018</v>
      </c>
      <c r="GG1494" s="104">
        <f t="shared" si="469"/>
        <v>46</v>
      </c>
      <c r="GH1494" s="35">
        <v>43417</v>
      </c>
      <c r="GI1494" s="26">
        <v>2.826</v>
      </c>
      <c r="GJ1494" s="94">
        <f t="shared" si="470"/>
        <v>5.652</v>
      </c>
      <c r="GK1494" s="104"/>
      <c r="GL1494" s="104"/>
      <c r="GO1494" s="94"/>
    </row>
    <row r="1495" spans="3:197">
      <c r="C1495" s="80" t="str" cm="1">
        <f t="array" ref="C1495">_xlfn.IFS(MONTH(D1495)&lt;4,1,MONTH(D1495)&lt;7,2,MONTH(D1495)&lt;10,3,MONTH(D1495)&gt;9,4)&amp;"Q"&amp;RIGHT(YEAR(D1495),2)</f>
        <v>4Q21</v>
      </c>
      <c r="D1495" s="81">
        <f t="shared" si="466"/>
        <v>44561</v>
      </c>
      <c r="E1495" s="82">
        <f t="shared" si="479"/>
        <v>44561</v>
      </c>
      <c r="F1495" s="83">
        <f t="shared" si="475"/>
        <v>0.4545</v>
      </c>
      <c r="G1495" s="83">
        <f t="shared" si="475"/>
        <v>0.46375</v>
      </c>
      <c r="H1495" s="81"/>
      <c r="I1495" s="146">
        <v>44561</v>
      </c>
      <c r="J1495" s="147">
        <v>3.92</v>
      </c>
      <c r="K1495" s="147">
        <v>3.5</v>
      </c>
      <c r="L1495" s="147">
        <v>3.636</v>
      </c>
      <c r="M1495" s="59" cm="1">
        <f t="array" ref="M1495">INDEX($BV$29:$BV$1449,MATCH($D1495,$BR$29:$BR$1449,0),)</f>
        <v>3.71</v>
      </c>
      <c r="N1495" s="150">
        <f t="shared" si="472"/>
        <v>-0.00328947368421051</v>
      </c>
      <c r="O1495" s="150">
        <f t="shared" si="477"/>
        <v>0.0145089285714286</v>
      </c>
      <c r="P1495" s="150">
        <f t="shared" si="478"/>
        <v>0.0703561966440978</v>
      </c>
      <c r="Q1495" s="89">
        <f t="shared" si="480"/>
        <v>-0.0199460916442048</v>
      </c>
      <c r="AR1495" s="36"/>
      <c r="AT1495" s="36"/>
      <c r="AU1495" s="36"/>
      <c r="AV1495" s="36"/>
      <c r="AW1495" s="36"/>
      <c r="AX1495" s="36"/>
      <c r="AY1495" s="36"/>
      <c r="AZ1495" s="36"/>
      <c r="BA1495" s="36"/>
      <c r="BB1495" s="36"/>
      <c r="BC1495" s="36"/>
      <c r="BD1495" s="36"/>
      <c r="BE1495" s="36"/>
      <c r="BF1495" s="36"/>
      <c r="BG1495" s="36"/>
      <c r="BH1495" s="36"/>
      <c r="BI1495" s="36"/>
      <c r="BJ1495" s="36"/>
      <c r="BK1495" s="36"/>
      <c r="BL1495" s="36"/>
      <c r="BM1495" s="36"/>
      <c r="BN1495" s="36"/>
      <c r="BO1495" s="36"/>
      <c r="GE1495" s="94"/>
      <c r="GF1495" s="104">
        <f t="shared" si="468"/>
        <v>2018</v>
      </c>
      <c r="GG1495" s="104">
        <f t="shared" si="469"/>
        <v>46</v>
      </c>
      <c r="GH1495" s="35">
        <v>43418</v>
      </c>
      <c r="GI1495" s="26">
        <v>2.808</v>
      </c>
      <c r="GJ1495" s="94">
        <f t="shared" si="470"/>
        <v>5.616</v>
      </c>
      <c r="GK1495" s="104"/>
      <c r="GL1495" s="104"/>
      <c r="GO1495" s="94"/>
    </row>
    <row r="1496" spans="3:197">
      <c r="C1496" s="80" t="str" cm="1">
        <f t="array" ref="C1496">_xlfn.IFS(MONTH(D1496)&lt;4,1,MONTH(D1496)&lt;7,2,MONTH(D1496)&lt;10,3,MONTH(D1496)&gt;9,4)&amp;"Q"&amp;RIGHT(YEAR(D1496),2)</f>
        <v>1Q22</v>
      </c>
      <c r="D1496" s="81">
        <f t="shared" si="466"/>
        <v>44592</v>
      </c>
      <c r="E1496" s="82">
        <f t="shared" si="479"/>
        <v>44564</v>
      </c>
      <c r="F1496" s="83">
        <f t="shared" si="475"/>
        <v>0.453875</v>
      </c>
      <c r="G1496" s="83">
        <f t="shared" si="475"/>
        <v>0.42625</v>
      </c>
      <c r="H1496" s="81"/>
      <c r="I1496" s="146">
        <v>44564</v>
      </c>
      <c r="J1496" s="147">
        <v>3.95</v>
      </c>
      <c r="K1496" s="147">
        <v>3.49</v>
      </c>
      <c r="L1496" s="147">
        <v>3.631</v>
      </c>
      <c r="M1496" s="59" cm="1">
        <f t="array" ref="M1496">INDEX($BV$29:$BV$1449,MATCH($D1496,$BR$29:$BR$1449,0),)</f>
        <v>3.41</v>
      </c>
      <c r="N1496" s="150">
        <f t="shared" si="472"/>
        <v>-0.00137513751375151</v>
      </c>
      <c r="O1496" s="150">
        <f t="shared" si="477"/>
        <v>0.0102949360044517</v>
      </c>
      <c r="P1496" s="150">
        <f t="shared" si="478"/>
        <v>0.0460962258715067</v>
      </c>
      <c r="Q1496" s="89">
        <f t="shared" si="480"/>
        <v>0.0648093841642228</v>
      </c>
      <c r="AR1496" s="36"/>
      <c r="AT1496" s="36"/>
      <c r="AU1496" s="36"/>
      <c r="AV1496" s="36"/>
      <c r="AW1496" s="36"/>
      <c r="AX1496" s="36"/>
      <c r="AY1496" s="36"/>
      <c r="AZ1496" s="36"/>
      <c r="BA1496" s="36"/>
      <c r="BB1496" s="36"/>
      <c r="BC1496" s="36"/>
      <c r="BD1496" s="36"/>
      <c r="BE1496" s="36"/>
      <c r="BF1496" s="36"/>
      <c r="BG1496" s="36"/>
      <c r="BH1496" s="36"/>
      <c r="BI1496" s="36"/>
      <c r="BJ1496" s="36"/>
      <c r="BK1496" s="36"/>
      <c r="BL1496" s="36"/>
      <c r="BM1496" s="36"/>
      <c r="BN1496" s="36"/>
      <c r="BO1496" s="36"/>
      <c r="GE1496" s="94"/>
      <c r="GF1496" s="104">
        <f t="shared" si="468"/>
        <v>2018</v>
      </c>
      <c r="GG1496" s="104">
        <f t="shared" si="469"/>
        <v>46</v>
      </c>
      <c r="GH1496" s="35">
        <v>43419</v>
      </c>
      <c r="GI1496" s="26">
        <v>2.8</v>
      </c>
      <c r="GJ1496" s="94">
        <f t="shared" si="470"/>
        <v>5.6</v>
      </c>
      <c r="GK1496" s="104"/>
      <c r="GL1496" s="104"/>
      <c r="GO1496" s="94"/>
    </row>
    <row r="1497" spans="3:197">
      <c r="C1497" s="80" t="str" cm="1">
        <f t="array" ref="C1497">_xlfn.IFS(MONTH(D1497)&lt;4,1,MONTH(D1497)&lt;7,2,MONTH(D1497)&lt;10,3,MONTH(D1497)&gt;9,4)&amp;"Q"&amp;RIGHT(YEAR(D1497),2)</f>
        <v>1Q22</v>
      </c>
      <c r="D1497" s="81">
        <f t="shared" si="466"/>
        <v>44592</v>
      </c>
      <c r="E1497" s="82">
        <f t="shared" si="479"/>
        <v>44565</v>
      </c>
      <c r="F1497" s="83">
        <f t="shared" si="475"/>
        <v>0.45775</v>
      </c>
      <c r="G1497" s="83">
        <f t="shared" si="475"/>
        <v>0.42625</v>
      </c>
      <c r="H1497" s="81"/>
      <c r="I1497" s="146">
        <v>44565</v>
      </c>
      <c r="J1497" s="147">
        <v>3.95</v>
      </c>
      <c r="K1497" s="147">
        <v>3.49</v>
      </c>
      <c r="L1497" s="147">
        <v>3.662</v>
      </c>
      <c r="M1497" s="59" cm="1">
        <f t="array" ref="M1497">INDEX($BV$29:$BV$1449,MATCH($D1497,$BR$29:$BR$1449,0),)</f>
        <v>3.41</v>
      </c>
      <c r="N1497" s="150">
        <f t="shared" si="472"/>
        <v>0.00853759294960077</v>
      </c>
      <c r="O1497" s="150">
        <f t="shared" si="477"/>
        <v>0.0132816823464306</v>
      </c>
      <c r="P1497" s="150">
        <f t="shared" si="478"/>
        <v>0.0436021658592192</v>
      </c>
      <c r="Q1497" s="89">
        <f t="shared" si="480"/>
        <v>0.0739002932551318</v>
      </c>
      <c r="AR1497" s="36"/>
      <c r="AT1497" s="36"/>
      <c r="AU1497" s="36"/>
      <c r="AV1497" s="36"/>
      <c r="AW1497" s="36"/>
      <c r="AX1497" s="36"/>
      <c r="AY1497" s="36"/>
      <c r="AZ1497" s="36"/>
      <c r="BA1497" s="36"/>
      <c r="BB1497" s="36"/>
      <c r="BC1497" s="36"/>
      <c r="BD1497" s="36"/>
      <c r="BE1497" s="36"/>
      <c r="BF1497" s="36"/>
      <c r="BG1497" s="36"/>
      <c r="BH1497" s="36"/>
      <c r="BI1497" s="36"/>
      <c r="BJ1497" s="36"/>
      <c r="BK1497" s="36"/>
      <c r="BL1497" s="36"/>
      <c r="BM1497" s="36"/>
      <c r="BN1497" s="36"/>
      <c r="BO1497" s="36"/>
      <c r="GE1497" s="94"/>
      <c r="GF1497" s="104">
        <f t="shared" si="468"/>
        <v>2018</v>
      </c>
      <c r="GG1497" s="104">
        <f t="shared" si="469"/>
        <v>46</v>
      </c>
      <c r="GH1497" s="35">
        <v>43420</v>
      </c>
      <c r="GI1497" s="26">
        <v>2.797</v>
      </c>
      <c r="GJ1497" s="94">
        <f t="shared" si="470"/>
        <v>5.594</v>
      </c>
      <c r="GK1497" s="104"/>
      <c r="GL1497" s="104"/>
      <c r="GO1497" s="94"/>
    </row>
    <row r="1498" spans="3:197">
      <c r="C1498" s="80" t="str" cm="1">
        <f t="array" ref="C1498">_xlfn.IFS(MONTH(D1498)&lt;4,1,MONTH(D1498)&lt;7,2,MONTH(D1498)&lt;10,3,MONTH(D1498)&gt;9,4)&amp;"Q"&amp;RIGHT(YEAR(D1498),2)</f>
        <v>1Q22</v>
      </c>
      <c r="D1498" s="81">
        <f t="shared" si="466"/>
        <v>44592</v>
      </c>
      <c r="E1498" s="82">
        <f t="shared" si="479"/>
        <v>44566</v>
      </c>
      <c r="F1498" s="83">
        <f t="shared" ref="F1498:G1513" si="481">+L1498/8</f>
        <v>0.4625</v>
      </c>
      <c r="G1498" s="83">
        <f t="shared" si="481"/>
        <v>0.42625</v>
      </c>
      <c r="H1498" s="81"/>
      <c r="I1498" s="146">
        <v>44566</v>
      </c>
      <c r="J1498" s="147">
        <v>3.97</v>
      </c>
      <c r="K1498" s="147">
        <v>3.52</v>
      </c>
      <c r="L1498" s="147">
        <v>3.7</v>
      </c>
      <c r="M1498" s="59" cm="1">
        <f t="array" ref="M1498">INDEX($BV$29:$BV$1449,MATCH($D1498,$BR$29:$BR$1449,0),)</f>
        <v>3.41</v>
      </c>
      <c r="N1498" s="150">
        <f t="shared" si="472"/>
        <v>0.0103768432550519</v>
      </c>
      <c r="O1498" s="150">
        <f t="shared" si="477"/>
        <v>0.0112052473353377</v>
      </c>
      <c r="P1498" s="150">
        <f t="shared" si="478"/>
        <v>0.0451977401129944</v>
      </c>
      <c r="Q1498" s="89">
        <f t="shared" si="480"/>
        <v>0.0850439882697946</v>
      </c>
      <c r="AR1498" s="36"/>
      <c r="AT1498" s="36"/>
      <c r="AU1498" s="36"/>
      <c r="AV1498" s="36"/>
      <c r="AW1498" s="36"/>
      <c r="AX1498" s="36"/>
      <c r="AY1498" s="36"/>
      <c r="AZ1498" s="36"/>
      <c r="BA1498" s="36"/>
      <c r="BB1498" s="36"/>
      <c r="BC1498" s="36"/>
      <c r="BD1498" s="36"/>
      <c r="BE1498" s="36"/>
      <c r="BF1498" s="36"/>
      <c r="BG1498" s="36"/>
      <c r="BH1498" s="36"/>
      <c r="BI1498" s="36"/>
      <c r="BJ1498" s="36"/>
      <c r="BK1498" s="36"/>
      <c r="BL1498" s="36"/>
      <c r="BM1498" s="36"/>
      <c r="BN1498" s="36"/>
      <c r="BO1498" s="36"/>
      <c r="GE1498" s="94"/>
      <c r="GF1498" s="104">
        <f t="shared" si="468"/>
        <v>2018</v>
      </c>
      <c r="GG1498" s="104">
        <f t="shared" si="469"/>
        <v>47</v>
      </c>
      <c r="GH1498" s="35">
        <v>43423</v>
      </c>
      <c r="GI1498" s="26">
        <v>2.786</v>
      </c>
      <c r="GJ1498" s="94">
        <f t="shared" si="470"/>
        <v>5.572</v>
      </c>
      <c r="GK1498" s="104"/>
      <c r="GL1498" s="104"/>
      <c r="GO1498" s="94"/>
    </row>
    <row r="1499" spans="3:197">
      <c r="C1499" s="80" t="str" cm="1">
        <f t="array" ref="C1499">_xlfn.IFS(MONTH(D1499)&lt;4,1,MONTH(D1499)&lt;7,2,MONTH(D1499)&lt;10,3,MONTH(D1499)&gt;9,4)&amp;"Q"&amp;RIGHT(YEAR(D1499),2)</f>
        <v>1Q22</v>
      </c>
      <c r="D1499" s="81">
        <f t="shared" si="466"/>
        <v>44592</v>
      </c>
      <c r="E1499" s="82">
        <f t="shared" si="479"/>
        <v>44567</v>
      </c>
      <c r="F1499" s="83">
        <f t="shared" si="481"/>
        <v>0.464125</v>
      </c>
      <c r="G1499" s="83">
        <f t="shared" si="481"/>
        <v>0.42625</v>
      </c>
      <c r="H1499" s="81"/>
      <c r="I1499" s="146">
        <v>44567</v>
      </c>
      <c r="J1499" s="147">
        <v>3.97</v>
      </c>
      <c r="K1499" s="147">
        <v>3.55</v>
      </c>
      <c r="L1499" s="147">
        <v>3.713</v>
      </c>
      <c r="M1499" s="59" cm="1">
        <f t="array" ref="M1499">INDEX($BV$29:$BV$1449,MATCH($D1499,$BR$29:$BR$1449,0),)</f>
        <v>3.41</v>
      </c>
      <c r="N1499" s="150">
        <f t="shared" si="472"/>
        <v>0.00351351351351359</v>
      </c>
      <c r="O1499" s="150">
        <f t="shared" si="477"/>
        <v>0.0178179824561404</v>
      </c>
      <c r="P1499" s="150">
        <f t="shared" si="478"/>
        <v>0.0447383230163196</v>
      </c>
      <c r="Q1499" s="89">
        <f t="shared" si="480"/>
        <v>0.0888563049853373</v>
      </c>
      <c r="AR1499" s="36"/>
      <c r="AT1499" s="36"/>
      <c r="AU1499" s="36"/>
      <c r="AV1499" s="36"/>
      <c r="AW1499" s="36"/>
      <c r="AX1499" s="36"/>
      <c r="AY1499" s="36"/>
      <c r="AZ1499" s="36"/>
      <c r="BA1499" s="36"/>
      <c r="BB1499" s="36"/>
      <c r="BC1499" s="36"/>
      <c r="BD1499" s="36"/>
      <c r="BE1499" s="36"/>
      <c r="BF1499" s="36"/>
      <c r="BG1499" s="36"/>
      <c r="BH1499" s="36"/>
      <c r="BI1499" s="36"/>
      <c r="BJ1499" s="36"/>
      <c r="BK1499" s="36"/>
      <c r="BL1499" s="36"/>
      <c r="BM1499" s="36"/>
      <c r="BN1499" s="36"/>
      <c r="BO1499" s="36"/>
      <c r="GE1499" s="94"/>
      <c r="GF1499" s="104">
        <f t="shared" si="468"/>
        <v>2018</v>
      </c>
      <c r="GG1499" s="104">
        <f t="shared" si="469"/>
        <v>47</v>
      </c>
      <c r="GH1499" s="35">
        <v>43424</v>
      </c>
      <c r="GI1499" s="26">
        <v>2.772</v>
      </c>
      <c r="GJ1499" s="94">
        <f t="shared" si="470"/>
        <v>5.544</v>
      </c>
      <c r="GK1499" s="104"/>
      <c r="GL1499" s="104"/>
      <c r="GO1499" s="94"/>
    </row>
    <row r="1500" spans="3:197">
      <c r="C1500" s="80" t="str" cm="1">
        <f t="array" ref="C1500">_xlfn.IFS(MONTH(D1500)&lt;4,1,MONTH(D1500)&lt;7,2,MONTH(D1500)&lt;10,3,MONTH(D1500)&gt;9,4)&amp;"Q"&amp;RIGHT(YEAR(D1500),2)</f>
        <v>1Q22</v>
      </c>
      <c r="D1500" s="81">
        <f t="shared" si="466"/>
        <v>44592</v>
      </c>
      <c r="E1500" s="82">
        <f t="shared" si="479"/>
        <v>44568</v>
      </c>
      <c r="F1500" s="83">
        <f t="shared" si="481"/>
        <v>0.464125</v>
      </c>
      <c r="G1500" s="83">
        <f t="shared" si="481"/>
        <v>0.42625</v>
      </c>
      <c r="H1500" s="81"/>
      <c r="I1500" s="146">
        <v>44568</v>
      </c>
      <c r="J1500" s="147">
        <v>3.98</v>
      </c>
      <c r="K1500" s="147">
        <v>3.57</v>
      </c>
      <c r="L1500" s="147">
        <v>3.713</v>
      </c>
      <c r="M1500" s="59" cm="1">
        <f t="array" ref="M1500">INDEX($BV$29:$BV$1449,MATCH($D1500,$BR$29:$BR$1449,0),)</f>
        <v>3.41</v>
      </c>
      <c r="N1500" s="150">
        <f t="shared" si="472"/>
        <v>0</v>
      </c>
      <c r="O1500" s="150">
        <f t="shared" si="477"/>
        <v>0.0211771177117712</v>
      </c>
      <c r="P1500" s="150">
        <f t="shared" si="478"/>
        <v>0.0359933035714286</v>
      </c>
      <c r="Q1500" s="89">
        <f t="shared" si="480"/>
        <v>0.0888563049853373</v>
      </c>
      <c r="AR1500" s="36"/>
      <c r="AT1500" s="36"/>
      <c r="AU1500" s="36"/>
      <c r="AV1500" s="36"/>
      <c r="AW1500" s="36"/>
      <c r="AX1500" s="36"/>
      <c r="AY1500" s="36"/>
      <c r="AZ1500" s="36"/>
      <c r="BA1500" s="36"/>
      <c r="BB1500" s="36"/>
      <c r="BC1500" s="36"/>
      <c r="BD1500" s="36"/>
      <c r="BE1500" s="36"/>
      <c r="BF1500" s="36"/>
      <c r="BG1500" s="36"/>
      <c r="BH1500" s="36"/>
      <c r="BI1500" s="36"/>
      <c r="BJ1500" s="36"/>
      <c r="BK1500" s="36"/>
      <c r="BL1500" s="36"/>
      <c r="BM1500" s="36"/>
      <c r="BN1500" s="36"/>
      <c r="BO1500" s="36"/>
      <c r="GE1500" s="94"/>
      <c r="GF1500" s="104">
        <f t="shared" si="468"/>
        <v>2018</v>
      </c>
      <c r="GG1500" s="104">
        <f t="shared" si="469"/>
        <v>47</v>
      </c>
      <c r="GH1500" s="35">
        <v>43425</v>
      </c>
      <c r="GI1500" s="26">
        <v>2.766</v>
      </c>
      <c r="GJ1500" s="94">
        <f t="shared" si="470"/>
        <v>5.532</v>
      </c>
      <c r="GK1500" s="104"/>
      <c r="GL1500" s="104"/>
      <c r="GO1500" s="94"/>
    </row>
    <row r="1501" spans="3:197">
      <c r="C1501" s="80" t="str" cm="1">
        <f t="array" ref="C1501">_xlfn.IFS(MONTH(D1501)&lt;4,1,MONTH(D1501)&lt;7,2,MONTH(D1501)&lt;10,3,MONTH(D1501)&gt;9,4)&amp;"Q"&amp;RIGHT(YEAR(D1501),2)</f>
        <v>1Q22</v>
      </c>
      <c r="D1501" s="81">
        <f t="shared" si="466"/>
        <v>44592</v>
      </c>
      <c r="E1501" s="82">
        <f t="shared" si="479"/>
        <v>44571</v>
      </c>
      <c r="F1501" s="83">
        <f t="shared" si="481"/>
        <v>0.46475</v>
      </c>
      <c r="G1501" s="83">
        <f t="shared" si="481"/>
        <v>0.42625</v>
      </c>
      <c r="H1501" s="81"/>
      <c r="I1501" s="146">
        <v>44571</v>
      </c>
      <c r="J1501" s="147">
        <v>3.97</v>
      </c>
      <c r="K1501" s="147">
        <v>3.58</v>
      </c>
      <c r="L1501" s="147">
        <v>3.718</v>
      </c>
      <c r="M1501" s="59" cm="1">
        <f t="array" ref="M1501">INDEX($BV$29:$BV$1449,MATCH($D1501,$BR$29:$BR$1449,0),)</f>
        <v>3.41</v>
      </c>
      <c r="N1501" s="150">
        <f t="shared" si="472"/>
        <v>0.00134661998384056</v>
      </c>
      <c r="O1501" s="150">
        <f t="shared" si="477"/>
        <v>0.023960341503718</v>
      </c>
      <c r="P1501" s="150">
        <f t="shared" si="478"/>
        <v>0.0345019476905954</v>
      </c>
      <c r="Q1501" s="89">
        <f t="shared" si="480"/>
        <v>0.0903225806451613</v>
      </c>
      <c r="AR1501" s="36"/>
      <c r="AT1501" s="36"/>
      <c r="AU1501" s="36"/>
      <c r="AV1501" s="36"/>
      <c r="AW1501" s="36"/>
      <c r="AX1501" s="36"/>
      <c r="AY1501" s="36"/>
      <c r="AZ1501" s="36"/>
      <c r="BA1501" s="36"/>
      <c r="BB1501" s="36"/>
      <c r="BC1501" s="36"/>
      <c r="BD1501" s="36"/>
      <c r="BE1501" s="36"/>
      <c r="BF1501" s="36"/>
      <c r="BG1501" s="36"/>
      <c r="BH1501" s="36"/>
      <c r="BI1501" s="36"/>
      <c r="BJ1501" s="36"/>
      <c r="BK1501" s="36"/>
      <c r="BL1501" s="36"/>
      <c r="BM1501" s="36"/>
      <c r="BN1501" s="36"/>
      <c r="BO1501" s="36"/>
      <c r="GE1501" s="94"/>
      <c r="GF1501" s="104">
        <f t="shared" si="468"/>
        <v>2018</v>
      </c>
      <c r="GG1501" s="104">
        <f t="shared" si="469"/>
        <v>47</v>
      </c>
      <c r="GH1501" s="35">
        <v>43426</v>
      </c>
      <c r="GI1501" s="26">
        <v>2.759</v>
      </c>
      <c r="GJ1501" s="94">
        <f t="shared" si="470"/>
        <v>5.518</v>
      </c>
      <c r="GK1501" s="104"/>
      <c r="GL1501" s="104"/>
      <c r="GO1501" s="94"/>
    </row>
    <row r="1502" spans="3:197">
      <c r="C1502" s="80" t="str" cm="1">
        <f t="array" ref="C1502">_xlfn.IFS(MONTH(D1502)&lt;4,1,MONTH(D1502)&lt;7,2,MONTH(D1502)&lt;10,3,MONTH(D1502)&gt;9,4)&amp;"Q"&amp;RIGHT(YEAR(D1502),2)</f>
        <v>1Q22</v>
      </c>
      <c r="D1502" s="81">
        <f t="shared" ref="D1502:D1565" si="482">EOMONTH(E1502,0)</f>
        <v>44592</v>
      </c>
      <c r="E1502" s="82">
        <f t="shared" si="479"/>
        <v>44572</v>
      </c>
      <c r="F1502" s="83">
        <f t="shared" si="481"/>
        <v>0.465</v>
      </c>
      <c r="G1502" s="83">
        <f t="shared" si="481"/>
        <v>0.42625</v>
      </c>
      <c r="H1502" s="81"/>
      <c r="I1502" s="146">
        <v>44572</v>
      </c>
      <c r="J1502" s="147">
        <v>3.97</v>
      </c>
      <c r="K1502" s="147">
        <v>3.58</v>
      </c>
      <c r="L1502" s="147">
        <v>3.72</v>
      </c>
      <c r="M1502" s="59" cm="1">
        <f t="array" ref="M1502">INDEX($BV$29:$BV$1449,MATCH($D1502,$BR$29:$BR$1449,0),)</f>
        <v>3.41</v>
      </c>
      <c r="N1502" s="150">
        <f t="shared" si="472"/>
        <v>0.000537923614846836</v>
      </c>
      <c r="O1502" s="150">
        <f t="shared" si="477"/>
        <v>0.0158383397050792</v>
      </c>
      <c r="P1502" s="150">
        <f t="shared" si="478"/>
        <v>0.0293303818483674</v>
      </c>
      <c r="Q1502" s="89">
        <f t="shared" si="480"/>
        <v>0.0909090909090908</v>
      </c>
      <c r="AR1502" s="36"/>
      <c r="AT1502" s="36"/>
      <c r="AU1502" s="36"/>
      <c r="AV1502" s="36"/>
      <c r="AW1502" s="36"/>
      <c r="AX1502" s="36"/>
      <c r="AY1502" s="36"/>
      <c r="AZ1502" s="36"/>
      <c r="BA1502" s="36"/>
      <c r="BB1502" s="36"/>
      <c r="BC1502" s="36"/>
      <c r="BD1502" s="36"/>
      <c r="BE1502" s="36"/>
      <c r="BF1502" s="36"/>
      <c r="BG1502" s="36"/>
      <c r="BH1502" s="36"/>
      <c r="BI1502" s="36"/>
      <c r="BJ1502" s="36"/>
      <c r="BK1502" s="36"/>
      <c r="BL1502" s="36"/>
      <c r="BM1502" s="36"/>
      <c r="BN1502" s="36"/>
      <c r="BO1502" s="36"/>
      <c r="GE1502" s="94"/>
      <c r="GF1502" s="104">
        <f t="shared" si="468"/>
        <v>2018</v>
      </c>
      <c r="GG1502" s="104">
        <f t="shared" si="469"/>
        <v>47</v>
      </c>
      <c r="GH1502" s="35">
        <v>43427</v>
      </c>
      <c r="GI1502" s="26">
        <v>2.755</v>
      </c>
      <c r="GJ1502" s="94">
        <f t="shared" si="470"/>
        <v>5.51</v>
      </c>
      <c r="GK1502" s="104"/>
      <c r="GL1502" s="104"/>
      <c r="GO1502" s="94"/>
    </row>
    <row r="1503" spans="3:197">
      <c r="C1503" s="80" t="str" cm="1">
        <f t="array" ref="C1503">_xlfn.IFS(MONTH(D1503)&lt;4,1,MONTH(D1503)&lt;7,2,MONTH(D1503)&lt;10,3,MONTH(D1503)&gt;9,4)&amp;"Q"&amp;RIGHT(YEAR(D1503),2)</f>
        <v>1Q22</v>
      </c>
      <c r="D1503" s="81">
        <f t="shared" si="482"/>
        <v>44592</v>
      </c>
      <c r="E1503" s="82">
        <f t="shared" si="479"/>
        <v>44573</v>
      </c>
      <c r="F1503" s="83">
        <f t="shared" si="481"/>
        <v>0.466125</v>
      </c>
      <c r="G1503" s="83">
        <f t="shared" si="481"/>
        <v>0.42625</v>
      </c>
      <c r="H1503" s="81"/>
      <c r="I1503" s="146">
        <v>44573</v>
      </c>
      <c r="J1503" s="147">
        <v>3.98</v>
      </c>
      <c r="K1503" s="147">
        <v>3.6</v>
      </c>
      <c r="L1503" s="147">
        <v>3.729</v>
      </c>
      <c r="M1503" s="59" cm="1">
        <f t="array" ref="M1503">INDEX($BV$29:$BV$1449,MATCH($D1503,$BR$29:$BR$1449,0),)</f>
        <v>3.41</v>
      </c>
      <c r="N1503" s="150">
        <f t="shared" si="472"/>
        <v>0.0024193548387097</v>
      </c>
      <c r="O1503" s="150">
        <f t="shared" si="477"/>
        <v>0.00783783783783787</v>
      </c>
      <c r="P1503" s="150">
        <f t="shared" si="478"/>
        <v>0.0191309100847228</v>
      </c>
      <c r="Q1503" s="89">
        <f t="shared" si="480"/>
        <v>0.0935483870967742</v>
      </c>
      <c r="AR1503" s="36"/>
      <c r="AT1503" s="36"/>
      <c r="AU1503" s="36"/>
      <c r="AV1503" s="36"/>
      <c r="AW1503" s="36"/>
      <c r="AX1503" s="36"/>
      <c r="AY1503" s="36"/>
      <c r="AZ1503" s="36"/>
      <c r="BA1503" s="36"/>
      <c r="BB1503" s="36"/>
      <c r="BC1503" s="36"/>
      <c r="BD1503" s="36"/>
      <c r="BE1503" s="36"/>
      <c r="BF1503" s="36"/>
      <c r="BG1503" s="36"/>
      <c r="BH1503" s="36"/>
      <c r="BI1503" s="36"/>
      <c r="BJ1503" s="36"/>
      <c r="BK1503" s="36"/>
      <c r="BL1503" s="36"/>
      <c r="BM1503" s="36"/>
      <c r="BN1503" s="36"/>
      <c r="BO1503" s="36"/>
      <c r="GE1503" s="94"/>
      <c r="GF1503" s="104">
        <f t="shared" si="468"/>
        <v>2018</v>
      </c>
      <c r="GG1503" s="104">
        <f t="shared" si="469"/>
        <v>48</v>
      </c>
      <c r="GH1503" s="35">
        <v>43430</v>
      </c>
      <c r="GI1503" s="26">
        <v>2.743</v>
      </c>
      <c r="GJ1503" s="94">
        <f t="shared" si="470"/>
        <v>5.486</v>
      </c>
      <c r="GK1503" s="104"/>
      <c r="GL1503" s="104"/>
      <c r="GO1503" s="94"/>
    </row>
    <row r="1504" spans="3:197">
      <c r="C1504" s="80" t="str" cm="1">
        <f t="array" ref="C1504">_xlfn.IFS(MONTH(D1504)&lt;4,1,MONTH(D1504)&lt;7,2,MONTH(D1504)&lt;10,3,MONTH(D1504)&gt;9,4)&amp;"Q"&amp;RIGHT(YEAR(D1504),2)</f>
        <v>1Q22</v>
      </c>
      <c r="D1504" s="81">
        <f t="shared" si="482"/>
        <v>44592</v>
      </c>
      <c r="E1504" s="82">
        <f t="shared" si="479"/>
        <v>44574</v>
      </c>
      <c r="F1504" s="83">
        <f t="shared" si="481"/>
        <v>0.466125</v>
      </c>
      <c r="G1504" s="83">
        <f t="shared" si="481"/>
        <v>0.42625</v>
      </c>
      <c r="H1504" s="81"/>
      <c r="I1504" s="146">
        <v>44574</v>
      </c>
      <c r="J1504" s="147">
        <v>3.98</v>
      </c>
      <c r="K1504" s="147">
        <v>3.6</v>
      </c>
      <c r="L1504" s="147">
        <v>3.729</v>
      </c>
      <c r="M1504" s="59" cm="1">
        <f t="array" ref="M1504">INDEX($BV$29:$BV$1449,MATCH($D1504,$BR$29:$BR$1449,0),)</f>
        <v>3.41</v>
      </c>
      <c r="N1504" s="150">
        <f t="shared" si="472"/>
        <v>0</v>
      </c>
      <c r="O1504" s="150">
        <f t="shared" si="477"/>
        <v>0.00430918394828983</v>
      </c>
      <c r="P1504" s="150">
        <f t="shared" si="478"/>
        <v>0.022203947368421</v>
      </c>
      <c r="Q1504" s="89">
        <f t="shared" si="480"/>
        <v>0.0935483870967742</v>
      </c>
      <c r="AR1504" s="36"/>
      <c r="AT1504" s="36"/>
      <c r="AU1504" s="36"/>
      <c r="AV1504" s="36"/>
      <c r="AW1504" s="36"/>
      <c r="AX1504" s="36"/>
      <c r="AY1504" s="36"/>
      <c r="AZ1504" s="36"/>
      <c r="BA1504" s="36"/>
      <c r="BB1504" s="36"/>
      <c r="BC1504" s="36"/>
      <c r="BD1504" s="36"/>
      <c r="BE1504" s="36"/>
      <c r="BF1504" s="36"/>
      <c r="BG1504" s="36"/>
      <c r="BH1504" s="36"/>
      <c r="BI1504" s="36"/>
      <c r="BJ1504" s="36"/>
      <c r="BK1504" s="36"/>
      <c r="BL1504" s="36"/>
      <c r="BM1504" s="36"/>
      <c r="BN1504" s="36"/>
      <c r="BO1504" s="36"/>
      <c r="GE1504" s="94"/>
      <c r="GF1504" s="104">
        <f t="shared" si="468"/>
        <v>2018</v>
      </c>
      <c r="GG1504" s="104">
        <f t="shared" si="469"/>
        <v>48</v>
      </c>
      <c r="GH1504" s="35">
        <v>43431</v>
      </c>
      <c r="GI1504" s="26">
        <v>2.736</v>
      </c>
      <c r="GJ1504" s="94">
        <f t="shared" si="470"/>
        <v>5.472</v>
      </c>
      <c r="GK1504" s="104"/>
      <c r="GL1504" s="104"/>
      <c r="GO1504" s="94"/>
    </row>
    <row r="1505" spans="3:197">
      <c r="C1505" s="80" t="str" cm="1">
        <f t="array" ref="C1505">_xlfn.IFS(MONTH(D1505)&lt;4,1,MONTH(D1505)&lt;7,2,MONTH(D1505)&lt;10,3,MONTH(D1505)&gt;9,4)&amp;"Q"&amp;RIGHT(YEAR(D1505),2)</f>
        <v>1Q22</v>
      </c>
      <c r="D1505" s="81">
        <f t="shared" si="482"/>
        <v>44592</v>
      </c>
      <c r="E1505" s="82">
        <f t="shared" si="479"/>
        <v>44575</v>
      </c>
      <c r="F1505" s="83">
        <f t="shared" si="481"/>
        <v>0.466375</v>
      </c>
      <c r="G1505" s="83">
        <f t="shared" si="481"/>
        <v>0.42625</v>
      </c>
      <c r="H1505" s="81"/>
      <c r="I1505" s="146">
        <v>44575</v>
      </c>
      <c r="J1505" s="147">
        <v>3.97</v>
      </c>
      <c r="K1505" s="147">
        <v>3.62</v>
      </c>
      <c r="L1505" s="147">
        <v>3.731</v>
      </c>
      <c r="M1505" s="59" cm="1">
        <f t="array" ref="M1505">INDEX($BV$29:$BV$1449,MATCH($D1505,$BR$29:$BR$1449,0),)</f>
        <v>3.41</v>
      </c>
      <c r="N1505" s="150">
        <f t="shared" si="472"/>
        <v>0.000536336819522587</v>
      </c>
      <c r="O1505" s="150">
        <f t="shared" si="477"/>
        <v>0.00484783194182592</v>
      </c>
      <c r="P1505" s="150">
        <f t="shared" si="478"/>
        <v>0.026127612761276</v>
      </c>
      <c r="Q1505" s="89">
        <f t="shared" si="480"/>
        <v>0.0941348973607037</v>
      </c>
      <c r="AR1505" s="36"/>
      <c r="AT1505" s="36"/>
      <c r="AU1505" s="36"/>
      <c r="AV1505" s="36"/>
      <c r="AW1505" s="36"/>
      <c r="AX1505" s="36"/>
      <c r="AY1505" s="36"/>
      <c r="AZ1505" s="36"/>
      <c r="BA1505" s="36"/>
      <c r="BB1505" s="36"/>
      <c r="BC1505" s="36"/>
      <c r="BD1505" s="36"/>
      <c r="BE1505" s="36"/>
      <c r="BF1505" s="36"/>
      <c r="BG1505" s="36"/>
      <c r="BH1505" s="36"/>
      <c r="BI1505" s="36"/>
      <c r="BJ1505" s="36"/>
      <c r="BK1505" s="36"/>
      <c r="BL1505" s="36"/>
      <c r="BM1505" s="36"/>
      <c r="BN1505" s="36"/>
      <c r="BO1505" s="36"/>
      <c r="GE1505" s="94"/>
      <c r="GF1505" s="104">
        <f t="shared" si="468"/>
        <v>2018</v>
      </c>
      <c r="GG1505" s="104">
        <f t="shared" si="469"/>
        <v>48</v>
      </c>
      <c r="GH1505" s="35">
        <v>43432</v>
      </c>
      <c r="GI1505" s="26">
        <v>2.733</v>
      </c>
      <c r="GJ1505" s="94">
        <f t="shared" si="470"/>
        <v>5.466</v>
      </c>
      <c r="GK1505" s="104"/>
      <c r="GL1505" s="104"/>
      <c r="GO1505" s="94"/>
    </row>
    <row r="1506" spans="3:197">
      <c r="C1506" s="80" t="str" cm="1">
        <f t="array" ref="C1506">_xlfn.IFS(MONTH(D1506)&lt;4,1,MONTH(D1506)&lt;7,2,MONTH(D1506)&lt;10,3,MONTH(D1506)&gt;9,4)&amp;"Q"&amp;RIGHT(YEAR(D1506),2)</f>
        <v>1Q22</v>
      </c>
      <c r="D1506" s="81">
        <f t="shared" si="482"/>
        <v>44592</v>
      </c>
      <c r="E1506" s="82">
        <f t="shared" si="479"/>
        <v>44578</v>
      </c>
      <c r="F1506" s="83">
        <f t="shared" si="481"/>
        <v>0.46775</v>
      </c>
      <c r="G1506" s="83">
        <f t="shared" si="481"/>
        <v>0.42625</v>
      </c>
      <c r="H1506" s="81"/>
      <c r="I1506" s="146">
        <v>44578</v>
      </c>
      <c r="J1506" s="147">
        <v>3.98</v>
      </c>
      <c r="K1506" s="147">
        <v>3.6</v>
      </c>
      <c r="L1506" s="147">
        <v>3.742</v>
      </c>
      <c r="M1506" s="59" cm="1">
        <f t="array" ref="M1506">INDEX($BV$29:$BV$1449,MATCH($D1506,$BR$29:$BR$1449,0),)</f>
        <v>3.41</v>
      </c>
      <c r="N1506" s="150">
        <f t="shared" si="472"/>
        <v>0.00294827124095409</v>
      </c>
      <c r="O1506" s="150">
        <f t="shared" si="477"/>
        <v>0.00645508337816025</v>
      </c>
      <c r="P1506" s="150">
        <f t="shared" si="478"/>
        <v>0.030570090884054</v>
      </c>
      <c r="Q1506" s="89">
        <f t="shared" si="480"/>
        <v>0.0973607038123168</v>
      </c>
      <c r="AR1506" s="36"/>
      <c r="AT1506" s="36"/>
      <c r="AU1506" s="36"/>
      <c r="AV1506" s="36"/>
      <c r="AW1506" s="36"/>
      <c r="AX1506" s="36"/>
      <c r="AY1506" s="36"/>
      <c r="AZ1506" s="36"/>
      <c r="BA1506" s="36"/>
      <c r="BB1506" s="36"/>
      <c r="BC1506" s="36"/>
      <c r="BD1506" s="36"/>
      <c r="BE1506" s="36"/>
      <c r="BF1506" s="36"/>
      <c r="BG1506" s="36"/>
      <c r="BH1506" s="36"/>
      <c r="BI1506" s="36"/>
      <c r="BJ1506" s="36"/>
      <c r="BK1506" s="36"/>
      <c r="BL1506" s="36"/>
      <c r="BM1506" s="36"/>
      <c r="BN1506" s="36"/>
      <c r="BO1506" s="36"/>
      <c r="GE1506" s="94"/>
      <c r="GF1506" s="104">
        <f t="shared" si="468"/>
        <v>2018</v>
      </c>
      <c r="GG1506" s="104">
        <f t="shared" si="469"/>
        <v>48</v>
      </c>
      <c r="GH1506" s="35">
        <v>43433</v>
      </c>
      <c r="GI1506" s="26">
        <v>2.725</v>
      </c>
      <c r="GJ1506" s="94">
        <f t="shared" si="470"/>
        <v>5.45</v>
      </c>
      <c r="GK1506" s="104"/>
      <c r="GL1506" s="104"/>
      <c r="GO1506" s="94"/>
    </row>
    <row r="1507" spans="3:197">
      <c r="C1507" s="80" t="str" cm="1">
        <f t="array" ref="C1507">_xlfn.IFS(MONTH(D1507)&lt;4,1,MONTH(D1507)&lt;7,2,MONTH(D1507)&lt;10,3,MONTH(D1507)&gt;9,4)&amp;"Q"&amp;RIGHT(YEAR(D1507),2)</f>
        <v>1Q22</v>
      </c>
      <c r="D1507" s="81">
        <f t="shared" si="482"/>
        <v>44592</v>
      </c>
      <c r="E1507" s="82">
        <f t="shared" si="479"/>
        <v>44579</v>
      </c>
      <c r="F1507" s="83">
        <f t="shared" si="481"/>
        <v>0.468625</v>
      </c>
      <c r="G1507" s="83">
        <f t="shared" si="481"/>
        <v>0.42625</v>
      </c>
      <c r="H1507" s="81"/>
      <c r="I1507" s="146">
        <v>44579</v>
      </c>
      <c r="J1507" s="147">
        <v>3.98</v>
      </c>
      <c r="K1507" s="147">
        <v>3.6</v>
      </c>
      <c r="L1507" s="147">
        <v>3.749</v>
      </c>
      <c r="M1507" s="59" cm="1">
        <f t="array" ref="M1507">INDEX($BV$29:$BV$1449,MATCH($D1507,$BR$29:$BR$1449,0),)</f>
        <v>3.41</v>
      </c>
      <c r="N1507" s="150">
        <f t="shared" si="472"/>
        <v>0.00187065740245851</v>
      </c>
      <c r="O1507" s="150">
        <f t="shared" si="477"/>
        <v>0.0077956989247312</v>
      </c>
      <c r="P1507" s="150">
        <f t="shared" si="478"/>
        <v>0.0237575095576188</v>
      </c>
      <c r="Q1507" s="89">
        <f t="shared" si="480"/>
        <v>0.0994134897360703</v>
      </c>
      <c r="AR1507" s="36"/>
      <c r="AT1507" s="36"/>
      <c r="AU1507" s="36"/>
      <c r="AV1507" s="36"/>
      <c r="AW1507" s="36"/>
      <c r="AX1507" s="36"/>
      <c r="AY1507" s="36"/>
      <c r="AZ1507" s="36"/>
      <c r="BA1507" s="36"/>
      <c r="BB1507" s="36"/>
      <c r="BC1507" s="36"/>
      <c r="BD1507" s="36"/>
      <c r="BE1507" s="36"/>
      <c r="BF1507" s="36"/>
      <c r="BG1507" s="36"/>
      <c r="BH1507" s="36"/>
      <c r="BI1507" s="36"/>
      <c r="BJ1507" s="36"/>
      <c r="BK1507" s="36"/>
      <c r="BL1507" s="36"/>
      <c r="BM1507" s="36"/>
      <c r="BN1507" s="36"/>
      <c r="BO1507" s="36"/>
      <c r="GE1507" s="94"/>
      <c r="GF1507" s="104">
        <f t="shared" si="468"/>
        <v>2018</v>
      </c>
      <c r="GG1507" s="104">
        <f t="shared" si="469"/>
        <v>48</v>
      </c>
      <c r="GH1507" s="35">
        <v>43434</v>
      </c>
      <c r="GI1507" s="26">
        <v>2.718</v>
      </c>
      <c r="GJ1507" s="94">
        <f t="shared" si="470"/>
        <v>5.436</v>
      </c>
      <c r="GK1507" s="104"/>
      <c r="GL1507" s="104"/>
      <c r="GO1507" s="94"/>
    </row>
    <row r="1508" spans="3:197">
      <c r="C1508" s="80" t="str" cm="1">
        <f t="array" ref="C1508">_xlfn.IFS(MONTH(D1508)&lt;4,1,MONTH(D1508)&lt;7,2,MONTH(D1508)&lt;10,3,MONTH(D1508)&gt;9,4)&amp;"Q"&amp;RIGHT(YEAR(D1508),2)</f>
        <v>1Q22</v>
      </c>
      <c r="D1508" s="81">
        <f t="shared" si="482"/>
        <v>44592</v>
      </c>
      <c r="E1508" s="82">
        <f t="shared" si="479"/>
        <v>44580</v>
      </c>
      <c r="F1508" s="83">
        <f t="shared" si="481"/>
        <v>0.469125</v>
      </c>
      <c r="G1508" s="83">
        <f t="shared" si="481"/>
        <v>0.42625</v>
      </c>
      <c r="H1508" s="81"/>
      <c r="I1508" s="146">
        <v>44580</v>
      </c>
      <c r="J1508" s="147">
        <v>3.99</v>
      </c>
      <c r="K1508" s="147">
        <v>3.59</v>
      </c>
      <c r="L1508" s="147">
        <v>3.753</v>
      </c>
      <c r="M1508" s="59" cm="1">
        <f t="array" ref="M1508">INDEX($BV$29:$BV$1449,MATCH($D1508,$BR$29:$BR$1449,0),)</f>
        <v>3.41</v>
      </c>
      <c r="N1508" s="150">
        <f t="shared" si="472"/>
        <v>0.00106695118698319</v>
      </c>
      <c r="O1508" s="150">
        <f t="shared" si="477"/>
        <v>0.00643604183427193</v>
      </c>
      <c r="P1508" s="150">
        <f t="shared" si="478"/>
        <v>0.0143243243243243</v>
      </c>
      <c r="Q1508" s="89">
        <f t="shared" si="480"/>
        <v>0.10058651026393</v>
      </c>
      <c r="AR1508" s="36"/>
      <c r="AT1508" s="36"/>
      <c r="AU1508" s="36"/>
      <c r="AV1508" s="36"/>
      <c r="AW1508" s="36"/>
      <c r="AX1508" s="36"/>
      <c r="AY1508" s="36"/>
      <c r="AZ1508" s="36"/>
      <c r="BA1508" s="36"/>
      <c r="BB1508" s="36"/>
      <c r="BC1508" s="36"/>
      <c r="BD1508" s="36"/>
      <c r="BE1508" s="36"/>
      <c r="BF1508" s="36"/>
      <c r="BG1508" s="36"/>
      <c r="BH1508" s="36"/>
      <c r="BI1508" s="36"/>
      <c r="BJ1508" s="36"/>
      <c r="BK1508" s="36"/>
      <c r="BL1508" s="36"/>
      <c r="BM1508" s="36"/>
      <c r="BN1508" s="36"/>
      <c r="BO1508" s="36"/>
      <c r="GE1508" s="94"/>
      <c r="GF1508" s="104">
        <f t="shared" si="468"/>
        <v>2018</v>
      </c>
      <c r="GG1508" s="104">
        <f t="shared" si="469"/>
        <v>49</v>
      </c>
      <c r="GH1508" s="35">
        <v>43437</v>
      </c>
      <c r="GI1508" s="26">
        <v>2.715</v>
      </c>
      <c r="GJ1508" s="94">
        <f t="shared" si="470"/>
        <v>5.43</v>
      </c>
      <c r="GK1508" s="104"/>
      <c r="GL1508" s="104"/>
      <c r="GO1508" s="94"/>
    </row>
    <row r="1509" spans="3:197">
      <c r="C1509" s="80" t="str" cm="1">
        <f t="array" ref="C1509">_xlfn.IFS(MONTH(D1509)&lt;4,1,MONTH(D1509)&lt;7,2,MONTH(D1509)&lt;10,3,MONTH(D1509)&gt;9,4)&amp;"Q"&amp;RIGHT(YEAR(D1509),2)</f>
        <v>1Q22</v>
      </c>
      <c r="D1509" s="81">
        <f t="shared" si="482"/>
        <v>44592</v>
      </c>
      <c r="E1509" s="82">
        <f t="shared" si="479"/>
        <v>44581</v>
      </c>
      <c r="F1509" s="83">
        <f t="shared" si="481"/>
        <v>0.468375</v>
      </c>
      <c r="G1509" s="83">
        <f t="shared" si="481"/>
        <v>0.42625</v>
      </c>
      <c r="H1509" s="81"/>
      <c r="I1509" s="146">
        <v>44581</v>
      </c>
      <c r="J1509" s="147">
        <v>3.99</v>
      </c>
      <c r="K1509" s="147">
        <v>3.59</v>
      </c>
      <c r="L1509" s="147">
        <v>3.747</v>
      </c>
      <c r="M1509" s="59" cm="1">
        <f t="array" ref="M1509">INDEX($BV$29:$BV$1449,MATCH($D1509,$BR$29:$BR$1449,0),)</f>
        <v>3.41</v>
      </c>
      <c r="N1509" s="150">
        <f t="shared" si="472"/>
        <v>-0.00159872102318148</v>
      </c>
      <c r="O1509" s="150">
        <f t="shared" si="477"/>
        <v>0.00482703137570395</v>
      </c>
      <c r="P1509" s="150">
        <f t="shared" si="478"/>
        <v>0.00915701589011575</v>
      </c>
      <c r="Q1509" s="89">
        <f t="shared" si="480"/>
        <v>0.0988269794721406</v>
      </c>
      <c r="AR1509" s="36"/>
      <c r="AT1509" s="36"/>
      <c r="AU1509" s="36"/>
      <c r="AV1509" s="36"/>
      <c r="AW1509" s="36"/>
      <c r="AX1509" s="36"/>
      <c r="AY1509" s="36"/>
      <c r="AZ1509" s="36"/>
      <c r="BA1509" s="36"/>
      <c r="BB1509" s="36"/>
      <c r="BC1509" s="36"/>
      <c r="BD1509" s="36"/>
      <c r="BE1509" s="36"/>
      <c r="BF1509" s="36"/>
      <c r="BG1509" s="36"/>
      <c r="BH1509" s="36"/>
      <c r="BI1509" s="36"/>
      <c r="BJ1509" s="36"/>
      <c r="BK1509" s="36"/>
      <c r="BL1509" s="36"/>
      <c r="BM1509" s="36"/>
      <c r="BN1509" s="36"/>
      <c r="BO1509" s="36"/>
      <c r="GE1509" s="94"/>
      <c r="GF1509" s="104">
        <f t="shared" si="468"/>
        <v>2018</v>
      </c>
      <c r="GG1509" s="104">
        <f t="shared" si="469"/>
        <v>49</v>
      </c>
      <c r="GH1509" s="35">
        <v>43438</v>
      </c>
      <c r="GI1509" s="26">
        <v>2.715</v>
      </c>
      <c r="GJ1509" s="94">
        <f t="shared" si="470"/>
        <v>5.43</v>
      </c>
      <c r="GK1509" s="104"/>
      <c r="GL1509" s="104"/>
      <c r="GO1509" s="94"/>
    </row>
    <row r="1510" spans="3:197">
      <c r="C1510" s="80" t="str" cm="1">
        <f t="array" ref="C1510">_xlfn.IFS(MONTH(D1510)&lt;4,1,MONTH(D1510)&lt;7,2,MONTH(D1510)&lt;10,3,MONTH(D1510)&gt;9,4)&amp;"Q"&amp;RIGHT(YEAR(D1510),2)</f>
        <v>1Q22</v>
      </c>
      <c r="D1510" s="81">
        <f t="shared" si="482"/>
        <v>44592</v>
      </c>
      <c r="E1510" s="82">
        <f t="shared" si="479"/>
        <v>44582</v>
      </c>
      <c r="F1510" s="83">
        <f t="shared" si="481"/>
        <v>0.468</v>
      </c>
      <c r="G1510" s="83">
        <f t="shared" si="481"/>
        <v>0.42625</v>
      </c>
      <c r="H1510" s="81"/>
      <c r="I1510" s="146">
        <v>44582</v>
      </c>
      <c r="J1510" s="147">
        <v>3.99</v>
      </c>
      <c r="K1510" s="147">
        <v>3.59</v>
      </c>
      <c r="L1510" s="147">
        <v>3.744</v>
      </c>
      <c r="M1510" s="59" cm="1">
        <f t="array" ref="M1510">INDEX($BV$29:$BV$1449,MATCH($D1510,$BR$29:$BR$1449,0),)</f>
        <v>3.41</v>
      </c>
      <c r="N1510" s="150">
        <f t="shared" si="472"/>
        <v>-0.0008006405124098</v>
      </c>
      <c r="O1510" s="150">
        <f t="shared" si="477"/>
        <v>0.00348432055749148</v>
      </c>
      <c r="P1510" s="150">
        <f t="shared" si="478"/>
        <v>0.0083490438998115</v>
      </c>
      <c r="Q1510" s="89">
        <f t="shared" si="480"/>
        <v>0.0979472140762463</v>
      </c>
      <c r="AR1510" s="36"/>
      <c r="AT1510" s="36"/>
      <c r="AU1510" s="36"/>
      <c r="AV1510" s="36"/>
      <c r="AW1510" s="36"/>
      <c r="AX1510" s="36"/>
      <c r="AY1510" s="36"/>
      <c r="AZ1510" s="36"/>
      <c r="BA1510" s="36"/>
      <c r="BB1510" s="36"/>
      <c r="BC1510" s="36"/>
      <c r="BD1510" s="36"/>
      <c r="BE1510" s="36"/>
      <c r="BF1510" s="36"/>
      <c r="BG1510" s="36"/>
      <c r="BH1510" s="36"/>
      <c r="BI1510" s="36"/>
      <c r="BJ1510" s="36"/>
      <c r="BK1510" s="36"/>
      <c r="BL1510" s="36"/>
      <c r="BM1510" s="36"/>
      <c r="BN1510" s="36"/>
      <c r="BO1510" s="36"/>
      <c r="GE1510" s="94"/>
      <c r="GF1510" s="104">
        <f t="shared" si="468"/>
        <v>2018</v>
      </c>
      <c r="GG1510" s="104">
        <f t="shared" si="469"/>
        <v>49</v>
      </c>
      <c r="GH1510" s="35">
        <v>43439</v>
      </c>
      <c r="GI1510" s="26">
        <v>2.694</v>
      </c>
      <c r="GJ1510" s="94">
        <f t="shared" si="470"/>
        <v>5.388</v>
      </c>
      <c r="GK1510" s="104"/>
      <c r="GL1510" s="104"/>
      <c r="GO1510" s="94"/>
    </row>
    <row r="1511" spans="3:197">
      <c r="C1511" s="80" t="str" cm="1">
        <f t="array" ref="C1511">_xlfn.IFS(MONTH(D1511)&lt;4,1,MONTH(D1511)&lt;7,2,MONTH(D1511)&lt;10,3,MONTH(D1511)&gt;9,4)&amp;"Q"&amp;RIGHT(YEAR(D1511),2)</f>
        <v>1Q22</v>
      </c>
      <c r="D1511" s="81">
        <f t="shared" si="482"/>
        <v>44592</v>
      </c>
      <c r="E1511" s="82">
        <f t="shared" si="479"/>
        <v>44585</v>
      </c>
      <c r="F1511" s="83">
        <f t="shared" si="481"/>
        <v>0.468375</v>
      </c>
      <c r="G1511" s="83">
        <f t="shared" si="481"/>
        <v>0.42625</v>
      </c>
      <c r="H1511" s="81"/>
      <c r="I1511" s="146">
        <v>44585</v>
      </c>
      <c r="J1511" s="147">
        <v>3.98</v>
      </c>
      <c r="K1511" s="147">
        <v>3.58</v>
      </c>
      <c r="L1511" s="147">
        <v>3.747</v>
      </c>
      <c r="M1511" s="59" cm="1">
        <f t="array" ref="M1511">INDEX($BV$29:$BV$1449,MATCH($D1511,$BR$29:$BR$1449,0),)</f>
        <v>3.41</v>
      </c>
      <c r="N1511" s="150">
        <f t="shared" si="472"/>
        <v>0.000801282051281937</v>
      </c>
      <c r="O1511" s="150">
        <f t="shared" si="477"/>
        <v>0.001336183858899</v>
      </c>
      <c r="P1511" s="150">
        <f t="shared" si="478"/>
        <v>0.0077998924152769</v>
      </c>
      <c r="Q1511" s="89">
        <f t="shared" si="480"/>
        <v>0.0988269794721406</v>
      </c>
      <c r="AR1511" s="36"/>
      <c r="AT1511" s="36"/>
      <c r="AU1511" s="36"/>
      <c r="AV1511" s="36"/>
      <c r="AW1511" s="36"/>
      <c r="AX1511" s="36"/>
      <c r="AY1511" s="36"/>
      <c r="AZ1511" s="36"/>
      <c r="BA1511" s="36"/>
      <c r="BB1511" s="36"/>
      <c r="BC1511" s="36"/>
      <c r="BD1511" s="36"/>
      <c r="BE1511" s="36"/>
      <c r="BF1511" s="36"/>
      <c r="BG1511" s="36"/>
      <c r="BH1511" s="36"/>
      <c r="BI1511" s="36"/>
      <c r="BJ1511" s="36"/>
      <c r="BK1511" s="36"/>
      <c r="BL1511" s="36"/>
      <c r="BM1511" s="36"/>
      <c r="BN1511" s="36"/>
      <c r="BO1511" s="36"/>
      <c r="GE1511" s="94"/>
      <c r="GF1511" s="104">
        <f t="shared" si="468"/>
        <v>2018</v>
      </c>
      <c r="GG1511" s="104">
        <f t="shared" si="469"/>
        <v>49</v>
      </c>
      <c r="GH1511" s="35">
        <v>43440</v>
      </c>
      <c r="GI1511" s="26">
        <v>2.659</v>
      </c>
      <c r="GJ1511" s="94">
        <f t="shared" si="470"/>
        <v>5.318</v>
      </c>
      <c r="GK1511" s="104"/>
      <c r="GL1511" s="104"/>
      <c r="GO1511" s="94"/>
    </row>
    <row r="1512" spans="3:197">
      <c r="C1512" s="80" t="str" cm="1">
        <f t="array" ref="C1512">_xlfn.IFS(MONTH(D1512)&lt;4,1,MONTH(D1512)&lt;7,2,MONTH(D1512)&lt;10,3,MONTH(D1512)&gt;9,4)&amp;"Q"&amp;RIGHT(YEAR(D1512),2)</f>
        <v>1Q22</v>
      </c>
      <c r="D1512" s="81">
        <f t="shared" si="482"/>
        <v>44592</v>
      </c>
      <c r="E1512" s="82">
        <f t="shared" si="479"/>
        <v>44586</v>
      </c>
      <c r="F1512" s="83">
        <f t="shared" si="481"/>
        <v>0.468625</v>
      </c>
      <c r="G1512" s="83">
        <f t="shared" si="481"/>
        <v>0.42625</v>
      </c>
      <c r="H1512" s="81"/>
      <c r="I1512" s="146">
        <v>44586</v>
      </c>
      <c r="J1512" s="147">
        <v>3.98</v>
      </c>
      <c r="K1512" s="147">
        <v>3.58</v>
      </c>
      <c r="L1512" s="147">
        <v>3.749</v>
      </c>
      <c r="M1512" s="59" cm="1">
        <f t="array" ref="M1512">INDEX($BV$29:$BV$1449,MATCH($D1512,$BR$29:$BR$1449,0),)</f>
        <v>3.41</v>
      </c>
      <c r="N1512" s="150">
        <f t="shared" si="472"/>
        <v>0.000533760341606682</v>
      </c>
      <c r="O1512" s="150">
        <f t="shared" si="477"/>
        <v>0</v>
      </c>
      <c r="P1512" s="150">
        <f t="shared" si="478"/>
        <v>0.0077956989247312</v>
      </c>
      <c r="Q1512" s="89">
        <f t="shared" si="480"/>
        <v>0.0994134897360703</v>
      </c>
      <c r="AR1512" s="36"/>
      <c r="AT1512" s="36"/>
      <c r="AU1512" s="36"/>
      <c r="AV1512" s="36"/>
      <c r="AW1512" s="36"/>
      <c r="AX1512" s="36"/>
      <c r="AY1512" s="36"/>
      <c r="AZ1512" s="36"/>
      <c r="BA1512" s="36"/>
      <c r="BB1512" s="36"/>
      <c r="BC1512" s="36"/>
      <c r="BD1512" s="36"/>
      <c r="BE1512" s="36"/>
      <c r="BF1512" s="36"/>
      <c r="BG1512" s="36"/>
      <c r="BH1512" s="36"/>
      <c r="BI1512" s="36"/>
      <c r="BJ1512" s="36"/>
      <c r="BK1512" s="36"/>
      <c r="BL1512" s="36"/>
      <c r="BM1512" s="36"/>
      <c r="BN1512" s="36"/>
      <c r="BO1512" s="36"/>
      <c r="GE1512" s="94"/>
      <c r="GF1512" s="104">
        <f t="shared" si="468"/>
        <v>2018</v>
      </c>
      <c r="GG1512" s="104">
        <f t="shared" si="469"/>
        <v>49</v>
      </c>
      <c r="GH1512" s="35">
        <v>43441</v>
      </c>
      <c r="GI1512" s="26">
        <v>2.649</v>
      </c>
      <c r="GJ1512" s="94">
        <f t="shared" si="470"/>
        <v>5.298</v>
      </c>
      <c r="GK1512" s="104"/>
      <c r="GL1512" s="104"/>
      <c r="GO1512" s="94"/>
    </row>
    <row r="1513" spans="3:197">
      <c r="C1513" s="80" t="str" cm="1">
        <f t="array" ref="C1513">_xlfn.IFS(MONTH(D1513)&lt;4,1,MONTH(D1513)&lt;7,2,MONTH(D1513)&lt;10,3,MONTH(D1513)&gt;9,4)&amp;"Q"&amp;RIGHT(YEAR(D1513),2)</f>
        <v>1Q22</v>
      </c>
      <c r="D1513" s="81">
        <f t="shared" si="482"/>
        <v>44592</v>
      </c>
      <c r="E1513" s="82">
        <f t="shared" si="479"/>
        <v>44587</v>
      </c>
      <c r="F1513" s="83">
        <f t="shared" si="481"/>
        <v>0.468625</v>
      </c>
      <c r="G1513" s="83">
        <f t="shared" si="481"/>
        <v>0.42625</v>
      </c>
      <c r="H1513" s="81"/>
      <c r="I1513" s="146">
        <v>44587</v>
      </c>
      <c r="J1513" s="147">
        <v>3.98</v>
      </c>
      <c r="K1513" s="147">
        <v>3.58</v>
      </c>
      <c r="L1513" s="147">
        <v>3.749</v>
      </c>
      <c r="M1513" s="59" cm="1">
        <f t="array" ref="M1513">INDEX($BV$29:$BV$1449,MATCH($D1513,$BR$29:$BR$1449,0),)</f>
        <v>3.41</v>
      </c>
      <c r="N1513" s="150">
        <f t="shared" si="472"/>
        <v>0</v>
      </c>
      <c r="O1513" s="150">
        <f t="shared" si="477"/>
        <v>-0.00106581401545436</v>
      </c>
      <c r="P1513" s="150">
        <f t="shared" si="478"/>
        <v>0.00536336819522654</v>
      </c>
      <c r="Q1513" s="89">
        <f t="shared" si="480"/>
        <v>0.0994134897360703</v>
      </c>
      <c r="AR1513" s="36"/>
      <c r="AT1513" s="36"/>
      <c r="AU1513" s="36"/>
      <c r="AV1513" s="36"/>
      <c r="AW1513" s="36"/>
      <c r="AX1513" s="36"/>
      <c r="AY1513" s="36"/>
      <c r="AZ1513" s="36"/>
      <c r="BA1513" s="36"/>
      <c r="BB1513" s="36"/>
      <c r="BC1513" s="36"/>
      <c r="BD1513" s="36"/>
      <c r="BE1513" s="36"/>
      <c r="BF1513" s="36"/>
      <c r="BG1513" s="36"/>
      <c r="BH1513" s="36"/>
      <c r="BI1513" s="36"/>
      <c r="BJ1513" s="36"/>
      <c r="BK1513" s="36"/>
      <c r="BL1513" s="36"/>
      <c r="BM1513" s="36"/>
      <c r="BN1513" s="36"/>
      <c r="BO1513" s="36"/>
      <c r="GE1513" s="94"/>
      <c r="GF1513" s="104">
        <f t="shared" si="468"/>
        <v>2018</v>
      </c>
      <c r="GG1513" s="104">
        <f t="shared" si="469"/>
        <v>50</v>
      </c>
      <c r="GH1513" s="35">
        <v>43444</v>
      </c>
      <c r="GI1513" s="26">
        <v>2.626</v>
      </c>
      <c r="GJ1513" s="94">
        <f t="shared" si="470"/>
        <v>5.252</v>
      </c>
      <c r="GK1513" s="104"/>
      <c r="GL1513" s="104"/>
      <c r="GO1513" s="94"/>
    </row>
    <row r="1514" spans="3:197">
      <c r="C1514" s="80" t="str" cm="1">
        <f t="array" ref="C1514">_xlfn.IFS(MONTH(D1514)&lt;4,1,MONTH(D1514)&lt;7,2,MONTH(D1514)&lt;10,3,MONTH(D1514)&gt;9,4)&amp;"Q"&amp;RIGHT(YEAR(D1514),2)</f>
        <v>1Q22</v>
      </c>
      <c r="D1514" s="81">
        <f t="shared" si="482"/>
        <v>44592</v>
      </c>
      <c r="E1514" s="82">
        <f t="shared" si="479"/>
        <v>44588</v>
      </c>
      <c r="F1514" s="83">
        <f t="shared" ref="F1514:G1529" si="483">+L1514/8</f>
        <v>0.47</v>
      </c>
      <c r="G1514" s="83">
        <f t="shared" si="483"/>
        <v>0.42625</v>
      </c>
      <c r="H1514" s="81"/>
      <c r="I1514" s="146">
        <v>44588</v>
      </c>
      <c r="J1514" s="147">
        <v>4.05</v>
      </c>
      <c r="K1514" s="147">
        <v>3.58</v>
      </c>
      <c r="L1514" s="147">
        <v>3.76</v>
      </c>
      <c r="M1514" s="59" cm="1">
        <f t="array" ref="M1514">INDEX($BV$29:$BV$1449,MATCH($D1514,$BR$29:$BR$1449,0),)</f>
        <v>3.41</v>
      </c>
      <c r="N1514" s="150">
        <f t="shared" si="472"/>
        <v>0.00293411576420377</v>
      </c>
      <c r="O1514" s="150">
        <f t="shared" si="477"/>
        <v>0.0034694422204431</v>
      </c>
      <c r="P1514" s="150">
        <f t="shared" si="478"/>
        <v>0.0083132207026011</v>
      </c>
      <c r="Q1514" s="89">
        <f t="shared" si="480"/>
        <v>0.102639296187683</v>
      </c>
      <c r="AR1514" s="36"/>
      <c r="AT1514" s="36"/>
      <c r="AU1514" s="36"/>
      <c r="AV1514" s="36"/>
      <c r="AW1514" s="36"/>
      <c r="AX1514" s="36"/>
      <c r="AY1514" s="36"/>
      <c r="AZ1514" s="36"/>
      <c r="BA1514" s="36"/>
      <c r="BB1514" s="36"/>
      <c r="BC1514" s="36"/>
      <c r="BD1514" s="36"/>
      <c r="BE1514" s="36"/>
      <c r="BF1514" s="36"/>
      <c r="BG1514" s="36"/>
      <c r="BH1514" s="36"/>
      <c r="BI1514" s="36"/>
      <c r="BJ1514" s="36"/>
      <c r="BK1514" s="36"/>
      <c r="BL1514" s="36"/>
      <c r="BM1514" s="36"/>
      <c r="BN1514" s="36"/>
      <c r="BO1514" s="36"/>
      <c r="GE1514" s="94"/>
      <c r="GF1514" s="104">
        <f t="shared" si="468"/>
        <v>2018</v>
      </c>
      <c r="GG1514" s="104">
        <f t="shared" si="469"/>
        <v>50</v>
      </c>
      <c r="GH1514" s="35">
        <v>43445</v>
      </c>
      <c r="GI1514" s="26">
        <v>2.617</v>
      </c>
      <c r="GJ1514" s="94">
        <f t="shared" si="470"/>
        <v>5.234</v>
      </c>
      <c r="GK1514" s="104"/>
      <c r="GL1514" s="104"/>
      <c r="GO1514" s="94"/>
    </row>
    <row r="1515" spans="3:197">
      <c r="C1515" s="80" t="str" cm="1">
        <f t="array" ref="C1515">_xlfn.IFS(MONTH(D1515)&lt;4,1,MONTH(D1515)&lt;7,2,MONTH(D1515)&lt;10,3,MONTH(D1515)&gt;9,4)&amp;"Q"&amp;RIGHT(YEAR(D1515),2)</f>
        <v>1Q22</v>
      </c>
      <c r="D1515" s="81">
        <f t="shared" si="482"/>
        <v>44592</v>
      </c>
      <c r="E1515" s="82">
        <f t="shared" si="479"/>
        <v>44589</v>
      </c>
      <c r="F1515" s="83">
        <f t="shared" si="483"/>
        <v>0.47025</v>
      </c>
      <c r="G1515" s="83">
        <f t="shared" si="483"/>
        <v>0.42625</v>
      </c>
      <c r="H1515" s="81"/>
      <c r="I1515" s="146">
        <v>44589</v>
      </c>
      <c r="J1515" s="147">
        <v>4.05</v>
      </c>
      <c r="K1515" s="147">
        <v>3.57</v>
      </c>
      <c r="L1515" s="147">
        <v>3.762</v>
      </c>
      <c r="M1515" s="59" cm="1">
        <f t="array" ref="M1515">INDEX($BV$29:$BV$1449,MATCH($D1515,$BR$29:$BR$1449,0),)</f>
        <v>3.41</v>
      </c>
      <c r="N1515" s="150">
        <f t="shared" si="472"/>
        <v>0.000531914893617147</v>
      </c>
      <c r="O1515" s="150">
        <f t="shared" si="477"/>
        <v>0.00480769230769229</v>
      </c>
      <c r="P1515" s="150">
        <f t="shared" si="478"/>
        <v>0.00830876440632533</v>
      </c>
      <c r="Q1515" s="89">
        <f t="shared" si="480"/>
        <v>0.103225806451613</v>
      </c>
      <c r="AR1515" s="36"/>
      <c r="AT1515" s="36"/>
      <c r="AU1515" s="36"/>
      <c r="AV1515" s="36"/>
      <c r="AW1515" s="36"/>
      <c r="AX1515" s="36"/>
      <c r="AY1515" s="36"/>
      <c r="AZ1515" s="36"/>
      <c r="BA1515" s="36"/>
      <c r="BB1515" s="36"/>
      <c r="BC1515" s="36"/>
      <c r="BD1515" s="36"/>
      <c r="BE1515" s="36"/>
      <c r="BF1515" s="36"/>
      <c r="BG1515" s="36"/>
      <c r="BH1515" s="36"/>
      <c r="BI1515" s="36"/>
      <c r="BJ1515" s="36"/>
      <c r="BK1515" s="36"/>
      <c r="BL1515" s="36"/>
      <c r="BM1515" s="36"/>
      <c r="BN1515" s="36"/>
      <c r="BO1515" s="36"/>
      <c r="GE1515" s="94"/>
      <c r="GF1515" s="104">
        <f t="shared" si="468"/>
        <v>2018</v>
      </c>
      <c r="GG1515" s="104">
        <f t="shared" si="469"/>
        <v>50</v>
      </c>
      <c r="GH1515" s="35">
        <v>43446</v>
      </c>
      <c r="GI1515" s="26">
        <v>2.61</v>
      </c>
      <c r="GJ1515" s="94">
        <f t="shared" si="470"/>
        <v>5.22</v>
      </c>
      <c r="GK1515" s="104"/>
      <c r="GL1515" s="104"/>
      <c r="GO1515" s="94"/>
    </row>
    <row r="1516" spans="3:197">
      <c r="C1516" s="80" t="str" cm="1">
        <f t="array" ref="C1516">_xlfn.IFS(MONTH(D1516)&lt;4,1,MONTH(D1516)&lt;7,2,MONTH(D1516)&lt;10,3,MONTH(D1516)&gt;9,4)&amp;"Q"&amp;RIGHT(YEAR(D1516),2)</f>
        <v>1Q22</v>
      </c>
      <c r="D1516" s="81">
        <f t="shared" si="482"/>
        <v>44620</v>
      </c>
      <c r="E1516" s="82">
        <f t="shared" si="479"/>
        <v>44599</v>
      </c>
      <c r="F1516" s="83">
        <f t="shared" si="483"/>
        <v>0.47225</v>
      </c>
      <c r="G1516" s="83">
        <f t="shared" si="483"/>
        <v>0.42625</v>
      </c>
      <c r="H1516" s="81"/>
      <c r="I1516" s="146">
        <v>44599</v>
      </c>
      <c r="J1516" s="147">
        <v>4.06</v>
      </c>
      <c r="K1516" s="147">
        <v>3.6</v>
      </c>
      <c r="L1516" s="147">
        <v>3.778</v>
      </c>
      <c r="M1516" s="59" cm="1">
        <f t="array" ref="M1516">INDEX($BV$29:$BV$1449,MATCH($D1516,$BR$29:$BR$1449,0),)</f>
        <v>3.41</v>
      </c>
      <c r="N1516" s="150">
        <f t="shared" ref="N1516:N1579" si="484">L1516/L1515-1</f>
        <v>0.00425305688463573</v>
      </c>
      <c r="O1516" s="150">
        <f t="shared" ref="O1516:O1579" si="485">L1516/L1511-1</f>
        <v>0.00827328529490257</v>
      </c>
      <c r="P1516" s="150">
        <f t="shared" si="478"/>
        <v>0.00962052378407274</v>
      </c>
      <c r="Q1516" s="89">
        <f t="shared" si="480"/>
        <v>0.10791788856305</v>
      </c>
      <c r="AR1516" s="36"/>
      <c r="AT1516" s="36"/>
      <c r="AU1516" s="36"/>
      <c r="AV1516" s="36"/>
      <c r="AW1516" s="36"/>
      <c r="AX1516" s="36"/>
      <c r="AY1516" s="36"/>
      <c r="AZ1516" s="36"/>
      <c r="BA1516" s="36"/>
      <c r="BB1516" s="36"/>
      <c r="BC1516" s="36"/>
      <c r="BD1516" s="36"/>
      <c r="BE1516" s="36"/>
      <c r="BF1516" s="36"/>
      <c r="BG1516" s="36"/>
      <c r="BH1516" s="36"/>
      <c r="BI1516" s="36"/>
      <c r="BJ1516" s="36"/>
      <c r="BK1516" s="36"/>
      <c r="BL1516" s="36"/>
      <c r="BM1516" s="36"/>
      <c r="BN1516" s="36"/>
      <c r="BO1516" s="36"/>
      <c r="GE1516" s="94"/>
      <c r="GF1516" s="104">
        <f t="shared" si="468"/>
        <v>2018</v>
      </c>
      <c r="GG1516" s="104">
        <f t="shared" si="469"/>
        <v>50</v>
      </c>
      <c r="GH1516" s="35">
        <v>43447</v>
      </c>
      <c r="GI1516" s="26">
        <v>2.61</v>
      </c>
      <c r="GJ1516" s="94">
        <f t="shared" si="470"/>
        <v>5.22</v>
      </c>
      <c r="GK1516" s="104"/>
      <c r="GL1516" s="104"/>
      <c r="GO1516" s="94"/>
    </row>
    <row r="1517" spans="3:197">
      <c r="C1517" s="80" t="str" cm="1">
        <f t="array" ref="C1517">_xlfn.IFS(MONTH(D1517)&lt;4,1,MONTH(D1517)&lt;7,2,MONTH(D1517)&lt;10,3,MONTH(D1517)&gt;9,4)&amp;"Q"&amp;RIGHT(YEAR(D1517),2)</f>
        <v>1Q22</v>
      </c>
      <c r="D1517" s="81">
        <f t="shared" si="482"/>
        <v>44620</v>
      </c>
      <c r="E1517" s="82">
        <f t="shared" si="479"/>
        <v>44600</v>
      </c>
      <c r="F1517" s="83">
        <f t="shared" si="483"/>
        <v>0.4745</v>
      </c>
      <c r="G1517" s="83">
        <f t="shared" si="483"/>
        <v>0.42625</v>
      </c>
      <c r="H1517" s="81"/>
      <c r="I1517" s="146">
        <v>44600</v>
      </c>
      <c r="J1517" s="147">
        <v>4.12</v>
      </c>
      <c r="K1517" s="147">
        <v>3.6</v>
      </c>
      <c r="L1517" s="147">
        <v>3.796</v>
      </c>
      <c r="M1517" s="59" cm="1">
        <f t="array" ref="M1517">INDEX($BV$29:$BV$1449,MATCH($D1517,$BR$29:$BR$1449,0),)</f>
        <v>3.41</v>
      </c>
      <c r="N1517" s="150">
        <f t="shared" si="484"/>
        <v>0.00476442562202228</v>
      </c>
      <c r="O1517" s="150">
        <f t="shared" si="485"/>
        <v>0.0125366764470525</v>
      </c>
      <c r="P1517" s="150">
        <f t="shared" si="478"/>
        <v>0.0125366764470525</v>
      </c>
      <c r="Q1517" s="89">
        <f t="shared" si="480"/>
        <v>0.113196480938416</v>
      </c>
      <c r="AR1517" s="36"/>
      <c r="AT1517" s="36"/>
      <c r="AU1517" s="36"/>
      <c r="AV1517" s="36"/>
      <c r="AW1517" s="36"/>
      <c r="AX1517" s="36"/>
      <c r="AY1517" s="36"/>
      <c r="AZ1517" s="36"/>
      <c r="BA1517" s="36"/>
      <c r="BB1517" s="36"/>
      <c r="BC1517" s="36"/>
      <c r="BD1517" s="36"/>
      <c r="BE1517" s="36"/>
      <c r="BF1517" s="36"/>
      <c r="BG1517" s="36"/>
      <c r="BH1517" s="36"/>
      <c r="BI1517" s="36"/>
      <c r="BJ1517" s="36"/>
      <c r="BK1517" s="36"/>
      <c r="BL1517" s="36"/>
      <c r="BM1517" s="36"/>
      <c r="BN1517" s="36"/>
      <c r="BO1517" s="36"/>
      <c r="GE1517" s="94"/>
      <c r="GF1517" s="104">
        <f t="shared" si="468"/>
        <v>2018</v>
      </c>
      <c r="GG1517" s="104">
        <f t="shared" si="469"/>
        <v>50</v>
      </c>
      <c r="GH1517" s="35">
        <v>43448</v>
      </c>
      <c r="GI1517" s="26">
        <v>2.607</v>
      </c>
      <c r="GJ1517" s="94">
        <f t="shared" si="470"/>
        <v>5.214</v>
      </c>
      <c r="GK1517" s="104"/>
      <c r="GL1517" s="104"/>
      <c r="GO1517" s="94"/>
    </row>
    <row r="1518" spans="3:197">
      <c r="C1518" s="80" t="str" cm="1">
        <f t="array" ref="C1518">_xlfn.IFS(MONTH(D1518)&lt;4,1,MONTH(D1518)&lt;7,2,MONTH(D1518)&lt;10,3,MONTH(D1518)&gt;9,4)&amp;"Q"&amp;RIGHT(YEAR(D1518),2)</f>
        <v>1Q22</v>
      </c>
      <c r="D1518" s="81">
        <f t="shared" si="482"/>
        <v>44620</v>
      </c>
      <c r="E1518" s="82">
        <f t="shared" si="479"/>
        <v>44601</v>
      </c>
      <c r="F1518" s="83">
        <f t="shared" si="483"/>
        <v>0.475</v>
      </c>
      <c r="G1518" s="83">
        <f t="shared" si="483"/>
        <v>0.42625</v>
      </c>
      <c r="H1518" s="81"/>
      <c r="I1518" s="146">
        <v>44601</v>
      </c>
      <c r="J1518" s="147">
        <v>4.15</v>
      </c>
      <c r="K1518" s="147">
        <v>3.6</v>
      </c>
      <c r="L1518" s="147">
        <v>3.8</v>
      </c>
      <c r="M1518" s="59" cm="1">
        <f t="array" ref="M1518">INDEX($BV$29:$BV$1449,MATCH($D1518,$BR$29:$BR$1449,0),)</f>
        <v>3.41</v>
      </c>
      <c r="N1518" s="150">
        <f t="shared" si="484"/>
        <v>0.00105374077976816</v>
      </c>
      <c r="O1518" s="150">
        <f t="shared" si="485"/>
        <v>0.0136036276340357</v>
      </c>
      <c r="P1518" s="150">
        <f t="shared" si="478"/>
        <v>0.012523314681588</v>
      </c>
      <c r="Q1518" s="89">
        <f t="shared" si="480"/>
        <v>0.114369501466276</v>
      </c>
      <c r="AR1518" s="36"/>
      <c r="AT1518" s="36"/>
      <c r="AU1518" s="36"/>
      <c r="AV1518" s="36"/>
      <c r="AW1518" s="36"/>
      <c r="AX1518" s="36"/>
      <c r="AY1518" s="36"/>
      <c r="AZ1518" s="36"/>
      <c r="BA1518" s="36"/>
      <c r="BB1518" s="36"/>
      <c r="BC1518" s="36"/>
      <c r="BD1518" s="36"/>
      <c r="BE1518" s="36"/>
      <c r="BF1518" s="36"/>
      <c r="BG1518" s="36"/>
      <c r="BH1518" s="36"/>
      <c r="BI1518" s="36"/>
      <c r="BJ1518" s="36"/>
      <c r="BK1518" s="36"/>
      <c r="BL1518" s="36"/>
      <c r="BM1518" s="36"/>
      <c r="BN1518" s="36"/>
      <c r="BO1518" s="36"/>
      <c r="GE1518" s="94"/>
      <c r="GF1518" s="104">
        <f t="shared" si="468"/>
        <v>2018</v>
      </c>
      <c r="GG1518" s="104">
        <f t="shared" si="469"/>
        <v>51</v>
      </c>
      <c r="GH1518" s="35">
        <v>43451</v>
      </c>
      <c r="GI1518" s="26">
        <v>2.602</v>
      </c>
      <c r="GJ1518" s="94">
        <f t="shared" si="470"/>
        <v>5.204</v>
      </c>
      <c r="GK1518" s="104"/>
      <c r="GL1518" s="104"/>
      <c r="GO1518" s="94"/>
    </row>
    <row r="1519" spans="3:197">
      <c r="C1519" s="80" t="str" cm="1">
        <f t="array" ref="C1519">_xlfn.IFS(MONTH(D1519)&lt;4,1,MONTH(D1519)&lt;7,2,MONTH(D1519)&lt;10,3,MONTH(D1519)&gt;9,4)&amp;"Q"&amp;RIGHT(YEAR(D1519),2)</f>
        <v>1Q22</v>
      </c>
      <c r="D1519" s="81">
        <f t="shared" si="482"/>
        <v>44620</v>
      </c>
      <c r="E1519" s="82">
        <f t="shared" si="479"/>
        <v>44602</v>
      </c>
      <c r="F1519" s="83">
        <f t="shared" si="483"/>
        <v>0.47775</v>
      </c>
      <c r="G1519" s="83">
        <f t="shared" si="483"/>
        <v>0.42625</v>
      </c>
      <c r="H1519" s="81"/>
      <c r="I1519" s="146">
        <v>44602</v>
      </c>
      <c r="J1519" s="147">
        <v>4.15</v>
      </c>
      <c r="K1519" s="147">
        <v>3.62</v>
      </c>
      <c r="L1519" s="147">
        <v>3.822</v>
      </c>
      <c r="M1519" s="59" cm="1">
        <f t="array" ref="M1519">INDEX($BV$29:$BV$1449,MATCH($D1519,$BR$29:$BR$1449,0),)</f>
        <v>3.41</v>
      </c>
      <c r="N1519" s="150">
        <f t="shared" si="484"/>
        <v>0.00578947368421057</v>
      </c>
      <c r="O1519" s="150">
        <f t="shared" si="485"/>
        <v>0.0164893617021278</v>
      </c>
      <c r="P1519" s="150">
        <f t="shared" si="478"/>
        <v>0.0200160128102482</v>
      </c>
      <c r="Q1519" s="89">
        <f t="shared" si="480"/>
        <v>0.120821114369501</v>
      </c>
      <c r="AR1519" s="36"/>
      <c r="AT1519" s="36"/>
      <c r="AU1519" s="36"/>
      <c r="AV1519" s="36"/>
      <c r="AW1519" s="36"/>
      <c r="AX1519" s="36"/>
      <c r="AY1519" s="36"/>
      <c r="AZ1519" s="36"/>
      <c r="BA1519" s="36"/>
      <c r="BB1519" s="36"/>
      <c r="BC1519" s="36"/>
      <c r="BD1519" s="36"/>
      <c r="BE1519" s="36"/>
      <c r="BF1519" s="36"/>
      <c r="BG1519" s="36"/>
      <c r="BH1519" s="36"/>
      <c r="BI1519" s="36"/>
      <c r="BJ1519" s="36"/>
      <c r="BK1519" s="36"/>
      <c r="BL1519" s="36"/>
      <c r="BM1519" s="36"/>
      <c r="BN1519" s="36"/>
      <c r="BO1519" s="36"/>
      <c r="GE1519" s="94"/>
      <c r="GF1519" s="104">
        <f t="shared" si="468"/>
        <v>2018</v>
      </c>
      <c r="GG1519" s="104">
        <f t="shared" si="469"/>
        <v>51</v>
      </c>
      <c r="GH1519" s="35">
        <v>43452</v>
      </c>
      <c r="GI1519" s="26">
        <v>2.601</v>
      </c>
      <c r="GJ1519" s="94">
        <f t="shared" si="470"/>
        <v>5.202</v>
      </c>
      <c r="GK1519" s="104"/>
      <c r="GL1519" s="104"/>
      <c r="GO1519" s="94"/>
    </row>
    <row r="1520" spans="3:197">
      <c r="C1520" s="80" t="str" cm="1">
        <f t="array" ref="C1520">_xlfn.IFS(MONTH(D1520)&lt;4,1,MONTH(D1520)&lt;7,2,MONTH(D1520)&lt;10,3,MONTH(D1520)&gt;9,4)&amp;"Q"&amp;RIGHT(YEAR(D1520),2)</f>
        <v>1Q22</v>
      </c>
      <c r="D1520" s="81">
        <f t="shared" si="482"/>
        <v>44620</v>
      </c>
      <c r="E1520" s="82">
        <f t="shared" si="479"/>
        <v>44603</v>
      </c>
      <c r="F1520" s="83">
        <f t="shared" si="483"/>
        <v>0.481125</v>
      </c>
      <c r="G1520" s="83">
        <f t="shared" si="483"/>
        <v>0.42625</v>
      </c>
      <c r="H1520" s="81"/>
      <c r="I1520" s="146">
        <v>44603</v>
      </c>
      <c r="J1520" s="147">
        <v>4.15</v>
      </c>
      <c r="K1520" s="147">
        <v>3.62</v>
      </c>
      <c r="L1520" s="147">
        <v>3.849</v>
      </c>
      <c r="M1520" s="59" cm="1">
        <f t="array" ref="M1520">INDEX($BV$29:$BV$1449,MATCH($D1520,$BR$29:$BR$1449,0),)</f>
        <v>3.41</v>
      </c>
      <c r="N1520" s="150">
        <f t="shared" si="484"/>
        <v>0.00706436420722145</v>
      </c>
      <c r="O1520" s="150">
        <f t="shared" si="485"/>
        <v>0.0231259968102073</v>
      </c>
      <c r="P1520" s="150">
        <f t="shared" si="478"/>
        <v>0.0280448717948718</v>
      </c>
      <c r="Q1520" s="89">
        <f t="shared" si="480"/>
        <v>0.128739002932551</v>
      </c>
      <c r="AR1520" s="36"/>
      <c r="AT1520" s="36"/>
      <c r="AU1520" s="36"/>
      <c r="AV1520" s="36"/>
      <c r="AW1520" s="36"/>
      <c r="AX1520" s="36"/>
      <c r="AY1520" s="36"/>
      <c r="AZ1520" s="36"/>
      <c r="BA1520" s="36"/>
      <c r="BB1520" s="36"/>
      <c r="BC1520" s="36"/>
      <c r="BD1520" s="36"/>
      <c r="BE1520" s="36"/>
      <c r="BF1520" s="36"/>
      <c r="BG1520" s="36"/>
      <c r="BH1520" s="36"/>
      <c r="BI1520" s="36"/>
      <c r="BJ1520" s="36"/>
      <c r="BK1520" s="36"/>
      <c r="BL1520" s="36"/>
      <c r="BM1520" s="36"/>
      <c r="BN1520" s="36"/>
      <c r="BO1520" s="36"/>
      <c r="GE1520" s="94"/>
      <c r="GF1520" s="104">
        <f t="shared" si="468"/>
        <v>2018</v>
      </c>
      <c r="GG1520" s="104">
        <f t="shared" si="469"/>
        <v>51</v>
      </c>
      <c r="GH1520" s="35">
        <v>43453</v>
      </c>
      <c r="GI1520" s="26">
        <v>2.593</v>
      </c>
      <c r="GJ1520" s="94">
        <f t="shared" si="470"/>
        <v>5.186</v>
      </c>
      <c r="GK1520" s="104"/>
      <c r="GL1520" s="104"/>
      <c r="GO1520" s="94"/>
    </row>
    <row r="1521" spans="3:197">
      <c r="C1521" s="80" t="str" cm="1">
        <f t="array" ref="C1521">_xlfn.IFS(MONTH(D1521)&lt;4,1,MONTH(D1521)&lt;7,2,MONTH(D1521)&lt;10,3,MONTH(D1521)&gt;9,4)&amp;"Q"&amp;RIGHT(YEAR(D1521),2)</f>
        <v>1Q22</v>
      </c>
      <c r="D1521" s="81">
        <f t="shared" si="482"/>
        <v>44620</v>
      </c>
      <c r="E1521" s="82">
        <f t="shared" si="479"/>
        <v>44606</v>
      </c>
      <c r="F1521" s="83">
        <f t="shared" si="483"/>
        <v>0.4825</v>
      </c>
      <c r="G1521" s="83">
        <f t="shared" si="483"/>
        <v>0.42625</v>
      </c>
      <c r="H1521" s="81"/>
      <c r="I1521" s="146">
        <v>44606</v>
      </c>
      <c r="J1521" s="147">
        <v>4.15</v>
      </c>
      <c r="K1521" s="147">
        <v>3.62</v>
      </c>
      <c r="L1521" s="147">
        <v>3.86</v>
      </c>
      <c r="M1521" s="59" cm="1">
        <f t="array" ref="M1521">INDEX($BV$29:$BV$1449,MATCH($D1521,$BR$29:$BR$1449,0),)</f>
        <v>3.41</v>
      </c>
      <c r="N1521" s="150">
        <f t="shared" si="484"/>
        <v>0.00285788516497787</v>
      </c>
      <c r="O1521" s="150">
        <f t="shared" si="485"/>
        <v>0.0217046056114345</v>
      </c>
      <c r="P1521" s="150">
        <f t="shared" si="478"/>
        <v>0.0301574593007738</v>
      </c>
      <c r="Q1521" s="89">
        <f t="shared" si="480"/>
        <v>0.131964809384164</v>
      </c>
      <c r="AR1521" s="36"/>
      <c r="AT1521" s="36"/>
      <c r="AU1521" s="36"/>
      <c r="AV1521" s="36"/>
      <c r="AW1521" s="36"/>
      <c r="AX1521" s="36"/>
      <c r="AY1521" s="36"/>
      <c r="AZ1521" s="36"/>
      <c r="BA1521" s="36"/>
      <c r="BB1521" s="36"/>
      <c r="BC1521" s="36"/>
      <c r="BD1521" s="36"/>
      <c r="BE1521" s="36"/>
      <c r="BF1521" s="36"/>
      <c r="BG1521" s="36"/>
      <c r="BH1521" s="36"/>
      <c r="BI1521" s="36"/>
      <c r="BJ1521" s="36"/>
      <c r="BK1521" s="36"/>
      <c r="BL1521" s="36"/>
      <c r="BM1521" s="36"/>
      <c r="BN1521" s="36"/>
      <c r="BO1521" s="36"/>
      <c r="GE1521" s="94"/>
      <c r="GF1521" s="104">
        <f t="shared" si="468"/>
        <v>2018</v>
      </c>
      <c r="GG1521" s="104">
        <f t="shared" si="469"/>
        <v>51</v>
      </c>
      <c r="GH1521" s="35">
        <v>43454</v>
      </c>
      <c r="GI1521" s="26">
        <v>2.593</v>
      </c>
      <c r="GJ1521" s="94">
        <f t="shared" si="470"/>
        <v>5.186</v>
      </c>
      <c r="GK1521" s="104"/>
      <c r="GL1521" s="104"/>
      <c r="GO1521" s="94"/>
    </row>
    <row r="1522" spans="3:197">
      <c r="C1522" s="80" t="str" cm="1">
        <f t="array" ref="C1522">_xlfn.IFS(MONTH(D1522)&lt;4,1,MONTH(D1522)&lt;7,2,MONTH(D1522)&lt;10,3,MONTH(D1522)&gt;9,4)&amp;"Q"&amp;RIGHT(YEAR(D1522),2)</f>
        <v>1Q22</v>
      </c>
      <c r="D1522" s="81">
        <f t="shared" si="482"/>
        <v>44620</v>
      </c>
      <c r="E1522" s="82">
        <f t="shared" si="479"/>
        <v>44607</v>
      </c>
      <c r="F1522" s="83">
        <f t="shared" si="483"/>
        <v>0.483</v>
      </c>
      <c r="G1522" s="83">
        <f t="shared" si="483"/>
        <v>0.42625</v>
      </c>
      <c r="H1522" s="81"/>
      <c r="I1522" s="146">
        <v>44607</v>
      </c>
      <c r="J1522" s="147">
        <v>4.15</v>
      </c>
      <c r="K1522" s="147">
        <v>3.62</v>
      </c>
      <c r="L1522" s="147">
        <v>3.864</v>
      </c>
      <c r="M1522" s="59" cm="1">
        <f t="array" ref="M1522">INDEX($BV$29:$BV$1449,MATCH($D1522,$BR$29:$BR$1449,0),)</f>
        <v>3.41</v>
      </c>
      <c r="N1522" s="150">
        <f t="shared" si="484"/>
        <v>0.00103626943005186</v>
      </c>
      <c r="O1522" s="150">
        <f t="shared" si="485"/>
        <v>0.017913593256059</v>
      </c>
      <c r="P1522" s="150">
        <f t="shared" si="478"/>
        <v>0.0306748466257669</v>
      </c>
      <c r="Q1522" s="89">
        <f t="shared" si="480"/>
        <v>0.133137829912023</v>
      </c>
      <c r="AR1522" s="36"/>
      <c r="AT1522" s="36"/>
      <c r="AU1522" s="36"/>
      <c r="AV1522" s="36"/>
      <c r="AW1522" s="36"/>
      <c r="AX1522" s="36"/>
      <c r="AY1522" s="36"/>
      <c r="AZ1522" s="36"/>
      <c r="BA1522" s="36"/>
      <c r="BB1522" s="36"/>
      <c r="BC1522" s="36"/>
      <c r="BD1522" s="36"/>
      <c r="BE1522" s="36"/>
      <c r="BF1522" s="36"/>
      <c r="BG1522" s="36"/>
      <c r="BH1522" s="36"/>
      <c r="BI1522" s="36"/>
      <c r="BJ1522" s="36"/>
      <c r="BK1522" s="36"/>
      <c r="BL1522" s="36"/>
      <c r="BM1522" s="36"/>
      <c r="BN1522" s="36"/>
      <c r="BO1522" s="36"/>
      <c r="GE1522" s="94"/>
      <c r="GF1522" s="104">
        <f t="shared" si="468"/>
        <v>2018</v>
      </c>
      <c r="GG1522" s="104">
        <f t="shared" si="469"/>
        <v>51</v>
      </c>
      <c r="GH1522" s="35">
        <v>43455</v>
      </c>
      <c r="GI1522" s="26">
        <v>2.582</v>
      </c>
      <c r="GJ1522" s="94">
        <f t="shared" si="470"/>
        <v>5.164</v>
      </c>
      <c r="GK1522" s="104"/>
      <c r="GL1522" s="104"/>
      <c r="GO1522" s="94"/>
    </row>
    <row r="1523" spans="3:197">
      <c r="C1523" s="80" t="str" cm="1">
        <f t="array" ref="C1523">_xlfn.IFS(MONTH(D1523)&lt;4,1,MONTH(D1523)&lt;7,2,MONTH(D1523)&lt;10,3,MONTH(D1523)&gt;9,4)&amp;"Q"&amp;RIGHT(YEAR(D1523),2)</f>
        <v>1Q22</v>
      </c>
      <c r="D1523" s="81">
        <f t="shared" si="482"/>
        <v>44620</v>
      </c>
      <c r="E1523" s="82">
        <f t="shared" si="479"/>
        <v>44608</v>
      </c>
      <c r="F1523" s="83">
        <f t="shared" si="483"/>
        <v>0.483375</v>
      </c>
      <c r="G1523" s="83">
        <f t="shared" si="483"/>
        <v>0.42625</v>
      </c>
      <c r="H1523" s="81"/>
      <c r="I1523" s="146">
        <v>44608</v>
      </c>
      <c r="J1523" s="147">
        <v>4.16</v>
      </c>
      <c r="K1523" s="147">
        <v>3.65</v>
      </c>
      <c r="L1523" s="147">
        <v>3.867</v>
      </c>
      <c r="M1523" s="59" cm="1">
        <f t="array" ref="M1523">INDEX($BV$29:$BV$1449,MATCH($D1523,$BR$29:$BR$1449,0),)</f>
        <v>3.41</v>
      </c>
      <c r="N1523" s="150">
        <f t="shared" si="484"/>
        <v>0.000776397515527938</v>
      </c>
      <c r="O1523" s="150">
        <f t="shared" si="485"/>
        <v>0.0176315789473684</v>
      </c>
      <c r="P1523" s="150">
        <f t="shared" si="478"/>
        <v>0.0314750600160043</v>
      </c>
      <c r="Q1523" s="89">
        <f t="shared" si="480"/>
        <v>0.134017595307918</v>
      </c>
      <c r="AR1523" s="36"/>
      <c r="AT1523" s="36"/>
      <c r="AU1523" s="36"/>
      <c r="AV1523" s="36"/>
      <c r="AW1523" s="36"/>
      <c r="AX1523" s="36"/>
      <c r="AY1523" s="36"/>
      <c r="AZ1523" s="36"/>
      <c r="BA1523" s="36"/>
      <c r="BB1523" s="36"/>
      <c r="BC1523" s="36"/>
      <c r="BD1523" s="36"/>
      <c r="BE1523" s="36"/>
      <c r="BF1523" s="36"/>
      <c r="BG1523" s="36"/>
      <c r="BH1523" s="36"/>
      <c r="BI1523" s="36"/>
      <c r="BJ1523" s="36"/>
      <c r="BK1523" s="36"/>
      <c r="BL1523" s="36"/>
      <c r="BM1523" s="36"/>
      <c r="BN1523" s="36"/>
      <c r="BO1523" s="36"/>
      <c r="GE1523" s="94"/>
      <c r="GF1523" s="104">
        <f t="shared" si="468"/>
        <v>2018</v>
      </c>
      <c r="GG1523" s="104">
        <f t="shared" si="469"/>
        <v>52</v>
      </c>
      <c r="GH1523" s="35">
        <v>43458</v>
      </c>
      <c r="GI1523" s="26">
        <v>2.582</v>
      </c>
      <c r="GJ1523" s="94">
        <f t="shared" si="470"/>
        <v>5.164</v>
      </c>
      <c r="GK1523" s="104"/>
      <c r="GL1523" s="104"/>
      <c r="GO1523" s="94"/>
    </row>
    <row r="1524" spans="3:197">
      <c r="C1524" s="80" t="str" cm="1">
        <f t="array" ref="C1524">_xlfn.IFS(MONTH(D1524)&lt;4,1,MONTH(D1524)&lt;7,2,MONTH(D1524)&lt;10,3,MONTH(D1524)&gt;9,4)&amp;"Q"&amp;RIGHT(YEAR(D1524),2)</f>
        <v>1Q22</v>
      </c>
      <c r="D1524" s="81">
        <f t="shared" si="482"/>
        <v>44620</v>
      </c>
      <c r="E1524" s="82">
        <f t="shared" si="479"/>
        <v>44609</v>
      </c>
      <c r="F1524" s="83">
        <f t="shared" si="483"/>
        <v>0.48725</v>
      </c>
      <c r="G1524" s="83">
        <f t="shared" si="483"/>
        <v>0.42625</v>
      </c>
      <c r="H1524" s="81"/>
      <c r="I1524" s="146">
        <v>44609</v>
      </c>
      <c r="J1524" s="147">
        <v>4.18</v>
      </c>
      <c r="K1524" s="147">
        <v>3.68</v>
      </c>
      <c r="L1524" s="147">
        <v>3.898</v>
      </c>
      <c r="M1524" s="59" cm="1">
        <f t="array" ref="M1524">INDEX($BV$29:$BV$1449,MATCH($D1524,$BR$29:$BR$1449,0),)</f>
        <v>3.41</v>
      </c>
      <c r="N1524" s="150">
        <f t="shared" si="484"/>
        <v>0.00801655029738813</v>
      </c>
      <c r="O1524" s="150">
        <f t="shared" si="485"/>
        <v>0.0198848770277342</v>
      </c>
      <c r="P1524" s="150">
        <f t="shared" si="478"/>
        <v>0.0367021276595745</v>
      </c>
      <c r="Q1524" s="89">
        <f t="shared" si="480"/>
        <v>0.143108504398827</v>
      </c>
      <c r="AR1524" s="36"/>
      <c r="AT1524" s="36"/>
      <c r="AU1524" s="36"/>
      <c r="AV1524" s="36"/>
      <c r="AW1524" s="36"/>
      <c r="AX1524" s="36"/>
      <c r="AY1524" s="36"/>
      <c r="AZ1524" s="36"/>
      <c r="BA1524" s="36"/>
      <c r="BB1524" s="36"/>
      <c r="BC1524" s="36"/>
      <c r="BD1524" s="36"/>
      <c r="BE1524" s="36"/>
      <c r="BF1524" s="36"/>
      <c r="BG1524" s="36"/>
      <c r="BH1524" s="36"/>
      <c r="BI1524" s="36"/>
      <c r="BJ1524" s="36"/>
      <c r="BK1524" s="36"/>
      <c r="BL1524" s="36"/>
      <c r="BM1524" s="36"/>
      <c r="BN1524" s="36"/>
      <c r="BO1524" s="36"/>
      <c r="GE1524" s="94"/>
      <c r="GF1524" s="104">
        <f t="shared" ref="GF1524:GF1587" si="486">YEAR(GH1524)</f>
        <v>2018</v>
      </c>
      <c r="GG1524" s="104">
        <f t="shared" ref="GG1524:GG1587" si="487">WEEKNUM(GH1524)</f>
        <v>52</v>
      </c>
      <c r="GH1524" s="35">
        <v>43459</v>
      </c>
      <c r="GI1524" s="26">
        <v>2.582</v>
      </c>
      <c r="GJ1524" s="94">
        <f t="shared" ref="GJ1524:GJ1587" si="488">GI1524*2</f>
        <v>5.164</v>
      </c>
      <c r="GK1524" s="104"/>
      <c r="GL1524" s="104"/>
      <c r="GO1524" s="94"/>
    </row>
    <row r="1525" spans="3:197">
      <c r="C1525" s="80" t="str" cm="1">
        <f t="array" ref="C1525">_xlfn.IFS(MONTH(D1525)&lt;4,1,MONTH(D1525)&lt;7,2,MONTH(D1525)&lt;10,3,MONTH(D1525)&gt;9,4)&amp;"Q"&amp;RIGHT(YEAR(D1525),2)</f>
        <v>1Q22</v>
      </c>
      <c r="D1525" s="81">
        <f t="shared" si="482"/>
        <v>44620</v>
      </c>
      <c r="E1525" s="82">
        <f t="shared" si="479"/>
        <v>44610</v>
      </c>
      <c r="F1525" s="83">
        <f t="shared" si="483"/>
        <v>0.488375</v>
      </c>
      <c r="G1525" s="83">
        <f t="shared" si="483"/>
        <v>0.42625</v>
      </c>
      <c r="H1525" s="81"/>
      <c r="I1525" s="146">
        <v>44610</v>
      </c>
      <c r="J1525" s="147">
        <v>4.18</v>
      </c>
      <c r="K1525" s="147">
        <v>3.68</v>
      </c>
      <c r="L1525" s="147">
        <v>3.907</v>
      </c>
      <c r="M1525" s="59" cm="1">
        <f t="array" ref="M1525">INDEX($BV$29:$BV$1449,MATCH($D1525,$BR$29:$BR$1449,0),)</f>
        <v>3.41</v>
      </c>
      <c r="N1525" s="150">
        <f t="shared" si="484"/>
        <v>0.0023088763468444</v>
      </c>
      <c r="O1525" s="150">
        <f t="shared" si="485"/>
        <v>0.0150688490517017</v>
      </c>
      <c r="P1525" s="150">
        <f t="shared" si="478"/>
        <v>0.0385433280170122</v>
      </c>
      <c r="Q1525" s="89">
        <f t="shared" si="480"/>
        <v>0.14574780058651</v>
      </c>
      <c r="AR1525" s="36"/>
      <c r="AT1525" s="36"/>
      <c r="AU1525" s="36"/>
      <c r="AV1525" s="36"/>
      <c r="AW1525" s="36"/>
      <c r="AX1525" s="36"/>
      <c r="AY1525" s="36"/>
      <c r="AZ1525" s="36"/>
      <c r="BA1525" s="36"/>
      <c r="BB1525" s="36"/>
      <c r="BC1525" s="36"/>
      <c r="BD1525" s="36"/>
      <c r="BE1525" s="36"/>
      <c r="BF1525" s="36"/>
      <c r="BG1525" s="36"/>
      <c r="BH1525" s="36"/>
      <c r="BI1525" s="36"/>
      <c r="BJ1525" s="36"/>
      <c r="BK1525" s="36"/>
      <c r="BL1525" s="36"/>
      <c r="BM1525" s="36"/>
      <c r="BN1525" s="36"/>
      <c r="GE1525" s="94"/>
      <c r="GF1525" s="104">
        <f t="shared" si="486"/>
        <v>2018</v>
      </c>
      <c r="GG1525" s="104">
        <f t="shared" si="487"/>
        <v>52</v>
      </c>
      <c r="GH1525" s="35">
        <v>43460</v>
      </c>
      <c r="GI1525" s="26">
        <v>2.579</v>
      </c>
      <c r="GJ1525" s="94">
        <f t="shared" si="488"/>
        <v>5.158</v>
      </c>
      <c r="GK1525" s="104"/>
      <c r="GL1525" s="104"/>
      <c r="GO1525" s="94"/>
    </row>
    <row r="1526" spans="3:197">
      <c r="C1526" s="80" t="str" cm="1">
        <f t="array" ref="C1526">_xlfn.IFS(MONTH(D1526)&lt;4,1,MONTH(D1526)&lt;7,2,MONTH(D1526)&lt;10,3,MONTH(D1526)&gt;9,4)&amp;"Q"&amp;RIGHT(YEAR(D1526),2)</f>
        <v>1Q22</v>
      </c>
      <c r="D1526" s="81">
        <f t="shared" si="482"/>
        <v>44620</v>
      </c>
      <c r="E1526" s="82">
        <f t="shared" si="479"/>
        <v>44613</v>
      </c>
      <c r="F1526" s="83">
        <f t="shared" si="483"/>
        <v>0.491125</v>
      </c>
      <c r="G1526" s="83">
        <f t="shared" si="483"/>
        <v>0.42625</v>
      </c>
      <c r="H1526" s="81"/>
      <c r="I1526" s="146">
        <v>44613</v>
      </c>
      <c r="J1526" s="147">
        <v>4.2</v>
      </c>
      <c r="K1526" s="147">
        <v>3.7</v>
      </c>
      <c r="L1526" s="147">
        <v>3.929</v>
      </c>
      <c r="M1526" s="59" cm="1">
        <f t="array" ref="M1526">INDEX($BV$29:$BV$1449,MATCH($D1526,$BR$29:$BR$1449,0),)</f>
        <v>3.41</v>
      </c>
      <c r="N1526" s="150">
        <f t="shared" si="484"/>
        <v>0.00563091886357814</v>
      </c>
      <c r="O1526" s="150">
        <f t="shared" si="485"/>
        <v>0.0178756476683937</v>
      </c>
      <c r="P1526" s="150">
        <f t="shared" si="478"/>
        <v>0.0399682371625198</v>
      </c>
      <c r="Q1526" s="89">
        <f t="shared" si="480"/>
        <v>0.152199413489736</v>
      </c>
      <c r="AR1526" s="36"/>
      <c r="AT1526" s="36"/>
      <c r="AU1526" s="36"/>
      <c r="AV1526" s="36"/>
      <c r="AW1526" s="36"/>
      <c r="AX1526" s="36"/>
      <c r="AY1526" s="36"/>
      <c r="AZ1526" s="36"/>
      <c r="BA1526" s="36"/>
      <c r="BB1526" s="36"/>
      <c r="BC1526" s="36"/>
      <c r="BD1526" s="36"/>
      <c r="BE1526" s="36"/>
      <c r="BF1526" s="36"/>
      <c r="BG1526" s="36"/>
      <c r="BH1526" s="36"/>
      <c r="BI1526" s="36"/>
      <c r="BJ1526" s="36"/>
      <c r="BK1526" s="36"/>
      <c r="BL1526" s="36"/>
      <c r="BM1526" s="36"/>
      <c r="BN1526" s="36"/>
      <c r="GE1526" s="94"/>
      <c r="GF1526" s="104">
        <f t="shared" si="486"/>
        <v>2018</v>
      </c>
      <c r="GG1526" s="104">
        <f t="shared" si="487"/>
        <v>52</v>
      </c>
      <c r="GH1526" s="35">
        <v>43461</v>
      </c>
      <c r="GI1526" s="26">
        <v>2.578</v>
      </c>
      <c r="GJ1526" s="94">
        <f t="shared" si="488"/>
        <v>5.156</v>
      </c>
      <c r="GK1526" s="104"/>
      <c r="GL1526" s="104"/>
      <c r="GO1526" s="94"/>
    </row>
    <row r="1527" spans="3:197">
      <c r="C1527" s="80" t="str" cm="1">
        <f t="array" ref="C1527">_xlfn.IFS(MONTH(D1527)&lt;4,1,MONTH(D1527)&lt;7,2,MONTH(D1527)&lt;10,3,MONTH(D1527)&gt;9,4)&amp;"Q"&amp;RIGHT(YEAR(D1527),2)</f>
        <v>1Q22</v>
      </c>
      <c r="D1527" s="81">
        <f t="shared" si="482"/>
        <v>44620</v>
      </c>
      <c r="E1527" s="82">
        <f t="shared" si="479"/>
        <v>44614</v>
      </c>
      <c r="F1527" s="83">
        <f t="shared" si="483"/>
        <v>0.491125</v>
      </c>
      <c r="G1527" s="83">
        <f t="shared" si="483"/>
        <v>0.42625</v>
      </c>
      <c r="H1527" s="81"/>
      <c r="I1527" s="146">
        <v>44614</v>
      </c>
      <c r="J1527" s="147">
        <v>4.2</v>
      </c>
      <c r="K1527" s="147">
        <v>3.73</v>
      </c>
      <c r="L1527" s="147">
        <v>3.929</v>
      </c>
      <c r="M1527" s="59" cm="1">
        <f t="array" ref="M1527">INDEX($BV$29:$BV$1449,MATCH($D1527,$BR$29:$BR$1449,0),)</f>
        <v>3.41</v>
      </c>
      <c r="N1527" s="150">
        <f t="shared" si="484"/>
        <v>0</v>
      </c>
      <c r="O1527" s="150">
        <f t="shared" si="485"/>
        <v>0.0168219461697723</v>
      </c>
      <c r="P1527" s="150">
        <f t="shared" si="478"/>
        <v>0.0350368809272918</v>
      </c>
      <c r="Q1527" s="89">
        <f t="shared" si="480"/>
        <v>0.152199413489736</v>
      </c>
      <c r="AR1527" s="36"/>
      <c r="AT1527" s="36"/>
      <c r="AU1527" s="36"/>
      <c r="AV1527" s="36"/>
      <c r="AW1527" s="36"/>
      <c r="AX1527" s="36"/>
      <c r="AY1527" s="36"/>
      <c r="AZ1527" s="36"/>
      <c r="BA1527" s="36"/>
      <c r="BB1527" s="36"/>
      <c r="BC1527" s="36"/>
      <c r="BD1527" s="36"/>
      <c r="BE1527" s="36"/>
      <c r="BF1527" s="36"/>
      <c r="BG1527" s="36"/>
      <c r="BH1527" s="36"/>
      <c r="BI1527" s="36"/>
      <c r="BJ1527" s="36"/>
      <c r="BK1527" s="36"/>
      <c r="BL1527" s="36"/>
      <c r="BM1527" s="36"/>
      <c r="BN1527" s="36"/>
      <c r="GE1527" s="94"/>
      <c r="GF1527" s="104">
        <f t="shared" si="486"/>
        <v>2018</v>
      </c>
      <c r="GG1527" s="104">
        <f t="shared" si="487"/>
        <v>52</v>
      </c>
      <c r="GH1527" s="35">
        <v>43462</v>
      </c>
      <c r="GI1527" s="26">
        <v>2.57</v>
      </c>
      <c r="GJ1527" s="94">
        <f t="shared" si="488"/>
        <v>5.14</v>
      </c>
      <c r="GK1527" s="104"/>
      <c r="GL1527" s="104"/>
      <c r="GO1527" s="94"/>
    </row>
    <row r="1528" spans="3:197">
      <c r="C1528" s="80" t="str" cm="1">
        <f t="array" ref="C1528">_xlfn.IFS(MONTH(D1528)&lt;4,1,MONTH(D1528)&lt;7,2,MONTH(D1528)&lt;10,3,MONTH(D1528)&gt;9,4)&amp;"Q"&amp;RIGHT(YEAR(D1528),2)</f>
        <v>1Q22</v>
      </c>
      <c r="D1528" s="81">
        <f t="shared" si="482"/>
        <v>44620</v>
      </c>
      <c r="E1528" s="82">
        <f t="shared" si="479"/>
        <v>44615</v>
      </c>
      <c r="F1528" s="83">
        <f t="shared" si="483"/>
        <v>0.493375</v>
      </c>
      <c r="G1528" s="83">
        <f t="shared" si="483"/>
        <v>0.42625</v>
      </c>
      <c r="H1528" s="81"/>
      <c r="I1528" s="146">
        <v>44615</v>
      </c>
      <c r="J1528" s="147">
        <v>4.25</v>
      </c>
      <c r="K1528" s="147">
        <v>3.72</v>
      </c>
      <c r="L1528" s="147">
        <v>3.947</v>
      </c>
      <c r="M1528" s="59" cm="1">
        <f t="array" ref="M1528">INDEX($BV$29:$BV$1449,MATCH($D1528,$BR$29:$BR$1449,0),)</f>
        <v>3.41</v>
      </c>
      <c r="N1528" s="150">
        <f t="shared" si="484"/>
        <v>0.00458131840162901</v>
      </c>
      <c r="O1528" s="150">
        <f t="shared" si="485"/>
        <v>0.0206878717351953</v>
      </c>
      <c r="P1528" s="150">
        <f t="shared" si="478"/>
        <v>0.0386842105263159</v>
      </c>
      <c r="Q1528" s="89">
        <f t="shared" si="480"/>
        <v>0.157478005865103</v>
      </c>
      <c r="AR1528" s="36"/>
      <c r="AT1528" s="36"/>
      <c r="AU1528" s="36"/>
      <c r="AV1528" s="36"/>
      <c r="AW1528" s="36"/>
      <c r="AX1528" s="36"/>
      <c r="AY1528" s="36"/>
      <c r="AZ1528" s="36"/>
      <c r="BA1528" s="36"/>
      <c r="BB1528" s="36"/>
      <c r="BC1528" s="36"/>
      <c r="BD1528" s="36"/>
      <c r="BE1528" s="36"/>
      <c r="BF1528" s="36"/>
      <c r="BG1528" s="36"/>
      <c r="BH1528" s="36"/>
      <c r="BI1528" s="36"/>
      <c r="BJ1528" s="36"/>
      <c r="BK1528" s="36"/>
      <c r="BL1528" s="36"/>
      <c r="BM1528" s="36"/>
      <c r="BN1528" s="36"/>
      <c r="GE1528" s="94"/>
      <c r="GF1528" s="104">
        <f t="shared" si="486"/>
        <v>2019</v>
      </c>
      <c r="GG1528" s="104">
        <f t="shared" si="487"/>
        <v>1</v>
      </c>
      <c r="GH1528" s="35">
        <v>43467</v>
      </c>
      <c r="GI1528" s="26">
        <v>2.57</v>
      </c>
      <c r="GJ1528" s="94">
        <f t="shared" si="488"/>
        <v>5.14</v>
      </c>
      <c r="GK1528" s="104"/>
      <c r="GL1528" s="104"/>
      <c r="GO1528" s="94"/>
    </row>
    <row r="1529" spans="3:197">
      <c r="C1529" s="80" t="str" cm="1">
        <f t="array" ref="C1529">_xlfn.IFS(MONTH(D1529)&lt;4,1,MONTH(D1529)&lt;7,2,MONTH(D1529)&lt;10,3,MONTH(D1529)&gt;9,4)&amp;"Q"&amp;RIGHT(YEAR(D1529),2)</f>
        <v>1Q22</v>
      </c>
      <c r="D1529" s="81">
        <f t="shared" si="482"/>
        <v>44620</v>
      </c>
      <c r="E1529" s="82">
        <f t="shared" si="479"/>
        <v>44616</v>
      </c>
      <c r="F1529" s="83">
        <f t="shared" si="483"/>
        <v>0.493625</v>
      </c>
      <c r="G1529" s="83">
        <f t="shared" si="483"/>
        <v>0.42625</v>
      </c>
      <c r="H1529" s="81"/>
      <c r="I1529" s="146">
        <v>44616</v>
      </c>
      <c r="J1529" s="147">
        <v>4.25</v>
      </c>
      <c r="K1529" s="147">
        <v>3.72</v>
      </c>
      <c r="L1529" s="147">
        <v>3.949</v>
      </c>
      <c r="M1529" s="59" cm="1">
        <f t="array" ref="M1529">INDEX($BV$29:$BV$1449,MATCH($D1529,$BR$29:$BR$1449,0),)</f>
        <v>3.41</v>
      </c>
      <c r="N1529" s="150">
        <f t="shared" si="484"/>
        <v>0.000506713959969485</v>
      </c>
      <c r="O1529" s="150">
        <f t="shared" si="485"/>
        <v>0.0130836326321189</v>
      </c>
      <c r="P1529" s="150">
        <f t="shared" si="478"/>
        <v>0.0332286760858189</v>
      </c>
      <c r="Q1529" s="89">
        <f t="shared" si="480"/>
        <v>0.158064516129032</v>
      </c>
      <c r="AR1529" s="36"/>
      <c r="AT1529" s="36"/>
      <c r="AU1529" s="36"/>
      <c r="AV1529" s="36"/>
      <c r="AW1529" s="36"/>
      <c r="AX1529" s="36"/>
      <c r="AY1529" s="36"/>
      <c r="AZ1529" s="36"/>
      <c r="BA1529" s="36"/>
      <c r="BB1529" s="36"/>
      <c r="BC1529" s="36"/>
      <c r="BD1529" s="36"/>
      <c r="BE1529" s="36"/>
      <c r="BF1529" s="36"/>
      <c r="BG1529" s="36"/>
      <c r="BH1529" s="36"/>
      <c r="BI1529" s="36"/>
      <c r="BJ1529" s="36"/>
      <c r="BK1529" s="36"/>
      <c r="BL1529" s="36"/>
      <c r="BM1529" s="36"/>
      <c r="BN1529" s="36"/>
      <c r="GE1529" s="94"/>
      <c r="GF1529" s="104">
        <f t="shared" si="486"/>
        <v>2019</v>
      </c>
      <c r="GG1529" s="104">
        <f t="shared" si="487"/>
        <v>1</v>
      </c>
      <c r="GH1529" s="35">
        <v>43468</v>
      </c>
      <c r="GI1529" s="26">
        <v>2.567</v>
      </c>
      <c r="GJ1529" s="94">
        <f t="shared" si="488"/>
        <v>5.134</v>
      </c>
      <c r="GK1529" s="104"/>
      <c r="GL1529" s="104"/>
      <c r="GO1529" s="94"/>
    </row>
    <row r="1530" spans="3:197">
      <c r="C1530" s="80" t="str" cm="1">
        <f t="array" ref="C1530">_xlfn.IFS(MONTH(D1530)&lt;4,1,MONTH(D1530)&lt;7,2,MONTH(D1530)&lt;10,3,MONTH(D1530)&gt;9,4)&amp;"Q"&amp;RIGHT(YEAR(D1530),2)</f>
        <v>1Q22</v>
      </c>
      <c r="D1530" s="81">
        <f t="shared" si="482"/>
        <v>44620</v>
      </c>
      <c r="E1530" s="82">
        <f t="shared" si="479"/>
        <v>44617</v>
      </c>
      <c r="F1530" s="83">
        <f t="shared" ref="F1530:G1545" si="489">+L1530/8</f>
        <v>0.493625</v>
      </c>
      <c r="G1530" s="83">
        <f t="shared" si="489"/>
        <v>0.42625</v>
      </c>
      <c r="H1530" s="81"/>
      <c r="I1530" s="146">
        <v>44617</v>
      </c>
      <c r="J1530" s="147">
        <v>4.25</v>
      </c>
      <c r="K1530" s="147">
        <v>3.72</v>
      </c>
      <c r="L1530" s="147">
        <v>3.949</v>
      </c>
      <c r="M1530" s="59" cm="1">
        <f t="array" ref="M1530">INDEX($BV$29:$BV$1449,MATCH($D1530,$BR$29:$BR$1449,0),)</f>
        <v>3.41</v>
      </c>
      <c r="N1530" s="150">
        <f t="shared" si="484"/>
        <v>0</v>
      </c>
      <c r="O1530" s="150">
        <f t="shared" si="485"/>
        <v>0.0107499360122856</v>
      </c>
      <c r="P1530" s="150">
        <f t="shared" si="478"/>
        <v>0.0259807742270719</v>
      </c>
      <c r="Q1530" s="89">
        <f t="shared" si="480"/>
        <v>0.158064516129032</v>
      </c>
      <c r="AR1530" s="36"/>
      <c r="AT1530" s="36"/>
      <c r="AU1530" s="36"/>
      <c r="AV1530" s="36"/>
      <c r="AW1530" s="36"/>
      <c r="AX1530" s="36"/>
      <c r="AY1530" s="36"/>
      <c r="AZ1530" s="36"/>
      <c r="BA1530" s="36"/>
      <c r="BB1530" s="36"/>
      <c r="BC1530" s="36"/>
      <c r="BD1530" s="36"/>
      <c r="BE1530" s="36"/>
      <c r="BF1530" s="36"/>
      <c r="BG1530" s="36"/>
      <c r="BH1530" s="36"/>
      <c r="BI1530" s="36"/>
      <c r="BJ1530" s="36"/>
      <c r="BK1530" s="36"/>
      <c r="BL1530" s="36"/>
      <c r="BM1530" s="36"/>
      <c r="BN1530" s="36"/>
      <c r="GE1530" s="94"/>
      <c r="GF1530" s="104">
        <f t="shared" si="486"/>
        <v>2019</v>
      </c>
      <c r="GG1530" s="104">
        <f t="shared" si="487"/>
        <v>1</v>
      </c>
      <c r="GH1530" s="35">
        <v>43469</v>
      </c>
      <c r="GI1530" s="26">
        <v>2.567</v>
      </c>
      <c r="GJ1530" s="94">
        <f t="shared" si="488"/>
        <v>5.134</v>
      </c>
      <c r="GK1530" s="104"/>
      <c r="GL1530" s="104"/>
      <c r="GO1530" s="94"/>
    </row>
    <row r="1531" spans="3:197">
      <c r="C1531" s="80" t="str" cm="1">
        <f t="array" ref="C1531">_xlfn.IFS(MONTH(D1531)&lt;4,1,MONTH(D1531)&lt;7,2,MONTH(D1531)&lt;10,3,MONTH(D1531)&gt;9,4)&amp;"Q"&amp;RIGHT(YEAR(D1531),2)</f>
        <v>1Q22</v>
      </c>
      <c r="D1531" s="81">
        <f t="shared" si="482"/>
        <v>44620</v>
      </c>
      <c r="E1531" s="82">
        <f t="shared" si="479"/>
        <v>44620</v>
      </c>
      <c r="F1531" s="83">
        <f t="shared" si="489"/>
        <v>0.491375</v>
      </c>
      <c r="G1531" s="83">
        <f t="shared" si="489"/>
        <v>0.42625</v>
      </c>
      <c r="H1531" s="81"/>
      <c r="I1531" s="146">
        <v>44620</v>
      </c>
      <c r="J1531" s="147">
        <v>4.23</v>
      </c>
      <c r="K1531" s="147">
        <v>3.7</v>
      </c>
      <c r="L1531" s="147">
        <v>3.931</v>
      </c>
      <c r="M1531" s="59" cm="1">
        <f t="array" ref="M1531">INDEX($BV$29:$BV$1449,MATCH($D1531,$BR$29:$BR$1449,0),)</f>
        <v>3.41</v>
      </c>
      <c r="N1531" s="150">
        <f t="shared" si="484"/>
        <v>-0.00455811597872879</v>
      </c>
      <c r="O1531" s="150">
        <f t="shared" si="485"/>
        <v>0.000509035377958877</v>
      </c>
      <c r="P1531" s="150">
        <f t="shared" si="478"/>
        <v>0.0183937823834197</v>
      </c>
      <c r="Q1531" s="89">
        <f t="shared" si="480"/>
        <v>0.152785923753666</v>
      </c>
      <c r="AR1531" s="36"/>
      <c r="AT1531" s="36"/>
      <c r="AU1531" s="36"/>
      <c r="AV1531" s="36"/>
      <c r="AW1531" s="36"/>
      <c r="AX1531" s="36"/>
      <c r="AY1531" s="36"/>
      <c r="AZ1531" s="36"/>
      <c r="BA1531" s="36"/>
      <c r="BB1531" s="36"/>
      <c r="BC1531" s="36"/>
      <c r="BD1531" s="36"/>
      <c r="BE1531" s="36"/>
      <c r="BF1531" s="36"/>
      <c r="BG1531" s="36"/>
      <c r="BH1531" s="36"/>
      <c r="BI1531" s="36"/>
      <c r="BJ1531" s="36"/>
      <c r="BK1531" s="36"/>
      <c r="BL1531" s="36"/>
      <c r="BM1531" s="36"/>
      <c r="BN1531" s="36"/>
      <c r="GE1531" s="94"/>
      <c r="GF1531" s="104">
        <f t="shared" si="486"/>
        <v>2019</v>
      </c>
      <c r="GG1531" s="104">
        <f t="shared" si="487"/>
        <v>2</v>
      </c>
      <c r="GH1531" s="35">
        <v>43472</v>
      </c>
      <c r="GI1531" s="26">
        <v>2.562</v>
      </c>
      <c r="GJ1531" s="94">
        <f t="shared" si="488"/>
        <v>5.124</v>
      </c>
      <c r="GK1531" s="104"/>
      <c r="GL1531" s="104"/>
      <c r="GO1531" s="94"/>
    </row>
    <row r="1532" spans="3:197">
      <c r="C1532" s="80" t="str" cm="1">
        <f t="array" ref="C1532">_xlfn.IFS(MONTH(D1532)&lt;4,1,MONTH(D1532)&lt;7,2,MONTH(D1532)&lt;10,3,MONTH(D1532)&gt;9,4)&amp;"Q"&amp;RIGHT(YEAR(D1532),2)</f>
        <v>1Q22</v>
      </c>
      <c r="D1532" s="81">
        <f t="shared" si="482"/>
        <v>44651</v>
      </c>
      <c r="E1532" s="82">
        <f t="shared" si="479"/>
        <v>44621</v>
      </c>
      <c r="F1532" s="83">
        <f t="shared" si="489"/>
        <v>0.491375</v>
      </c>
      <c r="G1532" s="83">
        <f t="shared" si="489"/>
        <v>0.42625</v>
      </c>
      <c r="H1532" s="81"/>
      <c r="I1532" s="146">
        <v>44621</v>
      </c>
      <c r="J1532" s="147">
        <v>4.2</v>
      </c>
      <c r="K1532" s="147">
        <v>3.69</v>
      </c>
      <c r="L1532" s="147">
        <v>3.931</v>
      </c>
      <c r="M1532" s="59" cm="1">
        <f t="array" ref="M1532">INDEX($BV$29:$BV$1449,MATCH($D1532,$BR$29:$BR$1449,0),)</f>
        <v>3.41</v>
      </c>
      <c r="N1532" s="150">
        <f t="shared" si="484"/>
        <v>0</v>
      </c>
      <c r="O1532" s="150">
        <f t="shared" si="485"/>
        <v>0.000509035377958877</v>
      </c>
      <c r="P1532" s="150">
        <f t="shared" si="478"/>
        <v>0.0173395445134576</v>
      </c>
      <c r="Q1532" s="89">
        <f t="shared" si="480"/>
        <v>0.152785923753666</v>
      </c>
      <c r="AR1532" s="36"/>
      <c r="AT1532" s="36"/>
      <c r="AU1532" s="36"/>
      <c r="AV1532" s="36"/>
      <c r="AW1532" s="36"/>
      <c r="AX1532" s="36"/>
      <c r="AY1532" s="36"/>
      <c r="AZ1532" s="36"/>
      <c r="BA1532" s="36"/>
      <c r="BB1532" s="36"/>
      <c r="BC1532" s="36"/>
      <c r="BD1532" s="36"/>
      <c r="BE1532" s="36"/>
      <c r="BF1532" s="36"/>
      <c r="BG1532" s="36"/>
      <c r="BH1532" s="36"/>
      <c r="BI1532" s="36"/>
      <c r="BJ1532" s="36"/>
      <c r="BK1532" s="36"/>
      <c r="BL1532" s="36"/>
      <c r="BM1532" s="36"/>
      <c r="BN1532" s="36"/>
      <c r="GE1532" s="94"/>
      <c r="GF1532" s="104">
        <f t="shared" si="486"/>
        <v>2019</v>
      </c>
      <c r="GG1532" s="104">
        <f t="shared" si="487"/>
        <v>2</v>
      </c>
      <c r="GH1532" s="35">
        <v>43473</v>
      </c>
      <c r="GI1532" s="26">
        <v>2.559</v>
      </c>
      <c r="GJ1532" s="94">
        <f t="shared" si="488"/>
        <v>5.118</v>
      </c>
      <c r="GK1532" s="104"/>
      <c r="GL1532" s="104"/>
      <c r="GO1532" s="94"/>
    </row>
    <row r="1533" spans="3:197">
      <c r="C1533" s="80" t="str" cm="1">
        <f t="array" ref="C1533">_xlfn.IFS(MONTH(D1533)&lt;4,1,MONTH(D1533)&lt;7,2,MONTH(D1533)&lt;10,3,MONTH(D1533)&gt;9,4)&amp;"Q"&amp;RIGHT(YEAR(D1533),2)</f>
        <v>1Q22</v>
      </c>
      <c r="D1533" s="81">
        <f t="shared" si="482"/>
        <v>44651</v>
      </c>
      <c r="E1533" s="82">
        <f t="shared" si="479"/>
        <v>44622</v>
      </c>
      <c r="F1533" s="83">
        <f t="shared" si="489"/>
        <v>0.491375</v>
      </c>
      <c r="G1533" s="83">
        <f t="shared" si="489"/>
        <v>0.42625</v>
      </c>
      <c r="H1533" s="81"/>
      <c r="I1533" s="146">
        <v>44622</v>
      </c>
      <c r="J1533" s="147">
        <v>4.2</v>
      </c>
      <c r="K1533" s="147">
        <v>3.67</v>
      </c>
      <c r="L1533" s="147">
        <v>3.931</v>
      </c>
      <c r="M1533" s="59" cm="1">
        <f t="array" ref="M1533">INDEX($BV$29:$BV$1449,MATCH($D1533,$BR$29:$BR$1449,0),)</f>
        <v>3.41</v>
      </c>
      <c r="N1533" s="150">
        <f t="shared" si="484"/>
        <v>0</v>
      </c>
      <c r="O1533" s="150">
        <f t="shared" si="485"/>
        <v>-0.00405371167975677</v>
      </c>
      <c r="P1533" s="150">
        <f t="shared" si="478"/>
        <v>0.0165502973881562</v>
      </c>
      <c r="Q1533" s="89">
        <f t="shared" si="480"/>
        <v>0.152785923753666</v>
      </c>
      <c r="AR1533" s="36"/>
      <c r="AT1533" s="36"/>
      <c r="AU1533" s="36"/>
      <c r="AV1533" s="36"/>
      <c r="AW1533" s="36"/>
      <c r="AX1533" s="36"/>
      <c r="AY1533" s="36"/>
      <c r="AZ1533" s="36"/>
      <c r="BA1533" s="36"/>
      <c r="BB1533" s="36"/>
      <c r="BC1533" s="36"/>
      <c r="BD1533" s="36"/>
      <c r="BE1533" s="36"/>
      <c r="BF1533" s="36"/>
      <c r="BG1533" s="36"/>
      <c r="BH1533" s="36"/>
      <c r="BI1533" s="36"/>
      <c r="BJ1533" s="36"/>
      <c r="BK1533" s="36"/>
      <c r="BL1533" s="36"/>
      <c r="BM1533" s="36"/>
      <c r="BN1533" s="36"/>
      <c r="GE1533" s="94"/>
      <c r="GF1533" s="104">
        <f t="shared" si="486"/>
        <v>2019</v>
      </c>
      <c r="GG1533" s="104">
        <f t="shared" si="487"/>
        <v>2</v>
      </c>
      <c r="GH1533" s="35">
        <v>43474</v>
      </c>
      <c r="GI1533" s="26">
        <v>2.557</v>
      </c>
      <c r="GJ1533" s="94">
        <f t="shared" si="488"/>
        <v>5.114</v>
      </c>
      <c r="GK1533" s="104"/>
      <c r="GL1533" s="104"/>
      <c r="GO1533" s="94"/>
    </row>
    <row r="1534" spans="3:197">
      <c r="C1534" s="80" t="str" cm="1">
        <f t="array" ref="C1534">_xlfn.IFS(MONTH(D1534)&lt;4,1,MONTH(D1534)&lt;7,2,MONTH(D1534)&lt;10,3,MONTH(D1534)&gt;9,4)&amp;"Q"&amp;RIGHT(YEAR(D1534),2)</f>
        <v>1Q22</v>
      </c>
      <c r="D1534" s="81">
        <f t="shared" si="482"/>
        <v>44651</v>
      </c>
      <c r="E1534" s="82">
        <f t="shared" si="479"/>
        <v>44623</v>
      </c>
      <c r="F1534" s="83">
        <f t="shared" si="489"/>
        <v>0.49025</v>
      </c>
      <c r="G1534" s="83">
        <f t="shared" si="489"/>
        <v>0.42625</v>
      </c>
      <c r="H1534" s="81"/>
      <c r="I1534" s="146">
        <v>44623</v>
      </c>
      <c r="J1534" s="147">
        <v>4.2</v>
      </c>
      <c r="K1534" s="147">
        <v>3.67</v>
      </c>
      <c r="L1534" s="147">
        <v>3.922</v>
      </c>
      <c r="M1534" s="59" cm="1">
        <f t="array" ref="M1534">INDEX($BV$29:$BV$1449,MATCH($D1534,$BR$29:$BR$1449,0),)</f>
        <v>3.41</v>
      </c>
      <c r="N1534" s="150">
        <f t="shared" si="484"/>
        <v>-0.00228949376748921</v>
      </c>
      <c r="O1534" s="150">
        <f t="shared" si="485"/>
        <v>-0.00683717396809314</v>
      </c>
      <c r="P1534" s="150">
        <f t="shared" si="478"/>
        <v>0.00615700359158544</v>
      </c>
      <c r="Q1534" s="89">
        <f t="shared" si="480"/>
        <v>0.150146627565982</v>
      </c>
      <c r="AR1534" s="36"/>
      <c r="AT1534" s="36"/>
      <c r="AU1534" s="36"/>
      <c r="AV1534" s="36"/>
      <c r="AW1534" s="36"/>
      <c r="AX1534" s="36"/>
      <c r="AY1534" s="36"/>
      <c r="AZ1534" s="36"/>
      <c r="BA1534" s="36"/>
      <c r="BB1534" s="36"/>
      <c r="BC1534" s="36"/>
      <c r="BD1534" s="36"/>
      <c r="BE1534" s="36"/>
      <c r="BF1534" s="36"/>
      <c r="BG1534" s="36"/>
      <c r="BH1534" s="36"/>
      <c r="BI1534" s="36"/>
      <c r="BJ1534" s="36"/>
      <c r="BK1534" s="36"/>
      <c r="BL1534" s="36"/>
      <c r="BM1534" s="36"/>
      <c r="BN1534" s="36"/>
      <c r="GE1534" s="94"/>
      <c r="GF1534" s="104">
        <f t="shared" si="486"/>
        <v>2019</v>
      </c>
      <c r="GG1534" s="104">
        <f t="shared" si="487"/>
        <v>2</v>
      </c>
      <c r="GH1534" s="35">
        <v>43475</v>
      </c>
      <c r="GI1534" s="26">
        <v>2.553</v>
      </c>
      <c r="GJ1534" s="94">
        <f t="shared" si="488"/>
        <v>5.106</v>
      </c>
      <c r="GK1534" s="104"/>
      <c r="GL1534" s="104"/>
      <c r="GO1534" s="94"/>
    </row>
    <row r="1535" spans="3:197">
      <c r="C1535" s="80" t="str" cm="1">
        <f t="array" ref="C1535">_xlfn.IFS(MONTH(D1535)&lt;4,1,MONTH(D1535)&lt;7,2,MONTH(D1535)&lt;10,3,MONTH(D1535)&gt;9,4)&amp;"Q"&amp;RIGHT(YEAR(D1535),2)</f>
        <v>1Q22</v>
      </c>
      <c r="D1535" s="81">
        <f t="shared" si="482"/>
        <v>44651</v>
      </c>
      <c r="E1535" s="82">
        <f t="shared" si="479"/>
        <v>44624</v>
      </c>
      <c r="F1535" s="83">
        <f t="shared" si="489"/>
        <v>0.489125</v>
      </c>
      <c r="G1535" s="83">
        <f t="shared" si="489"/>
        <v>0.42625</v>
      </c>
      <c r="H1535" s="81"/>
      <c r="I1535" s="146">
        <v>44624</v>
      </c>
      <c r="J1535" s="147">
        <v>4.2</v>
      </c>
      <c r="K1535" s="147">
        <v>3.67</v>
      </c>
      <c r="L1535" s="147">
        <v>3.913</v>
      </c>
      <c r="M1535" s="59" cm="1">
        <f t="array" ref="M1535">INDEX($BV$29:$BV$1449,MATCH($D1535,$BR$29:$BR$1449,0),)</f>
        <v>3.41</v>
      </c>
      <c r="N1535" s="150">
        <f t="shared" si="484"/>
        <v>-0.00229474757776649</v>
      </c>
      <c r="O1535" s="150">
        <f t="shared" si="485"/>
        <v>-0.00911623195745759</v>
      </c>
      <c r="P1535" s="150">
        <f t="shared" si="478"/>
        <v>0.0015357051446121</v>
      </c>
      <c r="Q1535" s="89">
        <f t="shared" si="480"/>
        <v>0.147507331378299</v>
      </c>
      <c r="AR1535" s="36"/>
      <c r="AT1535" s="36"/>
      <c r="AU1535" s="36"/>
      <c r="AV1535" s="36"/>
      <c r="AW1535" s="36"/>
      <c r="AX1535" s="36"/>
      <c r="AY1535" s="36"/>
      <c r="AZ1535" s="36"/>
      <c r="BA1535" s="36"/>
      <c r="BB1535" s="36"/>
      <c r="BC1535" s="36"/>
      <c r="BD1535" s="36"/>
      <c r="BE1535" s="36"/>
      <c r="BF1535" s="36"/>
      <c r="BG1535" s="36"/>
      <c r="BH1535" s="36"/>
      <c r="BI1535" s="36"/>
      <c r="BJ1535" s="36"/>
      <c r="BK1535" s="36"/>
      <c r="BL1535" s="36"/>
      <c r="BM1535" s="36"/>
      <c r="BN1535" s="36"/>
      <c r="GE1535" s="94"/>
      <c r="GF1535" s="104">
        <f t="shared" si="486"/>
        <v>2019</v>
      </c>
      <c r="GG1535" s="104">
        <f t="shared" si="487"/>
        <v>2</v>
      </c>
      <c r="GH1535" s="35">
        <v>43476</v>
      </c>
      <c r="GI1535" s="26">
        <v>2.553</v>
      </c>
      <c r="GJ1535" s="94">
        <f t="shared" si="488"/>
        <v>5.106</v>
      </c>
      <c r="GK1535" s="104"/>
      <c r="GL1535" s="104"/>
      <c r="GO1535" s="94"/>
    </row>
    <row r="1536" spans="3:197">
      <c r="C1536" s="80" t="str" cm="1">
        <f t="array" ref="C1536">_xlfn.IFS(MONTH(D1536)&lt;4,1,MONTH(D1536)&lt;7,2,MONTH(D1536)&lt;10,3,MONTH(D1536)&gt;9,4)&amp;"Q"&amp;RIGHT(YEAR(D1536),2)</f>
        <v>1Q22</v>
      </c>
      <c r="D1536" s="81">
        <f t="shared" si="482"/>
        <v>44651</v>
      </c>
      <c r="E1536" s="82">
        <f t="shared" si="479"/>
        <v>44627</v>
      </c>
      <c r="F1536" s="83">
        <f t="shared" si="489"/>
        <v>0.488</v>
      </c>
      <c r="G1536" s="83">
        <f t="shared" si="489"/>
        <v>0.42625</v>
      </c>
      <c r="H1536" s="81"/>
      <c r="I1536" s="146">
        <v>44627</v>
      </c>
      <c r="J1536" s="147">
        <v>4.18</v>
      </c>
      <c r="K1536" s="147">
        <v>3.65</v>
      </c>
      <c r="L1536" s="147">
        <v>3.904</v>
      </c>
      <c r="M1536" s="59" cm="1">
        <f t="array" ref="M1536">INDEX($BV$29:$BV$1449,MATCH($D1536,$BR$29:$BR$1449,0),)</f>
        <v>3.41</v>
      </c>
      <c r="N1536" s="150">
        <f t="shared" si="484"/>
        <v>-0.00230002555583952</v>
      </c>
      <c r="O1536" s="150">
        <f t="shared" si="485"/>
        <v>-0.00686848130246764</v>
      </c>
      <c r="P1536" s="150">
        <f t="shared" si="478"/>
        <v>-0.00636294222448452</v>
      </c>
      <c r="Q1536" s="89">
        <f t="shared" si="480"/>
        <v>0.144868035190616</v>
      </c>
      <c r="AR1536" s="36"/>
      <c r="AT1536" s="36"/>
      <c r="AU1536" s="36"/>
      <c r="AV1536" s="36"/>
      <c r="AW1536" s="36"/>
      <c r="AX1536" s="36"/>
      <c r="AY1536" s="36"/>
      <c r="AZ1536" s="36"/>
      <c r="BA1536" s="36"/>
      <c r="BB1536" s="36"/>
      <c r="BC1536" s="36"/>
      <c r="BD1536" s="36"/>
      <c r="BE1536" s="36"/>
      <c r="BF1536" s="36"/>
      <c r="BG1536" s="36"/>
      <c r="BH1536" s="36"/>
      <c r="BI1536" s="36"/>
      <c r="BJ1536" s="36"/>
      <c r="BK1536" s="36"/>
      <c r="BL1536" s="36"/>
      <c r="BM1536" s="36"/>
      <c r="BN1536" s="36"/>
      <c r="GE1536" s="94"/>
      <c r="GF1536" s="104">
        <f t="shared" si="486"/>
        <v>2019</v>
      </c>
      <c r="GG1536" s="104">
        <f t="shared" si="487"/>
        <v>3</v>
      </c>
      <c r="GH1536" s="35">
        <v>43479</v>
      </c>
      <c r="GI1536" s="26">
        <v>2.55</v>
      </c>
      <c r="GJ1536" s="94">
        <f t="shared" si="488"/>
        <v>5.1</v>
      </c>
      <c r="GK1536" s="104"/>
      <c r="GL1536" s="104"/>
      <c r="GO1536" s="94"/>
    </row>
    <row r="1537" spans="3:197">
      <c r="C1537" s="80" t="str" cm="1">
        <f t="array" ref="C1537">_xlfn.IFS(MONTH(D1537)&lt;4,1,MONTH(D1537)&lt;7,2,MONTH(D1537)&lt;10,3,MONTH(D1537)&gt;9,4)&amp;"Q"&amp;RIGHT(YEAR(D1537),2)</f>
        <v>1Q22</v>
      </c>
      <c r="D1537" s="81">
        <f t="shared" si="482"/>
        <v>44651</v>
      </c>
      <c r="E1537" s="82">
        <f t="shared" si="479"/>
        <v>44628</v>
      </c>
      <c r="F1537" s="83">
        <f t="shared" si="489"/>
        <v>0.486375</v>
      </c>
      <c r="G1537" s="83">
        <f t="shared" si="489"/>
        <v>0.42625</v>
      </c>
      <c r="H1537" s="81"/>
      <c r="I1537" s="146">
        <v>44628</v>
      </c>
      <c r="J1537" s="147">
        <v>4.18</v>
      </c>
      <c r="K1537" s="147">
        <v>3.62</v>
      </c>
      <c r="L1537" s="147">
        <v>3.891</v>
      </c>
      <c r="M1537" s="59" cm="1">
        <f t="array" ref="M1537">INDEX($BV$29:$BV$1449,MATCH($D1537,$BR$29:$BR$1449,0),)</f>
        <v>3.41</v>
      </c>
      <c r="N1537" s="150">
        <f t="shared" si="484"/>
        <v>-0.00332991803278682</v>
      </c>
      <c r="O1537" s="150">
        <f t="shared" si="485"/>
        <v>-0.0101755278555075</v>
      </c>
      <c r="P1537" s="150">
        <f t="shared" si="478"/>
        <v>-0.00967167218121656</v>
      </c>
      <c r="Q1537" s="89">
        <f t="shared" si="480"/>
        <v>0.141055718475073</v>
      </c>
      <c r="AR1537" s="36"/>
      <c r="AT1537" s="36"/>
      <c r="AU1537" s="36"/>
      <c r="AV1537" s="36"/>
      <c r="AW1537" s="36"/>
      <c r="AX1537" s="36"/>
      <c r="AY1537" s="36"/>
      <c r="AZ1537" s="36"/>
      <c r="BA1537" s="36"/>
      <c r="BB1537" s="36"/>
      <c r="BC1537" s="36"/>
      <c r="BD1537" s="36"/>
      <c r="BE1537" s="36"/>
      <c r="BF1537" s="36"/>
      <c r="BG1537" s="36"/>
      <c r="BH1537" s="36"/>
      <c r="BI1537" s="36"/>
      <c r="BJ1537" s="36"/>
      <c r="BK1537" s="36"/>
      <c r="BL1537" s="36"/>
      <c r="BM1537" s="36"/>
      <c r="BN1537" s="36"/>
      <c r="GE1537" s="94"/>
      <c r="GF1537" s="104">
        <f t="shared" si="486"/>
        <v>2019</v>
      </c>
      <c r="GG1537" s="104">
        <f t="shared" si="487"/>
        <v>3</v>
      </c>
      <c r="GH1537" s="35">
        <v>43480</v>
      </c>
      <c r="GI1537" s="26">
        <v>2.525</v>
      </c>
      <c r="GJ1537" s="94">
        <f t="shared" si="488"/>
        <v>5.05</v>
      </c>
      <c r="GK1537" s="104"/>
      <c r="GL1537" s="104"/>
      <c r="GO1537" s="94"/>
    </row>
    <row r="1538" spans="3:197">
      <c r="C1538" s="80" t="str" cm="1">
        <f t="array" ref="C1538">_xlfn.IFS(MONTH(D1538)&lt;4,1,MONTH(D1538)&lt;7,2,MONTH(D1538)&lt;10,3,MONTH(D1538)&gt;9,4)&amp;"Q"&amp;RIGHT(YEAR(D1538),2)</f>
        <v>1Q22</v>
      </c>
      <c r="D1538" s="81">
        <f t="shared" si="482"/>
        <v>44651</v>
      </c>
      <c r="E1538" s="82">
        <f t="shared" si="479"/>
        <v>44629</v>
      </c>
      <c r="F1538" s="83">
        <f t="shared" si="489"/>
        <v>0.487</v>
      </c>
      <c r="G1538" s="83">
        <f t="shared" si="489"/>
        <v>0.42625</v>
      </c>
      <c r="H1538" s="81"/>
      <c r="I1538" s="146">
        <v>44629</v>
      </c>
      <c r="J1538" s="147">
        <v>4.25</v>
      </c>
      <c r="K1538" s="147">
        <v>3.6</v>
      </c>
      <c r="L1538" s="147">
        <v>3.896</v>
      </c>
      <c r="M1538" s="59" cm="1">
        <f t="array" ref="M1538">INDEX($BV$29:$BV$1449,MATCH($D1538,$BR$29:$BR$1449,0),)</f>
        <v>3.41</v>
      </c>
      <c r="N1538" s="150">
        <f t="shared" si="484"/>
        <v>0.00128501670521719</v>
      </c>
      <c r="O1538" s="150">
        <f t="shared" si="485"/>
        <v>-0.00890358687356907</v>
      </c>
      <c r="P1538" s="150">
        <f t="shared" si="478"/>
        <v>-0.0129212059792247</v>
      </c>
      <c r="Q1538" s="89">
        <f t="shared" si="480"/>
        <v>0.142521994134897</v>
      </c>
      <c r="AR1538" s="36"/>
      <c r="AT1538" s="36"/>
      <c r="AU1538" s="36"/>
      <c r="AV1538" s="36"/>
      <c r="AW1538" s="36"/>
      <c r="AX1538" s="36"/>
      <c r="AY1538" s="36"/>
      <c r="AZ1538" s="36"/>
      <c r="BA1538" s="36"/>
      <c r="BB1538" s="36"/>
      <c r="BC1538" s="36"/>
      <c r="BD1538" s="36"/>
      <c r="BE1538" s="36"/>
      <c r="BF1538" s="36"/>
      <c r="BG1538" s="36"/>
      <c r="BH1538" s="36"/>
      <c r="BI1538" s="36"/>
      <c r="BJ1538" s="36"/>
      <c r="BK1538" s="36"/>
      <c r="BL1538" s="36"/>
      <c r="BM1538" s="36"/>
      <c r="BN1538" s="36"/>
      <c r="GE1538" s="94"/>
      <c r="GF1538" s="104">
        <f t="shared" si="486"/>
        <v>2019</v>
      </c>
      <c r="GG1538" s="104">
        <f t="shared" si="487"/>
        <v>3</v>
      </c>
      <c r="GH1538" s="35">
        <v>43481</v>
      </c>
      <c r="GI1538" s="26">
        <v>2.504</v>
      </c>
      <c r="GJ1538" s="94">
        <f t="shared" si="488"/>
        <v>5.008</v>
      </c>
      <c r="GK1538" s="104"/>
      <c r="GL1538" s="104"/>
      <c r="GO1538" s="94"/>
    </row>
    <row r="1539" spans="3:197">
      <c r="C1539" s="80" t="str" cm="1">
        <f t="array" ref="C1539">_xlfn.IFS(MONTH(D1539)&lt;4,1,MONTH(D1539)&lt;7,2,MONTH(D1539)&lt;10,3,MONTH(D1539)&gt;9,4)&amp;"Q"&amp;RIGHT(YEAR(D1539),2)</f>
        <v>1Q22</v>
      </c>
      <c r="D1539" s="81">
        <f t="shared" si="482"/>
        <v>44651</v>
      </c>
      <c r="E1539" s="82">
        <f t="shared" si="479"/>
        <v>44630</v>
      </c>
      <c r="F1539" s="83">
        <f t="shared" si="489"/>
        <v>0.486625</v>
      </c>
      <c r="G1539" s="83">
        <f t="shared" si="489"/>
        <v>0.42625</v>
      </c>
      <c r="H1539" s="81"/>
      <c r="I1539" s="146">
        <v>44630</v>
      </c>
      <c r="J1539" s="147">
        <v>4.25</v>
      </c>
      <c r="K1539" s="147">
        <v>3.6</v>
      </c>
      <c r="L1539" s="147">
        <v>3.893</v>
      </c>
      <c r="M1539" s="59" cm="1">
        <f t="array" ref="M1539">INDEX($BV$29:$BV$1449,MATCH($D1539,$BR$29:$BR$1449,0),)</f>
        <v>3.41</v>
      </c>
      <c r="N1539" s="150">
        <f t="shared" si="484"/>
        <v>-0.000770020533880977</v>
      </c>
      <c r="O1539" s="150">
        <f t="shared" si="485"/>
        <v>-0.00739418663946978</v>
      </c>
      <c r="P1539" s="150">
        <f t="shared" si="478"/>
        <v>-0.0141808052671563</v>
      </c>
      <c r="Q1539" s="89">
        <f t="shared" si="480"/>
        <v>0.141642228739003</v>
      </c>
      <c r="AR1539" s="36"/>
      <c r="AT1539" s="36"/>
      <c r="AU1539" s="36"/>
      <c r="AV1539" s="36"/>
      <c r="AW1539" s="36"/>
      <c r="AX1539" s="36"/>
      <c r="AY1539" s="36"/>
      <c r="AZ1539" s="36"/>
      <c r="BA1539" s="36"/>
      <c r="BB1539" s="36"/>
      <c r="BC1539" s="36"/>
      <c r="BD1539" s="36"/>
      <c r="BE1539" s="36"/>
      <c r="BF1539" s="36"/>
      <c r="BG1539" s="36"/>
      <c r="BH1539" s="36"/>
      <c r="BI1539" s="36"/>
      <c r="BJ1539" s="36"/>
      <c r="BK1539" s="36"/>
      <c r="BL1539" s="36"/>
      <c r="BM1539" s="36"/>
      <c r="BN1539" s="36"/>
      <c r="GE1539" s="94"/>
      <c r="GF1539" s="104">
        <f t="shared" si="486"/>
        <v>2019</v>
      </c>
      <c r="GG1539" s="104">
        <f t="shared" si="487"/>
        <v>3</v>
      </c>
      <c r="GH1539" s="35">
        <v>43482</v>
      </c>
      <c r="GI1539" s="26">
        <v>2.487</v>
      </c>
      <c r="GJ1539" s="94">
        <f t="shared" si="488"/>
        <v>4.974</v>
      </c>
      <c r="GK1539" s="104"/>
      <c r="GL1539" s="104"/>
      <c r="GO1539" s="94"/>
    </row>
    <row r="1540" spans="3:197">
      <c r="C1540" s="80" t="str" cm="1">
        <f t="array" ref="C1540">_xlfn.IFS(MONTH(D1540)&lt;4,1,MONTH(D1540)&lt;7,2,MONTH(D1540)&lt;10,3,MONTH(D1540)&gt;9,4)&amp;"Q"&amp;RIGHT(YEAR(D1540),2)</f>
        <v>1Q22</v>
      </c>
      <c r="D1540" s="81">
        <f t="shared" si="482"/>
        <v>44651</v>
      </c>
      <c r="E1540" s="82">
        <f t="shared" si="479"/>
        <v>44631</v>
      </c>
      <c r="F1540" s="83">
        <f t="shared" si="489"/>
        <v>0.486625</v>
      </c>
      <c r="G1540" s="83">
        <f t="shared" si="489"/>
        <v>0.42625</v>
      </c>
      <c r="H1540" s="81"/>
      <c r="I1540" s="146">
        <v>44631</v>
      </c>
      <c r="J1540" s="147">
        <v>4.25</v>
      </c>
      <c r="K1540" s="147">
        <v>3.6</v>
      </c>
      <c r="L1540" s="147">
        <v>3.893</v>
      </c>
      <c r="M1540" s="59" cm="1">
        <f t="array" ref="M1540">INDEX($BV$29:$BV$1449,MATCH($D1540,$BR$29:$BR$1449,0),)</f>
        <v>3.41</v>
      </c>
      <c r="N1540" s="150">
        <f t="shared" si="484"/>
        <v>0</v>
      </c>
      <c r="O1540" s="150">
        <f t="shared" si="485"/>
        <v>-0.00511116790186561</v>
      </c>
      <c r="P1540" s="150">
        <f t="shared" si="478"/>
        <v>-0.0141808052671563</v>
      </c>
      <c r="Q1540" s="89">
        <f t="shared" si="480"/>
        <v>0.141642228739003</v>
      </c>
      <c r="AR1540" s="36"/>
      <c r="AT1540" s="36"/>
      <c r="AU1540" s="36"/>
      <c r="AV1540" s="36"/>
      <c r="AW1540" s="36"/>
      <c r="AX1540" s="36"/>
      <c r="AY1540" s="36"/>
      <c r="AZ1540" s="36"/>
      <c r="BA1540" s="36"/>
      <c r="BB1540" s="36"/>
      <c r="BC1540" s="36"/>
      <c r="BD1540" s="36"/>
      <c r="BE1540" s="36"/>
      <c r="BF1540" s="36"/>
      <c r="BG1540" s="36"/>
      <c r="BH1540" s="36"/>
      <c r="BI1540" s="36"/>
      <c r="BJ1540" s="36"/>
      <c r="BK1540" s="36"/>
      <c r="BL1540" s="36"/>
      <c r="BM1540" s="36"/>
      <c r="BN1540" s="36"/>
      <c r="GE1540" s="94"/>
      <c r="GF1540" s="104">
        <f t="shared" si="486"/>
        <v>2019</v>
      </c>
      <c r="GG1540" s="104">
        <f t="shared" si="487"/>
        <v>3</v>
      </c>
      <c r="GH1540" s="35">
        <v>43483</v>
      </c>
      <c r="GI1540" s="26">
        <v>2.476</v>
      </c>
      <c r="GJ1540" s="94">
        <f t="shared" si="488"/>
        <v>4.952</v>
      </c>
      <c r="GK1540" s="104"/>
      <c r="GL1540" s="104"/>
      <c r="GO1540" s="94"/>
    </row>
    <row r="1541" spans="3:197">
      <c r="C1541" s="80" t="str" cm="1">
        <f t="array" ref="C1541">_xlfn.IFS(MONTH(D1541)&lt;4,1,MONTH(D1541)&lt;7,2,MONTH(D1541)&lt;10,3,MONTH(D1541)&gt;9,4)&amp;"Q"&amp;RIGHT(YEAR(D1541),2)</f>
        <v>1Q22</v>
      </c>
      <c r="D1541" s="81">
        <f t="shared" si="482"/>
        <v>44651</v>
      </c>
      <c r="E1541" s="82">
        <f t="shared" si="479"/>
        <v>44634</v>
      </c>
      <c r="F1541" s="83">
        <f t="shared" si="489"/>
        <v>0.486375</v>
      </c>
      <c r="G1541" s="83">
        <f t="shared" si="489"/>
        <v>0.42625</v>
      </c>
      <c r="H1541" s="81"/>
      <c r="I1541" s="146">
        <v>44634</v>
      </c>
      <c r="J1541" s="147">
        <v>4.24</v>
      </c>
      <c r="K1541" s="147">
        <v>3.58</v>
      </c>
      <c r="L1541" s="147">
        <v>3.891</v>
      </c>
      <c r="M1541" s="59" cm="1">
        <f t="array" ref="M1541">INDEX($BV$29:$BV$1449,MATCH($D1541,$BR$29:$BR$1449,0),)</f>
        <v>3.41</v>
      </c>
      <c r="N1541" s="150">
        <f t="shared" si="484"/>
        <v>-0.000513742614949853</v>
      </c>
      <c r="O1541" s="150">
        <f t="shared" si="485"/>
        <v>-0.00332991803278682</v>
      </c>
      <c r="P1541" s="150">
        <f t="shared" si="478"/>
        <v>-0.0101755278555075</v>
      </c>
      <c r="Q1541" s="89">
        <f t="shared" si="480"/>
        <v>0.141055718475073</v>
      </c>
      <c r="AR1541" s="36"/>
      <c r="AT1541" s="36"/>
      <c r="AU1541" s="36"/>
      <c r="AV1541" s="36"/>
      <c r="AW1541" s="36"/>
      <c r="AX1541" s="36"/>
      <c r="AY1541" s="36"/>
      <c r="AZ1541" s="36"/>
      <c r="BA1541" s="36"/>
      <c r="BB1541" s="36"/>
      <c r="BC1541" s="36"/>
      <c r="BD1541" s="36"/>
      <c r="BE1541" s="36"/>
      <c r="BF1541" s="36"/>
      <c r="BG1541" s="36"/>
      <c r="BH1541" s="36"/>
      <c r="BI1541" s="36"/>
      <c r="BJ1541" s="36"/>
      <c r="BK1541" s="36"/>
      <c r="BL1541" s="36"/>
      <c r="BM1541" s="36"/>
      <c r="BN1541" s="36"/>
      <c r="GE1541" s="94"/>
      <c r="GF1541" s="104">
        <f t="shared" si="486"/>
        <v>2019</v>
      </c>
      <c r="GG1541" s="104">
        <f t="shared" si="487"/>
        <v>4</v>
      </c>
      <c r="GH1541" s="35">
        <v>43486</v>
      </c>
      <c r="GI1541" s="26">
        <v>2.453</v>
      </c>
      <c r="GJ1541" s="94">
        <f t="shared" si="488"/>
        <v>4.906</v>
      </c>
      <c r="GK1541" s="104"/>
      <c r="GL1541" s="104"/>
      <c r="GO1541" s="94"/>
    </row>
    <row r="1542" spans="3:197">
      <c r="C1542" s="80" t="str" cm="1">
        <f t="array" ref="C1542">_xlfn.IFS(MONTH(D1542)&lt;4,1,MONTH(D1542)&lt;7,2,MONTH(D1542)&lt;10,3,MONTH(D1542)&gt;9,4)&amp;"Q"&amp;RIGHT(YEAR(D1542),2)</f>
        <v>1Q22</v>
      </c>
      <c r="D1542" s="81">
        <f t="shared" si="482"/>
        <v>44651</v>
      </c>
      <c r="E1542" s="82">
        <f t="shared" si="479"/>
        <v>44635</v>
      </c>
      <c r="F1542" s="83">
        <f t="shared" si="489"/>
        <v>0.486125</v>
      </c>
      <c r="G1542" s="83">
        <f t="shared" si="489"/>
        <v>0.42625</v>
      </c>
      <c r="H1542" s="81"/>
      <c r="I1542" s="146">
        <v>44635</v>
      </c>
      <c r="J1542" s="147">
        <v>4.23</v>
      </c>
      <c r="K1542" s="147">
        <v>3.57</v>
      </c>
      <c r="L1542" s="147">
        <v>3.889</v>
      </c>
      <c r="M1542" s="59" cm="1">
        <f t="array" ref="M1542">INDEX($BV$29:$BV$1449,MATCH($D1542,$BR$29:$BR$1449,0),)</f>
        <v>3.41</v>
      </c>
      <c r="N1542" s="150">
        <f t="shared" si="484"/>
        <v>-0.000514006682086898</v>
      </c>
      <c r="O1542" s="150">
        <f t="shared" si="485"/>
        <v>-0.000514006682086898</v>
      </c>
      <c r="P1542" s="150">
        <f t="shared" si="478"/>
        <v>-0.0106843042482829</v>
      </c>
      <c r="Q1542" s="89">
        <f t="shared" si="480"/>
        <v>0.140469208211144</v>
      </c>
      <c r="AR1542" s="36"/>
      <c r="AT1542" s="36"/>
      <c r="AU1542" s="36"/>
      <c r="AV1542" s="36"/>
      <c r="AW1542" s="36"/>
      <c r="AX1542" s="36"/>
      <c r="AY1542" s="36"/>
      <c r="AZ1542" s="36"/>
      <c r="BA1542" s="36"/>
      <c r="BB1542" s="36"/>
      <c r="BC1542" s="36"/>
      <c r="BD1542" s="36"/>
      <c r="BE1542" s="36"/>
      <c r="BF1542" s="36"/>
      <c r="BG1542" s="36"/>
      <c r="BH1542" s="36"/>
      <c r="BI1542" s="36"/>
      <c r="BJ1542" s="36"/>
      <c r="BK1542" s="36"/>
      <c r="BL1542" s="36"/>
      <c r="BM1542" s="36"/>
      <c r="BN1542" s="36"/>
      <c r="GE1542" s="94"/>
      <c r="GF1542" s="104">
        <f t="shared" si="486"/>
        <v>2019</v>
      </c>
      <c r="GG1542" s="104">
        <f t="shared" si="487"/>
        <v>4</v>
      </c>
      <c r="GH1542" s="35">
        <v>43487</v>
      </c>
      <c r="GI1542" s="26">
        <v>2.446</v>
      </c>
      <c r="GJ1542" s="94">
        <f t="shared" si="488"/>
        <v>4.892</v>
      </c>
      <c r="GK1542" s="104"/>
      <c r="GL1542" s="104"/>
      <c r="GO1542" s="94"/>
    </row>
    <row r="1543" spans="3:197">
      <c r="C1543" s="80" t="str" cm="1">
        <f t="array" ref="C1543">_xlfn.IFS(MONTH(D1543)&lt;4,1,MONTH(D1543)&lt;7,2,MONTH(D1543)&lt;10,3,MONTH(D1543)&gt;9,4)&amp;"Q"&amp;RIGHT(YEAR(D1543),2)</f>
        <v>1Q22</v>
      </c>
      <c r="D1543" s="81">
        <f t="shared" si="482"/>
        <v>44651</v>
      </c>
      <c r="E1543" s="82">
        <f t="shared" si="479"/>
        <v>44636</v>
      </c>
      <c r="F1543" s="83">
        <f t="shared" si="489"/>
        <v>0.48025</v>
      </c>
      <c r="G1543" s="83">
        <f t="shared" si="489"/>
        <v>0.42625</v>
      </c>
      <c r="H1543" s="81"/>
      <c r="I1543" s="146">
        <v>44636</v>
      </c>
      <c r="J1543" s="147">
        <v>4.2</v>
      </c>
      <c r="K1543" s="147">
        <v>3.55</v>
      </c>
      <c r="L1543" s="147">
        <v>3.842</v>
      </c>
      <c r="M1543" s="59" cm="1">
        <f t="array" ref="M1543">INDEX($BV$29:$BV$1449,MATCH($D1543,$BR$29:$BR$1449,0),)</f>
        <v>3.41</v>
      </c>
      <c r="N1543" s="150">
        <f t="shared" si="484"/>
        <v>-0.0120853689894573</v>
      </c>
      <c r="O1543" s="150">
        <f t="shared" si="485"/>
        <v>-0.0138603696098563</v>
      </c>
      <c r="P1543" s="150">
        <f t="shared" si="478"/>
        <v>-0.0226405494785041</v>
      </c>
      <c r="Q1543" s="89">
        <f t="shared" si="480"/>
        <v>0.126686217008798</v>
      </c>
      <c r="AR1543" s="36"/>
      <c r="AT1543" s="36"/>
      <c r="AU1543" s="36"/>
      <c r="AV1543" s="36"/>
      <c r="AW1543" s="36"/>
      <c r="AX1543" s="36"/>
      <c r="AY1543" s="36"/>
      <c r="AZ1543" s="36"/>
      <c r="BA1543" s="36"/>
      <c r="BB1543" s="36"/>
      <c r="BC1543" s="36"/>
      <c r="BD1543" s="36"/>
      <c r="BE1543" s="36"/>
      <c r="BF1543" s="36"/>
      <c r="BG1543" s="36"/>
      <c r="BH1543" s="36"/>
      <c r="BI1543" s="36"/>
      <c r="BJ1543" s="36"/>
      <c r="BK1543" s="36"/>
      <c r="BL1543" s="36"/>
      <c r="BM1543" s="36"/>
      <c r="BN1543" s="36"/>
      <c r="GE1543" s="94"/>
      <c r="GF1543" s="104">
        <f t="shared" si="486"/>
        <v>2019</v>
      </c>
      <c r="GG1543" s="104">
        <f t="shared" si="487"/>
        <v>4</v>
      </c>
      <c r="GH1543" s="35">
        <v>43488</v>
      </c>
      <c r="GI1543" s="26">
        <v>2.433</v>
      </c>
      <c r="GJ1543" s="94">
        <f t="shared" si="488"/>
        <v>4.866</v>
      </c>
      <c r="GK1543" s="104"/>
      <c r="GL1543" s="104"/>
      <c r="GO1543" s="94"/>
    </row>
    <row r="1544" spans="3:197">
      <c r="C1544" s="80" t="str" cm="1">
        <f t="array" ref="C1544">_xlfn.IFS(MONTH(D1544)&lt;4,1,MONTH(D1544)&lt;7,2,MONTH(D1544)&lt;10,3,MONTH(D1544)&gt;9,4)&amp;"Q"&amp;RIGHT(YEAR(D1544),2)</f>
        <v>1Q22</v>
      </c>
      <c r="D1544" s="81">
        <f t="shared" si="482"/>
        <v>44651</v>
      </c>
      <c r="E1544" s="82">
        <f t="shared" si="479"/>
        <v>44637</v>
      </c>
      <c r="F1544" s="83">
        <f t="shared" si="489"/>
        <v>0.47925</v>
      </c>
      <c r="G1544" s="83">
        <f t="shared" si="489"/>
        <v>0.42625</v>
      </c>
      <c r="H1544" s="81"/>
      <c r="I1544" s="146">
        <v>44637</v>
      </c>
      <c r="J1544" s="147">
        <v>4.2</v>
      </c>
      <c r="K1544" s="147">
        <v>3.55</v>
      </c>
      <c r="L1544" s="147">
        <v>3.834</v>
      </c>
      <c r="M1544" s="59" cm="1">
        <f t="array" ref="M1544">INDEX($BV$29:$BV$1449,MATCH($D1544,$BR$29:$BR$1449,0),)</f>
        <v>3.41</v>
      </c>
      <c r="N1544" s="150">
        <f t="shared" si="484"/>
        <v>-0.00208224882873509</v>
      </c>
      <c r="O1544" s="150">
        <f t="shared" si="485"/>
        <v>-0.0151554071410223</v>
      </c>
      <c r="P1544" s="150">
        <f t="shared" si="478"/>
        <v>-0.0224375318714941</v>
      </c>
      <c r="Q1544" s="89">
        <f t="shared" si="480"/>
        <v>0.124340175953079</v>
      </c>
      <c r="AR1544" s="36"/>
      <c r="AT1544" s="36"/>
      <c r="AU1544" s="36"/>
      <c r="AV1544" s="36"/>
      <c r="AW1544" s="36"/>
      <c r="AX1544" s="36"/>
      <c r="AY1544" s="36"/>
      <c r="AZ1544" s="36"/>
      <c r="BA1544" s="36"/>
      <c r="BB1544" s="36"/>
      <c r="BC1544" s="36"/>
      <c r="BD1544" s="36"/>
      <c r="BE1544" s="36"/>
      <c r="BF1544" s="36"/>
      <c r="BG1544" s="36"/>
      <c r="BH1544" s="36"/>
      <c r="BI1544" s="36"/>
      <c r="BJ1544" s="36"/>
      <c r="BK1544" s="36"/>
      <c r="BL1544" s="36"/>
      <c r="BM1544" s="36"/>
      <c r="BN1544" s="36"/>
      <c r="GE1544" s="94"/>
      <c r="GF1544" s="104">
        <f t="shared" si="486"/>
        <v>2019</v>
      </c>
      <c r="GG1544" s="104">
        <f t="shared" si="487"/>
        <v>4</v>
      </c>
      <c r="GH1544" s="35">
        <v>43489</v>
      </c>
      <c r="GI1544" s="26">
        <v>2.43</v>
      </c>
      <c r="GJ1544" s="94">
        <f t="shared" si="488"/>
        <v>4.86</v>
      </c>
      <c r="GK1544" s="104"/>
      <c r="GL1544" s="104"/>
      <c r="GO1544" s="94"/>
    </row>
    <row r="1545" spans="3:197">
      <c r="C1545" s="80" t="str" cm="1">
        <f t="array" ref="C1545">_xlfn.IFS(MONTH(D1545)&lt;4,1,MONTH(D1545)&lt;7,2,MONTH(D1545)&lt;10,3,MONTH(D1545)&gt;9,4)&amp;"Q"&amp;RIGHT(YEAR(D1545),2)</f>
        <v>1Q22</v>
      </c>
      <c r="D1545" s="81">
        <f t="shared" si="482"/>
        <v>44651</v>
      </c>
      <c r="E1545" s="82">
        <f t="shared" si="479"/>
        <v>44638</v>
      </c>
      <c r="F1545" s="83">
        <f t="shared" si="489"/>
        <v>0.47875</v>
      </c>
      <c r="G1545" s="83">
        <f t="shared" si="489"/>
        <v>0.42625</v>
      </c>
      <c r="H1545" s="81"/>
      <c r="I1545" s="146">
        <v>44638</v>
      </c>
      <c r="J1545" s="147">
        <v>4.2</v>
      </c>
      <c r="K1545" s="147">
        <v>3.58</v>
      </c>
      <c r="L1545" s="147">
        <v>3.83</v>
      </c>
      <c r="M1545" s="59" cm="1">
        <f t="array" ref="M1545">INDEX($BV$29:$BV$1449,MATCH($D1545,$BR$29:$BR$1449,0),)</f>
        <v>3.41</v>
      </c>
      <c r="N1545" s="150">
        <f t="shared" si="484"/>
        <v>-0.00104329681794468</v>
      </c>
      <c r="O1545" s="150">
        <f t="shared" si="485"/>
        <v>-0.0161828923709221</v>
      </c>
      <c r="P1545" s="150">
        <f t="shared" si="478"/>
        <v>-0.0212113467927421</v>
      </c>
      <c r="Q1545" s="89">
        <f t="shared" si="480"/>
        <v>0.12316715542522</v>
      </c>
      <c r="AR1545" s="36"/>
      <c r="AT1545" s="36"/>
      <c r="AU1545" s="36"/>
      <c r="AV1545" s="36"/>
      <c r="AW1545" s="36"/>
      <c r="AX1545" s="36"/>
      <c r="AY1545" s="36"/>
      <c r="AZ1545" s="36"/>
      <c r="BA1545" s="36"/>
      <c r="BB1545" s="36"/>
      <c r="BC1545" s="36"/>
      <c r="BD1545" s="36"/>
      <c r="BE1545" s="36"/>
      <c r="BF1545" s="36"/>
      <c r="BG1545" s="36"/>
      <c r="BH1545" s="36"/>
      <c r="BI1545" s="36"/>
      <c r="BJ1545" s="36"/>
      <c r="BK1545" s="36"/>
      <c r="BL1545" s="36"/>
      <c r="BM1545" s="36"/>
      <c r="BN1545" s="36"/>
      <c r="GE1545" s="94"/>
      <c r="GF1545" s="104">
        <f t="shared" si="486"/>
        <v>2019</v>
      </c>
      <c r="GG1545" s="104">
        <f t="shared" si="487"/>
        <v>4</v>
      </c>
      <c r="GH1545" s="35">
        <v>43490</v>
      </c>
      <c r="GI1545" s="26">
        <v>2.426</v>
      </c>
      <c r="GJ1545" s="94">
        <f t="shared" si="488"/>
        <v>4.852</v>
      </c>
      <c r="GK1545" s="104"/>
      <c r="GL1545" s="104"/>
      <c r="GO1545" s="94"/>
    </row>
    <row r="1546" spans="3:197">
      <c r="C1546" s="80" t="str" cm="1">
        <f t="array" ref="C1546">_xlfn.IFS(MONTH(D1546)&lt;4,1,MONTH(D1546)&lt;7,2,MONTH(D1546)&lt;10,3,MONTH(D1546)&gt;9,4)&amp;"Q"&amp;RIGHT(YEAR(D1546),2)</f>
        <v>1Q22</v>
      </c>
      <c r="D1546" s="81">
        <f t="shared" si="482"/>
        <v>44651</v>
      </c>
      <c r="E1546" s="82">
        <f t="shared" si="479"/>
        <v>44641</v>
      </c>
      <c r="F1546" s="83">
        <f t="shared" ref="F1546:G1561" si="490">+L1546/8</f>
        <v>0.477875</v>
      </c>
      <c r="G1546" s="83">
        <f t="shared" si="490"/>
        <v>0.42625</v>
      </c>
      <c r="H1546" s="81"/>
      <c r="I1546" s="146">
        <v>44641</v>
      </c>
      <c r="J1546" s="147">
        <v>4.18</v>
      </c>
      <c r="K1546" s="147">
        <v>3.57</v>
      </c>
      <c r="L1546" s="147">
        <v>3.823</v>
      </c>
      <c r="M1546" s="59" cm="1">
        <f t="array" ref="M1546">INDEX($BV$29:$BV$1449,MATCH($D1546,$BR$29:$BR$1449,0),)</f>
        <v>3.41</v>
      </c>
      <c r="N1546" s="150">
        <f t="shared" si="484"/>
        <v>-0.00182767624020885</v>
      </c>
      <c r="O1546" s="150">
        <f t="shared" si="485"/>
        <v>-0.0174762271909535</v>
      </c>
      <c r="P1546" s="150">
        <f t="shared" si="478"/>
        <v>-0.0207479508196721</v>
      </c>
      <c r="Q1546" s="89">
        <f t="shared" si="480"/>
        <v>0.121114369501466</v>
      </c>
      <c r="AR1546" s="36"/>
      <c r="AT1546" s="36"/>
      <c r="AU1546" s="36"/>
      <c r="AV1546" s="36"/>
      <c r="AW1546" s="36"/>
      <c r="AX1546" s="36"/>
      <c r="AY1546" s="36"/>
      <c r="AZ1546" s="36"/>
      <c r="BA1546" s="36"/>
      <c r="BB1546" s="36"/>
      <c r="BC1546" s="36"/>
      <c r="BD1546" s="36"/>
      <c r="BE1546" s="36"/>
      <c r="BF1546" s="36"/>
      <c r="BG1546" s="36"/>
      <c r="BH1546" s="36"/>
      <c r="BI1546" s="36"/>
      <c r="BJ1546" s="36"/>
      <c r="BK1546" s="36"/>
      <c r="BL1546" s="36"/>
      <c r="BM1546" s="36"/>
      <c r="BN1546" s="36"/>
      <c r="GE1546" s="94"/>
      <c r="GF1546" s="104">
        <f t="shared" si="486"/>
        <v>2019</v>
      </c>
      <c r="GG1546" s="104">
        <f t="shared" si="487"/>
        <v>5</v>
      </c>
      <c r="GH1546" s="35">
        <v>43493</v>
      </c>
      <c r="GI1546" s="26">
        <v>2.426</v>
      </c>
      <c r="GJ1546" s="94">
        <f t="shared" si="488"/>
        <v>4.852</v>
      </c>
      <c r="GK1546" s="104"/>
      <c r="GL1546" s="104"/>
      <c r="GO1546" s="94"/>
    </row>
    <row r="1547" spans="3:197">
      <c r="C1547" s="80" t="str" cm="1">
        <f t="array" ref="C1547">_xlfn.IFS(MONTH(D1547)&lt;4,1,MONTH(D1547)&lt;7,2,MONTH(D1547)&lt;10,3,MONTH(D1547)&gt;9,4)&amp;"Q"&amp;RIGHT(YEAR(D1547),2)</f>
        <v>1Q22</v>
      </c>
      <c r="D1547" s="81">
        <f t="shared" si="482"/>
        <v>44651</v>
      </c>
      <c r="E1547" s="82">
        <f t="shared" si="479"/>
        <v>44642</v>
      </c>
      <c r="F1547" s="83">
        <f t="shared" si="490"/>
        <v>0.477125</v>
      </c>
      <c r="G1547" s="83">
        <f t="shared" si="490"/>
        <v>0.42625</v>
      </c>
      <c r="H1547" s="81"/>
      <c r="I1547" s="146">
        <v>44642</v>
      </c>
      <c r="J1547" s="147">
        <v>4.18</v>
      </c>
      <c r="K1547" s="147">
        <v>3.57</v>
      </c>
      <c r="L1547" s="147">
        <v>3.817</v>
      </c>
      <c r="M1547" s="59" cm="1">
        <f t="array" ref="M1547">INDEX($BV$29:$BV$1449,MATCH($D1547,$BR$29:$BR$1449,0),)</f>
        <v>3.41</v>
      </c>
      <c r="N1547" s="150">
        <f t="shared" si="484"/>
        <v>-0.00156944807742609</v>
      </c>
      <c r="O1547" s="150">
        <f t="shared" si="485"/>
        <v>-0.018513756749807</v>
      </c>
      <c r="P1547" s="150">
        <f t="shared" si="478"/>
        <v>-0.019018247237214</v>
      </c>
      <c r="Q1547" s="89">
        <f t="shared" si="480"/>
        <v>0.119354838709677</v>
      </c>
      <c r="AR1547" s="36"/>
      <c r="AT1547" s="36"/>
      <c r="AU1547" s="36"/>
      <c r="AV1547" s="36"/>
      <c r="AW1547" s="36"/>
      <c r="AX1547" s="36"/>
      <c r="AY1547" s="36"/>
      <c r="AZ1547" s="36"/>
      <c r="BA1547" s="36"/>
      <c r="BB1547" s="36"/>
      <c r="BC1547" s="36"/>
      <c r="BD1547" s="36"/>
      <c r="BE1547" s="36"/>
      <c r="BF1547" s="36"/>
      <c r="BG1547" s="36"/>
      <c r="BH1547" s="36"/>
      <c r="BI1547" s="36"/>
      <c r="BJ1547" s="36"/>
      <c r="BK1547" s="36"/>
      <c r="BL1547" s="36"/>
      <c r="BM1547" s="36"/>
      <c r="BN1547" s="36"/>
      <c r="GE1547" s="94"/>
      <c r="GF1547" s="104">
        <f t="shared" si="486"/>
        <v>2019</v>
      </c>
      <c r="GG1547" s="104">
        <f t="shared" si="487"/>
        <v>5</v>
      </c>
      <c r="GH1547" s="35">
        <v>43494</v>
      </c>
      <c r="GI1547" s="26">
        <v>2.425</v>
      </c>
      <c r="GJ1547" s="94">
        <f t="shared" si="488"/>
        <v>4.85</v>
      </c>
      <c r="GK1547" s="104"/>
      <c r="GL1547" s="104"/>
      <c r="GO1547" s="94"/>
    </row>
    <row r="1548" spans="3:197">
      <c r="C1548" s="80" t="str" cm="1">
        <f t="array" ref="C1548">_xlfn.IFS(MONTH(D1548)&lt;4,1,MONTH(D1548)&lt;7,2,MONTH(D1548)&lt;10,3,MONTH(D1548)&gt;9,4)&amp;"Q"&amp;RIGHT(YEAR(D1548),2)</f>
        <v>1Q22</v>
      </c>
      <c r="D1548" s="81">
        <f t="shared" si="482"/>
        <v>44651</v>
      </c>
      <c r="E1548" s="82">
        <f t="shared" si="479"/>
        <v>44643</v>
      </c>
      <c r="F1548" s="83">
        <f t="shared" si="490"/>
        <v>0.476375</v>
      </c>
      <c r="G1548" s="83">
        <f t="shared" si="490"/>
        <v>0.42625</v>
      </c>
      <c r="H1548" s="81"/>
      <c r="I1548" s="146">
        <v>44643</v>
      </c>
      <c r="J1548" s="147">
        <v>4.15</v>
      </c>
      <c r="K1548" s="147">
        <v>3.57</v>
      </c>
      <c r="L1548" s="147">
        <v>3.811</v>
      </c>
      <c r="M1548" s="59" cm="1">
        <f t="array" ref="M1548">INDEX($BV$29:$BV$1449,MATCH($D1548,$BR$29:$BR$1449,0),)</f>
        <v>3.41</v>
      </c>
      <c r="N1548" s="150">
        <f t="shared" si="484"/>
        <v>-0.00157191511658372</v>
      </c>
      <c r="O1548" s="150">
        <f t="shared" si="485"/>
        <v>-0.00806871421134825</v>
      </c>
      <c r="P1548" s="150">
        <f t="shared" si="478"/>
        <v>-0.0218172484599589</v>
      </c>
      <c r="Q1548" s="89">
        <f t="shared" si="480"/>
        <v>0.117595307917888</v>
      </c>
      <c r="AR1548" s="36"/>
      <c r="AT1548" s="36"/>
      <c r="AU1548" s="36"/>
      <c r="AV1548" s="36"/>
      <c r="AW1548" s="36"/>
      <c r="AX1548" s="36"/>
      <c r="AY1548" s="36"/>
      <c r="AZ1548" s="36"/>
      <c r="BA1548" s="36"/>
      <c r="BB1548" s="36"/>
      <c r="BC1548" s="36"/>
      <c r="BD1548" s="36"/>
      <c r="BE1548" s="36"/>
      <c r="BF1548" s="36"/>
      <c r="BG1548" s="36"/>
      <c r="BH1548" s="36"/>
      <c r="BI1548" s="36"/>
      <c r="BJ1548" s="36"/>
      <c r="BK1548" s="36"/>
      <c r="BL1548" s="36"/>
      <c r="BM1548" s="36"/>
      <c r="BN1548" s="36"/>
      <c r="GE1548" s="94"/>
      <c r="GF1548" s="104">
        <f t="shared" si="486"/>
        <v>2019</v>
      </c>
      <c r="GG1548" s="104">
        <f t="shared" si="487"/>
        <v>5</v>
      </c>
      <c r="GH1548" s="35">
        <v>43495</v>
      </c>
      <c r="GI1548" s="26">
        <v>2.421</v>
      </c>
      <c r="GJ1548" s="94">
        <f t="shared" si="488"/>
        <v>4.842</v>
      </c>
      <c r="GK1548" s="104"/>
      <c r="GL1548" s="104"/>
      <c r="GO1548" s="94"/>
    </row>
    <row r="1549" spans="3:197">
      <c r="C1549" s="80" t="str" cm="1">
        <f t="array" ref="C1549">_xlfn.IFS(MONTH(D1549)&lt;4,1,MONTH(D1549)&lt;7,2,MONTH(D1549)&lt;10,3,MONTH(D1549)&gt;9,4)&amp;"Q"&amp;RIGHT(YEAR(D1549),2)</f>
        <v>1Q22</v>
      </c>
      <c r="D1549" s="81">
        <f t="shared" si="482"/>
        <v>44651</v>
      </c>
      <c r="E1549" s="82">
        <f t="shared" si="479"/>
        <v>44644</v>
      </c>
      <c r="F1549" s="83">
        <f t="shared" si="490"/>
        <v>0.472875</v>
      </c>
      <c r="G1549" s="83">
        <f t="shared" si="490"/>
        <v>0.42625</v>
      </c>
      <c r="H1549" s="81"/>
      <c r="I1549" s="146">
        <v>44644</v>
      </c>
      <c r="J1549" s="147">
        <v>4.1</v>
      </c>
      <c r="K1549" s="147">
        <v>3.57</v>
      </c>
      <c r="L1549" s="147">
        <v>3.783</v>
      </c>
      <c r="M1549" s="59" cm="1">
        <f t="array" ref="M1549">INDEX($BV$29:$BV$1449,MATCH($D1549,$BR$29:$BR$1449,0),)</f>
        <v>3.41</v>
      </c>
      <c r="N1549" s="150">
        <f t="shared" si="484"/>
        <v>-0.00734715297822097</v>
      </c>
      <c r="O1549" s="150">
        <f t="shared" si="485"/>
        <v>-0.0133020344287951</v>
      </c>
      <c r="P1549" s="150">
        <f t="shared" si="478"/>
        <v>-0.028255843822245</v>
      </c>
      <c r="Q1549" s="89">
        <f t="shared" si="480"/>
        <v>0.109384164222874</v>
      </c>
      <c r="AR1549" s="36"/>
      <c r="AT1549" s="36"/>
      <c r="AU1549" s="36"/>
      <c r="AV1549" s="36"/>
      <c r="AW1549" s="36"/>
      <c r="AX1549" s="36"/>
      <c r="AY1549" s="36"/>
      <c r="AZ1549" s="36"/>
      <c r="BA1549" s="36"/>
      <c r="BB1549" s="36"/>
      <c r="BC1549" s="36"/>
      <c r="BD1549" s="36"/>
      <c r="BE1549" s="36"/>
      <c r="BF1549" s="36"/>
      <c r="BG1549" s="36"/>
      <c r="BH1549" s="36"/>
      <c r="BI1549" s="36"/>
      <c r="BJ1549" s="36"/>
      <c r="BK1549" s="36"/>
      <c r="BL1549" s="36"/>
      <c r="BM1549" s="36"/>
      <c r="BN1549" s="36"/>
      <c r="GE1549" s="94"/>
      <c r="GF1549" s="104">
        <f t="shared" si="486"/>
        <v>2019</v>
      </c>
      <c r="GG1549" s="104">
        <f t="shared" si="487"/>
        <v>5</v>
      </c>
      <c r="GH1549" s="35">
        <v>43496</v>
      </c>
      <c r="GI1549" s="26">
        <v>2.421</v>
      </c>
      <c r="GJ1549" s="94">
        <f t="shared" si="488"/>
        <v>4.842</v>
      </c>
      <c r="GK1549" s="104"/>
      <c r="GL1549" s="104"/>
      <c r="GO1549" s="94"/>
    </row>
    <row r="1550" spans="3:197">
      <c r="C1550" s="80" t="str" cm="1">
        <f t="array" ref="C1550">_xlfn.IFS(MONTH(D1550)&lt;4,1,MONTH(D1550)&lt;7,2,MONTH(D1550)&lt;10,3,MONTH(D1550)&gt;9,4)&amp;"Q"&amp;RIGHT(YEAR(D1550),2)</f>
        <v>1Q22</v>
      </c>
      <c r="D1550" s="81">
        <f t="shared" si="482"/>
        <v>44651</v>
      </c>
      <c r="E1550" s="82">
        <f t="shared" si="479"/>
        <v>44645</v>
      </c>
      <c r="F1550" s="83">
        <f t="shared" si="490"/>
        <v>0.471875</v>
      </c>
      <c r="G1550" s="83">
        <f t="shared" si="490"/>
        <v>0.42625</v>
      </c>
      <c r="H1550" s="81"/>
      <c r="I1550" s="146">
        <v>44645</v>
      </c>
      <c r="J1550" s="147">
        <v>4.1</v>
      </c>
      <c r="K1550" s="147">
        <v>3.57</v>
      </c>
      <c r="L1550" s="147">
        <v>3.775</v>
      </c>
      <c r="M1550" s="59" cm="1">
        <f t="array" ref="M1550">INDEX($BV$29:$BV$1449,MATCH($D1550,$BR$29:$BR$1449,0),)</f>
        <v>3.41</v>
      </c>
      <c r="N1550" s="150">
        <f t="shared" si="484"/>
        <v>-0.00211472376420829</v>
      </c>
      <c r="O1550" s="150">
        <f t="shared" si="485"/>
        <v>-0.0143603133159269</v>
      </c>
      <c r="P1550" s="150">
        <f t="shared" si="478"/>
        <v>-0.0303108142820446</v>
      </c>
      <c r="Q1550" s="89">
        <f t="shared" si="480"/>
        <v>0.107038123167155</v>
      </c>
      <c r="AR1550" s="36"/>
      <c r="AT1550" s="36"/>
      <c r="AU1550" s="36"/>
      <c r="AV1550" s="36"/>
      <c r="AW1550" s="36"/>
      <c r="AX1550" s="36"/>
      <c r="AY1550" s="36"/>
      <c r="AZ1550" s="36"/>
      <c r="BA1550" s="36"/>
      <c r="BB1550" s="36"/>
      <c r="BC1550" s="36"/>
      <c r="BD1550" s="36"/>
      <c r="BE1550" s="36"/>
      <c r="BF1550" s="36"/>
      <c r="BG1550" s="36"/>
      <c r="BH1550" s="36"/>
      <c r="BI1550" s="36"/>
      <c r="BJ1550" s="36"/>
      <c r="BK1550" s="36"/>
      <c r="BL1550" s="36"/>
      <c r="BM1550" s="36"/>
      <c r="BN1550" s="36"/>
      <c r="GE1550" s="94"/>
      <c r="GF1550" s="104">
        <f t="shared" si="486"/>
        <v>2019</v>
      </c>
      <c r="GG1550" s="104">
        <f t="shared" si="487"/>
        <v>5</v>
      </c>
      <c r="GH1550" s="35">
        <v>43497</v>
      </c>
      <c r="GI1550" s="26">
        <v>2.421</v>
      </c>
      <c r="GJ1550" s="94">
        <f t="shared" si="488"/>
        <v>4.842</v>
      </c>
      <c r="GK1550" s="104"/>
      <c r="GL1550" s="104"/>
      <c r="GO1550" s="94"/>
    </row>
    <row r="1551" spans="3:197">
      <c r="C1551" s="80" t="str" cm="1">
        <f t="array" ref="C1551">_xlfn.IFS(MONTH(D1551)&lt;4,1,MONTH(D1551)&lt;7,2,MONTH(D1551)&lt;10,3,MONTH(D1551)&gt;9,4)&amp;"Q"&amp;RIGHT(YEAR(D1551),2)</f>
        <v>1Q22</v>
      </c>
      <c r="D1551" s="81">
        <f t="shared" si="482"/>
        <v>44651</v>
      </c>
      <c r="E1551" s="82">
        <f t="shared" si="479"/>
        <v>44648</v>
      </c>
      <c r="F1551" s="83">
        <f t="shared" si="490"/>
        <v>0.47175</v>
      </c>
      <c r="G1551" s="83">
        <f t="shared" si="490"/>
        <v>0.42625</v>
      </c>
      <c r="H1551" s="81"/>
      <c r="I1551" s="146">
        <v>44648</v>
      </c>
      <c r="J1551" s="147">
        <v>4.08</v>
      </c>
      <c r="K1551" s="147">
        <v>3.55</v>
      </c>
      <c r="L1551" s="147">
        <v>3.774</v>
      </c>
      <c r="M1551" s="59" cm="1">
        <f t="array" ref="M1551">INDEX($BV$29:$BV$1449,MATCH($D1551,$BR$29:$BR$1449,0),)</f>
        <v>3.41</v>
      </c>
      <c r="N1551" s="150">
        <f t="shared" si="484"/>
        <v>-0.000264900662251599</v>
      </c>
      <c r="O1551" s="150">
        <f t="shared" si="485"/>
        <v>-0.0128171592989799</v>
      </c>
      <c r="P1551" s="150">
        <f t="shared" ref="P1551:P1614" si="491">L1551/L1541-1</f>
        <v>-0.0300693909020817</v>
      </c>
      <c r="Q1551" s="89">
        <f t="shared" si="480"/>
        <v>0.106744868035191</v>
      </c>
      <c r="AR1551" s="36"/>
      <c r="AT1551" s="36"/>
      <c r="AU1551" s="36"/>
      <c r="AV1551" s="36"/>
      <c r="AW1551" s="36"/>
      <c r="AX1551" s="36"/>
      <c r="AY1551" s="36"/>
      <c r="AZ1551" s="36"/>
      <c r="BA1551" s="36"/>
      <c r="BB1551" s="36"/>
      <c r="BC1551" s="36"/>
      <c r="BD1551" s="36"/>
      <c r="BE1551" s="36"/>
      <c r="BF1551" s="36"/>
      <c r="BG1551" s="36"/>
      <c r="BH1551" s="36"/>
      <c r="BI1551" s="36"/>
      <c r="BJ1551" s="36"/>
      <c r="BK1551" s="36"/>
      <c r="BL1551" s="36"/>
      <c r="BM1551" s="36"/>
      <c r="BN1551" s="36"/>
      <c r="GE1551" s="94"/>
      <c r="GF1551" s="104">
        <f t="shared" si="486"/>
        <v>2019</v>
      </c>
      <c r="GG1551" s="104">
        <f t="shared" si="487"/>
        <v>7</v>
      </c>
      <c r="GH1551" s="35">
        <v>43507</v>
      </c>
      <c r="GI1551" s="26">
        <v>2.421</v>
      </c>
      <c r="GJ1551" s="94">
        <f t="shared" si="488"/>
        <v>4.842</v>
      </c>
      <c r="GK1551" s="104"/>
      <c r="GL1551" s="104"/>
      <c r="GO1551" s="94"/>
    </row>
    <row r="1552" spans="3:197">
      <c r="C1552" s="80" t="str" cm="1">
        <f t="array" ref="C1552">_xlfn.IFS(MONTH(D1552)&lt;4,1,MONTH(D1552)&lt;7,2,MONTH(D1552)&lt;10,3,MONTH(D1552)&gt;9,4)&amp;"Q"&amp;RIGHT(YEAR(D1552),2)</f>
        <v>1Q22</v>
      </c>
      <c r="D1552" s="81">
        <f t="shared" si="482"/>
        <v>44651</v>
      </c>
      <c r="E1552" s="82">
        <f t="shared" si="479"/>
        <v>44649</v>
      </c>
      <c r="F1552" s="83">
        <f t="shared" si="490"/>
        <v>0.471</v>
      </c>
      <c r="G1552" s="83">
        <f t="shared" si="490"/>
        <v>0.42625</v>
      </c>
      <c r="H1552" s="81"/>
      <c r="I1552" s="146">
        <v>44649</v>
      </c>
      <c r="J1552" s="147">
        <v>4.08</v>
      </c>
      <c r="K1552" s="147">
        <v>3.55</v>
      </c>
      <c r="L1552" s="147">
        <v>3.768</v>
      </c>
      <c r="M1552" s="59" cm="1">
        <f t="array" ref="M1552">INDEX($BV$29:$BV$1449,MATCH($D1552,$BR$29:$BR$1449,0),)</f>
        <v>3.41</v>
      </c>
      <c r="N1552" s="150">
        <f t="shared" si="484"/>
        <v>-0.001589825119237</v>
      </c>
      <c r="O1552" s="150">
        <f t="shared" si="485"/>
        <v>-0.0128373067854337</v>
      </c>
      <c r="P1552" s="150">
        <f t="shared" si="491"/>
        <v>-0.0311133967600926</v>
      </c>
      <c r="Q1552" s="89">
        <f t="shared" si="480"/>
        <v>0.104985337243402</v>
      </c>
      <c r="AR1552" s="36"/>
      <c r="AT1552" s="36"/>
      <c r="AU1552" s="36"/>
      <c r="AV1552" s="36"/>
      <c r="AW1552" s="36"/>
      <c r="AX1552" s="36"/>
      <c r="AY1552" s="36"/>
      <c r="AZ1552" s="36"/>
      <c r="BA1552" s="36"/>
      <c r="BB1552" s="36"/>
      <c r="BC1552" s="36"/>
      <c r="BD1552" s="36"/>
      <c r="BE1552" s="36"/>
      <c r="BF1552" s="36"/>
      <c r="BG1552" s="36"/>
      <c r="BH1552" s="36"/>
      <c r="BI1552" s="36"/>
      <c r="BJ1552" s="36"/>
      <c r="BK1552" s="36"/>
      <c r="BL1552" s="36"/>
      <c r="BM1552" s="36"/>
      <c r="BN1552" s="36"/>
      <c r="GE1552" s="94"/>
      <c r="GF1552" s="104">
        <f t="shared" si="486"/>
        <v>2019</v>
      </c>
      <c r="GG1552" s="104">
        <f t="shared" si="487"/>
        <v>7</v>
      </c>
      <c r="GH1552" s="35">
        <v>43508</v>
      </c>
      <c r="GI1552" s="26">
        <v>2.407</v>
      </c>
      <c r="GJ1552" s="94">
        <f t="shared" si="488"/>
        <v>4.814</v>
      </c>
      <c r="GK1552" s="104"/>
      <c r="GL1552" s="104"/>
      <c r="GO1552" s="94"/>
    </row>
    <row r="1553" spans="3:197">
      <c r="C1553" s="80" t="str" cm="1">
        <f t="array" ref="C1553">_xlfn.IFS(MONTH(D1553)&lt;4,1,MONTH(D1553)&lt;7,2,MONTH(D1553)&lt;10,3,MONTH(D1553)&gt;9,4)&amp;"Q"&amp;RIGHT(YEAR(D1553),2)</f>
        <v>1Q22</v>
      </c>
      <c r="D1553" s="81">
        <f t="shared" si="482"/>
        <v>44651</v>
      </c>
      <c r="E1553" s="82">
        <f t="shared" ref="E1553:E1616" si="492">I1553</f>
        <v>44650</v>
      </c>
      <c r="F1553" s="83">
        <f t="shared" si="490"/>
        <v>0.471</v>
      </c>
      <c r="G1553" s="83">
        <f t="shared" si="490"/>
        <v>0.42625</v>
      </c>
      <c r="H1553" s="81"/>
      <c r="I1553" s="146">
        <v>44650</v>
      </c>
      <c r="J1553" s="147">
        <v>4.08</v>
      </c>
      <c r="K1553" s="147">
        <v>3.55</v>
      </c>
      <c r="L1553" s="147">
        <v>3.768</v>
      </c>
      <c r="M1553" s="59" cm="1">
        <f t="array" ref="M1553">INDEX($BV$29:$BV$1449,MATCH($D1553,$BR$29:$BR$1449,0),)</f>
        <v>3.41</v>
      </c>
      <c r="N1553" s="150">
        <f t="shared" si="484"/>
        <v>0</v>
      </c>
      <c r="O1553" s="150">
        <f t="shared" si="485"/>
        <v>-0.0112831277879822</v>
      </c>
      <c r="P1553" s="150">
        <f t="shared" si="491"/>
        <v>-0.0192608016657991</v>
      </c>
      <c r="Q1553" s="89">
        <f t="shared" ref="Q1553:Q1616" si="493">L1553/M1553-1</f>
        <v>0.104985337243402</v>
      </c>
      <c r="AR1553" s="36"/>
      <c r="AT1553" s="36"/>
      <c r="AU1553" s="36"/>
      <c r="AV1553" s="36"/>
      <c r="AW1553" s="36"/>
      <c r="AX1553" s="36"/>
      <c r="AY1553" s="36"/>
      <c r="AZ1553" s="36"/>
      <c r="BA1553" s="36"/>
      <c r="BB1553" s="36"/>
      <c r="BC1553" s="36"/>
      <c r="BD1553" s="36"/>
      <c r="BE1553" s="36"/>
      <c r="BF1553" s="36"/>
      <c r="BG1553" s="36"/>
      <c r="BH1553" s="36"/>
      <c r="BI1553" s="36"/>
      <c r="BJ1553" s="36"/>
      <c r="BK1553" s="36"/>
      <c r="BL1553" s="36"/>
      <c r="BM1553" s="36"/>
      <c r="BN1553" s="36"/>
      <c r="GE1553" s="94"/>
      <c r="GF1553" s="104">
        <f t="shared" si="486"/>
        <v>2019</v>
      </c>
      <c r="GG1553" s="104">
        <f t="shared" si="487"/>
        <v>7</v>
      </c>
      <c r="GH1553" s="35">
        <v>43509</v>
      </c>
      <c r="GI1553" s="26">
        <v>2.396</v>
      </c>
      <c r="GJ1553" s="94">
        <f t="shared" si="488"/>
        <v>4.792</v>
      </c>
      <c r="GK1553" s="104"/>
      <c r="GL1553" s="104"/>
      <c r="GO1553" s="94"/>
    </row>
    <row r="1554" spans="3:197">
      <c r="C1554" s="80" t="str" cm="1">
        <f t="array" ref="C1554">_xlfn.IFS(MONTH(D1554)&lt;4,1,MONTH(D1554)&lt;7,2,MONTH(D1554)&lt;10,3,MONTH(D1554)&gt;9,4)&amp;"Q"&amp;RIGHT(YEAR(D1554),2)</f>
        <v>1Q22</v>
      </c>
      <c r="D1554" s="81">
        <f t="shared" si="482"/>
        <v>44651</v>
      </c>
      <c r="E1554" s="82">
        <f t="shared" si="492"/>
        <v>44651</v>
      </c>
      <c r="F1554" s="83">
        <f t="shared" si="490"/>
        <v>0.4685</v>
      </c>
      <c r="G1554" s="83">
        <f t="shared" si="490"/>
        <v>0.42625</v>
      </c>
      <c r="H1554" s="81"/>
      <c r="I1554" s="146">
        <v>44651</v>
      </c>
      <c r="J1554" s="147">
        <v>4.05</v>
      </c>
      <c r="K1554" s="147">
        <v>3.55</v>
      </c>
      <c r="L1554" s="147">
        <v>3.748</v>
      </c>
      <c r="M1554" s="59" cm="1">
        <f t="array" ref="M1554">INDEX($BV$29:$BV$1449,MATCH($D1554,$BR$29:$BR$1449,0),)</f>
        <v>3.41</v>
      </c>
      <c r="N1554" s="150">
        <f t="shared" si="484"/>
        <v>-0.00530785562632685</v>
      </c>
      <c r="O1554" s="150">
        <f t="shared" si="485"/>
        <v>-0.00925191646841128</v>
      </c>
      <c r="P1554" s="150">
        <f t="shared" si="491"/>
        <v>-0.0224308815858111</v>
      </c>
      <c r="Q1554" s="89">
        <f t="shared" si="493"/>
        <v>0.0991202346041056</v>
      </c>
      <c r="AR1554" s="36"/>
      <c r="AT1554" s="36"/>
      <c r="AU1554" s="36"/>
      <c r="AV1554" s="36"/>
      <c r="AW1554" s="36"/>
      <c r="AX1554" s="36"/>
      <c r="AY1554" s="36"/>
      <c r="AZ1554" s="36"/>
      <c r="BA1554" s="36"/>
      <c r="BB1554" s="36"/>
      <c r="BC1554" s="36"/>
      <c r="BD1554" s="36"/>
      <c r="BE1554" s="36"/>
      <c r="BF1554" s="36"/>
      <c r="BG1554" s="36"/>
      <c r="BH1554" s="36"/>
      <c r="BI1554" s="36"/>
      <c r="BJ1554" s="36"/>
      <c r="BK1554" s="36"/>
      <c r="BL1554" s="36"/>
      <c r="BM1554" s="36"/>
      <c r="BN1554" s="36"/>
      <c r="GE1554" s="94"/>
      <c r="GF1554" s="104">
        <f t="shared" si="486"/>
        <v>2019</v>
      </c>
      <c r="GG1554" s="104">
        <f t="shared" si="487"/>
        <v>7</v>
      </c>
      <c r="GH1554" s="35">
        <v>43510</v>
      </c>
      <c r="GI1554" s="26">
        <v>2.393</v>
      </c>
      <c r="GJ1554" s="94">
        <f t="shared" si="488"/>
        <v>4.786</v>
      </c>
      <c r="GK1554" s="104"/>
      <c r="GL1554" s="104"/>
      <c r="GO1554" s="94"/>
    </row>
    <row r="1555" spans="3:197">
      <c r="C1555" s="80" t="str" cm="1">
        <f t="array" ref="C1555">_xlfn.IFS(MONTH(D1555)&lt;4,1,MONTH(D1555)&lt;7,2,MONTH(D1555)&lt;10,3,MONTH(D1555)&gt;9,4)&amp;"Q"&amp;RIGHT(YEAR(D1555),2)</f>
        <v>2Q22</v>
      </c>
      <c r="D1555" s="81">
        <f t="shared" si="482"/>
        <v>44681</v>
      </c>
      <c r="E1555" s="82">
        <f t="shared" si="492"/>
        <v>44652</v>
      </c>
      <c r="F1555" s="83">
        <f t="shared" si="490"/>
        <v>0.46825</v>
      </c>
      <c r="G1555" s="83">
        <f t="shared" si="490"/>
        <v>0.42625</v>
      </c>
      <c r="H1555" s="81"/>
      <c r="I1555" s="146">
        <v>44652</v>
      </c>
      <c r="J1555" s="147">
        <v>4.05</v>
      </c>
      <c r="K1555" s="147">
        <v>3.55</v>
      </c>
      <c r="L1555" s="147">
        <v>3.746</v>
      </c>
      <c r="M1555" s="59" cm="1">
        <f t="array" ref="M1555">INDEX($BV$29:$BV$1449,MATCH($D1555,$BR$29:$BR$1449,0),)</f>
        <v>3.41</v>
      </c>
      <c r="N1555" s="150">
        <f t="shared" si="484"/>
        <v>-0.000533617929562524</v>
      </c>
      <c r="O1555" s="150">
        <f t="shared" si="485"/>
        <v>-0.00768211920529804</v>
      </c>
      <c r="P1555" s="150">
        <f t="shared" si="491"/>
        <v>-0.0219321148825066</v>
      </c>
      <c r="Q1555" s="89">
        <f t="shared" si="493"/>
        <v>0.0985337243401758</v>
      </c>
      <c r="AR1555" s="36"/>
      <c r="AT1555" s="36"/>
      <c r="AU1555" s="36"/>
      <c r="AV1555" s="36"/>
      <c r="AW1555" s="36"/>
      <c r="AX1555" s="36"/>
      <c r="AY1555" s="36"/>
      <c r="AZ1555" s="36"/>
      <c r="BA1555" s="36"/>
      <c r="BB1555" s="36"/>
      <c r="BC1555" s="36"/>
      <c r="BD1555" s="36"/>
      <c r="BE1555" s="36"/>
      <c r="BF1555" s="36"/>
      <c r="BG1555" s="36"/>
      <c r="BH1555" s="36"/>
      <c r="BI1555" s="36"/>
      <c r="BJ1555" s="36"/>
      <c r="BK1555" s="36"/>
      <c r="BL1555" s="36"/>
      <c r="BM1555" s="36"/>
      <c r="BN1555" s="36"/>
      <c r="GE1555" s="94"/>
      <c r="GF1555" s="104">
        <f t="shared" si="486"/>
        <v>2019</v>
      </c>
      <c r="GG1555" s="104">
        <f t="shared" si="487"/>
        <v>7</v>
      </c>
      <c r="GH1555" s="35">
        <v>43511</v>
      </c>
      <c r="GI1555" s="26">
        <v>2.393</v>
      </c>
      <c r="GJ1555" s="94">
        <f t="shared" si="488"/>
        <v>4.786</v>
      </c>
      <c r="GK1555" s="104"/>
      <c r="GL1555" s="104"/>
      <c r="GO1555" s="94"/>
    </row>
    <row r="1556" spans="3:197">
      <c r="C1556" s="80" t="str" cm="1">
        <f t="array" ref="C1556">_xlfn.IFS(MONTH(D1556)&lt;4,1,MONTH(D1556)&lt;7,2,MONTH(D1556)&lt;10,3,MONTH(D1556)&gt;9,4)&amp;"Q"&amp;RIGHT(YEAR(D1556),2)</f>
        <v>2Q22</v>
      </c>
      <c r="D1556" s="81">
        <f t="shared" si="482"/>
        <v>44681</v>
      </c>
      <c r="E1556" s="82">
        <f t="shared" si="492"/>
        <v>44657</v>
      </c>
      <c r="F1556" s="83">
        <f t="shared" si="490"/>
        <v>0.467</v>
      </c>
      <c r="G1556" s="83">
        <f t="shared" si="490"/>
        <v>0.42625</v>
      </c>
      <c r="H1556" s="81"/>
      <c r="I1556" s="146">
        <v>44657</v>
      </c>
      <c r="J1556" s="147">
        <v>4.03</v>
      </c>
      <c r="K1556" s="147">
        <v>3.5</v>
      </c>
      <c r="L1556" s="147">
        <v>3.736</v>
      </c>
      <c r="M1556" s="59" cm="1">
        <f t="array" ref="M1556">INDEX($BV$29:$BV$1449,MATCH($D1556,$BR$29:$BR$1449,0),)</f>
        <v>3.41</v>
      </c>
      <c r="N1556" s="150">
        <f t="shared" si="484"/>
        <v>-0.00266951414842498</v>
      </c>
      <c r="O1556" s="150">
        <f t="shared" si="485"/>
        <v>-0.0100688924218335</v>
      </c>
      <c r="P1556" s="150">
        <f t="shared" si="491"/>
        <v>-0.0227569971226784</v>
      </c>
      <c r="Q1556" s="89">
        <f t="shared" si="493"/>
        <v>0.095601173020528</v>
      </c>
      <c r="AR1556" s="36"/>
      <c r="AT1556" s="36"/>
      <c r="AU1556" s="36"/>
      <c r="AV1556" s="36"/>
      <c r="AW1556" s="36"/>
      <c r="AX1556" s="36"/>
      <c r="AY1556" s="36"/>
      <c r="AZ1556" s="36"/>
      <c r="BA1556" s="36"/>
      <c r="BB1556" s="36"/>
      <c r="BC1556" s="36"/>
      <c r="BD1556" s="36"/>
      <c r="BE1556" s="36"/>
      <c r="BF1556" s="36"/>
      <c r="BG1556" s="36"/>
      <c r="BH1556" s="36"/>
      <c r="BI1556" s="36"/>
      <c r="BJ1556" s="36"/>
      <c r="BK1556" s="36"/>
      <c r="BL1556" s="36"/>
      <c r="BM1556" s="36"/>
      <c r="BN1556" s="36"/>
      <c r="GE1556" s="94"/>
      <c r="GF1556" s="104">
        <f t="shared" si="486"/>
        <v>2019</v>
      </c>
      <c r="GG1556" s="104">
        <f t="shared" si="487"/>
        <v>8</v>
      </c>
      <c r="GH1556" s="35">
        <v>43514</v>
      </c>
      <c r="GI1556" s="26">
        <v>2.369</v>
      </c>
      <c r="GJ1556" s="94">
        <f t="shared" si="488"/>
        <v>4.738</v>
      </c>
      <c r="GK1556" s="104"/>
      <c r="GL1556" s="104"/>
      <c r="GO1556" s="94"/>
    </row>
    <row r="1557" spans="3:197">
      <c r="C1557" s="80" t="str" cm="1">
        <f t="array" ref="C1557">_xlfn.IFS(MONTH(D1557)&lt;4,1,MONTH(D1557)&lt;7,2,MONTH(D1557)&lt;10,3,MONTH(D1557)&gt;9,4)&amp;"Q"&amp;RIGHT(YEAR(D1557),2)</f>
        <v>2Q22</v>
      </c>
      <c r="D1557" s="81">
        <f t="shared" si="482"/>
        <v>44681</v>
      </c>
      <c r="E1557" s="82">
        <f t="shared" si="492"/>
        <v>44658</v>
      </c>
      <c r="F1557" s="83">
        <f t="shared" si="490"/>
        <v>0.464625</v>
      </c>
      <c r="G1557" s="83">
        <f t="shared" si="490"/>
        <v>0.42625</v>
      </c>
      <c r="H1557" s="81"/>
      <c r="I1557" s="146">
        <v>44658</v>
      </c>
      <c r="J1557" s="147">
        <v>4</v>
      </c>
      <c r="K1557" s="147">
        <v>3.48</v>
      </c>
      <c r="L1557" s="147">
        <v>3.717</v>
      </c>
      <c r="M1557" s="59" cm="1">
        <f t="array" ref="M1557">INDEX($BV$29:$BV$1449,MATCH($D1557,$BR$29:$BR$1449,0),)</f>
        <v>3.41</v>
      </c>
      <c r="N1557" s="150">
        <f t="shared" si="484"/>
        <v>-0.00508565310492504</v>
      </c>
      <c r="O1557" s="150">
        <f t="shared" si="485"/>
        <v>-0.0135350318471337</v>
      </c>
      <c r="P1557" s="150">
        <f t="shared" si="491"/>
        <v>-0.0261985852763951</v>
      </c>
      <c r="Q1557" s="89">
        <f t="shared" si="493"/>
        <v>0.0900293255131965</v>
      </c>
      <c r="AR1557" s="36"/>
      <c r="AT1557" s="36"/>
      <c r="AU1557" s="36"/>
      <c r="AV1557" s="36"/>
      <c r="AW1557" s="36"/>
      <c r="AX1557" s="36"/>
      <c r="AY1557" s="36"/>
      <c r="AZ1557" s="36"/>
      <c r="BA1557" s="36"/>
      <c r="BB1557" s="36"/>
      <c r="BC1557" s="36"/>
      <c r="BD1557" s="36"/>
      <c r="BE1557" s="36"/>
      <c r="BF1557" s="36"/>
      <c r="BG1557" s="36"/>
      <c r="BH1557" s="36"/>
      <c r="BI1557" s="36"/>
      <c r="BJ1557" s="36"/>
      <c r="BK1557" s="36"/>
      <c r="BL1557" s="36"/>
      <c r="BM1557" s="36"/>
      <c r="BN1557" s="36"/>
      <c r="GE1557" s="94"/>
      <c r="GF1557" s="104">
        <f t="shared" si="486"/>
        <v>2019</v>
      </c>
      <c r="GG1557" s="104">
        <f t="shared" si="487"/>
        <v>8</v>
      </c>
      <c r="GH1557" s="35">
        <v>43515</v>
      </c>
      <c r="GI1557" s="26">
        <v>2.266</v>
      </c>
      <c r="GJ1557" s="94">
        <f t="shared" si="488"/>
        <v>4.532</v>
      </c>
      <c r="GK1557" s="104"/>
      <c r="GL1557" s="104"/>
      <c r="GO1557" s="94"/>
    </row>
    <row r="1558" spans="3:197">
      <c r="C1558" s="80" t="str" cm="1">
        <f t="array" ref="C1558">_xlfn.IFS(MONTH(D1558)&lt;4,1,MONTH(D1558)&lt;7,2,MONTH(D1558)&lt;10,3,MONTH(D1558)&gt;9,4)&amp;"Q"&amp;RIGHT(YEAR(D1558),2)</f>
        <v>2Q22</v>
      </c>
      <c r="D1558" s="81">
        <f t="shared" si="482"/>
        <v>44681</v>
      </c>
      <c r="E1558" s="82">
        <f t="shared" si="492"/>
        <v>44659</v>
      </c>
      <c r="F1558" s="83">
        <f t="shared" si="490"/>
        <v>0.460125</v>
      </c>
      <c r="G1558" s="83">
        <f t="shared" si="490"/>
        <v>0.42625</v>
      </c>
      <c r="H1558" s="81"/>
      <c r="I1558" s="146">
        <v>44659</v>
      </c>
      <c r="J1558" s="147">
        <v>4</v>
      </c>
      <c r="K1558" s="147">
        <v>3.47</v>
      </c>
      <c r="L1558" s="147">
        <v>3.681</v>
      </c>
      <c r="M1558" s="59" cm="1">
        <f t="array" ref="M1558">INDEX($BV$29:$BV$1449,MATCH($D1558,$BR$29:$BR$1449,0),)</f>
        <v>3.41</v>
      </c>
      <c r="N1558" s="150">
        <f t="shared" si="484"/>
        <v>-0.00968523002421307</v>
      </c>
      <c r="O1558" s="150">
        <f t="shared" si="485"/>
        <v>-0.0230891719745222</v>
      </c>
      <c r="P1558" s="150">
        <f t="shared" si="491"/>
        <v>-0.0341117816845972</v>
      </c>
      <c r="Q1558" s="89">
        <f t="shared" si="493"/>
        <v>0.0794721407624632</v>
      </c>
      <c r="AR1558" s="36"/>
      <c r="AT1558" s="36"/>
      <c r="AU1558" s="36"/>
      <c r="AV1558" s="36"/>
      <c r="AW1558" s="36"/>
      <c r="AX1558" s="36"/>
      <c r="AY1558" s="36"/>
      <c r="AZ1558" s="36"/>
      <c r="BA1558" s="36"/>
      <c r="BB1558" s="36"/>
      <c r="BC1558" s="36"/>
      <c r="BD1558" s="36"/>
      <c r="BE1558" s="36"/>
      <c r="BF1558" s="36"/>
      <c r="BG1558" s="36"/>
      <c r="BH1558" s="36"/>
      <c r="BI1558" s="36"/>
      <c r="BJ1558" s="36"/>
      <c r="BK1558" s="36"/>
      <c r="BL1558" s="36"/>
      <c r="BM1558" s="36"/>
      <c r="BN1558" s="36"/>
      <c r="GE1558" s="94"/>
      <c r="GF1558" s="104">
        <f t="shared" si="486"/>
        <v>2019</v>
      </c>
      <c r="GG1558" s="104">
        <f t="shared" si="487"/>
        <v>8</v>
      </c>
      <c r="GH1558" s="35">
        <v>43516</v>
      </c>
      <c r="GI1558" s="26">
        <v>2.249</v>
      </c>
      <c r="GJ1558" s="94">
        <f t="shared" si="488"/>
        <v>4.498</v>
      </c>
      <c r="GK1558" s="104"/>
      <c r="GL1558" s="104"/>
      <c r="GO1558" s="94"/>
    </row>
    <row r="1559" spans="3:197">
      <c r="C1559" s="80" t="str" cm="1">
        <f t="array" ref="C1559">_xlfn.IFS(MONTH(D1559)&lt;4,1,MONTH(D1559)&lt;7,2,MONTH(D1559)&lt;10,3,MONTH(D1559)&gt;9,4)&amp;"Q"&amp;RIGHT(YEAR(D1559),2)</f>
        <v>2Q22</v>
      </c>
      <c r="D1559" s="81">
        <f t="shared" si="482"/>
        <v>44681</v>
      </c>
      <c r="E1559" s="82">
        <f t="shared" si="492"/>
        <v>44662</v>
      </c>
      <c r="F1559" s="83">
        <f t="shared" si="490"/>
        <v>0.45975</v>
      </c>
      <c r="G1559" s="83">
        <f t="shared" si="490"/>
        <v>0.42625</v>
      </c>
      <c r="H1559" s="81"/>
      <c r="I1559" s="146">
        <v>44662</v>
      </c>
      <c r="J1559" s="147">
        <v>3.98</v>
      </c>
      <c r="K1559" s="147">
        <v>3.46</v>
      </c>
      <c r="L1559" s="147">
        <v>3.678</v>
      </c>
      <c r="M1559" s="59" cm="1">
        <f t="array" ref="M1559">INDEX($BV$29:$BV$1449,MATCH($D1559,$BR$29:$BR$1449,0),)</f>
        <v>3.41</v>
      </c>
      <c r="N1559" s="150">
        <f t="shared" si="484"/>
        <v>-0.000814995925020434</v>
      </c>
      <c r="O1559" s="150">
        <f t="shared" si="485"/>
        <v>-0.0186766275346852</v>
      </c>
      <c r="P1559" s="150">
        <f t="shared" si="491"/>
        <v>-0.027755749405234</v>
      </c>
      <c r="Q1559" s="89">
        <f t="shared" si="493"/>
        <v>0.0785923753665689</v>
      </c>
      <c r="AR1559" s="36"/>
      <c r="AT1559" s="36"/>
      <c r="AU1559" s="36"/>
      <c r="AV1559" s="36"/>
      <c r="AW1559" s="36"/>
      <c r="AX1559" s="36"/>
      <c r="AY1559" s="36"/>
      <c r="AZ1559" s="36"/>
      <c r="BA1559" s="36"/>
      <c r="BB1559" s="36"/>
      <c r="BC1559" s="36"/>
      <c r="BD1559" s="36"/>
      <c r="BE1559" s="36"/>
      <c r="BF1559" s="36"/>
      <c r="BG1559" s="36"/>
      <c r="BH1559" s="36"/>
      <c r="BI1559" s="36"/>
      <c r="BJ1559" s="36"/>
      <c r="BK1559" s="36"/>
      <c r="BL1559" s="36"/>
      <c r="BM1559" s="36"/>
      <c r="BN1559" s="36"/>
      <c r="GE1559" s="94"/>
      <c r="GF1559" s="104">
        <f t="shared" si="486"/>
        <v>2019</v>
      </c>
      <c r="GG1559" s="104">
        <f t="shared" si="487"/>
        <v>8</v>
      </c>
      <c r="GH1559" s="35">
        <v>43517</v>
      </c>
      <c r="GI1559" s="26">
        <v>2.232</v>
      </c>
      <c r="GJ1559" s="94">
        <f t="shared" si="488"/>
        <v>4.464</v>
      </c>
      <c r="GK1559" s="104"/>
      <c r="GL1559" s="104"/>
      <c r="GO1559" s="94"/>
    </row>
    <row r="1560" spans="3:197">
      <c r="C1560" s="80" t="str" cm="1">
        <f t="array" ref="C1560">_xlfn.IFS(MONTH(D1560)&lt;4,1,MONTH(D1560)&lt;7,2,MONTH(D1560)&lt;10,3,MONTH(D1560)&gt;9,4)&amp;"Q"&amp;RIGHT(YEAR(D1560),2)</f>
        <v>2Q22</v>
      </c>
      <c r="D1560" s="81">
        <f t="shared" si="482"/>
        <v>44681</v>
      </c>
      <c r="E1560" s="82">
        <f t="shared" si="492"/>
        <v>44663</v>
      </c>
      <c r="F1560" s="83">
        <f t="shared" si="490"/>
        <v>0.458875</v>
      </c>
      <c r="G1560" s="83">
        <f t="shared" si="490"/>
        <v>0.42625</v>
      </c>
      <c r="H1560" s="81"/>
      <c r="I1560" s="146">
        <v>44663</v>
      </c>
      <c r="J1560" s="147">
        <v>3.98</v>
      </c>
      <c r="K1560" s="147">
        <v>3.46</v>
      </c>
      <c r="L1560" s="147">
        <v>3.671</v>
      </c>
      <c r="M1560" s="59" cm="1">
        <f t="array" ref="M1560">INDEX($BV$29:$BV$1449,MATCH($D1560,$BR$29:$BR$1449,0),)</f>
        <v>3.41</v>
      </c>
      <c r="N1560" s="150">
        <f t="shared" si="484"/>
        <v>-0.00190320826536161</v>
      </c>
      <c r="O1560" s="150">
        <f t="shared" si="485"/>
        <v>-0.0200213561131874</v>
      </c>
      <c r="P1560" s="150">
        <f t="shared" si="491"/>
        <v>-0.0275496688741722</v>
      </c>
      <c r="Q1560" s="89">
        <f t="shared" si="493"/>
        <v>0.0765395894428151</v>
      </c>
      <c r="AR1560" s="36"/>
      <c r="AT1560" s="36"/>
      <c r="AU1560" s="36"/>
      <c r="AV1560" s="36"/>
      <c r="AW1560" s="36"/>
      <c r="AX1560" s="36"/>
      <c r="AY1560" s="36"/>
      <c r="AZ1560" s="36"/>
      <c r="BA1560" s="36"/>
      <c r="BB1560" s="36"/>
      <c r="BC1560" s="36"/>
      <c r="BD1560" s="36"/>
      <c r="BE1560" s="36"/>
      <c r="BF1560" s="36"/>
      <c r="BG1560" s="36"/>
      <c r="BH1560" s="36"/>
      <c r="BI1560" s="36"/>
      <c r="BJ1560" s="36"/>
      <c r="BK1560" s="36"/>
      <c r="BL1560" s="36"/>
      <c r="BM1560" s="36"/>
      <c r="BN1560" s="36"/>
      <c r="GE1560" s="94"/>
      <c r="GF1560" s="104">
        <f t="shared" si="486"/>
        <v>2019</v>
      </c>
      <c r="GG1560" s="104">
        <f t="shared" si="487"/>
        <v>8</v>
      </c>
      <c r="GH1560" s="35">
        <v>43518</v>
      </c>
      <c r="GI1560" s="26">
        <v>2.225</v>
      </c>
      <c r="GJ1560" s="94">
        <f t="shared" si="488"/>
        <v>4.45</v>
      </c>
      <c r="GK1560" s="104"/>
      <c r="GL1560" s="104"/>
      <c r="GO1560" s="94"/>
    </row>
    <row r="1561" spans="3:197">
      <c r="C1561" s="80" t="str" cm="1">
        <f t="array" ref="C1561">_xlfn.IFS(MONTH(D1561)&lt;4,1,MONTH(D1561)&lt;7,2,MONTH(D1561)&lt;10,3,MONTH(D1561)&gt;9,4)&amp;"Q"&amp;RIGHT(YEAR(D1561),2)</f>
        <v>2Q22</v>
      </c>
      <c r="D1561" s="81">
        <f t="shared" si="482"/>
        <v>44681</v>
      </c>
      <c r="E1561" s="82">
        <f t="shared" si="492"/>
        <v>44664</v>
      </c>
      <c r="F1561" s="83">
        <f t="shared" si="490"/>
        <v>0.45625</v>
      </c>
      <c r="G1561" s="83">
        <f t="shared" si="490"/>
        <v>0.42625</v>
      </c>
      <c r="H1561" s="81"/>
      <c r="I1561" s="146">
        <v>44664</v>
      </c>
      <c r="J1561" s="147">
        <v>3.98</v>
      </c>
      <c r="K1561" s="147">
        <v>3.46</v>
      </c>
      <c r="L1561" s="147">
        <v>3.65</v>
      </c>
      <c r="M1561" s="59" cm="1">
        <f t="array" ref="M1561">INDEX($BV$29:$BV$1449,MATCH($D1561,$BR$29:$BR$1449,0),)</f>
        <v>3.41</v>
      </c>
      <c r="N1561" s="150">
        <f t="shared" si="484"/>
        <v>-0.00572051212203761</v>
      </c>
      <c r="O1561" s="150">
        <f t="shared" si="485"/>
        <v>-0.0230192719486082</v>
      </c>
      <c r="P1561" s="150">
        <f t="shared" si="491"/>
        <v>-0.0328563857975623</v>
      </c>
      <c r="Q1561" s="89">
        <f t="shared" si="493"/>
        <v>0.0703812316715542</v>
      </c>
      <c r="AR1561" s="36"/>
      <c r="AT1561" s="36"/>
      <c r="AU1561" s="36"/>
      <c r="AV1561" s="36"/>
      <c r="AW1561" s="36"/>
      <c r="AX1561" s="36"/>
      <c r="AY1561" s="36"/>
      <c r="AZ1561" s="36"/>
      <c r="BA1561" s="36"/>
      <c r="BB1561" s="36"/>
      <c r="BC1561" s="36"/>
      <c r="BD1561" s="36"/>
      <c r="BE1561" s="36"/>
      <c r="BF1561" s="36"/>
      <c r="BG1561" s="36"/>
      <c r="BH1561" s="36"/>
      <c r="BI1561" s="36"/>
      <c r="BJ1561" s="36"/>
      <c r="BK1561" s="36"/>
      <c r="BL1561" s="36"/>
      <c r="BM1561" s="36"/>
      <c r="BN1561" s="36"/>
      <c r="GE1561" s="94"/>
      <c r="GF1561" s="104">
        <f t="shared" si="486"/>
        <v>2019</v>
      </c>
      <c r="GG1561" s="104">
        <f t="shared" si="487"/>
        <v>9</v>
      </c>
      <c r="GH1561" s="35">
        <v>43521</v>
      </c>
      <c r="GI1561" s="26">
        <v>2.216</v>
      </c>
      <c r="GJ1561" s="94">
        <f t="shared" si="488"/>
        <v>4.432</v>
      </c>
      <c r="GK1561" s="104"/>
      <c r="GL1561" s="104"/>
      <c r="GO1561" s="94"/>
    </row>
    <row r="1562" spans="3:197">
      <c r="C1562" s="80" t="str" cm="1">
        <f t="array" ref="C1562">_xlfn.IFS(MONTH(D1562)&lt;4,1,MONTH(D1562)&lt;7,2,MONTH(D1562)&lt;10,3,MONTH(D1562)&gt;9,4)&amp;"Q"&amp;RIGHT(YEAR(D1562),2)</f>
        <v>2Q22</v>
      </c>
      <c r="D1562" s="81">
        <f t="shared" si="482"/>
        <v>44681</v>
      </c>
      <c r="E1562" s="82">
        <f t="shared" si="492"/>
        <v>44665</v>
      </c>
      <c r="F1562" s="83">
        <f t="shared" ref="F1562:G1577" si="494">+L1562/8</f>
        <v>0.454125</v>
      </c>
      <c r="G1562" s="83">
        <f t="shared" si="494"/>
        <v>0.42625</v>
      </c>
      <c r="H1562" s="81"/>
      <c r="I1562" s="146">
        <v>44665</v>
      </c>
      <c r="J1562" s="147">
        <v>3.97</v>
      </c>
      <c r="K1562" s="147">
        <v>3.45</v>
      </c>
      <c r="L1562" s="147">
        <v>3.633</v>
      </c>
      <c r="M1562" s="59" cm="1">
        <f t="array" ref="M1562">INDEX($BV$29:$BV$1449,MATCH($D1562,$BR$29:$BR$1449,0),)</f>
        <v>3.41</v>
      </c>
      <c r="N1562" s="150">
        <f t="shared" si="484"/>
        <v>-0.00465753424657533</v>
      </c>
      <c r="O1562" s="150">
        <f t="shared" si="485"/>
        <v>-0.0225988700564972</v>
      </c>
      <c r="P1562" s="150">
        <f t="shared" si="491"/>
        <v>-0.0358280254777069</v>
      </c>
      <c r="Q1562" s="89">
        <f t="shared" si="493"/>
        <v>0.0653958944281525</v>
      </c>
      <c r="AR1562" s="36"/>
      <c r="AT1562" s="36"/>
      <c r="AU1562" s="36"/>
      <c r="AV1562" s="36"/>
      <c r="AW1562" s="36"/>
      <c r="AX1562" s="36"/>
      <c r="AY1562" s="36"/>
      <c r="AZ1562" s="36"/>
      <c r="BA1562" s="36"/>
      <c r="BB1562" s="36"/>
      <c r="BC1562" s="36"/>
      <c r="BD1562" s="36"/>
      <c r="BE1562" s="36"/>
      <c r="BF1562" s="36"/>
      <c r="BG1562" s="36"/>
      <c r="BH1562" s="36"/>
      <c r="BI1562" s="36"/>
      <c r="BJ1562" s="36"/>
      <c r="BK1562" s="36"/>
      <c r="BL1562" s="36"/>
      <c r="BM1562" s="36"/>
      <c r="BN1562" s="36"/>
      <c r="GE1562" s="94"/>
      <c r="GF1562" s="104">
        <f t="shared" si="486"/>
        <v>2019</v>
      </c>
      <c r="GG1562" s="104">
        <f t="shared" si="487"/>
        <v>9</v>
      </c>
      <c r="GH1562" s="35">
        <v>43522</v>
      </c>
      <c r="GI1562" s="26">
        <v>2.17</v>
      </c>
      <c r="GJ1562" s="94">
        <f t="shared" si="488"/>
        <v>4.34</v>
      </c>
      <c r="GK1562" s="104"/>
      <c r="GL1562" s="104"/>
      <c r="GO1562" s="94"/>
    </row>
    <row r="1563" spans="3:197">
      <c r="C1563" s="80" t="str" cm="1">
        <f t="array" ref="C1563">_xlfn.IFS(MONTH(D1563)&lt;4,1,MONTH(D1563)&lt;7,2,MONTH(D1563)&lt;10,3,MONTH(D1563)&gt;9,4)&amp;"Q"&amp;RIGHT(YEAR(D1563),2)</f>
        <v>2Q22</v>
      </c>
      <c r="D1563" s="81">
        <f t="shared" si="482"/>
        <v>44681</v>
      </c>
      <c r="E1563" s="82">
        <f t="shared" si="492"/>
        <v>44666</v>
      </c>
      <c r="F1563" s="83">
        <f t="shared" si="494"/>
        <v>0.4535</v>
      </c>
      <c r="G1563" s="83">
        <f t="shared" si="494"/>
        <v>0.42625</v>
      </c>
      <c r="H1563" s="81"/>
      <c r="I1563" s="146">
        <v>44666</v>
      </c>
      <c r="J1563" s="147">
        <v>3.97</v>
      </c>
      <c r="K1563" s="147">
        <v>3.45</v>
      </c>
      <c r="L1563" s="147">
        <v>3.628</v>
      </c>
      <c r="M1563" s="59" cm="1">
        <f t="array" ref="M1563">INDEX($BV$29:$BV$1449,MATCH($D1563,$BR$29:$BR$1449,0),)</f>
        <v>3.41</v>
      </c>
      <c r="N1563" s="150">
        <f t="shared" si="484"/>
        <v>-0.0013762730525736</v>
      </c>
      <c r="O1563" s="150">
        <f t="shared" si="485"/>
        <v>-0.0143982613420266</v>
      </c>
      <c r="P1563" s="150">
        <f t="shared" si="491"/>
        <v>-0.0371549893842886</v>
      </c>
      <c r="Q1563" s="89">
        <f t="shared" si="493"/>
        <v>0.0639296187683285</v>
      </c>
      <c r="AR1563" s="36"/>
      <c r="AT1563" s="36"/>
      <c r="AU1563" s="36"/>
      <c r="AV1563" s="36"/>
      <c r="AW1563" s="36"/>
      <c r="AX1563" s="36"/>
      <c r="AY1563" s="36"/>
      <c r="AZ1563" s="36"/>
      <c r="BA1563" s="36"/>
      <c r="BB1563" s="36"/>
      <c r="BC1563" s="36"/>
      <c r="BD1563" s="36"/>
      <c r="BE1563" s="36"/>
      <c r="BF1563" s="36"/>
      <c r="BG1563" s="36"/>
      <c r="BH1563" s="36"/>
      <c r="BI1563" s="36"/>
      <c r="BJ1563" s="36"/>
      <c r="BK1563" s="36"/>
      <c r="BL1563" s="36"/>
      <c r="BM1563" s="36"/>
      <c r="BN1563" s="36"/>
      <c r="GE1563" s="94"/>
      <c r="GF1563" s="104">
        <f t="shared" si="486"/>
        <v>2019</v>
      </c>
      <c r="GG1563" s="104">
        <f t="shared" si="487"/>
        <v>9</v>
      </c>
      <c r="GH1563" s="35">
        <v>43523</v>
      </c>
      <c r="GI1563" s="26">
        <v>2.16</v>
      </c>
      <c r="GJ1563" s="94">
        <f t="shared" si="488"/>
        <v>4.32</v>
      </c>
      <c r="GK1563" s="104"/>
      <c r="GL1563" s="104"/>
      <c r="GO1563" s="94"/>
    </row>
    <row r="1564" spans="3:197">
      <c r="C1564" s="80" t="str" cm="1">
        <f t="array" ref="C1564">_xlfn.IFS(MONTH(D1564)&lt;4,1,MONTH(D1564)&lt;7,2,MONTH(D1564)&lt;10,3,MONTH(D1564)&gt;9,4)&amp;"Q"&amp;RIGHT(YEAR(D1564),2)</f>
        <v>2Q22</v>
      </c>
      <c r="D1564" s="81">
        <f t="shared" si="482"/>
        <v>44681</v>
      </c>
      <c r="E1564" s="82">
        <f t="shared" si="492"/>
        <v>44669</v>
      </c>
      <c r="F1564" s="83">
        <f t="shared" si="494"/>
        <v>0.451375</v>
      </c>
      <c r="G1564" s="83">
        <f t="shared" si="494"/>
        <v>0.42625</v>
      </c>
      <c r="H1564" s="81"/>
      <c r="I1564" s="146">
        <v>44669</v>
      </c>
      <c r="J1564" s="147">
        <v>3.95</v>
      </c>
      <c r="K1564" s="147">
        <v>3.44</v>
      </c>
      <c r="L1564" s="147">
        <v>3.611</v>
      </c>
      <c r="M1564" s="59" cm="1">
        <f t="array" ref="M1564">INDEX($BV$29:$BV$1449,MATCH($D1564,$BR$29:$BR$1449,0),)</f>
        <v>3.41</v>
      </c>
      <c r="N1564" s="150">
        <f t="shared" si="484"/>
        <v>-0.00468577728776187</v>
      </c>
      <c r="O1564" s="150">
        <f t="shared" si="485"/>
        <v>-0.0182164219684611</v>
      </c>
      <c r="P1564" s="150">
        <f t="shared" si="491"/>
        <v>-0.0365528281750267</v>
      </c>
      <c r="Q1564" s="89">
        <f t="shared" si="493"/>
        <v>0.0589442815249268</v>
      </c>
      <c r="AR1564" s="36"/>
      <c r="AT1564" s="36"/>
      <c r="AU1564" s="36"/>
      <c r="AV1564" s="36"/>
      <c r="AW1564" s="36"/>
      <c r="AX1564" s="36"/>
      <c r="AY1564" s="36"/>
      <c r="AZ1564" s="36"/>
      <c r="BA1564" s="36"/>
      <c r="BB1564" s="36"/>
      <c r="BC1564" s="36"/>
      <c r="BD1564" s="36"/>
      <c r="BE1564" s="36"/>
      <c r="BF1564" s="36"/>
      <c r="BG1564" s="36"/>
      <c r="BH1564" s="36"/>
      <c r="BI1564" s="36"/>
      <c r="BJ1564" s="36"/>
      <c r="BK1564" s="36"/>
      <c r="BL1564" s="36"/>
      <c r="BM1564" s="36"/>
      <c r="BN1564" s="36"/>
      <c r="GE1564" s="94"/>
      <c r="GF1564" s="104">
        <f t="shared" si="486"/>
        <v>2019</v>
      </c>
      <c r="GG1564" s="104">
        <f t="shared" si="487"/>
        <v>9</v>
      </c>
      <c r="GH1564" s="35">
        <v>43524</v>
      </c>
      <c r="GI1564" s="26">
        <v>2.142</v>
      </c>
      <c r="GJ1564" s="94">
        <f t="shared" si="488"/>
        <v>4.284</v>
      </c>
      <c r="GK1564" s="104"/>
      <c r="GL1564" s="104"/>
      <c r="GO1564" s="94"/>
    </row>
    <row r="1565" spans="3:197">
      <c r="C1565" s="80" t="str" cm="1">
        <f t="array" ref="C1565">_xlfn.IFS(MONTH(D1565)&lt;4,1,MONTH(D1565)&lt;7,2,MONTH(D1565)&lt;10,3,MONTH(D1565)&gt;9,4)&amp;"Q"&amp;RIGHT(YEAR(D1565),2)</f>
        <v>2Q22</v>
      </c>
      <c r="D1565" s="81">
        <f t="shared" si="482"/>
        <v>44681</v>
      </c>
      <c r="E1565" s="82">
        <f t="shared" si="492"/>
        <v>44670</v>
      </c>
      <c r="F1565" s="83">
        <f t="shared" si="494"/>
        <v>0.450875</v>
      </c>
      <c r="G1565" s="83">
        <f t="shared" si="494"/>
        <v>0.42625</v>
      </c>
      <c r="H1565" s="81"/>
      <c r="I1565" s="146">
        <v>44670</v>
      </c>
      <c r="J1565" s="147">
        <v>3.95</v>
      </c>
      <c r="K1565" s="147">
        <v>3.44</v>
      </c>
      <c r="L1565" s="147">
        <v>3.607</v>
      </c>
      <c r="M1565" s="59" cm="1">
        <f t="array" ref="M1565">INDEX($BV$29:$BV$1449,MATCH($D1565,$BR$29:$BR$1449,0),)</f>
        <v>3.41</v>
      </c>
      <c r="N1565" s="150">
        <f t="shared" si="484"/>
        <v>-0.0011077263915813</v>
      </c>
      <c r="O1565" s="150">
        <f t="shared" si="485"/>
        <v>-0.0174339417052574</v>
      </c>
      <c r="P1565" s="150">
        <f t="shared" si="491"/>
        <v>-0.0371062466631072</v>
      </c>
      <c r="Q1565" s="89">
        <f t="shared" si="493"/>
        <v>0.0577712609970675</v>
      </c>
      <c r="AR1565" s="36"/>
      <c r="AT1565" s="36"/>
      <c r="AU1565" s="36"/>
      <c r="AV1565" s="36"/>
      <c r="AW1565" s="36"/>
      <c r="AX1565" s="36"/>
      <c r="AY1565" s="36"/>
      <c r="AZ1565" s="36"/>
      <c r="BA1565" s="36"/>
      <c r="BB1565" s="36"/>
      <c r="BC1565" s="36"/>
      <c r="BD1565" s="36"/>
      <c r="BE1565" s="36"/>
      <c r="BF1565" s="36"/>
      <c r="BG1565" s="36"/>
      <c r="BH1565" s="36"/>
      <c r="BI1565" s="36"/>
      <c r="BJ1565" s="36"/>
      <c r="BK1565" s="36"/>
      <c r="BL1565" s="36"/>
      <c r="BM1565" s="36"/>
      <c r="BN1565" s="36"/>
      <c r="GE1565" s="94"/>
      <c r="GF1565" s="104">
        <f t="shared" si="486"/>
        <v>2019</v>
      </c>
      <c r="GG1565" s="104">
        <f t="shared" si="487"/>
        <v>9</v>
      </c>
      <c r="GH1565" s="35">
        <v>43525</v>
      </c>
      <c r="GI1565" s="26">
        <v>2.138</v>
      </c>
      <c r="GJ1565" s="94">
        <f t="shared" si="488"/>
        <v>4.276</v>
      </c>
      <c r="GK1565" s="104"/>
      <c r="GL1565" s="104"/>
      <c r="GO1565" s="94"/>
    </row>
    <row r="1566" spans="3:197">
      <c r="C1566" s="80" t="str" cm="1">
        <f t="array" ref="C1566">_xlfn.IFS(MONTH(D1566)&lt;4,1,MONTH(D1566)&lt;7,2,MONTH(D1566)&lt;10,3,MONTH(D1566)&gt;9,4)&amp;"Q"&amp;RIGHT(YEAR(D1566),2)</f>
        <v>2Q22</v>
      </c>
      <c r="D1566" s="81">
        <f t="shared" ref="D1566:D1629" si="495">EOMONTH(E1566,0)</f>
        <v>44681</v>
      </c>
      <c r="E1566" s="82">
        <f t="shared" si="492"/>
        <v>44671</v>
      </c>
      <c r="F1566" s="83">
        <f t="shared" si="494"/>
        <v>0.45</v>
      </c>
      <c r="G1566" s="83">
        <f t="shared" si="494"/>
        <v>0.42625</v>
      </c>
      <c r="H1566" s="81"/>
      <c r="I1566" s="146">
        <v>44671</v>
      </c>
      <c r="J1566" s="147">
        <v>3.95</v>
      </c>
      <c r="K1566" s="147">
        <v>3.43</v>
      </c>
      <c r="L1566" s="147">
        <v>3.6</v>
      </c>
      <c r="M1566" s="59" cm="1">
        <f t="array" ref="M1566">INDEX($BV$29:$BV$1449,MATCH($D1566,$BR$29:$BR$1449,0),)</f>
        <v>3.41</v>
      </c>
      <c r="N1566" s="150">
        <f t="shared" si="484"/>
        <v>-0.00194067091766015</v>
      </c>
      <c r="O1566" s="150">
        <f t="shared" si="485"/>
        <v>-0.0136986301369862</v>
      </c>
      <c r="P1566" s="150">
        <f t="shared" si="491"/>
        <v>-0.0364025695931478</v>
      </c>
      <c r="Q1566" s="89">
        <f t="shared" si="493"/>
        <v>0.0557184750733137</v>
      </c>
      <c r="AR1566" s="36"/>
      <c r="AT1566" s="36"/>
      <c r="AU1566" s="36"/>
      <c r="AV1566" s="36"/>
      <c r="AW1566" s="36"/>
      <c r="AX1566" s="36"/>
      <c r="AY1566" s="36"/>
      <c r="AZ1566" s="36"/>
      <c r="BA1566" s="36"/>
      <c r="BB1566" s="36"/>
      <c r="BC1566" s="36"/>
      <c r="BD1566" s="36"/>
      <c r="BE1566" s="36"/>
      <c r="BF1566" s="36"/>
      <c r="BG1566" s="36"/>
      <c r="BH1566" s="36"/>
      <c r="BI1566" s="36"/>
      <c r="BJ1566" s="36"/>
      <c r="BK1566" s="36"/>
      <c r="BL1566" s="36"/>
      <c r="BM1566" s="36"/>
      <c r="BN1566" s="36"/>
      <c r="GE1566" s="94"/>
      <c r="GF1566" s="104">
        <f t="shared" si="486"/>
        <v>2019</v>
      </c>
      <c r="GG1566" s="104">
        <f t="shared" si="487"/>
        <v>10</v>
      </c>
      <c r="GH1566" s="35">
        <v>43528</v>
      </c>
      <c r="GI1566" s="26">
        <v>2.132</v>
      </c>
      <c r="GJ1566" s="94">
        <f t="shared" si="488"/>
        <v>4.264</v>
      </c>
      <c r="GK1566" s="104"/>
      <c r="GL1566" s="104"/>
      <c r="GO1566" s="94"/>
    </row>
    <row r="1567" spans="3:197">
      <c r="C1567" s="80" t="str" cm="1">
        <f t="array" ref="C1567">_xlfn.IFS(MONTH(D1567)&lt;4,1,MONTH(D1567)&lt;7,2,MONTH(D1567)&lt;10,3,MONTH(D1567)&gt;9,4)&amp;"Q"&amp;RIGHT(YEAR(D1567),2)</f>
        <v>2Q22</v>
      </c>
      <c r="D1567" s="81">
        <f t="shared" si="495"/>
        <v>44681</v>
      </c>
      <c r="E1567" s="82">
        <f t="shared" si="492"/>
        <v>44672</v>
      </c>
      <c r="F1567" s="83">
        <f t="shared" si="494"/>
        <v>0.448125</v>
      </c>
      <c r="G1567" s="83">
        <f t="shared" si="494"/>
        <v>0.42625</v>
      </c>
      <c r="H1567" s="81"/>
      <c r="I1567" s="146">
        <v>44672</v>
      </c>
      <c r="J1567" s="147">
        <v>3.95</v>
      </c>
      <c r="K1567" s="147">
        <v>3.43</v>
      </c>
      <c r="L1567" s="147">
        <v>3.585</v>
      </c>
      <c r="M1567" s="59" cm="1">
        <f t="array" ref="M1567">INDEX($BV$29:$BV$1449,MATCH($D1567,$BR$29:$BR$1449,0),)</f>
        <v>3.41</v>
      </c>
      <c r="N1567" s="150">
        <f t="shared" si="484"/>
        <v>-0.00416666666666665</v>
      </c>
      <c r="O1567" s="150">
        <f t="shared" si="485"/>
        <v>-0.0132122213047069</v>
      </c>
      <c r="P1567" s="150">
        <f t="shared" si="491"/>
        <v>-0.0355125100887813</v>
      </c>
      <c r="Q1567" s="89">
        <f t="shared" si="493"/>
        <v>0.0513196480938416</v>
      </c>
      <c r="AR1567" s="36"/>
      <c r="AT1567" s="36"/>
      <c r="AU1567" s="36"/>
      <c r="AV1567" s="36"/>
      <c r="AW1567" s="36"/>
      <c r="AX1567" s="36"/>
      <c r="AY1567" s="36"/>
      <c r="AZ1567" s="36"/>
      <c r="BA1567" s="36"/>
      <c r="BB1567" s="36"/>
      <c r="BC1567" s="36"/>
      <c r="BD1567" s="36"/>
      <c r="BE1567" s="36"/>
      <c r="BF1567" s="36"/>
      <c r="BG1567" s="36"/>
      <c r="BH1567" s="36"/>
      <c r="BI1567" s="36"/>
      <c r="BJ1567" s="36"/>
      <c r="BK1567" s="36"/>
      <c r="BL1567" s="36"/>
      <c r="BM1567" s="36"/>
      <c r="BN1567" s="36"/>
      <c r="GE1567" s="94"/>
      <c r="GF1567" s="104">
        <f t="shared" si="486"/>
        <v>2019</v>
      </c>
      <c r="GG1567" s="104">
        <f t="shared" si="487"/>
        <v>10</v>
      </c>
      <c r="GH1567" s="35">
        <v>43529</v>
      </c>
      <c r="GI1567" s="26">
        <v>2.125</v>
      </c>
      <c r="GJ1567" s="94">
        <f t="shared" si="488"/>
        <v>4.25</v>
      </c>
      <c r="GK1567" s="104"/>
      <c r="GL1567" s="104"/>
      <c r="GO1567" s="94"/>
    </row>
    <row r="1568" spans="3:197">
      <c r="C1568" s="80" t="str" cm="1">
        <f t="array" ref="C1568">_xlfn.IFS(MONTH(D1568)&lt;4,1,MONTH(D1568)&lt;7,2,MONTH(D1568)&lt;10,3,MONTH(D1568)&gt;9,4)&amp;"Q"&amp;RIGHT(YEAR(D1568),2)</f>
        <v>2Q22</v>
      </c>
      <c r="D1568" s="81">
        <f t="shared" si="495"/>
        <v>44681</v>
      </c>
      <c r="E1568" s="82">
        <f t="shared" si="492"/>
        <v>44673</v>
      </c>
      <c r="F1568" s="83">
        <f t="shared" si="494"/>
        <v>0.4445</v>
      </c>
      <c r="G1568" s="83">
        <f t="shared" si="494"/>
        <v>0.42625</v>
      </c>
      <c r="H1568" s="81"/>
      <c r="I1568" s="146">
        <v>44673</v>
      </c>
      <c r="J1568" s="147">
        <v>3.9</v>
      </c>
      <c r="K1568" s="147">
        <v>3.4</v>
      </c>
      <c r="L1568" s="147">
        <v>3.556</v>
      </c>
      <c r="M1568" s="59" cm="1">
        <f t="array" ref="M1568">INDEX($BV$29:$BV$1449,MATCH($D1568,$BR$29:$BR$1449,0),)</f>
        <v>3.41</v>
      </c>
      <c r="N1568" s="150">
        <f t="shared" si="484"/>
        <v>-0.00808926080892602</v>
      </c>
      <c r="O1568" s="150">
        <f t="shared" si="485"/>
        <v>-0.019845644983462</v>
      </c>
      <c r="P1568" s="150">
        <f t="shared" si="491"/>
        <v>-0.0339581635425156</v>
      </c>
      <c r="Q1568" s="89">
        <f t="shared" si="493"/>
        <v>0.0428152492668621</v>
      </c>
      <c r="AR1568" s="36"/>
      <c r="AT1568" s="36"/>
      <c r="AU1568" s="36"/>
      <c r="AV1568" s="36"/>
      <c r="AW1568" s="36"/>
      <c r="AX1568" s="36"/>
      <c r="AY1568" s="36"/>
      <c r="AZ1568" s="36"/>
      <c r="BA1568" s="36"/>
      <c r="BB1568" s="36"/>
      <c r="BC1568" s="36"/>
      <c r="BD1568" s="36"/>
      <c r="BE1568" s="36"/>
      <c r="BF1568" s="36"/>
      <c r="BG1568" s="36"/>
      <c r="BH1568" s="36"/>
      <c r="BI1568" s="36"/>
      <c r="BJ1568" s="36"/>
      <c r="BK1568" s="36"/>
      <c r="BL1568" s="36"/>
      <c r="BM1568" s="36"/>
      <c r="BN1568" s="36"/>
      <c r="GE1568" s="94"/>
      <c r="GF1568" s="104">
        <f t="shared" si="486"/>
        <v>2019</v>
      </c>
      <c r="GG1568" s="104">
        <f t="shared" si="487"/>
        <v>10</v>
      </c>
      <c r="GH1568" s="35">
        <v>43530</v>
      </c>
      <c r="GI1568" s="26">
        <v>2.105</v>
      </c>
      <c r="GJ1568" s="94">
        <f t="shared" si="488"/>
        <v>4.21</v>
      </c>
      <c r="GK1568" s="104"/>
      <c r="GL1568" s="104"/>
      <c r="GO1568" s="94"/>
    </row>
    <row r="1569" spans="3:197">
      <c r="C1569" s="80" t="str" cm="1">
        <f t="array" ref="C1569">_xlfn.IFS(MONTH(D1569)&lt;4,1,MONTH(D1569)&lt;7,2,MONTH(D1569)&lt;10,3,MONTH(D1569)&gt;9,4)&amp;"Q"&amp;RIGHT(YEAR(D1569),2)</f>
        <v>2Q22</v>
      </c>
      <c r="D1569" s="81">
        <f t="shared" si="495"/>
        <v>44681</v>
      </c>
      <c r="E1569" s="82">
        <f t="shared" si="492"/>
        <v>44676</v>
      </c>
      <c r="F1569" s="83">
        <f t="shared" si="494"/>
        <v>0.4435</v>
      </c>
      <c r="G1569" s="83">
        <f t="shared" si="494"/>
        <v>0.42625</v>
      </c>
      <c r="H1569" s="81"/>
      <c r="I1569" s="146">
        <v>44676</v>
      </c>
      <c r="J1569" s="147">
        <v>3.9</v>
      </c>
      <c r="K1569" s="147">
        <v>3.4</v>
      </c>
      <c r="L1569" s="147">
        <v>3.548</v>
      </c>
      <c r="M1569" s="59" cm="1">
        <f t="array" ref="M1569">INDEX($BV$29:$BV$1449,MATCH($D1569,$BR$29:$BR$1449,0),)</f>
        <v>3.41</v>
      </c>
      <c r="N1569" s="150">
        <f t="shared" si="484"/>
        <v>-0.0022497187851519</v>
      </c>
      <c r="O1569" s="150">
        <f t="shared" si="485"/>
        <v>-0.0174466906674052</v>
      </c>
      <c r="P1569" s="150">
        <f t="shared" si="491"/>
        <v>-0.0353452963567156</v>
      </c>
      <c r="Q1569" s="89">
        <f t="shared" si="493"/>
        <v>0.0404692082111437</v>
      </c>
      <c r="AR1569" s="36"/>
      <c r="AT1569" s="36"/>
      <c r="AU1569" s="36"/>
      <c r="AV1569" s="36"/>
      <c r="AW1569" s="36"/>
      <c r="AX1569" s="36"/>
      <c r="AY1569" s="36"/>
      <c r="AZ1569" s="36"/>
      <c r="BA1569" s="36"/>
      <c r="BB1569" s="36"/>
      <c r="BC1569" s="36"/>
      <c r="BD1569" s="36"/>
      <c r="BE1569" s="36"/>
      <c r="BF1569" s="36"/>
      <c r="BG1569" s="36"/>
      <c r="BH1569" s="36"/>
      <c r="BI1569" s="36"/>
      <c r="BJ1569" s="36"/>
      <c r="BK1569" s="36"/>
      <c r="BL1569" s="36"/>
      <c r="BM1569" s="36"/>
      <c r="BN1569" s="36"/>
      <c r="GE1569" s="94"/>
      <c r="GF1569" s="104">
        <f t="shared" si="486"/>
        <v>2019</v>
      </c>
      <c r="GG1569" s="104">
        <f t="shared" si="487"/>
        <v>10</v>
      </c>
      <c r="GH1569" s="35">
        <v>43531</v>
      </c>
      <c r="GI1569" s="26">
        <v>2.102</v>
      </c>
      <c r="GJ1569" s="94">
        <f t="shared" si="488"/>
        <v>4.204</v>
      </c>
      <c r="GK1569" s="104"/>
      <c r="GL1569" s="104"/>
      <c r="GO1569" s="94"/>
    </row>
    <row r="1570" spans="3:197">
      <c r="C1570" s="80" t="str" cm="1">
        <f t="array" ref="C1570">_xlfn.IFS(MONTH(D1570)&lt;4,1,MONTH(D1570)&lt;7,2,MONTH(D1570)&lt;10,3,MONTH(D1570)&gt;9,4)&amp;"Q"&amp;RIGHT(YEAR(D1570),2)</f>
        <v>2Q22</v>
      </c>
      <c r="D1570" s="81">
        <f t="shared" si="495"/>
        <v>44681</v>
      </c>
      <c r="E1570" s="82">
        <f t="shared" si="492"/>
        <v>44677</v>
      </c>
      <c r="F1570" s="83">
        <f t="shared" si="494"/>
        <v>0.442</v>
      </c>
      <c r="G1570" s="83">
        <f t="shared" si="494"/>
        <v>0.42625</v>
      </c>
      <c r="H1570" s="81"/>
      <c r="I1570" s="146">
        <v>44677</v>
      </c>
      <c r="J1570" s="147">
        <v>3.85</v>
      </c>
      <c r="K1570" s="147">
        <v>3.38</v>
      </c>
      <c r="L1570" s="147">
        <v>3.536</v>
      </c>
      <c r="M1570" s="59" cm="1">
        <f t="array" ref="M1570">INDEX($BV$29:$BV$1449,MATCH($D1570,$BR$29:$BR$1449,0),)</f>
        <v>3.41</v>
      </c>
      <c r="N1570" s="150">
        <f t="shared" si="484"/>
        <v>-0.00338218714768879</v>
      </c>
      <c r="O1570" s="150">
        <f t="shared" si="485"/>
        <v>-0.019683947879124</v>
      </c>
      <c r="P1570" s="150">
        <f t="shared" si="491"/>
        <v>-0.0367747207845274</v>
      </c>
      <c r="Q1570" s="89">
        <f t="shared" si="493"/>
        <v>0.0369501466275659</v>
      </c>
      <c r="AR1570" s="36"/>
      <c r="AT1570" s="36"/>
      <c r="AU1570" s="36"/>
      <c r="AV1570" s="36"/>
      <c r="AW1570" s="36"/>
      <c r="AX1570" s="36"/>
      <c r="AY1570" s="36"/>
      <c r="AZ1570" s="36"/>
      <c r="BA1570" s="36"/>
      <c r="BB1570" s="36"/>
      <c r="BC1570" s="36"/>
      <c r="BD1570" s="36"/>
      <c r="BE1570" s="36"/>
      <c r="BF1570" s="36"/>
      <c r="BG1570" s="36"/>
      <c r="BH1570" s="36"/>
      <c r="BI1570" s="36"/>
      <c r="BJ1570" s="36"/>
      <c r="BK1570" s="36"/>
      <c r="BL1570" s="36"/>
      <c r="BM1570" s="36"/>
      <c r="BN1570" s="36"/>
      <c r="GE1570" s="94"/>
      <c r="GF1570" s="104">
        <f t="shared" si="486"/>
        <v>2019</v>
      </c>
      <c r="GG1570" s="104">
        <f t="shared" si="487"/>
        <v>10</v>
      </c>
      <c r="GH1570" s="35">
        <v>43532</v>
      </c>
      <c r="GI1570" s="26">
        <v>2.102</v>
      </c>
      <c r="GJ1570" s="94">
        <f t="shared" si="488"/>
        <v>4.204</v>
      </c>
      <c r="GK1570" s="104"/>
      <c r="GL1570" s="104"/>
      <c r="GO1570" s="94"/>
    </row>
    <row r="1571" spans="3:197">
      <c r="C1571" s="80" t="str" cm="1">
        <f t="array" ref="C1571">_xlfn.IFS(MONTH(D1571)&lt;4,1,MONTH(D1571)&lt;7,2,MONTH(D1571)&lt;10,3,MONTH(D1571)&gt;9,4)&amp;"Q"&amp;RIGHT(YEAR(D1571),2)</f>
        <v>2Q22</v>
      </c>
      <c r="D1571" s="81">
        <f t="shared" si="495"/>
        <v>44681</v>
      </c>
      <c r="E1571" s="82">
        <f t="shared" si="492"/>
        <v>44678</v>
      </c>
      <c r="F1571" s="83">
        <f t="shared" si="494"/>
        <v>0.44175</v>
      </c>
      <c r="G1571" s="83">
        <f t="shared" si="494"/>
        <v>0.42625</v>
      </c>
      <c r="H1571" s="81"/>
      <c r="I1571" s="146">
        <v>44678</v>
      </c>
      <c r="J1571" s="147">
        <v>3.85</v>
      </c>
      <c r="K1571" s="147">
        <v>3.38</v>
      </c>
      <c r="L1571" s="147">
        <v>3.534</v>
      </c>
      <c r="M1571" s="59" cm="1">
        <f t="array" ref="M1571">INDEX($BV$29:$BV$1449,MATCH($D1571,$BR$29:$BR$1449,0),)</f>
        <v>3.41</v>
      </c>
      <c r="N1571" s="150">
        <f t="shared" si="484"/>
        <v>-0.000565610859728616</v>
      </c>
      <c r="O1571" s="150">
        <f t="shared" si="485"/>
        <v>-0.0183333333333334</v>
      </c>
      <c r="P1571" s="150">
        <f t="shared" si="491"/>
        <v>-0.0317808219178083</v>
      </c>
      <c r="Q1571" s="89">
        <f t="shared" si="493"/>
        <v>0.0363636363636362</v>
      </c>
      <c r="AR1571" s="36"/>
      <c r="AT1571" s="36"/>
      <c r="AU1571" s="36"/>
      <c r="AV1571" s="36"/>
      <c r="AW1571" s="36"/>
      <c r="AX1571" s="36"/>
      <c r="AY1571" s="36"/>
      <c r="AZ1571" s="36"/>
      <c r="BA1571" s="36"/>
      <c r="BB1571" s="36"/>
      <c r="BC1571" s="36"/>
      <c r="BD1571" s="36"/>
      <c r="BE1571" s="36"/>
      <c r="BF1571" s="36"/>
      <c r="BG1571" s="36"/>
      <c r="BH1571" s="36"/>
      <c r="BI1571" s="36"/>
      <c r="BJ1571" s="36"/>
      <c r="BK1571" s="36"/>
      <c r="BL1571" s="36"/>
      <c r="BM1571" s="36"/>
      <c r="BN1571" s="36"/>
      <c r="GE1571" s="94"/>
      <c r="GF1571" s="104">
        <f t="shared" si="486"/>
        <v>2019</v>
      </c>
      <c r="GG1571" s="104">
        <f t="shared" si="487"/>
        <v>11</v>
      </c>
      <c r="GH1571" s="35">
        <v>43535</v>
      </c>
      <c r="GI1571" s="26">
        <v>2.095</v>
      </c>
      <c r="GJ1571" s="94">
        <f t="shared" si="488"/>
        <v>4.19</v>
      </c>
      <c r="GK1571" s="104"/>
      <c r="GL1571" s="104"/>
      <c r="GO1571" s="94"/>
    </row>
    <row r="1572" spans="3:197">
      <c r="C1572" s="80" t="str" cm="1">
        <f t="array" ref="C1572">_xlfn.IFS(MONTH(D1572)&lt;4,1,MONTH(D1572)&lt;7,2,MONTH(D1572)&lt;10,3,MONTH(D1572)&gt;9,4)&amp;"Q"&amp;RIGHT(YEAR(D1572),2)</f>
        <v>2Q22</v>
      </c>
      <c r="D1572" s="81">
        <f t="shared" si="495"/>
        <v>44681</v>
      </c>
      <c r="E1572" s="82">
        <f t="shared" si="492"/>
        <v>44679</v>
      </c>
      <c r="F1572" s="83">
        <f t="shared" si="494"/>
        <v>0.439125</v>
      </c>
      <c r="G1572" s="83">
        <f t="shared" si="494"/>
        <v>0.42625</v>
      </c>
      <c r="H1572" s="81"/>
      <c r="I1572" s="146">
        <v>44679</v>
      </c>
      <c r="J1572" s="147">
        <v>3.85</v>
      </c>
      <c r="K1572" s="147">
        <v>3.35</v>
      </c>
      <c r="L1572" s="147">
        <v>3.513</v>
      </c>
      <c r="M1572" s="59" cm="1">
        <f t="array" ref="M1572">INDEX($BV$29:$BV$1449,MATCH($D1572,$BR$29:$BR$1449,0),)</f>
        <v>3.41</v>
      </c>
      <c r="N1572" s="150">
        <f t="shared" si="484"/>
        <v>-0.00594227504244482</v>
      </c>
      <c r="O1572" s="150">
        <f t="shared" si="485"/>
        <v>-0.0200836820083682</v>
      </c>
      <c r="P1572" s="150">
        <f t="shared" si="491"/>
        <v>-0.0330305532617672</v>
      </c>
      <c r="Q1572" s="89">
        <f t="shared" si="493"/>
        <v>0.0302052785923752</v>
      </c>
      <c r="AR1572" s="36"/>
      <c r="AT1572" s="36"/>
      <c r="AU1572" s="36"/>
      <c r="AV1572" s="36"/>
      <c r="AW1572" s="36"/>
      <c r="AX1572" s="36"/>
      <c r="AY1572" s="36"/>
      <c r="AZ1572" s="36"/>
      <c r="BA1572" s="36"/>
      <c r="BB1572" s="36"/>
      <c r="BC1572" s="36"/>
      <c r="BD1572" s="36"/>
      <c r="BE1572" s="36"/>
      <c r="BF1572" s="36"/>
      <c r="BG1572" s="36"/>
      <c r="BH1572" s="36"/>
      <c r="BI1572" s="36"/>
      <c r="BJ1572" s="36"/>
      <c r="BK1572" s="36"/>
      <c r="BL1572" s="36"/>
      <c r="BM1572" s="36"/>
      <c r="BN1572" s="36"/>
      <c r="GE1572" s="94"/>
      <c r="GF1572" s="104">
        <f t="shared" si="486"/>
        <v>2019</v>
      </c>
      <c r="GG1572" s="104">
        <f t="shared" si="487"/>
        <v>11</v>
      </c>
      <c r="GH1572" s="35">
        <v>43536</v>
      </c>
      <c r="GI1572" s="26">
        <v>2.078</v>
      </c>
      <c r="GJ1572" s="94">
        <f t="shared" si="488"/>
        <v>4.156</v>
      </c>
      <c r="GK1572" s="104"/>
      <c r="GL1572" s="104"/>
      <c r="GO1572" s="94"/>
    </row>
    <row r="1573" spans="3:197">
      <c r="C1573" s="80" t="str" cm="1">
        <f t="array" ref="C1573">_xlfn.IFS(MONTH(D1573)&lt;4,1,MONTH(D1573)&lt;7,2,MONTH(D1573)&lt;10,3,MONTH(D1573)&gt;9,4)&amp;"Q"&amp;RIGHT(YEAR(D1573),2)</f>
        <v>2Q22</v>
      </c>
      <c r="D1573" s="81">
        <f t="shared" si="495"/>
        <v>44681</v>
      </c>
      <c r="E1573" s="82">
        <f t="shared" si="492"/>
        <v>44680</v>
      </c>
      <c r="F1573" s="83">
        <f t="shared" si="494"/>
        <v>0.43375</v>
      </c>
      <c r="G1573" s="83">
        <f t="shared" si="494"/>
        <v>0.42625</v>
      </c>
      <c r="H1573" s="81"/>
      <c r="I1573" s="146">
        <v>44680</v>
      </c>
      <c r="J1573" s="147">
        <v>3.85</v>
      </c>
      <c r="K1573" s="147">
        <v>3.3</v>
      </c>
      <c r="L1573" s="147">
        <v>3.47</v>
      </c>
      <c r="M1573" s="59" cm="1">
        <f t="array" ref="M1573">INDEX($BV$29:$BV$1449,MATCH($D1573,$BR$29:$BR$1449,0),)</f>
        <v>3.41</v>
      </c>
      <c r="N1573" s="150">
        <f t="shared" si="484"/>
        <v>-0.0122402504981497</v>
      </c>
      <c r="O1573" s="150">
        <f t="shared" si="485"/>
        <v>-0.0241844769403824</v>
      </c>
      <c r="P1573" s="150">
        <f t="shared" si="491"/>
        <v>-0.0435501653803748</v>
      </c>
      <c r="Q1573" s="89">
        <f t="shared" si="493"/>
        <v>0.0175953079178885</v>
      </c>
      <c r="AR1573" s="36"/>
      <c r="AT1573" s="36"/>
      <c r="AU1573" s="36"/>
      <c r="AV1573" s="36"/>
      <c r="AW1573" s="36"/>
      <c r="AX1573" s="36"/>
      <c r="AY1573" s="36"/>
      <c r="AZ1573" s="36"/>
      <c r="BA1573" s="36"/>
      <c r="BB1573" s="36"/>
      <c r="BC1573" s="36"/>
      <c r="BD1573" s="36"/>
      <c r="BE1573" s="36"/>
      <c r="BF1573" s="36"/>
      <c r="BG1573" s="36"/>
      <c r="BH1573" s="36"/>
      <c r="BI1573" s="36"/>
      <c r="BJ1573" s="36"/>
      <c r="BK1573" s="36"/>
      <c r="BL1573" s="36"/>
      <c r="BM1573" s="36"/>
      <c r="BN1573" s="36"/>
      <c r="GE1573" s="94"/>
      <c r="GF1573" s="104">
        <f t="shared" si="486"/>
        <v>2019</v>
      </c>
      <c r="GG1573" s="104">
        <f t="shared" si="487"/>
        <v>11</v>
      </c>
      <c r="GH1573" s="35">
        <v>43537</v>
      </c>
      <c r="GI1573" s="26">
        <v>2.071</v>
      </c>
      <c r="GJ1573" s="94">
        <f t="shared" si="488"/>
        <v>4.142</v>
      </c>
      <c r="GK1573" s="104"/>
      <c r="GL1573" s="104"/>
      <c r="GO1573" s="94"/>
    </row>
    <row r="1574" spans="3:197">
      <c r="C1574" s="80" t="str" cm="1">
        <f t="array" ref="C1574">_xlfn.IFS(MONTH(D1574)&lt;4,1,MONTH(D1574)&lt;7,2,MONTH(D1574)&lt;10,3,MONTH(D1574)&gt;9,4)&amp;"Q"&amp;RIGHT(YEAR(D1574),2)</f>
        <v>2Q22</v>
      </c>
      <c r="D1574" s="81">
        <f t="shared" si="495"/>
        <v>44712</v>
      </c>
      <c r="E1574" s="82">
        <f t="shared" si="492"/>
        <v>44684</v>
      </c>
      <c r="F1574" s="83">
        <f t="shared" si="494"/>
        <v>0.433</v>
      </c>
      <c r="G1574" s="83">
        <f t="shared" si="494"/>
        <v>0.41875</v>
      </c>
      <c r="H1574" s="81"/>
      <c r="I1574" s="146">
        <v>44684</v>
      </c>
      <c r="J1574" s="147">
        <v>3.8</v>
      </c>
      <c r="K1574" s="147">
        <v>3.28</v>
      </c>
      <c r="L1574" s="147">
        <v>3.464</v>
      </c>
      <c r="M1574" s="59" cm="1">
        <f t="array" ref="M1574">INDEX($BV$29:$BV$1449,MATCH($D1574,$BR$29:$BR$1449,0),)</f>
        <v>3.35</v>
      </c>
      <c r="N1574" s="150">
        <f t="shared" si="484"/>
        <v>-0.00172910662824211</v>
      </c>
      <c r="O1574" s="150">
        <f t="shared" si="485"/>
        <v>-0.0236753100338218</v>
      </c>
      <c r="P1574" s="150">
        <f t="shared" si="491"/>
        <v>-0.0407089448906121</v>
      </c>
      <c r="Q1574" s="89">
        <f t="shared" si="493"/>
        <v>0.0340298507462686</v>
      </c>
      <c r="AR1574" s="36"/>
      <c r="AT1574" s="36"/>
      <c r="AU1574" s="36"/>
      <c r="AV1574" s="36"/>
      <c r="AW1574" s="36"/>
      <c r="AX1574" s="36"/>
      <c r="AY1574" s="36"/>
      <c r="AZ1574" s="36"/>
      <c r="BA1574" s="36"/>
      <c r="BB1574" s="36"/>
      <c r="BC1574" s="36"/>
      <c r="BD1574" s="36"/>
      <c r="BE1574" s="36"/>
      <c r="BF1574" s="36"/>
      <c r="BG1574" s="36"/>
      <c r="BH1574" s="36"/>
      <c r="BI1574" s="36"/>
      <c r="BJ1574" s="36"/>
      <c r="BK1574" s="36"/>
      <c r="BL1574" s="36"/>
      <c r="BM1574" s="36"/>
      <c r="BN1574" s="36"/>
      <c r="GE1574" s="94"/>
      <c r="GF1574" s="104">
        <f t="shared" si="486"/>
        <v>2019</v>
      </c>
      <c r="GG1574" s="104">
        <f t="shared" si="487"/>
        <v>11</v>
      </c>
      <c r="GH1574" s="35">
        <v>43538</v>
      </c>
      <c r="GI1574" s="26">
        <v>2.061</v>
      </c>
      <c r="GJ1574" s="94">
        <f t="shared" si="488"/>
        <v>4.122</v>
      </c>
      <c r="GK1574" s="104"/>
      <c r="GL1574" s="104"/>
      <c r="GO1574" s="94"/>
    </row>
    <row r="1575" spans="3:197">
      <c r="C1575" s="80" t="str" cm="1">
        <f t="array" ref="C1575">_xlfn.IFS(MONTH(D1575)&lt;4,1,MONTH(D1575)&lt;7,2,MONTH(D1575)&lt;10,3,MONTH(D1575)&gt;9,4)&amp;"Q"&amp;RIGHT(YEAR(D1575),2)</f>
        <v>2Q22</v>
      </c>
      <c r="D1575" s="81">
        <f t="shared" si="495"/>
        <v>44712</v>
      </c>
      <c r="E1575" s="82">
        <f t="shared" si="492"/>
        <v>44685</v>
      </c>
      <c r="F1575" s="83">
        <f t="shared" si="494"/>
        <v>0.4325</v>
      </c>
      <c r="G1575" s="83">
        <f t="shared" si="494"/>
        <v>0.41875</v>
      </c>
      <c r="H1575" s="81"/>
      <c r="I1575" s="146">
        <v>44685</v>
      </c>
      <c r="J1575" s="147">
        <v>3.75</v>
      </c>
      <c r="K1575" s="147">
        <v>3.28</v>
      </c>
      <c r="L1575" s="147">
        <v>3.46</v>
      </c>
      <c r="M1575" s="59" cm="1">
        <f t="array" ref="M1575">INDEX($BV$29:$BV$1449,MATCH($D1575,$BR$29:$BR$1449,0),)</f>
        <v>3.35</v>
      </c>
      <c r="N1575" s="150">
        <f t="shared" si="484"/>
        <v>-0.00115473441108549</v>
      </c>
      <c r="O1575" s="150">
        <f t="shared" si="485"/>
        <v>-0.0214932126696833</v>
      </c>
      <c r="P1575" s="150">
        <f t="shared" si="491"/>
        <v>-0.0407540892708623</v>
      </c>
      <c r="Q1575" s="89">
        <f t="shared" si="493"/>
        <v>0.0328358208955224</v>
      </c>
      <c r="AR1575" s="36"/>
      <c r="AT1575" s="36"/>
      <c r="AU1575" s="36"/>
      <c r="AV1575" s="36"/>
      <c r="AW1575" s="36"/>
      <c r="AX1575" s="36"/>
      <c r="AY1575" s="36"/>
      <c r="AZ1575" s="36"/>
      <c r="BA1575" s="36"/>
      <c r="BB1575" s="36"/>
      <c r="BC1575" s="36"/>
      <c r="BD1575" s="36"/>
      <c r="BE1575" s="36"/>
      <c r="BF1575" s="36"/>
      <c r="BG1575" s="36"/>
      <c r="BH1575" s="36"/>
      <c r="BI1575" s="36"/>
      <c r="BJ1575" s="36"/>
      <c r="BK1575" s="36"/>
      <c r="BL1575" s="36"/>
      <c r="BM1575" s="36"/>
      <c r="BN1575" s="36"/>
      <c r="GE1575" s="94"/>
      <c r="GF1575" s="104">
        <f t="shared" si="486"/>
        <v>2019</v>
      </c>
      <c r="GG1575" s="104">
        <f t="shared" si="487"/>
        <v>11</v>
      </c>
      <c r="GH1575" s="35">
        <v>43539</v>
      </c>
      <c r="GI1575" s="26">
        <v>2.058</v>
      </c>
      <c r="GJ1575" s="94">
        <f t="shared" si="488"/>
        <v>4.116</v>
      </c>
      <c r="GK1575" s="104"/>
      <c r="GL1575" s="104"/>
      <c r="GO1575" s="94"/>
    </row>
    <row r="1576" spans="3:197">
      <c r="C1576" s="80" t="str" cm="1">
        <f t="array" ref="C1576">_xlfn.IFS(MONTH(D1576)&lt;4,1,MONTH(D1576)&lt;7,2,MONTH(D1576)&lt;10,3,MONTH(D1576)&gt;9,4)&amp;"Q"&amp;RIGHT(YEAR(D1576),2)</f>
        <v>2Q22</v>
      </c>
      <c r="D1576" s="81">
        <f t="shared" si="495"/>
        <v>44712</v>
      </c>
      <c r="E1576" s="82">
        <f t="shared" si="492"/>
        <v>44686</v>
      </c>
      <c r="F1576" s="83">
        <f t="shared" si="494"/>
        <v>0.432375</v>
      </c>
      <c r="G1576" s="83">
        <f t="shared" si="494"/>
        <v>0.41875</v>
      </c>
      <c r="H1576" s="81"/>
      <c r="I1576" s="146">
        <v>44686</v>
      </c>
      <c r="J1576" s="147">
        <v>3.7</v>
      </c>
      <c r="K1576" s="147">
        <v>3.28</v>
      </c>
      <c r="L1576" s="147">
        <v>3.459</v>
      </c>
      <c r="M1576" s="59" cm="1">
        <f t="array" ref="M1576">INDEX($BV$29:$BV$1449,MATCH($D1576,$BR$29:$BR$1449,0),)</f>
        <v>3.35</v>
      </c>
      <c r="N1576" s="150">
        <f t="shared" si="484"/>
        <v>-0.000289017341040476</v>
      </c>
      <c r="O1576" s="150">
        <f t="shared" si="485"/>
        <v>-0.0212224108658743</v>
      </c>
      <c r="P1576" s="150">
        <f t="shared" si="491"/>
        <v>-0.0391666666666667</v>
      </c>
      <c r="Q1576" s="89">
        <f t="shared" si="493"/>
        <v>0.0325373134328357</v>
      </c>
      <c r="AR1576" s="36"/>
      <c r="AT1576" s="36"/>
      <c r="AU1576" s="36"/>
      <c r="AV1576" s="36"/>
      <c r="AW1576" s="36"/>
      <c r="AX1576" s="36"/>
      <c r="AY1576" s="36"/>
      <c r="AZ1576" s="36"/>
      <c r="BA1576" s="36"/>
      <c r="BB1576" s="36"/>
      <c r="BC1576" s="36"/>
      <c r="BD1576" s="36"/>
      <c r="BE1576" s="36"/>
      <c r="BF1576" s="36"/>
      <c r="BG1576" s="36"/>
      <c r="BH1576" s="36"/>
      <c r="BI1576" s="36"/>
      <c r="BJ1576" s="36"/>
      <c r="BK1576" s="36"/>
      <c r="BL1576" s="36"/>
      <c r="BM1576" s="36"/>
      <c r="BN1576" s="36"/>
      <c r="GE1576" s="94"/>
      <c r="GF1576" s="104">
        <f t="shared" si="486"/>
        <v>2019</v>
      </c>
      <c r="GG1576" s="104">
        <f t="shared" si="487"/>
        <v>12</v>
      </c>
      <c r="GH1576" s="35">
        <v>43542</v>
      </c>
      <c r="GI1576" s="26">
        <v>2.052</v>
      </c>
      <c r="GJ1576" s="94">
        <f t="shared" si="488"/>
        <v>4.104</v>
      </c>
      <c r="GK1576" s="104"/>
      <c r="GL1576" s="104"/>
      <c r="GO1576" s="94"/>
    </row>
    <row r="1577" spans="3:197">
      <c r="C1577" s="80" t="str" cm="1">
        <f t="array" ref="C1577">_xlfn.IFS(MONTH(D1577)&lt;4,1,MONTH(D1577)&lt;7,2,MONTH(D1577)&lt;10,3,MONTH(D1577)&gt;9,4)&amp;"Q"&amp;RIGHT(YEAR(D1577),2)</f>
        <v>2Q22</v>
      </c>
      <c r="D1577" s="81">
        <f t="shared" si="495"/>
        <v>44712</v>
      </c>
      <c r="E1577" s="82">
        <f t="shared" si="492"/>
        <v>44687</v>
      </c>
      <c r="F1577" s="83">
        <f t="shared" si="494"/>
        <v>0.43225</v>
      </c>
      <c r="G1577" s="83">
        <f t="shared" si="494"/>
        <v>0.41875</v>
      </c>
      <c r="H1577" s="81"/>
      <c r="I1577" s="146">
        <v>44687</v>
      </c>
      <c r="J1577" s="147">
        <v>3.68</v>
      </c>
      <c r="K1577" s="147">
        <v>3.28</v>
      </c>
      <c r="L1577" s="147">
        <v>3.458</v>
      </c>
      <c r="M1577" s="59" cm="1">
        <f t="array" ref="M1577">INDEX($BV$29:$BV$1449,MATCH($D1577,$BR$29:$BR$1449,0),)</f>
        <v>3.35</v>
      </c>
      <c r="N1577" s="150">
        <f t="shared" si="484"/>
        <v>-0.000289100896212702</v>
      </c>
      <c r="O1577" s="150">
        <f t="shared" si="485"/>
        <v>-0.0156561343580984</v>
      </c>
      <c r="P1577" s="150">
        <f t="shared" si="491"/>
        <v>-0.0354253835425383</v>
      </c>
      <c r="Q1577" s="89">
        <f t="shared" si="493"/>
        <v>0.0322388059701493</v>
      </c>
      <c r="AR1577" s="36"/>
      <c r="AT1577" s="36"/>
      <c r="AU1577" s="36"/>
      <c r="AV1577" s="36"/>
      <c r="AW1577" s="36"/>
      <c r="AX1577" s="36"/>
      <c r="AY1577" s="36"/>
      <c r="AZ1577" s="36"/>
      <c r="BA1577" s="36"/>
      <c r="BB1577" s="36"/>
      <c r="BC1577" s="36"/>
      <c r="BD1577" s="36"/>
      <c r="BE1577" s="36"/>
      <c r="BF1577" s="36"/>
      <c r="BG1577" s="36"/>
      <c r="BH1577" s="36"/>
      <c r="BI1577" s="36"/>
      <c r="BJ1577" s="36"/>
      <c r="BK1577" s="36"/>
      <c r="BL1577" s="36"/>
      <c r="BM1577" s="36"/>
      <c r="BN1577" s="36"/>
      <c r="GE1577" s="94"/>
      <c r="GF1577" s="104">
        <f t="shared" si="486"/>
        <v>2019</v>
      </c>
      <c r="GG1577" s="104">
        <f t="shared" si="487"/>
        <v>12</v>
      </c>
      <c r="GH1577" s="35">
        <v>43543</v>
      </c>
      <c r="GI1577" s="26">
        <v>2.037</v>
      </c>
      <c r="GJ1577" s="94">
        <f t="shared" si="488"/>
        <v>4.074</v>
      </c>
      <c r="GK1577" s="104"/>
      <c r="GL1577" s="104"/>
      <c r="GO1577" s="94"/>
    </row>
    <row r="1578" spans="3:197">
      <c r="C1578" s="80" t="str" cm="1">
        <f t="array" ref="C1578">_xlfn.IFS(MONTH(D1578)&lt;4,1,MONTH(D1578)&lt;7,2,MONTH(D1578)&lt;10,3,MONTH(D1578)&gt;9,4)&amp;"Q"&amp;RIGHT(YEAR(D1578),2)</f>
        <v>2Q22</v>
      </c>
      <c r="D1578" s="81">
        <f t="shared" si="495"/>
        <v>44712</v>
      </c>
      <c r="E1578" s="82">
        <f t="shared" si="492"/>
        <v>44690</v>
      </c>
      <c r="F1578" s="83">
        <f t="shared" ref="F1578:G1593" si="496">+L1578/8</f>
        <v>0.431125</v>
      </c>
      <c r="G1578" s="83">
        <f t="shared" si="496"/>
        <v>0.41875</v>
      </c>
      <c r="H1578" s="81"/>
      <c r="I1578" s="146">
        <v>44690</v>
      </c>
      <c r="J1578" s="147">
        <v>3.65</v>
      </c>
      <c r="K1578" s="147">
        <v>3.28</v>
      </c>
      <c r="L1578" s="147">
        <v>3.449</v>
      </c>
      <c r="M1578" s="59" cm="1">
        <f t="array" ref="M1578">INDEX($BV$29:$BV$1449,MATCH($D1578,$BR$29:$BR$1449,0),)</f>
        <v>3.35</v>
      </c>
      <c r="N1578" s="150">
        <f t="shared" si="484"/>
        <v>-0.00260266049739744</v>
      </c>
      <c r="O1578" s="150">
        <f t="shared" si="485"/>
        <v>-0.00605187319884737</v>
      </c>
      <c r="P1578" s="150">
        <f t="shared" si="491"/>
        <v>-0.0300899887514061</v>
      </c>
      <c r="Q1578" s="89">
        <f t="shared" si="493"/>
        <v>0.0295522388059701</v>
      </c>
      <c r="AR1578" s="36"/>
      <c r="AT1578" s="36"/>
      <c r="AU1578" s="36"/>
      <c r="AV1578" s="36"/>
      <c r="AW1578" s="36"/>
      <c r="AX1578" s="36"/>
      <c r="AY1578" s="36"/>
      <c r="AZ1578" s="36"/>
      <c r="BA1578" s="36"/>
      <c r="BB1578" s="36"/>
      <c r="BC1578" s="36"/>
      <c r="BD1578" s="36"/>
      <c r="BE1578" s="36"/>
      <c r="BF1578" s="36"/>
      <c r="BG1578" s="36"/>
      <c r="BH1578" s="36"/>
      <c r="BI1578" s="36"/>
      <c r="BJ1578" s="36"/>
      <c r="BK1578" s="36"/>
      <c r="BL1578" s="36"/>
      <c r="BM1578" s="36"/>
      <c r="BN1578" s="36"/>
      <c r="GE1578" s="94"/>
      <c r="GF1578" s="104">
        <f t="shared" si="486"/>
        <v>2019</v>
      </c>
      <c r="GG1578" s="104">
        <f t="shared" si="487"/>
        <v>12</v>
      </c>
      <c r="GH1578" s="35">
        <v>43544</v>
      </c>
      <c r="GI1578" s="26">
        <v>2.023</v>
      </c>
      <c r="GJ1578" s="94">
        <f t="shared" si="488"/>
        <v>4.046</v>
      </c>
      <c r="GK1578" s="104"/>
      <c r="GL1578" s="104"/>
      <c r="GO1578" s="94"/>
    </row>
    <row r="1579" spans="3:197">
      <c r="C1579" s="80" t="str" cm="1">
        <f t="array" ref="C1579">_xlfn.IFS(MONTH(D1579)&lt;4,1,MONTH(D1579)&lt;7,2,MONTH(D1579)&lt;10,3,MONTH(D1579)&gt;9,4)&amp;"Q"&amp;RIGHT(YEAR(D1579),2)</f>
        <v>2Q22</v>
      </c>
      <c r="D1579" s="81">
        <f t="shared" si="495"/>
        <v>44712</v>
      </c>
      <c r="E1579" s="82">
        <f t="shared" si="492"/>
        <v>44691</v>
      </c>
      <c r="F1579" s="83">
        <f t="shared" si="496"/>
        <v>0.431125</v>
      </c>
      <c r="G1579" s="83">
        <f t="shared" si="496"/>
        <v>0.41875</v>
      </c>
      <c r="H1579" s="81"/>
      <c r="I1579" s="146">
        <v>44691</v>
      </c>
      <c r="J1579" s="147">
        <v>3.68</v>
      </c>
      <c r="K1579" s="147">
        <v>3.28</v>
      </c>
      <c r="L1579" s="147">
        <v>3.449</v>
      </c>
      <c r="M1579" s="59" cm="1">
        <f t="array" ref="M1579">INDEX($BV$29:$BV$1449,MATCH($D1579,$BR$29:$BR$1449,0),)</f>
        <v>3.35</v>
      </c>
      <c r="N1579" s="150">
        <f t="shared" si="484"/>
        <v>0</v>
      </c>
      <c r="O1579" s="150">
        <f t="shared" si="485"/>
        <v>-0.0043302540415705</v>
      </c>
      <c r="P1579" s="150">
        <f t="shared" si="491"/>
        <v>-0.027903043968433</v>
      </c>
      <c r="Q1579" s="89">
        <f t="shared" si="493"/>
        <v>0.0295522388059701</v>
      </c>
      <c r="AR1579" s="36"/>
      <c r="AT1579" s="36"/>
      <c r="AU1579" s="36"/>
      <c r="AV1579" s="36"/>
      <c r="AW1579" s="36"/>
      <c r="AX1579" s="36"/>
      <c r="AY1579" s="36"/>
      <c r="AZ1579" s="36"/>
      <c r="BA1579" s="36"/>
      <c r="BB1579" s="36"/>
      <c r="BC1579" s="36"/>
      <c r="BD1579" s="36"/>
      <c r="BE1579" s="36"/>
      <c r="BF1579" s="36"/>
      <c r="BG1579" s="36"/>
      <c r="BH1579" s="36"/>
      <c r="BI1579" s="36"/>
      <c r="BJ1579" s="36"/>
      <c r="BK1579" s="36"/>
      <c r="BL1579" s="36"/>
      <c r="BM1579" s="36"/>
      <c r="BN1579" s="36"/>
      <c r="GE1579" s="94"/>
      <c r="GF1579" s="104">
        <f t="shared" si="486"/>
        <v>2019</v>
      </c>
      <c r="GG1579" s="104">
        <f t="shared" si="487"/>
        <v>12</v>
      </c>
      <c r="GH1579" s="35">
        <v>43545</v>
      </c>
      <c r="GI1579" s="26">
        <v>2.001</v>
      </c>
      <c r="GJ1579" s="94">
        <f t="shared" si="488"/>
        <v>4.002</v>
      </c>
      <c r="GK1579" s="104"/>
      <c r="GL1579" s="104"/>
      <c r="GO1579" s="94"/>
    </row>
    <row r="1580" spans="3:197">
      <c r="C1580" s="80" t="str" cm="1">
        <f t="array" ref="C1580">_xlfn.IFS(MONTH(D1580)&lt;4,1,MONTH(D1580)&lt;7,2,MONTH(D1580)&lt;10,3,MONTH(D1580)&gt;9,4)&amp;"Q"&amp;RIGHT(YEAR(D1580),2)</f>
        <v>2Q22</v>
      </c>
      <c r="D1580" s="81">
        <f t="shared" si="495"/>
        <v>44712</v>
      </c>
      <c r="E1580" s="82">
        <f t="shared" si="492"/>
        <v>44692</v>
      </c>
      <c r="F1580" s="83">
        <f t="shared" si="496"/>
        <v>0.429625</v>
      </c>
      <c r="G1580" s="83">
        <f t="shared" si="496"/>
        <v>0.41875</v>
      </c>
      <c r="H1580" s="81"/>
      <c r="I1580" s="146">
        <v>44692</v>
      </c>
      <c r="J1580" s="147">
        <v>3.68</v>
      </c>
      <c r="K1580" s="147">
        <v>3.28</v>
      </c>
      <c r="L1580" s="147">
        <v>3.437</v>
      </c>
      <c r="M1580" s="59" cm="1">
        <f t="array" ref="M1580">INDEX($BV$29:$BV$1449,MATCH($D1580,$BR$29:$BR$1449,0),)</f>
        <v>3.35</v>
      </c>
      <c r="N1580" s="150">
        <f t="shared" ref="N1580:N1643" si="497">L1580/L1579-1</f>
        <v>-0.00347926935343579</v>
      </c>
      <c r="O1580" s="150">
        <f t="shared" ref="O1580:O1643" si="498">L1580/L1575-1</f>
        <v>-0.00664739884393062</v>
      </c>
      <c r="P1580" s="150">
        <f t="shared" si="491"/>
        <v>-0.0279977375565611</v>
      </c>
      <c r="Q1580" s="89">
        <f t="shared" si="493"/>
        <v>0.0259701492537312</v>
      </c>
      <c r="GE1580" s="94"/>
      <c r="GF1580" s="104">
        <f t="shared" si="486"/>
        <v>2019</v>
      </c>
      <c r="GG1580" s="104">
        <f t="shared" si="487"/>
        <v>12</v>
      </c>
      <c r="GH1580" s="35">
        <v>43546</v>
      </c>
      <c r="GI1580" s="26">
        <v>1.978</v>
      </c>
      <c r="GJ1580" s="94">
        <f t="shared" si="488"/>
        <v>3.956</v>
      </c>
      <c r="GK1580" s="104"/>
      <c r="GL1580" s="104"/>
      <c r="GO1580" s="94"/>
    </row>
    <row r="1581" spans="3:197">
      <c r="C1581" s="80" t="str" cm="1">
        <f t="array" ref="C1581">_xlfn.IFS(MONTH(D1581)&lt;4,1,MONTH(D1581)&lt;7,2,MONTH(D1581)&lt;10,3,MONTH(D1581)&gt;9,4)&amp;"Q"&amp;RIGHT(YEAR(D1581),2)</f>
        <v>2Q22</v>
      </c>
      <c r="D1581" s="81">
        <f t="shared" si="495"/>
        <v>44712</v>
      </c>
      <c r="E1581" s="82">
        <f t="shared" si="492"/>
        <v>44693</v>
      </c>
      <c r="F1581" s="83">
        <f t="shared" si="496"/>
        <v>0.429125</v>
      </c>
      <c r="G1581" s="83">
        <f t="shared" si="496"/>
        <v>0.41875</v>
      </c>
      <c r="H1581" s="81"/>
      <c r="I1581" s="146">
        <v>44693</v>
      </c>
      <c r="J1581" s="147">
        <v>3.68</v>
      </c>
      <c r="K1581" s="147">
        <v>3.28</v>
      </c>
      <c r="L1581" s="147">
        <v>3.433</v>
      </c>
      <c r="M1581" s="59" cm="1">
        <f t="array" ref="M1581">INDEX($BV$29:$BV$1449,MATCH($D1581,$BR$29:$BR$1449,0),)</f>
        <v>3.35</v>
      </c>
      <c r="N1581" s="150">
        <f t="shared" si="497"/>
        <v>-0.00116380564445739</v>
      </c>
      <c r="O1581" s="150">
        <f t="shared" si="498"/>
        <v>-0.00751662330153235</v>
      </c>
      <c r="P1581" s="150">
        <f t="shared" si="491"/>
        <v>-0.0285795132993775</v>
      </c>
      <c r="Q1581" s="89">
        <f t="shared" si="493"/>
        <v>0.024776119402985</v>
      </c>
      <c r="GE1581" s="94"/>
      <c r="GF1581" s="104">
        <f t="shared" si="486"/>
        <v>2019</v>
      </c>
      <c r="GG1581" s="104">
        <f t="shared" si="487"/>
        <v>13</v>
      </c>
      <c r="GH1581" s="35">
        <v>43549</v>
      </c>
      <c r="GI1581" s="26">
        <v>1.977</v>
      </c>
      <c r="GJ1581" s="94">
        <f t="shared" si="488"/>
        <v>3.954</v>
      </c>
      <c r="GK1581" s="104"/>
      <c r="GL1581" s="104"/>
      <c r="GO1581" s="94"/>
    </row>
    <row r="1582" spans="3:197">
      <c r="C1582" s="80" t="str" cm="1">
        <f t="array" ref="C1582">_xlfn.IFS(MONTH(D1582)&lt;4,1,MONTH(D1582)&lt;7,2,MONTH(D1582)&lt;10,3,MONTH(D1582)&gt;9,4)&amp;"Q"&amp;RIGHT(YEAR(D1582),2)</f>
        <v>2Q22</v>
      </c>
      <c r="D1582" s="81">
        <f t="shared" si="495"/>
        <v>44712</v>
      </c>
      <c r="E1582" s="82">
        <f t="shared" si="492"/>
        <v>44694</v>
      </c>
      <c r="F1582" s="83">
        <f t="shared" si="496"/>
        <v>0.429125</v>
      </c>
      <c r="G1582" s="83">
        <f t="shared" si="496"/>
        <v>0.41875</v>
      </c>
      <c r="H1582" s="81"/>
      <c r="I1582" s="146">
        <v>44694</v>
      </c>
      <c r="J1582" s="147">
        <v>3.68</v>
      </c>
      <c r="K1582" s="147">
        <v>3.28</v>
      </c>
      <c r="L1582" s="147">
        <v>3.433</v>
      </c>
      <c r="M1582" s="59" cm="1">
        <f t="array" ref="M1582">INDEX($BV$29:$BV$1449,MATCH($D1582,$BR$29:$BR$1449,0),)</f>
        <v>3.35</v>
      </c>
      <c r="N1582" s="150">
        <f t="shared" si="497"/>
        <v>0</v>
      </c>
      <c r="O1582" s="150">
        <f t="shared" si="498"/>
        <v>-0.00722961249277054</v>
      </c>
      <c r="P1582" s="150">
        <f t="shared" si="491"/>
        <v>-0.0227725590663251</v>
      </c>
      <c r="Q1582" s="89">
        <f t="shared" si="493"/>
        <v>0.024776119402985</v>
      </c>
      <c r="GE1582" s="94"/>
      <c r="GF1582" s="104">
        <f t="shared" si="486"/>
        <v>2019</v>
      </c>
      <c r="GG1582" s="104">
        <f t="shared" si="487"/>
        <v>13</v>
      </c>
      <c r="GH1582" s="35">
        <v>43550</v>
      </c>
      <c r="GI1582" s="26">
        <v>1.966</v>
      </c>
      <c r="GJ1582" s="94">
        <f t="shared" si="488"/>
        <v>3.932</v>
      </c>
      <c r="GK1582" s="104"/>
      <c r="GL1582" s="104"/>
      <c r="GO1582" s="94"/>
    </row>
    <row r="1583" spans="3:197">
      <c r="C1583" s="80" t="str" cm="1">
        <f t="array" ref="C1583">_xlfn.IFS(MONTH(D1583)&lt;4,1,MONTH(D1583)&lt;7,2,MONTH(D1583)&lt;10,3,MONTH(D1583)&gt;9,4)&amp;"Q"&amp;RIGHT(YEAR(D1583),2)</f>
        <v>2Q22</v>
      </c>
      <c r="D1583" s="81">
        <f t="shared" si="495"/>
        <v>44712</v>
      </c>
      <c r="E1583" s="82">
        <f t="shared" si="492"/>
        <v>44697</v>
      </c>
      <c r="F1583" s="83">
        <f t="shared" si="496"/>
        <v>0.428375</v>
      </c>
      <c r="G1583" s="83">
        <f t="shared" si="496"/>
        <v>0.41875</v>
      </c>
      <c r="H1583" s="81"/>
      <c r="I1583" s="146">
        <v>44697</v>
      </c>
      <c r="J1583" s="147">
        <v>3.7</v>
      </c>
      <c r="K1583" s="147">
        <v>3.3</v>
      </c>
      <c r="L1583" s="147">
        <v>3.427</v>
      </c>
      <c r="M1583" s="59" cm="1">
        <f t="array" ref="M1583">INDEX($BV$29:$BV$1449,MATCH($D1583,$BR$29:$BR$1449,0),)</f>
        <v>3.35</v>
      </c>
      <c r="N1583" s="150">
        <f t="shared" si="497"/>
        <v>-0.00174774249927168</v>
      </c>
      <c r="O1583" s="150">
        <f t="shared" si="498"/>
        <v>-0.00637866048129887</v>
      </c>
      <c r="P1583" s="150">
        <f t="shared" si="491"/>
        <v>-0.0123919308357349</v>
      </c>
      <c r="Q1583" s="89">
        <f t="shared" si="493"/>
        <v>0.0229850746268656</v>
      </c>
      <c r="GE1583" s="94"/>
      <c r="GF1583" s="104">
        <f t="shared" si="486"/>
        <v>2019</v>
      </c>
      <c r="GG1583" s="104">
        <f t="shared" si="487"/>
        <v>13</v>
      </c>
      <c r="GH1583" s="35">
        <v>43551</v>
      </c>
      <c r="GI1583" s="26">
        <v>1.96</v>
      </c>
      <c r="GJ1583" s="94">
        <f t="shared" si="488"/>
        <v>3.92</v>
      </c>
      <c r="GK1583" s="104"/>
      <c r="GL1583" s="104"/>
      <c r="GO1583" s="94"/>
    </row>
    <row r="1584" spans="3:197">
      <c r="C1584" s="80" t="str" cm="1">
        <f t="array" ref="C1584">_xlfn.IFS(MONTH(D1584)&lt;4,1,MONTH(D1584)&lt;7,2,MONTH(D1584)&lt;10,3,MONTH(D1584)&gt;9,4)&amp;"Q"&amp;RIGHT(YEAR(D1584),2)</f>
        <v>2Q22</v>
      </c>
      <c r="D1584" s="81">
        <f t="shared" si="495"/>
        <v>44712</v>
      </c>
      <c r="E1584" s="82">
        <f t="shared" si="492"/>
        <v>44698</v>
      </c>
      <c r="F1584" s="83">
        <f t="shared" si="496"/>
        <v>0.428375</v>
      </c>
      <c r="G1584" s="83">
        <f t="shared" si="496"/>
        <v>0.41875</v>
      </c>
      <c r="H1584" s="81"/>
      <c r="I1584" s="146">
        <v>44698</v>
      </c>
      <c r="J1584" s="147">
        <v>3.7</v>
      </c>
      <c r="K1584" s="147">
        <v>3.3</v>
      </c>
      <c r="L1584" s="147">
        <v>3.427</v>
      </c>
      <c r="M1584" s="59" cm="1">
        <f t="array" ref="M1584">INDEX($BV$29:$BV$1449,MATCH($D1584,$BR$29:$BR$1449,0),)</f>
        <v>3.35</v>
      </c>
      <c r="N1584" s="150">
        <f t="shared" si="497"/>
        <v>0</v>
      </c>
      <c r="O1584" s="150">
        <f t="shared" si="498"/>
        <v>-0.00637866048129887</v>
      </c>
      <c r="P1584" s="150">
        <f t="shared" si="491"/>
        <v>-0.0106812933025404</v>
      </c>
      <c r="Q1584" s="89">
        <f t="shared" si="493"/>
        <v>0.0229850746268656</v>
      </c>
      <c r="GE1584" s="94"/>
      <c r="GF1584" s="104">
        <f t="shared" si="486"/>
        <v>2019</v>
      </c>
      <c r="GG1584" s="104">
        <f t="shared" si="487"/>
        <v>13</v>
      </c>
      <c r="GH1584" s="35">
        <v>43551</v>
      </c>
      <c r="GI1584" s="26">
        <v>1.96</v>
      </c>
      <c r="GJ1584" s="94">
        <f t="shared" si="488"/>
        <v>3.92</v>
      </c>
      <c r="GK1584" s="104"/>
      <c r="GL1584" s="104"/>
      <c r="GO1584" s="94"/>
    </row>
    <row r="1585" spans="3:197">
      <c r="C1585" s="80" t="str" cm="1">
        <f t="array" ref="C1585">_xlfn.IFS(MONTH(D1585)&lt;4,1,MONTH(D1585)&lt;7,2,MONTH(D1585)&lt;10,3,MONTH(D1585)&gt;9,4)&amp;"Q"&amp;RIGHT(YEAR(D1585),2)</f>
        <v>2Q22</v>
      </c>
      <c r="D1585" s="81">
        <f t="shared" si="495"/>
        <v>44712</v>
      </c>
      <c r="E1585" s="82">
        <f t="shared" si="492"/>
        <v>44699</v>
      </c>
      <c r="F1585" s="83">
        <f t="shared" si="496"/>
        <v>0.427875</v>
      </c>
      <c r="G1585" s="83">
        <f t="shared" si="496"/>
        <v>0.41875</v>
      </c>
      <c r="H1585" s="81"/>
      <c r="I1585" s="146">
        <v>44699</v>
      </c>
      <c r="J1585" s="147">
        <v>3.7</v>
      </c>
      <c r="K1585" s="147">
        <v>3.3</v>
      </c>
      <c r="L1585" s="147">
        <v>3.423</v>
      </c>
      <c r="M1585" s="59" cm="1">
        <f t="array" ref="M1585">INDEX($BV$29:$BV$1449,MATCH($D1585,$BR$29:$BR$1449,0),)</f>
        <v>3.35</v>
      </c>
      <c r="N1585" s="150">
        <f t="shared" si="497"/>
        <v>-0.00116720163408224</v>
      </c>
      <c r="O1585" s="150">
        <f t="shared" si="498"/>
        <v>-0.00407331975560077</v>
      </c>
      <c r="P1585" s="150">
        <f t="shared" si="491"/>
        <v>-0.0106936416184971</v>
      </c>
      <c r="Q1585" s="89">
        <f t="shared" si="493"/>
        <v>0.0217910447761194</v>
      </c>
      <c r="GE1585" s="94"/>
      <c r="GF1585" s="104">
        <f t="shared" si="486"/>
        <v>2019</v>
      </c>
      <c r="GG1585" s="104">
        <f t="shared" si="487"/>
        <v>13</v>
      </c>
      <c r="GH1585" s="35">
        <v>43553</v>
      </c>
      <c r="GI1585" s="26">
        <v>1.937</v>
      </c>
      <c r="GJ1585" s="94">
        <f t="shared" si="488"/>
        <v>3.874</v>
      </c>
      <c r="GK1585" s="104"/>
      <c r="GL1585" s="104"/>
      <c r="GO1585" s="94"/>
    </row>
    <row r="1586" spans="3:197">
      <c r="C1586" s="80" t="str" cm="1">
        <f t="array" ref="C1586">_xlfn.IFS(MONTH(D1586)&lt;4,1,MONTH(D1586)&lt;7,2,MONTH(D1586)&lt;10,3,MONTH(D1586)&gt;9,4)&amp;"Q"&amp;RIGHT(YEAR(D1586),2)</f>
        <v>2Q22</v>
      </c>
      <c r="D1586" s="81">
        <f t="shared" si="495"/>
        <v>44712</v>
      </c>
      <c r="E1586" s="82">
        <f t="shared" si="492"/>
        <v>44700</v>
      </c>
      <c r="F1586" s="83">
        <f t="shared" si="496"/>
        <v>0.426375</v>
      </c>
      <c r="G1586" s="83">
        <f t="shared" si="496"/>
        <v>0.41875</v>
      </c>
      <c r="H1586" s="81"/>
      <c r="I1586" s="146">
        <v>44700</v>
      </c>
      <c r="J1586" s="147">
        <v>3.65</v>
      </c>
      <c r="K1586" s="147">
        <v>3.3</v>
      </c>
      <c r="L1586" s="147">
        <v>3.411</v>
      </c>
      <c r="M1586" s="59" cm="1">
        <f t="array" ref="M1586">INDEX($BV$29:$BV$1449,MATCH($D1586,$BR$29:$BR$1449,0),)</f>
        <v>3.35</v>
      </c>
      <c r="N1586" s="150">
        <f t="shared" si="497"/>
        <v>-0.00350569675723045</v>
      </c>
      <c r="O1586" s="150">
        <f t="shared" si="498"/>
        <v>-0.00640838916399644</v>
      </c>
      <c r="P1586" s="150">
        <f t="shared" si="491"/>
        <v>-0.0138768430182133</v>
      </c>
      <c r="Q1586" s="89">
        <f t="shared" si="493"/>
        <v>0.0182089552238807</v>
      </c>
      <c r="GE1586" s="94"/>
      <c r="GF1586" s="104">
        <f t="shared" si="486"/>
        <v>2019</v>
      </c>
      <c r="GG1586" s="104">
        <f t="shared" si="487"/>
        <v>14</v>
      </c>
      <c r="GH1586" s="35">
        <v>43556</v>
      </c>
      <c r="GI1586" s="26">
        <v>1.921</v>
      </c>
      <c r="GJ1586" s="94">
        <f t="shared" si="488"/>
        <v>3.842</v>
      </c>
      <c r="GK1586" s="104"/>
      <c r="GL1586" s="104"/>
      <c r="GO1586" s="94"/>
    </row>
    <row r="1587" spans="3:197">
      <c r="C1587" s="80" t="str" cm="1">
        <f t="array" ref="C1587">_xlfn.IFS(MONTH(D1587)&lt;4,1,MONTH(D1587)&lt;7,2,MONTH(D1587)&lt;10,3,MONTH(D1587)&gt;9,4)&amp;"Q"&amp;RIGHT(YEAR(D1587),2)</f>
        <v>2Q22</v>
      </c>
      <c r="D1587" s="81">
        <f t="shared" si="495"/>
        <v>44712</v>
      </c>
      <c r="E1587" s="82">
        <f t="shared" si="492"/>
        <v>44701</v>
      </c>
      <c r="F1587" s="83">
        <f t="shared" si="496"/>
        <v>0.426375</v>
      </c>
      <c r="G1587" s="83">
        <f t="shared" si="496"/>
        <v>0.41875</v>
      </c>
      <c r="H1587" s="81"/>
      <c r="I1587" s="146">
        <v>44701</v>
      </c>
      <c r="J1587" s="147">
        <v>3.65</v>
      </c>
      <c r="K1587" s="147">
        <v>3.3</v>
      </c>
      <c r="L1587" s="147">
        <v>3.411</v>
      </c>
      <c r="M1587" s="59" cm="1">
        <f t="array" ref="M1587">INDEX($BV$29:$BV$1449,MATCH($D1587,$BR$29:$BR$1449,0),)</f>
        <v>3.35</v>
      </c>
      <c r="N1587" s="150">
        <f t="shared" si="497"/>
        <v>0</v>
      </c>
      <c r="O1587" s="150">
        <f t="shared" si="498"/>
        <v>-0.00640838916399644</v>
      </c>
      <c r="P1587" s="150">
        <f t="shared" si="491"/>
        <v>-0.0135916714864084</v>
      </c>
      <c r="Q1587" s="89">
        <f t="shared" si="493"/>
        <v>0.0182089552238807</v>
      </c>
      <c r="GE1587" s="94"/>
      <c r="GF1587" s="104">
        <f t="shared" si="486"/>
        <v>2019</v>
      </c>
      <c r="GG1587" s="104">
        <f t="shared" si="487"/>
        <v>14</v>
      </c>
      <c r="GH1587" s="35">
        <v>43557</v>
      </c>
      <c r="GI1587" s="26">
        <v>1.895</v>
      </c>
      <c r="GJ1587" s="94">
        <f t="shared" si="488"/>
        <v>3.79</v>
      </c>
      <c r="GK1587" s="104"/>
      <c r="GL1587" s="104"/>
      <c r="GO1587" s="94"/>
    </row>
    <row r="1588" spans="3:197">
      <c r="C1588" s="80" t="str" cm="1">
        <f t="array" ref="C1588">_xlfn.IFS(MONTH(D1588)&lt;4,1,MONTH(D1588)&lt;7,2,MONTH(D1588)&lt;10,3,MONTH(D1588)&gt;9,4)&amp;"Q"&amp;RIGHT(YEAR(D1588),2)</f>
        <v>2Q22</v>
      </c>
      <c r="D1588" s="81">
        <f t="shared" si="495"/>
        <v>44712</v>
      </c>
      <c r="E1588" s="82">
        <f t="shared" si="492"/>
        <v>44704</v>
      </c>
      <c r="F1588" s="83">
        <f t="shared" si="496"/>
        <v>0.425625</v>
      </c>
      <c r="G1588" s="83">
        <f t="shared" si="496"/>
        <v>0.41875</v>
      </c>
      <c r="H1588" s="81"/>
      <c r="I1588" s="146">
        <v>44704</v>
      </c>
      <c r="J1588" s="147">
        <v>3.65</v>
      </c>
      <c r="K1588" s="147">
        <v>3.32</v>
      </c>
      <c r="L1588" s="147">
        <v>3.405</v>
      </c>
      <c r="M1588" s="59" cm="1">
        <f t="array" ref="M1588">INDEX($BV$29:$BV$1449,MATCH($D1588,$BR$29:$BR$1449,0),)</f>
        <v>3.35</v>
      </c>
      <c r="N1588" s="150">
        <f t="shared" si="497"/>
        <v>-0.00175901495162711</v>
      </c>
      <c r="O1588" s="150">
        <f t="shared" si="498"/>
        <v>-0.00641960898745264</v>
      </c>
      <c r="P1588" s="150">
        <f t="shared" si="491"/>
        <v>-0.0127573209625979</v>
      </c>
      <c r="Q1588" s="89">
        <f t="shared" si="493"/>
        <v>0.0164179104477611</v>
      </c>
      <c r="GE1588" s="94"/>
      <c r="GF1588" s="104">
        <f t="shared" ref="GF1588:GF1651" si="499">YEAR(GH1588)</f>
        <v>2019</v>
      </c>
      <c r="GG1588" s="104">
        <f t="shared" ref="GG1588:GG1651" si="500">WEEKNUM(GH1588)</f>
        <v>14</v>
      </c>
      <c r="GH1588" s="35">
        <v>43558</v>
      </c>
      <c r="GI1588" s="26">
        <v>1.87</v>
      </c>
      <c r="GJ1588" s="94">
        <f t="shared" ref="GJ1588:GJ1651" si="501">GI1588*2</f>
        <v>3.74</v>
      </c>
      <c r="GK1588" s="104"/>
      <c r="GL1588" s="104"/>
      <c r="GO1588" s="94"/>
    </row>
    <row r="1589" spans="3:197">
      <c r="C1589" s="80" t="str" cm="1">
        <f t="array" ref="C1589">_xlfn.IFS(MONTH(D1589)&lt;4,1,MONTH(D1589)&lt;7,2,MONTH(D1589)&lt;10,3,MONTH(D1589)&gt;9,4)&amp;"Q"&amp;RIGHT(YEAR(D1589),2)</f>
        <v>2Q22</v>
      </c>
      <c r="D1589" s="81">
        <f t="shared" si="495"/>
        <v>44712</v>
      </c>
      <c r="E1589" s="82">
        <f t="shared" si="492"/>
        <v>44705</v>
      </c>
      <c r="F1589" s="83">
        <f t="shared" si="496"/>
        <v>0.425125</v>
      </c>
      <c r="G1589" s="83">
        <f t="shared" si="496"/>
        <v>0.41875</v>
      </c>
      <c r="H1589" s="81"/>
      <c r="I1589" s="146">
        <v>44705</v>
      </c>
      <c r="J1589" s="147">
        <v>3.65</v>
      </c>
      <c r="K1589" s="147">
        <v>3.32</v>
      </c>
      <c r="L1589" s="147">
        <v>3.401</v>
      </c>
      <c r="M1589" s="59" cm="1">
        <f t="array" ref="M1589">INDEX($BV$29:$BV$1449,MATCH($D1589,$BR$29:$BR$1449,0),)</f>
        <v>3.35</v>
      </c>
      <c r="N1589" s="150">
        <f t="shared" si="497"/>
        <v>-0.00117474302496334</v>
      </c>
      <c r="O1589" s="150">
        <f t="shared" si="498"/>
        <v>-0.00758681062153499</v>
      </c>
      <c r="P1589" s="150">
        <f t="shared" si="491"/>
        <v>-0.0139170774137432</v>
      </c>
      <c r="Q1589" s="89">
        <f t="shared" si="493"/>
        <v>0.0152238805970148</v>
      </c>
      <c r="GE1589" s="94"/>
      <c r="GF1589" s="104">
        <f t="shared" si="499"/>
        <v>2019</v>
      </c>
      <c r="GG1589" s="104">
        <f t="shared" si="500"/>
        <v>14</v>
      </c>
      <c r="GH1589" s="35">
        <v>43559</v>
      </c>
      <c r="GI1589" s="26">
        <v>1.86</v>
      </c>
      <c r="GJ1589" s="94">
        <f t="shared" si="501"/>
        <v>3.72</v>
      </c>
      <c r="GK1589" s="104"/>
      <c r="GL1589" s="104"/>
      <c r="GO1589" s="94"/>
    </row>
    <row r="1590" spans="3:197">
      <c r="C1590" s="80" t="str" cm="1">
        <f t="array" ref="C1590">_xlfn.IFS(MONTH(D1590)&lt;4,1,MONTH(D1590)&lt;7,2,MONTH(D1590)&lt;10,3,MONTH(D1590)&gt;9,4)&amp;"Q"&amp;RIGHT(YEAR(D1590),2)</f>
        <v>2Q22</v>
      </c>
      <c r="D1590" s="81">
        <f t="shared" si="495"/>
        <v>44712</v>
      </c>
      <c r="E1590" s="82">
        <f t="shared" si="492"/>
        <v>44706</v>
      </c>
      <c r="F1590" s="83">
        <f t="shared" si="496"/>
        <v>0.425125</v>
      </c>
      <c r="G1590" s="83">
        <f t="shared" si="496"/>
        <v>0.41875</v>
      </c>
      <c r="H1590" s="81"/>
      <c r="I1590" s="146">
        <v>44706</v>
      </c>
      <c r="J1590" s="147">
        <v>3.65</v>
      </c>
      <c r="K1590" s="147">
        <v>3.32</v>
      </c>
      <c r="L1590" s="147">
        <v>3.401</v>
      </c>
      <c r="M1590" s="59" cm="1">
        <f t="array" ref="M1590">INDEX($BV$29:$BV$1449,MATCH($D1590,$BR$29:$BR$1449,0),)</f>
        <v>3.35</v>
      </c>
      <c r="N1590" s="150">
        <f t="shared" si="497"/>
        <v>0</v>
      </c>
      <c r="O1590" s="150">
        <f t="shared" si="498"/>
        <v>-0.0064271107215893</v>
      </c>
      <c r="P1590" s="150">
        <f t="shared" si="491"/>
        <v>-0.0104742508001164</v>
      </c>
      <c r="Q1590" s="89">
        <f t="shared" si="493"/>
        <v>0.0152238805970148</v>
      </c>
      <c r="GE1590" s="94"/>
      <c r="GF1590" s="104">
        <f t="shared" si="499"/>
        <v>2019</v>
      </c>
      <c r="GG1590" s="104">
        <f t="shared" si="500"/>
        <v>15</v>
      </c>
      <c r="GH1590" s="35">
        <v>43563</v>
      </c>
      <c r="GI1590" s="26">
        <v>1.854</v>
      </c>
      <c r="GJ1590" s="94">
        <f t="shared" si="501"/>
        <v>3.708</v>
      </c>
      <c r="GK1590" s="104"/>
      <c r="GL1590" s="104"/>
      <c r="GO1590" s="94"/>
    </row>
    <row r="1591" spans="3:197">
      <c r="C1591" s="80" t="str" cm="1">
        <f t="array" ref="C1591">_xlfn.IFS(MONTH(D1591)&lt;4,1,MONTH(D1591)&lt;7,2,MONTH(D1591)&lt;10,3,MONTH(D1591)&gt;9,4)&amp;"Q"&amp;RIGHT(YEAR(D1591),2)</f>
        <v>2Q22</v>
      </c>
      <c r="D1591" s="81">
        <f t="shared" si="495"/>
        <v>44712</v>
      </c>
      <c r="E1591" s="82">
        <f t="shared" si="492"/>
        <v>44707</v>
      </c>
      <c r="F1591" s="83">
        <f t="shared" si="496"/>
        <v>0.424375</v>
      </c>
      <c r="G1591" s="83">
        <f t="shared" si="496"/>
        <v>0.41875</v>
      </c>
      <c r="H1591" s="81"/>
      <c r="I1591" s="146">
        <v>44707</v>
      </c>
      <c r="J1591" s="147">
        <v>3.65</v>
      </c>
      <c r="K1591" s="147">
        <v>3.32</v>
      </c>
      <c r="L1591" s="147">
        <v>3.395</v>
      </c>
      <c r="M1591" s="59" cm="1">
        <f t="array" ref="M1591">INDEX($BV$29:$BV$1449,MATCH($D1591,$BR$29:$BR$1449,0),)</f>
        <v>3.35</v>
      </c>
      <c r="N1591" s="150">
        <f t="shared" si="497"/>
        <v>-0.0017641870038223</v>
      </c>
      <c r="O1591" s="150">
        <f t="shared" si="498"/>
        <v>-0.00469070653767223</v>
      </c>
      <c r="P1591" s="150">
        <f t="shared" si="491"/>
        <v>-0.0110690358287212</v>
      </c>
      <c r="Q1591" s="89">
        <f t="shared" si="493"/>
        <v>0.0134328358208955</v>
      </c>
      <c r="GE1591" s="94"/>
      <c r="GF1591" s="104">
        <f t="shared" si="499"/>
        <v>2019</v>
      </c>
      <c r="GG1591" s="104">
        <f t="shared" si="500"/>
        <v>15</v>
      </c>
      <c r="GH1591" s="35">
        <v>43564</v>
      </c>
      <c r="GI1591" s="26">
        <v>1.848</v>
      </c>
      <c r="GJ1591" s="94">
        <f t="shared" si="501"/>
        <v>3.696</v>
      </c>
      <c r="GK1591" s="104"/>
      <c r="GL1591" s="104"/>
      <c r="GO1591" s="94"/>
    </row>
    <row r="1592" spans="3:197">
      <c r="C1592" s="80" t="str" cm="1">
        <f t="array" ref="C1592">_xlfn.IFS(MONTH(D1592)&lt;4,1,MONTH(D1592)&lt;7,2,MONTH(D1592)&lt;10,3,MONTH(D1592)&gt;9,4)&amp;"Q"&amp;RIGHT(YEAR(D1592),2)</f>
        <v>2Q22</v>
      </c>
      <c r="D1592" s="81">
        <f t="shared" si="495"/>
        <v>44712</v>
      </c>
      <c r="E1592" s="82">
        <f t="shared" si="492"/>
        <v>44708</v>
      </c>
      <c r="F1592" s="83">
        <f t="shared" si="496"/>
        <v>0.42425</v>
      </c>
      <c r="G1592" s="83">
        <f t="shared" si="496"/>
        <v>0.41875</v>
      </c>
      <c r="H1592" s="81"/>
      <c r="I1592" s="146">
        <v>44708</v>
      </c>
      <c r="J1592" s="147">
        <v>3.63</v>
      </c>
      <c r="K1592" s="147">
        <v>3.32</v>
      </c>
      <c r="L1592" s="147">
        <v>3.394</v>
      </c>
      <c r="M1592" s="59" cm="1">
        <f t="array" ref="M1592">INDEX($BV$29:$BV$1449,MATCH($D1592,$BR$29:$BR$1449,0),)</f>
        <v>3.35</v>
      </c>
      <c r="N1592" s="150">
        <f t="shared" si="497"/>
        <v>-0.000294550810014726</v>
      </c>
      <c r="O1592" s="150">
        <f t="shared" si="498"/>
        <v>-0.00498387569627667</v>
      </c>
      <c r="P1592" s="150">
        <f t="shared" si="491"/>
        <v>-0.0113603262452664</v>
      </c>
      <c r="Q1592" s="89">
        <f t="shared" si="493"/>
        <v>0.013134328358209</v>
      </c>
      <c r="GE1592" s="94"/>
      <c r="GF1592" s="104">
        <f t="shared" si="499"/>
        <v>2019</v>
      </c>
      <c r="GG1592" s="104">
        <f t="shared" si="500"/>
        <v>15</v>
      </c>
      <c r="GH1592" s="35">
        <v>43565</v>
      </c>
      <c r="GI1592" s="26">
        <v>1.812</v>
      </c>
      <c r="GJ1592" s="94">
        <f t="shared" si="501"/>
        <v>3.624</v>
      </c>
      <c r="GK1592" s="104"/>
      <c r="GL1592" s="104"/>
      <c r="GO1592" s="94"/>
    </row>
    <row r="1593" spans="3:197">
      <c r="C1593" s="80" t="str" cm="1">
        <f t="array" ref="C1593">_xlfn.IFS(MONTH(D1593)&lt;4,1,MONTH(D1593)&lt;7,2,MONTH(D1593)&lt;10,3,MONTH(D1593)&gt;9,4)&amp;"Q"&amp;RIGHT(YEAR(D1593),2)</f>
        <v>2Q22</v>
      </c>
      <c r="D1593" s="81">
        <f t="shared" si="495"/>
        <v>44712</v>
      </c>
      <c r="E1593" s="82">
        <f t="shared" si="492"/>
        <v>44711</v>
      </c>
      <c r="F1593" s="83">
        <f t="shared" si="496"/>
        <v>0.42425</v>
      </c>
      <c r="G1593" s="83">
        <f t="shared" si="496"/>
        <v>0.41875</v>
      </c>
      <c r="H1593" s="81"/>
      <c r="I1593" s="146">
        <v>44711</v>
      </c>
      <c r="J1593" s="147">
        <v>3.62</v>
      </c>
      <c r="K1593" s="147">
        <v>3.33</v>
      </c>
      <c r="L1593" s="147">
        <v>3.394</v>
      </c>
      <c r="M1593" s="59" cm="1">
        <f t="array" ref="M1593">INDEX($BV$29:$BV$1449,MATCH($D1593,$BR$29:$BR$1449,0),)</f>
        <v>3.35</v>
      </c>
      <c r="N1593" s="150">
        <f t="shared" si="497"/>
        <v>0</v>
      </c>
      <c r="O1593" s="150">
        <f t="shared" si="498"/>
        <v>-0.00323054331864892</v>
      </c>
      <c r="P1593" s="150">
        <f t="shared" si="491"/>
        <v>-0.00962941348117885</v>
      </c>
      <c r="Q1593" s="89">
        <f t="shared" si="493"/>
        <v>0.013134328358209</v>
      </c>
      <c r="GE1593" s="94"/>
      <c r="GF1593" s="104">
        <f t="shared" si="499"/>
        <v>2019</v>
      </c>
      <c r="GG1593" s="104">
        <f t="shared" si="500"/>
        <v>15</v>
      </c>
      <c r="GH1593" s="35">
        <v>43566</v>
      </c>
      <c r="GI1593" s="26">
        <v>1.779</v>
      </c>
      <c r="GJ1593" s="94">
        <f t="shared" si="501"/>
        <v>3.558</v>
      </c>
      <c r="GK1593" s="104"/>
      <c r="GL1593" s="104"/>
      <c r="GO1593" s="94"/>
    </row>
    <row r="1594" spans="3:197">
      <c r="C1594" s="80" t="str" cm="1">
        <f t="array" ref="C1594">_xlfn.IFS(MONTH(D1594)&lt;4,1,MONTH(D1594)&lt;7,2,MONTH(D1594)&lt;10,3,MONTH(D1594)&gt;9,4)&amp;"Q"&amp;RIGHT(YEAR(D1594),2)</f>
        <v>2Q22</v>
      </c>
      <c r="D1594" s="81">
        <f t="shared" si="495"/>
        <v>44712</v>
      </c>
      <c r="E1594" s="82">
        <f t="shared" si="492"/>
        <v>44712</v>
      </c>
      <c r="F1594" s="83">
        <f t="shared" ref="F1594:G1609" si="502">+L1594/8</f>
        <v>0.423375</v>
      </c>
      <c r="G1594" s="83">
        <f t="shared" si="502"/>
        <v>0.41875</v>
      </c>
      <c r="H1594" s="81"/>
      <c r="I1594" s="146">
        <v>44712</v>
      </c>
      <c r="J1594" s="147">
        <v>3.6</v>
      </c>
      <c r="K1594" s="147">
        <v>3.33</v>
      </c>
      <c r="L1594" s="147">
        <v>3.387</v>
      </c>
      <c r="M1594" s="59" cm="1">
        <f t="array" ref="M1594">INDEX($BV$29:$BV$1449,MATCH($D1594,$BR$29:$BR$1449,0),)</f>
        <v>3.35</v>
      </c>
      <c r="N1594" s="150">
        <f t="shared" si="497"/>
        <v>-0.00206246317030057</v>
      </c>
      <c r="O1594" s="150">
        <f t="shared" si="498"/>
        <v>-0.00411643634225223</v>
      </c>
      <c r="P1594" s="150">
        <f t="shared" si="491"/>
        <v>-0.0116720163408229</v>
      </c>
      <c r="Q1594" s="89">
        <f t="shared" si="493"/>
        <v>0.011044776119403</v>
      </c>
      <c r="GE1594" s="94"/>
      <c r="GF1594" s="104">
        <f t="shared" si="499"/>
        <v>2019</v>
      </c>
      <c r="GG1594" s="104">
        <f t="shared" si="500"/>
        <v>15</v>
      </c>
      <c r="GH1594" s="35">
        <v>43567</v>
      </c>
      <c r="GI1594" s="26">
        <v>1.759</v>
      </c>
      <c r="GJ1594" s="94">
        <f t="shared" si="501"/>
        <v>3.518</v>
      </c>
      <c r="GK1594" s="104"/>
      <c r="GL1594" s="104"/>
      <c r="GO1594" s="94"/>
    </row>
    <row r="1595" spans="3:197">
      <c r="C1595" s="80" t="str" cm="1">
        <f t="array" ref="C1595">_xlfn.IFS(MONTH(D1595)&lt;4,1,MONTH(D1595)&lt;7,2,MONTH(D1595)&lt;10,3,MONTH(D1595)&gt;9,4)&amp;"Q"&amp;RIGHT(YEAR(D1595),2)</f>
        <v>2Q22</v>
      </c>
      <c r="D1595" s="81">
        <f t="shared" si="495"/>
        <v>44742</v>
      </c>
      <c r="E1595" s="82">
        <f t="shared" si="492"/>
        <v>44713</v>
      </c>
      <c r="F1595" s="83">
        <f t="shared" si="502"/>
        <v>0.423125</v>
      </c>
      <c r="G1595" s="83">
        <f t="shared" si="502"/>
        <v>0.41875</v>
      </c>
      <c r="H1595" s="81"/>
      <c r="I1595" s="146">
        <v>44713</v>
      </c>
      <c r="J1595" s="147">
        <v>3.6</v>
      </c>
      <c r="K1595" s="147">
        <v>3.33</v>
      </c>
      <c r="L1595" s="147">
        <v>3.385</v>
      </c>
      <c r="M1595" s="59" cm="1">
        <f t="array" ref="M1595">INDEX($BV$29:$BV$1449,MATCH($D1595,$BR$29:$BR$1449,0),)</f>
        <v>3.35</v>
      </c>
      <c r="N1595" s="150">
        <f t="shared" si="497"/>
        <v>-0.000590493061706554</v>
      </c>
      <c r="O1595" s="150">
        <f t="shared" si="498"/>
        <v>-0.00470449867685974</v>
      </c>
      <c r="P1595" s="150">
        <f t="shared" si="491"/>
        <v>-0.0111013730645633</v>
      </c>
      <c r="Q1595" s="89">
        <f t="shared" si="493"/>
        <v>0.0104477611940297</v>
      </c>
      <c r="GE1595" s="94"/>
      <c r="GF1595" s="104">
        <f t="shared" si="499"/>
        <v>2019</v>
      </c>
      <c r="GG1595" s="104">
        <f t="shared" si="500"/>
        <v>16</v>
      </c>
      <c r="GH1595" s="35">
        <v>43570</v>
      </c>
      <c r="GI1595" s="26">
        <v>1.75</v>
      </c>
      <c r="GJ1595" s="94">
        <f t="shared" si="501"/>
        <v>3.5</v>
      </c>
      <c r="GK1595" s="104"/>
      <c r="GL1595" s="104"/>
      <c r="GO1595" s="94"/>
    </row>
    <row r="1596" spans="3:197">
      <c r="C1596" s="80" t="str" cm="1">
        <f t="array" ref="C1596">_xlfn.IFS(MONTH(D1596)&lt;4,1,MONTH(D1596)&lt;7,2,MONTH(D1596)&lt;10,3,MONTH(D1596)&gt;9,4)&amp;"Q"&amp;RIGHT(YEAR(D1596),2)</f>
        <v>2Q22</v>
      </c>
      <c r="D1596" s="81">
        <f t="shared" si="495"/>
        <v>44742</v>
      </c>
      <c r="E1596" s="82">
        <f t="shared" si="492"/>
        <v>44714</v>
      </c>
      <c r="F1596" s="83">
        <f t="shared" si="502"/>
        <v>0.421875</v>
      </c>
      <c r="G1596" s="83">
        <f t="shared" si="502"/>
        <v>0.41875</v>
      </c>
      <c r="H1596" s="81"/>
      <c r="I1596" s="146">
        <v>44714</v>
      </c>
      <c r="J1596" s="147">
        <v>3.6</v>
      </c>
      <c r="K1596" s="147">
        <v>3.33</v>
      </c>
      <c r="L1596" s="147">
        <v>3.375</v>
      </c>
      <c r="M1596" s="59" cm="1">
        <f t="array" ref="M1596">INDEX($BV$29:$BV$1449,MATCH($D1596,$BR$29:$BR$1449,0),)</f>
        <v>3.35</v>
      </c>
      <c r="N1596" s="150">
        <f t="shared" si="497"/>
        <v>-0.00295420974889216</v>
      </c>
      <c r="O1596" s="150">
        <f t="shared" si="498"/>
        <v>-0.00589101620029453</v>
      </c>
      <c r="P1596" s="150">
        <f t="shared" si="491"/>
        <v>-0.0105540897097626</v>
      </c>
      <c r="Q1596" s="89">
        <f t="shared" si="493"/>
        <v>0.00746268656716409</v>
      </c>
      <c r="GE1596" s="94"/>
      <c r="GF1596" s="104">
        <f t="shared" si="499"/>
        <v>2019</v>
      </c>
      <c r="GG1596" s="104">
        <f t="shared" si="500"/>
        <v>16</v>
      </c>
      <c r="GH1596" s="35">
        <v>43571</v>
      </c>
      <c r="GI1596" s="26">
        <v>1.737</v>
      </c>
      <c r="GJ1596" s="94">
        <f t="shared" si="501"/>
        <v>3.474</v>
      </c>
      <c r="GK1596" s="104"/>
      <c r="GL1596" s="104"/>
      <c r="GO1596" s="94"/>
    </row>
    <row r="1597" spans="3:197">
      <c r="C1597" s="80" t="str" cm="1">
        <f t="array" ref="C1597">_xlfn.IFS(MONTH(D1597)&lt;4,1,MONTH(D1597)&lt;7,2,MONTH(D1597)&lt;10,3,MONTH(D1597)&gt;9,4)&amp;"Q"&amp;RIGHT(YEAR(D1597),2)</f>
        <v>2Q22</v>
      </c>
      <c r="D1597" s="81">
        <f t="shared" si="495"/>
        <v>44742</v>
      </c>
      <c r="E1597" s="82">
        <f t="shared" si="492"/>
        <v>44718</v>
      </c>
      <c r="F1597" s="83">
        <f t="shared" si="502"/>
        <v>0.42175</v>
      </c>
      <c r="G1597" s="83">
        <f t="shared" si="502"/>
        <v>0.41875</v>
      </c>
      <c r="H1597" s="81"/>
      <c r="I1597" s="146">
        <v>44718</v>
      </c>
      <c r="J1597" s="147">
        <v>3.58</v>
      </c>
      <c r="K1597" s="147">
        <v>3.33</v>
      </c>
      <c r="L1597" s="147">
        <v>3.374</v>
      </c>
      <c r="M1597" s="59" cm="1">
        <f t="array" ref="M1597">INDEX($BV$29:$BV$1449,MATCH($D1597,$BR$29:$BR$1449,0),)</f>
        <v>3.35</v>
      </c>
      <c r="N1597" s="150">
        <f t="shared" si="497"/>
        <v>-0.000296296296296239</v>
      </c>
      <c r="O1597" s="150">
        <f t="shared" si="498"/>
        <v>-0.00589275191514438</v>
      </c>
      <c r="P1597" s="150">
        <f t="shared" si="491"/>
        <v>-0.010847258868367</v>
      </c>
      <c r="Q1597" s="89">
        <f t="shared" si="493"/>
        <v>0.00716417910447764</v>
      </c>
      <c r="GE1597" s="94"/>
      <c r="GF1597" s="104">
        <f t="shared" si="499"/>
        <v>2019</v>
      </c>
      <c r="GG1597" s="104">
        <f t="shared" si="500"/>
        <v>16</v>
      </c>
      <c r="GH1597" s="35">
        <v>43572</v>
      </c>
      <c r="GI1597" s="26">
        <v>1.731</v>
      </c>
      <c r="GJ1597" s="94">
        <f t="shared" si="501"/>
        <v>3.462</v>
      </c>
      <c r="GK1597" s="104"/>
      <c r="GL1597" s="104"/>
      <c r="GO1597" s="94"/>
    </row>
    <row r="1598" spans="3:197">
      <c r="C1598" s="80" t="str" cm="1">
        <f t="array" ref="C1598">_xlfn.IFS(MONTH(D1598)&lt;4,1,MONTH(D1598)&lt;7,2,MONTH(D1598)&lt;10,3,MONTH(D1598)&gt;9,4)&amp;"Q"&amp;RIGHT(YEAR(D1598),2)</f>
        <v>2Q22</v>
      </c>
      <c r="D1598" s="81">
        <f t="shared" si="495"/>
        <v>44742</v>
      </c>
      <c r="E1598" s="82">
        <f t="shared" si="492"/>
        <v>44719</v>
      </c>
      <c r="F1598" s="83">
        <f t="shared" si="502"/>
        <v>0.424</v>
      </c>
      <c r="G1598" s="83">
        <f t="shared" si="502"/>
        <v>0.41875</v>
      </c>
      <c r="H1598" s="81"/>
      <c r="I1598" s="146">
        <v>44719</v>
      </c>
      <c r="J1598" s="147">
        <v>3.65</v>
      </c>
      <c r="K1598" s="147">
        <v>3.35</v>
      </c>
      <c r="L1598" s="147">
        <v>3.392</v>
      </c>
      <c r="M1598" s="59" cm="1">
        <f t="array" ref="M1598">INDEX($BV$29:$BV$1449,MATCH($D1598,$BR$29:$BR$1449,0),)</f>
        <v>3.35</v>
      </c>
      <c r="N1598" s="150">
        <f t="shared" si="497"/>
        <v>0.00533491404860698</v>
      </c>
      <c r="O1598" s="150">
        <f t="shared" si="498"/>
        <v>-0.000589275191514527</v>
      </c>
      <c r="P1598" s="150">
        <f t="shared" si="491"/>
        <v>-0.0038179148311307</v>
      </c>
      <c r="Q1598" s="89">
        <f t="shared" si="493"/>
        <v>0.0125373134328357</v>
      </c>
      <c r="GE1598" s="94"/>
      <c r="GF1598" s="104">
        <f t="shared" si="499"/>
        <v>2019</v>
      </c>
      <c r="GG1598" s="104">
        <f t="shared" si="500"/>
        <v>16</v>
      </c>
      <c r="GH1598" s="35">
        <v>43573</v>
      </c>
      <c r="GI1598" s="26">
        <v>1.727</v>
      </c>
      <c r="GJ1598" s="94">
        <f t="shared" si="501"/>
        <v>3.454</v>
      </c>
      <c r="GK1598" s="104"/>
      <c r="GL1598" s="104"/>
      <c r="GO1598" s="94"/>
    </row>
    <row r="1599" spans="3:197">
      <c r="C1599" s="80" t="str" cm="1">
        <f t="array" ref="C1599">_xlfn.IFS(MONTH(D1599)&lt;4,1,MONTH(D1599)&lt;7,2,MONTH(D1599)&lt;10,3,MONTH(D1599)&gt;9,4)&amp;"Q"&amp;RIGHT(YEAR(D1599),2)</f>
        <v>2Q22</v>
      </c>
      <c r="D1599" s="81">
        <f t="shared" si="495"/>
        <v>44742</v>
      </c>
      <c r="E1599" s="82">
        <f t="shared" si="492"/>
        <v>44720</v>
      </c>
      <c r="F1599" s="83">
        <f t="shared" si="502"/>
        <v>0.427125</v>
      </c>
      <c r="G1599" s="83">
        <f t="shared" si="502"/>
        <v>0.41875</v>
      </c>
      <c r="H1599" s="81"/>
      <c r="I1599" s="146">
        <v>44720</v>
      </c>
      <c r="J1599" s="147">
        <v>3.7</v>
      </c>
      <c r="K1599" s="147">
        <v>3.35</v>
      </c>
      <c r="L1599" s="147">
        <v>3.417</v>
      </c>
      <c r="M1599" s="59" cm="1">
        <f t="array" ref="M1599">INDEX($BV$29:$BV$1449,MATCH($D1599,$BR$29:$BR$1449,0),)</f>
        <v>3.35</v>
      </c>
      <c r="N1599" s="150">
        <f t="shared" si="497"/>
        <v>0.007370283018868</v>
      </c>
      <c r="O1599" s="150">
        <f t="shared" si="498"/>
        <v>0.00885739592559776</v>
      </c>
      <c r="P1599" s="150">
        <f t="shared" si="491"/>
        <v>0.00470449867685985</v>
      </c>
      <c r="Q1599" s="89">
        <f t="shared" si="493"/>
        <v>0.02</v>
      </c>
      <c r="GE1599" s="94"/>
      <c r="GF1599" s="104">
        <f t="shared" si="499"/>
        <v>2019</v>
      </c>
      <c r="GG1599" s="104">
        <f t="shared" si="500"/>
        <v>16</v>
      </c>
      <c r="GH1599" s="35">
        <v>43574</v>
      </c>
      <c r="GI1599" s="26">
        <v>1.724</v>
      </c>
      <c r="GJ1599" s="94">
        <f t="shared" si="501"/>
        <v>3.448</v>
      </c>
      <c r="GK1599" s="104"/>
      <c r="GL1599" s="104"/>
      <c r="GO1599" s="94"/>
    </row>
    <row r="1600" spans="3:197">
      <c r="C1600" s="80" t="str" cm="1">
        <f t="array" ref="C1600">_xlfn.IFS(MONTH(D1600)&lt;4,1,MONTH(D1600)&lt;7,2,MONTH(D1600)&lt;10,3,MONTH(D1600)&gt;9,4)&amp;"Q"&amp;RIGHT(YEAR(D1600),2)</f>
        <v>2Q22</v>
      </c>
      <c r="D1600" s="81">
        <f t="shared" si="495"/>
        <v>44742</v>
      </c>
      <c r="E1600" s="82">
        <f t="shared" si="492"/>
        <v>44721</v>
      </c>
      <c r="F1600" s="83">
        <f t="shared" si="502"/>
        <v>0.429375</v>
      </c>
      <c r="G1600" s="83">
        <f t="shared" si="502"/>
        <v>0.41875</v>
      </c>
      <c r="H1600" s="81"/>
      <c r="I1600" s="146">
        <v>44721</v>
      </c>
      <c r="J1600" s="147">
        <v>3.65</v>
      </c>
      <c r="K1600" s="147">
        <v>3.35</v>
      </c>
      <c r="L1600" s="147">
        <v>3.435</v>
      </c>
      <c r="M1600" s="59" cm="1">
        <f t="array" ref="M1600">INDEX($BV$29:$BV$1449,MATCH($D1600,$BR$29:$BR$1449,0),)</f>
        <v>3.35</v>
      </c>
      <c r="N1600" s="150">
        <f t="shared" si="497"/>
        <v>0.00526777875329243</v>
      </c>
      <c r="O1600" s="150">
        <f t="shared" si="498"/>
        <v>0.014771048744461</v>
      </c>
      <c r="P1600" s="150">
        <f t="shared" si="491"/>
        <v>0.00999705968832698</v>
      </c>
      <c r="Q1600" s="89">
        <f t="shared" si="493"/>
        <v>0.0253731343283583</v>
      </c>
      <c r="GE1600" s="94"/>
      <c r="GF1600" s="104">
        <f t="shared" si="499"/>
        <v>2019</v>
      </c>
      <c r="GG1600" s="104">
        <f t="shared" si="500"/>
        <v>17</v>
      </c>
      <c r="GH1600" s="35">
        <v>43577</v>
      </c>
      <c r="GI1600" s="26">
        <v>1.721</v>
      </c>
      <c r="GJ1600" s="94">
        <f t="shared" si="501"/>
        <v>3.442</v>
      </c>
      <c r="GK1600" s="104"/>
      <c r="GL1600" s="104"/>
      <c r="GO1600" s="94"/>
    </row>
    <row r="1601" spans="3:197">
      <c r="C1601" s="80" t="str" cm="1">
        <f t="array" ref="C1601">_xlfn.IFS(MONTH(D1601)&lt;4,1,MONTH(D1601)&lt;7,2,MONTH(D1601)&lt;10,3,MONTH(D1601)&gt;9,4)&amp;"Q"&amp;RIGHT(YEAR(D1601),2)</f>
        <v>2Q22</v>
      </c>
      <c r="D1601" s="81">
        <f t="shared" si="495"/>
        <v>44742</v>
      </c>
      <c r="E1601" s="82">
        <f t="shared" si="492"/>
        <v>44722</v>
      </c>
      <c r="F1601" s="83">
        <f t="shared" si="502"/>
        <v>0.429</v>
      </c>
      <c r="G1601" s="83">
        <f t="shared" si="502"/>
        <v>0.41875</v>
      </c>
      <c r="H1601" s="81"/>
      <c r="I1601" s="146">
        <v>44722</v>
      </c>
      <c r="J1601" s="147">
        <v>3.65</v>
      </c>
      <c r="K1601" s="147">
        <v>3.35</v>
      </c>
      <c r="L1601" s="147">
        <v>3.432</v>
      </c>
      <c r="M1601" s="59" cm="1">
        <f t="array" ref="M1601">INDEX($BV$29:$BV$1449,MATCH($D1601,$BR$29:$BR$1449,0),)</f>
        <v>3.35</v>
      </c>
      <c r="N1601" s="150">
        <f t="shared" si="497"/>
        <v>-0.000873362445414916</v>
      </c>
      <c r="O1601" s="150">
        <f t="shared" si="498"/>
        <v>0.016888888888889</v>
      </c>
      <c r="P1601" s="150">
        <f t="shared" si="491"/>
        <v>0.0108983799705449</v>
      </c>
      <c r="Q1601" s="89">
        <f t="shared" si="493"/>
        <v>0.0244776119402985</v>
      </c>
      <c r="GE1601" s="94"/>
      <c r="GF1601" s="104">
        <f t="shared" si="499"/>
        <v>2019</v>
      </c>
      <c r="GG1601" s="104">
        <f t="shared" si="500"/>
        <v>17</v>
      </c>
      <c r="GH1601" s="35">
        <v>43578</v>
      </c>
      <c r="GI1601" s="26">
        <v>1.715</v>
      </c>
      <c r="GJ1601" s="94">
        <f t="shared" si="501"/>
        <v>3.43</v>
      </c>
      <c r="GK1601" s="104"/>
      <c r="GL1601" s="104"/>
      <c r="GO1601" s="94"/>
    </row>
    <row r="1602" spans="3:197">
      <c r="C1602" s="80" t="str" cm="1">
        <f t="array" ref="C1602">_xlfn.IFS(MONTH(D1602)&lt;4,1,MONTH(D1602)&lt;7,2,MONTH(D1602)&lt;10,3,MONTH(D1602)&gt;9,4)&amp;"Q"&amp;RIGHT(YEAR(D1602),2)</f>
        <v>2Q22</v>
      </c>
      <c r="D1602" s="81">
        <f t="shared" si="495"/>
        <v>44742</v>
      </c>
      <c r="E1602" s="82">
        <f t="shared" si="492"/>
        <v>44725</v>
      </c>
      <c r="F1602" s="83">
        <f t="shared" si="502"/>
        <v>0.428875</v>
      </c>
      <c r="G1602" s="83">
        <f t="shared" si="502"/>
        <v>0.41875</v>
      </c>
      <c r="H1602" s="81"/>
      <c r="I1602" s="146">
        <v>44725</v>
      </c>
      <c r="J1602" s="147">
        <v>3.64</v>
      </c>
      <c r="K1602" s="147">
        <v>3.35</v>
      </c>
      <c r="L1602" s="147">
        <v>3.431</v>
      </c>
      <c r="M1602" s="59" cm="1">
        <f t="array" ref="M1602">INDEX($BV$29:$BV$1449,MATCH($D1602,$BR$29:$BR$1449,0),)</f>
        <v>3.35</v>
      </c>
      <c r="N1602" s="150">
        <f t="shared" si="497"/>
        <v>-0.00029137529137524</v>
      </c>
      <c r="O1602" s="150">
        <f t="shared" si="498"/>
        <v>0.0168938944872554</v>
      </c>
      <c r="P1602" s="150">
        <f t="shared" si="491"/>
        <v>0.010901591043017</v>
      </c>
      <c r="Q1602" s="89">
        <f t="shared" si="493"/>
        <v>0.0241791044776118</v>
      </c>
      <c r="GE1602" s="94"/>
      <c r="GF1602" s="104">
        <f t="shared" si="499"/>
        <v>2019</v>
      </c>
      <c r="GG1602" s="104">
        <f t="shared" si="500"/>
        <v>17</v>
      </c>
      <c r="GH1602" s="35">
        <v>43579</v>
      </c>
      <c r="GI1602" s="26">
        <v>1.708</v>
      </c>
      <c r="GJ1602" s="94">
        <f t="shared" si="501"/>
        <v>3.416</v>
      </c>
      <c r="GK1602" s="104"/>
      <c r="GL1602" s="104"/>
      <c r="GO1602" s="94"/>
    </row>
    <row r="1603" spans="3:197">
      <c r="C1603" s="80" t="str" cm="1">
        <f t="array" ref="C1603">_xlfn.IFS(MONTH(D1603)&lt;4,1,MONTH(D1603)&lt;7,2,MONTH(D1603)&lt;10,3,MONTH(D1603)&gt;9,4)&amp;"Q"&amp;RIGHT(YEAR(D1603),2)</f>
        <v>2Q22</v>
      </c>
      <c r="D1603" s="81">
        <f t="shared" si="495"/>
        <v>44742</v>
      </c>
      <c r="E1603" s="82">
        <f t="shared" si="492"/>
        <v>44726</v>
      </c>
      <c r="F1603" s="83">
        <f t="shared" si="502"/>
        <v>0.428625</v>
      </c>
      <c r="G1603" s="83">
        <f t="shared" si="502"/>
        <v>0.41875</v>
      </c>
      <c r="H1603" s="81"/>
      <c r="I1603" s="146">
        <v>44726</v>
      </c>
      <c r="J1603" s="147">
        <v>3.64</v>
      </c>
      <c r="K1603" s="147">
        <v>3.35</v>
      </c>
      <c r="L1603" s="147">
        <v>3.429</v>
      </c>
      <c r="M1603" s="59" cm="1">
        <f t="array" ref="M1603">INDEX($BV$29:$BV$1449,MATCH($D1603,$BR$29:$BR$1449,0),)</f>
        <v>3.35</v>
      </c>
      <c r="N1603" s="150">
        <f t="shared" si="497"/>
        <v>-0.000582920431361211</v>
      </c>
      <c r="O1603" s="150">
        <f t="shared" si="498"/>
        <v>0.0109080188679245</v>
      </c>
      <c r="P1603" s="150">
        <f t="shared" si="491"/>
        <v>0.0103123158515026</v>
      </c>
      <c r="Q1603" s="89">
        <f t="shared" si="493"/>
        <v>0.0235820895522387</v>
      </c>
      <c r="GE1603" s="94"/>
      <c r="GF1603" s="104">
        <f t="shared" si="499"/>
        <v>2019</v>
      </c>
      <c r="GG1603" s="104">
        <f t="shared" si="500"/>
        <v>17</v>
      </c>
      <c r="GH1603" s="35">
        <v>43580</v>
      </c>
      <c r="GI1603" s="26">
        <v>1.702</v>
      </c>
      <c r="GJ1603" s="94">
        <f t="shared" si="501"/>
        <v>3.404</v>
      </c>
      <c r="GK1603" s="104"/>
      <c r="GL1603" s="104"/>
      <c r="GO1603" s="94"/>
    </row>
    <row r="1604" spans="3:197">
      <c r="C1604" s="80" t="str" cm="1">
        <f t="array" ref="C1604">_xlfn.IFS(MONTH(D1604)&lt;4,1,MONTH(D1604)&lt;7,2,MONTH(D1604)&lt;10,3,MONTH(D1604)&gt;9,4)&amp;"Q"&amp;RIGHT(YEAR(D1604),2)</f>
        <v>2Q22</v>
      </c>
      <c r="D1604" s="81">
        <f t="shared" si="495"/>
        <v>44742</v>
      </c>
      <c r="E1604" s="82">
        <f t="shared" si="492"/>
        <v>44727</v>
      </c>
      <c r="F1604" s="83">
        <f t="shared" si="502"/>
        <v>0.428375</v>
      </c>
      <c r="G1604" s="83">
        <f t="shared" si="502"/>
        <v>0.41875</v>
      </c>
      <c r="H1604" s="81"/>
      <c r="I1604" s="146">
        <v>44727</v>
      </c>
      <c r="J1604" s="147">
        <v>3.65</v>
      </c>
      <c r="K1604" s="147">
        <v>3.35</v>
      </c>
      <c r="L1604" s="147">
        <v>3.427</v>
      </c>
      <c r="M1604" s="59" cm="1">
        <f t="array" ref="M1604">INDEX($BV$29:$BV$1449,MATCH($D1604,$BR$29:$BR$1449,0),)</f>
        <v>3.35</v>
      </c>
      <c r="N1604" s="150">
        <f t="shared" si="497"/>
        <v>-0.000583260425780052</v>
      </c>
      <c r="O1604" s="150">
        <f t="shared" si="498"/>
        <v>0.0029265437518291</v>
      </c>
      <c r="P1604" s="150">
        <f t="shared" si="491"/>
        <v>0.0118098612341304</v>
      </c>
      <c r="Q1604" s="89">
        <f t="shared" si="493"/>
        <v>0.0229850746268656</v>
      </c>
      <c r="GE1604" s="94"/>
      <c r="GF1604" s="104">
        <f t="shared" si="499"/>
        <v>2019</v>
      </c>
      <c r="GG1604" s="104">
        <f t="shared" si="500"/>
        <v>17</v>
      </c>
      <c r="GH1604" s="35">
        <v>43581</v>
      </c>
      <c r="GI1604" s="26">
        <v>1.695</v>
      </c>
      <c r="GJ1604" s="94">
        <f t="shared" si="501"/>
        <v>3.39</v>
      </c>
      <c r="GK1604" s="104"/>
      <c r="GL1604" s="104"/>
      <c r="GO1604" s="94"/>
    </row>
    <row r="1605" spans="3:197">
      <c r="C1605" s="80" t="str" cm="1">
        <f t="array" ref="C1605">_xlfn.IFS(MONTH(D1605)&lt;4,1,MONTH(D1605)&lt;7,2,MONTH(D1605)&lt;10,3,MONTH(D1605)&gt;9,4)&amp;"Q"&amp;RIGHT(YEAR(D1605),2)</f>
        <v>2Q22</v>
      </c>
      <c r="D1605" s="81">
        <f t="shared" si="495"/>
        <v>44742</v>
      </c>
      <c r="E1605" s="82">
        <f t="shared" si="492"/>
        <v>44728</v>
      </c>
      <c r="F1605" s="83">
        <f t="shared" si="502"/>
        <v>0.42775</v>
      </c>
      <c r="G1605" s="83">
        <f t="shared" si="502"/>
        <v>0.41875</v>
      </c>
      <c r="H1605" s="81"/>
      <c r="I1605" s="146">
        <v>44728</v>
      </c>
      <c r="J1605" s="147">
        <v>3.67</v>
      </c>
      <c r="K1605" s="147">
        <v>3.35</v>
      </c>
      <c r="L1605" s="147">
        <v>3.422</v>
      </c>
      <c r="M1605" s="59" cm="1">
        <f t="array" ref="M1605">INDEX($BV$29:$BV$1449,MATCH($D1605,$BR$29:$BR$1449,0),)</f>
        <v>3.35</v>
      </c>
      <c r="N1605" s="150">
        <f t="shared" si="497"/>
        <v>-0.00145900204260285</v>
      </c>
      <c r="O1605" s="150">
        <f t="shared" si="498"/>
        <v>-0.0037845705967976</v>
      </c>
      <c r="P1605" s="150">
        <f t="shared" si="491"/>
        <v>0.0109305760709011</v>
      </c>
      <c r="Q1605" s="89">
        <f t="shared" si="493"/>
        <v>0.0214925373134329</v>
      </c>
      <c r="GE1605" s="94"/>
      <c r="GF1605" s="104">
        <f t="shared" si="499"/>
        <v>2019</v>
      </c>
      <c r="GG1605" s="104">
        <f t="shared" si="500"/>
        <v>18</v>
      </c>
      <c r="GH1605" s="35">
        <v>43584</v>
      </c>
      <c r="GI1605" s="26">
        <v>1.682</v>
      </c>
      <c r="GJ1605" s="94">
        <f t="shared" si="501"/>
        <v>3.364</v>
      </c>
      <c r="GK1605" s="104"/>
      <c r="GL1605" s="104"/>
      <c r="GO1605" s="94"/>
    </row>
    <row r="1606" spans="3:197">
      <c r="C1606" s="80" t="str" cm="1">
        <f t="array" ref="C1606">_xlfn.IFS(MONTH(D1606)&lt;4,1,MONTH(D1606)&lt;7,2,MONTH(D1606)&lt;10,3,MONTH(D1606)&gt;9,4)&amp;"Q"&amp;RIGHT(YEAR(D1606),2)</f>
        <v>2Q22</v>
      </c>
      <c r="D1606" s="81">
        <f t="shared" si="495"/>
        <v>44742</v>
      </c>
      <c r="E1606" s="82">
        <f t="shared" si="492"/>
        <v>44729</v>
      </c>
      <c r="F1606" s="83">
        <f t="shared" si="502"/>
        <v>0.42775</v>
      </c>
      <c r="G1606" s="83">
        <f t="shared" si="502"/>
        <v>0.41875</v>
      </c>
      <c r="H1606" s="81"/>
      <c r="I1606" s="146">
        <v>44729</v>
      </c>
      <c r="J1606" s="147">
        <v>3.68</v>
      </c>
      <c r="K1606" s="147">
        <v>3.35</v>
      </c>
      <c r="L1606" s="147">
        <v>3.422</v>
      </c>
      <c r="M1606" s="59" cm="1">
        <f t="array" ref="M1606">INDEX($BV$29:$BV$1449,MATCH($D1606,$BR$29:$BR$1449,0),)</f>
        <v>3.35</v>
      </c>
      <c r="N1606" s="150">
        <f t="shared" si="497"/>
        <v>0</v>
      </c>
      <c r="O1606" s="150">
        <f t="shared" si="498"/>
        <v>-0.00291375291375284</v>
      </c>
      <c r="P1606" s="150">
        <f t="shared" si="491"/>
        <v>0.0139259259259259</v>
      </c>
      <c r="Q1606" s="89">
        <f t="shared" si="493"/>
        <v>0.0214925373134329</v>
      </c>
      <c r="GE1606" s="94"/>
      <c r="GF1606" s="104">
        <f t="shared" si="499"/>
        <v>2019</v>
      </c>
      <c r="GG1606" s="104">
        <f t="shared" si="500"/>
        <v>18</v>
      </c>
      <c r="GH1606" s="35">
        <v>43585</v>
      </c>
      <c r="GI1606" s="26">
        <v>1.679</v>
      </c>
      <c r="GJ1606" s="94">
        <f t="shared" si="501"/>
        <v>3.358</v>
      </c>
      <c r="GK1606" s="104"/>
      <c r="GL1606" s="104"/>
      <c r="GO1606" s="94"/>
    </row>
    <row r="1607" spans="3:197">
      <c r="C1607" s="80" t="str" cm="1">
        <f t="array" ref="C1607">_xlfn.IFS(MONTH(D1607)&lt;4,1,MONTH(D1607)&lt;7,2,MONTH(D1607)&lt;10,3,MONTH(D1607)&gt;9,4)&amp;"Q"&amp;RIGHT(YEAR(D1607),2)</f>
        <v>2Q22</v>
      </c>
      <c r="D1607" s="81">
        <f t="shared" si="495"/>
        <v>44742</v>
      </c>
      <c r="E1607" s="82">
        <f t="shared" si="492"/>
        <v>44732</v>
      </c>
      <c r="F1607" s="83">
        <f t="shared" si="502"/>
        <v>0.42775</v>
      </c>
      <c r="G1607" s="83">
        <f t="shared" si="502"/>
        <v>0.41875</v>
      </c>
      <c r="H1607" s="81"/>
      <c r="I1607" s="146">
        <v>44732</v>
      </c>
      <c r="J1607" s="147">
        <v>3.7</v>
      </c>
      <c r="K1607" s="147">
        <v>3.35</v>
      </c>
      <c r="L1607" s="147">
        <v>3.422</v>
      </c>
      <c r="M1607" s="59" cm="1">
        <f t="array" ref="M1607">INDEX($BV$29:$BV$1449,MATCH($D1607,$BR$29:$BR$1449,0),)</f>
        <v>3.35</v>
      </c>
      <c r="N1607" s="150">
        <f t="shared" si="497"/>
        <v>0</v>
      </c>
      <c r="O1607" s="150">
        <f t="shared" si="498"/>
        <v>-0.00262314194112501</v>
      </c>
      <c r="P1607" s="150">
        <f t="shared" si="491"/>
        <v>0.0142264374629519</v>
      </c>
      <c r="Q1607" s="89">
        <f t="shared" si="493"/>
        <v>0.0214925373134329</v>
      </c>
      <c r="GE1607" s="94"/>
      <c r="GF1607" s="104">
        <f t="shared" si="499"/>
        <v>2019</v>
      </c>
      <c r="GG1607" s="104">
        <f t="shared" si="500"/>
        <v>18</v>
      </c>
      <c r="GH1607" s="35">
        <v>43587</v>
      </c>
      <c r="GI1607" s="26">
        <v>1.675</v>
      </c>
      <c r="GJ1607" s="94">
        <f t="shared" si="501"/>
        <v>3.35</v>
      </c>
      <c r="GK1607" s="104"/>
      <c r="GL1607" s="104"/>
      <c r="GO1607" s="94"/>
    </row>
    <row r="1608" spans="3:197">
      <c r="C1608" s="80" t="str" cm="1">
        <f t="array" ref="C1608">_xlfn.IFS(MONTH(D1608)&lt;4,1,MONTH(D1608)&lt;7,2,MONTH(D1608)&lt;10,3,MONTH(D1608)&gt;9,4)&amp;"Q"&amp;RIGHT(YEAR(D1608),2)</f>
        <v>2Q22</v>
      </c>
      <c r="D1608" s="81">
        <f t="shared" si="495"/>
        <v>44742</v>
      </c>
      <c r="E1608" s="82">
        <f t="shared" si="492"/>
        <v>44733</v>
      </c>
      <c r="F1608" s="83">
        <f t="shared" si="502"/>
        <v>0.424125</v>
      </c>
      <c r="G1608" s="83">
        <f t="shared" si="502"/>
        <v>0.41875</v>
      </c>
      <c r="H1608" s="81"/>
      <c r="I1608" s="146">
        <v>44733</v>
      </c>
      <c r="J1608" s="147">
        <v>3.7</v>
      </c>
      <c r="K1608" s="147">
        <v>3.3</v>
      </c>
      <c r="L1608" s="147">
        <v>3.393</v>
      </c>
      <c r="M1608" s="59" cm="1">
        <f t="array" ref="M1608">INDEX($BV$29:$BV$1449,MATCH($D1608,$BR$29:$BR$1449,0),)</f>
        <v>3.35</v>
      </c>
      <c r="N1608" s="150">
        <f t="shared" si="497"/>
        <v>-0.00847457627118653</v>
      </c>
      <c r="O1608" s="150">
        <f t="shared" si="498"/>
        <v>-0.0104986876640421</v>
      </c>
      <c r="P1608" s="150">
        <f t="shared" si="491"/>
        <v>0.000294811320754595</v>
      </c>
      <c r="Q1608" s="89">
        <f t="shared" si="493"/>
        <v>0.0128358208955224</v>
      </c>
      <c r="GE1608" s="94"/>
      <c r="GF1608" s="104">
        <f t="shared" si="499"/>
        <v>2019</v>
      </c>
      <c r="GG1608" s="104">
        <f t="shared" si="500"/>
        <v>18</v>
      </c>
      <c r="GH1608" s="35">
        <v>43588</v>
      </c>
      <c r="GI1608" s="26">
        <v>1.662</v>
      </c>
      <c r="GJ1608" s="94">
        <f t="shared" si="501"/>
        <v>3.324</v>
      </c>
      <c r="GK1608" s="104"/>
      <c r="GL1608" s="104"/>
      <c r="GO1608" s="94"/>
    </row>
    <row r="1609" spans="3:197">
      <c r="C1609" s="80" t="str" cm="1">
        <f t="array" ref="C1609">_xlfn.IFS(MONTH(D1609)&lt;4,1,MONTH(D1609)&lt;7,2,MONTH(D1609)&lt;10,3,MONTH(D1609)&gt;9,4)&amp;"Q"&amp;RIGHT(YEAR(D1609),2)</f>
        <v>2Q22</v>
      </c>
      <c r="D1609" s="81">
        <f t="shared" si="495"/>
        <v>44742</v>
      </c>
      <c r="E1609" s="82">
        <f t="shared" si="492"/>
        <v>44734</v>
      </c>
      <c r="F1609" s="83">
        <f t="shared" si="502"/>
        <v>0.423</v>
      </c>
      <c r="G1609" s="83">
        <f t="shared" si="502"/>
        <v>0.41875</v>
      </c>
      <c r="H1609" s="81"/>
      <c r="I1609" s="146">
        <v>44734</v>
      </c>
      <c r="J1609" s="147">
        <v>3.7</v>
      </c>
      <c r="K1609" s="147">
        <v>3.25</v>
      </c>
      <c r="L1609" s="147">
        <v>3.384</v>
      </c>
      <c r="M1609" s="59" cm="1">
        <f t="array" ref="M1609">INDEX($BV$29:$BV$1449,MATCH($D1609,$BR$29:$BR$1449,0),)</f>
        <v>3.35</v>
      </c>
      <c r="N1609" s="150">
        <f t="shared" si="497"/>
        <v>-0.00265251989389914</v>
      </c>
      <c r="O1609" s="150">
        <f t="shared" si="498"/>
        <v>-0.0125474175663847</v>
      </c>
      <c r="P1609" s="150">
        <f t="shared" si="491"/>
        <v>-0.00965759438103597</v>
      </c>
      <c r="Q1609" s="89">
        <f t="shared" si="493"/>
        <v>0.0101492537313432</v>
      </c>
      <c r="GE1609" s="94"/>
      <c r="GF1609" s="104">
        <f t="shared" si="499"/>
        <v>2019</v>
      </c>
      <c r="GG1609" s="104">
        <f t="shared" si="500"/>
        <v>19</v>
      </c>
      <c r="GH1609" s="35">
        <v>43591</v>
      </c>
      <c r="GI1609" s="26">
        <v>1.655</v>
      </c>
      <c r="GJ1609" s="94">
        <f t="shared" si="501"/>
        <v>3.31</v>
      </c>
      <c r="GK1609" s="104"/>
      <c r="GL1609" s="104"/>
      <c r="GO1609" s="94"/>
    </row>
    <row r="1610" spans="3:197">
      <c r="C1610" s="80" t="str" cm="1">
        <f t="array" ref="C1610">_xlfn.IFS(MONTH(D1610)&lt;4,1,MONTH(D1610)&lt;7,2,MONTH(D1610)&lt;10,3,MONTH(D1610)&gt;9,4)&amp;"Q"&amp;RIGHT(YEAR(D1610),2)</f>
        <v>2Q22</v>
      </c>
      <c r="D1610" s="81">
        <f t="shared" si="495"/>
        <v>44742</v>
      </c>
      <c r="E1610" s="82">
        <f t="shared" si="492"/>
        <v>44735</v>
      </c>
      <c r="F1610" s="83">
        <f t="shared" ref="F1610:G1625" si="503">+L1610/8</f>
        <v>0.417375</v>
      </c>
      <c r="G1610" s="83">
        <f t="shared" si="503"/>
        <v>0.41875</v>
      </c>
      <c r="H1610" s="81"/>
      <c r="I1610" s="146">
        <v>44735</v>
      </c>
      <c r="J1610" s="147">
        <v>3.7</v>
      </c>
      <c r="K1610" s="147">
        <v>3.15</v>
      </c>
      <c r="L1610" s="147">
        <v>3.339</v>
      </c>
      <c r="M1610" s="59" cm="1">
        <f t="array" ref="M1610">INDEX($BV$29:$BV$1449,MATCH($D1610,$BR$29:$BR$1449,0),)</f>
        <v>3.35</v>
      </c>
      <c r="N1610" s="150">
        <f t="shared" si="497"/>
        <v>-0.0132978723404256</v>
      </c>
      <c r="O1610" s="150">
        <f t="shared" si="498"/>
        <v>-0.0242548217416716</v>
      </c>
      <c r="P1610" s="150">
        <f t="shared" si="491"/>
        <v>-0.0279475982532751</v>
      </c>
      <c r="Q1610" s="89">
        <f t="shared" si="493"/>
        <v>-0.00328358208955226</v>
      </c>
      <c r="GE1610" s="94"/>
      <c r="GF1610" s="104">
        <f t="shared" si="499"/>
        <v>2019</v>
      </c>
      <c r="GG1610" s="104">
        <f t="shared" si="500"/>
        <v>19</v>
      </c>
      <c r="GH1610" s="35">
        <v>43592</v>
      </c>
      <c r="GI1610" s="26">
        <v>1.644</v>
      </c>
      <c r="GJ1610" s="94">
        <f t="shared" si="501"/>
        <v>3.288</v>
      </c>
      <c r="GK1610" s="104"/>
      <c r="GL1610" s="104"/>
      <c r="GO1610" s="94"/>
    </row>
    <row r="1611" spans="3:197">
      <c r="C1611" s="80" t="str" cm="1">
        <f t="array" ref="C1611">_xlfn.IFS(MONTH(D1611)&lt;4,1,MONTH(D1611)&lt;7,2,MONTH(D1611)&lt;10,3,MONTH(D1611)&gt;9,4)&amp;"Q"&amp;RIGHT(YEAR(D1611),2)</f>
        <v>2Q22</v>
      </c>
      <c r="D1611" s="81">
        <f t="shared" si="495"/>
        <v>44742</v>
      </c>
      <c r="E1611" s="82">
        <f t="shared" si="492"/>
        <v>44736</v>
      </c>
      <c r="F1611" s="83">
        <f t="shared" si="503"/>
        <v>0.4135</v>
      </c>
      <c r="G1611" s="83">
        <f t="shared" si="503"/>
        <v>0.41875</v>
      </c>
      <c r="H1611" s="81"/>
      <c r="I1611" s="146">
        <v>44736</v>
      </c>
      <c r="J1611" s="147">
        <v>3.7</v>
      </c>
      <c r="K1611" s="147">
        <v>3.08</v>
      </c>
      <c r="L1611" s="147">
        <v>3.308</v>
      </c>
      <c r="M1611" s="59" cm="1">
        <f t="array" ref="M1611">INDEX($BV$29:$BV$1449,MATCH($D1611,$BR$29:$BR$1449,0),)</f>
        <v>3.35</v>
      </c>
      <c r="N1611" s="150">
        <f t="shared" si="497"/>
        <v>-0.00928421683138669</v>
      </c>
      <c r="O1611" s="150">
        <f t="shared" si="498"/>
        <v>-0.033313851548802</v>
      </c>
      <c r="P1611" s="150">
        <f t="shared" si="491"/>
        <v>-0.0361305361305362</v>
      </c>
      <c r="Q1611" s="89">
        <f t="shared" si="493"/>
        <v>-0.0125373134328359</v>
      </c>
      <c r="GE1611" s="94"/>
      <c r="GF1611" s="104">
        <f t="shared" si="499"/>
        <v>2019</v>
      </c>
      <c r="GG1611" s="104">
        <f t="shared" si="500"/>
        <v>19</v>
      </c>
      <c r="GH1611" s="35">
        <v>43593</v>
      </c>
      <c r="GI1611" s="26">
        <v>1.631</v>
      </c>
      <c r="GJ1611" s="94">
        <f t="shared" si="501"/>
        <v>3.262</v>
      </c>
      <c r="GK1611" s="104"/>
      <c r="GL1611" s="104"/>
      <c r="GO1611" s="94"/>
    </row>
    <row r="1612" spans="3:197">
      <c r="C1612" s="80" t="str" cm="1">
        <f t="array" ref="C1612">_xlfn.IFS(MONTH(D1612)&lt;4,1,MONTH(D1612)&lt;7,2,MONTH(D1612)&lt;10,3,MONTH(D1612)&gt;9,4)&amp;"Q"&amp;RIGHT(YEAR(D1612),2)</f>
        <v>2Q22</v>
      </c>
      <c r="D1612" s="81">
        <f t="shared" si="495"/>
        <v>44742</v>
      </c>
      <c r="E1612" s="82">
        <f t="shared" si="492"/>
        <v>44739</v>
      </c>
      <c r="F1612" s="83">
        <f t="shared" si="503"/>
        <v>0.412625</v>
      </c>
      <c r="G1612" s="83">
        <f t="shared" si="503"/>
        <v>0.41875</v>
      </c>
      <c r="H1612" s="81"/>
      <c r="I1612" s="146">
        <v>44739</v>
      </c>
      <c r="J1612" s="147">
        <v>3.7</v>
      </c>
      <c r="K1612" s="147">
        <v>3.08</v>
      </c>
      <c r="L1612" s="147">
        <v>3.301</v>
      </c>
      <c r="M1612" s="59" cm="1">
        <f t="array" ref="M1612">INDEX($BV$29:$BV$1449,MATCH($D1612,$BR$29:$BR$1449,0),)</f>
        <v>3.35</v>
      </c>
      <c r="N1612" s="150">
        <f t="shared" si="497"/>
        <v>-0.00211608222490922</v>
      </c>
      <c r="O1612" s="150">
        <f t="shared" si="498"/>
        <v>-0.0353594389246055</v>
      </c>
      <c r="P1612" s="150">
        <f t="shared" si="491"/>
        <v>-0.0378898280384727</v>
      </c>
      <c r="Q1612" s="89">
        <f t="shared" si="493"/>
        <v>-0.0146268656716417</v>
      </c>
      <c r="GE1612" s="94"/>
      <c r="GF1612" s="104">
        <f t="shared" si="499"/>
        <v>2019</v>
      </c>
      <c r="GG1612" s="104">
        <f t="shared" si="500"/>
        <v>19</v>
      </c>
      <c r="GH1612" s="35">
        <v>43594</v>
      </c>
      <c r="GI1612" s="26">
        <v>1.623</v>
      </c>
      <c r="GJ1612" s="94">
        <f t="shared" si="501"/>
        <v>3.246</v>
      </c>
      <c r="GK1612" s="104"/>
      <c r="GL1612" s="104"/>
      <c r="GO1612" s="94"/>
    </row>
    <row r="1613" spans="3:197">
      <c r="C1613" s="80" t="str" cm="1">
        <f t="array" ref="C1613">_xlfn.IFS(MONTH(D1613)&lt;4,1,MONTH(D1613)&lt;7,2,MONTH(D1613)&lt;10,3,MONTH(D1613)&gt;9,4)&amp;"Q"&amp;RIGHT(YEAR(D1613),2)</f>
        <v>2Q22</v>
      </c>
      <c r="D1613" s="81">
        <f t="shared" si="495"/>
        <v>44742</v>
      </c>
      <c r="E1613" s="82">
        <f t="shared" si="492"/>
        <v>44740</v>
      </c>
      <c r="F1613" s="83">
        <f t="shared" si="503"/>
        <v>0.411625</v>
      </c>
      <c r="G1613" s="83">
        <f t="shared" si="503"/>
        <v>0.41875</v>
      </c>
      <c r="H1613" s="81"/>
      <c r="I1613" s="146">
        <v>44740</v>
      </c>
      <c r="J1613" s="147">
        <v>3.69</v>
      </c>
      <c r="K1613" s="147">
        <v>3.08</v>
      </c>
      <c r="L1613" s="147">
        <v>3.293</v>
      </c>
      <c r="M1613" s="59" cm="1">
        <f t="array" ref="M1613">INDEX($BV$29:$BV$1449,MATCH($D1613,$BR$29:$BR$1449,0),)</f>
        <v>3.35</v>
      </c>
      <c r="N1613" s="150">
        <f t="shared" si="497"/>
        <v>-0.00242350802787039</v>
      </c>
      <c r="O1613" s="150">
        <f t="shared" si="498"/>
        <v>-0.0294724432655467</v>
      </c>
      <c r="P1613" s="150">
        <f t="shared" si="491"/>
        <v>-0.0396617089530474</v>
      </c>
      <c r="Q1613" s="89">
        <f t="shared" si="493"/>
        <v>-0.0170149253731343</v>
      </c>
      <c r="GE1613" s="94"/>
      <c r="GF1613" s="104">
        <f t="shared" si="499"/>
        <v>2019</v>
      </c>
      <c r="GG1613" s="104">
        <f t="shared" si="500"/>
        <v>19</v>
      </c>
      <c r="GH1613" s="35">
        <v>43595</v>
      </c>
      <c r="GI1613" s="26">
        <v>1.621</v>
      </c>
      <c r="GJ1613" s="94">
        <f t="shared" si="501"/>
        <v>3.242</v>
      </c>
      <c r="GK1613" s="104"/>
      <c r="GL1613" s="104"/>
      <c r="GO1613" s="94"/>
    </row>
    <row r="1614" spans="3:197">
      <c r="C1614" s="80" t="str" cm="1">
        <f t="array" ref="C1614">_xlfn.IFS(MONTH(D1614)&lt;4,1,MONTH(D1614)&lt;7,2,MONTH(D1614)&lt;10,3,MONTH(D1614)&gt;9,4)&amp;"Q"&amp;RIGHT(YEAR(D1614),2)</f>
        <v>2Q22</v>
      </c>
      <c r="D1614" s="81">
        <f t="shared" si="495"/>
        <v>44742</v>
      </c>
      <c r="E1614" s="82">
        <f t="shared" si="492"/>
        <v>44741</v>
      </c>
      <c r="F1614" s="83">
        <f t="shared" si="503"/>
        <v>0.410375</v>
      </c>
      <c r="G1614" s="83">
        <f t="shared" si="503"/>
        <v>0.41875</v>
      </c>
      <c r="H1614" s="81"/>
      <c r="I1614" s="146">
        <v>44741</v>
      </c>
      <c r="J1614" s="147">
        <v>3.68</v>
      </c>
      <c r="K1614" s="147">
        <v>3.07</v>
      </c>
      <c r="L1614" s="147">
        <v>3.283</v>
      </c>
      <c r="M1614" s="59" cm="1">
        <f t="array" ref="M1614">INDEX($BV$29:$BV$1449,MATCH($D1614,$BR$29:$BR$1449,0),)</f>
        <v>3.35</v>
      </c>
      <c r="N1614" s="150">
        <f t="shared" si="497"/>
        <v>-0.00303674460977843</v>
      </c>
      <c r="O1614" s="150">
        <f t="shared" si="498"/>
        <v>-0.0298463356973995</v>
      </c>
      <c r="P1614" s="150">
        <f t="shared" si="491"/>
        <v>-0.0420192588269624</v>
      </c>
      <c r="Q1614" s="89">
        <f t="shared" si="493"/>
        <v>-0.02</v>
      </c>
      <c r="GE1614" s="94"/>
      <c r="GF1614" s="104">
        <f t="shared" si="499"/>
        <v>2019</v>
      </c>
      <c r="GG1614" s="104">
        <f t="shared" si="500"/>
        <v>20</v>
      </c>
      <c r="GH1614" s="35">
        <v>43598</v>
      </c>
      <c r="GI1614" s="26">
        <v>1.615</v>
      </c>
      <c r="GJ1614" s="94">
        <f t="shared" si="501"/>
        <v>3.23</v>
      </c>
      <c r="GK1614" s="104"/>
      <c r="GL1614" s="104"/>
      <c r="GO1614" s="94"/>
    </row>
    <row r="1615" spans="3:197">
      <c r="C1615" s="80" t="str" cm="1">
        <f t="array" ref="C1615">_xlfn.IFS(MONTH(D1615)&lt;4,1,MONTH(D1615)&lt;7,2,MONTH(D1615)&lt;10,3,MONTH(D1615)&gt;9,4)&amp;"Q"&amp;RIGHT(YEAR(D1615),2)</f>
        <v>2Q22</v>
      </c>
      <c r="D1615" s="81">
        <f t="shared" si="495"/>
        <v>44742</v>
      </c>
      <c r="E1615" s="82">
        <f t="shared" si="492"/>
        <v>44742</v>
      </c>
      <c r="F1615" s="83">
        <f t="shared" si="503"/>
        <v>0.409375</v>
      </c>
      <c r="G1615" s="83">
        <f t="shared" si="503"/>
        <v>0.41875</v>
      </c>
      <c r="H1615" s="81"/>
      <c r="I1615" s="146">
        <v>44742</v>
      </c>
      <c r="J1615" s="147">
        <v>3.68</v>
      </c>
      <c r="K1615" s="147">
        <v>3.06</v>
      </c>
      <c r="L1615" s="147">
        <v>3.275</v>
      </c>
      <c r="M1615" s="59" cm="1">
        <f t="array" ref="M1615">INDEX($BV$29:$BV$1449,MATCH($D1615,$BR$29:$BR$1449,0),)</f>
        <v>3.35</v>
      </c>
      <c r="N1615" s="150">
        <f t="shared" si="497"/>
        <v>-0.00243679561376786</v>
      </c>
      <c r="O1615" s="150">
        <f t="shared" si="498"/>
        <v>-0.0191674153938305</v>
      </c>
      <c r="P1615" s="150">
        <f t="shared" ref="P1615:P1678" si="504">L1615/L1605-1</f>
        <v>-0.0429573348918761</v>
      </c>
      <c r="Q1615" s="89">
        <f t="shared" si="493"/>
        <v>-0.0223880597014926</v>
      </c>
      <c r="GE1615" s="94"/>
      <c r="GF1615" s="104">
        <f t="shared" si="499"/>
        <v>2019</v>
      </c>
      <c r="GG1615" s="104">
        <f t="shared" si="500"/>
        <v>20</v>
      </c>
      <c r="GH1615" s="35">
        <v>43599</v>
      </c>
      <c r="GI1615" s="26">
        <v>1.611</v>
      </c>
      <c r="GJ1615" s="94">
        <f t="shared" si="501"/>
        <v>3.222</v>
      </c>
      <c r="GK1615" s="104"/>
      <c r="GL1615" s="104"/>
      <c r="GO1615" s="94"/>
    </row>
    <row r="1616" spans="3:197">
      <c r="C1616" s="80" t="str" cm="1">
        <f t="array" ref="C1616">_xlfn.IFS(MONTH(D1616)&lt;4,1,MONTH(D1616)&lt;7,2,MONTH(D1616)&lt;10,3,MONTH(D1616)&gt;9,4)&amp;"Q"&amp;RIGHT(YEAR(D1616),2)</f>
        <v>3Q22</v>
      </c>
      <c r="D1616" s="81">
        <f t="shared" si="495"/>
        <v>44773</v>
      </c>
      <c r="E1616" s="82">
        <f t="shared" si="492"/>
        <v>44743</v>
      </c>
      <c r="F1616" s="83">
        <f t="shared" si="503"/>
        <v>0.40875</v>
      </c>
      <c r="G1616" s="83">
        <f t="shared" si="503"/>
        <v>0.36</v>
      </c>
      <c r="H1616" s="81"/>
      <c r="I1616" s="146">
        <v>44743</v>
      </c>
      <c r="J1616" s="147">
        <v>3.68</v>
      </c>
      <c r="K1616" s="147">
        <v>3.05</v>
      </c>
      <c r="L1616" s="147">
        <v>3.27</v>
      </c>
      <c r="M1616" s="59" cm="1">
        <f t="array" ref="M1616">INDEX($BV$29:$BV$1449,MATCH($D1616,$BR$29:$BR$1449,0),)</f>
        <v>2.88</v>
      </c>
      <c r="N1616" s="150">
        <f t="shared" si="497"/>
        <v>-0.00152671755725187</v>
      </c>
      <c r="O1616" s="150">
        <f t="shared" si="498"/>
        <v>-0.0114873035066505</v>
      </c>
      <c r="P1616" s="150">
        <f t="shared" si="504"/>
        <v>-0.0444184687317358</v>
      </c>
      <c r="Q1616" s="89">
        <f t="shared" si="493"/>
        <v>0.135416666666667</v>
      </c>
      <c r="GE1616" s="94"/>
      <c r="GF1616" s="104">
        <f t="shared" si="499"/>
        <v>2019</v>
      </c>
      <c r="GG1616" s="104">
        <f t="shared" si="500"/>
        <v>20</v>
      </c>
      <c r="GH1616" s="35">
        <v>43600</v>
      </c>
      <c r="GI1616" s="26">
        <v>1.604</v>
      </c>
      <c r="GJ1616" s="94">
        <f t="shared" si="501"/>
        <v>3.208</v>
      </c>
      <c r="GK1616" s="104"/>
      <c r="GL1616" s="104"/>
      <c r="GO1616" s="94"/>
    </row>
    <row r="1617" spans="3:197">
      <c r="C1617" s="80" t="str" cm="1">
        <f t="array" ref="C1617">_xlfn.IFS(MONTH(D1617)&lt;4,1,MONTH(D1617)&lt;7,2,MONTH(D1617)&lt;10,3,MONTH(D1617)&gt;9,4)&amp;"Q"&amp;RIGHT(YEAR(D1617),2)</f>
        <v>3Q22</v>
      </c>
      <c r="D1617" s="81">
        <f t="shared" si="495"/>
        <v>44773</v>
      </c>
      <c r="E1617" s="82">
        <f t="shared" ref="E1617:E1680" si="505">I1617</f>
        <v>44746</v>
      </c>
      <c r="F1617" s="83">
        <f t="shared" si="503"/>
        <v>0.408375</v>
      </c>
      <c r="G1617" s="83">
        <f t="shared" si="503"/>
        <v>0.36</v>
      </c>
      <c r="H1617" s="81"/>
      <c r="I1617" s="146">
        <v>44746</v>
      </c>
      <c r="J1617" s="147">
        <v>3.65</v>
      </c>
      <c r="K1617" s="147">
        <v>3.04</v>
      </c>
      <c r="L1617" s="147">
        <v>3.267</v>
      </c>
      <c r="M1617" s="59" cm="1">
        <f t="array" ref="M1617">INDEX($BV$29:$BV$1449,MATCH($D1617,$BR$29:$BR$1449,0),)</f>
        <v>2.88</v>
      </c>
      <c r="N1617" s="150">
        <f t="shared" si="497"/>
        <v>-0.000917431192660634</v>
      </c>
      <c r="O1617" s="150">
        <f t="shared" si="498"/>
        <v>-0.010299909118449</v>
      </c>
      <c r="P1617" s="150">
        <f t="shared" si="504"/>
        <v>-0.0452951490356517</v>
      </c>
      <c r="Q1617" s="89">
        <f t="shared" ref="Q1617:Q1680" si="506">L1617/M1617-1</f>
        <v>0.134375</v>
      </c>
      <c r="GE1617" s="94"/>
      <c r="GF1617" s="104">
        <f t="shared" si="499"/>
        <v>2019</v>
      </c>
      <c r="GG1617" s="104">
        <f t="shared" si="500"/>
        <v>20</v>
      </c>
      <c r="GH1617" s="35">
        <v>43601</v>
      </c>
      <c r="GI1617" s="26">
        <v>1.598</v>
      </c>
      <c r="GJ1617" s="94">
        <f t="shared" si="501"/>
        <v>3.196</v>
      </c>
      <c r="GK1617" s="104"/>
      <c r="GL1617" s="104"/>
      <c r="GO1617" s="94"/>
    </row>
    <row r="1618" spans="3:197">
      <c r="C1618" s="80" t="str" cm="1">
        <f t="array" ref="C1618">_xlfn.IFS(MONTH(D1618)&lt;4,1,MONTH(D1618)&lt;7,2,MONTH(D1618)&lt;10,3,MONTH(D1618)&gt;9,4)&amp;"Q"&amp;RIGHT(YEAR(D1618),2)</f>
        <v>3Q22</v>
      </c>
      <c r="D1618" s="81">
        <f t="shared" si="495"/>
        <v>44773</v>
      </c>
      <c r="E1618" s="82">
        <f t="shared" si="505"/>
        <v>44747</v>
      </c>
      <c r="F1618" s="83">
        <f t="shared" si="503"/>
        <v>0.408375</v>
      </c>
      <c r="G1618" s="83">
        <f t="shared" si="503"/>
        <v>0.36</v>
      </c>
      <c r="H1618" s="81"/>
      <c r="I1618" s="146">
        <v>44747</v>
      </c>
      <c r="J1618" s="147">
        <v>3.65</v>
      </c>
      <c r="K1618" s="147">
        <v>3.04</v>
      </c>
      <c r="L1618" s="147">
        <v>3.267</v>
      </c>
      <c r="M1618" s="59" cm="1">
        <f t="array" ref="M1618">INDEX($BV$29:$BV$1449,MATCH($D1618,$BR$29:$BR$1449,0),)</f>
        <v>2.88</v>
      </c>
      <c r="N1618" s="150">
        <f t="shared" si="497"/>
        <v>0</v>
      </c>
      <c r="O1618" s="150">
        <f t="shared" si="498"/>
        <v>-0.0078955359854237</v>
      </c>
      <c r="P1618" s="150">
        <f t="shared" si="504"/>
        <v>-0.0371352785145889</v>
      </c>
      <c r="Q1618" s="89">
        <f t="shared" si="506"/>
        <v>0.134375</v>
      </c>
      <c r="GE1618" s="94"/>
      <c r="GF1618" s="104">
        <f t="shared" si="499"/>
        <v>2019</v>
      </c>
      <c r="GG1618" s="104">
        <f t="shared" si="500"/>
        <v>20</v>
      </c>
      <c r="GH1618" s="35">
        <v>43602</v>
      </c>
      <c r="GI1618" s="26">
        <v>1.594</v>
      </c>
      <c r="GJ1618" s="94">
        <f t="shared" si="501"/>
        <v>3.188</v>
      </c>
      <c r="GK1618" s="104"/>
      <c r="GL1618" s="104"/>
      <c r="GO1618" s="94"/>
    </row>
    <row r="1619" spans="3:197">
      <c r="C1619" s="80" t="str" cm="1">
        <f t="array" ref="C1619">_xlfn.IFS(MONTH(D1619)&lt;4,1,MONTH(D1619)&lt;7,2,MONTH(D1619)&lt;10,3,MONTH(D1619)&gt;9,4)&amp;"Q"&amp;RIGHT(YEAR(D1619),2)</f>
        <v>3Q22</v>
      </c>
      <c r="D1619" s="81">
        <f t="shared" si="495"/>
        <v>44773</v>
      </c>
      <c r="E1619" s="82">
        <f t="shared" si="505"/>
        <v>44748</v>
      </c>
      <c r="F1619" s="83">
        <f t="shared" si="503"/>
        <v>0.408</v>
      </c>
      <c r="G1619" s="83">
        <f t="shared" si="503"/>
        <v>0.36</v>
      </c>
      <c r="H1619" s="81"/>
      <c r="I1619" s="146">
        <v>44748</v>
      </c>
      <c r="J1619" s="147">
        <v>3.65</v>
      </c>
      <c r="K1619" s="147">
        <v>3.05</v>
      </c>
      <c r="L1619" s="147">
        <v>3.264</v>
      </c>
      <c r="M1619" s="59" cm="1">
        <f t="array" ref="M1619">INDEX($BV$29:$BV$1449,MATCH($D1619,$BR$29:$BR$1449,0),)</f>
        <v>2.88</v>
      </c>
      <c r="N1619" s="150">
        <f t="shared" si="497"/>
        <v>-0.000918273645546419</v>
      </c>
      <c r="O1619" s="150">
        <f t="shared" si="498"/>
        <v>-0.00578738958269875</v>
      </c>
      <c r="P1619" s="150">
        <f t="shared" si="504"/>
        <v>-0.0354609929078015</v>
      </c>
      <c r="Q1619" s="89">
        <f t="shared" si="506"/>
        <v>0.133333333333333</v>
      </c>
      <c r="GE1619" s="94"/>
      <c r="GF1619" s="104">
        <f t="shared" si="499"/>
        <v>2019</v>
      </c>
      <c r="GG1619" s="104">
        <f t="shared" si="500"/>
        <v>21</v>
      </c>
      <c r="GH1619" s="35">
        <v>43605</v>
      </c>
      <c r="GI1619" s="26">
        <v>1.588</v>
      </c>
      <c r="GJ1619" s="94">
        <f t="shared" si="501"/>
        <v>3.176</v>
      </c>
      <c r="GK1619" s="104"/>
      <c r="GL1619" s="104"/>
      <c r="GO1619" s="94"/>
    </row>
    <row r="1620" spans="3:197">
      <c r="C1620" s="80" t="str" cm="1">
        <f t="array" ref="C1620">_xlfn.IFS(MONTH(D1620)&lt;4,1,MONTH(D1620)&lt;7,2,MONTH(D1620)&lt;10,3,MONTH(D1620)&gt;9,4)&amp;"Q"&amp;RIGHT(YEAR(D1620),2)</f>
        <v>3Q22</v>
      </c>
      <c r="D1620" s="81">
        <f t="shared" si="495"/>
        <v>44773</v>
      </c>
      <c r="E1620" s="82">
        <f t="shared" si="505"/>
        <v>44749</v>
      </c>
      <c r="F1620" s="83">
        <f t="shared" si="503"/>
        <v>0.406375</v>
      </c>
      <c r="G1620" s="83">
        <f t="shared" si="503"/>
        <v>0.36</v>
      </c>
      <c r="H1620" s="81"/>
      <c r="I1620" s="146">
        <v>44749</v>
      </c>
      <c r="J1620" s="147">
        <v>3.6</v>
      </c>
      <c r="K1620" s="147">
        <v>3</v>
      </c>
      <c r="L1620" s="147">
        <v>3.251</v>
      </c>
      <c r="M1620" s="59" cm="1">
        <f t="array" ref="M1620">INDEX($BV$29:$BV$1449,MATCH($D1620,$BR$29:$BR$1449,0),)</f>
        <v>2.88</v>
      </c>
      <c r="N1620" s="150">
        <f t="shared" si="497"/>
        <v>-0.00398284313725483</v>
      </c>
      <c r="O1620" s="150">
        <f t="shared" si="498"/>
        <v>-0.00732824427480916</v>
      </c>
      <c r="P1620" s="150">
        <f t="shared" si="504"/>
        <v>-0.0263551961665169</v>
      </c>
      <c r="Q1620" s="89">
        <f t="shared" si="506"/>
        <v>0.128819444444444</v>
      </c>
      <c r="GE1620" s="94"/>
      <c r="GF1620" s="104">
        <f t="shared" si="499"/>
        <v>2019</v>
      </c>
      <c r="GG1620" s="104">
        <f t="shared" si="500"/>
        <v>21</v>
      </c>
      <c r="GH1620" s="35">
        <v>43606</v>
      </c>
      <c r="GI1620" s="26">
        <v>1.579</v>
      </c>
      <c r="GJ1620" s="94">
        <f t="shared" si="501"/>
        <v>3.158</v>
      </c>
      <c r="GK1620" s="104"/>
      <c r="GL1620" s="104"/>
      <c r="GO1620" s="94"/>
    </row>
    <row r="1621" spans="3:197">
      <c r="C1621" s="80" t="str" cm="1">
        <f t="array" ref="C1621">_xlfn.IFS(MONTH(D1621)&lt;4,1,MONTH(D1621)&lt;7,2,MONTH(D1621)&lt;10,3,MONTH(D1621)&gt;9,4)&amp;"Q"&amp;RIGHT(YEAR(D1621),2)</f>
        <v>3Q22</v>
      </c>
      <c r="D1621" s="81">
        <f t="shared" si="495"/>
        <v>44773</v>
      </c>
      <c r="E1621" s="82">
        <f t="shared" si="505"/>
        <v>44750</v>
      </c>
      <c r="F1621" s="83">
        <f t="shared" si="503"/>
        <v>0.40375</v>
      </c>
      <c r="G1621" s="83">
        <f t="shared" si="503"/>
        <v>0.36</v>
      </c>
      <c r="H1621" s="81"/>
      <c r="I1621" s="146">
        <v>44750</v>
      </c>
      <c r="J1621" s="147">
        <v>3.55</v>
      </c>
      <c r="K1621" s="147">
        <v>2.95</v>
      </c>
      <c r="L1621" s="147">
        <v>3.23</v>
      </c>
      <c r="M1621" s="59" cm="1">
        <f t="array" ref="M1621">INDEX($BV$29:$BV$1449,MATCH($D1621,$BR$29:$BR$1449,0),)</f>
        <v>2.88</v>
      </c>
      <c r="N1621" s="150">
        <f t="shared" si="497"/>
        <v>-0.00645955090741313</v>
      </c>
      <c r="O1621" s="150">
        <f t="shared" si="498"/>
        <v>-0.0122324159021406</v>
      </c>
      <c r="P1621" s="150">
        <f t="shared" si="504"/>
        <v>-0.0235792019347038</v>
      </c>
      <c r="Q1621" s="89">
        <f t="shared" si="506"/>
        <v>0.121527777777778</v>
      </c>
      <c r="GE1621" s="94"/>
      <c r="GF1621" s="104">
        <f t="shared" si="499"/>
        <v>2019</v>
      </c>
      <c r="GG1621" s="104">
        <f t="shared" si="500"/>
        <v>21</v>
      </c>
      <c r="GH1621" s="35">
        <v>43607</v>
      </c>
      <c r="GI1621" s="26">
        <v>1.573</v>
      </c>
      <c r="GJ1621" s="94">
        <f t="shared" si="501"/>
        <v>3.146</v>
      </c>
      <c r="GK1621" s="104"/>
      <c r="GL1621" s="104"/>
      <c r="GO1621" s="94"/>
    </row>
    <row r="1622" spans="3:197">
      <c r="C1622" s="80" t="str" cm="1">
        <f t="array" ref="C1622">_xlfn.IFS(MONTH(D1622)&lt;4,1,MONTH(D1622)&lt;7,2,MONTH(D1622)&lt;10,3,MONTH(D1622)&gt;9,4)&amp;"Q"&amp;RIGHT(YEAR(D1622),2)</f>
        <v>3Q22</v>
      </c>
      <c r="D1622" s="81">
        <f t="shared" si="495"/>
        <v>44773</v>
      </c>
      <c r="E1622" s="82">
        <f t="shared" si="505"/>
        <v>44753</v>
      </c>
      <c r="F1622" s="83">
        <f t="shared" si="503"/>
        <v>0.400875</v>
      </c>
      <c r="G1622" s="83">
        <f t="shared" si="503"/>
        <v>0.36</v>
      </c>
      <c r="H1622" s="81"/>
      <c r="I1622" s="146">
        <v>44753</v>
      </c>
      <c r="J1622" s="147">
        <v>3.5</v>
      </c>
      <c r="K1622" s="147">
        <v>2.92</v>
      </c>
      <c r="L1622" s="147">
        <v>3.207</v>
      </c>
      <c r="M1622" s="59" cm="1">
        <f t="array" ref="M1622">INDEX($BV$29:$BV$1449,MATCH($D1622,$BR$29:$BR$1449,0),)</f>
        <v>2.88</v>
      </c>
      <c r="N1622" s="150">
        <f t="shared" si="497"/>
        <v>-0.00712074303405574</v>
      </c>
      <c r="O1622" s="150">
        <f t="shared" si="498"/>
        <v>-0.0183654729109275</v>
      </c>
      <c r="P1622" s="150">
        <f t="shared" si="504"/>
        <v>-0.0284762193274766</v>
      </c>
      <c r="Q1622" s="89">
        <f t="shared" si="506"/>
        <v>0.113541666666667</v>
      </c>
      <c r="GE1622" s="94"/>
      <c r="GF1622" s="104">
        <f t="shared" si="499"/>
        <v>2019</v>
      </c>
      <c r="GG1622" s="104">
        <f t="shared" si="500"/>
        <v>21</v>
      </c>
      <c r="GH1622" s="35">
        <v>43608</v>
      </c>
      <c r="GI1622" s="26">
        <v>1.573</v>
      </c>
      <c r="GJ1622" s="94">
        <f t="shared" si="501"/>
        <v>3.146</v>
      </c>
      <c r="GK1622" s="104"/>
      <c r="GL1622" s="104"/>
      <c r="GO1622" s="94"/>
    </row>
    <row r="1623" spans="3:197">
      <c r="C1623" s="80" t="str" cm="1">
        <f t="array" ref="C1623">_xlfn.IFS(MONTH(D1623)&lt;4,1,MONTH(D1623)&lt;7,2,MONTH(D1623)&lt;10,3,MONTH(D1623)&gt;9,4)&amp;"Q"&amp;RIGHT(YEAR(D1623),2)</f>
        <v>3Q22</v>
      </c>
      <c r="D1623" s="81">
        <f t="shared" si="495"/>
        <v>44773</v>
      </c>
      <c r="E1623" s="82">
        <f t="shared" si="505"/>
        <v>44754</v>
      </c>
      <c r="F1623" s="83">
        <f t="shared" si="503"/>
        <v>0.398</v>
      </c>
      <c r="G1623" s="83">
        <f t="shared" si="503"/>
        <v>0.36</v>
      </c>
      <c r="H1623" s="81"/>
      <c r="I1623" s="146">
        <v>44754</v>
      </c>
      <c r="J1623" s="147">
        <v>3.48</v>
      </c>
      <c r="K1623" s="147">
        <v>2.92</v>
      </c>
      <c r="L1623" s="147">
        <v>3.184</v>
      </c>
      <c r="M1623" s="59" cm="1">
        <f t="array" ref="M1623">INDEX($BV$29:$BV$1449,MATCH($D1623,$BR$29:$BR$1449,0),)</f>
        <v>2.88</v>
      </c>
      <c r="N1623" s="150">
        <f t="shared" si="497"/>
        <v>-0.00717181166198932</v>
      </c>
      <c r="O1623" s="150">
        <f t="shared" si="498"/>
        <v>-0.0254055708601162</v>
      </c>
      <c r="P1623" s="150">
        <f t="shared" si="504"/>
        <v>-0.0331005162465836</v>
      </c>
      <c r="Q1623" s="89">
        <f t="shared" si="506"/>
        <v>0.105555555555556</v>
      </c>
      <c r="GE1623" s="94"/>
      <c r="GF1623" s="104">
        <f t="shared" si="499"/>
        <v>2019</v>
      </c>
      <c r="GG1623" s="104">
        <f t="shared" si="500"/>
        <v>21</v>
      </c>
      <c r="GH1623" s="35">
        <v>43609</v>
      </c>
      <c r="GI1623" s="26">
        <v>1.57</v>
      </c>
      <c r="GJ1623" s="94">
        <f t="shared" si="501"/>
        <v>3.14</v>
      </c>
      <c r="GK1623" s="104"/>
      <c r="GL1623" s="104"/>
      <c r="GO1623" s="94"/>
    </row>
    <row r="1624" spans="3:197">
      <c r="C1624" s="80" t="str" cm="1">
        <f t="array" ref="C1624">_xlfn.IFS(MONTH(D1624)&lt;4,1,MONTH(D1624)&lt;7,2,MONTH(D1624)&lt;10,3,MONTH(D1624)&gt;9,4)&amp;"Q"&amp;RIGHT(YEAR(D1624),2)</f>
        <v>3Q22</v>
      </c>
      <c r="D1624" s="81">
        <f t="shared" si="495"/>
        <v>44773</v>
      </c>
      <c r="E1624" s="82">
        <f t="shared" si="505"/>
        <v>44755</v>
      </c>
      <c r="F1624" s="83">
        <f t="shared" si="503"/>
        <v>0.395125</v>
      </c>
      <c r="G1624" s="83">
        <f t="shared" si="503"/>
        <v>0.36</v>
      </c>
      <c r="H1624" s="81"/>
      <c r="I1624" s="146">
        <v>44755</v>
      </c>
      <c r="J1624" s="147">
        <v>3.45</v>
      </c>
      <c r="K1624" s="147">
        <v>2.89</v>
      </c>
      <c r="L1624" s="147">
        <v>3.161</v>
      </c>
      <c r="M1624" s="59" cm="1">
        <f t="array" ref="M1624">INDEX($BV$29:$BV$1449,MATCH($D1624,$BR$29:$BR$1449,0),)</f>
        <v>2.88</v>
      </c>
      <c r="N1624" s="150">
        <f t="shared" si="497"/>
        <v>-0.00722361809045236</v>
      </c>
      <c r="O1624" s="150">
        <f t="shared" si="498"/>
        <v>-0.0315563725490196</v>
      </c>
      <c r="P1624" s="150">
        <f t="shared" si="504"/>
        <v>-0.0371611331099604</v>
      </c>
      <c r="Q1624" s="89">
        <f t="shared" si="506"/>
        <v>0.0975694444444446</v>
      </c>
      <c r="GE1624" s="94"/>
      <c r="GF1624" s="104">
        <f t="shared" si="499"/>
        <v>2019</v>
      </c>
      <c r="GG1624" s="104">
        <f t="shared" si="500"/>
        <v>22</v>
      </c>
      <c r="GH1624" s="35">
        <v>43612</v>
      </c>
      <c r="GI1624" s="26">
        <v>1.567</v>
      </c>
      <c r="GJ1624" s="94">
        <f t="shared" si="501"/>
        <v>3.134</v>
      </c>
      <c r="GK1624" s="104"/>
      <c r="GL1624" s="104"/>
      <c r="GO1624" s="94"/>
    </row>
    <row r="1625" spans="3:197">
      <c r="C1625" s="80" t="str" cm="1">
        <f t="array" ref="C1625">_xlfn.IFS(MONTH(D1625)&lt;4,1,MONTH(D1625)&lt;7,2,MONTH(D1625)&lt;10,3,MONTH(D1625)&gt;9,4)&amp;"Q"&amp;RIGHT(YEAR(D1625),2)</f>
        <v>3Q22</v>
      </c>
      <c r="D1625" s="81">
        <f t="shared" si="495"/>
        <v>44773</v>
      </c>
      <c r="E1625" s="82">
        <f t="shared" si="505"/>
        <v>44756</v>
      </c>
      <c r="F1625" s="83">
        <f t="shared" si="503"/>
        <v>0.392375</v>
      </c>
      <c r="G1625" s="83">
        <f t="shared" si="503"/>
        <v>0.36</v>
      </c>
      <c r="H1625" s="81"/>
      <c r="I1625" s="146">
        <v>44756</v>
      </c>
      <c r="J1625" s="147">
        <v>3.43</v>
      </c>
      <c r="K1625" s="147">
        <v>2.8</v>
      </c>
      <c r="L1625" s="147">
        <v>3.139</v>
      </c>
      <c r="M1625" s="59" cm="1">
        <f t="array" ref="M1625">INDEX($BV$29:$BV$1449,MATCH($D1625,$BR$29:$BR$1449,0),)</f>
        <v>2.88</v>
      </c>
      <c r="N1625" s="150">
        <f t="shared" si="497"/>
        <v>-0.00695982284087326</v>
      </c>
      <c r="O1625" s="150">
        <f t="shared" si="498"/>
        <v>-0.0344509381728699</v>
      </c>
      <c r="P1625" s="150">
        <f t="shared" si="504"/>
        <v>-0.0415267175572519</v>
      </c>
      <c r="Q1625" s="89">
        <f t="shared" si="506"/>
        <v>0.0899305555555556</v>
      </c>
      <c r="GE1625" s="94"/>
      <c r="GF1625" s="104">
        <f t="shared" si="499"/>
        <v>2019</v>
      </c>
      <c r="GG1625" s="104">
        <f t="shared" si="500"/>
        <v>22</v>
      </c>
      <c r="GH1625" s="35">
        <v>43613</v>
      </c>
      <c r="GI1625" s="26">
        <v>1.554</v>
      </c>
      <c r="GJ1625" s="94">
        <f t="shared" si="501"/>
        <v>3.108</v>
      </c>
      <c r="GK1625" s="104"/>
      <c r="GL1625" s="104"/>
      <c r="GO1625" s="94"/>
    </row>
    <row r="1626" spans="3:197">
      <c r="C1626" s="80" t="str" cm="1">
        <f t="array" ref="C1626">_xlfn.IFS(MONTH(D1626)&lt;4,1,MONTH(D1626)&lt;7,2,MONTH(D1626)&lt;10,3,MONTH(D1626)&gt;9,4)&amp;"Q"&amp;RIGHT(YEAR(D1626),2)</f>
        <v>3Q22</v>
      </c>
      <c r="D1626" s="81">
        <f t="shared" si="495"/>
        <v>44773</v>
      </c>
      <c r="E1626" s="82">
        <f t="shared" si="505"/>
        <v>44757</v>
      </c>
      <c r="F1626" s="83">
        <f t="shared" ref="F1626:G1641" si="507">+L1626/8</f>
        <v>0.389375</v>
      </c>
      <c r="G1626" s="83">
        <f t="shared" si="507"/>
        <v>0.36</v>
      </c>
      <c r="H1626" s="81"/>
      <c r="I1626" s="146">
        <v>44757</v>
      </c>
      <c r="J1626" s="147">
        <v>3.41</v>
      </c>
      <c r="K1626" s="147">
        <v>2.8</v>
      </c>
      <c r="L1626" s="147">
        <v>3.115</v>
      </c>
      <c r="M1626" s="59" cm="1">
        <f t="array" ref="M1626">INDEX($BV$29:$BV$1449,MATCH($D1626,$BR$29:$BR$1449,0),)</f>
        <v>2.88</v>
      </c>
      <c r="N1626" s="150">
        <f t="shared" si="497"/>
        <v>-0.00764574705320153</v>
      </c>
      <c r="O1626" s="150">
        <f t="shared" si="498"/>
        <v>-0.0356037151702786</v>
      </c>
      <c r="P1626" s="150">
        <f t="shared" si="504"/>
        <v>-0.047400611620795</v>
      </c>
      <c r="Q1626" s="89">
        <f t="shared" si="506"/>
        <v>0.0815972222222223</v>
      </c>
      <c r="GE1626" s="94"/>
      <c r="GF1626" s="104">
        <f t="shared" si="499"/>
        <v>2019</v>
      </c>
      <c r="GG1626" s="104">
        <f t="shared" si="500"/>
        <v>22</v>
      </c>
      <c r="GH1626" s="35">
        <v>43614</v>
      </c>
      <c r="GI1626" s="26">
        <v>1.547</v>
      </c>
      <c r="GJ1626" s="94">
        <f t="shared" si="501"/>
        <v>3.094</v>
      </c>
      <c r="GK1626" s="104"/>
      <c r="GL1626" s="104"/>
      <c r="GO1626" s="94"/>
    </row>
    <row r="1627" spans="3:197">
      <c r="C1627" s="80" t="str" cm="1">
        <f t="array" ref="C1627">_xlfn.IFS(MONTH(D1627)&lt;4,1,MONTH(D1627)&lt;7,2,MONTH(D1627)&lt;10,3,MONTH(D1627)&gt;9,4)&amp;"Q"&amp;RIGHT(YEAR(D1627),2)</f>
        <v>3Q22</v>
      </c>
      <c r="D1627" s="81">
        <f t="shared" si="495"/>
        <v>44773</v>
      </c>
      <c r="E1627" s="82">
        <f t="shared" si="505"/>
        <v>44760</v>
      </c>
      <c r="F1627" s="83">
        <f t="shared" si="507"/>
        <v>0.386125</v>
      </c>
      <c r="G1627" s="83">
        <f t="shared" si="507"/>
        <v>0.36</v>
      </c>
      <c r="H1627" s="81"/>
      <c r="I1627" s="146">
        <v>44760</v>
      </c>
      <c r="J1627" s="147">
        <v>3.41</v>
      </c>
      <c r="K1627" s="147">
        <v>2.78</v>
      </c>
      <c r="L1627" s="147">
        <v>3.089</v>
      </c>
      <c r="M1627" s="59" cm="1">
        <f t="array" ref="M1627">INDEX($BV$29:$BV$1449,MATCH($D1627,$BR$29:$BR$1449,0),)</f>
        <v>2.88</v>
      </c>
      <c r="N1627" s="150">
        <f t="shared" si="497"/>
        <v>-0.00834670947030502</v>
      </c>
      <c r="O1627" s="150">
        <f t="shared" si="498"/>
        <v>-0.0367945120049891</v>
      </c>
      <c r="P1627" s="150">
        <f t="shared" si="504"/>
        <v>-0.0544842363024181</v>
      </c>
      <c r="Q1627" s="89">
        <f t="shared" si="506"/>
        <v>0.0725694444444445</v>
      </c>
      <c r="GE1627" s="94"/>
      <c r="GF1627" s="104">
        <f t="shared" si="499"/>
        <v>2019</v>
      </c>
      <c r="GG1627" s="104">
        <f t="shared" si="500"/>
        <v>22</v>
      </c>
      <c r="GH1627" s="35">
        <v>43615</v>
      </c>
      <c r="GI1627" s="26">
        <v>1.537</v>
      </c>
      <c r="GJ1627" s="94">
        <f t="shared" si="501"/>
        <v>3.074</v>
      </c>
      <c r="GK1627" s="104"/>
      <c r="GL1627" s="104"/>
      <c r="GO1627" s="94"/>
    </row>
    <row r="1628" spans="3:197">
      <c r="C1628" s="80" t="str" cm="1">
        <f t="array" ref="C1628">_xlfn.IFS(MONTH(D1628)&lt;4,1,MONTH(D1628)&lt;7,2,MONTH(D1628)&lt;10,3,MONTH(D1628)&gt;9,4)&amp;"Q"&amp;RIGHT(YEAR(D1628),2)</f>
        <v>3Q22</v>
      </c>
      <c r="D1628" s="81">
        <f t="shared" si="495"/>
        <v>44773</v>
      </c>
      <c r="E1628" s="82">
        <f t="shared" si="505"/>
        <v>44761</v>
      </c>
      <c r="F1628" s="83">
        <f t="shared" si="507"/>
        <v>0.385375</v>
      </c>
      <c r="G1628" s="83">
        <f t="shared" si="507"/>
        <v>0.36</v>
      </c>
      <c r="H1628" s="81"/>
      <c r="I1628" s="146">
        <v>44761</v>
      </c>
      <c r="J1628" s="147">
        <v>3.41</v>
      </c>
      <c r="K1628" s="147">
        <v>2.78</v>
      </c>
      <c r="L1628" s="147">
        <v>3.083</v>
      </c>
      <c r="M1628" s="59" cm="1">
        <f t="array" ref="M1628">INDEX($BV$29:$BV$1449,MATCH($D1628,$BR$29:$BR$1449,0),)</f>
        <v>2.88</v>
      </c>
      <c r="N1628" s="150">
        <f t="shared" si="497"/>
        <v>-0.00194237617351889</v>
      </c>
      <c r="O1628" s="150">
        <f t="shared" si="498"/>
        <v>-0.0317211055276382</v>
      </c>
      <c r="P1628" s="150">
        <f t="shared" si="504"/>
        <v>-0.0563207835935108</v>
      </c>
      <c r="Q1628" s="89">
        <f t="shared" si="506"/>
        <v>0.0704861111111112</v>
      </c>
      <c r="GE1628" s="94"/>
      <c r="GF1628" s="104">
        <f t="shared" si="499"/>
        <v>2019</v>
      </c>
      <c r="GG1628" s="104">
        <f t="shared" si="500"/>
        <v>22</v>
      </c>
      <c r="GH1628" s="35">
        <v>43616</v>
      </c>
      <c r="GI1628" s="26">
        <v>1.53</v>
      </c>
      <c r="GJ1628" s="94">
        <f t="shared" si="501"/>
        <v>3.06</v>
      </c>
      <c r="GK1628" s="104"/>
      <c r="GL1628" s="104"/>
      <c r="GO1628" s="94"/>
    </row>
    <row r="1629" spans="3:197">
      <c r="C1629" s="80" t="str" cm="1">
        <f t="array" ref="C1629">_xlfn.IFS(MONTH(D1629)&lt;4,1,MONTH(D1629)&lt;7,2,MONTH(D1629)&lt;10,3,MONTH(D1629)&gt;9,4)&amp;"Q"&amp;RIGHT(YEAR(D1629),2)</f>
        <v>3Q22</v>
      </c>
      <c r="D1629" s="81">
        <f t="shared" si="495"/>
        <v>44773</v>
      </c>
      <c r="E1629" s="82">
        <f t="shared" si="505"/>
        <v>44762</v>
      </c>
      <c r="F1629" s="83">
        <f t="shared" si="507"/>
        <v>0.384</v>
      </c>
      <c r="G1629" s="83">
        <f t="shared" si="507"/>
        <v>0.36</v>
      </c>
      <c r="H1629" s="81"/>
      <c r="I1629" s="146">
        <v>44762</v>
      </c>
      <c r="J1629" s="147">
        <v>3.4</v>
      </c>
      <c r="K1629" s="147">
        <v>2.72</v>
      </c>
      <c r="L1629" s="147">
        <v>3.072</v>
      </c>
      <c r="M1629" s="59" cm="1">
        <f t="array" ref="M1629">INDEX($BV$29:$BV$1449,MATCH($D1629,$BR$29:$BR$1449,0),)</f>
        <v>2.88</v>
      </c>
      <c r="N1629" s="150">
        <f t="shared" si="497"/>
        <v>-0.00356795329224779</v>
      </c>
      <c r="O1629" s="150">
        <f t="shared" si="498"/>
        <v>-0.0281556469471687</v>
      </c>
      <c r="P1629" s="150">
        <f t="shared" si="504"/>
        <v>-0.0588235294117646</v>
      </c>
      <c r="Q1629" s="89">
        <f t="shared" si="506"/>
        <v>0.0666666666666667</v>
      </c>
      <c r="GE1629" s="94"/>
      <c r="GF1629" s="104">
        <f t="shared" si="499"/>
        <v>2019</v>
      </c>
      <c r="GG1629" s="104">
        <f t="shared" si="500"/>
        <v>23</v>
      </c>
      <c r="GH1629" s="35">
        <v>43619</v>
      </c>
      <c r="GI1629" s="26">
        <v>1.527</v>
      </c>
      <c r="GJ1629" s="94">
        <f t="shared" si="501"/>
        <v>3.054</v>
      </c>
      <c r="GK1629" s="104"/>
      <c r="GL1629" s="104"/>
      <c r="GO1629" s="94"/>
    </row>
    <row r="1630" spans="3:197">
      <c r="C1630" s="80" t="str" cm="1">
        <f t="array" ref="C1630">_xlfn.IFS(MONTH(D1630)&lt;4,1,MONTH(D1630)&lt;7,2,MONTH(D1630)&lt;10,3,MONTH(D1630)&gt;9,4)&amp;"Q"&amp;RIGHT(YEAR(D1630),2)</f>
        <v>3Q22</v>
      </c>
      <c r="D1630" s="81">
        <f t="shared" ref="D1630:D1693" si="508">EOMONTH(E1630,0)</f>
        <v>44773</v>
      </c>
      <c r="E1630" s="82">
        <f t="shared" si="505"/>
        <v>44763</v>
      </c>
      <c r="F1630" s="83">
        <f t="shared" si="507"/>
        <v>0.3775</v>
      </c>
      <c r="G1630" s="83">
        <f t="shared" si="507"/>
        <v>0.36</v>
      </c>
      <c r="H1630" s="81"/>
      <c r="I1630" s="146">
        <v>44763</v>
      </c>
      <c r="J1630" s="147">
        <v>3.4</v>
      </c>
      <c r="K1630" s="147">
        <v>2.67</v>
      </c>
      <c r="L1630" s="147">
        <v>3.02</v>
      </c>
      <c r="M1630" s="59" cm="1">
        <f t="array" ref="M1630">INDEX($BV$29:$BV$1449,MATCH($D1630,$BR$29:$BR$1449,0),)</f>
        <v>2.88</v>
      </c>
      <c r="N1630" s="150">
        <f t="shared" si="497"/>
        <v>-0.0169270833333334</v>
      </c>
      <c r="O1630" s="150">
        <f t="shared" si="498"/>
        <v>-0.0379101624721249</v>
      </c>
      <c r="P1630" s="150">
        <f t="shared" si="504"/>
        <v>-0.0710550599815442</v>
      </c>
      <c r="Q1630" s="89">
        <f t="shared" si="506"/>
        <v>0.0486111111111112</v>
      </c>
      <c r="GE1630" s="94"/>
      <c r="GF1630" s="104">
        <f t="shared" si="499"/>
        <v>2019</v>
      </c>
      <c r="GG1630" s="104">
        <f t="shared" si="500"/>
        <v>23</v>
      </c>
      <c r="GH1630" s="35">
        <v>43620</v>
      </c>
      <c r="GI1630" s="26">
        <v>1.52</v>
      </c>
      <c r="GJ1630" s="94">
        <f t="shared" si="501"/>
        <v>3.04</v>
      </c>
      <c r="GK1630" s="104"/>
      <c r="GL1630" s="104"/>
      <c r="GO1630" s="94"/>
    </row>
    <row r="1631" spans="3:197">
      <c r="C1631" s="80" t="str" cm="1">
        <f t="array" ref="C1631">_xlfn.IFS(MONTH(D1631)&lt;4,1,MONTH(D1631)&lt;7,2,MONTH(D1631)&lt;10,3,MONTH(D1631)&gt;9,4)&amp;"Q"&amp;RIGHT(YEAR(D1631),2)</f>
        <v>3Q22</v>
      </c>
      <c r="D1631" s="81">
        <f t="shared" si="508"/>
        <v>44773</v>
      </c>
      <c r="E1631" s="82">
        <f t="shared" si="505"/>
        <v>44764</v>
      </c>
      <c r="F1631" s="83">
        <f t="shared" si="507"/>
        <v>0.372625</v>
      </c>
      <c r="G1631" s="83">
        <f t="shared" si="507"/>
        <v>0.36</v>
      </c>
      <c r="H1631" s="81"/>
      <c r="I1631" s="146">
        <v>44764</v>
      </c>
      <c r="J1631" s="147">
        <v>3.38</v>
      </c>
      <c r="K1631" s="147">
        <v>2.67</v>
      </c>
      <c r="L1631" s="147">
        <v>2.981</v>
      </c>
      <c r="M1631" s="59" cm="1">
        <f t="array" ref="M1631">INDEX($BV$29:$BV$1449,MATCH($D1631,$BR$29:$BR$1449,0),)</f>
        <v>2.88</v>
      </c>
      <c r="N1631" s="150">
        <f t="shared" si="497"/>
        <v>-0.0129139072847683</v>
      </c>
      <c r="O1631" s="150">
        <f t="shared" si="498"/>
        <v>-0.0430176565008027</v>
      </c>
      <c r="P1631" s="150">
        <f t="shared" si="504"/>
        <v>-0.0770897832817338</v>
      </c>
      <c r="Q1631" s="89">
        <f t="shared" si="506"/>
        <v>0.0350694444444444</v>
      </c>
      <c r="GE1631" s="94"/>
      <c r="GF1631" s="104">
        <f t="shared" si="499"/>
        <v>2019</v>
      </c>
      <c r="GG1631" s="104">
        <f t="shared" si="500"/>
        <v>23</v>
      </c>
      <c r="GH1631" s="35">
        <v>43621</v>
      </c>
      <c r="GI1631" s="26">
        <v>1.52</v>
      </c>
      <c r="GJ1631" s="94">
        <f t="shared" si="501"/>
        <v>3.04</v>
      </c>
      <c r="GK1631" s="104"/>
      <c r="GL1631" s="104"/>
      <c r="GO1631" s="94"/>
    </row>
    <row r="1632" spans="3:197">
      <c r="C1632" s="80" t="str" cm="1">
        <f t="array" ref="C1632">_xlfn.IFS(MONTH(D1632)&lt;4,1,MONTH(D1632)&lt;7,2,MONTH(D1632)&lt;10,3,MONTH(D1632)&gt;9,4)&amp;"Q"&amp;RIGHT(YEAR(D1632),2)</f>
        <v>3Q22</v>
      </c>
      <c r="D1632" s="81">
        <f t="shared" si="508"/>
        <v>44773</v>
      </c>
      <c r="E1632" s="82">
        <f t="shared" si="505"/>
        <v>44767</v>
      </c>
      <c r="F1632" s="83">
        <f t="shared" si="507"/>
        <v>0.371375</v>
      </c>
      <c r="G1632" s="83">
        <f t="shared" si="507"/>
        <v>0.36</v>
      </c>
      <c r="H1632" s="81"/>
      <c r="I1632" s="146">
        <v>44767</v>
      </c>
      <c r="J1632" s="147">
        <v>3.35</v>
      </c>
      <c r="K1632" s="147">
        <v>2.67</v>
      </c>
      <c r="L1632" s="147">
        <v>2.971</v>
      </c>
      <c r="M1632" s="59" cm="1">
        <f t="array" ref="M1632">INDEX($BV$29:$BV$1449,MATCH($D1632,$BR$29:$BR$1449,0),)</f>
        <v>2.88</v>
      </c>
      <c r="N1632" s="150">
        <f t="shared" si="497"/>
        <v>-0.00335457900033542</v>
      </c>
      <c r="O1632" s="150">
        <f t="shared" si="498"/>
        <v>-0.0382000647458725</v>
      </c>
      <c r="P1632" s="150">
        <f t="shared" si="504"/>
        <v>-0.0735890240099781</v>
      </c>
      <c r="Q1632" s="89">
        <f t="shared" si="506"/>
        <v>0.0315972222222223</v>
      </c>
      <c r="GE1632" s="94"/>
      <c r="GF1632" s="104">
        <f t="shared" si="499"/>
        <v>2019</v>
      </c>
      <c r="GG1632" s="104">
        <f t="shared" si="500"/>
        <v>23</v>
      </c>
      <c r="GH1632" s="35">
        <v>43622</v>
      </c>
      <c r="GI1632" s="26">
        <v>1.52</v>
      </c>
      <c r="GJ1632" s="94">
        <f t="shared" si="501"/>
        <v>3.04</v>
      </c>
      <c r="GK1632" s="104"/>
      <c r="GL1632" s="104"/>
      <c r="GO1632" s="94"/>
    </row>
    <row r="1633" spans="3:197">
      <c r="C1633" s="80" t="str" cm="1">
        <f t="array" ref="C1633">_xlfn.IFS(MONTH(D1633)&lt;4,1,MONTH(D1633)&lt;7,2,MONTH(D1633)&lt;10,3,MONTH(D1633)&gt;9,4)&amp;"Q"&amp;RIGHT(YEAR(D1633),2)</f>
        <v>3Q22</v>
      </c>
      <c r="D1633" s="81">
        <f t="shared" si="508"/>
        <v>44773</v>
      </c>
      <c r="E1633" s="82">
        <f t="shared" si="505"/>
        <v>44768</v>
      </c>
      <c r="F1633" s="83">
        <f t="shared" si="507"/>
        <v>0.3695</v>
      </c>
      <c r="G1633" s="83">
        <f t="shared" si="507"/>
        <v>0.36</v>
      </c>
      <c r="H1633" s="81"/>
      <c r="I1633" s="146">
        <v>44768</v>
      </c>
      <c r="J1633" s="147">
        <v>3.35</v>
      </c>
      <c r="K1633" s="147">
        <v>2.67</v>
      </c>
      <c r="L1633" s="147">
        <v>2.956</v>
      </c>
      <c r="M1633" s="59" cm="1">
        <f t="array" ref="M1633">INDEX($BV$29:$BV$1449,MATCH($D1633,$BR$29:$BR$1449,0),)</f>
        <v>2.88</v>
      </c>
      <c r="N1633" s="150">
        <f t="shared" si="497"/>
        <v>-0.0050488051161226</v>
      </c>
      <c r="O1633" s="150">
        <f t="shared" si="498"/>
        <v>-0.041193642555952</v>
      </c>
      <c r="P1633" s="150">
        <f t="shared" si="504"/>
        <v>-0.0716080402010051</v>
      </c>
      <c r="Q1633" s="89">
        <f t="shared" si="506"/>
        <v>0.026388888888889</v>
      </c>
      <c r="GE1633" s="94"/>
      <c r="GF1633" s="104">
        <f t="shared" si="499"/>
        <v>2019</v>
      </c>
      <c r="GG1633" s="104">
        <f t="shared" si="500"/>
        <v>24</v>
      </c>
      <c r="GH1633" s="35">
        <v>43626</v>
      </c>
      <c r="GI1633" s="26">
        <v>1.514</v>
      </c>
      <c r="GJ1633" s="94">
        <f t="shared" si="501"/>
        <v>3.028</v>
      </c>
      <c r="GK1633" s="104"/>
      <c r="GL1633" s="104"/>
      <c r="GO1633" s="94"/>
    </row>
    <row r="1634" spans="3:197">
      <c r="C1634" s="80" t="str" cm="1">
        <f t="array" ref="C1634">_xlfn.IFS(MONTH(D1634)&lt;4,1,MONTH(D1634)&lt;7,2,MONTH(D1634)&lt;10,3,MONTH(D1634)&gt;9,4)&amp;"Q"&amp;RIGHT(YEAR(D1634),2)</f>
        <v>3Q22</v>
      </c>
      <c r="D1634" s="81">
        <f t="shared" si="508"/>
        <v>44773</v>
      </c>
      <c r="E1634" s="82">
        <f t="shared" si="505"/>
        <v>44769</v>
      </c>
      <c r="F1634" s="83">
        <f t="shared" si="507"/>
        <v>0.369125</v>
      </c>
      <c r="G1634" s="83">
        <f t="shared" si="507"/>
        <v>0.36</v>
      </c>
      <c r="H1634" s="81"/>
      <c r="I1634" s="146">
        <v>44769</v>
      </c>
      <c r="J1634" s="147">
        <v>3.32</v>
      </c>
      <c r="K1634" s="147">
        <v>2.67</v>
      </c>
      <c r="L1634" s="147">
        <v>2.953</v>
      </c>
      <c r="M1634" s="59" cm="1">
        <f t="array" ref="M1634">INDEX($BV$29:$BV$1449,MATCH($D1634,$BR$29:$BR$1449,0),)</f>
        <v>2.88</v>
      </c>
      <c r="N1634" s="150">
        <f t="shared" si="497"/>
        <v>-0.00101488497970237</v>
      </c>
      <c r="O1634" s="150">
        <f t="shared" si="498"/>
        <v>-0.0387369791666667</v>
      </c>
      <c r="P1634" s="150">
        <f t="shared" si="504"/>
        <v>-0.0658019614046188</v>
      </c>
      <c r="Q1634" s="89">
        <f t="shared" si="506"/>
        <v>0.0253472222222222</v>
      </c>
      <c r="GE1634" s="94"/>
      <c r="GF1634" s="104">
        <f t="shared" si="499"/>
        <v>2019</v>
      </c>
      <c r="GG1634" s="104">
        <f t="shared" si="500"/>
        <v>24</v>
      </c>
      <c r="GH1634" s="35">
        <v>43627</v>
      </c>
      <c r="GI1634" s="26">
        <v>1.514</v>
      </c>
      <c r="GJ1634" s="94">
        <f t="shared" si="501"/>
        <v>3.028</v>
      </c>
      <c r="GK1634" s="104"/>
      <c r="GL1634" s="104"/>
      <c r="GO1634" s="94"/>
    </row>
    <row r="1635" spans="3:197">
      <c r="C1635" s="80" t="str" cm="1">
        <f t="array" ref="C1635">_xlfn.IFS(MONTH(D1635)&lt;4,1,MONTH(D1635)&lt;7,2,MONTH(D1635)&lt;10,3,MONTH(D1635)&gt;9,4)&amp;"Q"&amp;RIGHT(YEAR(D1635),2)</f>
        <v>3Q22</v>
      </c>
      <c r="D1635" s="81">
        <f t="shared" si="508"/>
        <v>44773</v>
      </c>
      <c r="E1635" s="82">
        <f t="shared" si="505"/>
        <v>44770</v>
      </c>
      <c r="F1635" s="83">
        <f t="shared" si="507"/>
        <v>0.36875</v>
      </c>
      <c r="G1635" s="83">
        <f t="shared" si="507"/>
        <v>0.36</v>
      </c>
      <c r="H1635" s="81"/>
      <c r="I1635" s="146">
        <v>44770</v>
      </c>
      <c r="J1635" s="147">
        <v>3.3</v>
      </c>
      <c r="K1635" s="147">
        <v>2.69</v>
      </c>
      <c r="L1635" s="147">
        <v>2.95</v>
      </c>
      <c r="M1635" s="59" cm="1">
        <f t="array" ref="M1635">INDEX($BV$29:$BV$1449,MATCH($D1635,$BR$29:$BR$1449,0),)</f>
        <v>2.88</v>
      </c>
      <c r="N1635" s="150">
        <f t="shared" si="497"/>
        <v>-0.00101591601760909</v>
      </c>
      <c r="O1635" s="150">
        <f t="shared" si="498"/>
        <v>-0.0231788079470198</v>
      </c>
      <c r="P1635" s="150">
        <f t="shared" si="504"/>
        <v>-0.060210258043963</v>
      </c>
      <c r="Q1635" s="89">
        <f t="shared" si="506"/>
        <v>0.0243055555555556</v>
      </c>
      <c r="GE1635" s="94"/>
      <c r="GF1635" s="104">
        <f t="shared" si="499"/>
        <v>2019</v>
      </c>
      <c r="GG1635" s="104">
        <f t="shared" si="500"/>
        <v>24</v>
      </c>
      <c r="GH1635" s="35">
        <v>43628</v>
      </c>
      <c r="GI1635" s="26">
        <v>1.51</v>
      </c>
      <c r="GJ1635" s="94">
        <f t="shared" si="501"/>
        <v>3.02</v>
      </c>
      <c r="GK1635" s="104"/>
      <c r="GL1635" s="104"/>
      <c r="GO1635" s="94"/>
    </row>
    <row r="1636" spans="3:197">
      <c r="C1636" s="80" t="str" cm="1">
        <f t="array" ref="C1636">_xlfn.IFS(MONTH(D1636)&lt;4,1,MONTH(D1636)&lt;7,2,MONTH(D1636)&lt;10,3,MONTH(D1636)&gt;9,4)&amp;"Q"&amp;RIGHT(YEAR(D1636),2)</f>
        <v>3Q22</v>
      </c>
      <c r="D1636" s="81">
        <f t="shared" si="508"/>
        <v>44773</v>
      </c>
      <c r="E1636" s="82">
        <f t="shared" si="505"/>
        <v>44771</v>
      </c>
      <c r="F1636" s="83">
        <f t="shared" si="507"/>
        <v>0.367625</v>
      </c>
      <c r="G1636" s="83">
        <f t="shared" si="507"/>
        <v>0.36</v>
      </c>
      <c r="H1636" s="81"/>
      <c r="I1636" s="146">
        <v>44771</v>
      </c>
      <c r="J1636" s="147">
        <v>3.3</v>
      </c>
      <c r="K1636" s="147">
        <v>2.69</v>
      </c>
      <c r="L1636" s="147">
        <v>2.941</v>
      </c>
      <c r="M1636" s="59" cm="1">
        <f t="array" ref="M1636">INDEX($BV$29:$BV$1449,MATCH($D1636,$BR$29:$BR$1449,0),)</f>
        <v>2.88</v>
      </c>
      <c r="N1636" s="150">
        <f t="shared" si="497"/>
        <v>-0.00305084745762718</v>
      </c>
      <c r="O1636" s="150">
        <f t="shared" si="498"/>
        <v>-0.0134183160013418</v>
      </c>
      <c r="P1636" s="150">
        <f t="shared" si="504"/>
        <v>-0.0558587479935796</v>
      </c>
      <c r="Q1636" s="89">
        <f t="shared" si="506"/>
        <v>0.0211805555555555</v>
      </c>
      <c r="GE1636" s="94"/>
      <c r="GF1636" s="104">
        <f t="shared" si="499"/>
        <v>2019</v>
      </c>
      <c r="GG1636" s="104">
        <f t="shared" si="500"/>
        <v>24</v>
      </c>
      <c r="GH1636" s="35">
        <v>43629</v>
      </c>
      <c r="GI1636" s="26">
        <v>1.51</v>
      </c>
      <c r="GJ1636" s="94">
        <f t="shared" si="501"/>
        <v>3.02</v>
      </c>
      <c r="GK1636" s="104"/>
      <c r="GL1636" s="104"/>
      <c r="GO1636" s="94"/>
    </row>
    <row r="1637" spans="3:197">
      <c r="C1637" s="80" t="str" cm="1">
        <f t="array" ref="C1637">_xlfn.IFS(MONTH(D1637)&lt;4,1,MONTH(D1637)&lt;7,2,MONTH(D1637)&lt;10,3,MONTH(D1637)&gt;9,4)&amp;"Q"&amp;RIGHT(YEAR(D1637),2)</f>
        <v>3Q22</v>
      </c>
      <c r="D1637" s="81">
        <f t="shared" si="508"/>
        <v>44804</v>
      </c>
      <c r="E1637" s="82">
        <f t="shared" si="505"/>
        <v>44774</v>
      </c>
      <c r="F1637" s="83">
        <f t="shared" si="507"/>
        <v>0.366625</v>
      </c>
      <c r="G1637" s="83">
        <f t="shared" si="507"/>
        <v>0.35625</v>
      </c>
      <c r="H1637" s="81"/>
      <c r="I1637" s="146">
        <v>44774</v>
      </c>
      <c r="J1637" s="147">
        <v>3.25</v>
      </c>
      <c r="K1637" s="147">
        <v>2.68</v>
      </c>
      <c r="L1637" s="147">
        <v>2.933</v>
      </c>
      <c r="M1637" s="59" cm="1">
        <f t="array" ref="M1637">INDEX($BV$29:$BV$1449,MATCH($D1637,$BR$29:$BR$1449,0),)</f>
        <v>2.85</v>
      </c>
      <c r="N1637" s="150">
        <f t="shared" si="497"/>
        <v>-0.00272016320979263</v>
      </c>
      <c r="O1637" s="150">
        <f t="shared" si="498"/>
        <v>-0.0127903062941771</v>
      </c>
      <c r="P1637" s="150">
        <f t="shared" si="504"/>
        <v>-0.0505017805114925</v>
      </c>
      <c r="Q1637" s="89">
        <f t="shared" si="506"/>
        <v>0.0291228070175438</v>
      </c>
      <c r="GE1637" s="94"/>
      <c r="GF1637" s="104">
        <f t="shared" si="499"/>
        <v>2019</v>
      </c>
      <c r="GG1637" s="104">
        <f t="shared" si="500"/>
        <v>24</v>
      </c>
      <c r="GH1637" s="35">
        <v>43630</v>
      </c>
      <c r="GI1637" s="26">
        <v>1.507</v>
      </c>
      <c r="GJ1637" s="94">
        <f t="shared" si="501"/>
        <v>3.014</v>
      </c>
      <c r="GK1637" s="104"/>
      <c r="GL1637" s="104"/>
      <c r="GO1637" s="94"/>
    </row>
    <row r="1638" spans="3:197">
      <c r="C1638" s="80" t="str" cm="1">
        <f t="array" ref="C1638">_xlfn.IFS(MONTH(D1638)&lt;4,1,MONTH(D1638)&lt;7,2,MONTH(D1638)&lt;10,3,MONTH(D1638)&gt;9,4)&amp;"Q"&amp;RIGHT(YEAR(D1638),2)</f>
        <v>3Q22</v>
      </c>
      <c r="D1638" s="81">
        <f t="shared" si="508"/>
        <v>44804</v>
      </c>
      <c r="E1638" s="82">
        <f t="shared" si="505"/>
        <v>44775</v>
      </c>
      <c r="F1638" s="83">
        <f t="shared" si="507"/>
        <v>0.366</v>
      </c>
      <c r="G1638" s="83">
        <f t="shared" si="507"/>
        <v>0.35625</v>
      </c>
      <c r="H1638" s="81"/>
      <c r="I1638" s="146">
        <v>44775</v>
      </c>
      <c r="J1638" s="147">
        <v>3.2</v>
      </c>
      <c r="K1638" s="147">
        <v>2.68</v>
      </c>
      <c r="L1638" s="147">
        <v>2.928</v>
      </c>
      <c r="M1638" s="59" cm="1">
        <f t="array" ref="M1638">INDEX($BV$29:$BV$1449,MATCH($D1638,$BR$29:$BR$1449,0),)</f>
        <v>2.85</v>
      </c>
      <c r="N1638" s="150">
        <f t="shared" si="497"/>
        <v>-0.00170473917490621</v>
      </c>
      <c r="O1638" s="150">
        <f t="shared" si="498"/>
        <v>-0.00947225981055477</v>
      </c>
      <c r="P1638" s="150">
        <f t="shared" si="504"/>
        <v>-0.0502757054816738</v>
      </c>
      <c r="Q1638" s="89">
        <f t="shared" si="506"/>
        <v>0.0273684210526315</v>
      </c>
      <c r="GE1638" s="94"/>
      <c r="GF1638" s="104">
        <f t="shared" si="499"/>
        <v>2019</v>
      </c>
      <c r="GG1638" s="104">
        <f t="shared" si="500"/>
        <v>25</v>
      </c>
      <c r="GH1638" s="35">
        <v>43633</v>
      </c>
      <c r="GI1638" s="26">
        <v>1.504</v>
      </c>
      <c r="GJ1638" s="94">
        <f t="shared" si="501"/>
        <v>3.008</v>
      </c>
      <c r="GK1638" s="104"/>
      <c r="GL1638" s="104"/>
      <c r="GO1638" s="94"/>
    </row>
    <row r="1639" spans="3:197">
      <c r="C1639" s="80" t="str" cm="1">
        <f t="array" ref="C1639">_xlfn.IFS(MONTH(D1639)&lt;4,1,MONTH(D1639)&lt;7,2,MONTH(D1639)&lt;10,3,MONTH(D1639)&gt;9,4)&amp;"Q"&amp;RIGHT(YEAR(D1639),2)</f>
        <v>3Q22</v>
      </c>
      <c r="D1639" s="81">
        <f t="shared" si="508"/>
        <v>44804</v>
      </c>
      <c r="E1639" s="82">
        <f t="shared" si="505"/>
        <v>44776</v>
      </c>
      <c r="F1639" s="83">
        <f t="shared" si="507"/>
        <v>0.3645</v>
      </c>
      <c r="G1639" s="83">
        <f t="shared" si="507"/>
        <v>0.35625</v>
      </c>
      <c r="H1639" s="81"/>
      <c r="I1639" s="146">
        <v>44776</v>
      </c>
      <c r="J1639" s="147">
        <v>3.18</v>
      </c>
      <c r="K1639" s="147">
        <v>2.64</v>
      </c>
      <c r="L1639" s="147">
        <v>2.916</v>
      </c>
      <c r="M1639" s="59" cm="1">
        <f t="array" ref="M1639">INDEX($BV$29:$BV$1449,MATCH($D1639,$BR$29:$BR$1449,0),)</f>
        <v>2.85</v>
      </c>
      <c r="N1639" s="150">
        <f t="shared" si="497"/>
        <v>-0.00409836065573765</v>
      </c>
      <c r="O1639" s="150">
        <f t="shared" si="498"/>
        <v>-0.012529630883847</v>
      </c>
      <c r="P1639" s="150">
        <f t="shared" si="504"/>
        <v>-0.05078125</v>
      </c>
      <c r="Q1639" s="89">
        <f t="shared" si="506"/>
        <v>0.023157894736842</v>
      </c>
      <c r="GE1639" s="94"/>
      <c r="GF1639" s="104">
        <f t="shared" si="499"/>
        <v>2019</v>
      </c>
      <c r="GG1639" s="104">
        <f t="shared" si="500"/>
        <v>25</v>
      </c>
      <c r="GH1639" s="35">
        <v>43634</v>
      </c>
      <c r="GI1639" s="26">
        <v>1.501</v>
      </c>
      <c r="GJ1639" s="94">
        <f t="shared" si="501"/>
        <v>3.002</v>
      </c>
      <c r="GK1639" s="104"/>
      <c r="GL1639" s="104"/>
      <c r="GO1639" s="94"/>
    </row>
    <row r="1640" spans="3:197">
      <c r="C1640" s="80" t="str" cm="1">
        <f t="array" ref="C1640">_xlfn.IFS(MONTH(D1640)&lt;4,1,MONTH(D1640)&lt;7,2,MONTH(D1640)&lt;10,3,MONTH(D1640)&gt;9,4)&amp;"Q"&amp;RIGHT(YEAR(D1640),2)</f>
        <v>3Q22</v>
      </c>
      <c r="D1640" s="81">
        <f t="shared" si="508"/>
        <v>44804</v>
      </c>
      <c r="E1640" s="82">
        <f t="shared" si="505"/>
        <v>44777</v>
      </c>
      <c r="F1640" s="83">
        <f t="shared" si="507"/>
        <v>0.36375</v>
      </c>
      <c r="G1640" s="83">
        <f t="shared" si="507"/>
        <v>0.35625</v>
      </c>
      <c r="H1640" s="81"/>
      <c r="I1640" s="146">
        <v>44777</v>
      </c>
      <c r="J1640" s="147">
        <v>3.15</v>
      </c>
      <c r="K1640" s="147">
        <v>2.64</v>
      </c>
      <c r="L1640" s="147">
        <v>2.91</v>
      </c>
      <c r="M1640" s="59" cm="1">
        <f t="array" ref="M1640">INDEX($BV$29:$BV$1449,MATCH($D1640,$BR$29:$BR$1449,0),)</f>
        <v>2.85</v>
      </c>
      <c r="N1640" s="150">
        <f t="shared" si="497"/>
        <v>-0.00205761316872421</v>
      </c>
      <c r="O1640" s="150">
        <f t="shared" si="498"/>
        <v>-0.0135593220338983</v>
      </c>
      <c r="P1640" s="150">
        <f t="shared" si="504"/>
        <v>-0.0364238410596026</v>
      </c>
      <c r="Q1640" s="89">
        <f t="shared" si="506"/>
        <v>0.0210526315789474</v>
      </c>
      <c r="GE1640" s="94"/>
      <c r="GF1640" s="104">
        <f t="shared" si="499"/>
        <v>2019</v>
      </c>
      <c r="GG1640" s="104">
        <f t="shared" si="500"/>
        <v>25</v>
      </c>
      <c r="GH1640" s="35">
        <v>43635</v>
      </c>
      <c r="GI1640" s="26">
        <v>1.488</v>
      </c>
      <c r="GJ1640" s="94">
        <f t="shared" si="501"/>
        <v>2.976</v>
      </c>
      <c r="GK1640" s="104"/>
      <c r="GL1640" s="104"/>
      <c r="GO1640" s="94"/>
    </row>
    <row r="1641" spans="3:197">
      <c r="C1641" s="80" t="str" cm="1">
        <f t="array" ref="C1641">_xlfn.IFS(MONTH(D1641)&lt;4,1,MONTH(D1641)&lt;7,2,MONTH(D1641)&lt;10,3,MONTH(D1641)&gt;9,4)&amp;"Q"&amp;RIGHT(YEAR(D1641),2)</f>
        <v>3Q22</v>
      </c>
      <c r="D1641" s="81">
        <f t="shared" si="508"/>
        <v>44804</v>
      </c>
      <c r="E1641" s="82">
        <f t="shared" si="505"/>
        <v>44778</v>
      </c>
      <c r="F1641" s="83">
        <f t="shared" si="507"/>
        <v>0.363625</v>
      </c>
      <c r="G1641" s="83">
        <f t="shared" si="507"/>
        <v>0.35625</v>
      </c>
      <c r="H1641" s="81"/>
      <c r="I1641" s="146">
        <v>44778</v>
      </c>
      <c r="J1641" s="147">
        <v>3.1</v>
      </c>
      <c r="K1641" s="147">
        <v>2.64</v>
      </c>
      <c r="L1641" s="147">
        <v>2.909</v>
      </c>
      <c r="M1641" s="59" cm="1">
        <f t="array" ref="M1641">INDEX($BV$29:$BV$1449,MATCH($D1641,$BR$29:$BR$1449,0),)</f>
        <v>2.85</v>
      </c>
      <c r="N1641" s="150">
        <f t="shared" si="497"/>
        <v>-0.000343642611683959</v>
      </c>
      <c r="O1641" s="150">
        <f t="shared" si="498"/>
        <v>-0.0108806528391704</v>
      </c>
      <c r="P1641" s="150">
        <f t="shared" si="504"/>
        <v>-0.0241529688024154</v>
      </c>
      <c r="Q1641" s="89">
        <f t="shared" si="506"/>
        <v>0.0207017543859649</v>
      </c>
      <c r="GE1641" s="94"/>
      <c r="GF1641" s="104">
        <f t="shared" si="499"/>
        <v>2019</v>
      </c>
      <c r="GG1641" s="104">
        <f t="shared" si="500"/>
        <v>25</v>
      </c>
      <c r="GH1641" s="35">
        <v>43636</v>
      </c>
      <c r="GI1641" s="26">
        <v>1.478</v>
      </c>
      <c r="GJ1641" s="94">
        <f t="shared" si="501"/>
        <v>2.956</v>
      </c>
      <c r="GK1641" s="104"/>
      <c r="GL1641" s="104"/>
      <c r="GO1641" s="94"/>
    </row>
    <row r="1642" spans="3:197">
      <c r="C1642" s="80" t="str" cm="1">
        <f t="array" ref="C1642">_xlfn.IFS(MONTH(D1642)&lt;4,1,MONTH(D1642)&lt;7,2,MONTH(D1642)&lt;10,3,MONTH(D1642)&gt;9,4)&amp;"Q"&amp;RIGHT(YEAR(D1642),2)</f>
        <v>3Q22</v>
      </c>
      <c r="D1642" s="81">
        <f t="shared" si="508"/>
        <v>44804</v>
      </c>
      <c r="E1642" s="82">
        <f t="shared" si="505"/>
        <v>44781</v>
      </c>
      <c r="F1642" s="83">
        <f t="shared" ref="F1642:G1657" si="509">+L1642/8</f>
        <v>0.361</v>
      </c>
      <c r="G1642" s="83">
        <f t="shared" si="509"/>
        <v>0.35625</v>
      </c>
      <c r="H1642" s="81"/>
      <c r="I1642" s="146">
        <v>44781</v>
      </c>
      <c r="J1642" s="147">
        <v>3.05</v>
      </c>
      <c r="K1642" s="147">
        <v>2.61</v>
      </c>
      <c r="L1642" s="147">
        <v>2.888</v>
      </c>
      <c r="M1642" s="59" cm="1">
        <f t="array" ref="M1642">INDEX($BV$29:$BV$1449,MATCH($D1642,$BR$29:$BR$1449,0),)</f>
        <v>2.85</v>
      </c>
      <c r="N1642" s="150">
        <f t="shared" si="497"/>
        <v>-0.00721897559298723</v>
      </c>
      <c r="O1642" s="150">
        <f t="shared" si="498"/>
        <v>-0.0153426525741561</v>
      </c>
      <c r="P1642" s="150">
        <f t="shared" si="504"/>
        <v>-0.0279367216425447</v>
      </c>
      <c r="Q1642" s="89">
        <f t="shared" si="506"/>
        <v>0.0133333333333332</v>
      </c>
      <c r="GE1642" s="94"/>
      <c r="GF1642" s="104">
        <f t="shared" si="499"/>
        <v>2019</v>
      </c>
      <c r="GG1642" s="104">
        <f t="shared" si="500"/>
        <v>25</v>
      </c>
      <c r="GH1642" s="35">
        <v>43637</v>
      </c>
      <c r="GI1642" s="26">
        <v>1.462</v>
      </c>
      <c r="GJ1642" s="94">
        <f t="shared" si="501"/>
        <v>2.924</v>
      </c>
      <c r="GK1642" s="104"/>
      <c r="GL1642" s="104"/>
      <c r="GO1642" s="94"/>
    </row>
    <row r="1643" spans="3:197">
      <c r="C1643" s="80" t="str" cm="1">
        <f t="array" ref="C1643">_xlfn.IFS(MONTH(D1643)&lt;4,1,MONTH(D1643)&lt;7,2,MONTH(D1643)&lt;10,3,MONTH(D1643)&gt;9,4)&amp;"Q"&amp;RIGHT(YEAR(D1643),2)</f>
        <v>3Q22</v>
      </c>
      <c r="D1643" s="81">
        <f t="shared" si="508"/>
        <v>44804</v>
      </c>
      <c r="E1643" s="82">
        <f t="shared" si="505"/>
        <v>44782</v>
      </c>
      <c r="F1643" s="83">
        <f t="shared" si="509"/>
        <v>0.359</v>
      </c>
      <c r="G1643" s="83">
        <f t="shared" si="509"/>
        <v>0.35625</v>
      </c>
      <c r="H1643" s="81"/>
      <c r="I1643" s="146">
        <v>44782</v>
      </c>
      <c r="J1643" s="147">
        <v>3.02</v>
      </c>
      <c r="K1643" s="147">
        <v>2.61</v>
      </c>
      <c r="L1643" s="147">
        <v>2.872</v>
      </c>
      <c r="M1643" s="59" cm="1">
        <f t="array" ref="M1643">INDEX($BV$29:$BV$1449,MATCH($D1643,$BR$29:$BR$1449,0),)</f>
        <v>2.85</v>
      </c>
      <c r="N1643" s="150">
        <f t="shared" si="497"/>
        <v>-0.00554016620498621</v>
      </c>
      <c r="O1643" s="150">
        <f t="shared" si="498"/>
        <v>-0.0191256830601093</v>
      </c>
      <c r="P1643" s="150">
        <f t="shared" si="504"/>
        <v>-0.0284167794316644</v>
      </c>
      <c r="Q1643" s="89">
        <f t="shared" si="506"/>
        <v>0.00771929824561401</v>
      </c>
      <c r="GE1643" s="94"/>
      <c r="GF1643" s="104">
        <f t="shared" si="499"/>
        <v>2019</v>
      </c>
      <c r="GG1643" s="104">
        <f t="shared" si="500"/>
        <v>26</v>
      </c>
      <c r="GH1643" s="35">
        <v>43640</v>
      </c>
      <c r="GI1643" s="26">
        <v>1.459</v>
      </c>
      <c r="GJ1643" s="94">
        <f t="shared" si="501"/>
        <v>2.918</v>
      </c>
      <c r="GK1643" s="104"/>
      <c r="GL1643" s="104"/>
      <c r="GO1643" s="94"/>
    </row>
    <row r="1644" spans="3:197">
      <c r="C1644" s="80" t="str" cm="1">
        <f t="array" ref="C1644">_xlfn.IFS(MONTH(D1644)&lt;4,1,MONTH(D1644)&lt;7,2,MONTH(D1644)&lt;10,3,MONTH(D1644)&gt;9,4)&amp;"Q"&amp;RIGHT(YEAR(D1644),2)</f>
        <v>3Q22</v>
      </c>
      <c r="D1644" s="81">
        <f t="shared" si="508"/>
        <v>44804</v>
      </c>
      <c r="E1644" s="82">
        <f t="shared" si="505"/>
        <v>44783</v>
      </c>
      <c r="F1644" s="83">
        <f t="shared" si="509"/>
        <v>0.354875</v>
      </c>
      <c r="G1644" s="83">
        <f t="shared" si="509"/>
        <v>0.35625</v>
      </c>
      <c r="H1644" s="81"/>
      <c r="I1644" s="146">
        <v>44783</v>
      </c>
      <c r="J1644" s="147">
        <v>3.02</v>
      </c>
      <c r="K1644" s="147">
        <v>2.58</v>
      </c>
      <c r="L1644" s="147">
        <v>2.839</v>
      </c>
      <c r="M1644" s="59" cm="1">
        <f t="array" ref="M1644">INDEX($BV$29:$BV$1449,MATCH($D1644,$BR$29:$BR$1449,0),)</f>
        <v>2.85</v>
      </c>
      <c r="N1644" s="150">
        <f t="shared" ref="N1644:N1707" si="510">L1644/L1643-1</f>
        <v>-0.0114902506963788</v>
      </c>
      <c r="O1644" s="150">
        <f t="shared" ref="O1644:O1707" si="511">L1644/L1639-1</f>
        <v>-0.0264060356652949</v>
      </c>
      <c r="P1644" s="150">
        <f t="shared" si="504"/>
        <v>-0.0386048086691499</v>
      </c>
      <c r="Q1644" s="89">
        <f t="shared" si="506"/>
        <v>-0.00385964912280701</v>
      </c>
      <c r="GE1644" s="94"/>
      <c r="GF1644" s="104">
        <f t="shared" si="499"/>
        <v>2019</v>
      </c>
      <c r="GG1644" s="104">
        <f t="shared" si="500"/>
        <v>26</v>
      </c>
      <c r="GH1644" s="35">
        <v>43641</v>
      </c>
      <c r="GI1644" s="26">
        <v>1.457</v>
      </c>
      <c r="GJ1644" s="94">
        <f t="shared" si="501"/>
        <v>2.914</v>
      </c>
      <c r="GK1644" s="104"/>
      <c r="GL1644" s="104"/>
      <c r="GO1644" s="94"/>
    </row>
    <row r="1645" spans="3:197">
      <c r="C1645" s="80" t="str" cm="1">
        <f t="array" ref="C1645">_xlfn.IFS(MONTH(D1645)&lt;4,1,MONTH(D1645)&lt;7,2,MONTH(D1645)&lt;10,3,MONTH(D1645)&gt;9,4)&amp;"Q"&amp;RIGHT(YEAR(D1645),2)</f>
        <v>3Q22</v>
      </c>
      <c r="D1645" s="81">
        <f t="shared" si="508"/>
        <v>44804</v>
      </c>
      <c r="E1645" s="82">
        <f t="shared" si="505"/>
        <v>44784</v>
      </c>
      <c r="F1645" s="83">
        <f t="shared" si="509"/>
        <v>0.352</v>
      </c>
      <c r="G1645" s="83">
        <f t="shared" si="509"/>
        <v>0.35625</v>
      </c>
      <c r="H1645" s="81"/>
      <c r="I1645" s="146">
        <v>44784</v>
      </c>
      <c r="J1645" s="147">
        <v>3</v>
      </c>
      <c r="K1645" s="147">
        <v>2.58</v>
      </c>
      <c r="L1645" s="147">
        <v>2.816</v>
      </c>
      <c r="M1645" s="59" cm="1">
        <f t="array" ref="M1645">INDEX($BV$29:$BV$1449,MATCH($D1645,$BR$29:$BR$1449,0),)</f>
        <v>2.85</v>
      </c>
      <c r="N1645" s="150">
        <f t="shared" si="510"/>
        <v>-0.00810144417048264</v>
      </c>
      <c r="O1645" s="150">
        <f t="shared" si="511"/>
        <v>-0.0323024054982819</v>
      </c>
      <c r="P1645" s="150">
        <f t="shared" si="504"/>
        <v>-0.0454237288135594</v>
      </c>
      <c r="Q1645" s="89">
        <f t="shared" si="506"/>
        <v>-0.0119298245614036</v>
      </c>
      <c r="GE1645" s="94"/>
      <c r="GF1645" s="104">
        <f t="shared" si="499"/>
        <v>2019</v>
      </c>
      <c r="GG1645" s="104">
        <f t="shared" si="500"/>
        <v>26</v>
      </c>
      <c r="GH1645" s="35">
        <v>43642</v>
      </c>
      <c r="GI1645" s="26">
        <v>1.453</v>
      </c>
      <c r="GJ1645" s="94">
        <f t="shared" si="501"/>
        <v>2.906</v>
      </c>
      <c r="GK1645" s="104"/>
      <c r="GL1645" s="104"/>
      <c r="GO1645" s="94"/>
    </row>
    <row r="1646" spans="3:197">
      <c r="C1646" s="80" t="str" cm="1">
        <f t="array" ref="C1646">_xlfn.IFS(MONTH(D1646)&lt;4,1,MONTH(D1646)&lt;7,2,MONTH(D1646)&lt;10,3,MONTH(D1646)&gt;9,4)&amp;"Q"&amp;RIGHT(YEAR(D1646),2)</f>
        <v>3Q22</v>
      </c>
      <c r="D1646" s="81">
        <f t="shared" si="508"/>
        <v>44804</v>
      </c>
      <c r="E1646" s="82">
        <f t="shared" si="505"/>
        <v>44785</v>
      </c>
      <c r="F1646" s="83">
        <f t="shared" si="509"/>
        <v>0.3515</v>
      </c>
      <c r="G1646" s="83">
        <f>+M1646/8</f>
        <v>0.35625</v>
      </c>
      <c r="H1646" s="81"/>
      <c r="I1646" s="146">
        <v>44785</v>
      </c>
      <c r="J1646" s="147">
        <v>3</v>
      </c>
      <c r="K1646" s="147">
        <v>2.58</v>
      </c>
      <c r="L1646" s="147">
        <v>2.812</v>
      </c>
      <c r="M1646" s="59" cm="1">
        <f t="array" ref="M1646">INDEX($BV$29:$BV$1449,MATCH($D1646,$BR$29:$BR$1449,0),)</f>
        <v>2.85</v>
      </c>
      <c r="N1646" s="150">
        <f t="shared" si="510"/>
        <v>-0.00142045454545459</v>
      </c>
      <c r="O1646" s="150">
        <f t="shared" si="511"/>
        <v>-0.0333447920247507</v>
      </c>
      <c r="P1646" s="150">
        <f t="shared" si="504"/>
        <v>-0.0438626317579055</v>
      </c>
      <c r="Q1646" s="89">
        <f t="shared" si="506"/>
        <v>-0.0133333333333334</v>
      </c>
      <c r="GE1646" s="94"/>
      <c r="GF1646" s="104">
        <f t="shared" si="499"/>
        <v>2019</v>
      </c>
      <c r="GG1646" s="104">
        <f t="shared" si="500"/>
        <v>26</v>
      </c>
      <c r="GH1646" s="35">
        <v>43643</v>
      </c>
      <c r="GI1646" s="26">
        <v>1.453</v>
      </c>
      <c r="GJ1646" s="94">
        <f t="shared" si="501"/>
        <v>2.906</v>
      </c>
      <c r="GK1646" s="104"/>
      <c r="GL1646" s="104"/>
      <c r="GO1646" s="94"/>
    </row>
    <row r="1647" spans="3:197">
      <c r="C1647" s="80" t="str" cm="1">
        <f t="array" ref="C1647">_xlfn.IFS(MONTH(D1647)&lt;4,1,MONTH(D1647)&lt;7,2,MONTH(D1647)&lt;10,3,MONTH(D1647)&gt;9,4)&amp;"Q"&amp;RIGHT(YEAR(D1647),2)</f>
        <v>3Q22</v>
      </c>
      <c r="D1647" s="81">
        <f t="shared" si="508"/>
        <v>44804</v>
      </c>
      <c r="E1647" s="82">
        <f t="shared" si="505"/>
        <v>44788</v>
      </c>
      <c r="F1647" s="83">
        <f t="shared" si="509"/>
        <v>0.34825</v>
      </c>
      <c r="G1647" s="83">
        <f t="shared" si="509"/>
        <v>0.35625</v>
      </c>
      <c r="H1647" s="81"/>
      <c r="I1647" s="146">
        <v>44788</v>
      </c>
      <c r="J1647" s="147">
        <v>3</v>
      </c>
      <c r="K1647" s="147">
        <v>2.55</v>
      </c>
      <c r="L1647" s="147">
        <v>2.786</v>
      </c>
      <c r="M1647" s="59" cm="1">
        <f t="array" ref="M1647">INDEX($BV$29:$BV$1449,MATCH($D1647,$BR$29:$BR$1449,0),)</f>
        <v>2.85</v>
      </c>
      <c r="N1647" s="150">
        <f t="shared" si="510"/>
        <v>-0.00924608819345651</v>
      </c>
      <c r="O1647" s="150">
        <f t="shared" si="511"/>
        <v>-0.0353185595567866</v>
      </c>
      <c r="P1647" s="150">
        <f t="shared" si="504"/>
        <v>-0.0501193317422434</v>
      </c>
      <c r="Q1647" s="89">
        <f t="shared" si="506"/>
        <v>-0.0224561403508772</v>
      </c>
      <c r="GE1647" s="94"/>
      <c r="GF1647" s="104">
        <f t="shared" si="499"/>
        <v>2019</v>
      </c>
      <c r="GG1647" s="104">
        <f t="shared" si="500"/>
        <v>26</v>
      </c>
      <c r="GH1647" s="35">
        <v>43644</v>
      </c>
      <c r="GI1647" s="26">
        <v>1.45</v>
      </c>
      <c r="GJ1647" s="94">
        <f t="shared" si="501"/>
        <v>2.9</v>
      </c>
      <c r="GK1647" s="104"/>
      <c r="GL1647" s="104"/>
      <c r="GO1647" s="94"/>
    </row>
    <row r="1648" spans="3:197">
      <c r="C1648" s="80" t="str" cm="1">
        <f t="array" ref="C1648">_xlfn.IFS(MONTH(D1648)&lt;4,1,MONTH(D1648)&lt;7,2,MONTH(D1648)&lt;10,3,MONTH(D1648)&gt;9,4)&amp;"Q"&amp;RIGHT(YEAR(D1648),2)</f>
        <v>3Q22</v>
      </c>
      <c r="D1648" s="81">
        <f t="shared" si="508"/>
        <v>44804</v>
      </c>
      <c r="E1648" s="82">
        <f t="shared" si="505"/>
        <v>44789</v>
      </c>
      <c r="F1648" s="83">
        <f t="shared" si="509"/>
        <v>0.34375</v>
      </c>
      <c r="G1648" s="83">
        <f t="shared" si="509"/>
        <v>0.35625</v>
      </c>
      <c r="H1648" s="81"/>
      <c r="I1648" s="146">
        <v>44789</v>
      </c>
      <c r="J1648" s="147">
        <v>3</v>
      </c>
      <c r="K1648" s="147">
        <v>2.54</v>
      </c>
      <c r="L1648" s="147">
        <v>2.75</v>
      </c>
      <c r="M1648" s="59" cm="1">
        <f t="array" ref="M1648">INDEX($BV$29:$BV$1449,MATCH($D1648,$BR$29:$BR$1449,0),)</f>
        <v>2.85</v>
      </c>
      <c r="N1648" s="150">
        <f t="shared" si="510"/>
        <v>-0.0129217516152189</v>
      </c>
      <c r="O1648" s="150">
        <f t="shared" si="511"/>
        <v>-0.0424791086350974</v>
      </c>
      <c r="P1648" s="150">
        <f t="shared" si="504"/>
        <v>-0.0607923497267759</v>
      </c>
      <c r="Q1648" s="89">
        <f t="shared" si="506"/>
        <v>-0.0350877192982456</v>
      </c>
      <c r="GE1648" s="94"/>
      <c r="GF1648" s="104">
        <f t="shared" si="499"/>
        <v>2019</v>
      </c>
      <c r="GG1648" s="104">
        <f t="shared" si="500"/>
        <v>27</v>
      </c>
      <c r="GH1648" s="35">
        <v>43647</v>
      </c>
      <c r="GI1648" s="26">
        <v>1.448</v>
      </c>
      <c r="GJ1648" s="94">
        <f t="shared" si="501"/>
        <v>2.896</v>
      </c>
      <c r="GK1648" s="104"/>
      <c r="GL1648" s="104"/>
      <c r="GO1648" s="94"/>
    </row>
    <row r="1649" spans="3:197">
      <c r="C1649" s="80" t="str" cm="1">
        <f t="array" ref="C1649">_xlfn.IFS(MONTH(D1649)&lt;4,1,MONTH(D1649)&lt;7,2,MONTH(D1649)&lt;10,3,MONTH(D1649)&gt;9,4)&amp;"Q"&amp;RIGHT(YEAR(D1649),2)</f>
        <v>3Q22</v>
      </c>
      <c r="D1649" s="81">
        <f t="shared" si="508"/>
        <v>44804</v>
      </c>
      <c r="E1649" s="82">
        <f t="shared" si="505"/>
        <v>44790</v>
      </c>
      <c r="F1649" s="83">
        <f t="shared" si="509"/>
        <v>0.34175</v>
      </c>
      <c r="G1649" s="83">
        <f t="shared" si="509"/>
        <v>0.35625</v>
      </c>
      <c r="H1649" s="81"/>
      <c r="I1649" s="146">
        <v>44790</v>
      </c>
      <c r="J1649" s="147">
        <v>3</v>
      </c>
      <c r="K1649" s="147">
        <v>2.5</v>
      </c>
      <c r="L1649" s="147">
        <v>2.734</v>
      </c>
      <c r="M1649" s="59" cm="1">
        <f t="array" ref="M1649">INDEX($BV$29:$BV$1449,MATCH($D1649,$BR$29:$BR$1449,0),)</f>
        <v>2.85</v>
      </c>
      <c r="N1649" s="150">
        <f t="shared" si="510"/>
        <v>-0.00581818181818183</v>
      </c>
      <c r="O1649" s="150">
        <f t="shared" si="511"/>
        <v>-0.0369848538217682</v>
      </c>
      <c r="P1649" s="150">
        <f t="shared" si="504"/>
        <v>-0.0624142661179699</v>
      </c>
      <c r="Q1649" s="89">
        <f t="shared" si="506"/>
        <v>-0.0407017543859649</v>
      </c>
      <c r="GE1649" s="94"/>
      <c r="GF1649" s="104">
        <f t="shared" si="499"/>
        <v>2019</v>
      </c>
      <c r="GG1649" s="104">
        <f t="shared" si="500"/>
        <v>27</v>
      </c>
      <c r="GH1649" s="35">
        <v>43648</v>
      </c>
      <c r="GI1649" s="26">
        <v>1.447</v>
      </c>
      <c r="GJ1649" s="94">
        <f t="shared" si="501"/>
        <v>2.894</v>
      </c>
      <c r="GK1649" s="104"/>
      <c r="GL1649" s="104"/>
      <c r="GO1649" s="94"/>
    </row>
    <row r="1650" spans="3:197">
      <c r="C1650" s="80" t="str" cm="1">
        <f t="array" ref="C1650">_xlfn.IFS(MONTH(D1650)&lt;4,1,MONTH(D1650)&lt;7,2,MONTH(D1650)&lt;10,3,MONTH(D1650)&gt;9,4)&amp;"Q"&amp;RIGHT(YEAR(D1650),2)</f>
        <v>3Q22</v>
      </c>
      <c r="D1650" s="81">
        <f t="shared" si="508"/>
        <v>44804</v>
      </c>
      <c r="E1650" s="82">
        <f t="shared" si="505"/>
        <v>44791</v>
      </c>
      <c r="F1650" s="83">
        <f t="shared" si="509"/>
        <v>0.340125</v>
      </c>
      <c r="G1650" s="83">
        <f t="shared" si="509"/>
        <v>0.35625</v>
      </c>
      <c r="H1650" s="81"/>
      <c r="I1650" s="146">
        <v>44791</v>
      </c>
      <c r="J1650" s="147">
        <v>3</v>
      </c>
      <c r="K1650" s="147">
        <v>2.47</v>
      </c>
      <c r="L1650" s="147">
        <v>2.721</v>
      </c>
      <c r="M1650" s="59" cm="1">
        <f t="array" ref="M1650">INDEX($BV$29:$BV$1449,MATCH($D1650,$BR$29:$BR$1449,0),)</f>
        <v>2.85</v>
      </c>
      <c r="N1650" s="150">
        <f t="shared" si="510"/>
        <v>-0.00475493782004388</v>
      </c>
      <c r="O1650" s="150">
        <f t="shared" si="511"/>
        <v>-0.0337357954545454</v>
      </c>
      <c r="P1650" s="150">
        <f t="shared" si="504"/>
        <v>-0.0649484536082474</v>
      </c>
      <c r="Q1650" s="89">
        <f t="shared" si="506"/>
        <v>-0.0452631578947369</v>
      </c>
      <c r="GE1650" s="94"/>
      <c r="GF1650" s="104">
        <f t="shared" si="499"/>
        <v>2019</v>
      </c>
      <c r="GG1650" s="104">
        <f t="shared" si="500"/>
        <v>27</v>
      </c>
      <c r="GH1650" s="35">
        <v>43649</v>
      </c>
      <c r="GI1650" s="26">
        <v>1.44</v>
      </c>
      <c r="GJ1650" s="94">
        <f t="shared" si="501"/>
        <v>2.88</v>
      </c>
      <c r="GK1650" s="104"/>
      <c r="GL1650" s="104"/>
      <c r="GO1650" s="94"/>
    </row>
    <row r="1651" spans="3:197">
      <c r="C1651" s="80" t="str" cm="1">
        <f t="array" ref="C1651">_xlfn.IFS(MONTH(D1651)&lt;4,1,MONTH(D1651)&lt;7,2,MONTH(D1651)&lt;10,3,MONTH(D1651)&gt;9,4)&amp;"Q"&amp;RIGHT(YEAR(D1651),2)</f>
        <v>3Q22</v>
      </c>
      <c r="D1651" s="81">
        <f t="shared" si="508"/>
        <v>44804</v>
      </c>
      <c r="E1651" s="82">
        <f t="shared" si="505"/>
        <v>44792</v>
      </c>
      <c r="F1651" s="83">
        <f t="shared" si="509"/>
        <v>0.336375</v>
      </c>
      <c r="G1651" s="83">
        <f t="shared" si="509"/>
        <v>0.35625</v>
      </c>
      <c r="H1651" s="81"/>
      <c r="I1651" s="146">
        <v>44792</v>
      </c>
      <c r="J1651" s="147">
        <v>2.98</v>
      </c>
      <c r="K1651" s="147">
        <v>2.47</v>
      </c>
      <c r="L1651" s="147">
        <v>2.691</v>
      </c>
      <c r="M1651" s="59" cm="1">
        <f t="array" ref="M1651">INDEX($BV$29:$BV$1449,MATCH($D1651,$BR$29:$BR$1449,0),)</f>
        <v>2.85</v>
      </c>
      <c r="N1651" s="150">
        <f t="shared" si="510"/>
        <v>-0.0110253583241456</v>
      </c>
      <c r="O1651" s="150">
        <f t="shared" si="511"/>
        <v>-0.0430298719772404</v>
      </c>
      <c r="P1651" s="150">
        <f t="shared" si="504"/>
        <v>-0.0749398418700584</v>
      </c>
      <c r="Q1651" s="89">
        <f t="shared" si="506"/>
        <v>-0.0557894736842106</v>
      </c>
      <c r="GE1651" s="94"/>
      <c r="GF1651" s="104">
        <f t="shared" si="499"/>
        <v>2019</v>
      </c>
      <c r="GG1651" s="104">
        <f t="shared" si="500"/>
        <v>27</v>
      </c>
      <c r="GH1651" s="35">
        <v>43650</v>
      </c>
      <c r="GI1651" s="26">
        <v>1.434</v>
      </c>
      <c r="GJ1651" s="94">
        <f t="shared" si="501"/>
        <v>2.868</v>
      </c>
      <c r="GK1651" s="104"/>
      <c r="GL1651" s="104"/>
      <c r="GO1651" s="94"/>
    </row>
    <row r="1652" spans="3:197">
      <c r="C1652" s="80" t="str" cm="1">
        <f t="array" ref="C1652">_xlfn.IFS(MONTH(D1652)&lt;4,1,MONTH(D1652)&lt;7,2,MONTH(D1652)&lt;10,3,MONTH(D1652)&gt;9,4)&amp;"Q"&amp;RIGHT(YEAR(D1652),2)</f>
        <v>3Q22</v>
      </c>
      <c r="D1652" s="81">
        <f t="shared" si="508"/>
        <v>44804</v>
      </c>
      <c r="E1652" s="82">
        <f t="shared" si="505"/>
        <v>44795</v>
      </c>
      <c r="F1652" s="83">
        <f t="shared" si="509"/>
        <v>0.335625</v>
      </c>
      <c r="G1652" s="83">
        <f t="shared" si="509"/>
        <v>0.35625</v>
      </c>
      <c r="H1652" s="81"/>
      <c r="I1652" s="146">
        <v>44795</v>
      </c>
      <c r="J1652" s="147">
        <v>2.95</v>
      </c>
      <c r="K1652" s="147">
        <v>2.46</v>
      </c>
      <c r="L1652" s="147">
        <v>2.685</v>
      </c>
      <c r="M1652" s="59" cm="1">
        <f t="array" ref="M1652">INDEX($BV$29:$BV$1449,MATCH($D1652,$BR$29:$BR$1449,0),)</f>
        <v>2.85</v>
      </c>
      <c r="N1652" s="150">
        <f t="shared" si="510"/>
        <v>-0.00222965440356737</v>
      </c>
      <c r="O1652" s="150">
        <f t="shared" si="511"/>
        <v>-0.0362526920315865</v>
      </c>
      <c r="P1652" s="150">
        <f t="shared" si="504"/>
        <v>-0.0702908587257617</v>
      </c>
      <c r="Q1652" s="89">
        <f t="shared" si="506"/>
        <v>-0.0578947368421052</v>
      </c>
      <c r="GE1652" s="94"/>
      <c r="GF1652" s="104">
        <f t="shared" ref="GF1652:GF1715" si="512">YEAR(GH1652)</f>
        <v>2019</v>
      </c>
      <c r="GG1652" s="104">
        <f t="shared" ref="GG1652:GG1715" si="513">WEEKNUM(GH1652)</f>
        <v>27</v>
      </c>
      <c r="GH1652" s="35">
        <v>43651</v>
      </c>
      <c r="GI1652" s="26">
        <v>1.42</v>
      </c>
      <c r="GJ1652" s="94">
        <f t="shared" ref="GJ1652:GJ1715" si="514">GI1652*2</f>
        <v>2.84</v>
      </c>
      <c r="GK1652" s="104"/>
      <c r="GL1652" s="104"/>
      <c r="GO1652" s="94"/>
    </row>
    <row r="1653" spans="3:197">
      <c r="C1653" s="80" t="str" cm="1">
        <f t="array" ref="C1653">_xlfn.IFS(MONTH(D1653)&lt;4,1,MONTH(D1653)&lt;7,2,MONTH(D1653)&lt;10,3,MONTH(D1653)&gt;9,4)&amp;"Q"&amp;RIGHT(YEAR(D1653),2)</f>
        <v>3Q22</v>
      </c>
      <c r="D1653" s="81">
        <f t="shared" si="508"/>
        <v>44804</v>
      </c>
      <c r="E1653" s="82">
        <f t="shared" si="505"/>
        <v>44796</v>
      </c>
      <c r="F1653" s="83">
        <f t="shared" si="509"/>
        <v>0.333625</v>
      </c>
      <c r="G1653" s="83">
        <f t="shared" si="509"/>
        <v>0.35625</v>
      </c>
      <c r="H1653" s="81"/>
      <c r="I1653" s="146">
        <v>44796</v>
      </c>
      <c r="J1653" s="147">
        <v>2.95</v>
      </c>
      <c r="K1653" s="147">
        <v>2.46</v>
      </c>
      <c r="L1653" s="147">
        <v>2.669</v>
      </c>
      <c r="M1653" s="59" cm="1">
        <f t="array" ref="M1653">INDEX($BV$29:$BV$1449,MATCH($D1653,$BR$29:$BR$1449,0),)</f>
        <v>2.85</v>
      </c>
      <c r="N1653" s="150">
        <f t="shared" si="510"/>
        <v>-0.00595903165735567</v>
      </c>
      <c r="O1653" s="150">
        <f t="shared" si="511"/>
        <v>-0.0294545454545454</v>
      </c>
      <c r="P1653" s="150">
        <f t="shared" si="504"/>
        <v>-0.0706824512534818</v>
      </c>
      <c r="Q1653" s="89">
        <f t="shared" si="506"/>
        <v>-0.0635087719298246</v>
      </c>
      <c r="GE1653" s="94"/>
      <c r="GF1653" s="104">
        <f t="shared" si="512"/>
        <v>2019</v>
      </c>
      <c r="GG1653" s="104">
        <f t="shared" si="513"/>
        <v>28</v>
      </c>
      <c r="GH1653" s="35">
        <v>43654</v>
      </c>
      <c r="GI1653" s="26">
        <v>1.42</v>
      </c>
      <c r="GJ1653" s="94">
        <f t="shared" si="514"/>
        <v>2.84</v>
      </c>
      <c r="GK1653" s="104"/>
      <c r="GL1653" s="104"/>
      <c r="GO1653" s="94"/>
    </row>
    <row r="1654" spans="3:197">
      <c r="C1654" s="80" t="str" cm="1">
        <f t="array" ref="C1654">_xlfn.IFS(MONTH(D1654)&lt;4,1,MONTH(D1654)&lt;7,2,MONTH(D1654)&lt;10,3,MONTH(D1654)&gt;9,4)&amp;"Q"&amp;RIGHT(YEAR(D1654),2)</f>
        <v>3Q22</v>
      </c>
      <c r="D1654" s="81">
        <f t="shared" si="508"/>
        <v>44804</v>
      </c>
      <c r="E1654" s="82">
        <f t="shared" si="505"/>
        <v>44797</v>
      </c>
      <c r="F1654" s="83">
        <f t="shared" si="509"/>
        <v>0.33325</v>
      </c>
      <c r="G1654" s="83">
        <f t="shared" si="509"/>
        <v>0.35625</v>
      </c>
      <c r="H1654" s="81"/>
      <c r="I1654" s="146">
        <v>44797</v>
      </c>
      <c r="J1654" s="147">
        <v>2.95</v>
      </c>
      <c r="K1654" s="147">
        <v>2.46</v>
      </c>
      <c r="L1654" s="147">
        <v>2.666</v>
      </c>
      <c r="M1654" s="59" cm="1">
        <f t="array" ref="M1654">INDEX($BV$29:$BV$1449,MATCH($D1654,$BR$29:$BR$1449,0),)</f>
        <v>2.85</v>
      </c>
      <c r="N1654" s="150">
        <f t="shared" si="510"/>
        <v>-0.00112401648557514</v>
      </c>
      <c r="O1654" s="150">
        <f t="shared" si="511"/>
        <v>-0.0248719824433066</v>
      </c>
      <c r="P1654" s="150">
        <f t="shared" si="504"/>
        <v>-0.0609369496301515</v>
      </c>
      <c r="Q1654" s="89">
        <f t="shared" si="506"/>
        <v>-0.0645614035087719</v>
      </c>
      <c r="GE1654" s="94"/>
      <c r="GF1654" s="104">
        <f t="shared" si="512"/>
        <v>2019</v>
      </c>
      <c r="GG1654" s="104">
        <f t="shared" si="513"/>
        <v>28</v>
      </c>
      <c r="GH1654" s="35">
        <v>43655</v>
      </c>
      <c r="GI1654" s="26">
        <v>1.42</v>
      </c>
      <c r="GJ1654" s="94">
        <f t="shared" si="514"/>
        <v>2.84</v>
      </c>
      <c r="GK1654" s="104"/>
      <c r="GL1654" s="104"/>
      <c r="GO1654" s="94"/>
    </row>
    <row r="1655" spans="3:197">
      <c r="C1655" s="80" t="str" cm="1">
        <f t="array" ref="C1655">_xlfn.IFS(MONTH(D1655)&lt;4,1,MONTH(D1655)&lt;7,2,MONTH(D1655)&lt;10,3,MONTH(D1655)&gt;9,4)&amp;"Q"&amp;RIGHT(YEAR(D1655),2)</f>
        <v>3Q22</v>
      </c>
      <c r="D1655" s="81">
        <f t="shared" si="508"/>
        <v>44804</v>
      </c>
      <c r="E1655" s="82">
        <f t="shared" si="505"/>
        <v>44798</v>
      </c>
      <c r="F1655" s="83">
        <f t="shared" si="509"/>
        <v>0.330375</v>
      </c>
      <c r="G1655" s="83">
        <f t="shared" si="509"/>
        <v>0.35625</v>
      </c>
      <c r="H1655" s="81"/>
      <c r="I1655" s="146">
        <v>44798</v>
      </c>
      <c r="J1655" s="147">
        <v>2.9</v>
      </c>
      <c r="K1655" s="147">
        <v>2.46</v>
      </c>
      <c r="L1655" s="147">
        <v>2.643</v>
      </c>
      <c r="M1655" s="59" cm="1">
        <f t="array" ref="M1655">INDEX($BV$29:$BV$1449,MATCH($D1655,$BR$29:$BR$1449,0),)</f>
        <v>2.85</v>
      </c>
      <c r="N1655" s="150">
        <f t="shared" si="510"/>
        <v>-0.00862715678919734</v>
      </c>
      <c r="O1655" s="150">
        <f t="shared" si="511"/>
        <v>-0.0286659316427785</v>
      </c>
      <c r="P1655" s="150">
        <f t="shared" si="504"/>
        <v>-0.0614346590909091</v>
      </c>
      <c r="Q1655" s="89">
        <f t="shared" si="506"/>
        <v>-0.0726315789473685</v>
      </c>
      <c r="GE1655" s="94"/>
      <c r="GF1655" s="104">
        <f t="shared" si="512"/>
        <v>2019</v>
      </c>
      <c r="GG1655" s="104">
        <f t="shared" si="513"/>
        <v>28</v>
      </c>
      <c r="GH1655" s="35">
        <v>43656</v>
      </c>
      <c r="GI1655" s="26">
        <v>1.469</v>
      </c>
      <c r="GJ1655" s="94">
        <f t="shared" si="514"/>
        <v>2.938</v>
      </c>
      <c r="GK1655" s="104"/>
      <c r="GL1655" s="104"/>
      <c r="GO1655" s="94"/>
    </row>
    <row r="1656" spans="3:197">
      <c r="C1656" s="80" t="str" cm="1">
        <f t="array" ref="C1656">_xlfn.IFS(MONTH(D1656)&lt;4,1,MONTH(D1656)&lt;7,2,MONTH(D1656)&lt;10,3,MONTH(D1656)&gt;9,4)&amp;"Q"&amp;RIGHT(YEAR(D1656),2)</f>
        <v>3Q22</v>
      </c>
      <c r="D1656" s="81">
        <f t="shared" si="508"/>
        <v>44804</v>
      </c>
      <c r="E1656" s="82">
        <f t="shared" si="505"/>
        <v>44799</v>
      </c>
      <c r="F1656" s="83">
        <f t="shared" si="509"/>
        <v>0.327875</v>
      </c>
      <c r="G1656" s="83">
        <f t="shared" si="509"/>
        <v>0.35625</v>
      </c>
      <c r="H1656" s="81"/>
      <c r="I1656" s="146">
        <v>44799</v>
      </c>
      <c r="J1656" s="147">
        <v>2.9</v>
      </c>
      <c r="K1656" s="147">
        <v>2.46</v>
      </c>
      <c r="L1656" s="147">
        <v>2.623</v>
      </c>
      <c r="M1656" s="59" cm="1">
        <f t="array" ref="M1656">INDEX($BV$29:$BV$1449,MATCH($D1656,$BR$29:$BR$1449,0),)</f>
        <v>2.85</v>
      </c>
      <c r="N1656" s="150">
        <f t="shared" si="510"/>
        <v>-0.0075671585319711</v>
      </c>
      <c r="O1656" s="150">
        <f t="shared" si="511"/>
        <v>-0.0252694165737642</v>
      </c>
      <c r="P1656" s="150">
        <f t="shared" si="504"/>
        <v>-0.067211948790896</v>
      </c>
      <c r="Q1656" s="89">
        <f t="shared" si="506"/>
        <v>-0.0796491228070175</v>
      </c>
      <c r="GE1656" s="94"/>
      <c r="GF1656" s="104">
        <f t="shared" si="512"/>
        <v>2019</v>
      </c>
      <c r="GG1656" s="104">
        <f t="shared" si="513"/>
        <v>28</v>
      </c>
      <c r="GH1656" s="35">
        <v>43657</v>
      </c>
      <c r="GI1656" s="26">
        <v>1.538</v>
      </c>
      <c r="GJ1656" s="94">
        <f t="shared" si="514"/>
        <v>3.076</v>
      </c>
      <c r="GK1656" s="104"/>
      <c r="GL1656" s="104"/>
      <c r="GO1656" s="94"/>
    </row>
    <row r="1657" spans="3:197">
      <c r="C1657" s="80" t="str" cm="1">
        <f t="array" ref="C1657">_xlfn.IFS(MONTH(D1657)&lt;4,1,MONTH(D1657)&lt;7,2,MONTH(D1657)&lt;10,3,MONTH(D1657)&gt;9,4)&amp;"Q"&amp;RIGHT(YEAR(D1657),2)</f>
        <v>3Q22</v>
      </c>
      <c r="D1657" s="81">
        <f t="shared" si="508"/>
        <v>44804</v>
      </c>
      <c r="E1657" s="82">
        <f t="shared" si="505"/>
        <v>44802</v>
      </c>
      <c r="F1657" s="83">
        <f t="shared" si="509"/>
        <v>0.326125</v>
      </c>
      <c r="G1657" s="83">
        <f t="shared" si="509"/>
        <v>0.35625</v>
      </c>
      <c r="H1657" s="81"/>
      <c r="I1657" s="146">
        <v>44802</v>
      </c>
      <c r="J1657" s="147">
        <v>2.85</v>
      </c>
      <c r="K1657" s="147">
        <v>2.45</v>
      </c>
      <c r="L1657" s="147">
        <v>2.609</v>
      </c>
      <c r="M1657" s="59" cm="1">
        <f t="array" ref="M1657">INDEX($BV$29:$BV$1449,MATCH($D1657,$BR$29:$BR$1449,0),)</f>
        <v>2.85</v>
      </c>
      <c r="N1657" s="150">
        <f t="shared" si="510"/>
        <v>-0.00533739992375148</v>
      </c>
      <c r="O1657" s="150">
        <f t="shared" si="511"/>
        <v>-0.0283054003724394</v>
      </c>
      <c r="P1657" s="150">
        <f t="shared" si="504"/>
        <v>-0.0635319454414932</v>
      </c>
      <c r="Q1657" s="89">
        <f t="shared" si="506"/>
        <v>-0.0845614035087719</v>
      </c>
      <c r="GE1657" s="94"/>
      <c r="GF1657" s="104">
        <f t="shared" si="512"/>
        <v>2019</v>
      </c>
      <c r="GG1657" s="104">
        <f t="shared" si="513"/>
        <v>28</v>
      </c>
      <c r="GH1657" s="35">
        <v>43658</v>
      </c>
      <c r="GI1657" s="26">
        <v>1.598</v>
      </c>
      <c r="GJ1657" s="94">
        <f t="shared" si="514"/>
        <v>3.196</v>
      </c>
      <c r="GK1657" s="104"/>
      <c r="GL1657" s="104"/>
      <c r="GO1657" s="94"/>
    </row>
    <row r="1658" spans="3:197">
      <c r="C1658" s="80" t="str" cm="1">
        <f t="array" ref="C1658">_xlfn.IFS(MONTH(D1658)&lt;4,1,MONTH(D1658)&lt;7,2,MONTH(D1658)&lt;10,3,MONTH(D1658)&gt;9,4)&amp;"Q"&amp;RIGHT(YEAR(D1658),2)</f>
        <v>3Q22</v>
      </c>
      <c r="D1658" s="81">
        <f t="shared" si="508"/>
        <v>44804</v>
      </c>
      <c r="E1658" s="82">
        <f t="shared" si="505"/>
        <v>44803</v>
      </c>
      <c r="F1658" s="83">
        <f t="shared" ref="F1658:G1673" si="515">+L1658/8</f>
        <v>0.32425</v>
      </c>
      <c r="G1658" s="83">
        <f t="shared" si="515"/>
        <v>0.35625</v>
      </c>
      <c r="H1658" s="81"/>
      <c r="I1658" s="146">
        <v>44803</v>
      </c>
      <c r="J1658" s="147">
        <v>2.85</v>
      </c>
      <c r="K1658" s="147">
        <v>2.45</v>
      </c>
      <c r="L1658" s="147">
        <v>2.594</v>
      </c>
      <c r="M1658" s="59" cm="1">
        <f t="array" ref="M1658">INDEX($BV$29:$BV$1449,MATCH($D1658,$BR$29:$BR$1449,0),)</f>
        <v>2.85</v>
      </c>
      <c r="N1658" s="150">
        <f t="shared" si="510"/>
        <v>-0.00574932924492144</v>
      </c>
      <c r="O1658" s="150">
        <f t="shared" si="511"/>
        <v>-0.0281004121393781</v>
      </c>
      <c r="P1658" s="150">
        <f t="shared" si="504"/>
        <v>-0.0567272727272727</v>
      </c>
      <c r="Q1658" s="89">
        <f t="shared" si="506"/>
        <v>-0.0898245614035088</v>
      </c>
      <c r="GE1658" s="94"/>
      <c r="GF1658" s="104">
        <f t="shared" si="512"/>
        <v>2019</v>
      </c>
      <c r="GG1658" s="104">
        <f t="shared" si="513"/>
        <v>29</v>
      </c>
      <c r="GH1658" s="35">
        <v>43661</v>
      </c>
      <c r="GI1658" s="26">
        <v>1.615</v>
      </c>
      <c r="GJ1658" s="94">
        <f t="shared" si="514"/>
        <v>3.23</v>
      </c>
      <c r="GK1658" s="104"/>
      <c r="GL1658" s="104"/>
      <c r="GO1658" s="94"/>
    </row>
    <row r="1659" spans="3:197">
      <c r="C1659" s="80" t="str" cm="1">
        <f t="array" ref="C1659">_xlfn.IFS(MONTH(D1659)&lt;4,1,MONTH(D1659)&lt;7,2,MONTH(D1659)&lt;10,3,MONTH(D1659)&gt;9,4)&amp;"Q"&amp;RIGHT(YEAR(D1659),2)</f>
        <v>3Q22</v>
      </c>
      <c r="D1659" s="81">
        <f t="shared" si="508"/>
        <v>44804</v>
      </c>
      <c r="E1659" s="82">
        <f t="shared" si="505"/>
        <v>44804</v>
      </c>
      <c r="F1659" s="83">
        <f t="shared" si="515"/>
        <v>0.323875</v>
      </c>
      <c r="G1659" s="83">
        <f t="shared" si="515"/>
        <v>0.35625</v>
      </c>
      <c r="H1659" s="81"/>
      <c r="I1659" s="146">
        <v>44804</v>
      </c>
      <c r="J1659" s="147">
        <v>2.85</v>
      </c>
      <c r="K1659" s="147">
        <v>2.45</v>
      </c>
      <c r="L1659" s="147">
        <v>2.591</v>
      </c>
      <c r="M1659" s="59" cm="1">
        <f t="array" ref="M1659">INDEX($BV$29:$BV$1449,MATCH($D1659,$BR$29:$BR$1449,0),)</f>
        <v>2.85</v>
      </c>
      <c r="N1659" s="150">
        <f t="shared" si="510"/>
        <v>-0.00115651503469527</v>
      </c>
      <c r="O1659" s="150">
        <f t="shared" si="511"/>
        <v>-0.028132033008252</v>
      </c>
      <c r="P1659" s="150">
        <f t="shared" si="504"/>
        <v>-0.0523043160204827</v>
      </c>
      <c r="Q1659" s="89">
        <f t="shared" si="506"/>
        <v>-0.0908771929824561</v>
      </c>
      <c r="GE1659" s="94"/>
      <c r="GF1659" s="104">
        <f t="shared" si="512"/>
        <v>2019</v>
      </c>
      <c r="GG1659" s="104">
        <f t="shared" si="513"/>
        <v>29</v>
      </c>
      <c r="GH1659" s="35">
        <v>43662</v>
      </c>
      <c r="GI1659" s="26">
        <v>1.641</v>
      </c>
      <c r="GJ1659" s="94">
        <f t="shared" si="514"/>
        <v>3.282</v>
      </c>
      <c r="GK1659" s="104"/>
      <c r="GL1659" s="104"/>
      <c r="GO1659" s="94"/>
    </row>
    <row r="1660" spans="3:197">
      <c r="C1660" s="80" t="str" cm="1">
        <f t="array" ref="C1660">_xlfn.IFS(MONTH(D1660)&lt;4,1,MONTH(D1660)&lt;7,2,MONTH(D1660)&lt;10,3,MONTH(D1660)&gt;9,4)&amp;"Q"&amp;RIGHT(YEAR(D1660),2)</f>
        <v>3Q22</v>
      </c>
      <c r="D1660" s="81">
        <f t="shared" si="508"/>
        <v>44834</v>
      </c>
      <c r="E1660" s="82">
        <f t="shared" si="505"/>
        <v>44805</v>
      </c>
      <c r="F1660" s="83">
        <f t="shared" si="515"/>
        <v>0.321875</v>
      </c>
      <c r="G1660" s="83">
        <f t="shared" si="515"/>
        <v>0.35625</v>
      </c>
      <c r="H1660" s="81"/>
      <c r="I1660" s="146">
        <v>44805</v>
      </c>
      <c r="J1660" s="147">
        <v>2.85</v>
      </c>
      <c r="K1660" s="147">
        <v>2.37</v>
      </c>
      <c r="L1660" s="147">
        <v>2.575</v>
      </c>
      <c r="M1660" s="59" cm="1">
        <f t="array" ref="M1660">INDEX($BV$29:$BV$1449,MATCH($D1660,$BR$29:$BR$1449,0),)</f>
        <v>2.85</v>
      </c>
      <c r="N1660" s="150">
        <f t="shared" si="510"/>
        <v>-0.00617522192203779</v>
      </c>
      <c r="O1660" s="150">
        <f t="shared" si="511"/>
        <v>-0.0257283390087021</v>
      </c>
      <c r="P1660" s="150">
        <f t="shared" si="504"/>
        <v>-0.0536567438441748</v>
      </c>
      <c r="Q1660" s="89">
        <f t="shared" si="506"/>
        <v>-0.0964912280701754</v>
      </c>
      <c r="GE1660" s="94"/>
      <c r="GF1660" s="104">
        <f t="shared" si="512"/>
        <v>2019</v>
      </c>
      <c r="GG1660" s="104">
        <f t="shared" si="513"/>
        <v>29</v>
      </c>
      <c r="GH1660" s="35">
        <v>43663</v>
      </c>
      <c r="GI1660" s="26">
        <v>1.71</v>
      </c>
      <c r="GJ1660" s="94">
        <f t="shared" si="514"/>
        <v>3.42</v>
      </c>
      <c r="GK1660" s="104"/>
      <c r="GL1660" s="104"/>
      <c r="GO1660" s="94"/>
    </row>
    <row r="1661" spans="3:197">
      <c r="C1661" s="80" t="str" cm="1">
        <f t="array" ref="C1661">_xlfn.IFS(MONTH(D1661)&lt;4,1,MONTH(D1661)&lt;7,2,MONTH(D1661)&lt;10,3,MONTH(D1661)&gt;9,4)&amp;"Q"&amp;RIGHT(YEAR(D1661),2)</f>
        <v>3Q22</v>
      </c>
      <c r="D1661" s="81">
        <f t="shared" si="508"/>
        <v>44834</v>
      </c>
      <c r="E1661" s="82">
        <f t="shared" si="505"/>
        <v>44806</v>
      </c>
      <c r="F1661" s="83">
        <f t="shared" si="515"/>
        <v>0.320375</v>
      </c>
      <c r="G1661" s="83">
        <f t="shared" si="515"/>
        <v>0.35625</v>
      </c>
      <c r="H1661" s="81"/>
      <c r="I1661" s="146">
        <v>44806</v>
      </c>
      <c r="J1661" s="147">
        <v>2.85</v>
      </c>
      <c r="K1661" s="147">
        <v>2.37</v>
      </c>
      <c r="L1661" s="147">
        <v>2.563</v>
      </c>
      <c r="M1661" s="59" cm="1">
        <f t="array" ref="M1661">INDEX($BV$29:$BV$1449,MATCH($D1661,$BR$29:$BR$1449,0),)</f>
        <v>2.85</v>
      </c>
      <c r="N1661" s="150">
        <f t="shared" si="510"/>
        <v>-0.00466019417475727</v>
      </c>
      <c r="O1661" s="150">
        <f t="shared" si="511"/>
        <v>-0.0228745711017918</v>
      </c>
      <c r="P1661" s="150">
        <f t="shared" si="504"/>
        <v>-0.0475659606094387</v>
      </c>
      <c r="Q1661" s="89">
        <f t="shared" si="506"/>
        <v>-0.100701754385965</v>
      </c>
      <c r="GE1661" s="94"/>
      <c r="GF1661" s="104">
        <f t="shared" si="512"/>
        <v>2019</v>
      </c>
      <c r="GG1661" s="104">
        <f t="shared" si="513"/>
        <v>29</v>
      </c>
      <c r="GH1661" s="35">
        <v>43664</v>
      </c>
      <c r="GI1661" s="26">
        <v>1.754</v>
      </c>
      <c r="GJ1661" s="94">
        <f t="shared" si="514"/>
        <v>3.508</v>
      </c>
      <c r="GK1661" s="104"/>
      <c r="GL1661" s="104"/>
      <c r="GO1661" s="94"/>
    </row>
    <row r="1662" spans="3:197">
      <c r="C1662" s="80" t="str" cm="1">
        <f t="array" ref="C1662">_xlfn.IFS(MONTH(D1662)&lt;4,1,MONTH(D1662)&lt;7,2,MONTH(D1662)&lt;10,3,MONTH(D1662)&gt;9,4)&amp;"Q"&amp;RIGHT(YEAR(D1662),2)</f>
        <v>3Q22</v>
      </c>
      <c r="D1662" s="81">
        <f t="shared" si="508"/>
        <v>44834</v>
      </c>
      <c r="E1662" s="82">
        <f t="shared" si="505"/>
        <v>44809</v>
      </c>
      <c r="F1662" s="83">
        <f t="shared" si="515"/>
        <v>0.320875</v>
      </c>
      <c r="G1662" s="83">
        <f t="shared" si="515"/>
        <v>0.35625</v>
      </c>
      <c r="H1662" s="81"/>
      <c r="I1662" s="146">
        <v>44809</v>
      </c>
      <c r="J1662" s="147">
        <v>2.8</v>
      </c>
      <c r="K1662" s="147">
        <v>2.38</v>
      </c>
      <c r="L1662" s="147">
        <v>2.567</v>
      </c>
      <c r="M1662" s="59" cm="1">
        <f t="array" ref="M1662">INDEX($BV$29:$BV$1449,MATCH($D1662,$BR$29:$BR$1449,0),)</f>
        <v>2.85</v>
      </c>
      <c r="N1662" s="150">
        <f t="shared" si="510"/>
        <v>0.00156067108856806</v>
      </c>
      <c r="O1662" s="150">
        <f t="shared" si="511"/>
        <v>-0.01609812188578</v>
      </c>
      <c r="P1662" s="150">
        <f t="shared" si="504"/>
        <v>-0.0439478584729981</v>
      </c>
      <c r="Q1662" s="89">
        <f t="shared" si="506"/>
        <v>-0.0992982456140351</v>
      </c>
      <c r="GE1662" s="94"/>
      <c r="GF1662" s="104">
        <f t="shared" si="512"/>
        <v>2019</v>
      </c>
      <c r="GG1662" s="104">
        <f t="shared" si="513"/>
        <v>29</v>
      </c>
      <c r="GH1662" s="35">
        <v>43665</v>
      </c>
      <c r="GI1662" s="26">
        <v>1.775</v>
      </c>
      <c r="GJ1662" s="94">
        <f t="shared" si="514"/>
        <v>3.55</v>
      </c>
      <c r="GK1662" s="104"/>
      <c r="GL1662" s="104"/>
      <c r="GO1662" s="94"/>
    </row>
    <row r="1663" spans="3:197">
      <c r="C1663" s="80" t="str" cm="1">
        <f t="array" ref="C1663">_xlfn.IFS(MONTH(D1663)&lt;4,1,MONTH(D1663)&lt;7,2,MONTH(D1663)&lt;10,3,MONTH(D1663)&gt;9,4)&amp;"Q"&amp;RIGHT(YEAR(D1663),2)</f>
        <v>3Q22</v>
      </c>
      <c r="D1663" s="81">
        <f t="shared" si="508"/>
        <v>44834</v>
      </c>
      <c r="E1663" s="82">
        <f t="shared" si="505"/>
        <v>44810</v>
      </c>
      <c r="F1663" s="83">
        <f t="shared" si="515"/>
        <v>0.319625</v>
      </c>
      <c r="G1663" s="83">
        <f t="shared" si="515"/>
        <v>0.35625</v>
      </c>
      <c r="H1663" s="81"/>
      <c r="I1663" s="146">
        <v>44810</v>
      </c>
      <c r="J1663" s="147">
        <v>2.8</v>
      </c>
      <c r="K1663" s="147">
        <v>2.38</v>
      </c>
      <c r="L1663" s="147">
        <v>2.557</v>
      </c>
      <c r="M1663" s="59" cm="1">
        <f t="array" ref="M1663">INDEX($BV$29:$BV$1449,MATCH($D1663,$BR$29:$BR$1449,0),)</f>
        <v>2.85</v>
      </c>
      <c r="N1663" s="150">
        <f t="shared" si="510"/>
        <v>-0.00389559797428918</v>
      </c>
      <c r="O1663" s="150">
        <f t="shared" si="511"/>
        <v>-0.0142636854279106</v>
      </c>
      <c r="P1663" s="150">
        <f t="shared" si="504"/>
        <v>-0.0419632821281379</v>
      </c>
      <c r="Q1663" s="89">
        <f t="shared" si="506"/>
        <v>-0.10280701754386</v>
      </c>
      <c r="GE1663" s="94"/>
      <c r="GF1663" s="104">
        <f t="shared" si="512"/>
        <v>2019</v>
      </c>
      <c r="GG1663" s="104">
        <f t="shared" si="513"/>
        <v>30</v>
      </c>
      <c r="GH1663" s="35">
        <v>43668</v>
      </c>
      <c r="GI1663" s="26">
        <v>1.79</v>
      </c>
      <c r="GJ1663" s="94">
        <f t="shared" si="514"/>
        <v>3.58</v>
      </c>
      <c r="GK1663" s="104"/>
      <c r="GL1663" s="104"/>
      <c r="GO1663" s="94"/>
    </row>
    <row r="1664" spans="3:197">
      <c r="C1664" s="80" t="str" cm="1">
        <f t="array" ref="C1664">_xlfn.IFS(MONTH(D1664)&lt;4,1,MONTH(D1664)&lt;7,2,MONTH(D1664)&lt;10,3,MONTH(D1664)&gt;9,4)&amp;"Q"&amp;RIGHT(YEAR(D1664),2)</f>
        <v>3Q22</v>
      </c>
      <c r="D1664" s="81">
        <f t="shared" si="508"/>
        <v>44834</v>
      </c>
      <c r="E1664" s="82">
        <f t="shared" si="505"/>
        <v>44811</v>
      </c>
      <c r="F1664" s="83">
        <f t="shared" si="515"/>
        <v>0.318375</v>
      </c>
      <c r="G1664" s="83">
        <f t="shared" si="515"/>
        <v>0.35625</v>
      </c>
      <c r="H1664" s="81"/>
      <c r="I1664" s="146">
        <v>44811</v>
      </c>
      <c r="J1664" s="147">
        <v>2.8</v>
      </c>
      <c r="K1664" s="147">
        <v>2.37</v>
      </c>
      <c r="L1664" s="147">
        <v>2.547</v>
      </c>
      <c r="M1664" s="59" cm="1">
        <f t="array" ref="M1664">INDEX($BV$29:$BV$1449,MATCH($D1664,$BR$29:$BR$1449,0),)</f>
        <v>2.85</v>
      </c>
      <c r="N1664" s="150">
        <f t="shared" si="510"/>
        <v>-0.00391083300743045</v>
      </c>
      <c r="O1664" s="150">
        <f t="shared" si="511"/>
        <v>-0.016981860285604</v>
      </c>
      <c r="P1664" s="150">
        <f t="shared" si="504"/>
        <v>-0.0446361590397598</v>
      </c>
      <c r="Q1664" s="89">
        <f t="shared" si="506"/>
        <v>-0.106315789473684</v>
      </c>
      <c r="GE1664" s="94"/>
      <c r="GF1664" s="104">
        <f t="shared" si="512"/>
        <v>2019</v>
      </c>
      <c r="GG1664" s="104">
        <f t="shared" si="513"/>
        <v>30</v>
      </c>
      <c r="GH1664" s="35">
        <v>43669</v>
      </c>
      <c r="GI1664" s="26">
        <v>1.778</v>
      </c>
      <c r="GJ1664" s="94">
        <f t="shared" si="514"/>
        <v>3.556</v>
      </c>
      <c r="GK1664" s="104"/>
      <c r="GL1664" s="104"/>
      <c r="GO1664" s="94"/>
    </row>
    <row r="1665" spans="3:197">
      <c r="C1665" s="80" t="str" cm="1">
        <f t="array" ref="C1665">_xlfn.IFS(MONTH(D1665)&lt;4,1,MONTH(D1665)&lt;7,2,MONTH(D1665)&lt;10,3,MONTH(D1665)&gt;9,4)&amp;"Q"&amp;RIGHT(YEAR(D1665),2)</f>
        <v>3Q22</v>
      </c>
      <c r="D1665" s="81">
        <f t="shared" si="508"/>
        <v>44834</v>
      </c>
      <c r="E1665" s="82">
        <f t="shared" si="505"/>
        <v>44812</v>
      </c>
      <c r="F1665" s="83">
        <f t="shared" si="515"/>
        <v>0.316625</v>
      </c>
      <c r="G1665" s="83">
        <f t="shared" si="515"/>
        <v>0.35625</v>
      </c>
      <c r="H1665" s="81"/>
      <c r="I1665" s="146">
        <v>44812</v>
      </c>
      <c r="J1665" s="147">
        <v>2.8</v>
      </c>
      <c r="K1665" s="147">
        <v>2.37</v>
      </c>
      <c r="L1665" s="147">
        <v>2.533</v>
      </c>
      <c r="M1665" s="59" cm="1">
        <f t="array" ref="M1665">INDEX($BV$29:$BV$1449,MATCH($D1665,$BR$29:$BR$1449,0),)</f>
        <v>2.85</v>
      </c>
      <c r="N1665" s="150">
        <f t="shared" si="510"/>
        <v>-0.00549666274047911</v>
      </c>
      <c r="O1665" s="150">
        <f t="shared" si="511"/>
        <v>-0.0163106796116506</v>
      </c>
      <c r="P1665" s="150">
        <f t="shared" si="504"/>
        <v>-0.0416193719258418</v>
      </c>
      <c r="Q1665" s="89">
        <f t="shared" si="506"/>
        <v>-0.111228070175439</v>
      </c>
      <c r="GE1665" s="94"/>
      <c r="GF1665" s="104">
        <f t="shared" si="512"/>
        <v>2019</v>
      </c>
      <c r="GG1665" s="104">
        <f t="shared" si="513"/>
        <v>30</v>
      </c>
      <c r="GH1665" s="35">
        <v>43670</v>
      </c>
      <c r="GI1665" s="26">
        <v>1.759</v>
      </c>
      <c r="GJ1665" s="94">
        <f t="shared" si="514"/>
        <v>3.518</v>
      </c>
      <c r="GK1665" s="104"/>
      <c r="GL1665" s="104"/>
      <c r="GO1665" s="94"/>
    </row>
    <row r="1666" spans="3:197">
      <c r="C1666" s="80" t="str" cm="1">
        <f t="array" ref="C1666">_xlfn.IFS(MONTH(D1666)&lt;4,1,MONTH(D1666)&lt;7,2,MONTH(D1666)&lt;10,3,MONTH(D1666)&gt;9,4)&amp;"Q"&amp;RIGHT(YEAR(D1666),2)</f>
        <v>3Q22</v>
      </c>
      <c r="D1666" s="81">
        <f t="shared" si="508"/>
        <v>44834</v>
      </c>
      <c r="E1666" s="82">
        <f t="shared" si="505"/>
        <v>44813</v>
      </c>
      <c r="F1666" s="83">
        <f t="shared" si="515"/>
        <v>0.31575</v>
      </c>
      <c r="G1666" s="83">
        <f t="shared" si="515"/>
        <v>0.35625</v>
      </c>
      <c r="H1666" s="81"/>
      <c r="I1666" s="146">
        <v>44813</v>
      </c>
      <c r="J1666" s="147">
        <v>2.8</v>
      </c>
      <c r="K1666" s="147">
        <v>2.37</v>
      </c>
      <c r="L1666" s="147">
        <v>2.526</v>
      </c>
      <c r="M1666" s="59" cm="1">
        <f t="array" ref="M1666">INDEX($BV$29:$BV$1449,MATCH($D1666,$BR$29:$BR$1449,0),)</f>
        <v>2.85</v>
      </c>
      <c r="N1666" s="150">
        <f t="shared" si="510"/>
        <v>-0.00276352151598902</v>
      </c>
      <c r="O1666" s="150">
        <f t="shared" si="511"/>
        <v>-0.0144362075692549</v>
      </c>
      <c r="P1666" s="150">
        <f t="shared" si="504"/>
        <v>-0.0369805566145637</v>
      </c>
      <c r="Q1666" s="89">
        <f t="shared" si="506"/>
        <v>-0.113684210526316</v>
      </c>
      <c r="GE1666" s="94"/>
      <c r="GF1666" s="104">
        <f t="shared" si="512"/>
        <v>2019</v>
      </c>
      <c r="GG1666" s="104">
        <f t="shared" si="513"/>
        <v>30</v>
      </c>
      <c r="GH1666" s="35">
        <v>43671</v>
      </c>
      <c r="GI1666" s="26">
        <v>1.759</v>
      </c>
      <c r="GJ1666" s="94">
        <f t="shared" si="514"/>
        <v>3.518</v>
      </c>
      <c r="GK1666" s="104"/>
      <c r="GL1666" s="104"/>
      <c r="GO1666" s="94"/>
    </row>
    <row r="1667" spans="3:197">
      <c r="C1667" s="80" t="str" cm="1">
        <f t="array" ref="C1667">_xlfn.IFS(MONTH(D1667)&lt;4,1,MONTH(D1667)&lt;7,2,MONTH(D1667)&lt;10,3,MONTH(D1667)&gt;9,4)&amp;"Q"&amp;RIGHT(YEAR(D1667),2)</f>
        <v>3Q22</v>
      </c>
      <c r="D1667" s="81">
        <f t="shared" si="508"/>
        <v>44834</v>
      </c>
      <c r="E1667" s="82">
        <f t="shared" si="505"/>
        <v>44816</v>
      </c>
      <c r="F1667" s="83">
        <f t="shared" si="515"/>
        <v>0.314375</v>
      </c>
      <c r="G1667" s="83">
        <f t="shared" si="515"/>
        <v>0.35625</v>
      </c>
      <c r="H1667" s="81"/>
      <c r="I1667" s="146">
        <v>44816</v>
      </c>
      <c r="J1667" s="147">
        <v>2.82</v>
      </c>
      <c r="K1667" s="147">
        <v>2.39</v>
      </c>
      <c r="L1667" s="147">
        <v>2.515</v>
      </c>
      <c r="M1667" s="59" cm="1">
        <f t="array" ref="M1667">INDEX($BV$29:$BV$1449,MATCH($D1667,$BR$29:$BR$1449,0),)</f>
        <v>2.85</v>
      </c>
      <c r="N1667" s="150">
        <f t="shared" si="510"/>
        <v>-0.00435471100554219</v>
      </c>
      <c r="O1667" s="150">
        <f t="shared" si="511"/>
        <v>-0.0202571094663031</v>
      </c>
      <c r="P1667" s="150">
        <f t="shared" si="504"/>
        <v>-0.0360291299348409</v>
      </c>
      <c r="Q1667" s="89">
        <f t="shared" si="506"/>
        <v>-0.117543859649123</v>
      </c>
      <c r="GE1667" s="94"/>
      <c r="GF1667" s="104">
        <f t="shared" si="512"/>
        <v>2019</v>
      </c>
      <c r="GG1667" s="104">
        <f t="shared" si="513"/>
        <v>30</v>
      </c>
      <c r="GH1667" s="35">
        <v>43672</v>
      </c>
      <c r="GI1667" s="26">
        <v>1.746</v>
      </c>
      <c r="GJ1667" s="94">
        <f t="shared" si="514"/>
        <v>3.492</v>
      </c>
      <c r="GK1667" s="104"/>
      <c r="GL1667" s="104"/>
      <c r="GO1667" s="94"/>
    </row>
    <row r="1668" spans="3:197">
      <c r="C1668" s="80" t="str" cm="1">
        <f t="array" ref="C1668">_xlfn.IFS(MONTH(D1668)&lt;4,1,MONTH(D1668)&lt;7,2,MONTH(D1668)&lt;10,3,MONTH(D1668)&gt;9,4)&amp;"Q"&amp;RIGHT(YEAR(D1668),2)</f>
        <v>3Q22</v>
      </c>
      <c r="D1668" s="81">
        <f t="shared" si="508"/>
        <v>44834</v>
      </c>
      <c r="E1668" s="82">
        <f t="shared" si="505"/>
        <v>44817</v>
      </c>
      <c r="F1668" s="83">
        <f t="shared" si="515"/>
        <v>0.31375</v>
      </c>
      <c r="G1668" s="83">
        <f t="shared" si="515"/>
        <v>0.35625</v>
      </c>
      <c r="H1668" s="81"/>
      <c r="I1668" s="146">
        <v>44817</v>
      </c>
      <c r="J1668" s="147">
        <v>2.82</v>
      </c>
      <c r="K1668" s="147">
        <v>2.39</v>
      </c>
      <c r="L1668" s="147">
        <v>2.51</v>
      </c>
      <c r="M1668" s="59" cm="1">
        <f t="array" ref="M1668">INDEX($BV$29:$BV$1449,MATCH($D1668,$BR$29:$BR$1449,0),)</f>
        <v>2.85</v>
      </c>
      <c r="N1668" s="150">
        <f t="shared" si="510"/>
        <v>-0.00198807157057668</v>
      </c>
      <c r="O1668" s="150">
        <f t="shared" si="511"/>
        <v>-0.0183809151349238</v>
      </c>
      <c r="P1668" s="150">
        <f t="shared" si="504"/>
        <v>-0.0323824209714727</v>
      </c>
      <c r="Q1668" s="89">
        <f t="shared" si="506"/>
        <v>-0.119298245614035</v>
      </c>
      <c r="GE1668" s="94"/>
      <c r="GF1668" s="104">
        <f t="shared" si="512"/>
        <v>2019</v>
      </c>
      <c r="GG1668" s="104">
        <f t="shared" si="513"/>
        <v>31</v>
      </c>
      <c r="GH1668" s="35">
        <v>43675</v>
      </c>
      <c r="GI1668" s="26">
        <v>1.725</v>
      </c>
      <c r="GJ1668" s="94">
        <f t="shared" si="514"/>
        <v>3.45</v>
      </c>
      <c r="GK1668" s="104"/>
      <c r="GL1668" s="104"/>
      <c r="GO1668" s="94"/>
    </row>
    <row r="1669" spans="3:197">
      <c r="C1669" s="80" t="str" cm="1">
        <f t="array" ref="C1669">_xlfn.IFS(MONTH(D1669)&lt;4,1,MONTH(D1669)&lt;7,2,MONTH(D1669)&lt;10,3,MONTH(D1669)&gt;9,4)&amp;"Q"&amp;RIGHT(YEAR(D1669),2)</f>
        <v>3Q22</v>
      </c>
      <c r="D1669" s="81">
        <f t="shared" si="508"/>
        <v>44834</v>
      </c>
      <c r="E1669" s="82">
        <f t="shared" si="505"/>
        <v>44818</v>
      </c>
      <c r="F1669" s="83">
        <f t="shared" si="515"/>
        <v>0.31375</v>
      </c>
      <c r="G1669" s="83">
        <f t="shared" si="515"/>
        <v>0.35625</v>
      </c>
      <c r="H1669" s="81"/>
      <c r="I1669" s="146">
        <v>44818</v>
      </c>
      <c r="J1669" s="147">
        <v>2.8</v>
      </c>
      <c r="K1669" s="147">
        <v>2.39</v>
      </c>
      <c r="L1669" s="147">
        <v>2.51</v>
      </c>
      <c r="M1669" s="59" cm="1">
        <f t="array" ref="M1669">INDEX($BV$29:$BV$1449,MATCH($D1669,$BR$29:$BR$1449,0),)</f>
        <v>2.85</v>
      </c>
      <c r="N1669" s="150">
        <f t="shared" si="510"/>
        <v>0</v>
      </c>
      <c r="O1669" s="150">
        <f t="shared" si="511"/>
        <v>-0.0145268943855518</v>
      </c>
      <c r="P1669" s="150">
        <f t="shared" si="504"/>
        <v>-0.0312620609803166</v>
      </c>
      <c r="Q1669" s="89">
        <f t="shared" si="506"/>
        <v>-0.119298245614035</v>
      </c>
      <c r="GE1669" s="94"/>
      <c r="GF1669" s="104">
        <f t="shared" si="512"/>
        <v>2019</v>
      </c>
      <c r="GG1669" s="104">
        <f t="shared" si="513"/>
        <v>31</v>
      </c>
      <c r="GH1669" s="35">
        <v>43676</v>
      </c>
      <c r="GI1669" s="26">
        <v>1.717</v>
      </c>
      <c r="GJ1669" s="94">
        <f t="shared" si="514"/>
        <v>3.434</v>
      </c>
      <c r="GK1669" s="104"/>
      <c r="GL1669" s="104"/>
      <c r="GO1669" s="94"/>
    </row>
    <row r="1670" spans="3:197">
      <c r="C1670" s="80" t="str" cm="1">
        <f t="array" ref="C1670">_xlfn.IFS(MONTH(D1670)&lt;4,1,MONTH(D1670)&lt;7,2,MONTH(D1670)&lt;10,3,MONTH(D1670)&gt;9,4)&amp;"Q"&amp;RIGHT(YEAR(D1670),2)</f>
        <v>3Q22</v>
      </c>
      <c r="D1670" s="81">
        <f t="shared" si="508"/>
        <v>44834</v>
      </c>
      <c r="E1670" s="82">
        <f t="shared" si="505"/>
        <v>44819</v>
      </c>
      <c r="F1670" s="83">
        <f t="shared" si="515"/>
        <v>0.311625</v>
      </c>
      <c r="G1670" s="83">
        <f t="shared" si="515"/>
        <v>0.35625</v>
      </c>
      <c r="H1670" s="81"/>
      <c r="I1670" s="146">
        <v>44819</v>
      </c>
      <c r="J1670" s="147">
        <v>2.8</v>
      </c>
      <c r="K1670" s="147">
        <v>2.36</v>
      </c>
      <c r="L1670" s="147">
        <v>2.493</v>
      </c>
      <c r="M1670" s="59" cm="1">
        <f t="array" ref="M1670">INDEX($BV$29:$BV$1449,MATCH($D1670,$BR$29:$BR$1449,0),)</f>
        <v>2.85</v>
      </c>
      <c r="N1670" s="150">
        <f t="shared" si="510"/>
        <v>-0.00677290836653388</v>
      </c>
      <c r="O1670" s="150">
        <f t="shared" si="511"/>
        <v>-0.0157915515199368</v>
      </c>
      <c r="P1670" s="150">
        <f t="shared" si="504"/>
        <v>-0.0318446601941749</v>
      </c>
      <c r="Q1670" s="89">
        <f t="shared" si="506"/>
        <v>-0.125263157894737</v>
      </c>
      <c r="GE1670" s="94"/>
      <c r="GF1670" s="104">
        <f t="shared" si="512"/>
        <v>2019</v>
      </c>
      <c r="GG1670" s="104">
        <f t="shared" si="513"/>
        <v>31</v>
      </c>
      <c r="GH1670" s="35">
        <v>43677</v>
      </c>
      <c r="GI1670" s="26">
        <v>1.694</v>
      </c>
      <c r="GJ1670" s="94">
        <f t="shared" si="514"/>
        <v>3.388</v>
      </c>
      <c r="GK1670" s="104"/>
      <c r="GL1670" s="104"/>
      <c r="GO1670" s="94"/>
    </row>
    <row r="1671" spans="3:197">
      <c r="C1671" s="80" t="str" cm="1">
        <f t="array" ref="C1671">_xlfn.IFS(MONTH(D1671)&lt;4,1,MONTH(D1671)&lt;7,2,MONTH(D1671)&lt;10,3,MONTH(D1671)&gt;9,4)&amp;"Q"&amp;RIGHT(YEAR(D1671),2)</f>
        <v>3Q22</v>
      </c>
      <c r="D1671" s="81">
        <f t="shared" si="508"/>
        <v>44834</v>
      </c>
      <c r="E1671" s="82">
        <f t="shared" si="505"/>
        <v>44820</v>
      </c>
      <c r="F1671" s="83">
        <f t="shared" si="515"/>
        <v>0.30975</v>
      </c>
      <c r="G1671" s="83">
        <f t="shared" si="515"/>
        <v>0.35625</v>
      </c>
      <c r="H1671" s="81"/>
      <c r="I1671" s="146">
        <v>44820</v>
      </c>
      <c r="J1671" s="147">
        <v>2.8</v>
      </c>
      <c r="K1671" s="147">
        <v>2.35</v>
      </c>
      <c r="L1671" s="147">
        <v>2.478</v>
      </c>
      <c r="M1671" s="59" cm="1">
        <f t="array" ref="M1671">INDEX($BV$29:$BV$1449,MATCH($D1671,$BR$29:$BR$1449,0),)</f>
        <v>2.85</v>
      </c>
      <c r="N1671" s="150">
        <f t="shared" si="510"/>
        <v>-0.00601684717208173</v>
      </c>
      <c r="O1671" s="150">
        <f t="shared" si="511"/>
        <v>-0.019002375296912</v>
      </c>
      <c r="P1671" s="150">
        <f t="shared" si="504"/>
        <v>-0.0331642606320718</v>
      </c>
      <c r="Q1671" s="89">
        <f t="shared" si="506"/>
        <v>-0.130526315789474</v>
      </c>
      <c r="GE1671" s="94"/>
      <c r="GF1671" s="104">
        <f t="shared" si="512"/>
        <v>2019</v>
      </c>
      <c r="GG1671" s="104">
        <f t="shared" si="513"/>
        <v>31</v>
      </c>
      <c r="GH1671" s="35">
        <v>43678</v>
      </c>
      <c r="GI1671" s="26">
        <v>1.675</v>
      </c>
      <c r="GJ1671" s="94">
        <f t="shared" si="514"/>
        <v>3.35</v>
      </c>
      <c r="GK1671" s="104"/>
      <c r="GL1671" s="104"/>
      <c r="GO1671" s="94"/>
    </row>
    <row r="1672" spans="3:197">
      <c r="C1672" s="80" t="str" cm="1">
        <f t="array" ref="C1672">_xlfn.IFS(MONTH(D1672)&lt;4,1,MONTH(D1672)&lt;7,2,MONTH(D1672)&lt;10,3,MONTH(D1672)&gt;9,4)&amp;"Q"&amp;RIGHT(YEAR(D1672),2)</f>
        <v>3Q22</v>
      </c>
      <c r="D1672" s="81">
        <f t="shared" si="508"/>
        <v>44834</v>
      </c>
      <c r="E1672" s="82">
        <f t="shared" si="505"/>
        <v>44823</v>
      </c>
      <c r="F1672" s="83">
        <f t="shared" si="515"/>
        <v>0.30975</v>
      </c>
      <c r="G1672" s="83">
        <f t="shared" si="515"/>
        <v>0.35625</v>
      </c>
      <c r="H1672" s="81"/>
      <c r="I1672" s="146">
        <v>44823</v>
      </c>
      <c r="J1672" s="147">
        <v>2.8</v>
      </c>
      <c r="K1672" s="147">
        <v>2.35</v>
      </c>
      <c r="L1672" s="147">
        <v>2.478</v>
      </c>
      <c r="M1672" s="59" cm="1">
        <f t="array" ref="M1672">INDEX($BV$29:$BV$1449,MATCH($D1672,$BR$29:$BR$1449,0),)</f>
        <v>2.85</v>
      </c>
      <c r="N1672" s="150">
        <f t="shared" si="510"/>
        <v>0</v>
      </c>
      <c r="O1672" s="150">
        <f t="shared" si="511"/>
        <v>-0.0147117296222664</v>
      </c>
      <c r="P1672" s="150">
        <f t="shared" si="504"/>
        <v>-0.0346708219711725</v>
      </c>
      <c r="Q1672" s="89">
        <f t="shared" si="506"/>
        <v>-0.130526315789474</v>
      </c>
      <c r="GE1672" s="94"/>
      <c r="GF1672" s="104">
        <f t="shared" si="512"/>
        <v>2019</v>
      </c>
      <c r="GG1672" s="104">
        <f t="shared" si="513"/>
        <v>31</v>
      </c>
      <c r="GH1672" s="35">
        <v>43679</v>
      </c>
      <c r="GI1672" s="26">
        <v>1.67</v>
      </c>
      <c r="GJ1672" s="94">
        <f t="shared" si="514"/>
        <v>3.34</v>
      </c>
      <c r="GK1672" s="104"/>
      <c r="GL1672" s="104"/>
      <c r="GO1672" s="94"/>
    </row>
    <row r="1673" spans="3:197">
      <c r="C1673" s="80" t="str" cm="1">
        <f t="array" ref="C1673">_xlfn.IFS(MONTH(D1673)&lt;4,1,MONTH(D1673)&lt;7,2,MONTH(D1673)&lt;10,3,MONTH(D1673)&gt;9,4)&amp;"Q"&amp;RIGHT(YEAR(D1673),2)</f>
        <v>3Q22</v>
      </c>
      <c r="D1673" s="81">
        <f t="shared" si="508"/>
        <v>44834</v>
      </c>
      <c r="E1673" s="82">
        <f t="shared" si="505"/>
        <v>44824</v>
      </c>
      <c r="F1673" s="83">
        <f t="shared" si="515"/>
        <v>0.312375</v>
      </c>
      <c r="G1673" s="83">
        <f t="shared" si="515"/>
        <v>0.35625</v>
      </c>
      <c r="H1673" s="81"/>
      <c r="I1673" s="146">
        <v>44824</v>
      </c>
      <c r="J1673" s="147">
        <v>2.8</v>
      </c>
      <c r="K1673" s="147">
        <v>2.35</v>
      </c>
      <c r="L1673" s="147">
        <v>2.499</v>
      </c>
      <c r="M1673" s="59" cm="1">
        <f t="array" ref="M1673">INDEX($BV$29:$BV$1449,MATCH($D1673,$BR$29:$BR$1449,0),)</f>
        <v>2.85</v>
      </c>
      <c r="N1673" s="150">
        <f t="shared" si="510"/>
        <v>0.00847457627118642</v>
      </c>
      <c r="O1673" s="150">
        <f t="shared" si="511"/>
        <v>-0.00438247011952175</v>
      </c>
      <c r="P1673" s="150">
        <f t="shared" si="504"/>
        <v>-0.0226828314430974</v>
      </c>
      <c r="Q1673" s="89">
        <f t="shared" si="506"/>
        <v>-0.123157894736842</v>
      </c>
      <c r="GE1673" s="94"/>
      <c r="GF1673" s="104">
        <f t="shared" si="512"/>
        <v>2019</v>
      </c>
      <c r="GG1673" s="104">
        <f t="shared" si="513"/>
        <v>32</v>
      </c>
      <c r="GH1673" s="35">
        <v>43682</v>
      </c>
      <c r="GI1673" s="26">
        <v>1.668</v>
      </c>
      <c r="GJ1673" s="94">
        <f t="shared" si="514"/>
        <v>3.336</v>
      </c>
      <c r="GK1673" s="104"/>
      <c r="GL1673" s="104"/>
      <c r="GO1673" s="94"/>
    </row>
    <row r="1674" spans="3:197">
      <c r="C1674" s="80" t="str" cm="1">
        <f t="array" ref="C1674">_xlfn.IFS(MONTH(D1674)&lt;4,1,MONTH(D1674)&lt;7,2,MONTH(D1674)&lt;10,3,MONTH(D1674)&gt;9,4)&amp;"Q"&amp;RIGHT(YEAR(D1674),2)</f>
        <v>3Q22</v>
      </c>
      <c r="D1674" s="81">
        <f t="shared" si="508"/>
        <v>44834</v>
      </c>
      <c r="E1674" s="82">
        <f t="shared" si="505"/>
        <v>44825</v>
      </c>
      <c r="F1674" s="83">
        <f t="shared" ref="F1674:G1689" si="516">+L1674/8</f>
        <v>0.312375</v>
      </c>
      <c r="G1674" s="83">
        <f t="shared" si="516"/>
        <v>0.35625</v>
      </c>
      <c r="H1674" s="81"/>
      <c r="I1674" s="146">
        <v>44825</v>
      </c>
      <c r="J1674" s="147">
        <v>2.8</v>
      </c>
      <c r="K1674" s="147">
        <v>2.35</v>
      </c>
      <c r="L1674" s="147">
        <v>2.499</v>
      </c>
      <c r="M1674" s="59" cm="1">
        <f t="array" ref="M1674">INDEX($BV$29:$BV$1449,MATCH($D1674,$BR$29:$BR$1449,0),)</f>
        <v>2.85</v>
      </c>
      <c r="N1674" s="150">
        <f t="shared" si="510"/>
        <v>0</v>
      </c>
      <c r="O1674" s="150">
        <f t="shared" si="511"/>
        <v>-0.00438247011952175</v>
      </c>
      <c r="P1674" s="150">
        <f t="shared" si="504"/>
        <v>-0.0188457008244994</v>
      </c>
      <c r="Q1674" s="89">
        <f t="shared" si="506"/>
        <v>-0.123157894736842</v>
      </c>
      <c r="GE1674" s="94"/>
      <c r="GF1674" s="104">
        <f t="shared" si="512"/>
        <v>2019</v>
      </c>
      <c r="GG1674" s="104">
        <f t="shared" si="513"/>
        <v>32</v>
      </c>
      <c r="GH1674" s="35">
        <v>43683</v>
      </c>
      <c r="GI1674" s="26">
        <v>1.668</v>
      </c>
      <c r="GJ1674" s="94">
        <f t="shared" si="514"/>
        <v>3.336</v>
      </c>
      <c r="GK1674" s="104"/>
      <c r="GL1674" s="104"/>
      <c r="GO1674" s="94"/>
    </row>
    <row r="1675" spans="3:197">
      <c r="C1675" s="80" t="str" cm="1">
        <f t="array" ref="C1675">_xlfn.IFS(MONTH(D1675)&lt;4,1,MONTH(D1675)&lt;7,2,MONTH(D1675)&lt;10,3,MONTH(D1675)&gt;9,4)&amp;"Q"&amp;RIGHT(YEAR(D1675),2)</f>
        <v>3Q22</v>
      </c>
      <c r="D1675" s="81">
        <f t="shared" si="508"/>
        <v>44834</v>
      </c>
      <c r="E1675" s="82">
        <f t="shared" si="505"/>
        <v>44826</v>
      </c>
      <c r="F1675" s="83">
        <f t="shared" si="516"/>
        <v>0.312375</v>
      </c>
      <c r="G1675" s="83">
        <f t="shared" si="516"/>
        <v>0.35625</v>
      </c>
      <c r="H1675" s="81"/>
      <c r="I1675" s="146">
        <v>44826</v>
      </c>
      <c r="J1675" s="147">
        <v>2.8</v>
      </c>
      <c r="K1675" s="147">
        <v>2.38</v>
      </c>
      <c r="L1675" s="147">
        <v>2.499</v>
      </c>
      <c r="M1675" s="59" cm="1">
        <f t="array" ref="M1675">INDEX($BV$29:$BV$1449,MATCH($D1675,$BR$29:$BR$1449,0),)</f>
        <v>2.85</v>
      </c>
      <c r="N1675" s="150">
        <f t="shared" si="510"/>
        <v>0</v>
      </c>
      <c r="O1675" s="150">
        <f t="shared" si="511"/>
        <v>0.00240673886883291</v>
      </c>
      <c r="P1675" s="150">
        <f t="shared" si="504"/>
        <v>-0.0134228187919462</v>
      </c>
      <c r="Q1675" s="89">
        <f t="shared" si="506"/>
        <v>-0.123157894736842</v>
      </c>
      <c r="GE1675" s="94"/>
      <c r="GF1675" s="104">
        <f t="shared" si="512"/>
        <v>2019</v>
      </c>
      <c r="GG1675" s="104">
        <f t="shared" si="513"/>
        <v>32</v>
      </c>
      <c r="GH1675" s="35">
        <v>43684</v>
      </c>
      <c r="GI1675" s="26">
        <v>1.668</v>
      </c>
      <c r="GJ1675" s="94">
        <f t="shared" si="514"/>
        <v>3.336</v>
      </c>
      <c r="GK1675" s="104"/>
      <c r="GL1675" s="104"/>
      <c r="GO1675" s="94"/>
    </row>
    <row r="1676" spans="3:197">
      <c r="C1676" s="80" t="str" cm="1">
        <f t="array" ref="C1676">_xlfn.IFS(MONTH(D1676)&lt;4,1,MONTH(D1676)&lt;7,2,MONTH(D1676)&lt;10,3,MONTH(D1676)&gt;9,4)&amp;"Q"&amp;RIGHT(YEAR(D1676),2)</f>
        <v>3Q22</v>
      </c>
      <c r="D1676" s="81">
        <f t="shared" si="508"/>
        <v>44834</v>
      </c>
      <c r="E1676" s="82">
        <f t="shared" si="505"/>
        <v>44827</v>
      </c>
      <c r="F1676" s="83">
        <f t="shared" si="516"/>
        <v>0.312375</v>
      </c>
      <c r="G1676" s="83">
        <f t="shared" si="516"/>
        <v>0.35625</v>
      </c>
      <c r="H1676" s="81"/>
      <c r="I1676" s="146">
        <v>44827</v>
      </c>
      <c r="J1676" s="147">
        <v>2.8</v>
      </c>
      <c r="K1676" s="147">
        <v>2.38</v>
      </c>
      <c r="L1676" s="147">
        <v>2.499</v>
      </c>
      <c r="M1676" s="59" cm="1">
        <f t="array" ref="M1676">INDEX($BV$29:$BV$1449,MATCH($D1676,$BR$29:$BR$1449,0),)</f>
        <v>2.85</v>
      </c>
      <c r="N1676" s="150">
        <f t="shared" si="510"/>
        <v>0</v>
      </c>
      <c r="O1676" s="150">
        <f t="shared" si="511"/>
        <v>0.00847457627118642</v>
      </c>
      <c r="P1676" s="150">
        <f t="shared" si="504"/>
        <v>-0.010688836104513</v>
      </c>
      <c r="Q1676" s="89">
        <f t="shared" si="506"/>
        <v>-0.123157894736842</v>
      </c>
      <c r="GE1676" s="94"/>
      <c r="GF1676" s="104">
        <f t="shared" si="512"/>
        <v>2019</v>
      </c>
      <c r="GG1676" s="104">
        <f t="shared" si="513"/>
        <v>32</v>
      </c>
      <c r="GH1676" s="35">
        <v>43685</v>
      </c>
      <c r="GI1676" s="26">
        <v>1.668</v>
      </c>
      <c r="GJ1676" s="94">
        <f t="shared" si="514"/>
        <v>3.336</v>
      </c>
      <c r="GK1676" s="104"/>
      <c r="GL1676" s="104"/>
      <c r="GO1676" s="94"/>
    </row>
    <row r="1677" spans="3:197">
      <c r="C1677" s="80" t="str" cm="1">
        <f t="array" ref="C1677">_xlfn.IFS(MONTH(D1677)&lt;4,1,MONTH(D1677)&lt;7,2,MONTH(D1677)&lt;10,3,MONTH(D1677)&gt;9,4)&amp;"Q"&amp;RIGHT(YEAR(D1677),2)</f>
        <v>3Q22</v>
      </c>
      <c r="D1677" s="81">
        <f t="shared" si="508"/>
        <v>44834</v>
      </c>
      <c r="E1677" s="82">
        <f t="shared" si="505"/>
        <v>44830</v>
      </c>
      <c r="F1677" s="83">
        <f t="shared" si="516"/>
        <v>0.312125</v>
      </c>
      <c r="G1677" s="83">
        <f t="shared" si="516"/>
        <v>0.35625</v>
      </c>
      <c r="H1677" s="81"/>
      <c r="I1677" s="146">
        <v>44830</v>
      </c>
      <c r="J1677" s="147">
        <v>2.78</v>
      </c>
      <c r="K1677" s="147">
        <v>2.4</v>
      </c>
      <c r="L1677" s="147">
        <v>2.497</v>
      </c>
      <c r="M1677" s="59" cm="1">
        <f t="array" ref="M1677">INDEX($BV$29:$BV$1449,MATCH($D1677,$BR$29:$BR$1449,0),)</f>
        <v>2.85</v>
      </c>
      <c r="N1677" s="150">
        <f t="shared" si="510"/>
        <v>-0.000800320128051313</v>
      </c>
      <c r="O1677" s="150">
        <f t="shared" si="511"/>
        <v>0.00766747376916865</v>
      </c>
      <c r="P1677" s="150">
        <f t="shared" si="504"/>
        <v>-0.00715705765407559</v>
      </c>
      <c r="Q1677" s="89">
        <f t="shared" si="506"/>
        <v>-0.123859649122807</v>
      </c>
      <c r="GE1677" s="94"/>
      <c r="GF1677" s="104">
        <f t="shared" si="512"/>
        <v>2019</v>
      </c>
      <c r="GG1677" s="104">
        <f t="shared" si="513"/>
        <v>32</v>
      </c>
      <c r="GH1677" s="35">
        <v>43686</v>
      </c>
      <c r="GI1677" s="26">
        <v>1.668</v>
      </c>
      <c r="GJ1677" s="94">
        <f t="shared" si="514"/>
        <v>3.336</v>
      </c>
      <c r="GK1677" s="104"/>
      <c r="GL1677" s="104"/>
      <c r="GO1677" s="94"/>
    </row>
    <row r="1678" spans="3:197">
      <c r="C1678" s="80" t="str" cm="1">
        <f t="array" ref="C1678">_xlfn.IFS(MONTH(D1678)&lt;4,1,MONTH(D1678)&lt;7,2,MONTH(D1678)&lt;10,3,MONTH(D1678)&gt;9,4)&amp;"Q"&amp;RIGHT(YEAR(D1678),2)</f>
        <v>3Q22</v>
      </c>
      <c r="D1678" s="81">
        <f t="shared" si="508"/>
        <v>44834</v>
      </c>
      <c r="E1678" s="82">
        <f t="shared" si="505"/>
        <v>44831</v>
      </c>
      <c r="F1678" s="83">
        <f t="shared" si="516"/>
        <v>0.312</v>
      </c>
      <c r="G1678" s="83">
        <f t="shared" si="516"/>
        <v>0.35625</v>
      </c>
      <c r="H1678" s="81"/>
      <c r="I1678" s="146">
        <v>44831</v>
      </c>
      <c r="J1678" s="147">
        <v>2.75</v>
      </c>
      <c r="K1678" s="147">
        <v>2.4</v>
      </c>
      <c r="L1678" s="147">
        <v>2.496</v>
      </c>
      <c r="M1678" s="59" cm="1">
        <f t="array" ref="M1678">INDEX($BV$29:$BV$1449,MATCH($D1678,$BR$29:$BR$1449,0),)</f>
        <v>2.85</v>
      </c>
      <c r="N1678" s="150">
        <f t="shared" si="510"/>
        <v>-0.000400480576691953</v>
      </c>
      <c r="O1678" s="150">
        <f t="shared" si="511"/>
        <v>-0.00120048019207686</v>
      </c>
      <c r="P1678" s="150">
        <f t="shared" si="504"/>
        <v>-0.00557768924302782</v>
      </c>
      <c r="Q1678" s="89">
        <f t="shared" si="506"/>
        <v>-0.12421052631579</v>
      </c>
      <c r="GE1678" s="94"/>
      <c r="GF1678" s="104">
        <f t="shared" si="512"/>
        <v>2019</v>
      </c>
      <c r="GG1678" s="104">
        <f t="shared" si="513"/>
        <v>33</v>
      </c>
      <c r="GH1678" s="35">
        <v>43689</v>
      </c>
      <c r="GI1678" s="26">
        <v>1.668</v>
      </c>
      <c r="GJ1678" s="94">
        <f t="shared" si="514"/>
        <v>3.336</v>
      </c>
      <c r="GK1678" s="104"/>
      <c r="GL1678" s="104"/>
      <c r="GO1678" s="94"/>
    </row>
    <row r="1679" spans="3:197">
      <c r="C1679" s="80" t="str" cm="1">
        <f t="array" ref="C1679">_xlfn.IFS(MONTH(D1679)&lt;4,1,MONTH(D1679)&lt;7,2,MONTH(D1679)&lt;10,3,MONTH(D1679)&gt;9,4)&amp;"Q"&amp;RIGHT(YEAR(D1679),2)</f>
        <v>3Q22</v>
      </c>
      <c r="D1679" s="81">
        <f t="shared" si="508"/>
        <v>44834</v>
      </c>
      <c r="E1679" s="82">
        <f t="shared" si="505"/>
        <v>44832</v>
      </c>
      <c r="F1679" s="83">
        <f t="shared" si="516"/>
        <v>0.31125</v>
      </c>
      <c r="G1679" s="83">
        <f t="shared" si="516"/>
        <v>0.35625</v>
      </c>
      <c r="H1679" s="81"/>
      <c r="I1679" s="146">
        <v>44832</v>
      </c>
      <c r="J1679" s="147">
        <v>2.75</v>
      </c>
      <c r="K1679" s="147">
        <v>2.4</v>
      </c>
      <c r="L1679" s="147">
        <v>2.49</v>
      </c>
      <c r="M1679" s="59" cm="1">
        <f t="array" ref="M1679">INDEX($BV$29:$BV$1449,MATCH($D1679,$BR$29:$BR$1449,0),)</f>
        <v>2.85</v>
      </c>
      <c r="N1679" s="150">
        <f t="shared" si="510"/>
        <v>-0.00240384615384603</v>
      </c>
      <c r="O1679" s="150">
        <f t="shared" si="511"/>
        <v>-0.00360144057623046</v>
      </c>
      <c r="P1679" s="150">
        <f t="shared" ref="P1679:P1742" si="517">L1679/L1669-1</f>
        <v>-0.00796812749003972</v>
      </c>
      <c r="Q1679" s="89">
        <f t="shared" si="506"/>
        <v>-0.126315789473684</v>
      </c>
      <c r="GE1679" s="94"/>
      <c r="GF1679" s="104">
        <f t="shared" si="512"/>
        <v>2019</v>
      </c>
      <c r="GG1679" s="104">
        <f t="shared" si="513"/>
        <v>33</v>
      </c>
      <c r="GH1679" s="35">
        <v>43690</v>
      </c>
      <c r="GI1679" s="26">
        <v>1.673</v>
      </c>
      <c r="GJ1679" s="94">
        <f t="shared" si="514"/>
        <v>3.346</v>
      </c>
      <c r="GK1679" s="104"/>
      <c r="GL1679" s="104"/>
      <c r="GO1679" s="94"/>
    </row>
    <row r="1680" spans="3:197">
      <c r="C1680" s="80" t="str" cm="1">
        <f t="array" ref="C1680">_xlfn.IFS(MONTH(D1680)&lt;4,1,MONTH(D1680)&lt;7,2,MONTH(D1680)&lt;10,3,MONTH(D1680)&gt;9,4)&amp;"Q"&amp;RIGHT(YEAR(D1680),2)</f>
        <v>3Q22</v>
      </c>
      <c r="D1680" s="81">
        <f t="shared" si="508"/>
        <v>44834</v>
      </c>
      <c r="E1680" s="82">
        <f t="shared" si="505"/>
        <v>44833</v>
      </c>
      <c r="F1680" s="83">
        <f t="shared" si="516"/>
        <v>0.31075</v>
      </c>
      <c r="G1680" s="83">
        <f t="shared" si="516"/>
        <v>0.35625</v>
      </c>
      <c r="H1680" s="81"/>
      <c r="I1680" s="146">
        <v>44833</v>
      </c>
      <c r="J1680" s="147">
        <v>2.75</v>
      </c>
      <c r="K1680" s="147">
        <v>2.38</v>
      </c>
      <c r="L1680" s="147">
        <v>2.486</v>
      </c>
      <c r="M1680" s="59" cm="1">
        <f t="array" ref="M1680">INDEX($BV$29:$BV$1449,MATCH($D1680,$BR$29:$BR$1449,0),)</f>
        <v>2.85</v>
      </c>
      <c r="N1680" s="150">
        <f t="shared" si="510"/>
        <v>-0.00160642570281122</v>
      </c>
      <c r="O1680" s="150">
        <f t="shared" si="511"/>
        <v>-0.00520208083233287</v>
      </c>
      <c r="P1680" s="150">
        <f t="shared" si="517"/>
        <v>-0.00280786201363803</v>
      </c>
      <c r="Q1680" s="89">
        <f t="shared" si="506"/>
        <v>-0.127719298245614</v>
      </c>
      <c r="GE1680" s="94"/>
      <c r="GF1680" s="104">
        <f t="shared" si="512"/>
        <v>2019</v>
      </c>
      <c r="GG1680" s="104">
        <f t="shared" si="513"/>
        <v>33</v>
      </c>
      <c r="GH1680" s="35">
        <v>43691</v>
      </c>
      <c r="GI1680" s="26">
        <v>1.673</v>
      </c>
      <c r="GJ1680" s="94">
        <f t="shared" si="514"/>
        <v>3.346</v>
      </c>
      <c r="GK1680" s="104"/>
      <c r="GL1680" s="104"/>
      <c r="GO1680" s="94"/>
    </row>
    <row r="1681" spans="3:197">
      <c r="C1681" s="80" t="str" cm="1">
        <f t="array" ref="C1681">_xlfn.IFS(MONTH(D1681)&lt;4,1,MONTH(D1681)&lt;7,2,MONTH(D1681)&lt;10,3,MONTH(D1681)&gt;9,4)&amp;"Q"&amp;RIGHT(YEAR(D1681),2)</f>
        <v>3Q22</v>
      </c>
      <c r="D1681" s="81">
        <f t="shared" si="508"/>
        <v>44834</v>
      </c>
      <c r="E1681" s="82">
        <f t="shared" ref="E1681:E1744" si="518">I1681</f>
        <v>44834</v>
      </c>
      <c r="F1681" s="83">
        <f t="shared" si="516"/>
        <v>0.310125</v>
      </c>
      <c r="G1681" s="83">
        <f t="shared" si="516"/>
        <v>0.35625</v>
      </c>
      <c r="H1681" s="81"/>
      <c r="I1681" s="146">
        <v>44834</v>
      </c>
      <c r="J1681" s="147">
        <v>2.75</v>
      </c>
      <c r="K1681" s="147">
        <v>2.38</v>
      </c>
      <c r="L1681" s="147">
        <v>2.481</v>
      </c>
      <c r="M1681" s="59" cm="1">
        <f t="array" ref="M1681">INDEX($BV$29:$BV$1449,MATCH($D1681,$BR$29:$BR$1449,0),)</f>
        <v>2.85</v>
      </c>
      <c r="N1681" s="150">
        <f t="shared" si="510"/>
        <v>-0.00201126307321009</v>
      </c>
      <c r="O1681" s="150">
        <f t="shared" si="511"/>
        <v>-0.00720288115246104</v>
      </c>
      <c r="P1681" s="150">
        <f t="shared" si="517"/>
        <v>0.00121065375302654</v>
      </c>
      <c r="Q1681" s="89">
        <f t="shared" ref="Q1681:Q1744" si="519">L1681/M1681-1</f>
        <v>-0.129473684210526</v>
      </c>
      <c r="GE1681" s="94"/>
      <c r="GF1681" s="104">
        <f t="shared" si="512"/>
        <v>2019</v>
      </c>
      <c r="GG1681" s="104">
        <f t="shared" si="513"/>
        <v>33</v>
      </c>
      <c r="GH1681" s="35">
        <v>43692</v>
      </c>
      <c r="GI1681" s="26">
        <v>1.67</v>
      </c>
      <c r="GJ1681" s="94">
        <f t="shared" si="514"/>
        <v>3.34</v>
      </c>
      <c r="GK1681" s="104"/>
      <c r="GL1681" s="104"/>
      <c r="GO1681" s="94"/>
    </row>
    <row r="1682" spans="3:197">
      <c r="C1682" s="80" t="str" cm="1">
        <f t="array" ref="C1682">_xlfn.IFS(MONTH(D1682)&lt;4,1,MONTH(D1682)&lt;7,2,MONTH(D1682)&lt;10,3,MONTH(D1682)&gt;9,4)&amp;"Q"&amp;RIGHT(YEAR(D1682),2)</f>
        <v>4Q22</v>
      </c>
      <c r="D1682" s="81">
        <f t="shared" si="508"/>
        <v>44865</v>
      </c>
      <c r="E1682" s="82">
        <f t="shared" si="518"/>
        <v>44837</v>
      </c>
      <c r="F1682" s="83">
        <f t="shared" si="516"/>
        <v>0.308625</v>
      </c>
      <c r="G1682" s="83">
        <f t="shared" si="516"/>
        <v>0.27625</v>
      </c>
      <c r="H1682" s="81"/>
      <c r="I1682" s="146">
        <v>44837</v>
      </c>
      <c r="J1682" s="147">
        <v>2.74</v>
      </c>
      <c r="K1682" s="147">
        <v>2.37</v>
      </c>
      <c r="L1682" s="147">
        <v>2.469</v>
      </c>
      <c r="M1682" s="59" cm="1">
        <f t="array" ref="M1682">INDEX($BV$29:$BV$1449,MATCH($D1682,$BR$29:$BR$1449,0),)</f>
        <v>2.21</v>
      </c>
      <c r="N1682" s="150">
        <f t="shared" si="510"/>
        <v>-0.0048367593712213</v>
      </c>
      <c r="O1682" s="150">
        <f t="shared" si="511"/>
        <v>-0.0112134561473769</v>
      </c>
      <c r="P1682" s="150">
        <f t="shared" si="517"/>
        <v>-0.00363196125908005</v>
      </c>
      <c r="Q1682" s="89">
        <f t="shared" si="519"/>
        <v>0.117194570135747</v>
      </c>
      <c r="GE1682" s="94"/>
      <c r="GF1682" s="104">
        <f t="shared" si="512"/>
        <v>2019</v>
      </c>
      <c r="GG1682" s="104">
        <f t="shared" si="513"/>
        <v>33</v>
      </c>
      <c r="GH1682" s="35">
        <v>43693</v>
      </c>
      <c r="GI1682" s="26">
        <v>1.658</v>
      </c>
      <c r="GJ1682" s="94">
        <f t="shared" si="514"/>
        <v>3.316</v>
      </c>
      <c r="GK1682" s="104"/>
      <c r="GL1682" s="104"/>
      <c r="GO1682" s="94"/>
    </row>
    <row r="1683" spans="3:197">
      <c r="C1683" s="80" t="str" cm="1">
        <f t="array" ref="C1683">_xlfn.IFS(MONTH(D1683)&lt;4,1,MONTH(D1683)&lt;7,2,MONTH(D1683)&lt;10,3,MONTH(D1683)&gt;9,4)&amp;"Q"&amp;RIGHT(YEAR(D1683),2)</f>
        <v>4Q22</v>
      </c>
      <c r="D1683" s="81">
        <f t="shared" si="508"/>
        <v>44865</v>
      </c>
      <c r="E1683" s="82">
        <f t="shared" si="518"/>
        <v>44838</v>
      </c>
      <c r="F1683" s="83">
        <f t="shared" si="516"/>
        <v>0.3085</v>
      </c>
      <c r="G1683" s="83">
        <f t="shared" si="516"/>
        <v>0.27625</v>
      </c>
      <c r="H1683" s="81"/>
      <c r="I1683" s="146">
        <v>44838</v>
      </c>
      <c r="J1683" s="147">
        <v>2.74</v>
      </c>
      <c r="K1683" s="147">
        <v>2.37</v>
      </c>
      <c r="L1683" s="147">
        <v>2.468</v>
      </c>
      <c r="M1683" s="59" cm="1">
        <f t="array" ref="M1683">INDEX($BV$29:$BV$1449,MATCH($D1683,$BR$29:$BR$1449,0),)</f>
        <v>2.21</v>
      </c>
      <c r="N1683" s="150">
        <f t="shared" si="510"/>
        <v>-0.000405022276225186</v>
      </c>
      <c r="O1683" s="150">
        <f t="shared" si="511"/>
        <v>-0.0112179487179487</v>
      </c>
      <c r="P1683" s="150">
        <f t="shared" si="517"/>
        <v>-0.012404961984794</v>
      </c>
      <c r="Q1683" s="89">
        <f t="shared" si="519"/>
        <v>0.116742081447964</v>
      </c>
      <c r="GE1683" s="94"/>
      <c r="GF1683" s="104">
        <f t="shared" si="512"/>
        <v>2019</v>
      </c>
      <c r="GG1683" s="104">
        <f t="shared" si="513"/>
        <v>34</v>
      </c>
      <c r="GH1683" s="35">
        <v>43696</v>
      </c>
      <c r="GI1683" s="26">
        <v>1.653</v>
      </c>
      <c r="GJ1683" s="94">
        <f t="shared" si="514"/>
        <v>3.306</v>
      </c>
      <c r="GK1683" s="104"/>
      <c r="GL1683" s="104"/>
      <c r="GO1683" s="94"/>
    </row>
    <row r="1684" spans="3:197">
      <c r="C1684" s="80" t="str" cm="1">
        <f t="array" ref="C1684">_xlfn.IFS(MONTH(D1684)&lt;4,1,MONTH(D1684)&lt;7,2,MONTH(D1684)&lt;10,3,MONTH(D1684)&gt;9,4)&amp;"Q"&amp;RIGHT(YEAR(D1684),2)</f>
        <v>4Q22</v>
      </c>
      <c r="D1684" s="81">
        <f t="shared" si="508"/>
        <v>44865</v>
      </c>
      <c r="E1684" s="82">
        <f t="shared" si="518"/>
        <v>44839</v>
      </c>
      <c r="F1684" s="83">
        <f t="shared" si="516"/>
        <v>0.3085</v>
      </c>
      <c r="G1684" s="83">
        <f t="shared" si="516"/>
        <v>0.27625</v>
      </c>
      <c r="H1684" s="81"/>
      <c r="I1684" s="146">
        <v>44839</v>
      </c>
      <c r="J1684" s="147">
        <v>2.74</v>
      </c>
      <c r="K1684" s="147">
        <v>2.37</v>
      </c>
      <c r="L1684" s="147">
        <v>2.468</v>
      </c>
      <c r="M1684" s="59" cm="1">
        <f t="array" ref="M1684">INDEX($BV$29:$BV$1449,MATCH($D1684,$BR$29:$BR$1449,0),)</f>
        <v>2.21</v>
      </c>
      <c r="N1684" s="150">
        <f t="shared" si="510"/>
        <v>0</v>
      </c>
      <c r="O1684" s="150">
        <f t="shared" si="511"/>
        <v>-0.00883534136546194</v>
      </c>
      <c r="P1684" s="150">
        <f t="shared" si="517"/>
        <v>-0.012404961984794</v>
      </c>
      <c r="Q1684" s="89">
        <f t="shared" si="519"/>
        <v>0.116742081447964</v>
      </c>
      <c r="GE1684" s="94"/>
      <c r="GF1684" s="104">
        <f t="shared" si="512"/>
        <v>2019</v>
      </c>
      <c r="GG1684" s="104">
        <f t="shared" si="513"/>
        <v>34</v>
      </c>
      <c r="GH1684" s="35">
        <v>43697</v>
      </c>
      <c r="GI1684" s="26">
        <v>1.648</v>
      </c>
      <c r="GJ1684" s="94">
        <f t="shared" si="514"/>
        <v>3.296</v>
      </c>
      <c r="GK1684" s="104"/>
      <c r="GL1684" s="104"/>
      <c r="GO1684" s="94"/>
    </row>
    <row r="1685" spans="3:197">
      <c r="C1685" s="80" t="str" cm="1">
        <f t="array" ref="C1685">_xlfn.IFS(MONTH(D1685)&lt;4,1,MONTH(D1685)&lt;7,2,MONTH(D1685)&lt;10,3,MONTH(D1685)&gt;9,4)&amp;"Q"&amp;RIGHT(YEAR(D1685),2)</f>
        <v>4Q22</v>
      </c>
      <c r="D1685" s="81">
        <f t="shared" si="508"/>
        <v>44865</v>
      </c>
      <c r="E1685" s="82">
        <f t="shared" si="518"/>
        <v>44840</v>
      </c>
      <c r="F1685" s="83">
        <f t="shared" si="516"/>
        <v>0.308375</v>
      </c>
      <c r="G1685" s="83">
        <f t="shared" si="516"/>
        <v>0.27625</v>
      </c>
      <c r="H1685" s="81"/>
      <c r="I1685" s="146">
        <v>44840</v>
      </c>
      <c r="J1685" s="147">
        <v>2.74</v>
      </c>
      <c r="K1685" s="147">
        <v>2.37</v>
      </c>
      <c r="L1685" s="147">
        <v>2.467</v>
      </c>
      <c r="M1685" s="59" cm="1">
        <f t="array" ref="M1685">INDEX($BV$29:$BV$1449,MATCH($D1685,$BR$29:$BR$1449,0),)</f>
        <v>2.21</v>
      </c>
      <c r="N1685" s="150">
        <f t="shared" si="510"/>
        <v>-0.000405186385737388</v>
      </c>
      <c r="O1685" s="150">
        <f t="shared" si="511"/>
        <v>-0.00764279967819792</v>
      </c>
      <c r="P1685" s="150">
        <f t="shared" si="517"/>
        <v>-0.0128051220488196</v>
      </c>
      <c r="Q1685" s="89">
        <f t="shared" si="519"/>
        <v>0.116289592760181</v>
      </c>
      <c r="GE1685" s="94"/>
      <c r="GF1685" s="104">
        <f t="shared" si="512"/>
        <v>2019</v>
      </c>
      <c r="GG1685" s="104">
        <f t="shared" si="513"/>
        <v>34</v>
      </c>
      <c r="GH1685" s="35">
        <v>43698</v>
      </c>
      <c r="GI1685" s="26">
        <v>1.645</v>
      </c>
      <c r="GJ1685" s="94">
        <f t="shared" si="514"/>
        <v>3.29</v>
      </c>
      <c r="GK1685" s="104"/>
      <c r="GL1685" s="104"/>
      <c r="GO1685" s="94"/>
    </row>
    <row r="1686" spans="3:197">
      <c r="C1686" s="80" t="str" cm="1">
        <f t="array" ref="C1686">_xlfn.IFS(MONTH(D1686)&lt;4,1,MONTH(D1686)&lt;7,2,MONTH(D1686)&lt;10,3,MONTH(D1686)&gt;9,4)&amp;"Q"&amp;RIGHT(YEAR(D1686),2)</f>
        <v>4Q22</v>
      </c>
      <c r="D1686" s="81">
        <f t="shared" si="508"/>
        <v>44865</v>
      </c>
      <c r="E1686" s="82">
        <f t="shared" si="518"/>
        <v>44841</v>
      </c>
      <c r="F1686" s="83">
        <f t="shared" si="516"/>
        <v>0.30825</v>
      </c>
      <c r="G1686" s="83">
        <f t="shared" si="516"/>
        <v>0.27625</v>
      </c>
      <c r="H1686" s="81"/>
      <c r="I1686" s="146">
        <v>44841</v>
      </c>
      <c r="J1686" s="147">
        <v>2.74</v>
      </c>
      <c r="K1686" s="147">
        <v>2.37</v>
      </c>
      <c r="L1686" s="147">
        <v>2.466</v>
      </c>
      <c r="M1686" s="59" cm="1">
        <f t="array" ref="M1686">INDEX($BV$29:$BV$1449,MATCH($D1686,$BR$29:$BR$1449,0),)</f>
        <v>2.21</v>
      </c>
      <c r="N1686" s="150">
        <f t="shared" si="510"/>
        <v>-0.000405350628293388</v>
      </c>
      <c r="O1686" s="150">
        <f t="shared" si="511"/>
        <v>-0.00604594921402646</v>
      </c>
      <c r="P1686" s="150">
        <f t="shared" si="517"/>
        <v>-0.0132052821128451</v>
      </c>
      <c r="Q1686" s="89">
        <f t="shared" si="519"/>
        <v>0.115837104072398</v>
      </c>
      <c r="GE1686" s="94"/>
      <c r="GF1686" s="104">
        <f t="shared" si="512"/>
        <v>2019</v>
      </c>
      <c r="GG1686" s="104">
        <f t="shared" si="513"/>
        <v>34</v>
      </c>
      <c r="GH1686" s="35">
        <v>43699</v>
      </c>
      <c r="GI1686" s="26">
        <v>1.645</v>
      </c>
      <c r="GJ1686" s="94">
        <f t="shared" si="514"/>
        <v>3.29</v>
      </c>
      <c r="GK1686" s="104"/>
      <c r="GL1686" s="104"/>
      <c r="GO1686" s="94"/>
    </row>
    <row r="1687" spans="3:197">
      <c r="C1687" s="80" t="str" cm="1">
        <f t="array" ref="C1687">_xlfn.IFS(MONTH(D1687)&lt;4,1,MONTH(D1687)&lt;7,2,MONTH(D1687)&lt;10,3,MONTH(D1687)&gt;9,4)&amp;"Q"&amp;RIGHT(YEAR(D1687),2)</f>
        <v>4Q22</v>
      </c>
      <c r="D1687" s="81">
        <f t="shared" si="508"/>
        <v>44865</v>
      </c>
      <c r="E1687" s="82">
        <f t="shared" si="518"/>
        <v>44844</v>
      </c>
      <c r="F1687" s="83">
        <f t="shared" si="516"/>
        <v>0.30825</v>
      </c>
      <c r="G1687" s="83">
        <f t="shared" si="516"/>
        <v>0.27625</v>
      </c>
      <c r="H1687" s="81"/>
      <c r="I1687" s="146">
        <v>44844</v>
      </c>
      <c r="J1687" s="147">
        <v>2.74</v>
      </c>
      <c r="K1687" s="147">
        <v>2.37</v>
      </c>
      <c r="L1687" s="147">
        <v>2.466</v>
      </c>
      <c r="M1687" s="59" cm="1">
        <f t="array" ref="M1687">INDEX($BV$29:$BV$1449,MATCH($D1687,$BR$29:$BR$1449,0),)</f>
        <v>2.21</v>
      </c>
      <c r="N1687" s="150">
        <f t="shared" si="510"/>
        <v>0</v>
      </c>
      <c r="O1687" s="150">
        <f t="shared" si="511"/>
        <v>-0.00121506682867545</v>
      </c>
      <c r="P1687" s="150">
        <f t="shared" si="517"/>
        <v>-0.0124148978774529</v>
      </c>
      <c r="Q1687" s="89">
        <f t="shared" si="519"/>
        <v>0.115837104072398</v>
      </c>
      <c r="GE1687" s="94"/>
      <c r="GF1687" s="104">
        <f t="shared" si="512"/>
        <v>2019</v>
      </c>
      <c r="GG1687" s="104">
        <f t="shared" si="513"/>
        <v>34</v>
      </c>
      <c r="GH1687" s="35">
        <v>43700</v>
      </c>
      <c r="GI1687" s="26">
        <v>1.64</v>
      </c>
      <c r="GJ1687" s="94">
        <f t="shared" si="514"/>
        <v>3.28</v>
      </c>
      <c r="GK1687" s="104"/>
      <c r="GL1687" s="104"/>
      <c r="GO1687" s="94"/>
    </row>
    <row r="1688" spans="3:197">
      <c r="C1688" s="80" t="str" cm="1">
        <f t="array" ref="C1688">_xlfn.IFS(MONTH(D1688)&lt;4,1,MONTH(D1688)&lt;7,2,MONTH(D1688)&lt;10,3,MONTH(D1688)&gt;9,4)&amp;"Q"&amp;RIGHT(YEAR(D1688),2)</f>
        <v>4Q22</v>
      </c>
      <c r="D1688" s="81">
        <f t="shared" si="508"/>
        <v>44865</v>
      </c>
      <c r="E1688" s="82">
        <f t="shared" si="518"/>
        <v>44845</v>
      </c>
      <c r="F1688" s="83">
        <f t="shared" si="516"/>
        <v>0.306875</v>
      </c>
      <c r="G1688" s="83">
        <f t="shared" si="516"/>
        <v>0.27625</v>
      </c>
      <c r="H1688" s="81"/>
      <c r="I1688" s="146">
        <v>44845</v>
      </c>
      <c r="J1688" s="147">
        <v>2.74</v>
      </c>
      <c r="K1688" s="147">
        <v>2.35</v>
      </c>
      <c r="L1688" s="147">
        <v>2.455</v>
      </c>
      <c r="M1688" s="59" cm="1">
        <f t="array" ref="M1688">INDEX($BV$29:$BV$1449,MATCH($D1688,$BR$29:$BR$1449,0),)</f>
        <v>2.21</v>
      </c>
      <c r="N1688" s="150">
        <f t="shared" si="510"/>
        <v>-0.00446066504460674</v>
      </c>
      <c r="O1688" s="150">
        <f t="shared" si="511"/>
        <v>-0.00526742301458671</v>
      </c>
      <c r="P1688" s="150">
        <f t="shared" si="517"/>
        <v>-0.016426282051282</v>
      </c>
      <c r="Q1688" s="89">
        <f t="shared" si="519"/>
        <v>0.110859728506787</v>
      </c>
      <c r="GE1688" s="94"/>
      <c r="GF1688" s="104">
        <f t="shared" si="512"/>
        <v>2019</v>
      </c>
      <c r="GG1688" s="104">
        <f t="shared" si="513"/>
        <v>35</v>
      </c>
      <c r="GH1688" s="35">
        <v>43703</v>
      </c>
      <c r="GI1688" s="26">
        <v>1.64</v>
      </c>
      <c r="GJ1688" s="94">
        <f t="shared" si="514"/>
        <v>3.28</v>
      </c>
      <c r="GK1688" s="104"/>
      <c r="GL1688" s="104"/>
      <c r="GO1688" s="94"/>
    </row>
    <row r="1689" spans="3:197">
      <c r="C1689" s="80" t="str" cm="1">
        <f t="array" ref="C1689">_xlfn.IFS(MONTH(D1689)&lt;4,1,MONTH(D1689)&lt;7,2,MONTH(D1689)&lt;10,3,MONTH(D1689)&gt;9,4)&amp;"Q"&amp;RIGHT(YEAR(D1689),2)</f>
        <v>4Q22</v>
      </c>
      <c r="D1689" s="81">
        <f t="shared" si="508"/>
        <v>44865</v>
      </c>
      <c r="E1689" s="82">
        <f t="shared" si="518"/>
        <v>44846</v>
      </c>
      <c r="F1689" s="83">
        <f t="shared" si="516"/>
        <v>0.3065</v>
      </c>
      <c r="G1689" s="83">
        <f t="shared" si="516"/>
        <v>0.27625</v>
      </c>
      <c r="H1689" s="81"/>
      <c r="I1689" s="146">
        <v>44846</v>
      </c>
      <c r="J1689" s="147">
        <v>2.7</v>
      </c>
      <c r="K1689" s="147">
        <v>2.35</v>
      </c>
      <c r="L1689" s="147">
        <v>2.452</v>
      </c>
      <c r="M1689" s="59" cm="1">
        <f t="array" ref="M1689">INDEX($BV$29:$BV$1449,MATCH($D1689,$BR$29:$BR$1449,0),)</f>
        <v>2.21</v>
      </c>
      <c r="N1689" s="150">
        <f t="shared" si="510"/>
        <v>-0.00122199592668026</v>
      </c>
      <c r="O1689" s="150">
        <f t="shared" si="511"/>
        <v>-0.00648298217179899</v>
      </c>
      <c r="P1689" s="150">
        <f t="shared" si="517"/>
        <v>-0.0152610441767069</v>
      </c>
      <c r="Q1689" s="89">
        <f t="shared" si="519"/>
        <v>0.109502262443439</v>
      </c>
      <c r="GE1689" s="94"/>
      <c r="GF1689" s="104">
        <f t="shared" si="512"/>
        <v>2019</v>
      </c>
      <c r="GG1689" s="104">
        <f t="shared" si="513"/>
        <v>35</v>
      </c>
      <c r="GH1689" s="35">
        <v>43704</v>
      </c>
      <c r="GI1689" s="26">
        <v>1.64</v>
      </c>
      <c r="GJ1689" s="94">
        <f t="shared" si="514"/>
        <v>3.28</v>
      </c>
      <c r="GK1689" s="104"/>
      <c r="GL1689" s="104"/>
      <c r="GO1689" s="94"/>
    </row>
    <row r="1690" spans="3:197">
      <c r="C1690" s="80" t="str" cm="1">
        <f t="array" ref="C1690">_xlfn.IFS(MONTH(D1690)&lt;4,1,MONTH(D1690)&lt;7,2,MONTH(D1690)&lt;10,3,MONTH(D1690)&gt;9,4)&amp;"Q"&amp;RIGHT(YEAR(D1690),2)</f>
        <v>4Q22</v>
      </c>
      <c r="D1690" s="81">
        <f t="shared" si="508"/>
        <v>44865</v>
      </c>
      <c r="E1690" s="82">
        <f t="shared" si="518"/>
        <v>44847</v>
      </c>
      <c r="F1690" s="83">
        <f t="shared" ref="F1690:G1705" si="520">+L1690/8</f>
        <v>0.305875</v>
      </c>
      <c r="G1690" s="83">
        <f t="shared" si="520"/>
        <v>0.27625</v>
      </c>
      <c r="H1690" s="81"/>
      <c r="I1690" s="146">
        <v>44847</v>
      </c>
      <c r="J1690" s="147">
        <v>2.7</v>
      </c>
      <c r="K1690" s="147">
        <v>2.35</v>
      </c>
      <c r="L1690" s="147">
        <v>2.447</v>
      </c>
      <c r="M1690" s="59" cm="1">
        <f t="array" ref="M1690">INDEX($BV$29:$BV$1449,MATCH($D1690,$BR$29:$BR$1449,0),)</f>
        <v>2.21</v>
      </c>
      <c r="N1690" s="150">
        <f t="shared" si="510"/>
        <v>-0.00203915171288738</v>
      </c>
      <c r="O1690" s="150">
        <f t="shared" si="511"/>
        <v>-0.00810701256586943</v>
      </c>
      <c r="P1690" s="150">
        <f t="shared" si="517"/>
        <v>-0.0156878519710378</v>
      </c>
      <c r="Q1690" s="89">
        <f t="shared" si="519"/>
        <v>0.107239819004525</v>
      </c>
      <c r="GE1690" s="94"/>
      <c r="GF1690" s="104">
        <f t="shared" si="512"/>
        <v>2019</v>
      </c>
      <c r="GG1690" s="104">
        <f t="shared" si="513"/>
        <v>35</v>
      </c>
      <c r="GH1690" s="35">
        <v>43705</v>
      </c>
      <c r="GI1690" s="26">
        <v>1.638</v>
      </c>
      <c r="GJ1690" s="94">
        <f t="shared" si="514"/>
        <v>3.276</v>
      </c>
      <c r="GK1690" s="104"/>
      <c r="GL1690" s="104"/>
      <c r="GO1690" s="94"/>
    </row>
    <row r="1691" spans="3:197">
      <c r="C1691" s="80" t="str" cm="1">
        <f t="array" ref="C1691">_xlfn.IFS(MONTH(D1691)&lt;4,1,MONTH(D1691)&lt;7,2,MONTH(D1691)&lt;10,3,MONTH(D1691)&gt;9,4)&amp;"Q"&amp;RIGHT(YEAR(D1691),2)</f>
        <v>4Q22</v>
      </c>
      <c r="D1691" s="81">
        <f t="shared" si="508"/>
        <v>44865</v>
      </c>
      <c r="E1691" s="82">
        <f t="shared" si="518"/>
        <v>44848</v>
      </c>
      <c r="F1691" s="83">
        <f t="shared" si="520"/>
        <v>0.305</v>
      </c>
      <c r="G1691" s="83">
        <f t="shared" si="520"/>
        <v>0.27625</v>
      </c>
      <c r="H1691" s="81"/>
      <c r="I1691" s="146">
        <v>44848</v>
      </c>
      <c r="J1691" s="147">
        <v>2.7</v>
      </c>
      <c r="K1691" s="147">
        <v>2.35</v>
      </c>
      <c r="L1691" s="147">
        <v>2.44</v>
      </c>
      <c r="M1691" s="59" cm="1">
        <f t="array" ref="M1691">INDEX($BV$29:$BV$1449,MATCH($D1691,$BR$29:$BR$1449,0),)</f>
        <v>2.21</v>
      </c>
      <c r="N1691" s="150">
        <f t="shared" si="510"/>
        <v>-0.00286064568859834</v>
      </c>
      <c r="O1691" s="150">
        <f t="shared" si="511"/>
        <v>-0.010543390105434</v>
      </c>
      <c r="P1691" s="150">
        <f t="shared" si="517"/>
        <v>-0.0165255945183393</v>
      </c>
      <c r="Q1691" s="89">
        <f t="shared" si="519"/>
        <v>0.104072398190045</v>
      </c>
      <c r="GE1691" s="94"/>
      <c r="GF1691" s="104">
        <f t="shared" si="512"/>
        <v>2019</v>
      </c>
      <c r="GG1691" s="104">
        <f t="shared" si="513"/>
        <v>35</v>
      </c>
      <c r="GH1691" s="35">
        <v>43706</v>
      </c>
      <c r="GI1691" s="26">
        <v>1.638</v>
      </c>
      <c r="GJ1691" s="94">
        <f t="shared" si="514"/>
        <v>3.276</v>
      </c>
      <c r="GK1691" s="104"/>
      <c r="GL1691" s="104"/>
      <c r="GO1691" s="94"/>
    </row>
    <row r="1692" spans="3:197">
      <c r="C1692" s="80" t="str" cm="1">
        <f t="array" ref="C1692">_xlfn.IFS(MONTH(D1692)&lt;4,1,MONTH(D1692)&lt;7,2,MONTH(D1692)&lt;10,3,MONTH(D1692)&gt;9,4)&amp;"Q"&amp;RIGHT(YEAR(D1692),2)</f>
        <v>4Q22</v>
      </c>
      <c r="D1692" s="81">
        <f t="shared" si="508"/>
        <v>44865</v>
      </c>
      <c r="E1692" s="82">
        <f t="shared" si="518"/>
        <v>44851</v>
      </c>
      <c r="F1692" s="83">
        <f t="shared" si="520"/>
        <v>0.304375</v>
      </c>
      <c r="G1692" s="83">
        <f t="shared" si="520"/>
        <v>0.27625</v>
      </c>
      <c r="H1692" s="81"/>
      <c r="I1692" s="146">
        <v>44851</v>
      </c>
      <c r="J1692" s="147">
        <v>2.65</v>
      </c>
      <c r="K1692" s="147">
        <v>2.32</v>
      </c>
      <c r="L1692" s="147">
        <v>2.435</v>
      </c>
      <c r="M1692" s="59" cm="1">
        <f t="array" ref="M1692">INDEX($BV$29:$BV$1449,MATCH($D1692,$BR$29:$BR$1449,0),)</f>
        <v>2.21</v>
      </c>
      <c r="N1692" s="150">
        <f t="shared" si="510"/>
        <v>-0.00204918032786883</v>
      </c>
      <c r="O1692" s="150">
        <f t="shared" si="511"/>
        <v>-0.0125709651257097</v>
      </c>
      <c r="P1692" s="150">
        <f t="shared" si="517"/>
        <v>-0.0137707573916565</v>
      </c>
      <c r="Q1692" s="89">
        <f t="shared" si="519"/>
        <v>0.101809954751131</v>
      </c>
      <c r="GE1692" s="94"/>
      <c r="GF1692" s="104">
        <f t="shared" si="512"/>
        <v>2019</v>
      </c>
      <c r="GG1692" s="104">
        <f t="shared" si="513"/>
        <v>35</v>
      </c>
      <c r="GH1692" s="35">
        <v>43707</v>
      </c>
      <c r="GI1692" s="26">
        <v>1.633</v>
      </c>
      <c r="GJ1692" s="94">
        <f t="shared" si="514"/>
        <v>3.266</v>
      </c>
      <c r="GK1692" s="104"/>
      <c r="GL1692" s="104"/>
      <c r="GO1692" s="94"/>
    </row>
    <row r="1693" spans="3:197">
      <c r="C1693" s="80" t="str" cm="1">
        <f t="array" ref="C1693">_xlfn.IFS(MONTH(D1693)&lt;4,1,MONTH(D1693)&lt;7,2,MONTH(D1693)&lt;10,3,MONTH(D1693)&gt;9,4)&amp;"Q"&amp;RIGHT(YEAR(D1693),2)</f>
        <v>4Q22</v>
      </c>
      <c r="D1693" s="81">
        <f t="shared" si="508"/>
        <v>44865</v>
      </c>
      <c r="E1693" s="82">
        <f t="shared" si="518"/>
        <v>44852</v>
      </c>
      <c r="F1693" s="83">
        <f t="shared" si="520"/>
        <v>0.3025</v>
      </c>
      <c r="G1693" s="83">
        <f t="shared" si="520"/>
        <v>0.27625</v>
      </c>
      <c r="H1693" s="81"/>
      <c r="I1693" s="146">
        <v>44852</v>
      </c>
      <c r="J1693" s="147">
        <v>2.65</v>
      </c>
      <c r="K1693" s="147">
        <v>2.3</v>
      </c>
      <c r="L1693" s="147">
        <v>2.42</v>
      </c>
      <c r="M1693" s="59" cm="1">
        <f t="array" ref="M1693">INDEX($BV$29:$BV$1449,MATCH($D1693,$BR$29:$BR$1449,0),)</f>
        <v>2.21</v>
      </c>
      <c r="N1693" s="150">
        <f t="shared" si="510"/>
        <v>-0.00616016427104726</v>
      </c>
      <c r="O1693" s="150">
        <f t="shared" si="511"/>
        <v>-0.0142566191446029</v>
      </c>
      <c r="P1693" s="150">
        <f t="shared" si="517"/>
        <v>-0.0194489465153971</v>
      </c>
      <c r="Q1693" s="89">
        <f t="shared" si="519"/>
        <v>0.095022624434389</v>
      </c>
      <c r="GE1693" s="94"/>
      <c r="GF1693" s="104">
        <f t="shared" si="512"/>
        <v>2019</v>
      </c>
      <c r="GG1693" s="104">
        <f t="shared" si="513"/>
        <v>36</v>
      </c>
      <c r="GH1693" s="35">
        <v>43710</v>
      </c>
      <c r="GI1693" s="26">
        <v>1.63</v>
      </c>
      <c r="GJ1693" s="94">
        <f t="shared" si="514"/>
        <v>3.26</v>
      </c>
      <c r="GK1693" s="104"/>
      <c r="GL1693" s="104"/>
      <c r="GO1693" s="94"/>
    </row>
    <row r="1694" spans="3:197">
      <c r="C1694" s="80" t="str" cm="1">
        <f t="array" ref="C1694">_xlfn.IFS(MONTH(D1694)&lt;4,1,MONTH(D1694)&lt;7,2,MONTH(D1694)&lt;10,3,MONTH(D1694)&gt;9,4)&amp;"Q"&amp;RIGHT(YEAR(D1694),2)</f>
        <v>4Q22</v>
      </c>
      <c r="D1694" s="81">
        <f t="shared" ref="D1694:D1757" si="521">EOMONTH(E1694,0)</f>
        <v>44865</v>
      </c>
      <c r="E1694" s="82">
        <f t="shared" si="518"/>
        <v>44853</v>
      </c>
      <c r="F1694" s="83">
        <f t="shared" si="520"/>
        <v>0.301375</v>
      </c>
      <c r="G1694" s="83">
        <f t="shared" si="520"/>
        <v>0.27625</v>
      </c>
      <c r="H1694" s="81"/>
      <c r="I1694" s="146">
        <v>44853</v>
      </c>
      <c r="J1694" s="147">
        <v>2.65</v>
      </c>
      <c r="K1694" s="147">
        <v>2.3</v>
      </c>
      <c r="L1694" s="147">
        <v>2.411</v>
      </c>
      <c r="M1694" s="59" cm="1">
        <f t="array" ref="M1694">INDEX($BV$29:$BV$1449,MATCH($D1694,$BR$29:$BR$1449,0),)</f>
        <v>2.21</v>
      </c>
      <c r="N1694" s="150">
        <f t="shared" si="510"/>
        <v>-0.00371900826446281</v>
      </c>
      <c r="O1694" s="150">
        <f t="shared" si="511"/>
        <v>-0.016721044045677</v>
      </c>
      <c r="P1694" s="150">
        <f t="shared" si="517"/>
        <v>-0.023095623987034</v>
      </c>
      <c r="Q1694" s="89">
        <f t="shared" si="519"/>
        <v>0.090950226244344</v>
      </c>
      <c r="GE1694" s="94"/>
      <c r="GF1694" s="104">
        <f t="shared" si="512"/>
        <v>2019</v>
      </c>
      <c r="GG1694" s="104">
        <f t="shared" si="513"/>
        <v>36</v>
      </c>
      <c r="GH1694" s="35">
        <v>43711</v>
      </c>
      <c r="GI1694" s="26">
        <v>1.63</v>
      </c>
      <c r="GJ1694" s="94">
        <f t="shared" si="514"/>
        <v>3.26</v>
      </c>
      <c r="GK1694" s="104"/>
      <c r="GL1694" s="104"/>
      <c r="GO1694" s="94"/>
    </row>
    <row r="1695" spans="3:197">
      <c r="C1695" s="80" t="str" cm="1">
        <f t="array" ref="C1695">_xlfn.IFS(MONTH(D1695)&lt;4,1,MONTH(D1695)&lt;7,2,MONTH(D1695)&lt;10,3,MONTH(D1695)&gt;9,4)&amp;"Q"&amp;RIGHT(YEAR(D1695),2)</f>
        <v>4Q22</v>
      </c>
      <c r="D1695" s="81">
        <f t="shared" si="521"/>
        <v>44865</v>
      </c>
      <c r="E1695" s="82">
        <f t="shared" si="518"/>
        <v>44854</v>
      </c>
      <c r="F1695" s="83">
        <f t="shared" si="520"/>
        <v>0.30075</v>
      </c>
      <c r="G1695" s="83">
        <f t="shared" si="520"/>
        <v>0.27625</v>
      </c>
      <c r="H1695" s="81"/>
      <c r="I1695" s="146">
        <v>44854</v>
      </c>
      <c r="J1695" s="147">
        <v>2.65</v>
      </c>
      <c r="K1695" s="147">
        <v>2.3</v>
      </c>
      <c r="L1695" s="147">
        <v>2.406</v>
      </c>
      <c r="M1695" s="59" cm="1">
        <f t="array" ref="M1695">INDEX($BV$29:$BV$1449,MATCH($D1695,$BR$29:$BR$1449,0),)</f>
        <v>2.21</v>
      </c>
      <c r="N1695" s="150">
        <f t="shared" si="510"/>
        <v>-0.00207382828701774</v>
      </c>
      <c r="O1695" s="150">
        <f t="shared" si="511"/>
        <v>-0.01675521046179</v>
      </c>
      <c r="P1695" s="150">
        <f t="shared" si="517"/>
        <v>-0.0247263883259019</v>
      </c>
      <c r="Q1695" s="89">
        <f t="shared" si="519"/>
        <v>0.08868778280543</v>
      </c>
      <c r="GE1695" s="94"/>
      <c r="GF1695" s="104">
        <f t="shared" si="512"/>
        <v>2019</v>
      </c>
      <c r="GG1695" s="104">
        <f t="shared" si="513"/>
        <v>36</v>
      </c>
      <c r="GH1695" s="35">
        <v>43712</v>
      </c>
      <c r="GI1695" s="26">
        <v>1.625</v>
      </c>
      <c r="GJ1695" s="94">
        <f t="shared" si="514"/>
        <v>3.25</v>
      </c>
      <c r="GK1695" s="104"/>
      <c r="GL1695" s="104"/>
      <c r="GO1695" s="94"/>
    </row>
    <row r="1696" spans="3:197">
      <c r="C1696" s="80" t="str" cm="1">
        <f t="array" ref="C1696">_xlfn.IFS(MONTH(D1696)&lt;4,1,MONTH(D1696)&lt;7,2,MONTH(D1696)&lt;10,3,MONTH(D1696)&gt;9,4)&amp;"Q"&amp;RIGHT(YEAR(D1696),2)</f>
        <v>4Q22</v>
      </c>
      <c r="D1696" s="81">
        <f t="shared" si="521"/>
        <v>44865</v>
      </c>
      <c r="E1696" s="82">
        <f t="shared" si="518"/>
        <v>44855</v>
      </c>
      <c r="F1696" s="83">
        <f t="shared" si="520"/>
        <v>0.299875</v>
      </c>
      <c r="G1696" s="83">
        <f t="shared" si="520"/>
        <v>0.27625</v>
      </c>
      <c r="H1696" s="81"/>
      <c r="I1696" s="146">
        <v>44855</v>
      </c>
      <c r="J1696" s="147">
        <v>2.65</v>
      </c>
      <c r="K1696" s="147">
        <v>2.3</v>
      </c>
      <c r="L1696" s="147">
        <v>2.399</v>
      </c>
      <c r="M1696" s="59" cm="1">
        <f t="array" ref="M1696">INDEX($BV$29:$BV$1449,MATCH($D1696,$BR$29:$BR$1449,0),)</f>
        <v>2.21</v>
      </c>
      <c r="N1696" s="150">
        <f t="shared" si="510"/>
        <v>-0.00290939318370742</v>
      </c>
      <c r="O1696" s="150">
        <f t="shared" si="511"/>
        <v>-0.0168032786885246</v>
      </c>
      <c r="P1696" s="150">
        <f t="shared" si="517"/>
        <v>-0.0271695052716951</v>
      </c>
      <c r="Q1696" s="89">
        <f t="shared" si="519"/>
        <v>0.0855203619909501</v>
      </c>
      <c r="GE1696" s="94"/>
      <c r="GF1696" s="104">
        <f t="shared" si="512"/>
        <v>2019</v>
      </c>
      <c r="GG1696" s="104">
        <f t="shared" si="513"/>
        <v>36</v>
      </c>
      <c r="GH1696" s="35">
        <v>43713</v>
      </c>
      <c r="GI1696" s="26">
        <v>1.613</v>
      </c>
      <c r="GJ1696" s="94">
        <f t="shared" si="514"/>
        <v>3.226</v>
      </c>
      <c r="GK1696" s="104"/>
      <c r="GL1696" s="104"/>
      <c r="GO1696" s="94"/>
    </row>
    <row r="1697" spans="3:197">
      <c r="C1697" s="80" t="str" cm="1">
        <f t="array" ref="C1697">_xlfn.IFS(MONTH(D1697)&lt;4,1,MONTH(D1697)&lt;7,2,MONTH(D1697)&lt;10,3,MONTH(D1697)&gt;9,4)&amp;"Q"&amp;RIGHT(YEAR(D1697),2)</f>
        <v>4Q22</v>
      </c>
      <c r="D1697" s="81">
        <f t="shared" si="521"/>
        <v>44865</v>
      </c>
      <c r="E1697" s="82">
        <f t="shared" si="518"/>
        <v>44858</v>
      </c>
      <c r="F1697" s="83">
        <f t="shared" si="520"/>
        <v>0.296125</v>
      </c>
      <c r="G1697" s="83">
        <f t="shared" si="520"/>
        <v>0.27625</v>
      </c>
      <c r="H1697" s="81"/>
      <c r="I1697" s="146">
        <v>44858</v>
      </c>
      <c r="J1697" s="147">
        <v>2.63</v>
      </c>
      <c r="K1697" s="147">
        <v>2.2</v>
      </c>
      <c r="L1697" s="147">
        <v>2.369</v>
      </c>
      <c r="M1697" s="59" cm="1">
        <f t="array" ref="M1697">INDEX($BV$29:$BV$1449,MATCH($D1697,$BR$29:$BR$1449,0),)</f>
        <v>2.21</v>
      </c>
      <c r="N1697" s="150">
        <f t="shared" si="510"/>
        <v>-0.0125052105043767</v>
      </c>
      <c r="O1697" s="150">
        <f t="shared" si="511"/>
        <v>-0.0271047227926078</v>
      </c>
      <c r="P1697" s="150">
        <f t="shared" si="517"/>
        <v>-0.0393349553933495</v>
      </c>
      <c r="Q1697" s="89">
        <f t="shared" si="519"/>
        <v>0.0719457013574663</v>
      </c>
      <c r="GE1697" s="94"/>
      <c r="GF1697" s="104">
        <f t="shared" si="512"/>
        <v>2019</v>
      </c>
      <c r="GG1697" s="104">
        <f t="shared" si="513"/>
        <v>36</v>
      </c>
      <c r="GH1697" s="35">
        <v>43714</v>
      </c>
      <c r="GI1697" s="26">
        <v>1.605</v>
      </c>
      <c r="GJ1697" s="94">
        <f t="shared" si="514"/>
        <v>3.21</v>
      </c>
      <c r="GK1697" s="104"/>
      <c r="GL1697" s="104"/>
      <c r="GO1697" s="94"/>
    </row>
    <row r="1698" spans="3:197">
      <c r="C1698" s="80" t="str" cm="1">
        <f t="array" ref="C1698">_xlfn.IFS(MONTH(D1698)&lt;4,1,MONTH(D1698)&lt;7,2,MONTH(D1698)&lt;10,3,MONTH(D1698)&gt;9,4)&amp;"Q"&amp;RIGHT(YEAR(D1698),2)</f>
        <v>4Q22</v>
      </c>
      <c r="D1698" s="81">
        <f t="shared" si="521"/>
        <v>44865</v>
      </c>
      <c r="E1698" s="82">
        <f t="shared" si="518"/>
        <v>44859</v>
      </c>
      <c r="F1698" s="83">
        <f t="shared" si="520"/>
        <v>0.29325</v>
      </c>
      <c r="G1698" s="83">
        <f t="shared" si="520"/>
        <v>0.27625</v>
      </c>
      <c r="H1698" s="81"/>
      <c r="I1698" s="146">
        <v>44859</v>
      </c>
      <c r="J1698" s="147">
        <v>2.6</v>
      </c>
      <c r="K1698" s="147">
        <v>2.2</v>
      </c>
      <c r="L1698" s="147">
        <v>2.346</v>
      </c>
      <c r="M1698" s="59" cm="1">
        <f t="array" ref="M1698">INDEX($BV$29:$BV$1449,MATCH($D1698,$BR$29:$BR$1449,0),)</f>
        <v>2.21</v>
      </c>
      <c r="N1698" s="150">
        <f t="shared" si="510"/>
        <v>-0.00970873786407778</v>
      </c>
      <c r="O1698" s="150">
        <f t="shared" si="511"/>
        <v>-0.0305785123966942</v>
      </c>
      <c r="P1698" s="150">
        <f t="shared" si="517"/>
        <v>-0.0443991853360489</v>
      </c>
      <c r="Q1698" s="89">
        <f t="shared" si="519"/>
        <v>0.0615384615384615</v>
      </c>
      <c r="GE1698" s="94"/>
      <c r="GF1698" s="104">
        <f t="shared" si="512"/>
        <v>2019</v>
      </c>
      <c r="GG1698" s="104">
        <f t="shared" si="513"/>
        <v>37</v>
      </c>
      <c r="GH1698" s="35">
        <v>43717</v>
      </c>
      <c r="GI1698" s="26">
        <v>1.603</v>
      </c>
      <c r="GJ1698" s="94">
        <f t="shared" si="514"/>
        <v>3.206</v>
      </c>
      <c r="GK1698" s="104"/>
      <c r="GL1698" s="104"/>
      <c r="GO1698" s="94"/>
    </row>
    <row r="1699" spans="3:197">
      <c r="C1699" s="80" t="str" cm="1">
        <f t="array" ref="C1699">_xlfn.IFS(MONTH(D1699)&lt;4,1,MONTH(D1699)&lt;7,2,MONTH(D1699)&lt;10,3,MONTH(D1699)&gt;9,4)&amp;"Q"&amp;RIGHT(YEAR(D1699),2)</f>
        <v>4Q22</v>
      </c>
      <c r="D1699" s="81">
        <f t="shared" si="521"/>
        <v>44865</v>
      </c>
      <c r="E1699" s="82">
        <f t="shared" si="518"/>
        <v>44860</v>
      </c>
      <c r="F1699" s="83">
        <f t="shared" si="520"/>
        <v>0.291</v>
      </c>
      <c r="G1699" s="83">
        <f t="shared" si="520"/>
        <v>0.27625</v>
      </c>
      <c r="H1699" s="81"/>
      <c r="I1699" s="146">
        <v>44860</v>
      </c>
      <c r="J1699" s="147">
        <v>2.6</v>
      </c>
      <c r="K1699" s="147">
        <v>2.2</v>
      </c>
      <c r="L1699" s="147">
        <v>2.328</v>
      </c>
      <c r="M1699" s="59" cm="1">
        <f t="array" ref="M1699">INDEX($BV$29:$BV$1449,MATCH($D1699,$BR$29:$BR$1449,0),)</f>
        <v>2.21</v>
      </c>
      <c r="N1699" s="150">
        <f t="shared" si="510"/>
        <v>-0.00767263427109988</v>
      </c>
      <c r="O1699" s="150">
        <f t="shared" si="511"/>
        <v>-0.0344255495644962</v>
      </c>
      <c r="P1699" s="150">
        <f t="shared" si="517"/>
        <v>-0.0505709624796086</v>
      </c>
      <c r="Q1699" s="89">
        <f t="shared" si="519"/>
        <v>0.0533936651583711</v>
      </c>
      <c r="GE1699" s="94"/>
      <c r="GF1699" s="104">
        <f t="shared" si="512"/>
        <v>2019</v>
      </c>
      <c r="GG1699" s="104">
        <f t="shared" si="513"/>
        <v>37</v>
      </c>
      <c r="GH1699" s="35">
        <v>43718</v>
      </c>
      <c r="GI1699" s="26">
        <v>1.603</v>
      </c>
      <c r="GJ1699" s="94">
        <f t="shared" si="514"/>
        <v>3.206</v>
      </c>
      <c r="GK1699" s="104"/>
      <c r="GL1699" s="104"/>
      <c r="GO1699" s="94"/>
    </row>
    <row r="1700" spans="3:197">
      <c r="C1700" s="80" t="str" cm="1">
        <f t="array" ref="C1700">_xlfn.IFS(MONTH(D1700)&lt;4,1,MONTH(D1700)&lt;7,2,MONTH(D1700)&lt;10,3,MONTH(D1700)&gt;9,4)&amp;"Q"&amp;RIGHT(YEAR(D1700),2)</f>
        <v>4Q22</v>
      </c>
      <c r="D1700" s="81">
        <f t="shared" si="521"/>
        <v>44865</v>
      </c>
      <c r="E1700" s="82">
        <f t="shared" si="518"/>
        <v>44861</v>
      </c>
      <c r="F1700" s="83">
        <f t="shared" si="520"/>
        <v>0.288</v>
      </c>
      <c r="G1700" s="83">
        <f t="shared" si="520"/>
        <v>0.27625</v>
      </c>
      <c r="H1700" s="81"/>
      <c r="I1700" s="146">
        <v>44861</v>
      </c>
      <c r="J1700" s="147">
        <v>2.55</v>
      </c>
      <c r="K1700" s="147">
        <v>2.2</v>
      </c>
      <c r="L1700" s="147">
        <v>2.304</v>
      </c>
      <c r="M1700" s="59" cm="1">
        <f t="array" ref="M1700">INDEX($BV$29:$BV$1449,MATCH($D1700,$BR$29:$BR$1449,0),)</f>
        <v>2.21</v>
      </c>
      <c r="N1700" s="150">
        <f t="shared" si="510"/>
        <v>-0.0103092783505154</v>
      </c>
      <c r="O1700" s="150">
        <f t="shared" si="511"/>
        <v>-0.0423940149625937</v>
      </c>
      <c r="P1700" s="150">
        <f t="shared" si="517"/>
        <v>-0.058438904781365</v>
      </c>
      <c r="Q1700" s="89">
        <f t="shared" si="519"/>
        <v>0.0425339366515836</v>
      </c>
      <c r="GE1700" s="94"/>
      <c r="GF1700" s="104">
        <f t="shared" si="512"/>
        <v>2019</v>
      </c>
      <c r="GG1700" s="104">
        <f t="shared" si="513"/>
        <v>37</v>
      </c>
      <c r="GH1700" s="35">
        <v>43719</v>
      </c>
      <c r="GI1700" s="26">
        <v>1.603</v>
      </c>
      <c r="GJ1700" s="94">
        <f t="shared" si="514"/>
        <v>3.206</v>
      </c>
      <c r="GK1700" s="104"/>
      <c r="GL1700" s="104"/>
      <c r="GO1700" s="94"/>
    </row>
    <row r="1701" spans="3:197">
      <c r="C1701" s="80" t="str" cm="1">
        <f t="array" ref="C1701">_xlfn.IFS(MONTH(D1701)&lt;4,1,MONTH(D1701)&lt;7,2,MONTH(D1701)&lt;10,3,MONTH(D1701)&gt;9,4)&amp;"Q"&amp;RIGHT(YEAR(D1701),2)</f>
        <v>4Q22</v>
      </c>
      <c r="D1701" s="81">
        <f t="shared" si="521"/>
        <v>44865</v>
      </c>
      <c r="E1701" s="82">
        <f t="shared" si="518"/>
        <v>44862</v>
      </c>
      <c r="F1701" s="83">
        <f t="shared" si="520"/>
        <v>0.283375</v>
      </c>
      <c r="G1701" s="83">
        <f t="shared" si="520"/>
        <v>0.27625</v>
      </c>
      <c r="H1701" s="81"/>
      <c r="I1701" s="146">
        <v>44862</v>
      </c>
      <c r="J1701" s="147">
        <v>2.52</v>
      </c>
      <c r="K1701" s="147">
        <v>2.12</v>
      </c>
      <c r="L1701" s="147">
        <v>2.267</v>
      </c>
      <c r="M1701" s="59" cm="1">
        <f t="array" ref="M1701">INDEX($BV$29:$BV$1449,MATCH($D1701,$BR$29:$BR$1449,0),)</f>
        <v>2.21</v>
      </c>
      <c r="N1701" s="150">
        <f t="shared" si="510"/>
        <v>-0.0160590277777778</v>
      </c>
      <c r="O1701" s="150">
        <f t="shared" si="511"/>
        <v>-0.0550229262192581</v>
      </c>
      <c r="P1701" s="150">
        <f t="shared" si="517"/>
        <v>-0.0709016393442623</v>
      </c>
      <c r="Q1701" s="89">
        <f t="shared" si="519"/>
        <v>0.0257918552036198</v>
      </c>
      <c r="GE1701" s="94"/>
      <c r="GF1701" s="104">
        <f t="shared" si="512"/>
        <v>2019</v>
      </c>
      <c r="GG1701" s="104">
        <f t="shared" si="513"/>
        <v>37</v>
      </c>
      <c r="GH1701" s="35">
        <v>43720</v>
      </c>
      <c r="GI1701" s="26">
        <v>1.598</v>
      </c>
      <c r="GJ1701" s="94">
        <f t="shared" si="514"/>
        <v>3.196</v>
      </c>
      <c r="GK1701" s="104"/>
      <c r="GL1701" s="104"/>
      <c r="GO1701" s="94"/>
    </row>
    <row r="1702" spans="3:197">
      <c r="C1702" s="80" t="str" cm="1">
        <f t="array" ref="C1702">_xlfn.IFS(MONTH(D1702)&lt;4,1,MONTH(D1702)&lt;7,2,MONTH(D1702)&lt;10,3,MONTH(D1702)&gt;9,4)&amp;"Q"&amp;RIGHT(YEAR(D1702),2)</f>
        <v>4Q22</v>
      </c>
      <c r="D1702" s="81">
        <f t="shared" si="521"/>
        <v>44865</v>
      </c>
      <c r="E1702" s="82">
        <f t="shared" si="518"/>
        <v>44865</v>
      </c>
      <c r="F1702" s="83">
        <f t="shared" si="520"/>
        <v>0.278875</v>
      </c>
      <c r="G1702" s="83">
        <f t="shared" si="520"/>
        <v>0.27625</v>
      </c>
      <c r="H1702" s="81"/>
      <c r="I1702" s="146">
        <v>44865</v>
      </c>
      <c r="J1702" s="147">
        <v>2.5</v>
      </c>
      <c r="K1702" s="147">
        <v>2.1</v>
      </c>
      <c r="L1702" s="147">
        <v>2.231</v>
      </c>
      <c r="M1702" s="59" cm="1">
        <f t="array" ref="M1702">INDEX($BV$29:$BV$1449,MATCH($D1702,$BR$29:$BR$1449,0),)</f>
        <v>2.21</v>
      </c>
      <c r="N1702" s="150">
        <f t="shared" si="510"/>
        <v>-0.0158800176444641</v>
      </c>
      <c r="O1702" s="150">
        <f t="shared" si="511"/>
        <v>-0.0582524271844661</v>
      </c>
      <c r="P1702" s="150">
        <f t="shared" si="517"/>
        <v>-0.0837782340862424</v>
      </c>
      <c r="Q1702" s="89">
        <f t="shared" si="519"/>
        <v>0.00950226244343888</v>
      </c>
      <c r="GE1702" s="94"/>
      <c r="GF1702" s="104">
        <f t="shared" si="512"/>
        <v>2019</v>
      </c>
      <c r="GG1702" s="104">
        <f t="shared" si="513"/>
        <v>38</v>
      </c>
      <c r="GH1702" s="35">
        <v>43724</v>
      </c>
      <c r="GI1702" s="26">
        <v>1.598</v>
      </c>
      <c r="GJ1702" s="94">
        <f t="shared" si="514"/>
        <v>3.196</v>
      </c>
      <c r="GK1702" s="104"/>
      <c r="GL1702" s="104"/>
      <c r="GO1702" s="94"/>
    </row>
    <row r="1703" spans="3:197">
      <c r="C1703" s="80" t="str" cm="1">
        <f t="array" ref="C1703">_xlfn.IFS(MONTH(D1703)&lt;4,1,MONTH(D1703)&lt;7,2,MONTH(D1703)&lt;10,3,MONTH(D1703)&gt;9,4)&amp;"Q"&amp;RIGHT(YEAR(D1703),2)</f>
        <v>4Q22</v>
      </c>
      <c r="D1703" s="81">
        <f t="shared" si="521"/>
        <v>44895</v>
      </c>
      <c r="E1703" s="82">
        <f t="shared" si="518"/>
        <v>44866</v>
      </c>
      <c r="F1703" s="83">
        <f t="shared" si="520"/>
        <v>0.278375</v>
      </c>
      <c r="G1703" s="83">
        <f t="shared" si="520"/>
        <v>0.27625</v>
      </c>
      <c r="H1703" s="81"/>
      <c r="I1703" s="146">
        <v>44866</v>
      </c>
      <c r="J1703" s="147">
        <v>2.5</v>
      </c>
      <c r="K1703" s="147">
        <v>2.08</v>
      </c>
      <c r="L1703" s="147">
        <v>2.227</v>
      </c>
      <c r="M1703" s="59" cm="1">
        <f t="array" ref="M1703">INDEX($BV$29:$BV$1449,MATCH($D1703,$BR$29:$BR$1449,0),)</f>
        <v>2.21</v>
      </c>
      <c r="N1703" s="150">
        <f t="shared" si="510"/>
        <v>-0.00179291797400272</v>
      </c>
      <c r="O1703" s="150">
        <f t="shared" si="511"/>
        <v>-0.0507246376811595</v>
      </c>
      <c r="P1703" s="150">
        <f t="shared" si="517"/>
        <v>-0.0797520661157025</v>
      </c>
      <c r="Q1703" s="89">
        <f t="shared" si="519"/>
        <v>0.00769230769230766</v>
      </c>
      <c r="GE1703" s="94"/>
      <c r="GF1703" s="104">
        <f t="shared" si="512"/>
        <v>2019</v>
      </c>
      <c r="GG1703" s="104">
        <f t="shared" si="513"/>
        <v>38</v>
      </c>
      <c r="GH1703" s="35">
        <v>43725</v>
      </c>
      <c r="GI1703" s="26">
        <v>1.596</v>
      </c>
      <c r="GJ1703" s="94">
        <f t="shared" si="514"/>
        <v>3.192</v>
      </c>
      <c r="GK1703" s="104"/>
      <c r="GL1703" s="104"/>
      <c r="GO1703" s="94"/>
    </row>
    <row r="1704" spans="3:197">
      <c r="C1704" s="80" t="str" cm="1">
        <f t="array" ref="C1704">_xlfn.IFS(MONTH(D1704)&lt;4,1,MONTH(D1704)&lt;7,2,MONTH(D1704)&lt;10,3,MONTH(D1704)&gt;9,4)&amp;"Q"&amp;RIGHT(YEAR(D1704),2)</f>
        <v>4Q22</v>
      </c>
      <c r="D1704" s="81">
        <f t="shared" si="521"/>
        <v>44895</v>
      </c>
      <c r="E1704" s="82">
        <f t="shared" si="518"/>
        <v>44867</v>
      </c>
      <c r="F1704" s="83">
        <f t="shared" si="520"/>
        <v>0.27775</v>
      </c>
      <c r="G1704" s="83">
        <f t="shared" si="520"/>
        <v>0.27625</v>
      </c>
      <c r="H1704" s="81"/>
      <c r="I1704" s="146">
        <v>44867</v>
      </c>
      <c r="J1704" s="147">
        <v>2.5</v>
      </c>
      <c r="K1704" s="147">
        <v>2.08</v>
      </c>
      <c r="L1704" s="147">
        <v>2.222</v>
      </c>
      <c r="M1704" s="59" cm="1">
        <f t="array" ref="M1704">INDEX($BV$29:$BV$1449,MATCH($D1704,$BR$29:$BR$1449,0),)</f>
        <v>2.21</v>
      </c>
      <c r="N1704" s="150">
        <f t="shared" si="510"/>
        <v>-0.00224517287831161</v>
      </c>
      <c r="O1704" s="150">
        <f t="shared" si="511"/>
        <v>-0.0455326460481099</v>
      </c>
      <c r="P1704" s="150">
        <f t="shared" si="517"/>
        <v>-0.0783907092492742</v>
      </c>
      <c r="Q1704" s="89">
        <f t="shared" si="519"/>
        <v>0.00542986425339365</v>
      </c>
      <c r="GE1704" s="94"/>
      <c r="GF1704" s="104">
        <f t="shared" si="512"/>
        <v>2019</v>
      </c>
      <c r="GG1704" s="104">
        <f t="shared" si="513"/>
        <v>38</v>
      </c>
      <c r="GH1704" s="35">
        <v>43726</v>
      </c>
      <c r="GI1704" s="26">
        <v>1.596</v>
      </c>
      <c r="GJ1704" s="94">
        <f t="shared" si="514"/>
        <v>3.192</v>
      </c>
      <c r="GK1704" s="104"/>
      <c r="GL1704" s="104"/>
      <c r="GO1704" s="94"/>
    </row>
    <row r="1705" spans="3:197">
      <c r="C1705" s="80" t="str" cm="1">
        <f t="array" ref="C1705">_xlfn.IFS(MONTH(D1705)&lt;4,1,MONTH(D1705)&lt;7,2,MONTH(D1705)&lt;10,3,MONTH(D1705)&gt;9,4)&amp;"Q"&amp;RIGHT(YEAR(D1705),2)</f>
        <v>4Q22</v>
      </c>
      <c r="D1705" s="81">
        <f t="shared" si="521"/>
        <v>44895</v>
      </c>
      <c r="E1705" s="82">
        <f t="shared" si="518"/>
        <v>44868</v>
      </c>
      <c r="F1705" s="83">
        <f t="shared" si="520"/>
        <v>0.27525</v>
      </c>
      <c r="G1705" s="83">
        <f t="shared" si="520"/>
        <v>0.27625</v>
      </c>
      <c r="H1705" s="81"/>
      <c r="I1705" s="146">
        <v>44868</v>
      </c>
      <c r="J1705" s="147">
        <v>2.45</v>
      </c>
      <c r="K1705" s="147">
        <v>2.05</v>
      </c>
      <c r="L1705" s="147">
        <v>2.202</v>
      </c>
      <c r="M1705" s="59" cm="1">
        <f t="array" ref="M1705">INDEX($BV$29:$BV$1449,MATCH($D1705,$BR$29:$BR$1449,0),)</f>
        <v>2.21</v>
      </c>
      <c r="N1705" s="150">
        <f t="shared" si="510"/>
        <v>-0.00900090009000898</v>
      </c>
      <c r="O1705" s="150">
        <f t="shared" si="511"/>
        <v>-0.0442708333333333</v>
      </c>
      <c r="P1705" s="150">
        <f t="shared" si="517"/>
        <v>-0.0847880299251871</v>
      </c>
      <c r="Q1705" s="89">
        <f t="shared" si="519"/>
        <v>-0.00361990950226243</v>
      </c>
      <c r="GE1705" s="94"/>
      <c r="GF1705" s="104">
        <f t="shared" si="512"/>
        <v>2019</v>
      </c>
      <c r="GG1705" s="104">
        <f t="shared" si="513"/>
        <v>38</v>
      </c>
      <c r="GH1705" s="35">
        <v>43727</v>
      </c>
      <c r="GI1705" s="26">
        <v>1.596</v>
      </c>
      <c r="GJ1705" s="94">
        <f t="shared" si="514"/>
        <v>3.192</v>
      </c>
      <c r="GK1705" s="104"/>
      <c r="GL1705" s="104"/>
      <c r="GO1705" s="94"/>
    </row>
    <row r="1706" spans="3:197">
      <c r="C1706" s="80" t="str" cm="1">
        <f t="array" ref="C1706">_xlfn.IFS(MONTH(D1706)&lt;4,1,MONTH(D1706)&lt;7,2,MONTH(D1706)&lt;10,3,MONTH(D1706)&gt;9,4)&amp;"Q"&amp;RIGHT(YEAR(D1706),2)</f>
        <v>4Q22</v>
      </c>
      <c r="D1706" s="81">
        <f t="shared" si="521"/>
        <v>44895</v>
      </c>
      <c r="E1706" s="82">
        <f t="shared" si="518"/>
        <v>44869</v>
      </c>
      <c r="F1706" s="83">
        <f t="shared" ref="F1706:G1721" si="522">+L1706/8</f>
        <v>0.27325</v>
      </c>
      <c r="G1706" s="83">
        <f t="shared" si="522"/>
        <v>0.27625</v>
      </c>
      <c r="H1706" s="81"/>
      <c r="I1706" s="146">
        <v>44869</v>
      </c>
      <c r="J1706" s="147">
        <v>2.45</v>
      </c>
      <c r="K1706" s="147">
        <v>2.05</v>
      </c>
      <c r="L1706" s="147">
        <v>2.186</v>
      </c>
      <c r="M1706" s="59" cm="1">
        <f t="array" ref="M1706">INDEX($BV$29:$BV$1449,MATCH($D1706,$BR$29:$BR$1449,0),)</f>
        <v>2.21</v>
      </c>
      <c r="N1706" s="150">
        <f t="shared" si="510"/>
        <v>-0.0072661217075386</v>
      </c>
      <c r="O1706" s="150">
        <f t="shared" si="511"/>
        <v>-0.0357300397000441</v>
      </c>
      <c r="P1706" s="150">
        <f t="shared" si="517"/>
        <v>-0.0887869945810755</v>
      </c>
      <c r="Q1706" s="89">
        <f t="shared" si="519"/>
        <v>-0.0108597285067873</v>
      </c>
      <c r="GE1706" s="94"/>
      <c r="GF1706" s="104">
        <f t="shared" si="512"/>
        <v>2019</v>
      </c>
      <c r="GG1706" s="104">
        <f t="shared" si="513"/>
        <v>38</v>
      </c>
      <c r="GH1706" s="35">
        <v>43728</v>
      </c>
      <c r="GI1706" s="26">
        <v>1.596</v>
      </c>
      <c r="GJ1706" s="94">
        <f t="shared" si="514"/>
        <v>3.192</v>
      </c>
      <c r="GK1706" s="104"/>
      <c r="GL1706" s="104"/>
      <c r="GO1706" s="94"/>
    </row>
    <row r="1707" spans="3:197">
      <c r="C1707" s="80" t="str" cm="1">
        <f t="array" ref="C1707">_xlfn.IFS(MONTH(D1707)&lt;4,1,MONTH(D1707)&lt;7,2,MONTH(D1707)&lt;10,3,MONTH(D1707)&gt;9,4)&amp;"Q"&amp;RIGHT(YEAR(D1707),2)</f>
        <v>4Q22</v>
      </c>
      <c r="D1707" s="81">
        <f t="shared" si="521"/>
        <v>44895</v>
      </c>
      <c r="E1707" s="82">
        <f t="shared" si="518"/>
        <v>44872</v>
      </c>
      <c r="F1707" s="83">
        <f t="shared" si="522"/>
        <v>0.271375</v>
      </c>
      <c r="G1707" s="83">
        <f t="shared" si="522"/>
        <v>0.27625</v>
      </c>
      <c r="H1707" s="81"/>
      <c r="I1707" s="146">
        <v>44872</v>
      </c>
      <c r="J1707" s="147">
        <v>2.45</v>
      </c>
      <c r="K1707" s="147">
        <v>2.04</v>
      </c>
      <c r="L1707" s="147">
        <v>2.171</v>
      </c>
      <c r="M1707" s="59" cm="1">
        <f t="array" ref="M1707">INDEX($BV$29:$BV$1449,MATCH($D1707,$BR$29:$BR$1449,0),)</f>
        <v>2.21</v>
      </c>
      <c r="N1707" s="150">
        <f t="shared" si="510"/>
        <v>-0.00686184812442825</v>
      </c>
      <c r="O1707" s="150">
        <f t="shared" si="511"/>
        <v>-0.0268937696100404</v>
      </c>
      <c r="P1707" s="150">
        <f t="shared" si="517"/>
        <v>-0.0835795694385818</v>
      </c>
      <c r="Q1707" s="89">
        <f t="shared" si="519"/>
        <v>-0.0176470588235295</v>
      </c>
      <c r="GE1707" s="94"/>
      <c r="GF1707" s="104">
        <f t="shared" si="512"/>
        <v>2019</v>
      </c>
      <c r="GG1707" s="104">
        <f t="shared" si="513"/>
        <v>39</v>
      </c>
      <c r="GH1707" s="35">
        <v>43731</v>
      </c>
      <c r="GI1707" s="26">
        <v>1.595</v>
      </c>
      <c r="GJ1707" s="94">
        <f t="shared" si="514"/>
        <v>3.19</v>
      </c>
      <c r="GK1707" s="104"/>
      <c r="GL1707" s="104"/>
      <c r="GO1707" s="94"/>
    </row>
    <row r="1708" spans="3:197">
      <c r="C1708" s="80" t="str" cm="1">
        <f t="array" ref="C1708">_xlfn.IFS(MONTH(D1708)&lt;4,1,MONTH(D1708)&lt;7,2,MONTH(D1708)&lt;10,3,MONTH(D1708)&gt;9,4)&amp;"Q"&amp;RIGHT(YEAR(D1708),2)</f>
        <v>4Q22</v>
      </c>
      <c r="D1708" s="81">
        <f t="shared" si="521"/>
        <v>44895</v>
      </c>
      <c r="E1708" s="82">
        <f t="shared" si="518"/>
        <v>44873</v>
      </c>
      <c r="F1708" s="83">
        <f t="shared" si="522"/>
        <v>0.271375</v>
      </c>
      <c r="G1708" s="83">
        <f t="shared" si="522"/>
        <v>0.27625</v>
      </c>
      <c r="H1708" s="81"/>
      <c r="I1708" s="146">
        <v>44873</v>
      </c>
      <c r="J1708" s="147">
        <v>2.45</v>
      </c>
      <c r="K1708" s="147">
        <v>2.05</v>
      </c>
      <c r="L1708" s="147">
        <v>2.171</v>
      </c>
      <c r="M1708" s="59" cm="1">
        <f t="array" ref="M1708">INDEX($BV$29:$BV$1449,MATCH($D1708,$BR$29:$BR$1449,0),)</f>
        <v>2.21</v>
      </c>
      <c r="N1708" s="150">
        <f t="shared" ref="N1708:N1771" si="523">L1708/L1707-1</f>
        <v>0</v>
      </c>
      <c r="O1708" s="150">
        <f t="shared" ref="O1708:O1771" si="524">L1708/L1703-1</f>
        <v>-0.0251459362370903</v>
      </c>
      <c r="P1708" s="150">
        <f t="shared" si="517"/>
        <v>-0.0745950554134699</v>
      </c>
      <c r="Q1708" s="89">
        <f t="shared" si="519"/>
        <v>-0.0176470588235295</v>
      </c>
      <c r="GE1708" s="94"/>
      <c r="GF1708" s="104">
        <f t="shared" si="512"/>
        <v>2019</v>
      </c>
      <c r="GG1708" s="104">
        <f t="shared" si="513"/>
        <v>39</v>
      </c>
      <c r="GH1708" s="35">
        <v>43732</v>
      </c>
      <c r="GI1708" s="26">
        <v>1.592</v>
      </c>
      <c r="GJ1708" s="94">
        <f t="shared" si="514"/>
        <v>3.184</v>
      </c>
      <c r="GK1708" s="104"/>
      <c r="GL1708" s="104"/>
      <c r="GO1708" s="94"/>
    </row>
    <row r="1709" spans="3:197">
      <c r="C1709" s="80" t="str" cm="1">
        <f t="array" ref="C1709">_xlfn.IFS(MONTH(D1709)&lt;4,1,MONTH(D1709)&lt;7,2,MONTH(D1709)&lt;10,3,MONTH(D1709)&gt;9,4)&amp;"Q"&amp;RIGHT(YEAR(D1709),2)</f>
        <v>4Q22</v>
      </c>
      <c r="D1709" s="81">
        <f t="shared" si="521"/>
        <v>44895</v>
      </c>
      <c r="E1709" s="82">
        <f t="shared" si="518"/>
        <v>44874</v>
      </c>
      <c r="F1709" s="83">
        <f t="shared" si="522"/>
        <v>0.270875</v>
      </c>
      <c r="G1709" s="83">
        <f t="shared" si="522"/>
        <v>0.27625</v>
      </c>
      <c r="H1709" s="81"/>
      <c r="I1709" s="146">
        <v>44874</v>
      </c>
      <c r="J1709" s="147">
        <v>2.45</v>
      </c>
      <c r="K1709" s="147">
        <v>2.05</v>
      </c>
      <c r="L1709" s="147">
        <v>2.167</v>
      </c>
      <c r="M1709" s="59" cm="1">
        <f t="array" ref="M1709">INDEX($BV$29:$BV$1449,MATCH($D1709,$BR$29:$BR$1449,0),)</f>
        <v>2.21</v>
      </c>
      <c r="N1709" s="150">
        <f t="shared" si="523"/>
        <v>-0.00184246890833717</v>
      </c>
      <c r="O1709" s="150">
        <f t="shared" si="524"/>
        <v>-0.0247524752475248</v>
      </c>
      <c r="P1709" s="150">
        <f t="shared" si="517"/>
        <v>-0.0691580756013745</v>
      </c>
      <c r="Q1709" s="89">
        <f t="shared" si="519"/>
        <v>-0.0194570135746607</v>
      </c>
      <c r="GE1709" s="94"/>
      <c r="GF1709" s="104">
        <f t="shared" si="512"/>
        <v>2019</v>
      </c>
      <c r="GG1709" s="104">
        <f t="shared" si="513"/>
        <v>39</v>
      </c>
      <c r="GH1709" s="35">
        <v>43733</v>
      </c>
      <c r="GI1709" s="26">
        <v>1.592</v>
      </c>
      <c r="GJ1709" s="94">
        <f t="shared" si="514"/>
        <v>3.184</v>
      </c>
      <c r="GK1709" s="104"/>
      <c r="GL1709" s="104"/>
      <c r="GO1709" s="94"/>
    </row>
    <row r="1710" spans="3:197">
      <c r="C1710" s="80" t="str" cm="1">
        <f t="array" ref="C1710">_xlfn.IFS(MONTH(D1710)&lt;4,1,MONTH(D1710)&lt;7,2,MONTH(D1710)&lt;10,3,MONTH(D1710)&gt;9,4)&amp;"Q"&amp;RIGHT(YEAR(D1710),2)</f>
        <v>4Q22</v>
      </c>
      <c r="D1710" s="81">
        <f t="shared" si="521"/>
        <v>44895</v>
      </c>
      <c r="E1710" s="82">
        <f t="shared" si="518"/>
        <v>44875</v>
      </c>
      <c r="F1710" s="83">
        <f t="shared" si="522"/>
        <v>0.27075</v>
      </c>
      <c r="G1710" s="83">
        <f t="shared" si="522"/>
        <v>0.27625</v>
      </c>
      <c r="H1710" s="81"/>
      <c r="I1710" s="146">
        <v>44875</v>
      </c>
      <c r="J1710" s="147">
        <v>2.45</v>
      </c>
      <c r="K1710" s="147">
        <v>2.05</v>
      </c>
      <c r="L1710" s="147">
        <v>2.166</v>
      </c>
      <c r="M1710" s="59" cm="1">
        <f t="array" ref="M1710">INDEX($BV$29:$BV$1449,MATCH($D1710,$BR$29:$BR$1449,0),)</f>
        <v>2.21</v>
      </c>
      <c r="N1710" s="150">
        <f t="shared" si="523"/>
        <v>-0.000461467466543519</v>
      </c>
      <c r="O1710" s="150">
        <f t="shared" si="524"/>
        <v>-0.0163487738419619</v>
      </c>
      <c r="P1710" s="150">
        <f t="shared" si="517"/>
        <v>-0.0598958333333333</v>
      </c>
      <c r="Q1710" s="89">
        <f t="shared" si="519"/>
        <v>-0.0199095022624435</v>
      </c>
      <c r="GE1710" s="94"/>
      <c r="GF1710" s="104">
        <f t="shared" si="512"/>
        <v>2019</v>
      </c>
      <c r="GG1710" s="104">
        <f t="shared" si="513"/>
        <v>39</v>
      </c>
      <c r="GH1710" s="35">
        <v>43734</v>
      </c>
      <c r="GI1710" s="26">
        <v>1.591</v>
      </c>
      <c r="GJ1710" s="94">
        <f t="shared" si="514"/>
        <v>3.182</v>
      </c>
      <c r="GK1710" s="104"/>
      <c r="GL1710" s="104"/>
      <c r="GO1710" s="94"/>
    </row>
    <row r="1711" spans="3:197">
      <c r="C1711" s="80" t="str" cm="1">
        <f t="array" ref="C1711">_xlfn.IFS(MONTH(D1711)&lt;4,1,MONTH(D1711)&lt;7,2,MONTH(D1711)&lt;10,3,MONTH(D1711)&gt;9,4)&amp;"Q"&amp;RIGHT(YEAR(D1711),2)</f>
        <v>4Q22</v>
      </c>
      <c r="D1711" s="81">
        <f t="shared" si="521"/>
        <v>44895</v>
      </c>
      <c r="E1711" s="82">
        <f t="shared" si="518"/>
        <v>44876</v>
      </c>
      <c r="F1711" s="83">
        <f t="shared" si="522"/>
        <v>0.2705</v>
      </c>
      <c r="G1711" s="83">
        <f t="shared" si="522"/>
        <v>0.27625</v>
      </c>
      <c r="H1711" s="81"/>
      <c r="I1711" s="146">
        <v>44876</v>
      </c>
      <c r="J1711" s="147">
        <v>2.45</v>
      </c>
      <c r="K1711" s="147">
        <v>2.05</v>
      </c>
      <c r="L1711" s="147">
        <v>2.164</v>
      </c>
      <c r="M1711" s="59" cm="1">
        <f t="array" ref="M1711">INDEX($BV$29:$BV$1449,MATCH($D1711,$BR$29:$BR$1449,0),)</f>
        <v>2.21</v>
      </c>
      <c r="N1711" s="150">
        <f t="shared" si="523"/>
        <v>-0.000923361034164238</v>
      </c>
      <c r="O1711" s="150">
        <f t="shared" si="524"/>
        <v>-0.0100640439158279</v>
      </c>
      <c r="P1711" s="150">
        <f t="shared" si="517"/>
        <v>-0.0454344949272165</v>
      </c>
      <c r="Q1711" s="89">
        <f t="shared" si="519"/>
        <v>-0.020814479638009</v>
      </c>
      <c r="GE1711" s="94"/>
      <c r="GF1711" s="104">
        <f t="shared" si="512"/>
        <v>2019</v>
      </c>
      <c r="GG1711" s="104">
        <f t="shared" si="513"/>
        <v>39</v>
      </c>
      <c r="GH1711" s="35">
        <v>43735</v>
      </c>
      <c r="GI1711" s="26">
        <v>1.591</v>
      </c>
      <c r="GJ1711" s="94">
        <f t="shared" si="514"/>
        <v>3.182</v>
      </c>
      <c r="GK1711" s="104"/>
      <c r="GL1711" s="104"/>
      <c r="GO1711" s="94"/>
    </row>
    <row r="1712" spans="3:197">
      <c r="C1712" s="80" t="str" cm="1">
        <f t="array" ref="C1712">_xlfn.IFS(MONTH(D1712)&lt;4,1,MONTH(D1712)&lt;7,2,MONTH(D1712)&lt;10,3,MONTH(D1712)&gt;9,4)&amp;"Q"&amp;RIGHT(YEAR(D1712),2)</f>
        <v>4Q22</v>
      </c>
      <c r="D1712" s="81">
        <f t="shared" si="521"/>
        <v>44895</v>
      </c>
      <c r="E1712" s="82">
        <f t="shared" si="518"/>
        <v>44879</v>
      </c>
      <c r="F1712" s="83">
        <f t="shared" si="522"/>
        <v>0.2705</v>
      </c>
      <c r="G1712" s="83">
        <f t="shared" si="522"/>
        <v>0.27625</v>
      </c>
      <c r="H1712" s="81"/>
      <c r="I1712" s="146">
        <v>44879</v>
      </c>
      <c r="J1712" s="147">
        <v>2.45</v>
      </c>
      <c r="K1712" s="147">
        <v>2.05</v>
      </c>
      <c r="L1712" s="147">
        <v>2.164</v>
      </c>
      <c r="M1712" s="59" cm="1">
        <f t="array" ref="M1712">INDEX($BV$29:$BV$1449,MATCH($D1712,$BR$29:$BR$1449,0),)</f>
        <v>2.21</v>
      </c>
      <c r="N1712" s="150">
        <f t="shared" si="523"/>
        <v>0</v>
      </c>
      <c r="O1712" s="150">
        <f t="shared" si="524"/>
        <v>-0.00322432058958988</v>
      </c>
      <c r="P1712" s="150">
        <f t="shared" si="517"/>
        <v>-0.030031376064545</v>
      </c>
      <c r="Q1712" s="89">
        <f t="shared" si="519"/>
        <v>-0.020814479638009</v>
      </c>
      <c r="GE1712" s="94"/>
      <c r="GF1712" s="104">
        <f t="shared" si="512"/>
        <v>2019</v>
      </c>
      <c r="GG1712" s="104">
        <f t="shared" si="513"/>
        <v>40</v>
      </c>
      <c r="GH1712" s="35">
        <v>43738</v>
      </c>
      <c r="GI1712" s="26">
        <v>1.589</v>
      </c>
      <c r="GJ1712" s="94">
        <f t="shared" si="514"/>
        <v>3.178</v>
      </c>
      <c r="GK1712" s="104"/>
      <c r="GL1712" s="104"/>
      <c r="GO1712" s="94"/>
    </row>
    <row r="1713" spans="3:197">
      <c r="C1713" s="80" t="str" cm="1">
        <f t="array" ref="C1713">_xlfn.IFS(MONTH(D1713)&lt;4,1,MONTH(D1713)&lt;7,2,MONTH(D1713)&lt;10,3,MONTH(D1713)&gt;9,4)&amp;"Q"&amp;RIGHT(YEAR(D1713),2)</f>
        <v>4Q22</v>
      </c>
      <c r="D1713" s="81">
        <f t="shared" si="521"/>
        <v>44895</v>
      </c>
      <c r="E1713" s="82">
        <f t="shared" si="518"/>
        <v>44880</v>
      </c>
      <c r="F1713" s="83">
        <f t="shared" si="522"/>
        <v>0.2705</v>
      </c>
      <c r="G1713" s="83">
        <f t="shared" si="522"/>
        <v>0.27625</v>
      </c>
      <c r="H1713" s="81"/>
      <c r="I1713" s="146">
        <v>44880</v>
      </c>
      <c r="J1713" s="147">
        <v>2.45</v>
      </c>
      <c r="K1713" s="147">
        <v>2.07</v>
      </c>
      <c r="L1713" s="147">
        <v>2.164</v>
      </c>
      <c r="M1713" s="59" cm="1">
        <f t="array" ref="M1713">INDEX($BV$29:$BV$1449,MATCH($D1713,$BR$29:$BR$1449,0),)</f>
        <v>2.21</v>
      </c>
      <c r="N1713" s="150">
        <f t="shared" si="523"/>
        <v>0</v>
      </c>
      <c r="O1713" s="150">
        <f t="shared" si="524"/>
        <v>-0.00322432058958988</v>
      </c>
      <c r="P1713" s="150">
        <f t="shared" si="517"/>
        <v>-0.0282891782667264</v>
      </c>
      <c r="Q1713" s="89">
        <f t="shared" si="519"/>
        <v>-0.020814479638009</v>
      </c>
      <c r="GE1713" s="94"/>
      <c r="GF1713" s="104">
        <f t="shared" si="512"/>
        <v>2019</v>
      </c>
      <c r="GG1713" s="104">
        <f t="shared" si="513"/>
        <v>40</v>
      </c>
      <c r="GH1713" s="35">
        <v>43739</v>
      </c>
      <c r="GI1713" s="26">
        <v>1.589</v>
      </c>
      <c r="GJ1713" s="94">
        <f t="shared" si="514"/>
        <v>3.178</v>
      </c>
      <c r="GK1713" s="104"/>
      <c r="GL1713" s="104"/>
      <c r="GO1713" s="94"/>
    </row>
    <row r="1714" spans="3:197">
      <c r="C1714" s="80" t="str" cm="1">
        <f t="array" ref="C1714">_xlfn.IFS(MONTH(D1714)&lt;4,1,MONTH(D1714)&lt;7,2,MONTH(D1714)&lt;10,3,MONTH(D1714)&gt;9,4)&amp;"Q"&amp;RIGHT(YEAR(D1714),2)</f>
        <v>4Q22</v>
      </c>
      <c r="D1714" s="81">
        <f t="shared" si="521"/>
        <v>44895</v>
      </c>
      <c r="E1714" s="82">
        <f t="shared" si="518"/>
        <v>44881</v>
      </c>
      <c r="F1714" s="83">
        <f t="shared" si="522"/>
        <v>0.2705</v>
      </c>
      <c r="G1714" s="83">
        <f t="shared" si="522"/>
        <v>0.27625</v>
      </c>
      <c r="H1714" s="81"/>
      <c r="I1714" s="146">
        <v>44881</v>
      </c>
      <c r="J1714" s="147">
        <v>2.45</v>
      </c>
      <c r="K1714" s="147">
        <v>2.07</v>
      </c>
      <c r="L1714" s="147">
        <v>2.164</v>
      </c>
      <c r="M1714" s="59" cm="1">
        <f t="array" ref="M1714">INDEX($BV$29:$BV$1449,MATCH($D1714,$BR$29:$BR$1449,0),)</f>
        <v>2.21</v>
      </c>
      <c r="N1714" s="150">
        <f t="shared" si="523"/>
        <v>0</v>
      </c>
      <c r="O1714" s="150">
        <f t="shared" si="524"/>
        <v>-0.00138440239963067</v>
      </c>
      <c r="P1714" s="150">
        <f t="shared" si="517"/>
        <v>-0.026102610261026</v>
      </c>
      <c r="Q1714" s="89">
        <f t="shared" si="519"/>
        <v>-0.020814479638009</v>
      </c>
      <c r="GE1714" s="94"/>
      <c r="GF1714" s="104">
        <f t="shared" si="512"/>
        <v>2019</v>
      </c>
      <c r="GG1714" s="104">
        <f t="shared" si="513"/>
        <v>40</v>
      </c>
      <c r="GH1714" s="35">
        <v>43740</v>
      </c>
      <c r="GI1714" s="26">
        <v>1.589</v>
      </c>
      <c r="GJ1714" s="94">
        <f t="shared" si="514"/>
        <v>3.178</v>
      </c>
      <c r="GK1714" s="104"/>
      <c r="GL1714" s="104"/>
      <c r="GO1714" s="94"/>
    </row>
    <row r="1715" spans="3:197">
      <c r="C1715" s="80" t="str" cm="1">
        <f t="array" ref="C1715">_xlfn.IFS(MONTH(D1715)&lt;4,1,MONTH(D1715)&lt;7,2,MONTH(D1715)&lt;10,3,MONTH(D1715)&gt;9,4)&amp;"Q"&amp;RIGHT(YEAR(D1715),2)</f>
        <v>4Q22</v>
      </c>
      <c r="D1715" s="81">
        <f t="shared" si="521"/>
        <v>44895</v>
      </c>
      <c r="E1715" s="82">
        <f t="shared" si="518"/>
        <v>44882</v>
      </c>
      <c r="F1715" s="83">
        <f t="shared" si="522"/>
        <v>0.2705</v>
      </c>
      <c r="G1715" s="83">
        <f t="shared" si="522"/>
        <v>0.27625</v>
      </c>
      <c r="H1715" s="81"/>
      <c r="I1715" s="146">
        <v>44882</v>
      </c>
      <c r="J1715" s="147">
        <v>2.45</v>
      </c>
      <c r="K1715" s="147">
        <v>2.08</v>
      </c>
      <c r="L1715" s="147">
        <v>2.164</v>
      </c>
      <c r="M1715" s="59" cm="1">
        <f t="array" ref="M1715">INDEX($BV$29:$BV$1449,MATCH($D1715,$BR$29:$BR$1449,0),)</f>
        <v>2.21</v>
      </c>
      <c r="N1715" s="150">
        <f t="shared" si="523"/>
        <v>0</v>
      </c>
      <c r="O1715" s="150">
        <f t="shared" si="524"/>
        <v>-0.000923361034164238</v>
      </c>
      <c r="P1715" s="150">
        <f t="shared" si="517"/>
        <v>-0.0172570390554041</v>
      </c>
      <c r="Q1715" s="89">
        <f t="shared" si="519"/>
        <v>-0.020814479638009</v>
      </c>
      <c r="GE1715" s="94"/>
      <c r="GF1715" s="104">
        <f t="shared" si="512"/>
        <v>2019</v>
      </c>
      <c r="GG1715" s="104">
        <f t="shared" si="513"/>
        <v>40</v>
      </c>
      <c r="GH1715" s="35">
        <v>43741</v>
      </c>
      <c r="GI1715" s="26">
        <v>1.589</v>
      </c>
      <c r="GJ1715" s="94">
        <f t="shared" si="514"/>
        <v>3.178</v>
      </c>
      <c r="GK1715" s="104"/>
      <c r="GL1715" s="104"/>
      <c r="GO1715" s="94"/>
    </row>
    <row r="1716" spans="3:197">
      <c r="C1716" s="80" t="str" cm="1">
        <f t="array" ref="C1716">_xlfn.IFS(MONTH(D1716)&lt;4,1,MONTH(D1716)&lt;7,2,MONTH(D1716)&lt;10,3,MONTH(D1716)&gt;9,4)&amp;"Q"&amp;RIGHT(YEAR(D1716),2)</f>
        <v>4Q22</v>
      </c>
      <c r="D1716" s="81">
        <f t="shared" si="521"/>
        <v>44895</v>
      </c>
      <c r="E1716" s="82">
        <f t="shared" si="518"/>
        <v>44883</v>
      </c>
      <c r="F1716" s="83">
        <f t="shared" si="522"/>
        <v>0.269875</v>
      </c>
      <c r="G1716" s="83">
        <f t="shared" si="522"/>
        <v>0.27625</v>
      </c>
      <c r="H1716" s="81"/>
      <c r="I1716" s="146">
        <v>44883</v>
      </c>
      <c r="J1716" s="147">
        <v>2.45</v>
      </c>
      <c r="K1716" s="147">
        <v>2.05</v>
      </c>
      <c r="L1716" s="147">
        <v>2.159</v>
      </c>
      <c r="M1716" s="59" cm="1">
        <f t="array" ref="M1716">INDEX($BV$29:$BV$1449,MATCH($D1716,$BR$29:$BR$1449,0),)</f>
        <v>2.21</v>
      </c>
      <c r="N1716" s="150">
        <f t="shared" si="523"/>
        <v>-0.00231053604436249</v>
      </c>
      <c r="O1716" s="150">
        <f t="shared" si="524"/>
        <v>-0.00231053604436249</v>
      </c>
      <c r="P1716" s="150">
        <f t="shared" si="517"/>
        <v>-0.0123513266239708</v>
      </c>
      <c r="Q1716" s="89">
        <f t="shared" si="519"/>
        <v>-0.0230769230769231</v>
      </c>
      <c r="GE1716" s="94"/>
      <c r="GF1716" s="104">
        <f t="shared" ref="GF1716:GF1779" si="525">YEAR(GH1716)</f>
        <v>2019</v>
      </c>
      <c r="GG1716" s="104">
        <f t="shared" ref="GG1716:GG1779" si="526">WEEKNUM(GH1716)</f>
        <v>40</v>
      </c>
      <c r="GH1716" s="35">
        <v>43742</v>
      </c>
      <c r="GI1716" s="26">
        <v>1.587</v>
      </c>
      <c r="GJ1716" s="94">
        <f t="shared" ref="GJ1716:GJ1779" si="527">GI1716*2</f>
        <v>3.174</v>
      </c>
      <c r="GK1716" s="104"/>
      <c r="GL1716" s="104"/>
      <c r="GO1716" s="94"/>
    </row>
    <row r="1717" spans="3:197">
      <c r="C1717" s="80" t="str" cm="1">
        <f t="array" ref="C1717">_xlfn.IFS(MONTH(D1717)&lt;4,1,MONTH(D1717)&lt;7,2,MONTH(D1717)&lt;10,3,MONTH(D1717)&gt;9,4)&amp;"Q"&amp;RIGHT(YEAR(D1717),2)</f>
        <v>4Q22</v>
      </c>
      <c r="D1717" s="81">
        <f t="shared" si="521"/>
        <v>44895</v>
      </c>
      <c r="E1717" s="82">
        <f t="shared" si="518"/>
        <v>44886</v>
      </c>
      <c r="F1717" s="83">
        <f t="shared" si="522"/>
        <v>0.26975</v>
      </c>
      <c r="G1717" s="83">
        <f t="shared" si="522"/>
        <v>0.27625</v>
      </c>
      <c r="H1717" s="81"/>
      <c r="I1717" s="146">
        <v>44886</v>
      </c>
      <c r="J1717" s="147">
        <v>2.4</v>
      </c>
      <c r="K1717" s="147">
        <v>2.05</v>
      </c>
      <c r="L1717" s="147">
        <v>2.158</v>
      </c>
      <c r="M1717" s="59" cm="1">
        <f t="array" ref="M1717">INDEX($BV$29:$BV$1449,MATCH($D1717,$BR$29:$BR$1449,0),)</f>
        <v>2.21</v>
      </c>
      <c r="N1717" s="150">
        <f t="shared" si="523"/>
        <v>-0.000463177396943015</v>
      </c>
      <c r="O1717" s="150">
        <f t="shared" si="524"/>
        <v>-0.0027726432532349</v>
      </c>
      <c r="P1717" s="150">
        <f t="shared" si="517"/>
        <v>-0.00598802395209574</v>
      </c>
      <c r="Q1717" s="89">
        <f t="shared" si="519"/>
        <v>-0.0235294117647059</v>
      </c>
      <c r="GE1717" s="94"/>
      <c r="GF1717" s="104">
        <f t="shared" si="525"/>
        <v>2019</v>
      </c>
      <c r="GG1717" s="104">
        <f t="shared" si="526"/>
        <v>41</v>
      </c>
      <c r="GH1717" s="35">
        <v>43745</v>
      </c>
      <c r="GI1717" s="26">
        <v>1.587</v>
      </c>
      <c r="GJ1717" s="94">
        <f t="shared" si="527"/>
        <v>3.174</v>
      </c>
      <c r="GK1717" s="104"/>
      <c r="GL1717" s="104"/>
      <c r="GO1717" s="94"/>
    </row>
    <row r="1718" spans="3:197">
      <c r="C1718" s="80" t="str" cm="1">
        <f t="array" ref="C1718">_xlfn.IFS(MONTH(D1718)&lt;4,1,MONTH(D1718)&lt;7,2,MONTH(D1718)&lt;10,3,MONTH(D1718)&gt;9,4)&amp;"Q"&amp;RIGHT(YEAR(D1718),2)</f>
        <v>4Q22</v>
      </c>
      <c r="D1718" s="81">
        <f t="shared" si="521"/>
        <v>44895</v>
      </c>
      <c r="E1718" s="82">
        <f t="shared" si="518"/>
        <v>44887</v>
      </c>
      <c r="F1718" s="83">
        <f t="shared" si="522"/>
        <v>0.26875</v>
      </c>
      <c r="G1718" s="83">
        <f t="shared" si="522"/>
        <v>0.27625</v>
      </c>
      <c r="H1718" s="81"/>
      <c r="I1718" s="146">
        <v>44887</v>
      </c>
      <c r="J1718" s="147">
        <v>2.4</v>
      </c>
      <c r="K1718" s="147">
        <v>2.05</v>
      </c>
      <c r="L1718" s="147">
        <v>2.15</v>
      </c>
      <c r="M1718" s="59" cm="1">
        <f t="array" ref="M1718">INDEX($BV$29:$BV$1449,MATCH($D1718,$BR$29:$BR$1449,0),)</f>
        <v>2.21</v>
      </c>
      <c r="N1718" s="150">
        <f t="shared" si="523"/>
        <v>-0.00370713623725671</v>
      </c>
      <c r="O1718" s="150">
        <f t="shared" si="524"/>
        <v>-0.0064695009242145</v>
      </c>
      <c r="P1718" s="150">
        <f t="shared" si="517"/>
        <v>-0.00967296176877008</v>
      </c>
      <c r="Q1718" s="89">
        <f t="shared" si="519"/>
        <v>-0.0271493212669683</v>
      </c>
      <c r="GE1718" s="94"/>
      <c r="GF1718" s="104">
        <f t="shared" si="525"/>
        <v>2019</v>
      </c>
      <c r="GG1718" s="104">
        <f t="shared" si="526"/>
        <v>41</v>
      </c>
      <c r="GH1718" s="35">
        <v>43746</v>
      </c>
      <c r="GI1718" s="26">
        <v>1.587</v>
      </c>
      <c r="GJ1718" s="94">
        <f t="shared" si="527"/>
        <v>3.174</v>
      </c>
      <c r="GK1718" s="104"/>
      <c r="GL1718" s="104"/>
      <c r="GO1718" s="94"/>
    </row>
    <row r="1719" spans="3:197">
      <c r="C1719" s="80" t="str" cm="1">
        <f t="array" ref="C1719">_xlfn.IFS(MONTH(D1719)&lt;4,1,MONTH(D1719)&lt;7,2,MONTH(D1719)&lt;10,3,MONTH(D1719)&gt;9,4)&amp;"Q"&amp;RIGHT(YEAR(D1719),2)</f>
        <v>4Q22</v>
      </c>
      <c r="D1719" s="81">
        <f t="shared" si="521"/>
        <v>44895</v>
      </c>
      <c r="E1719" s="82">
        <f t="shared" si="518"/>
        <v>44888</v>
      </c>
      <c r="F1719" s="83">
        <f t="shared" si="522"/>
        <v>0.265625</v>
      </c>
      <c r="G1719" s="83">
        <f t="shared" si="522"/>
        <v>0.27625</v>
      </c>
      <c r="H1719" s="81"/>
      <c r="I1719" s="146">
        <v>44888</v>
      </c>
      <c r="J1719" s="147">
        <v>2.4</v>
      </c>
      <c r="K1719" s="147">
        <v>2</v>
      </c>
      <c r="L1719" s="147">
        <v>2.125</v>
      </c>
      <c r="M1719" s="59" cm="1">
        <f t="array" ref="M1719">INDEX($BV$29:$BV$1449,MATCH($D1719,$BR$29:$BR$1449,0),)</f>
        <v>2.21</v>
      </c>
      <c r="N1719" s="150">
        <f t="shared" si="523"/>
        <v>-0.0116279069767441</v>
      </c>
      <c r="O1719" s="150">
        <f t="shared" si="524"/>
        <v>-0.0180221811460259</v>
      </c>
      <c r="P1719" s="150">
        <f t="shared" si="517"/>
        <v>-0.0193816335948315</v>
      </c>
      <c r="Q1719" s="89">
        <f t="shared" si="519"/>
        <v>-0.0384615384615384</v>
      </c>
      <c r="GE1719" s="94"/>
      <c r="GF1719" s="104">
        <f t="shared" si="525"/>
        <v>2019</v>
      </c>
      <c r="GG1719" s="104">
        <f t="shared" si="526"/>
        <v>41</v>
      </c>
      <c r="GH1719" s="35">
        <v>43747</v>
      </c>
      <c r="GI1719" s="26">
        <v>1.586</v>
      </c>
      <c r="GJ1719" s="94">
        <f t="shared" si="527"/>
        <v>3.172</v>
      </c>
      <c r="GK1719" s="104"/>
      <c r="GL1719" s="104"/>
      <c r="GO1719" s="94"/>
    </row>
    <row r="1720" spans="3:197">
      <c r="C1720" s="80" t="str" cm="1">
        <f t="array" ref="C1720">_xlfn.IFS(MONTH(D1720)&lt;4,1,MONTH(D1720)&lt;7,2,MONTH(D1720)&lt;10,3,MONTH(D1720)&gt;9,4)&amp;"Q"&amp;RIGHT(YEAR(D1720),2)</f>
        <v>4Q22</v>
      </c>
      <c r="D1720" s="81">
        <f t="shared" si="521"/>
        <v>44895</v>
      </c>
      <c r="E1720" s="82">
        <f t="shared" si="518"/>
        <v>44889</v>
      </c>
      <c r="F1720" s="83">
        <f t="shared" si="522"/>
        <v>0.264875</v>
      </c>
      <c r="G1720" s="83">
        <f t="shared" si="522"/>
        <v>0.27625</v>
      </c>
      <c r="H1720" s="81"/>
      <c r="I1720" s="146">
        <v>44889</v>
      </c>
      <c r="J1720" s="147">
        <v>2.35</v>
      </c>
      <c r="K1720" s="147">
        <v>2</v>
      </c>
      <c r="L1720" s="147">
        <v>2.119</v>
      </c>
      <c r="M1720" s="59" cm="1">
        <f t="array" ref="M1720">INDEX($BV$29:$BV$1449,MATCH($D1720,$BR$29:$BR$1449,0),)</f>
        <v>2.21</v>
      </c>
      <c r="N1720" s="150">
        <f t="shared" si="523"/>
        <v>-0.00282352941176456</v>
      </c>
      <c r="O1720" s="150">
        <f t="shared" si="524"/>
        <v>-0.0207948243992606</v>
      </c>
      <c r="P1720" s="150">
        <f t="shared" si="517"/>
        <v>-0.0216989843028623</v>
      </c>
      <c r="Q1720" s="89">
        <f t="shared" si="519"/>
        <v>-0.0411764705882351</v>
      </c>
      <c r="GE1720" s="94"/>
      <c r="GF1720" s="104">
        <f t="shared" si="525"/>
        <v>2019</v>
      </c>
      <c r="GG1720" s="104">
        <f t="shared" si="526"/>
        <v>41</v>
      </c>
      <c r="GH1720" s="35">
        <v>43748</v>
      </c>
      <c r="GI1720" s="26">
        <v>1.586</v>
      </c>
      <c r="GJ1720" s="94">
        <f t="shared" si="527"/>
        <v>3.172</v>
      </c>
      <c r="GK1720" s="104"/>
      <c r="GL1720" s="104"/>
      <c r="GO1720" s="94"/>
    </row>
    <row r="1721" spans="3:197">
      <c r="C1721" s="80" t="str" cm="1">
        <f t="array" ref="C1721">_xlfn.IFS(MONTH(D1721)&lt;4,1,MONTH(D1721)&lt;7,2,MONTH(D1721)&lt;10,3,MONTH(D1721)&gt;9,4)&amp;"Q"&amp;RIGHT(YEAR(D1721),2)</f>
        <v>4Q22</v>
      </c>
      <c r="D1721" s="81">
        <f t="shared" si="521"/>
        <v>44895</v>
      </c>
      <c r="E1721" s="82">
        <f t="shared" si="518"/>
        <v>44890</v>
      </c>
      <c r="F1721" s="83">
        <f t="shared" si="522"/>
        <v>0.263875</v>
      </c>
      <c r="G1721" s="83">
        <f t="shared" si="522"/>
        <v>0.27625</v>
      </c>
      <c r="H1721" s="81"/>
      <c r="I1721" s="146">
        <v>44890</v>
      </c>
      <c r="J1721" s="147">
        <v>2.35</v>
      </c>
      <c r="K1721" s="147">
        <v>2</v>
      </c>
      <c r="L1721" s="147">
        <v>2.111</v>
      </c>
      <c r="M1721" s="59" cm="1">
        <f t="array" ref="M1721">INDEX($BV$29:$BV$1449,MATCH($D1721,$BR$29:$BR$1449,0),)</f>
        <v>2.21</v>
      </c>
      <c r="N1721" s="150">
        <f t="shared" si="523"/>
        <v>-0.00377536573855597</v>
      </c>
      <c r="O1721" s="150">
        <f t="shared" si="524"/>
        <v>-0.0222325150532652</v>
      </c>
      <c r="P1721" s="150">
        <f t="shared" si="517"/>
        <v>-0.0244916820702402</v>
      </c>
      <c r="Q1721" s="89">
        <f t="shared" si="519"/>
        <v>-0.0447963800904976</v>
      </c>
      <c r="GE1721" s="94"/>
      <c r="GF1721" s="104">
        <f t="shared" si="525"/>
        <v>2019</v>
      </c>
      <c r="GG1721" s="104">
        <f t="shared" si="526"/>
        <v>41</v>
      </c>
      <c r="GH1721" s="35">
        <v>43749</v>
      </c>
      <c r="GI1721" s="26">
        <v>1.585</v>
      </c>
      <c r="GJ1721" s="94">
        <f t="shared" si="527"/>
        <v>3.17</v>
      </c>
      <c r="GK1721" s="104"/>
      <c r="GL1721" s="104"/>
      <c r="GO1721" s="94"/>
    </row>
    <row r="1722" spans="3:197">
      <c r="C1722" s="80" t="str" cm="1">
        <f t="array" ref="C1722">_xlfn.IFS(MONTH(D1722)&lt;4,1,MONTH(D1722)&lt;7,2,MONTH(D1722)&lt;10,3,MONTH(D1722)&gt;9,4)&amp;"Q"&amp;RIGHT(YEAR(D1722),2)</f>
        <v>4Q22</v>
      </c>
      <c r="D1722" s="81">
        <f t="shared" si="521"/>
        <v>44895</v>
      </c>
      <c r="E1722" s="82">
        <f t="shared" si="518"/>
        <v>44893</v>
      </c>
      <c r="F1722" s="83">
        <f t="shared" ref="F1722:G1737" si="528">+L1722/8</f>
        <v>0.263125</v>
      </c>
      <c r="G1722" s="83">
        <f t="shared" si="528"/>
        <v>0.27625</v>
      </c>
      <c r="H1722" s="81"/>
      <c r="I1722" s="146">
        <v>44893</v>
      </c>
      <c r="J1722" s="147">
        <v>2.3</v>
      </c>
      <c r="K1722" s="147">
        <v>1.98</v>
      </c>
      <c r="L1722" s="147">
        <v>2.105</v>
      </c>
      <c r="M1722" s="59" cm="1">
        <f t="array" ref="M1722">INDEX($BV$29:$BV$1449,MATCH($D1722,$BR$29:$BR$1449,0),)</f>
        <v>2.21</v>
      </c>
      <c r="N1722" s="150">
        <f t="shared" si="523"/>
        <v>-0.00284225485551881</v>
      </c>
      <c r="O1722" s="150">
        <f t="shared" si="524"/>
        <v>-0.0245597775718257</v>
      </c>
      <c r="P1722" s="150">
        <f t="shared" si="517"/>
        <v>-0.0272643253234751</v>
      </c>
      <c r="Q1722" s="89">
        <f t="shared" si="519"/>
        <v>-0.0475113122171945</v>
      </c>
      <c r="GE1722" s="94"/>
      <c r="GF1722" s="104">
        <f t="shared" si="525"/>
        <v>2019</v>
      </c>
      <c r="GG1722" s="104">
        <f t="shared" si="526"/>
        <v>42</v>
      </c>
      <c r="GH1722" s="35">
        <v>43752</v>
      </c>
      <c r="GI1722" s="26">
        <v>1.584</v>
      </c>
      <c r="GJ1722" s="94">
        <f t="shared" si="527"/>
        <v>3.168</v>
      </c>
      <c r="GK1722" s="104"/>
      <c r="GL1722" s="104"/>
      <c r="GO1722" s="94"/>
    </row>
    <row r="1723" spans="3:197">
      <c r="C1723" s="80" t="str" cm="1">
        <f t="array" ref="C1723">_xlfn.IFS(MONTH(D1723)&lt;4,1,MONTH(D1723)&lt;7,2,MONTH(D1723)&lt;10,3,MONTH(D1723)&gt;9,4)&amp;"Q"&amp;RIGHT(YEAR(D1723),2)</f>
        <v>4Q22</v>
      </c>
      <c r="D1723" s="81">
        <f t="shared" si="521"/>
        <v>44895</v>
      </c>
      <c r="E1723" s="82">
        <f t="shared" si="518"/>
        <v>44894</v>
      </c>
      <c r="F1723" s="83">
        <f t="shared" si="528"/>
        <v>0.262625</v>
      </c>
      <c r="G1723" s="83">
        <f t="shared" si="528"/>
        <v>0.27625</v>
      </c>
      <c r="H1723" s="81"/>
      <c r="I1723" s="146">
        <v>44894</v>
      </c>
      <c r="J1723" s="147">
        <v>2.3</v>
      </c>
      <c r="K1723" s="147">
        <v>1.98</v>
      </c>
      <c r="L1723" s="147">
        <v>2.101</v>
      </c>
      <c r="M1723" s="59" cm="1">
        <f t="array" ref="M1723">INDEX($BV$29:$BV$1449,MATCH($D1723,$BR$29:$BR$1449,0),)</f>
        <v>2.21</v>
      </c>
      <c r="N1723" s="150">
        <f t="shared" si="523"/>
        <v>-0.00190023752969126</v>
      </c>
      <c r="O1723" s="150">
        <f t="shared" si="524"/>
        <v>-0.0227906976744185</v>
      </c>
      <c r="P1723" s="150">
        <f t="shared" si="517"/>
        <v>-0.029112754158965</v>
      </c>
      <c r="Q1723" s="89">
        <f t="shared" si="519"/>
        <v>-0.0493212669683258</v>
      </c>
      <c r="GE1723" s="94"/>
      <c r="GF1723" s="104">
        <f t="shared" si="525"/>
        <v>2019</v>
      </c>
      <c r="GG1723" s="104">
        <f t="shared" si="526"/>
        <v>42</v>
      </c>
      <c r="GH1723" s="35">
        <v>43753</v>
      </c>
      <c r="GI1723" s="26">
        <v>1.584</v>
      </c>
      <c r="GJ1723" s="94">
        <f t="shared" si="527"/>
        <v>3.168</v>
      </c>
      <c r="GK1723" s="104"/>
      <c r="GL1723" s="104"/>
      <c r="GO1723" s="94"/>
    </row>
    <row r="1724" spans="3:197">
      <c r="C1724" s="80" t="str" cm="1">
        <f t="array" ref="C1724">_xlfn.IFS(MONTH(D1724)&lt;4,1,MONTH(D1724)&lt;7,2,MONTH(D1724)&lt;10,3,MONTH(D1724)&gt;9,4)&amp;"Q"&amp;RIGHT(YEAR(D1724),2)</f>
        <v>4Q22</v>
      </c>
      <c r="D1724" s="81">
        <f t="shared" si="521"/>
        <v>44895</v>
      </c>
      <c r="E1724" s="82">
        <f t="shared" si="518"/>
        <v>44895</v>
      </c>
      <c r="F1724" s="83">
        <f t="shared" si="528"/>
        <v>0.262375</v>
      </c>
      <c r="G1724" s="83">
        <f t="shared" si="528"/>
        <v>0.27625</v>
      </c>
      <c r="H1724" s="81"/>
      <c r="I1724" s="146">
        <v>44895</v>
      </c>
      <c r="J1724" s="147">
        <v>2.3</v>
      </c>
      <c r="K1724" s="147">
        <v>1.98</v>
      </c>
      <c r="L1724" s="147">
        <v>2.099</v>
      </c>
      <c r="M1724" s="59" cm="1">
        <f t="array" ref="M1724">INDEX($BV$29:$BV$1449,MATCH($D1724,$BR$29:$BR$1449,0),)</f>
        <v>2.21</v>
      </c>
      <c r="N1724" s="150">
        <f t="shared" si="523"/>
        <v>-0.000951927653498275</v>
      </c>
      <c r="O1724" s="150">
        <f t="shared" si="524"/>
        <v>-0.012235294117647</v>
      </c>
      <c r="P1724" s="150">
        <f t="shared" si="517"/>
        <v>-0.0300369685767098</v>
      </c>
      <c r="Q1724" s="89">
        <f t="shared" si="519"/>
        <v>-0.0502262443438913</v>
      </c>
      <c r="GE1724" s="94"/>
      <c r="GF1724" s="104">
        <f t="shared" si="525"/>
        <v>2019</v>
      </c>
      <c r="GG1724" s="104">
        <f t="shared" si="526"/>
        <v>42</v>
      </c>
      <c r="GH1724" s="35">
        <v>43754</v>
      </c>
      <c r="GI1724" s="26">
        <v>1.582</v>
      </c>
      <c r="GJ1724" s="94">
        <f t="shared" si="527"/>
        <v>3.164</v>
      </c>
      <c r="GK1724" s="104"/>
      <c r="GL1724" s="104"/>
      <c r="GO1724" s="94"/>
    </row>
    <row r="1725" spans="3:197">
      <c r="C1725" s="80" t="str" cm="1">
        <f t="array" ref="C1725">_xlfn.IFS(MONTH(D1725)&lt;4,1,MONTH(D1725)&lt;7,2,MONTH(D1725)&lt;10,3,MONTH(D1725)&gt;9,4)&amp;"Q"&amp;RIGHT(YEAR(D1725),2)</f>
        <v>4Q22</v>
      </c>
      <c r="D1725" s="81">
        <f t="shared" si="521"/>
        <v>44926</v>
      </c>
      <c r="E1725" s="82">
        <f t="shared" si="518"/>
        <v>44896</v>
      </c>
      <c r="F1725" s="83">
        <f t="shared" si="528"/>
        <v>0.261875</v>
      </c>
      <c r="G1725" s="83">
        <f t="shared" si="528"/>
        <v>0.27625</v>
      </c>
      <c r="H1725" s="81"/>
      <c r="I1725" s="146">
        <v>44896</v>
      </c>
      <c r="J1725" s="147">
        <v>2.28</v>
      </c>
      <c r="K1725" s="147">
        <v>1.97</v>
      </c>
      <c r="L1725" s="147">
        <v>2.095</v>
      </c>
      <c r="M1725" s="59" cm="1">
        <f t="array" ref="M1725">INDEX($BV$29:$BV$1449,MATCH($D1725,$BR$29:$BR$1449,0),)</f>
        <v>2.21</v>
      </c>
      <c r="N1725" s="150">
        <f t="shared" si="523"/>
        <v>-0.00190566936636494</v>
      </c>
      <c r="O1725" s="150">
        <f t="shared" si="524"/>
        <v>-0.0113260972156678</v>
      </c>
      <c r="P1725" s="150">
        <f t="shared" si="517"/>
        <v>-0.0318853974121996</v>
      </c>
      <c r="Q1725" s="89">
        <f t="shared" si="519"/>
        <v>-0.0520361990950226</v>
      </c>
      <c r="GE1725" s="94"/>
      <c r="GF1725" s="104">
        <f t="shared" si="525"/>
        <v>2019</v>
      </c>
      <c r="GG1725" s="104">
        <f t="shared" si="526"/>
        <v>42</v>
      </c>
      <c r="GH1725" s="35">
        <v>43755</v>
      </c>
      <c r="GI1725" s="26">
        <v>1.582</v>
      </c>
      <c r="GJ1725" s="94">
        <f t="shared" si="527"/>
        <v>3.164</v>
      </c>
      <c r="GK1725" s="104"/>
      <c r="GL1725" s="104"/>
      <c r="GO1725" s="94"/>
    </row>
    <row r="1726" spans="3:197">
      <c r="C1726" s="80" t="str" cm="1">
        <f t="array" ref="C1726">_xlfn.IFS(MONTH(D1726)&lt;4,1,MONTH(D1726)&lt;7,2,MONTH(D1726)&lt;10,3,MONTH(D1726)&gt;9,4)&amp;"Q"&amp;RIGHT(YEAR(D1726),2)</f>
        <v>4Q22</v>
      </c>
      <c r="D1726" s="81">
        <f t="shared" si="521"/>
        <v>44926</v>
      </c>
      <c r="E1726" s="82">
        <f t="shared" si="518"/>
        <v>44897</v>
      </c>
      <c r="F1726" s="83">
        <f t="shared" si="528"/>
        <v>0.261625</v>
      </c>
      <c r="G1726" s="83">
        <f t="shared" si="528"/>
        <v>0.27625</v>
      </c>
      <c r="H1726" s="81"/>
      <c r="I1726" s="146">
        <v>44897</v>
      </c>
      <c r="J1726" s="147">
        <v>2.28</v>
      </c>
      <c r="K1726" s="147">
        <v>1.97</v>
      </c>
      <c r="L1726" s="147">
        <v>2.093</v>
      </c>
      <c r="M1726" s="59" cm="1">
        <f t="array" ref="M1726">INDEX($BV$29:$BV$1449,MATCH($D1726,$BR$29:$BR$1449,0),)</f>
        <v>2.21</v>
      </c>
      <c r="N1726" s="150">
        <f t="shared" si="523"/>
        <v>-0.00095465393794758</v>
      </c>
      <c r="O1726" s="150">
        <f t="shared" si="524"/>
        <v>-0.00852676456655621</v>
      </c>
      <c r="P1726" s="150">
        <f t="shared" si="517"/>
        <v>-0.0305697081982399</v>
      </c>
      <c r="Q1726" s="89">
        <f t="shared" si="519"/>
        <v>-0.0529411764705883</v>
      </c>
      <c r="GE1726" s="94"/>
      <c r="GF1726" s="104">
        <f t="shared" si="525"/>
        <v>2019</v>
      </c>
      <c r="GG1726" s="104">
        <f t="shared" si="526"/>
        <v>42</v>
      </c>
      <c r="GH1726" s="35">
        <v>43756</v>
      </c>
      <c r="GI1726" s="26">
        <v>1.582</v>
      </c>
      <c r="GJ1726" s="94">
        <f t="shared" si="527"/>
        <v>3.164</v>
      </c>
      <c r="GK1726" s="104"/>
      <c r="GL1726" s="104"/>
      <c r="GO1726" s="94"/>
    </row>
    <row r="1727" spans="3:197">
      <c r="C1727" s="80" t="str" cm="1">
        <f t="array" ref="C1727">_xlfn.IFS(MONTH(D1727)&lt;4,1,MONTH(D1727)&lt;7,2,MONTH(D1727)&lt;10,3,MONTH(D1727)&gt;9,4)&amp;"Q"&amp;RIGHT(YEAR(D1727),2)</f>
        <v>4Q22</v>
      </c>
      <c r="D1727" s="81">
        <f t="shared" si="521"/>
        <v>44926</v>
      </c>
      <c r="E1727" s="82">
        <f t="shared" si="518"/>
        <v>44900</v>
      </c>
      <c r="F1727" s="83">
        <f t="shared" si="528"/>
        <v>0.261125</v>
      </c>
      <c r="G1727" s="83">
        <f t="shared" si="528"/>
        <v>0.27625</v>
      </c>
      <c r="H1727" s="81"/>
      <c r="I1727" s="146">
        <v>44900</v>
      </c>
      <c r="J1727" s="147">
        <v>2.27</v>
      </c>
      <c r="K1727" s="147">
        <v>1.95</v>
      </c>
      <c r="L1727" s="147">
        <v>2.089</v>
      </c>
      <c r="M1727" s="59" cm="1">
        <f t="array" ref="M1727">INDEX($BV$29:$BV$1449,MATCH($D1727,$BR$29:$BR$1449,0),)</f>
        <v>2.21</v>
      </c>
      <c r="N1727" s="150">
        <f t="shared" si="523"/>
        <v>-0.001911132345915</v>
      </c>
      <c r="O1727" s="150">
        <f t="shared" si="524"/>
        <v>-0.00760095011876483</v>
      </c>
      <c r="P1727" s="150">
        <f t="shared" si="517"/>
        <v>-0.0319740500463391</v>
      </c>
      <c r="Q1727" s="89">
        <f t="shared" si="519"/>
        <v>-0.0547511312217195</v>
      </c>
      <c r="GE1727" s="94"/>
      <c r="GF1727" s="104">
        <f t="shared" si="525"/>
        <v>2019</v>
      </c>
      <c r="GG1727" s="104">
        <f t="shared" si="526"/>
        <v>43</v>
      </c>
      <c r="GH1727" s="35">
        <v>43759</v>
      </c>
      <c r="GI1727" s="26">
        <v>1.576</v>
      </c>
      <c r="GJ1727" s="94">
        <f t="shared" si="527"/>
        <v>3.152</v>
      </c>
      <c r="GK1727" s="104"/>
      <c r="GL1727" s="104"/>
      <c r="GO1727" s="94"/>
    </row>
    <row r="1728" spans="3:197">
      <c r="C1728" s="80" t="str" cm="1">
        <f t="array" ref="C1728">_xlfn.IFS(MONTH(D1728)&lt;4,1,MONTH(D1728)&lt;7,2,MONTH(D1728)&lt;10,3,MONTH(D1728)&gt;9,4)&amp;"Q"&amp;RIGHT(YEAR(D1728),2)</f>
        <v>4Q22</v>
      </c>
      <c r="D1728" s="81">
        <f t="shared" si="521"/>
        <v>44926</v>
      </c>
      <c r="E1728" s="82">
        <f t="shared" si="518"/>
        <v>44901</v>
      </c>
      <c r="F1728" s="83">
        <f t="shared" si="528"/>
        <v>0.260125</v>
      </c>
      <c r="G1728" s="83">
        <f t="shared" si="528"/>
        <v>0.27625</v>
      </c>
      <c r="H1728" s="81"/>
      <c r="I1728" s="146">
        <v>44901</v>
      </c>
      <c r="J1728" s="147">
        <v>2.27</v>
      </c>
      <c r="K1728" s="147">
        <v>1.94</v>
      </c>
      <c r="L1728" s="147">
        <v>2.081</v>
      </c>
      <c r="M1728" s="59" cm="1">
        <f t="array" ref="M1728">INDEX($BV$29:$BV$1449,MATCH($D1728,$BR$29:$BR$1449,0),)</f>
        <v>2.21</v>
      </c>
      <c r="N1728" s="150">
        <f t="shared" si="523"/>
        <v>-0.00382958353279084</v>
      </c>
      <c r="O1728" s="150">
        <f t="shared" si="524"/>
        <v>-0.0095192765349833</v>
      </c>
      <c r="P1728" s="150">
        <f t="shared" si="517"/>
        <v>-0.032093023255814</v>
      </c>
      <c r="Q1728" s="89">
        <f t="shared" si="519"/>
        <v>-0.0583710407239819</v>
      </c>
      <c r="GE1728" s="94"/>
      <c r="GF1728" s="104">
        <f t="shared" si="525"/>
        <v>2019</v>
      </c>
      <c r="GG1728" s="104">
        <f t="shared" si="526"/>
        <v>43</v>
      </c>
      <c r="GH1728" s="35">
        <v>43760</v>
      </c>
      <c r="GI1728" s="26">
        <v>1.576</v>
      </c>
      <c r="GJ1728" s="94">
        <f t="shared" si="527"/>
        <v>3.152</v>
      </c>
      <c r="GK1728" s="104"/>
      <c r="GL1728" s="104"/>
      <c r="GO1728" s="94"/>
    </row>
    <row r="1729" spans="3:197">
      <c r="C1729" s="80" t="str" cm="1">
        <f t="array" ref="C1729">_xlfn.IFS(MONTH(D1729)&lt;4,1,MONTH(D1729)&lt;7,2,MONTH(D1729)&lt;10,3,MONTH(D1729)&gt;9,4)&amp;"Q"&amp;RIGHT(YEAR(D1729),2)</f>
        <v>4Q22</v>
      </c>
      <c r="D1729" s="81">
        <f t="shared" si="521"/>
        <v>44926</v>
      </c>
      <c r="E1729" s="82">
        <f t="shared" si="518"/>
        <v>44902</v>
      </c>
      <c r="F1729" s="83">
        <f t="shared" si="528"/>
        <v>0.259375</v>
      </c>
      <c r="G1729" s="83">
        <f t="shared" si="528"/>
        <v>0.27625</v>
      </c>
      <c r="H1729" s="81"/>
      <c r="I1729" s="146">
        <v>44902</v>
      </c>
      <c r="J1729" s="147">
        <v>2.25</v>
      </c>
      <c r="K1729" s="147">
        <v>1.94</v>
      </c>
      <c r="L1729" s="147">
        <v>2.075</v>
      </c>
      <c r="M1729" s="59" cm="1">
        <f t="array" ref="M1729">INDEX($BV$29:$BV$1449,MATCH($D1729,$BR$29:$BR$1449,0),)</f>
        <v>2.21</v>
      </c>
      <c r="N1729" s="150">
        <f t="shared" si="523"/>
        <v>-0.00288322921672257</v>
      </c>
      <c r="O1729" s="150">
        <f t="shared" si="524"/>
        <v>-0.0114340161981896</v>
      </c>
      <c r="P1729" s="150">
        <f t="shared" si="517"/>
        <v>-0.0235294117647058</v>
      </c>
      <c r="Q1729" s="89">
        <f t="shared" si="519"/>
        <v>-0.0610859728506786</v>
      </c>
      <c r="GE1729" s="94"/>
      <c r="GF1729" s="104">
        <f t="shared" si="525"/>
        <v>2019</v>
      </c>
      <c r="GG1729" s="104">
        <f t="shared" si="526"/>
        <v>43</v>
      </c>
      <c r="GH1729" s="35">
        <v>43761</v>
      </c>
      <c r="GI1729" s="26">
        <v>1.574</v>
      </c>
      <c r="GJ1729" s="94">
        <f t="shared" si="527"/>
        <v>3.148</v>
      </c>
      <c r="GK1729" s="104"/>
      <c r="GL1729" s="104"/>
      <c r="GO1729" s="94"/>
    </row>
    <row r="1730" spans="3:197">
      <c r="C1730" s="80" t="str" cm="1">
        <f t="array" ref="C1730">_xlfn.IFS(MONTH(D1730)&lt;4,1,MONTH(D1730)&lt;7,2,MONTH(D1730)&lt;10,3,MONTH(D1730)&gt;9,4)&amp;"Q"&amp;RIGHT(YEAR(D1730),2)</f>
        <v>4Q22</v>
      </c>
      <c r="D1730" s="81">
        <f t="shared" si="521"/>
        <v>44926</v>
      </c>
      <c r="E1730" s="82">
        <f t="shared" si="518"/>
        <v>44903</v>
      </c>
      <c r="F1730" s="83">
        <f t="shared" si="528"/>
        <v>0.258625</v>
      </c>
      <c r="G1730" s="83">
        <f t="shared" si="528"/>
        <v>0.27625</v>
      </c>
      <c r="H1730" s="81"/>
      <c r="I1730" s="146">
        <v>44903</v>
      </c>
      <c r="J1730" s="147">
        <v>2.2</v>
      </c>
      <c r="K1730" s="147">
        <v>1.94</v>
      </c>
      <c r="L1730" s="147">
        <v>2.069</v>
      </c>
      <c r="M1730" s="59" cm="1">
        <f t="array" ref="M1730">INDEX($BV$29:$BV$1449,MATCH($D1730,$BR$29:$BR$1449,0),)</f>
        <v>2.21</v>
      </c>
      <c r="N1730" s="150">
        <f t="shared" si="523"/>
        <v>-0.00289156626506037</v>
      </c>
      <c r="O1730" s="150">
        <f t="shared" si="524"/>
        <v>-0.0124105011933175</v>
      </c>
      <c r="P1730" s="150">
        <f t="shared" si="517"/>
        <v>-0.0235960358659746</v>
      </c>
      <c r="Q1730" s="89">
        <f t="shared" si="519"/>
        <v>-0.0638009049773756</v>
      </c>
      <c r="GF1730" s="104">
        <f t="shared" si="525"/>
        <v>2019</v>
      </c>
      <c r="GG1730" s="104">
        <f t="shared" si="526"/>
        <v>43</v>
      </c>
      <c r="GH1730" s="35">
        <v>43762</v>
      </c>
      <c r="GI1730" s="26">
        <v>1.574</v>
      </c>
      <c r="GJ1730" s="94">
        <f t="shared" si="527"/>
        <v>3.148</v>
      </c>
      <c r="GK1730" s="104"/>
      <c r="GL1730" s="104"/>
    </row>
    <row r="1731" spans="3:197">
      <c r="C1731" s="80" t="str" cm="1">
        <f t="array" ref="C1731">_xlfn.IFS(MONTH(D1731)&lt;4,1,MONTH(D1731)&lt;7,2,MONTH(D1731)&lt;10,3,MONTH(D1731)&gt;9,4)&amp;"Q"&amp;RIGHT(YEAR(D1731),2)</f>
        <v>4Q22</v>
      </c>
      <c r="D1731" s="81">
        <f t="shared" si="521"/>
        <v>44926</v>
      </c>
      <c r="E1731" s="82">
        <f t="shared" si="518"/>
        <v>44904</v>
      </c>
      <c r="F1731" s="83">
        <f t="shared" si="528"/>
        <v>0.25725</v>
      </c>
      <c r="G1731" s="83">
        <f t="shared" si="528"/>
        <v>0.27625</v>
      </c>
      <c r="H1731" s="81"/>
      <c r="I1731" s="146">
        <v>44904</v>
      </c>
      <c r="J1731" s="147">
        <v>2.2</v>
      </c>
      <c r="K1731" s="147">
        <v>1.94</v>
      </c>
      <c r="L1731" s="147">
        <v>2.058</v>
      </c>
      <c r="M1731" s="59" cm="1">
        <f t="array" ref="M1731">INDEX($BV$29:$BV$1449,MATCH($D1731,$BR$29:$BR$1449,0),)</f>
        <v>2.21</v>
      </c>
      <c r="N1731" s="150">
        <f t="shared" si="523"/>
        <v>-0.00531657805703245</v>
      </c>
      <c r="O1731" s="150">
        <f t="shared" si="524"/>
        <v>-0.016722408026756</v>
      </c>
      <c r="P1731" s="150">
        <f t="shared" si="517"/>
        <v>-0.0251065845570821</v>
      </c>
      <c r="Q1731" s="89">
        <f t="shared" si="519"/>
        <v>-0.0687782805429865</v>
      </c>
      <c r="GF1731" s="104">
        <f t="shared" si="525"/>
        <v>2019</v>
      </c>
      <c r="GG1731" s="104">
        <f t="shared" si="526"/>
        <v>43</v>
      </c>
      <c r="GH1731" s="35">
        <v>43763</v>
      </c>
      <c r="GI1731" s="26">
        <v>1.574</v>
      </c>
      <c r="GJ1731" s="94">
        <f t="shared" si="527"/>
        <v>3.148</v>
      </c>
      <c r="GK1731" s="104"/>
      <c r="GL1731" s="104"/>
    </row>
    <row r="1732" spans="3:197">
      <c r="C1732" s="80" t="str" cm="1">
        <f t="array" ref="C1732">_xlfn.IFS(MONTH(D1732)&lt;4,1,MONTH(D1732)&lt;7,2,MONTH(D1732)&lt;10,3,MONTH(D1732)&gt;9,4)&amp;"Q"&amp;RIGHT(YEAR(D1732),2)</f>
        <v>4Q22</v>
      </c>
      <c r="D1732" s="81">
        <f t="shared" si="521"/>
        <v>44926</v>
      </c>
      <c r="E1732" s="82">
        <f t="shared" si="518"/>
        <v>44907</v>
      </c>
      <c r="F1732" s="83">
        <f t="shared" si="528"/>
        <v>0.25675</v>
      </c>
      <c r="G1732" s="83">
        <f t="shared" si="528"/>
        <v>0.27625</v>
      </c>
      <c r="H1732" s="81"/>
      <c r="I1732" s="146">
        <v>44907</v>
      </c>
      <c r="J1732" s="147">
        <v>2.18</v>
      </c>
      <c r="K1732" s="147">
        <v>1.92</v>
      </c>
      <c r="L1732" s="147">
        <v>2.054</v>
      </c>
      <c r="M1732" s="59" cm="1">
        <f t="array" ref="M1732">INDEX($BV$29:$BV$1449,MATCH($D1732,$BR$29:$BR$1449,0),)</f>
        <v>2.21</v>
      </c>
      <c r="N1732" s="150">
        <f t="shared" si="523"/>
        <v>-0.00194363459669578</v>
      </c>
      <c r="O1732" s="150">
        <f t="shared" si="524"/>
        <v>-0.0167544279559598</v>
      </c>
      <c r="P1732" s="150">
        <f t="shared" si="517"/>
        <v>-0.024228028503563</v>
      </c>
      <c r="Q1732" s="89">
        <f t="shared" si="519"/>
        <v>-0.0705882352941177</v>
      </c>
      <c r="GF1732" s="104">
        <f t="shared" si="525"/>
        <v>2019</v>
      </c>
      <c r="GG1732" s="104">
        <f t="shared" si="526"/>
        <v>44</v>
      </c>
      <c r="GH1732" s="35">
        <v>43766</v>
      </c>
      <c r="GI1732" s="26">
        <v>1.569</v>
      </c>
      <c r="GJ1732" s="94">
        <f t="shared" si="527"/>
        <v>3.138</v>
      </c>
      <c r="GK1732" s="104"/>
      <c r="GL1732" s="104"/>
    </row>
    <row r="1733" spans="3:197">
      <c r="C1733" s="80" t="str" cm="1">
        <f t="array" ref="C1733">_xlfn.IFS(MONTH(D1733)&lt;4,1,MONTH(D1733)&lt;7,2,MONTH(D1733)&lt;10,3,MONTH(D1733)&gt;9,4)&amp;"Q"&amp;RIGHT(YEAR(D1733),2)</f>
        <v>4Q22</v>
      </c>
      <c r="D1733" s="81">
        <f t="shared" si="521"/>
        <v>44926</v>
      </c>
      <c r="E1733" s="82">
        <f t="shared" si="518"/>
        <v>44908</v>
      </c>
      <c r="F1733" s="83">
        <f t="shared" si="528"/>
        <v>0.25625</v>
      </c>
      <c r="G1733" s="83">
        <f t="shared" si="528"/>
        <v>0.27625</v>
      </c>
      <c r="H1733" s="81"/>
      <c r="I1733" s="146">
        <v>44908</v>
      </c>
      <c r="J1733" s="147">
        <v>2.18</v>
      </c>
      <c r="K1733" s="147">
        <v>1.92</v>
      </c>
      <c r="L1733" s="147">
        <v>2.05</v>
      </c>
      <c r="M1733" s="59" cm="1">
        <f t="array" ref="M1733">INDEX($BV$29:$BV$1449,MATCH($D1733,$BR$29:$BR$1449,0),)</f>
        <v>2.21</v>
      </c>
      <c r="N1733" s="150">
        <f t="shared" si="523"/>
        <v>-0.00194741966893863</v>
      </c>
      <c r="O1733" s="150">
        <f t="shared" si="524"/>
        <v>-0.0148966842864008</v>
      </c>
      <c r="P1733" s="150">
        <f t="shared" si="517"/>
        <v>-0.0242741551642076</v>
      </c>
      <c r="Q1733" s="89">
        <f t="shared" si="519"/>
        <v>-0.0723981900452489</v>
      </c>
      <c r="GF1733" s="104">
        <f t="shared" si="525"/>
        <v>2019</v>
      </c>
      <c r="GG1733" s="104">
        <f t="shared" si="526"/>
        <v>44</v>
      </c>
      <c r="GH1733" s="35">
        <v>43767</v>
      </c>
      <c r="GI1733" s="26">
        <v>1.561</v>
      </c>
      <c r="GJ1733" s="94">
        <f t="shared" si="527"/>
        <v>3.122</v>
      </c>
      <c r="GK1733" s="104"/>
      <c r="GL1733" s="104"/>
    </row>
    <row r="1734" spans="3:197">
      <c r="C1734" s="80" t="str" cm="1">
        <f t="array" ref="C1734">_xlfn.IFS(MONTH(D1734)&lt;4,1,MONTH(D1734)&lt;7,2,MONTH(D1734)&lt;10,3,MONTH(D1734)&gt;9,4)&amp;"Q"&amp;RIGHT(YEAR(D1734),2)</f>
        <v>4Q22</v>
      </c>
      <c r="D1734" s="81">
        <f t="shared" si="521"/>
        <v>44926</v>
      </c>
      <c r="E1734" s="82">
        <f t="shared" si="518"/>
        <v>44909</v>
      </c>
      <c r="F1734" s="83">
        <f t="shared" si="528"/>
        <v>0.25625</v>
      </c>
      <c r="G1734" s="83">
        <f t="shared" si="528"/>
        <v>0.27625</v>
      </c>
      <c r="H1734" s="81"/>
      <c r="I1734" s="146">
        <v>44909</v>
      </c>
      <c r="J1734" s="147">
        <v>2.18</v>
      </c>
      <c r="K1734" s="147">
        <v>1.92</v>
      </c>
      <c r="L1734" s="147">
        <v>2.05</v>
      </c>
      <c r="M1734" s="59" cm="1">
        <f t="array" ref="M1734">INDEX($BV$29:$BV$1449,MATCH($D1734,$BR$29:$BR$1449,0),)</f>
        <v>2.21</v>
      </c>
      <c r="N1734" s="150">
        <f t="shared" si="523"/>
        <v>0</v>
      </c>
      <c r="O1734" s="150">
        <f t="shared" si="524"/>
        <v>-0.0120481927710845</v>
      </c>
      <c r="P1734" s="150">
        <f t="shared" si="517"/>
        <v>-0.0233444497379707</v>
      </c>
      <c r="Q1734" s="89">
        <f t="shared" si="519"/>
        <v>-0.0723981900452489</v>
      </c>
      <c r="GF1734" s="104">
        <f t="shared" si="525"/>
        <v>2019</v>
      </c>
      <c r="GG1734" s="104">
        <f t="shared" si="526"/>
        <v>44</v>
      </c>
      <c r="GH1734" s="35">
        <v>43768</v>
      </c>
      <c r="GI1734" s="26">
        <v>1.558</v>
      </c>
      <c r="GJ1734" s="94">
        <f t="shared" si="527"/>
        <v>3.116</v>
      </c>
      <c r="GK1734" s="104"/>
      <c r="GL1734" s="104"/>
    </row>
    <row r="1735" spans="3:197">
      <c r="C1735" s="80" t="str" cm="1">
        <f t="array" ref="C1735">_xlfn.IFS(MONTH(D1735)&lt;4,1,MONTH(D1735)&lt;7,2,MONTH(D1735)&lt;10,3,MONTH(D1735)&gt;9,4)&amp;"Q"&amp;RIGHT(YEAR(D1735),2)</f>
        <v>4Q22</v>
      </c>
      <c r="D1735" s="81">
        <f t="shared" si="521"/>
        <v>44926</v>
      </c>
      <c r="E1735" s="82">
        <f t="shared" si="518"/>
        <v>44910</v>
      </c>
      <c r="F1735" s="83">
        <f t="shared" si="528"/>
        <v>0.255375</v>
      </c>
      <c r="G1735" s="83">
        <f t="shared" si="528"/>
        <v>0.27625</v>
      </c>
      <c r="H1735" s="81"/>
      <c r="I1735" s="146">
        <v>44910</v>
      </c>
      <c r="J1735" s="147">
        <v>2.18</v>
      </c>
      <c r="K1735" s="147">
        <v>1.92</v>
      </c>
      <c r="L1735" s="147">
        <v>2.043</v>
      </c>
      <c r="M1735" s="59" cm="1">
        <f t="array" ref="M1735">INDEX($BV$29:$BV$1449,MATCH($D1735,$BR$29:$BR$1449,0),)</f>
        <v>2.21</v>
      </c>
      <c r="N1735" s="150">
        <f t="shared" si="523"/>
        <v>-0.00341463414634136</v>
      </c>
      <c r="O1735" s="150">
        <f t="shared" si="524"/>
        <v>-0.0125664572257128</v>
      </c>
      <c r="P1735" s="150">
        <f t="shared" si="517"/>
        <v>-0.0248210023866349</v>
      </c>
      <c r="Q1735" s="89">
        <f t="shared" si="519"/>
        <v>-0.0755656108597285</v>
      </c>
      <c r="GF1735" s="104">
        <f t="shared" si="525"/>
        <v>2019</v>
      </c>
      <c r="GG1735" s="104">
        <f t="shared" si="526"/>
        <v>44</v>
      </c>
      <c r="GH1735" s="35">
        <v>43769</v>
      </c>
      <c r="GI1735" s="26">
        <v>1.556</v>
      </c>
      <c r="GJ1735" s="94">
        <f t="shared" si="527"/>
        <v>3.112</v>
      </c>
      <c r="GK1735" s="104"/>
      <c r="GL1735" s="104"/>
    </row>
    <row r="1736" spans="3:197">
      <c r="C1736" s="80" t="str" cm="1">
        <f t="array" ref="C1736">_xlfn.IFS(MONTH(D1736)&lt;4,1,MONTH(D1736)&lt;7,2,MONTH(D1736)&lt;10,3,MONTH(D1736)&gt;9,4)&amp;"Q"&amp;RIGHT(YEAR(D1736),2)</f>
        <v>4Q22</v>
      </c>
      <c r="D1736" s="81">
        <f t="shared" si="521"/>
        <v>44926</v>
      </c>
      <c r="E1736" s="82">
        <f t="shared" si="518"/>
        <v>44911</v>
      </c>
      <c r="F1736" s="83">
        <f t="shared" si="528"/>
        <v>0.255</v>
      </c>
      <c r="G1736" s="83">
        <f t="shared" si="528"/>
        <v>0.27625</v>
      </c>
      <c r="H1736" s="81"/>
      <c r="I1736" s="146">
        <v>44911</v>
      </c>
      <c r="J1736" s="147">
        <v>2.15</v>
      </c>
      <c r="K1736" s="147">
        <v>1.92</v>
      </c>
      <c r="L1736" s="147">
        <v>2.04</v>
      </c>
      <c r="M1736" s="59" cm="1">
        <f t="array" ref="M1736">INDEX($BV$29:$BV$1449,MATCH($D1736,$BR$29:$BR$1449,0),)</f>
        <v>2.21</v>
      </c>
      <c r="N1736" s="150">
        <f t="shared" si="523"/>
        <v>-0.00146842878120412</v>
      </c>
      <c r="O1736" s="150">
        <f t="shared" si="524"/>
        <v>-0.00874635568513105</v>
      </c>
      <c r="P1736" s="150">
        <f t="shared" si="517"/>
        <v>-0.0253225035833731</v>
      </c>
      <c r="Q1736" s="89">
        <f t="shared" si="519"/>
        <v>-0.0769230769230769</v>
      </c>
      <c r="GF1736" s="104">
        <f t="shared" si="525"/>
        <v>2019</v>
      </c>
      <c r="GG1736" s="104">
        <f t="shared" si="526"/>
        <v>44</v>
      </c>
      <c r="GH1736" s="35">
        <v>43770</v>
      </c>
      <c r="GI1736" s="26">
        <v>1.556</v>
      </c>
      <c r="GJ1736" s="94">
        <f t="shared" si="527"/>
        <v>3.112</v>
      </c>
      <c r="GK1736" s="104"/>
      <c r="GL1736" s="104"/>
    </row>
    <row r="1737" spans="3:197">
      <c r="C1737" s="80" t="str" cm="1">
        <f t="array" ref="C1737">_xlfn.IFS(MONTH(D1737)&lt;4,1,MONTH(D1737)&lt;7,2,MONTH(D1737)&lt;10,3,MONTH(D1737)&gt;9,4)&amp;"Q"&amp;RIGHT(YEAR(D1737),2)</f>
        <v>4Q22</v>
      </c>
      <c r="D1737" s="81">
        <f t="shared" si="521"/>
        <v>44926</v>
      </c>
      <c r="E1737" s="82">
        <f t="shared" si="518"/>
        <v>44914</v>
      </c>
      <c r="F1737" s="83">
        <f t="shared" si="528"/>
        <v>0.255</v>
      </c>
      <c r="G1737" s="83">
        <f t="shared" si="528"/>
        <v>0.27625</v>
      </c>
      <c r="H1737" s="81"/>
      <c r="I1737" s="146">
        <v>44914</v>
      </c>
      <c r="J1737" s="147">
        <v>2.15</v>
      </c>
      <c r="K1737" s="147">
        <v>1.92</v>
      </c>
      <c r="L1737" s="147">
        <v>2.04</v>
      </c>
      <c r="M1737" s="59" cm="1">
        <f t="array" ref="M1737">INDEX($BV$29:$BV$1449,MATCH($D1737,$BR$29:$BR$1449,0),)</f>
        <v>2.21</v>
      </c>
      <c r="N1737" s="150">
        <f t="shared" si="523"/>
        <v>0</v>
      </c>
      <c r="O1737" s="150">
        <f t="shared" si="524"/>
        <v>-0.00681596884128521</v>
      </c>
      <c r="P1737" s="150">
        <f t="shared" si="517"/>
        <v>-0.0234561991383436</v>
      </c>
      <c r="Q1737" s="89">
        <f t="shared" si="519"/>
        <v>-0.0769230769230769</v>
      </c>
      <c r="GF1737" s="104">
        <f t="shared" si="525"/>
        <v>2019</v>
      </c>
      <c r="GG1737" s="104">
        <f t="shared" si="526"/>
        <v>45</v>
      </c>
      <c r="GH1737" s="35">
        <v>43773</v>
      </c>
      <c r="GI1737" s="26">
        <v>1.555</v>
      </c>
      <c r="GJ1737" s="94">
        <f t="shared" si="527"/>
        <v>3.11</v>
      </c>
      <c r="GK1737" s="104"/>
      <c r="GL1737" s="104"/>
    </row>
    <row r="1738" spans="3:197">
      <c r="C1738" s="80" t="str" cm="1">
        <f t="array" ref="C1738">_xlfn.IFS(MONTH(D1738)&lt;4,1,MONTH(D1738)&lt;7,2,MONTH(D1738)&lt;10,3,MONTH(D1738)&gt;9,4)&amp;"Q"&amp;RIGHT(YEAR(D1738),2)</f>
        <v>4Q22</v>
      </c>
      <c r="D1738" s="81">
        <f t="shared" si="521"/>
        <v>44926</v>
      </c>
      <c r="E1738" s="82">
        <f t="shared" si="518"/>
        <v>44915</v>
      </c>
      <c r="F1738" s="83">
        <f t="shared" ref="F1738:G1753" si="529">+L1738/8</f>
        <v>0.255</v>
      </c>
      <c r="G1738" s="83">
        <f t="shared" si="529"/>
        <v>0.27625</v>
      </c>
      <c r="H1738" s="81"/>
      <c r="I1738" s="146">
        <v>44915</v>
      </c>
      <c r="J1738" s="147">
        <v>2.15</v>
      </c>
      <c r="K1738" s="147">
        <v>1.92</v>
      </c>
      <c r="L1738" s="147">
        <v>2.04</v>
      </c>
      <c r="M1738" s="59" cm="1">
        <f t="array" ref="M1738">INDEX($BV$29:$BV$1449,MATCH($D1738,$BR$29:$BR$1449,0),)</f>
        <v>2.21</v>
      </c>
      <c r="N1738" s="150">
        <f t="shared" si="523"/>
        <v>0</v>
      </c>
      <c r="O1738" s="150">
        <f t="shared" si="524"/>
        <v>-0.0048780487804877</v>
      </c>
      <c r="P1738" s="150">
        <f t="shared" si="517"/>
        <v>-0.019702066314272</v>
      </c>
      <c r="Q1738" s="89">
        <f t="shared" si="519"/>
        <v>-0.0769230769230769</v>
      </c>
      <c r="GF1738" s="104">
        <f t="shared" si="525"/>
        <v>2019</v>
      </c>
      <c r="GG1738" s="104">
        <f t="shared" si="526"/>
        <v>45</v>
      </c>
      <c r="GH1738" s="35">
        <v>43774</v>
      </c>
      <c r="GI1738" s="26">
        <v>1.548</v>
      </c>
      <c r="GJ1738" s="94">
        <f t="shared" si="527"/>
        <v>3.096</v>
      </c>
      <c r="GK1738" s="104"/>
      <c r="GL1738" s="104"/>
    </row>
    <row r="1739" spans="3:197">
      <c r="C1739" s="80" t="str" cm="1">
        <f t="array" ref="C1739">_xlfn.IFS(MONTH(D1739)&lt;4,1,MONTH(D1739)&lt;7,2,MONTH(D1739)&lt;10,3,MONTH(D1739)&gt;9,4)&amp;"Q"&amp;RIGHT(YEAR(D1739),2)</f>
        <v>4Q22</v>
      </c>
      <c r="D1739" s="81">
        <f t="shared" si="521"/>
        <v>44926</v>
      </c>
      <c r="E1739" s="82">
        <f t="shared" si="518"/>
        <v>44916</v>
      </c>
      <c r="F1739" s="83">
        <f t="shared" si="529"/>
        <v>0.254125</v>
      </c>
      <c r="G1739" s="83">
        <f t="shared" si="529"/>
        <v>0.27625</v>
      </c>
      <c r="H1739" s="81"/>
      <c r="I1739" s="146">
        <v>44916</v>
      </c>
      <c r="J1739" s="147">
        <v>2.15</v>
      </c>
      <c r="K1739" s="147">
        <v>1.92</v>
      </c>
      <c r="L1739" s="147">
        <v>2.033</v>
      </c>
      <c r="M1739" s="59" cm="1">
        <f t="array" ref="M1739">INDEX($BV$29:$BV$1449,MATCH($D1739,$BR$29:$BR$1449,0),)</f>
        <v>2.21</v>
      </c>
      <c r="N1739" s="150">
        <f t="shared" si="523"/>
        <v>-0.00343137254901971</v>
      </c>
      <c r="O1739" s="150">
        <f t="shared" si="524"/>
        <v>-0.00829268292682928</v>
      </c>
      <c r="P1739" s="150">
        <f t="shared" si="517"/>
        <v>-0.0202409638554218</v>
      </c>
      <c r="Q1739" s="89">
        <f t="shared" si="519"/>
        <v>-0.0800904977375566</v>
      </c>
      <c r="GF1739" s="104">
        <f t="shared" si="525"/>
        <v>2019</v>
      </c>
      <c r="GG1739" s="104">
        <f t="shared" si="526"/>
        <v>45</v>
      </c>
      <c r="GH1739" s="35">
        <v>43775</v>
      </c>
      <c r="GI1739" s="26">
        <v>1.548</v>
      </c>
      <c r="GJ1739" s="94">
        <f t="shared" si="527"/>
        <v>3.096</v>
      </c>
      <c r="GK1739" s="104"/>
      <c r="GL1739" s="104"/>
    </row>
    <row r="1740" spans="3:197">
      <c r="C1740" s="80" t="str" cm="1">
        <f t="array" ref="C1740">_xlfn.IFS(MONTH(D1740)&lt;4,1,MONTH(D1740)&lt;7,2,MONTH(D1740)&lt;10,3,MONTH(D1740)&gt;9,4)&amp;"Q"&amp;RIGHT(YEAR(D1740),2)</f>
        <v>4Q22</v>
      </c>
      <c r="D1740" s="81">
        <f t="shared" si="521"/>
        <v>44926</v>
      </c>
      <c r="E1740" s="82">
        <f t="shared" si="518"/>
        <v>44917</v>
      </c>
      <c r="F1740" s="83">
        <f t="shared" si="529"/>
        <v>0.253625</v>
      </c>
      <c r="G1740" s="83">
        <f t="shared" si="529"/>
        <v>0.27625</v>
      </c>
      <c r="H1740" s="81"/>
      <c r="I1740" s="146">
        <v>44917</v>
      </c>
      <c r="J1740" s="147">
        <v>2.15</v>
      </c>
      <c r="K1740" s="147">
        <v>1.9</v>
      </c>
      <c r="L1740" s="147">
        <v>2.029</v>
      </c>
      <c r="M1740" s="59" cm="1">
        <f t="array" ref="M1740">INDEX($BV$29:$BV$1449,MATCH($D1740,$BR$29:$BR$1449,0),)</f>
        <v>2.21</v>
      </c>
      <c r="N1740" s="150">
        <f t="shared" si="523"/>
        <v>-0.00196753566158392</v>
      </c>
      <c r="O1740" s="150">
        <f t="shared" si="524"/>
        <v>-0.00685266764561931</v>
      </c>
      <c r="P1740" s="150">
        <f t="shared" si="517"/>
        <v>-0.0193330111164814</v>
      </c>
      <c r="Q1740" s="89">
        <f t="shared" si="519"/>
        <v>-0.0819004524886878</v>
      </c>
      <c r="GF1740" s="104">
        <f t="shared" si="525"/>
        <v>2019</v>
      </c>
      <c r="GG1740" s="104">
        <f t="shared" si="526"/>
        <v>45</v>
      </c>
      <c r="GH1740" s="35">
        <v>43776</v>
      </c>
      <c r="GI1740" s="26">
        <v>1.547</v>
      </c>
      <c r="GJ1740" s="94">
        <f t="shared" si="527"/>
        <v>3.094</v>
      </c>
      <c r="GK1740" s="104"/>
      <c r="GL1740" s="104"/>
    </row>
    <row r="1741" spans="3:197">
      <c r="C1741" s="80" t="str" cm="1">
        <f t="array" ref="C1741">_xlfn.IFS(MONTH(D1741)&lt;4,1,MONTH(D1741)&lt;7,2,MONTH(D1741)&lt;10,3,MONTH(D1741)&gt;9,4)&amp;"Q"&amp;RIGHT(YEAR(D1741),2)</f>
        <v>4Q22</v>
      </c>
      <c r="D1741" s="81">
        <f t="shared" si="521"/>
        <v>44926</v>
      </c>
      <c r="E1741" s="82">
        <f t="shared" si="518"/>
        <v>44918</v>
      </c>
      <c r="F1741" s="83">
        <f t="shared" si="529"/>
        <v>0.25325</v>
      </c>
      <c r="G1741" s="83">
        <f t="shared" si="529"/>
        <v>0.27625</v>
      </c>
      <c r="H1741" s="81"/>
      <c r="I1741" s="146">
        <v>44918</v>
      </c>
      <c r="J1741" s="147">
        <v>2.14</v>
      </c>
      <c r="K1741" s="147">
        <v>1.88</v>
      </c>
      <c r="L1741" s="147">
        <v>2.026</v>
      </c>
      <c r="M1741" s="59" cm="1">
        <f t="array" ref="M1741">INDEX($BV$29:$BV$1449,MATCH($D1741,$BR$29:$BR$1449,0),)</f>
        <v>2.21</v>
      </c>
      <c r="N1741" s="150">
        <f t="shared" si="523"/>
        <v>-0.00147856086742248</v>
      </c>
      <c r="O1741" s="150">
        <f t="shared" si="524"/>
        <v>-0.0068627450980393</v>
      </c>
      <c r="P1741" s="150">
        <f t="shared" si="517"/>
        <v>-0.0155490767735665</v>
      </c>
      <c r="Q1741" s="89">
        <f t="shared" si="519"/>
        <v>-0.0832579185520362</v>
      </c>
      <c r="GF1741" s="104">
        <f t="shared" si="525"/>
        <v>2019</v>
      </c>
      <c r="GG1741" s="104">
        <f t="shared" si="526"/>
        <v>45</v>
      </c>
      <c r="GH1741" s="35">
        <v>43777</v>
      </c>
      <c r="GI1741" s="26">
        <v>1.546</v>
      </c>
      <c r="GJ1741" s="94">
        <f t="shared" si="527"/>
        <v>3.092</v>
      </c>
      <c r="GK1741" s="104"/>
      <c r="GL1741" s="104"/>
    </row>
    <row r="1742" spans="3:197">
      <c r="C1742" s="80" t="str" cm="1">
        <f t="array" ref="C1742">_xlfn.IFS(MONTH(D1742)&lt;4,1,MONTH(D1742)&lt;7,2,MONTH(D1742)&lt;10,3,MONTH(D1742)&gt;9,4)&amp;"Q"&amp;RIGHT(YEAR(D1742),2)</f>
        <v>4Q22</v>
      </c>
      <c r="D1742" s="81">
        <f t="shared" si="521"/>
        <v>44926</v>
      </c>
      <c r="E1742" s="82">
        <f t="shared" si="518"/>
        <v>44921</v>
      </c>
      <c r="F1742" s="83">
        <f t="shared" si="529"/>
        <v>0.25325</v>
      </c>
      <c r="G1742" s="83">
        <f t="shared" si="529"/>
        <v>0.27625</v>
      </c>
      <c r="H1742" s="81"/>
      <c r="I1742" s="146">
        <v>44921</v>
      </c>
      <c r="J1742" s="147">
        <v>2.14</v>
      </c>
      <c r="K1742" s="147">
        <v>1.89</v>
      </c>
      <c r="L1742" s="147">
        <v>2.026</v>
      </c>
      <c r="M1742" s="59" cm="1">
        <f t="array" ref="M1742">INDEX($BV$29:$BV$1449,MATCH($D1742,$BR$29:$BR$1449,0),)</f>
        <v>2.21</v>
      </c>
      <c r="N1742" s="150">
        <f t="shared" si="523"/>
        <v>0</v>
      </c>
      <c r="O1742" s="150">
        <f t="shared" si="524"/>
        <v>-0.0068627450980393</v>
      </c>
      <c r="P1742" s="150">
        <f t="shared" si="517"/>
        <v>-0.0136319376825706</v>
      </c>
      <c r="Q1742" s="89">
        <f t="shared" si="519"/>
        <v>-0.0832579185520362</v>
      </c>
      <c r="GF1742" s="104">
        <f t="shared" si="525"/>
        <v>2019</v>
      </c>
      <c r="GG1742" s="104">
        <f t="shared" si="526"/>
        <v>46</v>
      </c>
      <c r="GH1742" s="35">
        <v>43780</v>
      </c>
      <c r="GI1742" s="26">
        <v>1.544</v>
      </c>
      <c r="GJ1742" s="94">
        <f t="shared" si="527"/>
        <v>3.088</v>
      </c>
      <c r="GK1742" s="104"/>
      <c r="GL1742" s="104"/>
    </row>
    <row r="1743" spans="3:197">
      <c r="C1743" s="80" t="str" cm="1">
        <f t="array" ref="C1743">_xlfn.IFS(MONTH(D1743)&lt;4,1,MONTH(D1743)&lt;7,2,MONTH(D1743)&lt;10,3,MONTH(D1743)&gt;9,4)&amp;"Q"&amp;RIGHT(YEAR(D1743),2)</f>
        <v>4Q22</v>
      </c>
      <c r="D1743" s="81">
        <f t="shared" si="521"/>
        <v>44926</v>
      </c>
      <c r="E1743" s="82">
        <f t="shared" si="518"/>
        <v>44922</v>
      </c>
      <c r="F1743" s="83">
        <f t="shared" si="529"/>
        <v>0.25325</v>
      </c>
      <c r="G1743" s="83">
        <f t="shared" si="529"/>
        <v>0.27625</v>
      </c>
      <c r="H1743" s="81"/>
      <c r="I1743" s="146">
        <v>44922</v>
      </c>
      <c r="J1743" s="147">
        <v>2.14</v>
      </c>
      <c r="K1743" s="147">
        <v>1.89</v>
      </c>
      <c r="L1743" s="147">
        <v>2.026</v>
      </c>
      <c r="M1743" s="59" cm="1">
        <f t="array" ref="M1743">INDEX($BV$29:$BV$1449,MATCH($D1743,$BR$29:$BR$1449,0),)</f>
        <v>2.21</v>
      </c>
      <c r="N1743" s="150">
        <f t="shared" si="523"/>
        <v>0</v>
      </c>
      <c r="O1743" s="150">
        <f t="shared" si="524"/>
        <v>-0.0068627450980393</v>
      </c>
      <c r="P1743" s="150">
        <f t="shared" ref="P1743:P1806" si="530">L1743/L1733-1</f>
        <v>-0.0117073170731707</v>
      </c>
      <c r="Q1743" s="89">
        <f t="shared" si="519"/>
        <v>-0.0832579185520362</v>
      </c>
      <c r="GF1743" s="104">
        <f t="shared" si="525"/>
        <v>2019</v>
      </c>
      <c r="GG1743" s="104">
        <f t="shared" si="526"/>
        <v>46</v>
      </c>
      <c r="GH1743" s="35">
        <v>43781</v>
      </c>
      <c r="GI1743" s="26">
        <v>1.543</v>
      </c>
      <c r="GJ1743" s="94">
        <f t="shared" si="527"/>
        <v>3.086</v>
      </c>
      <c r="GK1743" s="104"/>
      <c r="GL1743" s="104"/>
    </row>
    <row r="1744" spans="3:197">
      <c r="C1744" s="80" t="str" cm="1">
        <f t="array" ref="C1744">_xlfn.IFS(MONTH(D1744)&lt;4,1,MONTH(D1744)&lt;7,2,MONTH(D1744)&lt;10,3,MONTH(D1744)&gt;9,4)&amp;"Q"&amp;RIGHT(YEAR(D1744),2)</f>
        <v>4Q22</v>
      </c>
      <c r="D1744" s="81">
        <f t="shared" si="521"/>
        <v>44926</v>
      </c>
      <c r="E1744" s="82">
        <f t="shared" si="518"/>
        <v>44923</v>
      </c>
      <c r="F1744" s="83">
        <f t="shared" si="529"/>
        <v>0.251</v>
      </c>
      <c r="G1744" s="83">
        <f t="shared" si="529"/>
        <v>0.27625</v>
      </c>
      <c r="H1744" s="81"/>
      <c r="I1744" s="146">
        <v>44923</v>
      </c>
      <c r="J1744" s="147">
        <v>2.14</v>
      </c>
      <c r="K1744" s="147">
        <v>1.85</v>
      </c>
      <c r="L1744" s="147">
        <v>2.008</v>
      </c>
      <c r="M1744" s="59" cm="1">
        <f t="array" ref="M1744">INDEX($BV$29:$BV$1449,MATCH($D1744,$BR$29:$BR$1449,0),)</f>
        <v>2.21</v>
      </c>
      <c r="N1744" s="150">
        <f t="shared" si="523"/>
        <v>-0.00888450148075015</v>
      </c>
      <c r="O1744" s="150">
        <f t="shared" si="524"/>
        <v>-0.0122970978848991</v>
      </c>
      <c r="P1744" s="150">
        <f t="shared" si="530"/>
        <v>-0.0204878048780487</v>
      </c>
      <c r="Q1744" s="89">
        <f t="shared" si="519"/>
        <v>-0.0914027149321267</v>
      </c>
      <c r="GF1744" s="104">
        <f t="shared" si="525"/>
        <v>2019</v>
      </c>
      <c r="GG1744" s="104">
        <f t="shared" si="526"/>
        <v>46</v>
      </c>
      <c r="GH1744" s="35">
        <v>43782</v>
      </c>
      <c r="GI1744" s="26">
        <v>1.541</v>
      </c>
      <c r="GJ1744" s="94">
        <f t="shared" si="527"/>
        <v>3.082</v>
      </c>
      <c r="GK1744" s="104"/>
      <c r="GL1744" s="104"/>
    </row>
    <row r="1745" spans="3:194">
      <c r="C1745" s="80" t="str" cm="1">
        <f t="array" ref="C1745">_xlfn.IFS(MONTH(D1745)&lt;4,1,MONTH(D1745)&lt;7,2,MONTH(D1745)&lt;10,3,MONTH(D1745)&gt;9,4)&amp;"Q"&amp;RIGHT(YEAR(D1745),2)</f>
        <v>4Q22</v>
      </c>
      <c r="D1745" s="81">
        <f t="shared" si="521"/>
        <v>44926</v>
      </c>
      <c r="E1745" s="82">
        <f t="shared" ref="E1745:E1808" si="531">I1745</f>
        <v>44924</v>
      </c>
      <c r="F1745" s="83">
        <f t="shared" si="529"/>
        <v>0.251</v>
      </c>
      <c r="G1745" s="83">
        <f t="shared" si="529"/>
        <v>0.27625</v>
      </c>
      <c r="H1745" s="81"/>
      <c r="I1745" s="146">
        <v>44924</v>
      </c>
      <c r="J1745" s="147">
        <v>2.14</v>
      </c>
      <c r="K1745" s="147">
        <v>1.85</v>
      </c>
      <c r="L1745" s="147">
        <v>2.008</v>
      </c>
      <c r="M1745" s="59" cm="1">
        <f t="array" ref="M1745">INDEX($BV$29:$BV$1449,MATCH($D1745,$BR$29:$BR$1449,0),)</f>
        <v>2.21</v>
      </c>
      <c r="N1745" s="150">
        <f t="shared" si="523"/>
        <v>0</v>
      </c>
      <c r="O1745" s="150">
        <f t="shared" si="524"/>
        <v>-0.0103499260719566</v>
      </c>
      <c r="P1745" s="150">
        <f t="shared" si="530"/>
        <v>-0.0171316691140481</v>
      </c>
      <c r="Q1745" s="89">
        <f t="shared" ref="Q1745:Q1808" si="532">L1745/M1745-1</f>
        <v>-0.0914027149321267</v>
      </c>
      <c r="GF1745" s="104">
        <f t="shared" si="525"/>
        <v>2019</v>
      </c>
      <c r="GG1745" s="104">
        <f t="shared" si="526"/>
        <v>46</v>
      </c>
      <c r="GH1745" s="35">
        <v>43783</v>
      </c>
      <c r="GI1745" s="26">
        <v>1.538</v>
      </c>
      <c r="GJ1745" s="94">
        <f t="shared" si="527"/>
        <v>3.076</v>
      </c>
      <c r="GK1745" s="104"/>
      <c r="GL1745" s="104"/>
    </row>
    <row r="1746" spans="3:194">
      <c r="C1746" s="80" t="str" cm="1">
        <f t="array" ref="C1746">_xlfn.IFS(MONTH(D1746)&lt;4,1,MONTH(D1746)&lt;7,2,MONTH(D1746)&lt;10,3,MONTH(D1746)&gt;9,4)&amp;"Q"&amp;RIGHT(YEAR(D1746),2)</f>
        <v>4Q22</v>
      </c>
      <c r="D1746" s="81">
        <f t="shared" si="521"/>
        <v>44926</v>
      </c>
      <c r="E1746" s="82">
        <f t="shared" si="531"/>
        <v>44925</v>
      </c>
      <c r="F1746" s="83">
        <f t="shared" si="529"/>
        <v>0.2505</v>
      </c>
      <c r="G1746" s="83">
        <f t="shared" si="529"/>
        <v>0.27625</v>
      </c>
      <c r="H1746" s="81"/>
      <c r="I1746" s="146">
        <v>44925</v>
      </c>
      <c r="J1746" s="147">
        <v>2.15</v>
      </c>
      <c r="K1746" s="147">
        <v>1.84</v>
      </c>
      <c r="L1746" s="147">
        <v>2.004</v>
      </c>
      <c r="M1746" s="59" cm="1">
        <f t="array" ref="M1746">INDEX($BV$29:$BV$1449,MATCH($D1746,$BR$29:$BR$1449,0),)</f>
        <v>2.21</v>
      </c>
      <c r="N1746" s="150">
        <f t="shared" si="523"/>
        <v>-0.00199203187250996</v>
      </c>
      <c r="O1746" s="150">
        <f t="shared" si="524"/>
        <v>-0.0108588351431391</v>
      </c>
      <c r="P1746" s="150">
        <f t="shared" si="530"/>
        <v>-0.0176470588235295</v>
      </c>
      <c r="Q1746" s="89">
        <f t="shared" si="532"/>
        <v>-0.0932126696832579</v>
      </c>
      <c r="GF1746" s="104">
        <f t="shared" si="525"/>
        <v>2019</v>
      </c>
      <c r="GG1746" s="104">
        <f t="shared" si="526"/>
        <v>46</v>
      </c>
      <c r="GH1746" s="35">
        <v>43784</v>
      </c>
      <c r="GI1746" s="26">
        <v>1.536</v>
      </c>
      <c r="GJ1746" s="94">
        <f t="shared" si="527"/>
        <v>3.072</v>
      </c>
      <c r="GK1746" s="104"/>
      <c r="GL1746" s="104"/>
    </row>
    <row r="1747" spans="3:194">
      <c r="C1747" s="80" t="str" cm="1">
        <f t="array" ref="C1747">_xlfn.IFS(MONTH(D1747)&lt;4,1,MONTH(D1747)&lt;7,2,MONTH(D1747)&lt;10,3,MONTH(D1747)&gt;9,4)&amp;"Q"&amp;RIGHT(YEAR(D1747),2)</f>
        <v>1Q23</v>
      </c>
      <c r="D1747" s="81">
        <f t="shared" si="521"/>
        <v>44957</v>
      </c>
      <c r="E1747" s="82">
        <f t="shared" si="531"/>
        <v>44928</v>
      </c>
      <c r="F1747" s="83">
        <f t="shared" si="529"/>
        <v>0.2505</v>
      </c>
      <c r="G1747" s="83">
        <f t="shared" si="529"/>
        <v>0.22625</v>
      </c>
      <c r="H1747" s="81"/>
      <c r="I1747" s="146">
        <v>44928</v>
      </c>
      <c r="J1747" s="147">
        <v>2.15</v>
      </c>
      <c r="K1747" s="147">
        <v>1.84</v>
      </c>
      <c r="L1747" s="147">
        <v>2.004</v>
      </c>
      <c r="M1747" s="59" cm="1">
        <f t="array" ref="M1747">INDEX($BV$29:$BV$1449,MATCH($D1747,$BR$29:$BR$1449,0),)</f>
        <v>1.81</v>
      </c>
      <c r="N1747" s="150">
        <f t="shared" si="523"/>
        <v>0</v>
      </c>
      <c r="O1747" s="150">
        <f t="shared" si="524"/>
        <v>-0.0108588351431391</v>
      </c>
      <c r="P1747" s="150">
        <f t="shared" si="530"/>
        <v>-0.0176470588235295</v>
      </c>
      <c r="Q1747" s="89">
        <f t="shared" si="532"/>
        <v>0.107182320441989</v>
      </c>
      <c r="GF1747" s="104">
        <f t="shared" si="525"/>
        <v>2019</v>
      </c>
      <c r="GG1747" s="104">
        <f t="shared" si="526"/>
        <v>47</v>
      </c>
      <c r="GH1747" s="35">
        <v>43787</v>
      </c>
      <c r="GI1747" s="26">
        <v>1.533</v>
      </c>
      <c r="GJ1747" s="94">
        <f t="shared" si="527"/>
        <v>3.066</v>
      </c>
      <c r="GK1747" s="104"/>
      <c r="GL1747" s="104"/>
    </row>
    <row r="1748" spans="3:194">
      <c r="C1748" s="80" t="str" cm="1">
        <f t="array" ref="C1748">_xlfn.IFS(MONTH(D1748)&lt;4,1,MONTH(D1748)&lt;7,2,MONTH(D1748)&lt;10,3,MONTH(D1748)&gt;9,4)&amp;"Q"&amp;RIGHT(YEAR(D1748),2)</f>
        <v>1Q23</v>
      </c>
      <c r="D1748" s="81">
        <f t="shared" si="521"/>
        <v>44957</v>
      </c>
      <c r="E1748" s="82">
        <f t="shared" si="531"/>
        <v>44929</v>
      </c>
      <c r="F1748" s="83">
        <f t="shared" si="529"/>
        <v>0.250375</v>
      </c>
      <c r="G1748" s="83">
        <f t="shared" si="529"/>
        <v>0.22625</v>
      </c>
      <c r="H1748" s="81"/>
      <c r="I1748" s="146">
        <v>44929</v>
      </c>
      <c r="J1748" s="147">
        <v>2.17</v>
      </c>
      <c r="K1748" s="147">
        <v>1.9</v>
      </c>
      <c r="L1748" s="147">
        <v>2.003</v>
      </c>
      <c r="M1748" s="59" cm="1">
        <f t="array" ref="M1748">INDEX($BV$29:$BV$1449,MATCH($D1748,$BR$29:$BR$1449,0),)</f>
        <v>1.81</v>
      </c>
      <c r="N1748" s="150">
        <f t="shared" si="523"/>
        <v>-0.000499001996007942</v>
      </c>
      <c r="O1748" s="150">
        <f t="shared" si="524"/>
        <v>-0.0113524185587363</v>
      </c>
      <c r="P1748" s="150">
        <f t="shared" si="530"/>
        <v>-0.0181372549019607</v>
      </c>
      <c r="Q1748" s="89">
        <f t="shared" si="532"/>
        <v>0.106629834254144</v>
      </c>
      <c r="S1748" s="82">
        <f t="shared" ref="S1748:S1811" si="533">W1748</f>
        <v>44929</v>
      </c>
      <c r="T1748" s="83">
        <f>+Z1748/16</f>
        <v>0.3354375</v>
      </c>
      <c r="U1748" s="83">
        <f>+AA1748/16</f>
        <v>0.25</v>
      </c>
      <c r="W1748" s="146">
        <v>44929</v>
      </c>
      <c r="X1748" s="147">
        <v>5.8</v>
      </c>
      <c r="Y1748" s="147">
        <v>5.1</v>
      </c>
      <c r="Z1748" s="147">
        <v>5.367</v>
      </c>
      <c r="AA1748" s="59" cm="1">
        <f t="array" ref="AA1748">INDEX($BX$29:$BX$1449,MATCH($D1748,$BR$29:$BR$1449,0),)</f>
        <v>4</v>
      </c>
      <c r="AB1748" s="150"/>
      <c r="AC1748" s="150"/>
      <c r="AD1748" s="150"/>
      <c r="AE1748" s="89">
        <f t="shared" ref="AE1748:AE1812" si="534">Z1748/AA1748-1</f>
        <v>0.34175</v>
      </c>
      <c r="AF1748" s="36"/>
      <c r="GF1748" s="104">
        <f t="shared" si="525"/>
        <v>2019</v>
      </c>
      <c r="GG1748" s="104">
        <f t="shared" si="526"/>
        <v>47</v>
      </c>
      <c r="GH1748" s="35">
        <v>43788</v>
      </c>
      <c r="GI1748" s="26">
        <v>1.528</v>
      </c>
      <c r="GJ1748" s="94">
        <f t="shared" si="527"/>
        <v>3.056</v>
      </c>
      <c r="GK1748" s="104"/>
      <c r="GL1748" s="104"/>
    </row>
    <row r="1749" spans="3:194">
      <c r="C1749" s="80" t="str" cm="1">
        <f t="array" ref="C1749">_xlfn.IFS(MONTH(D1749)&lt;4,1,MONTH(D1749)&lt;7,2,MONTH(D1749)&lt;10,3,MONTH(D1749)&gt;9,4)&amp;"Q"&amp;RIGHT(YEAR(D1749),2)</f>
        <v>1Q23</v>
      </c>
      <c r="D1749" s="81">
        <f t="shared" si="521"/>
        <v>44957</v>
      </c>
      <c r="E1749" s="82">
        <f t="shared" si="531"/>
        <v>44930</v>
      </c>
      <c r="F1749" s="83">
        <f t="shared" si="529"/>
        <v>0.250375</v>
      </c>
      <c r="G1749" s="83">
        <f t="shared" si="529"/>
        <v>0.22625</v>
      </c>
      <c r="H1749" s="81"/>
      <c r="I1749" s="146">
        <v>44930</v>
      </c>
      <c r="J1749" s="147">
        <v>2.15</v>
      </c>
      <c r="K1749" s="147">
        <v>1.96</v>
      </c>
      <c r="L1749" s="147">
        <v>2.003</v>
      </c>
      <c r="M1749" s="59" cm="1">
        <f t="array" ref="M1749">INDEX($BV$29:$BV$1449,MATCH($D1749,$BR$29:$BR$1449,0),)</f>
        <v>1.81</v>
      </c>
      <c r="N1749" s="150">
        <f t="shared" si="523"/>
        <v>0</v>
      </c>
      <c r="O1749" s="150">
        <f t="shared" si="524"/>
        <v>-0.00249003984063745</v>
      </c>
      <c r="P1749" s="150">
        <f t="shared" si="530"/>
        <v>-0.0147565174618789</v>
      </c>
      <c r="Q1749" s="89">
        <f t="shared" si="532"/>
        <v>0.106629834254144</v>
      </c>
      <c r="S1749" s="82">
        <f t="shared" si="533"/>
        <v>44930</v>
      </c>
      <c r="T1749" s="83">
        <f t="shared" ref="T1749:U1812" si="535">+Z1749/16</f>
        <v>0.335</v>
      </c>
      <c r="U1749" s="83">
        <f t="shared" si="535"/>
        <v>0.25</v>
      </c>
      <c r="W1749" s="146">
        <v>44930</v>
      </c>
      <c r="X1749" s="147">
        <v>5.8</v>
      </c>
      <c r="Y1749" s="147">
        <v>5.1</v>
      </c>
      <c r="Z1749" s="147">
        <v>5.36</v>
      </c>
      <c r="AA1749" s="59" cm="1">
        <f t="array" ref="AA1749">INDEX($BX$29:$BX$1449,MATCH($D1749,$BR$29:$BR$1449,0),)</f>
        <v>4</v>
      </c>
      <c r="AB1749" s="150">
        <f t="shared" ref="AB1749:AB1812" si="536">Z1749/Z1748-1</f>
        <v>-0.00130426681572571</v>
      </c>
      <c r="AC1749" s="150"/>
      <c r="AD1749" s="150"/>
      <c r="AE1749" s="89">
        <f t="shared" si="534"/>
        <v>0.34</v>
      </c>
      <c r="AF1749" s="36"/>
      <c r="GF1749" s="104">
        <f t="shared" si="525"/>
        <v>2019</v>
      </c>
      <c r="GG1749" s="104">
        <f t="shared" si="526"/>
        <v>47</v>
      </c>
      <c r="GH1749" s="35">
        <v>43789</v>
      </c>
      <c r="GI1749" s="26">
        <v>1.526</v>
      </c>
      <c r="GJ1749" s="94">
        <f t="shared" si="527"/>
        <v>3.052</v>
      </c>
      <c r="GK1749" s="104"/>
      <c r="GL1749" s="104"/>
    </row>
    <row r="1750" spans="3:194">
      <c r="C1750" s="80" t="str" cm="1">
        <f t="array" ref="C1750">_xlfn.IFS(MONTH(D1750)&lt;4,1,MONTH(D1750)&lt;7,2,MONTH(D1750)&lt;10,3,MONTH(D1750)&gt;9,4)&amp;"Q"&amp;RIGHT(YEAR(D1750),2)</f>
        <v>1Q23</v>
      </c>
      <c r="D1750" s="81">
        <f t="shared" si="521"/>
        <v>44957</v>
      </c>
      <c r="E1750" s="82">
        <f t="shared" si="531"/>
        <v>44931</v>
      </c>
      <c r="F1750" s="83">
        <f t="shared" si="529"/>
        <v>0.250375</v>
      </c>
      <c r="G1750" s="83">
        <f t="shared" si="529"/>
        <v>0.22625</v>
      </c>
      <c r="H1750" s="81"/>
      <c r="I1750" s="146">
        <v>44931</v>
      </c>
      <c r="J1750" s="147">
        <v>2.15</v>
      </c>
      <c r="K1750" s="147">
        <v>1.97</v>
      </c>
      <c r="L1750" s="147">
        <v>2.003</v>
      </c>
      <c r="M1750" s="59" cm="1">
        <f t="array" ref="M1750">INDEX($BV$29:$BV$1449,MATCH($D1750,$BR$29:$BR$1449,0),)</f>
        <v>1.81</v>
      </c>
      <c r="N1750" s="150">
        <f t="shared" si="523"/>
        <v>0</v>
      </c>
      <c r="O1750" s="150">
        <f t="shared" si="524"/>
        <v>-0.00249003984063745</v>
      </c>
      <c r="P1750" s="150">
        <f t="shared" si="530"/>
        <v>-0.0128141941843272</v>
      </c>
      <c r="Q1750" s="89">
        <f t="shared" si="532"/>
        <v>0.106629834254144</v>
      </c>
      <c r="S1750" s="82">
        <f t="shared" si="533"/>
        <v>44931</v>
      </c>
      <c r="T1750" s="83">
        <f t="shared" si="535"/>
        <v>0.334375</v>
      </c>
      <c r="U1750" s="83">
        <f t="shared" si="535"/>
        <v>0.25</v>
      </c>
      <c r="W1750" s="146">
        <v>44931</v>
      </c>
      <c r="X1750" s="147">
        <v>5.8</v>
      </c>
      <c r="Y1750" s="147">
        <v>5.08</v>
      </c>
      <c r="Z1750" s="147">
        <v>5.35</v>
      </c>
      <c r="AA1750" s="59" cm="1">
        <f t="array" ref="AA1750">INDEX($BX$29:$BX$1449,MATCH($D1750,$BR$29:$BR$1449,0),)</f>
        <v>4</v>
      </c>
      <c r="AB1750" s="150">
        <f t="shared" si="536"/>
        <v>-0.00186567164179119</v>
      </c>
      <c r="AC1750" s="150"/>
      <c r="AD1750" s="150"/>
      <c r="AE1750" s="89">
        <f t="shared" si="534"/>
        <v>0.3375</v>
      </c>
      <c r="AF1750" s="36"/>
      <c r="GF1750" s="104">
        <f t="shared" si="525"/>
        <v>2019</v>
      </c>
      <c r="GG1750" s="104">
        <f t="shared" si="526"/>
        <v>47</v>
      </c>
      <c r="GH1750" s="35">
        <v>43790</v>
      </c>
      <c r="GI1750" s="26">
        <v>1.513</v>
      </c>
      <c r="GJ1750" s="94">
        <f t="shared" si="527"/>
        <v>3.026</v>
      </c>
      <c r="GK1750" s="104"/>
      <c r="GL1750" s="104"/>
    </row>
    <row r="1751" spans="3:194">
      <c r="C1751" s="80" t="str" cm="1">
        <f t="array" ref="C1751">_xlfn.IFS(MONTH(D1751)&lt;4,1,MONTH(D1751)&lt;7,2,MONTH(D1751)&lt;10,3,MONTH(D1751)&gt;9,4)&amp;"Q"&amp;RIGHT(YEAR(D1751),2)</f>
        <v>1Q23</v>
      </c>
      <c r="D1751" s="81">
        <f t="shared" si="521"/>
        <v>44957</v>
      </c>
      <c r="E1751" s="82">
        <f t="shared" si="531"/>
        <v>44932</v>
      </c>
      <c r="F1751" s="83">
        <f t="shared" si="529"/>
        <v>0.25</v>
      </c>
      <c r="G1751" s="83">
        <f t="shared" si="529"/>
        <v>0.22625</v>
      </c>
      <c r="H1751" s="81"/>
      <c r="I1751" s="146">
        <v>44932</v>
      </c>
      <c r="J1751" s="147">
        <v>2.1</v>
      </c>
      <c r="K1751" s="147">
        <v>1.97</v>
      </c>
      <c r="L1751" s="147">
        <v>2</v>
      </c>
      <c r="M1751" s="59" cm="1">
        <f t="array" ref="M1751">INDEX($BV$29:$BV$1449,MATCH($D1751,$BR$29:$BR$1449,0),)</f>
        <v>1.81</v>
      </c>
      <c r="N1751" s="150">
        <f t="shared" si="523"/>
        <v>-0.00149775336994518</v>
      </c>
      <c r="O1751" s="150">
        <f t="shared" si="524"/>
        <v>-0.00199600798403199</v>
      </c>
      <c r="P1751" s="150">
        <f t="shared" si="530"/>
        <v>-0.012833168805528</v>
      </c>
      <c r="Q1751" s="89">
        <f t="shared" si="532"/>
        <v>0.104972375690608</v>
      </c>
      <c r="S1751" s="82">
        <f t="shared" si="533"/>
        <v>44932</v>
      </c>
      <c r="T1751" s="83">
        <f t="shared" si="535"/>
        <v>0.3341875</v>
      </c>
      <c r="U1751" s="83">
        <f t="shared" si="535"/>
        <v>0.25</v>
      </c>
      <c r="W1751" s="146">
        <v>44932</v>
      </c>
      <c r="X1751" s="147">
        <v>5.8</v>
      </c>
      <c r="Y1751" s="147">
        <v>5.08</v>
      </c>
      <c r="Z1751" s="147">
        <v>5.347</v>
      </c>
      <c r="AA1751" s="59" cm="1">
        <f t="array" ref="AA1751">INDEX($BX$29:$BX$1449,MATCH($D1751,$BR$29:$BR$1449,0),)</f>
        <v>4</v>
      </c>
      <c r="AB1751" s="150">
        <f t="shared" si="536"/>
        <v>-0.000560747663551298</v>
      </c>
      <c r="AC1751" s="150"/>
      <c r="AD1751" s="150"/>
      <c r="AE1751" s="89">
        <f t="shared" si="534"/>
        <v>0.33675</v>
      </c>
      <c r="AF1751" s="36"/>
      <c r="GF1751" s="104">
        <f t="shared" si="525"/>
        <v>2019</v>
      </c>
      <c r="GG1751" s="104">
        <f t="shared" si="526"/>
        <v>47</v>
      </c>
      <c r="GH1751" s="35">
        <v>43791</v>
      </c>
      <c r="GI1751" s="26">
        <v>1.511</v>
      </c>
      <c r="GJ1751" s="94">
        <f t="shared" si="527"/>
        <v>3.022</v>
      </c>
      <c r="GK1751" s="104"/>
      <c r="GL1751" s="104"/>
    </row>
    <row r="1752" spans="3:194">
      <c r="C1752" s="80" t="str" cm="1">
        <f t="array" ref="C1752">_xlfn.IFS(MONTH(D1752)&lt;4,1,MONTH(D1752)&lt;7,2,MONTH(D1752)&lt;10,3,MONTH(D1752)&gt;9,4)&amp;"Q"&amp;RIGHT(YEAR(D1752),2)</f>
        <v>1Q23</v>
      </c>
      <c r="D1752" s="81">
        <f t="shared" si="521"/>
        <v>44957</v>
      </c>
      <c r="E1752" s="82">
        <f t="shared" si="531"/>
        <v>44935</v>
      </c>
      <c r="F1752" s="83">
        <f t="shared" si="529"/>
        <v>0.248375</v>
      </c>
      <c r="G1752" s="83">
        <f t="shared" si="529"/>
        <v>0.22625</v>
      </c>
      <c r="H1752" s="81"/>
      <c r="I1752" s="146">
        <v>44935</v>
      </c>
      <c r="J1752" s="147">
        <v>2.08</v>
      </c>
      <c r="K1752" s="147">
        <v>1.93</v>
      </c>
      <c r="L1752" s="147">
        <v>1.987</v>
      </c>
      <c r="M1752" s="59" cm="1">
        <f t="array" ref="M1752">INDEX($BV$29:$BV$1449,MATCH($D1752,$BR$29:$BR$1449,0),)</f>
        <v>1.81</v>
      </c>
      <c r="N1752" s="150">
        <f t="shared" si="523"/>
        <v>-0.00649999999999995</v>
      </c>
      <c r="O1752" s="150">
        <f t="shared" si="524"/>
        <v>-0.00848303393213568</v>
      </c>
      <c r="P1752" s="150">
        <f t="shared" si="530"/>
        <v>-0.019249753208292</v>
      </c>
      <c r="Q1752" s="89">
        <f t="shared" si="532"/>
        <v>0.0977900552486188</v>
      </c>
      <c r="S1752" s="82">
        <f t="shared" si="533"/>
        <v>44935</v>
      </c>
      <c r="T1752" s="83">
        <f t="shared" si="535"/>
        <v>0.3339375</v>
      </c>
      <c r="U1752" s="83">
        <f t="shared" si="535"/>
        <v>0.25</v>
      </c>
      <c r="W1752" s="146">
        <v>44935</v>
      </c>
      <c r="X1752" s="147">
        <v>5.75</v>
      </c>
      <c r="Y1752" s="147">
        <v>5.07</v>
      </c>
      <c r="Z1752" s="147">
        <v>5.343</v>
      </c>
      <c r="AA1752" s="59" cm="1">
        <f t="array" ref="AA1752">INDEX($BX$29:$BX$1449,MATCH($D1752,$BR$29:$BR$1449,0),)</f>
        <v>4</v>
      </c>
      <c r="AB1752" s="150">
        <f t="shared" si="536"/>
        <v>-0.000748083037217184</v>
      </c>
      <c r="AC1752" s="150"/>
      <c r="AD1752" s="150"/>
      <c r="AE1752" s="89">
        <f t="shared" si="534"/>
        <v>0.33575</v>
      </c>
      <c r="AF1752" s="36"/>
      <c r="GF1752" s="104">
        <f t="shared" si="525"/>
        <v>2019</v>
      </c>
      <c r="GG1752" s="104">
        <f t="shared" si="526"/>
        <v>48</v>
      </c>
      <c r="GH1752" s="35">
        <v>43794</v>
      </c>
      <c r="GI1752" s="26">
        <v>1.509</v>
      </c>
      <c r="GJ1752" s="94">
        <f t="shared" si="527"/>
        <v>3.018</v>
      </c>
      <c r="GK1752" s="104"/>
      <c r="GL1752" s="104"/>
    </row>
    <row r="1753" spans="3:194">
      <c r="C1753" s="80" t="str" cm="1">
        <f t="array" ref="C1753">_xlfn.IFS(MONTH(D1753)&lt;4,1,MONTH(D1753)&lt;7,2,MONTH(D1753)&lt;10,3,MONTH(D1753)&gt;9,4)&amp;"Q"&amp;RIGHT(YEAR(D1753),2)</f>
        <v>1Q23</v>
      </c>
      <c r="D1753" s="81">
        <f t="shared" si="521"/>
        <v>44957</v>
      </c>
      <c r="E1753" s="82">
        <f t="shared" si="531"/>
        <v>44936</v>
      </c>
      <c r="F1753" s="83">
        <f t="shared" si="529"/>
        <v>0.245875</v>
      </c>
      <c r="G1753" s="83">
        <f t="shared" si="529"/>
        <v>0.22625</v>
      </c>
      <c r="H1753" s="81"/>
      <c r="I1753" s="146">
        <v>44936</v>
      </c>
      <c r="J1753" s="147">
        <v>2.08</v>
      </c>
      <c r="K1753" s="147">
        <v>1.87</v>
      </c>
      <c r="L1753" s="147">
        <v>1.967</v>
      </c>
      <c r="M1753" s="59" cm="1">
        <f t="array" ref="M1753">INDEX($BV$29:$BV$1449,MATCH($D1753,$BR$29:$BR$1449,0),)</f>
        <v>1.81</v>
      </c>
      <c r="N1753" s="150">
        <f t="shared" si="523"/>
        <v>-0.0100654252642174</v>
      </c>
      <c r="O1753" s="150">
        <f t="shared" si="524"/>
        <v>-0.017973040439341</v>
      </c>
      <c r="P1753" s="150">
        <f t="shared" si="530"/>
        <v>-0.0291214215202368</v>
      </c>
      <c r="Q1753" s="89">
        <f t="shared" si="532"/>
        <v>0.0867403314917128</v>
      </c>
      <c r="S1753" s="82">
        <f t="shared" si="533"/>
        <v>44936</v>
      </c>
      <c r="T1753" s="83">
        <f t="shared" si="535"/>
        <v>0.33375</v>
      </c>
      <c r="U1753" s="83">
        <f t="shared" si="535"/>
        <v>0.25</v>
      </c>
      <c r="W1753" s="146">
        <v>44936</v>
      </c>
      <c r="X1753" s="147">
        <v>5.75</v>
      </c>
      <c r="Y1753" s="147">
        <v>5.07</v>
      </c>
      <c r="Z1753" s="147">
        <v>5.34</v>
      </c>
      <c r="AA1753" s="59" cm="1">
        <f t="array" ref="AA1753">INDEX($BX$29:$BX$1449,MATCH($D1753,$BR$29:$BR$1449,0),)</f>
        <v>4</v>
      </c>
      <c r="AB1753" s="150">
        <f t="shared" si="536"/>
        <v>-0.000561482313307105</v>
      </c>
      <c r="AC1753" s="150">
        <f t="shared" ref="AC1753:AC1816" si="537">Z1753/Z1748-1</f>
        <v>-0.00503074343208498</v>
      </c>
      <c r="AD1753" s="150"/>
      <c r="AE1753" s="89">
        <f t="shared" si="534"/>
        <v>0.335</v>
      </c>
      <c r="AF1753" s="36"/>
      <c r="GF1753" s="104">
        <f t="shared" si="525"/>
        <v>2019</v>
      </c>
      <c r="GG1753" s="104">
        <f t="shared" si="526"/>
        <v>48</v>
      </c>
      <c r="GH1753" s="35">
        <v>43795</v>
      </c>
      <c r="GI1753" s="26">
        <v>1.506</v>
      </c>
      <c r="GJ1753" s="94">
        <f t="shared" si="527"/>
        <v>3.012</v>
      </c>
      <c r="GK1753" s="104"/>
      <c r="GL1753" s="104"/>
    </row>
    <row r="1754" spans="3:194">
      <c r="C1754" s="80" t="str" cm="1">
        <f t="array" ref="C1754">_xlfn.IFS(MONTH(D1754)&lt;4,1,MONTH(D1754)&lt;7,2,MONTH(D1754)&lt;10,3,MONTH(D1754)&gt;9,4)&amp;"Q"&amp;RIGHT(YEAR(D1754),2)</f>
        <v>1Q23</v>
      </c>
      <c r="D1754" s="81">
        <f t="shared" si="521"/>
        <v>44957</v>
      </c>
      <c r="E1754" s="82">
        <f t="shared" si="531"/>
        <v>44937</v>
      </c>
      <c r="F1754" s="83">
        <f t="shared" ref="F1754:G1769" si="538">+L1754/8</f>
        <v>0.244125</v>
      </c>
      <c r="G1754" s="83">
        <f t="shared" si="538"/>
        <v>0.22625</v>
      </c>
      <c r="H1754" s="81"/>
      <c r="I1754" s="146">
        <v>44937</v>
      </c>
      <c r="J1754" s="147">
        <v>2.05</v>
      </c>
      <c r="K1754" s="147">
        <v>1.87</v>
      </c>
      <c r="L1754" s="147">
        <v>1.953</v>
      </c>
      <c r="M1754" s="59" cm="1">
        <f t="array" ref="M1754">INDEX($BV$29:$BV$1449,MATCH($D1754,$BR$29:$BR$1449,0),)</f>
        <v>1.81</v>
      </c>
      <c r="N1754" s="150">
        <f t="shared" si="523"/>
        <v>-0.00711743772241991</v>
      </c>
      <c r="O1754" s="150">
        <f t="shared" si="524"/>
        <v>-0.0249625561657514</v>
      </c>
      <c r="P1754" s="150">
        <f t="shared" si="530"/>
        <v>-0.0273904382470119</v>
      </c>
      <c r="Q1754" s="89">
        <f t="shared" si="532"/>
        <v>0.0790055248618784</v>
      </c>
      <c r="S1754" s="82">
        <f t="shared" si="533"/>
        <v>44937</v>
      </c>
      <c r="T1754" s="83">
        <f t="shared" si="535"/>
        <v>0.3333125</v>
      </c>
      <c r="U1754" s="83">
        <f t="shared" si="535"/>
        <v>0.25</v>
      </c>
      <c r="W1754" s="146">
        <v>44937</v>
      </c>
      <c r="X1754" s="147">
        <v>5.7</v>
      </c>
      <c r="Y1754" s="147">
        <v>5.05</v>
      </c>
      <c r="Z1754" s="147">
        <v>5.333</v>
      </c>
      <c r="AA1754" s="59" cm="1">
        <f t="array" ref="AA1754">INDEX($BX$29:$BX$1449,MATCH($D1754,$BR$29:$BR$1449,0),)</f>
        <v>4</v>
      </c>
      <c r="AB1754" s="150">
        <f t="shared" si="536"/>
        <v>-0.0013108614232209</v>
      </c>
      <c r="AC1754" s="150">
        <f t="shared" si="537"/>
        <v>-0.00503731343283587</v>
      </c>
      <c r="AD1754" s="150"/>
      <c r="AE1754" s="89">
        <f t="shared" si="534"/>
        <v>0.33325</v>
      </c>
      <c r="AF1754" s="36"/>
      <c r="GF1754" s="104">
        <f t="shared" si="525"/>
        <v>2019</v>
      </c>
      <c r="GG1754" s="104">
        <f t="shared" si="526"/>
        <v>48</v>
      </c>
      <c r="GH1754" s="35">
        <v>43796</v>
      </c>
      <c r="GI1754" s="26">
        <v>1.505</v>
      </c>
      <c r="GJ1754" s="94">
        <f t="shared" si="527"/>
        <v>3.01</v>
      </c>
      <c r="GK1754" s="104"/>
      <c r="GL1754" s="104"/>
    </row>
    <row r="1755" spans="3:194">
      <c r="C1755" s="80" t="str" cm="1">
        <f t="array" ref="C1755">_xlfn.IFS(MONTH(D1755)&lt;4,1,MONTH(D1755)&lt;7,2,MONTH(D1755)&lt;10,3,MONTH(D1755)&gt;9,4)&amp;"Q"&amp;RIGHT(YEAR(D1755),2)</f>
        <v>1Q23</v>
      </c>
      <c r="D1755" s="81">
        <f t="shared" si="521"/>
        <v>44957</v>
      </c>
      <c r="E1755" s="82">
        <f t="shared" si="531"/>
        <v>44938</v>
      </c>
      <c r="F1755" s="83">
        <f t="shared" si="538"/>
        <v>0.242625</v>
      </c>
      <c r="G1755" s="83">
        <f t="shared" si="538"/>
        <v>0.22625</v>
      </c>
      <c r="H1755" s="81"/>
      <c r="I1755" s="146">
        <v>44938</v>
      </c>
      <c r="J1755" s="147">
        <v>2.05</v>
      </c>
      <c r="K1755" s="147">
        <v>1.87</v>
      </c>
      <c r="L1755" s="147">
        <v>1.941</v>
      </c>
      <c r="M1755" s="59" cm="1">
        <f t="array" ref="M1755">INDEX($BV$29:$BV$1449,MATCH($D1755,$BR$29:$BR$1449,0),)</f>
        <v>1.81</v>
      </c>
      <c r="N1755" s="150">
        <f t="shared" si="523"/>
        <v>-0.00614439324116745</v>
      </c>
      <c r="O1755" s="150">
        <f t="shared" si="524"/>
        <v>-0.0309535696455318</v>
      </c>
      <c r="P1755" s="150">
        <f t="shared" si="530"/>
        <v>-0.0333665338645418</v>
      </c>
      <c r="Q1755" s="89">
        <f t="shared" si="532"/>
        <v>0.0723756906077349</v>
      </c>
      <c r="S1755" s="82">
        <f t="shared" si="533"/>
        <v>44938</v>
      </c>
      <c r="T1755" s="83">
        <f t="shared" si="535"/>
        <v>0.3301875</v>
      </c>
      <c r="U1755" s="83">
        <f t="shared" si="535"/>
        <v>0.25</v>
      </c>
      <c r="W1755" s="146">
        <v>44938</v>
      </c>
      <c r="X1755" s="147">
        <v>5.6</v>
      </c>
      <c r="Y1755" s="147">
        <v>5</v>
      </c>
      <c r="Z1755" s="147">
        <v>5.283</v>
      </c>
      <c r="AA1755" s="59" cm="1">
        <f t="array" ref="AA1755">INDEX($BX$29:$BX$1449,MATCH($D1755,$BR$29:$BR$1449,0),)</f>
        <v>4</v>
      </c>
      <c r="AB1755" s="150">
        <f t="shared" si="536"/>
        <v>-0.00937558597412336</v>
      </c>
      <c r="AC1755" s="150">
        <f t="shared" si="537"/>
        <v>-0.0125233644859811</v>
      </c>
      <c r="AD1755" s="150"/>
      <c r="AE1755" s="89">
        <f t="shared" si="534"/>
        <v>0.32075</v>
      </c>
      <c r="AF1755" s="36"/>
      <c r="GF1755" s="104">
        <f t="shared" si="525"/>
        <v>2019</v>
      </c>
      <c r="GG1755" s="104">
        <f t="shared" si="526"/>
        <v>48</v>
      </c>
      <c r="GH1755" s="35">
        <v>43797</v>
      </c>
      <c r="GI1755" s="26">
        <v>1.502</v>
      </c>
      <c r="GJ1755" s="94">
        <f t="shared" si="527"/>
        <v>3.004</v>
      </c>
      <c r="GK1755" s="104"/>
      <c r="GL1755" s="104"/>
    </row>
    <row r="1756" spans="3:194">
      <c r="C1756" s="80" t="str" cm="1">
        <f t="array" ref="C1756">_xlfn.IFS(MONTH(D1756)&lt;4,1,MONTH(D1756)&lt;7,2,MONTH(D1756)&lt;10,3,MONTH(D1756)&gt;9,4)&amp;"Q"&amp;RIGHT(YEAR(D1756),2)</f>
        <v>1Q23</v>
      </c>
      <c r="D1756" s="81">
        <f t="shared" si="521"/>
        <v>44957</v>
      </c>
      <c r="E1756" s="82">
        <f t="shared" si="531"/>
        <v>44939</v>
      </c>
      <c r="F1756" s="83">
        <f t="shared" si="538"/>
        <v>0.242125</v>
      </c>
      <c r="G1756" s="83">
        <f t="shared" si="538"/>
        <v>0.22625</v>
      </c>
      <c r="H1756" s="81"/>
      <c r="I1756" s="146">
        <v>44939</v>
      </c>
      <c r="J1756" s="147">
        <v>2</v>
      </c>
      <c r="K1756" s="147">
        <v>1.87</v>
      </c>
      <c r="L1756" s="147">
        <v>1.937</v>
      </c>
      <c r="M1756" s="59" cm="1">
        <f t="array" ref="M1756">INDEX($BV$29:$BV$1449,MATCH($D1756,$BR$29:$BR$1449,0),)</f>
        <v>1.81</v>
      </c>
      <c r="N1756" s="150">
        <f t="shared" si="523"/>
        <v>-0.00206079340546106</v>
      </c>
      <c r="O1756" s="150">
        <f t="shared" si="524"/>
        <v>-0.0315</v>
      </c>
      <c r="P1756" s="150">
        <f t="shared" si="530"/>
        <v>-0.0334331337325349</v>
      </c>
      <c r="Q1756" s="89">
        <f t="shared" si="532"/>
        <v>0.0701657458563536</v>
      </c>
      <c r="S1756" s="82">
        <f t="shared" si="533"/>
        <v>44939</v>
      </c>
      <c r="T1756" s="83">
        <f t="shared" si="535"/>
        <v>0.3273125</v>
      </c>
      <c r="U1756" s="83">
        <f t="shared" si="535"/>
        <v>0.25</v>
      </c>
      <c r="W1756" s="146">
        <v>44939</v>
      </c>
      <c r="X1756" s="147">
        <v>5.5</v>
      </c>
      <c r="Y1756" s="147">
        <v>5</v>
      </c>
      <c r="Z1756" s="147">
        <v>5.237</v>
      </c>
      <c r="AA1756" s="59" cm="1">
        <f t="array" ref="AA1756">INDEX($BX$29:$BX$1449,MATCH($D1756,$BR$29:$BR$1449,0),)</f>
        <v>4</v>
      </c>
      <c r="AB1756" s="150">
        <f t="shared" si="536"/>
        <v>-0.00870717395419274</v>
      </c>
      <c r="AC1756" s="150">
        <f t="shared" si="537"/>
        <v>-0.0205722835234712</v>
      </c>
      <c r="AD1756" s="150"/>
      <c r="AE1756" s="89">
        <f t="shared" si="534"/>
        <v>0.30925</v>
      </c>
      <c r="AF1756" s="36"/>
      <c r="GF1756" s="104">
        <f t="shared" si="525"/>
        <v>2019</v>
      </c>
      <c r="GG1756" s="104">
        <f t="shared" si="526"/>
        <v>48</v>
      </c>
      <c r="GH1756" s="35">
        <v>43798</v>
      </c>
      <c r="GI1756" s="26">
        <v>1.502</v>
      </c>
      <c r="GJ1756" s="94">
        <f t="shared" si="527"/>
        <v>3.004</v>
      </c>
      <c r="GK1756" s="104"/>
      <c r="GL1756" s="104"/>
    </row>
    <row r="1757" spans="3:194">
      <c r="C1757" s="80" t="str" cm="1">
        <f t="array" ref="C1757">_xlfn.IFS(MONTH(D1757)&lt;4,1,MONTH(D1757)&lt;7,2,MONTH(D1757)&lt;10,3,MONTH(D1757)&gt;9,4)&amp;"Q"&amp;RIGHT(YEAR(D1757),2)</f>
        <v>1Q23</v>
      </c>
      <c r="D1757" s="81">
        <f t="shared" si="521"/>
        <v>44957</v>
      </c>
      <c r="E1757" s="82">
        <f t="shared" si="531"/>
        <v>44942</v>
      </c>
      <c r="F1757" s="83">
        <f t="shared" si="538"/>
        <v>0.2405</v>
      </c>
      <c r="G1757" s="83">
        <f t="shared" si="538"/>
        <v>0.22625</v>
      </c>
      <c r="H1757" s="81"/>
      <c r="I1757" s="146">
        <v>44942</v>
      </c>
      <c r="J1757" s="147">
        <v>1.98</v>
      </c>
      <c r="K1757" s="147">
        <v>1.86</v>
      </c>
      <c r="L1757" s="147">
        <v>1.924</v>
      </c>
      <c r="M1757" s="59" cm="1">
        <f t="array" ref="M1757">INDEX($BV$29:$BV$1449,MATCH($D1757,$BR$29:$BR$1449,0),)</f>
        <v>1.81</v>
      </c>
      <c r="N1757" s="150">
        <f t="shared" si="523"/>
        <v>-0.00671140939597326</v>
      </c>
      <c r="O1757" s="150">
        <f t="shared" si="524"/>
        <v>-0.0317060895822849</v>
      </c>
      <c r="P1757" s="150">
        <f t="shared" si="530"/>
        <v>-0.0399201596806388</v>
      </c>
      <c r="Q1757" s="89">
        <f t="shared" si="532"/>
        <v>0.0629834254143646</v>
      </c>
      <c r="S1757" s="82">
        <f t="shared" si="533"/>
        <v>44942</v>
      </c>
      <c r="T1757" s="83">
        <f t="shared" si="535"/>
        <v>0.3260625</v>
      </c>
      <c r="U1757" s="83">
        <f t="shared" si="535"/>
        <v>0.25</v>
      </c>
      <c r="W1757" s="146">
        <v>44942</v>
      </c>
      <c r="X1757" s="147">
        <v>5.4</v>
      </c>
      <c r="Y1757" s="147">
        <v>4.98</v>
      </c>
      <c r="Z1757" s="147">
        <v>5.217</v>
      </c>
      <c r="AA1757" s="59" cm="1">
        <f t="array" ref="AA1757">INDEX($BX$29:$BX$1449,MATCH($D1757,$BR$29:$BR$1449,0),)</f>
        <v>4</v>
      </c>
      <c r="AB1757" s="150">
        <f t="shared" si="536"/>
        <v>-0.00381898033225136</v>
      </c>
      <c r="AC1757" s="150">
        <f t="shared" si="537"/>
        <v>-0.0235822571588996</v>
      </c>
      <c r="AD1757" s="150"/>
      <c r="AE1757" s="89">
        <f t="shared" si="534"/>
        <v>0.30425</v>
      </c>
      <c r="AF1757" s="36"/>
      <c r="GF1757" s="104">
        <f t="shared" si="525"/>
        <v>2019</v>
      </c>
      <c r="GG1757" s="104">
        <f t="shared" si="526"/>
        <v>49</v>
      </c>
      <c r="GH1757" s="35">
        <v>43801</v>
      </c>
      <c r="GI1757" s="26">
        <v>1.502</v>
      </c>
      <c r="GJ1757" s="94">
        <f t="shared" si="527"/>
        <v>3.004</v>
      </c>
      <c r="GK1757" s="104"/>
      <c r="GL1757" s="104"/>
    </row>
    <row r="1758" spans="3:194">
      <c r="C1758" s="80" t="str" cm="1">
        <f t="array" ref="C1758">_xlfn.IFS(MONTH(D1758)&lt;4,1,MONTH(D1758)&lt;7,2,MONTH(D1758)&lt;10,3,MONTH(D1758)&gt;9,4)&amp;"Q"&amp;RIGHT(YEAR(D1758),2)</f>
        <v>1Q23</v>
      </c>
      <c r="D1758" s="81">
        <f t="shared" ref="D1758:D1821" si="539">EOMONTH(E1758,0)</f>
        <v>44957</v>
      </c>
      <c r="E1758" s="82">
        <f t="shared" si="531"/>
        <v>44943</v>
      </c>
      <c r="F1758" s="83">
        <f t="shared" si="538"/>
        <v>0.239875</v>
      </c>
      <c r="G1758" s="83">
        <f t="shared" si="538"/>
        <v>0.22625</v>
      </c>
      <c r="H1758" s="81"/>
      <c r="I1758" s="146">
        <v>44943</v>
      </c>
      <c r="J1758" s="147">
        <v>1.98</v>
      </c>
      <c r="K1758" s="147">
        <v>1.82</v>
      </c>
      <c r="L1758" s="147">
        <v>1.919</v>
      </c>
      <c r="M1758" s="59" cm="1">
        <f t="array" ref="M1758">INDEX($BV$29:$BV$1449,MATCH($D1758,$BR$29:$BR$1449,0),)</f>
        <v>1.81</v>
      </c>
      <c r="N1758" s="150">
        <f t="shared" si="523"/>
        <v>-0.00259875259875253</v>
      </c>
      <c r="O1758" s="150">
        <f t="shared" si="524"/>
        <v>-0.0244026436197254</v>
      </c>
      <c r="P1758" s="150">
        <f t="shared" si="530"/>
        <v>-0.0419370943584624</v>
      </c>
      <c r="Q1758" s="89">
        <f t="shared" si="532"/>
        <v>0.0602209944751382</v>
      </c>
      <c r="S1758" s="82">
        <f t="shared" si="533"/>
        <v>44943</v>
      </c>
      <c r="T1758" s="83">
        <f t="shared" si="535"/>
        <v>0.3239375</v>
      </c>
      <c r="U1758" s="83">
        <f t="shared" si="535"/>
        <v>0.25</v>
      </c>
      <c r="W1758" s="146">
        <v>44943</v>
      </c>
      <c r="X1758" s="147">
        <v>5.4</v>
      </c>
      <c r="Y1758" s="147">
        <v>4.98</v>
      </c>
      <c r="Z1758" s="147">
        <v>5.183</v>
      </c>
      <c r="AA1758" s="59" cm="1">
        <f t="array" ref="AA1758">INDEX($BX$29:$BX$1449,MATCH($D1758,$BR$29:$BR$1449,0),)</f>
        <v>4</v>
      </c>
      <c r="AB1758" s="150">
        <f t="shared" si="536"/>
        <v>-0.00651715545332565</v>
      </c>
      <c r="AC1758" s="150">
        <f t="shared" si="537"/>
        <v>-0.0294007490636704</v>
      </c>
      <c r="AD1758" s="150">
        <f t="shared" ref="AD1758:AD1821" si="540">Z1758/Z1748-1</f>
        <v>-0.034283584870505</v>
      </c>
      <c r="AE1758" s="89">
        <f t="shared" si="534"/>
        <v>0.29575</v>
      </c>
      <c r="AF1758" s="36"/>
      <c r="GF1758" s="104">
        <f t="shared" si="525"/>
        <v>2019</v>
      </c>
      <c r="GG1758" s="104">
        <f t="shared" si="526"/>
        <v>49</v>
      </c>
      <c r="GH1758" s="35">
        <v>43802</v>
      </c>
      <c r="GI1758" s="26">
        <v>1.502</v>
      </c>
      <c r="GJ1758" s="94">
        <f t="shared" si="527"/>
        <v>3.004</v>
      </c>
      <c r="GK1758" s="104"/>
      <c r="GL1758" s="104"/>
    </row>
    <row r="1759" spans="3:194">
      <c r="C1759" s="80" t="str" cm="1">
        <f t="array" ref="C1759">_xlfn.IFS(MONTH(D1759)&lt;4,1,MONTH(D1759)&lt;7,2,MONTH(D1759)&lt;10,3,MONTH(D1759)&gt;9,4)&amp;"Q"&amp;RIGHT(YEAR(D1759),2)</f>
        <v>1Q23</v>
      </c>
      <c r="D1759" s="81">
        <f t="shared" si="539"/>
        <v>44957</v>
      </c>
      <c r="E1759" s="82">
        <f t="shared" si="531"/>
        <v>44944</v>
      </c>
      <c r="F1759" s="83">
        <f t="shared" si="538"/>
        <v>0.238</v>
      </c>
      <c r="G1759" s="83">
        <f t="shared" si="538"/>
        <v>0.22625</v>
      </c>
      <c r="H1759" s="81"/>
      <c r="I1759" s="146">
        <v>44944</v>
      </c>
      <c r="J1759" s="147">
        <v>1.98</v>
      </c>
      <c r="K1759" s="147">
        <v>1.82</v>
      </c>
      <c r="L1759" s="147">
        <v>1.904</v>
      </c>
      <c r="M1759" s="59" cm="1">
        <f t="array" ref="M1759">INDEX($BV$29:$BV$1449,MATCH($D1759,$BR$29:$BR$1449,0),)</f>
        <v>1.81</v>
      </c>
      <c r="N1759" s="150">
        <f t="shared" si="523"/>
        <v>-0.00781657113079737</v>
      </c>
      <c r="O1759" s="150">
        <f t="shared" si="524"/>
        <v>-0.0250896057347672</v>
      </c>
      <c r="P1759" s="150">
        <f t="shared" si="530"/>
        <v>-0.0494258612081878</v>
      </c>
      <c r="Q1759" s="89">
        <f t="shared" si="532"/>
        <v>0.0519337016574586</v>
      </c>
      <c r="S1759" s="82">
        <f t="shared" si="533"/>
        <v>44944</v>
      </c>
      <c r="T1759" s="83">
        <f t="shared" si="535"/>
        <v>0.3225</v>
      </c>
      <c r="U1759" s="83">
        <f t="shared" si="535"/>
        <v>0.25</v>
      </c>
      <c r="W1759" s="146">
        <v>44944</v>
      </c>
      <c r="X1759" s="147">
        <v>5.4</v>
      </c>
      <c r="Y1759" s="147">
        <v>4.97</v>
      </c>
      <c r="Z1759" s="147">
        <v>5.16</v>
      </c>
      <c r="AA1759" s="59" cm="1">
        <f t="array" ref="AA1759">INDEX($BX$29:$BX$1449,MATCH($D1759,$BR$29:$BR$1449,0),)</f>
        <v>4</v>
      </c>
      <c r="AB1759" s="150">
        <f t="shared" si="536"/>
        <v>-0.00443758441057296</v>
      </c>
      <c r="AC1759" s="150">
        <f t="shared" si="537"/>
        <v>-0.0324395274704669</v>
      </c>
      <c r="AD1759" s="150">
        <f t="shared" si="540"/>
        <v>-0.0373134328358209</v>
      </c>
      <c r="AE1759" s="89">
        <f t="shared" si="534"/>
        <v>0.29</v>
      </c>
      <c r="AF1759" s="36"/>
      <c r="GF1759" s="104">
        <f t="shared" si="525"/>
        <v>2019</v>
      </c>
      <c r="GG1759" s="104">
        <f t="shared" si="526"/>
        <v>49</v>
      </c>
      <c r="GH1759" s="35">
        <v>43803</v>
      </c>
      <c r="GI1759" s="26">
        <v>1.502</v>
      </c>
      <c r="GJ1759" s="94">
        <f t="shared" si="527"/>
        <v>3.004</v>
      </c>
      <c r="GK1759" s="104"/>
      <c r="GL1759" s="104"/>
    </row>
    <row r="1760" spans="3:194">
      <c r="C1760" s="80" t="str" cm="1">
        <f t="array" ref="C1760">_xlfn.IFS(MONTH(D1760)&lt;4,1,MONTH(D1760)&lt;7,2,MONTH(D1760)&lt;10,3,MONTH(D1760)&gt;9,4)&amp;"Q"&amp;RIGHT(YEAR(D1760),2)</f>
        <v>1Q23</v>
      </c>
      <c r="D1760" s="81">
        <f t="shared" si="539"/>
        <v>44957</v>
      </c>
      <c r="E1760" s="82">
        <f t="shared" si="531"/>
        <v>44945</v>
      </c>
      <c r="F1760" s="83">
        <f t="shared" si="538"/>
        <v>0.23625</v>
      </c>
      <c r="G1760" s="83">
        <f t="shared" si="538"/>
        <v>0.22625</v>
      </c>
      <c r="H1760" s="81"/>
      <c r="I1760" s="146">
        <v>44945</v>
      </c>
      <c r="J1760" s="147">
        <v>1.95</v>
      </c>
      <c r="K1760" s="147">
        <v>1.8</v>
      </c>
      <c r="L1760" s="147">
        <v>1.89</v>
      </c>
      <c r="M1760" s="59" cm="1">
        <f t="array" ref="M1760">INDEX($BV$29:$BV$1449,MATCH($D1760,$BR$29:$BR$1449,0),)</f>
        <v>1.81</v>
      </c>
      <c r="N1760" s="150">
        <f t="shared" si="523"/>
        <v>-0.00735294117647056</v>
      </c>
      <c r="O1760" s="150">
        <f t="shared" si="524"/>
        <v>-0.0262751159196292</v>
      </c>
      <c r="P1760" s="150">
        <f t="shared" si="530"/>
        <v>-0.0564153769345982</v>
      </c>
      <c r="Q1760" s="89">
        <f t="shared" si="532"/>
        <v>0.0441988950276242</v>
      </c>
      <c r="S1760" s="82">
        <f t="shared" si="533"/>
        <v>44945</v>
      </c>
      <c r="T1760" s="83">
        <f t="shared" si="535"/>
        <v>0.3208125</v>
      </c>
      <c r="U1760" s="83">
        <f t="shared" si="535"/>
        <v>0.25</v>
      </c>
      <c r="W1760" s="146">
        <v>44945</v>
      </c>
      <c r="X1760" s="147">
        <v>5.35</v>
      </c>
      <c r="Y1760" s="147">
        <v>4.97</v>
      </c>
      <c r="Z1760" s="147">
        <v>5.133</v>
      </c>
      <c r="AA1760" s="59" cm="1">
        <f t="array" ref="AA1760">INDEX($BX$29:$BX$1449,MATCH($D1760,$BR$29:$BR$1449,0),)</f>
        <v>4</v>
      </c>
      <c r="AB1760" s="150">
        <f t="shared" si="536"/>
        <v>-0.00523255813953494</v>
      </c>
      <c r="AC1760" s="150">
        <f t="shared" si="537"/>
        <v>-0.0283929585462805</v>
      </c>
      <c r="AD1760" s="150">
        <f t="shared" si="540"/>
        <v>-0.0405607476635513</v>
      </c>
      <c r="AE1760" s="89">
        <f t="shared" si="534"/>
        <v>0.28325</v>
      </c>
      <c r="AF1760" s="36"/>
      <c r="GF1760" s="104">
        <f t="shared" si="525"/>
        <v>2019</v>
      </c>
      <c r="GG1760" s="104">
        <f t="shared" si="526"/>
        <v>49</v>
      </c>
      <c r="GH1760" s="35">
        <v>43804</v>
      </c>
      <c r="GI1760" s="26">
        <v>1.501</v>
      </c>
      <c r="GJ1760" s="94">
        <f t="shared" si="527"/>
        <v>3.002</v>
      </c>
      <c r="GK1760" s="104"/>
      <c r="GL1760" s="104"/>
    </row>
    <row r="1761" spans="3:194">
      <c r="C1761" s="80" t="str" cm="1">
        <f t="array" ref="C1761">_xlfn.IFS(MONTH(D1761)&lt;4,1,MONTH(D1761)&lt;7,2,MONTH(D1761)&lt;10,3,MONTH(D1761)&gt;9,4)&amp;"Q"&amp;RIGHT(YEAR(D1761),2)</f>
        <v>1Q23</v>
      </c>
      <c r="D1761" s="81">
        <f t="shared" si="539"/>
        <v>44957</v>
      </c>
      <c r="E1761" s="82">
        <f t="shared" si="531"/>
        <v>44946</v>
      </c>
      <c r="F1761" s="83">
        <f t="shared" si="538"/>
        <v>0.235125</v>
      </c>
      <c r="G1761" s="83">
        <f t="shared" si="538"/>
        <v>0.22625</v>
      </c>
      <c r="H1761" s="81"/>
      <c r="I1761" s="146">
        <v>44946</v>
      </c>
      <c r="J1761" s="147">
        <v>1.95</v>
      </c>
      <c r="K1761" s="147">
        <v>1.8</v>
      </c>
      <c r="L1761" s="147">
        <v>1.881</v>
      </c>
      <c r="M1761" s="59" cm="1">
        <f t="array" ref="M1761">INDEX($BV$29:$BV$1449,MATCH($D1761,$BR$29:$BR$1449,0),)</f>
        <v>1.81</v>
      </c>
      <c r="N1761" s="150">
        <f t="shared" si="523"/>
        <v>-0.00476190476190474</v>
      </c>
      <c r="O1761" s="150">
        <f t="shared" si="524"/>
        <v>-0.0289106866288075</v>
      </c>
      <c r="P1761" s="150">
        <f t="shared" si="530"/>
        <v>-0.0595</v>
      </c>
      <c r="Q1761" s="89">
        <f t="shared" si="532"/>
        <v>0.0392265193370165</v>
      </c>
      <c r="S1761" s="82">
        <f t="shared" si="533"/>
        <v>44946</v>
      </c>
      <c r="T1761" s="83">
        <f t="shared" si="535"/>
        <v>0.3204375</v>
      </c>
      <c r="U1761" s="83">
        <f t="shared" si="535"/>
        <v>0.25</v>
      </c>
      <c r="W1761" s="146">
        <v>44946</v>
      </c>
      <c r="X1761" s="147">
        <v>5.35</v>
      </c>
      <c r="Y1761" s="147">
        <v>4.97</v>
      </c>
      <c r="Z1761" s="147">
        <v>5.127</v>
      </c>
      <c r="AA1761" s="59" cm="1">
        <f t="array" ref="AA1761">INDEX($BX$29:$BX$1449,MATCH($D1761,$BR$29:$BR$1449,0),)</f>
        <v>4</v>
      </c>
      <c r="AB1761" s="150">
        <f t="shared" si="536"/>
        <v>-0.00116890707188788</v>
      </c>
      <c r="AC1761" s="150">
        <f t="shared" si="537"/>
        <v>-0.0210043918273821</v>
      </c>
      <c r="AD1761" s="150">
        <f t="shared" si="540"/>
        <v>-0.0411445670469424</v>
      </c>
      <c r="AE1761" s="89">
        <f t="shared" si="534"/>
        <v>0.28175</v>
      </c>
      <c r="AF1761" s="36"/>
      <c r="GF1761" s="104">
        <f t="shared" si="525"/>
        <v>2019</v>
      </c>
      <c r="GG1761" s="104">
        <f t="shared" si="526"/>
        <v>49</v>
      </c>
      <c r="GH1761" s="35">
        <v>43805</v>
      </c>
      <c r="GI1761" s="26">
        <v>1.501</v>
      </c>
      <c r="GJ1761" s="94">
        <f t="shared" si="527"/>
        <v>3.002</v>
      </c>
      <c r="GK1761" s="104"/>
      <c r="GL1761" s="104"/>
    </row>
    <row r="1762" spans="3:194">
      <c r="C1762" s="80" t="str" cm="1">
        <f t="array" ref="C1762">_xlfn.IFS(MONTH(D1762)&lt;4,1,MONTH(D1762)&lt;7,2,MONTH(D1762)&lt;10,3,MONTH(D1762)&gt;9,4)&amp;"Q"&amp;RIGHT(YEAR(D1762),2)</f>
        <v>1Q23</v>
      </c>
      <c r="D1762" s="81">
        <f t="shared" si="539"/>
        <v>44957</v>
      </c>
      <c r="E1762" s="82">
        <f t="shared" si="531"/>
        <v>44956</v>
      </c>
      <c r="F1762" s="83">
        <f t="shared" si="538"/>
        <v>0.23325</v>
      </c>
      <c r="G1762" s="83">
        <f t="shared" si="538"/>
        <v>0.22625</v>
      </c>
      <c r="H1762" s="81"/>
      <c r="I1762" s="146">
        <v>44956</v>
      </c>
      <c r="J1762" s="147">
        <v>1.92</v>
      </c>
      <c r="K1762" s="147">
        <v>1.75</v>
      </c>
      <c r="L1762" s="147">
        <v>1.866</v>
      </c>
      <c r="M1762" s="59" cm="1">
        <f t="array" ref="M1762">INDEX($BV$29:$BV$1449,MATCH($D1762,$BR$29:$BR$1449,0),)</f>
        <v>1.81</v>
      </c>
      <c r="N1762" s="150">
        <f t="shared" si="523"/>
        <v>-0.00797448165869208</v>
      </c>
      <c r="O1762" s="150">
        <f t="shared" si="524"/>
        <v>-0.03014553014553</v>
      </c>
      <c r="P1762" s="150">
        <f t="shared" si="530"/>
        <v>-0.0608958228485154</v>
      </c>
      <c r="Q1762" s="89">
        <f t="shared" si="532"/>
        <v>0.0309392265193371</v>
      </c>
      <c r="S1762" s="82">
        <f t="shared" si="533"/>
        <v>44956</v>
      </c>
      <c r="T1762" s="83">
        <f t="shared" si="535"/>
        <v>0.3195625</v>
      </c>
      <c r="U1762" s="83">
        <f t="shared" si="535"/>
        <v>0.25</v>
      </c>
      <c r="W1762" s="146">
        <v>44956</v>
      </c>
      <c r="X1762" s="147">
        <v>5.3</v>
      </c>
      <c r="Y1762" s="147">
        <v>4.97</v>
      </c>
      <c r="Z1762" s="147">
        <v>5.113</v>
      </c>
      <c r="AA1762" s="59" cm="1">
        <f t="array" ref="AA1762">INDEX($BX$29:$BX$1449,MATCH($D1762,$BR$29:$BR$1449,0),)</f>
        <v>4</v>
      </c>
      <c r="AB1762" s="150">
        <f t="shared" si="536"/>
        <v>-0.00273064170079951</v>
      </c>
      <c r="AC1762" s="150">
        <f t="shared" si="537"/>
        <v>-0.0199348284454666</v>
      </c>
      <c r="AD1762" s="150">
        <f t="shared" si="540"/>
        <v>-0.0430469773535466</v>
      </c>
      <c r="AE1762" s="89">
        <f t="shared" si="534"/>
        <v>0.27825</v>
      </c>
      <c r="AF1762" s="36"/>
      <c r="GF1762" s="104">
        <f t="shared" si="525"/>
        <v>2019</v>
      </c>
      <c r="GG1762" s="104">
        <f t="shared" si="526"/>
        <v>50</v>
      </c>
      <c r="GH1762" s="35">
        <v>43808</v>
      </c>
      <c r="GI1762" s="26">
        <v>1.5</v>
      </c>
      <c r="GJ1762" s="94">
        <f t="shared" si="527"/>
        <v>3</v>
      </c>
      <c r="GK1762" s="104"/>
      <c r="GL1762" s="104"/>
    </row>
    <row r="1763" spans="3:194">
      <c r="C1763" s="80" t="str" cm="1">
        <f t="array" ref="C1763">_xlfn.IFS(MONTH(D1763)&lt;4,1,MONTH(D1763)&lt;7,2,MONTH(D1763)&lt;10,3,MONTH(D1763)&gt;9,4)&amp;"Q"&amp;RIGHT(YEAR(D1763),2)</f>
        <v>1Q23</v>
      </c>
      <c r="D1763" s="81">
        <f t="shared" si="539"/>
        <v>44957</v>
      </c>
      <c r="E1763" s="82">
        <f t="shared" si="531"/>
        <v>44957</v>
      </c>
      <c r="F1763" s="83">
        <f t="shared" si="538"/>
        <v>0.2325</v>
      </c>
      <c r="G1763" s="83">
        <f t="shared" si="538"/>
        <v>0.22625</v>
      </c>
      <c r="H1763" s="81"/>
      <c r="I1763" s="146">
        <v>44957</v>
      </c>
      <c r="J1763" s="147">
        <v>1.92</v>
      </c>
      <c r="K1763" s="147">
        <v>1.75</v>
      </c>
      <c r="L1763" s="147">
        <v>1.86</v>
      </c>
      <c r="M1763" s="59" cm="1">
        <f t="array" ref="M1763">INDEX($BV$29:$BV$1449,MATCH($D1763,$BR$29:$BR$1449,0),)</f>
        <v>1.81</v>
      </c>
      <c r="N1763" s="150">
        <f t="shared" si="523"/>
        <v>-0.00321543408360125</v>
      </c>
      <c r="O1763" s="150">
        <f t="shared" si="524"/>
        <v>-0.030745179781136</v>
      </c>
      <c r="P1763" s="150">
        <f t="shared" si="530"/>
        <v>-0.054397559735638</v>
      </c>
      <c r="Q1763" s="89">
        <f t="shared" si="532"/>
        <v>0.0276243093922652</v>
      </c>
      <c r="S1763" s="82">
        <f t="shared" si="533"/>
        <v>44957</v>
      </c>
      <c r="T1763" s="83">
        <f t="shared" si="535"/>
        <v>0.318125</v>
      </c>
      <c r="U1763" s="83">
        <f t="shared" si="535"/>
        <v>0.25</v>
      </c>
      <c r="W1763" s="146">
        <v>44957</v>
      </c>
      <c r="X1763" s="147">
        <v>5.25</v>
      </c>
      <c r="Y1763" s="147">
        <v>4.96</v>
      </c>
      <c r="Z1763" s="147">
        <v>5.09</v>
      </c>
      <c r="AA1763" s="59" cm="1">
        <f t="array" ref="AA1763">INDEX($BX$29:$BX$1449,MATCH($D1763,$BR$29:$BR$1449,0),)</f>
        <v>4</v>
      </c>
      <c r="AB1763" s="150">
        <f t="shared" si="536"/>
        <v>-0.00449833757089779</v>
      </c>
      <c r="AC1763" s="150">
        <f t="shared" si="537"/>
        <v>-0.0179432760949257</v>
      </c>
      <c r="AD1763" s="150">
        <f t="shared" si="540"/>
        <v>-0.0468164794007491</v>
      </c>
      <c r="AE1763" s="89">
        <f t="shared" si="534"/>
        <v>0.2725</v>
      </c>
      <c r="AF1763" s="36"/>
      <c r="GF1763" s="104">
        <f t="shared" si="525"/>
        <v>2019</v>
      </c>
      <c r="GG1763" s="104">
        <f t="shared" si="526"/>
        <v>50</v>
      </c>
      <c r="GH1763" s="35">
        <v>43809</v>
      </c>
      <c r="GI1763" s="26">
        <v>1.492</v>
      </c>
      <c r="GJ1763" s="94">
        <f t="shared" si="527"/>
        <v>2.984</v>
      </c>
      <c r="GK1763" s="104"/>
      <c r="GL1763" s="104"/>
    </row>
    <row r="1764" spans="3:194">
      <c r="C1764" s="80" t="str" cm="1">
        <f t="array" ref="C1764">_xlfn.IFS(MONTH(D1764)&lt;4,1,MONTH(D1764)&lt;7,2,MONTH(D1764)&lt;10,3,MONTH(D1764)&gt;9,4)&amp;"Q"&amp;RIGHT(YEAR(D1764),2)</f>
        <v>1Q23</v>
      </c>
      <c r="D1764" s="81">
        <f t="shared" si="539"/>
        <v>44985</v>
      </c>
      <c r="E1764" s="82">
        <f t="shared" si="531"/>
        <v>44958</v>
      </c>
      <c r="F1764" s="83">
        <f t="shared" si="538"/>
        <v>0.23175</v>
      </c>
      <c r="G1764" s="83">
        <f t="shared" si="538"/>
        <v>0.22625</v>
      </c>
      <c r="H1764" s="81"/>
      <c r="I1764" s="146">
        <v>44958</v>
      </c>
      <c r="J1764" s="147">
        <v>1.92</v>
      </c>
      <c r="K1764" s="147">
        <v>1.75</v>
      </c>
      <c r="L1764" s="147">
        <v>1.854</v>
      </c>
      <c r="M1764" s="59" cm="1">
        <f t="array" ref="M1764">INDEX($BV$29:$BV$1449,MATCH($D1764,$BR$29:$BR$1449,0),)</f>
        <v>1.81</v>
      </c>
      <c r="N1764" s="150">
        <f t="shared" si="523"/>
        <v>-0.00322580645161286</v>
      </c>
      <c r="O1764" s="150">
        <f t="shared" si="524"/>
        <v>-0.0262605042016806</v>
      </c>
      <c r="P1764" s="150">
        <f t="shared" si="530"/>
        <v>-0.0506912442396313</v>
      </c>
      <c r="Q1764" s="89">
        <f t="shared" si="532"/>
        <v>0.0243093922651934</v>
      </c>
      <c r="S1764" s="82">
        <f t="shared" si="533"/>
        <v>44958</v>
      </c>
      <c r="T1764" s="83">
        <f t="shared" si="535"/>
        <v>0.3175</v>
      </c>
      <c r="U1764" s="83">
        <f t="shared" si="535"/>
        <v>0.25</v>
      </c>
      <c r="W1764" s="146">
        <v>44958</v>
      </c>
      <c r="X1764" s="147">
        <v>5.25</v>
      </c>
      <c r="Y1764" s="147">
        <v>4.96</v>
      </c>
      <c r="Z1764" s="147">
        <v>5.08</v>
      </c>
      <c r="AA1764" s="59" cm="1">
        <f t="array" ref="AA1764">INDEX($BX$29:$BX$1449,MATCH($D1764,$BR$29:$BR$1449,0),)</f>
        <v>4</v>
      </c>
      <c r="AB1764" s="150">
        <f t="shared" si="536"/>
        <v>-0.00196463654223966</v>
      </c>
      <c r="AC1764" s="150">
        <f t="shared" si="537"/>
        <v>-0.0155038759689923</v>
      </c>
      <c r="AD1764" s="150">
        <f t="shared" si="540"/>
        <v>-0.0474404650290643</v>
      </c>
      <c r="AE1764" s="89">
        <f t="shared" si="534"/>
        <v>0.27</v>
      </c>
      <c r="AF1764" s="36"/>
      <c r="GF1764" s="104">
        <f t="shared" si="525"/>
        <v>2019</v>
      </c>
      <c r="GG1764" s="104">
        <f t="shared" si="526"/>
        <v>50</v>
      </c>
      <c r="GH1764" s="35">
        <v>43810</v>
      </c>
      <c r="GI1764" s="26">
        <v>1.492</v>
      </c>
      <c r="GJ1764" s="94">
        <f t="shared" si="527"/>
        <v>2.984</v>
      </c>
      <c r="GK1764" s="104"/>
      <c r="GL1764" s="104"/>
    </row>
    <row r="1765" spans="3:194">
      <c r="C1765" s="80" t="str" cm="1">
        <f t="array" ref="C1765">_xlfn.IFS(MONTH(D1765)&lt;4,1,MONTH(D1765)&lt;7,2,MONTH(D1765)&lt;10,3,MONTH(D1765)&gt;9,4)&amp;"Q"&amp;RIGHT(YEAR(D1765),2)</f>
        <v>1Q23</v>
      </c>
      <c r="D1765" s="81">
        <f t="shared" si="539"/>
        <v>44985</v>
      </c>
      <c r="E1765" s="82">
        <f t="shared" si="531"/>
        <v>44959</v>
      </c>
      <c r="F1765" s="83">
        <f t="shared" si="538"/>
        <v>0.231375</v>
      </c>
      <c r="G1765" s="83">
        <f t="shared" si="538"/>
        <v>0.22625</v>
      </c>
      <c r="H1765" s="81"/>
      <c r="I1765" s="146">
        <v>44959</v>
      </c>
      <c r="J1765" s="147">
        <v>1.96</v>
      </c>
      <c r="K1765" s="147">
        <v>1.73</v>
      </c>
      <c r="L1765" s="147">
        <v>1.851</v>
      </c>
      <c r="M1765" s="59" cm="1">
        <f t="array" ref="M1765">INDEX($BV$29:$BV$1449,MATCH($D1765,$BR$29:$BR$1449,0),)</f>
        <v>1.81</v>
      </c>
      <c r="N1765" s="150">
        <f t="shared" si="523"/>
        <v>-0.00161812297734631</v>
      </c>
      <c r="O1765" s="150">
        <f t="shared" si="524"/>
        <v>-0.0206349206349206</v>
      </c>
      <c r="P1765" s="150">
        <f t="shared" si="530"/>
        <v>-0.0463678516228748</v>
      </c>
      <c r="Q1765" s="89">
        <f t="shared" si="532"/>
        <v>0.0226519337016575</v>
      </c>
      <c r="S1765" s="82">
        <f t="shared" si="533"/>
        <v>44959</v>
      </c>
      <c r="T1765" s="83">
        <f t="shared" si="535"/>
        <v>0.3164375</v>
      </c>
      <c r="U1765" s="83">
        <f t="shared" si="535"/>
        <v>0.25</v>
      </c>
      <c r="W1765" s="146">
        <v>44959</v>
      </c>
      <c r="X1765" s="147">
        <v>5.25</v>
      </c>
      <c r="Y1765" s="147">
        <v>4.95</v>
      </c>
      <c r="Z1765" s="147">
        <v>5.063</v>
      </c>
      <c r="AA1765" s="59" cm="1">
        <f t="array" ref="AA1765">INDEX($BX$29:$BX$1449,MATCH($D1765,$BR$29:$BR$1449,0),)</f>
        <v>4</v>
      </c>
      <c r="AB1765" s="150">
        <f t="shared" si="536"/>
        <v>-0.00334645669291345</v>
      </c>
      <c r="AC1765" s="150">
        <f t="shared" si="537"/>
        <v>-0.0136372491720242</v>
      </c>
      <c r="AD1765" s="150">
        <f t="shared" si="540"/>
        <v>-0.0416430058678782</v>
      </c>
      <c r="AE1765" s="89">
        <f t="shared" si="534"/>
        <v>0.26575</v>
      </c>
      <c r="AF1765" s="36"/>
      <c r="GF1765" s="104">
        <f t="shared" si="525"/>
        <v>2019</v>
      </c>
      <c r="GG1765" s="104">
        <f t="shared" si="526"/>
        <v>50</v>
      </c>
      <c r="GH1765" s="35">
        <v>43811</v>
      </c>
      <c r="GI1765" s="26">
        <v>1.509</v>
      </c>
      <c r="GJ1765" s="94">
        <f t="shared" si="527"/>
        <v>3.018</v>
      </c>
      <c r="GK1765" s="104"/>
      <c r="GL1765" s="104"/>
    </row>
    <row r="1766" spans="3:194">
      <c r="C1766" s="80" t="str" cm="1">
        <f t="array" ref="C1766">_xlfn.IFS(MONTH(D1766)&lt;4,1,MONTH(D1766)&lt;7,2,MONTH(D1766)&lt;10,3,MONTH(D1766)&gt;9,4)&amp;"Q"&amp;RIGHT(YEAR(D1766),2)</f>
        <v>1Q23</v>
      </c>
      <c r="D1766" s="81">
        <f t="shared" si="539"/>
        <v>44985</v>
      </c>
      <c r="E1766" s="82">
        <f t="shared" si="531"/>
        <v>44960</v>
      </c>
      <c r="F1766" s="83">
        <f t="shared" si="538"/>
        <v>0.231375</v>
      </c>
      <c r="G1766" s="83">
        <f t="shared" si="538"/>
        <v>0.22625</v>
      </c>
      <c r="H1766" s="81"/>
      <c r="I1766" s="146">
        <v>44960</v>
      </c>
      <c r="J1766" s="147">
        <v>1.96</v>
      </c>
      <c r="K1766" s="147">
        <v>1.73</v>
      </c>
      <c r="L1766" s="147">
        <v>1.851</v>
      </c>
      <c r="M1766" s="59" cm="1">
        <f t="array" ref="M1766">INDEX($BV$29:$BV$1449,MATCH($D1766,$BR$29:$BR$1449,0),)</f>
        <v>1.81</v>
      </c>
      <c r="N1766" s="150">
        <f t="shared" si="523"/>
        <v>0</v>
      </c>
      <c r="O1766" s="150">
        <f t="shared" si="524"/>
        <v>-0.0159489633173844</v>
      </c>
      <c r="P1766" s="150">
        <f t="shared" si="530"/>
        <v>-0.0443985544656686</v>
      </c>
      <c r="Q1766" s="89">
        <f t="shared" si="532"/>
        <v>0.0226519337016575</v>
      </c>
      <c r="S1766" s="82">
        <f t="shared" si="533"/>
        <v>44960</v>
      </c>
      <c r="T1766" s="83">
        <f t="shared" si="535"/>
        <v>0.315625</v>
      </c>
      <c r="U1766" s="83">
        <f t="shared" si="535"/>
        <v>0.25</v>
      </c>
      <c r="W1766" s="146">
        <v>44960</v>
      </c>
      <c r="X1766" s="147">
        <v>5.2</v>
      </c>
      <c r="Y1766" s="147">
        <v>4.95</v>
      </c>
      <c r="Z1766" s="147">
        <v>5.05</v>
      </c>
      <c r="AA1766" s="59" cm="1">
        <f t="array" ref="AA1766">INDEX($BX$29:$BX$1449,MATCH($D1766,$BR$29:$BR$1449,0),)</f>
        <v>4</v>
      </c>
      <c r="AB1766" s="150">
        <f t="shared" si="536"/>
        <v>-0.00256764763973927</v>
      </c>
      <c r="AC1766" s="150">
        <f t="shared" si="537"/>
        <v>-0.0150185293543983</v>
      </c>
      <c r="AD1766" s="150">
        <f t="shared" si="540"/>
        <v>-0.0357074661065496</v>
      </c>
      <c r="AE1766" s="89">
        <f t="shared" si="534"/>
        <v>0.2625</v>
      </c>
      <c r="AF1766" s="36"/>
      <c r="GF1766" s="104">
        <f t="shared" si="525"/>
        <v>2019</v>
      </c>
      <c r="GG1766" s="104">
        <f t="shared" si="526"/>
        <v>50</v>
      </c>
      <c r="GH1766" s="35">
        <v>43812</v>
      </c>
      <c r="GI1766" s="26">
        <v>1.519</v>
      </c>
      <c r="GJ1766" s="94">
        <f t="shared" si="527"/>
        <v>3.038</v>
      </c>
      <c r="GK1766" s="104"/>
      <c r="GL1766" s="104"/>
    </row>
    <row r="1767" spans="3:194">
      <c r="C1767" s="80" t="str" cm="1">
        <f t="array" ref="C1767">_xlfn.IFS(MONTH(D1767)&lt;4,1,MONTH(D1767)&lt;7,2,MONTH(D1767)&lt;10,3,MONTH(D1767)&gt;9,4)&amp;"Q"&amp;RIGHT(YEAR(D1767),2)</f>
        <v>1Q23</v>
      </c>
      <c r="D1767" s="81">
        <f t="shared" si="539"/>
        <v>44985</v>
      </c>
      <c r="E1767" s="82">
        <f t="shared" si="531"/>
        <v>44963</v>
      </c>
      <c r="F1767" s="83">
        <f t="shared" si="538"/>
        <v>0.231125</v>
      </c>
      <c r="G1767" s="83">
        <f t="shared" si="538"/>
        <v>0.22625</v>
      </c>
      <c r="H1767" s="81"/>
      <c r="I1767" s="146">
        <v>44963</v>
      </c>
      <c r="J1767" s="147">
        <v>1.95</v>
      </c>
      <c r="K1767" s="147">
        <v>1.73</v>
      </c>
      <c r="L1767" s="147">
        <v>1.849</v>
      </c>
      <c r="M1767" s="59" cm="1">
        <f t="array" ref="M1767">INDEX($BV$29:$BV$1449,MATCH($D1767,$BR$29:$BR$1449,0),)</f>
        <v>1.81</v>
      </c>
      <c r="N1767" s="150">
        <f t="shared" si="523"/>
        <v>-0.00108049702863322</v>
      </c>
      <c r="O1767" s="150">
        <f t="shared" si="524"/>
        <v>-0.00911039657020374</v>
      </c>
      <c r="P1767" s="150">
        <f t="shared" si="530"/>
        <v>-0.0389812889812889</v>
      </c>
      <c r="Q1767" s="89">
        <f t="shared" si="532"/>
        <v>0.0215469613259669</v>
      </c>
      <c r="S1767" s="82">
        <f t="shared" si="533"/>
        <v>44963</v>
      </c>
      <c r="T1767" s="83">
        <f t="shared" si="535"/>
        <v>0.3125</v>
      </c>
      <c r="U1767" s="83">
        <f t="shared" si="535"/>
        <v>0.25</v>
      </c>
      <c r="W1767" s="146">
        <v>44963</v>
      </c>
      <c r="X1767" s="147">
        <v>5.1</v>
      </c>
      <c r="Y1767" s="147">
        <v>4.85</v>
      </c>
      <c r="Z1767" s="147">
        <v>5</v>
      </c>
      <c r="AA1767" s="59" cm="1">
        <f t="array" ref="AA1767">INDEX($BX$29:$BX$1449,MATCH($D1767,$BR$29:$BR$1449,0),)</f>
        <v>4</v>
      </c>
      <c r="AB1767" s="150">
        <f t="shared" si="536"/>
        <v>-0.00990099009900991</v>
      </c>
      <c r="AC1767" s="150">
        <f t="shared" si="537"/>
        <v>-0.0221005280657149</v>
      </c>
      <c r="AD1767" s="150">
        <f t="shared" si="540"/>
        <v>-0.0415947862756373</v>
      </c>
      <c r="AE1767" s="89">
        <f t="shared" si="534"/>
        <v>0.25</v>
      </c>
      <c r="AF1767" s="36"/>
      <c r="GF1767" s="104">
        <f t="shared" si="525"/>
        <v>2019</v>
      </c>
      <c r="GG1767" s="104">
        <f t="shared" si="526"/>
        <v>51</v>
      </c>
      <c r="GH1767" s="35">
        <v>43815</v>
      </c>
      <c r="GI1767" s="26">
        <v>1.532</v>
      </c>
      <c r="GJ1767" s="94">
        <f t="shared" si="527"/>
        <v>3.064</v>
      </c>
      <c r="GK1767" s="104"/>
      <c r="GL1767" s="104"/>
    </row>
    <row r="1768" spans="3:194">
      <c r="C1768" s="80" t="str" cm="1">
        <f t="array" ref="C1768">_xlfn.IFS(MONTH(D1768)&lt;4,1,MONTH(D1768)&lt;7,2,MONTH(D1768)&lt;10,3,MONTH(D1768)&gt;9,4)&amp;"Q"&amp;RIGHT(YEAR(D1768),2)</f>
        <v>1Q23</v>
      </c>
      <c r="D1768" s="81">
        <f t="shared" si="539"/>
        <v>44985</v>
      </c>
      <c r="E1768" s="82">
        <f t="shared" si="531"/>
        <v>44964</v>
      </c>
      <c r="F1768" s="83">
        <f t="shared" si="538"/>
        <v>0.229125</v>
      </c>
      <c r="G1768" s="83">
        <f t="shared" si="538"/>
        <v>0.22625</v>
      </c>
      <c r="H1768" s="81"/>
      <c r="I1768" s="146">
        <v>44964</v>
      </c>
      <c r="J1768" s="147">
        <v>1.9</v>
      </c>
      <c r="K1768" s="147">
        <v>1.72</v>
      </c>
      <c r="L1768" s="147">
        <v>1.833</v>
      </c>
      <c r="M1768" s="59" cm="1">
        <f t="array" ref="M1768">INDEX($BV$29:$BV$1449,MATCH($D1768,$BR$29:$BR$1449,0),)</f>
        <v>1.81</v>
      </c>
      <c r="N1768" s="150">
        <f t="shared" si="523"/>
        <v>-0.00865332612222824</v>
      </c>
      <c r="O1768" s="150">
        <f t="shared" si="524"/>
        <v>-0.0145161290322582</v>
      </c>
      <c r="P1768" s="150">
        <f t="shared" si="530"/>
        <v>-0.0448150078165712</v>
      </c>
      <c r="Q1768" s="89">
        <f t="shared" si="532"/>
        <v>0.0127071823204419</v>
      </c>
      <c r="S1768" s="82">
        <f t="shared" si="533"/>
        <v>44964</v>
      </c>
      <c r="T1768" s="83">
        <f t="shared" si="535"/>
        <v>0.3074375</v>
      </c>
      <c r="U1768" s="83">
        <f t="shared" si="535"/>
        <v>0.25</v>
      </c>
      <c r="W1768" s="146">
        <v>44964</v>
      </c>
      <c r="X1768" s="147">
        <v>5</v>
      </c>
      <c r="Y1768" s="147">
        <v>4.7</v>
      </c>
      <c r="Z1768" s="147">
        <v>4.919</v>
      </c>
      <c r="AA1768" s="59" cm="1">
        <f t="array" ref="AA1768">INDEX($BX$29:$BX$1449,MATCH($D1768,$BR$29:$BR$1449,0),)</f>
        <v>4</v>
      </c>
      <c r="AB1768" s="150">
        <f t="shared" si="536"/>
        <v>-0.0162000000000001</v>
      </c>
      <c r="AC1768" s="150">
        <f t="shared" si="537"/>
        <v>-0.0335952848722987</v>
      </c>
      <c r="AD1768" s="150">
        <f t="shared" si="540"/>
        <v>-0.0509357514952731</v>
      </c>
      <c r="AE1768" s="89">
        <f t="shared" si="534"/>
        <v>0.22975</v>
      </c>
      <c r="AF1768" s="36"/>
      <c r="GF1768" s="104">
        <f t="shared" si="525"/>
        <v>2019</v>
      </c>
      <c r="GG1768" s="104">
        <f t="shared" si="526"/>
        <v>51</v>
      </c>
      <c r="GH1768" s="35">
        <v>43816</v>
      </c>
      <c r="GI1768" s="26">
        <v>1.539</v>
      </c>
      <c r="GJ1768" s="94">
        <f t="shared" si="527"/>
        <v>3.078</v>
      </c>
      <c r="GK1768" s="104"/>
      <c r="GL1768" s="104"/>
    </row>
    <row r="1769" spans="3:194">
      <c r="C1769" s="80" t="str" cm="1">
        <f t="array" ref="C1769">_xlfn.IFS(MONTH(D1769)&lt;4,1,MONTH(D1769)&lt;7,2,MONTH(D1769)&lt;10,3,MONTH(D1769)&gt;9,4)&amp;"Q"&amp;RIGHT(YEAR(D1769),2)</f>
        <v>1Q23</v>
      </c>
      <c r="D1769" s="81">
        <f t="shared" si="539"/>
        <v>44985</v>
      </c>
      <c r="E1769" s="82">
        <f t="shared" si="531"/>
        <v>44965</v>
      </c>
      <c r="F1769" s="83">
        <f t="shared" si="538"/>
        <v>0.22875</v>
      </c>
      <c r="G1769" s="83">
        <f t="shared" si="538"/>
        <v>0.22625</v>
      </c>
      <c r="H1769" s="81"/>
      <c r="I1769" s="146">
        <v>44965</v>
      </c>
      <c r="J1769" s="147">
        <v>1.9</v>
      </c>
      <c r="K1769" s="147">
        <v>1.72</v>
      </c>
      <c r="L1769" s="147">
        <v>1.83</v>
      </c>
      <c r="M1769" s="59" cm="1">
        <f t="array" ref="M1769">INDEX($BV$29:$BV$1449,MATCH($D1769,$BR$29:$BR$1449,0),)</f>
        <v>1.81</v>
      </c>
      <c r="N1769" s="150">
        <f t="shared" si="523"/>
        <v>-0.00163666121112926</v>
      </c>
      <c r="O1769" s="150">
        <f t="shared" si="524"/>
        <v>-0.0129449838187702</v>
      </c>
      <c r="P1769" s="150">
        <f t="shared" si="530"/>
        <v>-0.0388655462184874</v>
      </c>
      <c r="Q1769" s="89">
        <f t="shared" si="532"/>
        <v>0.011049723756906</v>
      </c>
      <c r="S1769" s="82">
        <f t="shared" si="533"/>
        <v>44965</v>
      </c>
      <c r="T1769" s="83">
        <f t="shared" si="535"/>
        <v>0.3045625</v>
      </c>
      <c r="U1769" s="83">
        <f t="shared" si="535"/>
        <v>0.25</v>
      </c>
      <c r="W1769" s="146">
        <v>44965</v>
      </c>
      <c r="X1769" s="147">
        <v>5</v>
      </c>
      <c r="Y1769" s="147">
        <v>4.6</v>
      </c>
      <c r="Z1769" s="147">
        <v>4.873</v>
      </c>
      <c r="AA1769" s="59" cm="1">
        <f t="array" ref="AA1769">INDEX($BX$29:$BX$1449,MATCH($D1769,$BR$29:$BR$1449,0),)</f>
        <v>4</v>
      </c>
      <c r="AB1769" s="150">
        <f t="shared" si="536"/>
        <v>-0.00935149420613934</v>
      </c>
      <c r="AC1769" s="150">
        <f t="shared" si="537"/>
        <v>-0.040748031496063</v>
      </c>
      <c r="AD1769" s="150">
        <f t="shared" si="540"/>
        <v>-0.0556201550387597</v>
      </c>
      <c r="AE1769" s="89">
        <f t="shared" si="534"/>
        <v>0.21825</v>
      </c>
      <c r="AF1769" s="36"/>
      <c r="GF1769" s="104">
        <f t="shared" si="525"/>
        <v>2019</v>
      </c>
      <c r="GG1769" s="104">
        <f t="shared" si="526"/>
        <v>51</v>
      </c>
      <c r="GH1769" s="35">
        <v>43817</v>
      </c>
      <c r="GI1769" s="26">
        <v>1.547</v>
      </c>
      <c r="GJ1769" s="94">
        <f t="shared" si="527"/>
        <v>3.094</v>
      </c>
      <c r="GK1769" s="104"/>
      <c r="GL1769" s="104"/>
    </row>
    <row r="1770" spans="3:194">
      <c r="C1770" s="80" t="str" cm="1">
        <f t="array" ref="C1770">_xlfn.IFS(MONTH(D1770)&lt;4,1,MONTH(D1770)&lt;7,2,MONTH(D1770)&lt;10,3,MONTH(D1770)&gt;9,4)&amp;"Q"&amp;RIGHT(YEAR(D1770),2)</f>
        <v>1Q23</v>
      </c>
      <c r="D1770" s="81">
        <f t="shared" si="539"/>
        <v>44985</v>
      </c>
      <c r="E1770" s="82">
        <f t="shared" si="531"/>
        <v>44966</v>
      </c>
      <c r="F1770" s="83">
        <f t="shared" ref="F1770:G1785" si="541">+L1770/8</f>
        <v>0.228375</v>
      </c>
      <c r="G1770" s="83">
        <f t="shared" si="541"/>
        <v>0.22625</v>
      </c>
      <c r="H1770" s="81"/>
      <c r="I1770" s="146">
        <v>44966</v>
      </c>
      <c r="J1770" s="147">
        <v>1.9</v>
      </c>
      <c r="K1770" s="147">
        <v>1.7</v>
      </c>
      <c r="L1770" s="147">
        <v>1.827</v>
      </c>
      <c r="M1770" s="59" cm="1">
        <f t="array" ref="M1770">INDEX($BV$29:$BV$1449,MATCH($D1770,$BR$29:$BR$1449,0),)</f>
        <v>1.81</v>
      </c>
      <c r="N1770" s="150">
        <f t="shared" si="523"/>
        <v>-0.00163934426229517</v>
      </c>
      <c r="O1770" s="150">
        <f t="shared" si="524"/>
        <v>-0.0129659643435981</v>
      </c>
      <c r="P1770" s="150">
        <f t="shared" si="530"/>
        <v>-0.0333333333333333</v>
      </c>
      <c r="Q1770" s="89">
        <f t="shared" si="532"/>
        <v>0.00939226519337022</v>
      </c>
      <c r="S1770" s="82">
        <f t="shared" si="533"/>
        <v>44966</v>
      </c>
      <c r="T1770" s="83">
        <f t="shared" si="535"/>
        <v>0.3</v>
      </c>
      <c r="U1770" s="83">
        <f t="shared" si="535"/>
        <v>0.25</v>
      </c>
      <c r="W1770" s="146">
        <v>44966</v>
      </c>
      <c r="X1770" s="147">
        <v>5</v>
      </c>
      <c r="Y1770" s="147">
        <v>4.55</v>
      </c>
      <c r="Z1770" s="147">
        <v>4.8</v>
      </c>
      <c r="AA1770" s="59" cm="1">
        <f t="array" ref="AA1770">INDEX($BX$29:$BX$1449,MATCH($D1770,$BR$29:$BR$1449,0),)</f>
        <v>4</v>
      </c>
      <c r="AB1770" s="150">
        <f t="shared" si="536"/>
        <v>-0.0149805048224914</v>
      </c>
      <c r="AC1770" s="150">
        <f t="shared" si="537"/>
        <v>-0.0519454868654947</v>
      </c>
      <c r="AD1770" s="150">
        <f t="shared" si="540"/>
        <v>-0.0648743424897721</v>
      </c>
      <c r="AE1770" s="89">
        <f t="shared" si="534"/>
        <v>0.2</v>
      </c>
      <c r="AF1770" s="36"/>
      <c r="GF1770" s="104">
        <f t="shared" si="525"/>
        <v>2019</v>
      </c>
      <c r="GG1770" s="104">
        <f t="shared" si="526"/>
        <v>51</v>
      </c>
      <c r="GH1770" s="35">
        <v>43818</v>
      </c>
      <c r="GI1770" s="26">
        <v>1.549</v>
      </c>
      <c r="GJ1770" s="94">
        <f t="shared" si="527"/>
        <v>3.098</v>
      </c>
      <c r="GK1770" s="104"/>
      <c r="GL1770" s="104"/>
    </row>
    <row r="1771" spans="3:194">
      <c r="C1771" s="80" t="str" cm="1">
        <f t="array" ref="C1771">_xlfn.IFS(MONTH(D1771)&lt;4,1,MONTH(D1771)&lt;7,2,MONTH(D1771)&lt;10,3,MONTH(D1771)&gt;9,4)&amp;"Q"&amp;RIGHT(YEAR(D1771),2)</f>
        <v>1Q23</v>
      </c>
      <c r="D1771" s="81">
        <f t="shared" si="539"/>
        <v>44985</v>
      </c>
      <c r="E1771" s="82">
        <f t="shared" si="531"/>
        <v>44967</v>
      </c>
      <c r="F1771" s="83">
        <f t="shared" si="541"/>
        <v>0.228</v>
      </c>
      <c r="G1771" s="83">
        <f t="shared" si="541"/>
        <v>0.22625</v>
      </c>
      <c r="H1771" s="81"/>
      <c r="I1771" s="146">
        <v>44967</v>
      </c>
      <c r="J1771" s="147">
        <v>1.9</v>
      </c>
      <c r="K1771" s="147">
        <v>1.7</v>
      </c>
      <c r="L1771" s="147">
        <v>1.824</v>
      </c>
      <c r="M1771" s="59" cm="1">
        <f t="array" ref="M1771">INDEX($BV$29:$BV$1449,MATCH($D1771,$BR$29:$BR$1449,0),)</f>
        <v>1.81</v>
      </c>
      <c r="N1771" s="150">
        <f t="shared" si="523"/>
        <v>-0.00164203612479463</v>
      </c>
      <c r="O1771" s="150">
        <f t="shared" si="524"/>
        <v>-0.0145867098865478</v>
      </c>
      <c r="P1771" s="150">
        <f t="shared" si="530"/>
        <v>-0.0303030303030303</v>
      </c>
      <c r="Q1771" s="89">
        <f t="shared" si="532"/>
        <v>0.00773480662983417</v>
      </c>
      <c r="S1771" s="82">
        <f t="shared" si="533"/>
        <v>44967</v>
      </c>
      <c r="T1771" s="83">
        <f t="shared" si="535"/>
        <v>0.2979375</v>
      </c>
      <c r="U1771" s="83">
        <f t="shared" si="535"/>
        <v>0.25</v>
      </c>
      <c r="W1771" s="146">
        <v>44967</v>
      </c>
      <c r="X1771" s="147">
        <v>5</v>
      </c>
      <c r="Y1771" s="147">
        <v>4.45</v>
      </c>
      <c r="Z1771" s="147">
        <v>4.767</v>
      </c>
      <c r="AA1771" s="59" cm="1">
        <f t="array" ref="AA1771">INDEX($BX$29:$BX$1449,MATCH($D1771,$BR$29:$BR$1449,0),)</f>
        <v>4</v>
      </c>
      <c r="AB1771" s="150">
        <f t="shared" si="536"/>
        <v>-0.00687499999999985</v>
      </c>
      <c r="AC1771" s="150">
        <f t="shared" si="537"/>
        <v>-0.056039603960396</v>
      </c>
      <c r="AD1771" s="150">
        <f t="shared" si="540"/>
        <v>-0.0702165008777061</v>
      </c>
      <c r="AE1771" s="89">
        <f t="shared" si="534"/>
        <v>0.19175</v>
      </c>
      <c r="AF1771" s="36"/>
      <c r="GF1771" s="104">
        <f t="shared" si="525"/>
        <v>2019</v>
      </c>
      <c r="GG1771" s="104">
        <f t="shared" si="526"/>
        <v>51</v>
      </c>
      <c r="GH1771" s="35">
        <v>43819</v>
      </c>
      <c r="GI1771" s="26">
        <v>1.552</v>
      </c>
      <c r="GJ1771" s="94">
        <f t="shared" si="527"/>
        <v>3.104</v>
      </c>
      <c r="GK1771" s="104"/>
      <c r="GL1771" s="104"/>
    </row>
    <row r="1772" spans="3:194">
      <c r="C1772" s="80" t="str" cm="1">
        <f t="array" ref="C1772">_xlfn.IFS(MONTH(D1772)&lt;4,1,MONTH(D1772)&lt;7,2,MONTH(D1772)&lt;10,3,MONTH(D1772)&gt;9,4)&amp;"Q"&amp;RIGHT(YEAR(D1772),2)</f>
        <v>1Q23</v>
      </c>
      <c r="D1772" s="81">
        <f t="shared" si="539"/>
        <v>44985</v>
      </c>
      <c r="E1772" s="82">
        <f t="shared" si="531"/>
        <v>44970</v>
      </c>
      <c r="F1772" s="83">
        <f t="shared" si="541"/>
        <v>0.227375</v>
      </c>
      <c r="G1772" s="83">
        <f t="shared" si="541"/>
        <v>0.22625</v>
      </c>
      <c r="H1772" s="81"/>
      <c r="I1772" s="146">
        <v>44970</v>
      </c>
      <c r="J1772" s="147">
        <v>1.92</v>
      </c>
      <c r="K1772" s="147">
        <v>1.71</v>
      </c>
      <c r="L1772" s="147">
        <v>1.819</v>
      </c>
      <c r="M1772" s="59" cm="1">
        <f t="array" ref="M1772">INDEX($BV$29:$BV$1449,MATCH($D1772,$BR$29:$BR$1449,0),)</f>
        <v>1.81</v>
      </c>
      <c r="N1772" s="150">
        <f t="shared" ref="N1772:N1835" si="542">L1772/L1771-1</f>
        <v>-0.00274122807017552</v>
      </c>
      <c r="O1772" s="150">
        <f t="shared" ref="O1772:O1835" si="543">L1772/L1767-1</f>
        <v>-0.0162249864791779</v>
      </c>
      <c r="P1772" s="150">
        <f t="shared" si="530"/>
        <v>-0.0251875669882101</v>
      </c>
      <c r="Q1772" s="89">
        <f t="shared" si="532"/>
        <v>0.00497237569060771</v>
      </c>
      <c r="S1772" s="82">
        <f t="shared" si="533"/>
        <v>44970</v>
      </c>
      <c r="T1772" s="83">
        <f t="shared" si="535"/>
        <v>0.2948125</v>
      </c>
      <c r="U1772" s="83">
        <f t="shared" si="535"/>
        <v>0.25</v>
      </c>
      <c r="W1772" s="146">
        <v>44970</v>
      </c>
      <c r="X1772" s="147">
        <v>4.95</v>
      </c>
      <c r="Y1772" s="147">
        <v>4.4</v>
      </c>
      <c r="Z1772" s="147">
        <v>4.717</v>
      </c>
      <c r="AA1772" s="59" cm="1">
        <f t="array" ref="AA1772">INDEX($BX$29:$BX$1449,MATCH($D1772,$BR$29:$BR$1449,0),)</f>
        <v>4</v>
      </c>
      <c r="AB1772" s="150">
        <f t="shared" si="536"/>
        <v>-0.010488777008601</v>
      </c>
      <c r="AC1772" s="150">
        <f t="shared" si="537"/>
        <v>-0.0566000000000001</v>
      </c>
      <c r="AD1772" s="150">
        <f t="shared" si="540"/>
        <v>-0.0774496381771955</v>
      </c>
      <c r="AE1772" s="89">
        <f t="shared" si="534"/>
        <v>0.17925</v>
      </c>
      <c r="AF1772" s="36"/>
      <c r="GF1772" s="104">
        <f t="shared" si="525"/>
        <v>2019</v>
      </c>
      <c r="GG1772" s="104">
        <f t="shared" si="526"/>
        <v>52</v>
      </c>
      <c r="GH1772" s="35">
        <v>43822</v>
      </c>
      <c r="GI1772" s="26">
        <v>1.554</v>
      </c>
      <c r="GJ1772" s="94">
        <f t="shared" si="527"/>
        <v>3.108</v>
      </c>
      <c r="GK1772" s="104"/>
      <c r="GL1772" s="104"/>
    </row>
    <row r="1773" spans="3:194">
      <c r="C1773" s="80" t="str" cm="1">
        <f t="array" ref="C1773">_xlfn.IFS(MONTH(D1773)&lt;4,1,MONTH(D1773)&lt;7,2,MONTH(D1773)&lt;10,3,MONTH(D1773)&gt;9,4)&amp;"Q"&amp;RIGHT(YEAR(D1773),2)</f>
        <v>1Q23</v>
      </c>
      <c r="D1773" s="81">
        <f t="shared" si="539"/>
        <v>44985</v>
      </c>
      <c r="E1773" s="82">
        <f t="shared" si="531"/>
        <v>44971</v>
      </c>
      <c r="F1773" s="83">
        <f t="shared" si="541"/>
        <v>0.227375</v>
      </c>
      <c r="G1773" s="83">
        <f t="shared" si="541"/>
        <v>0.22625</v>
      </c>
      <c r="H1773" s="81"/>
      <c r="I1773" s="146">
        <v>44971</v>
      </c>
      <c r="J1773" s="147">
        <v>1.92</v>
      </c>
      <c r="K1773" s="147">
        <v>1.71</v>
      </c>
      <c r="L1773" s="147">
        <v>1.819</v>
      </c>
      <c r="M1773" s="59" cm="1">
        <f t="array" ref="M1773">INDEX($BV$29:$BV$1449,MATCH($D1773,$BR$29:$BR$1449,0),)</f>
        <v>1.81</v>
      </c>
      <c r="N1773" s="150">
        <f t="shared" si="542"/>
        <v>0</v>
      </c>
      <c r="O1773" s="150">
        <f t="shared" si="543"/>
        <v>-0.00763775231860342</v>
      </c>
      <c r="P1773" s="150">
        <f t="shared" si="530"/>
        <v>-0.0220430107526882</v>
      </c>
      <c r="Q1773" s="89">
        <f t="shared" si="532"/>
        <v>0.00497237569060771</v>
      </c>
      <c r="S1773" s="82">
        <f t="shared" si="533"/>
        <v>44971</v>
      </c>
      <c r="T1773" s="83">
        <f t="shared" si="535"/>
        <v>0.2923125</v>
      </c>
      <c r="U1773" s="83">
        <f t="shared" si="535"/>
        <v>0.25</v>
      </c>
      <c r="W1773" s="146">
        <v>44971</v>
      </c>
      <c r="X1773" s="147">
        <v>4.95</v>
      </c>
      <c r="Y1773" s="147">
        <v>4.38</v>
      </c>
      <c r="Z1773" s="147">
        <v>4.677</v>
      </c>
      <c r="AA1773" s="59" cm="1">
        <f t="array" ref="AA1773">INDEX($BX$29:$BX$1449,MATCH($D1773,$BR$29:$BR$1449,0),)</f>
        <v>4</v>
      </c>
      <c r="AB1773" s="150">
        <f t="shared" si="536"/>
        <v>-0.00847996608013568</v>
      </c>
      <c r="AC1773" s="150">
        <f t="shared" si="537"/>
        <v>-0.0491969912583858</v>
      </c>
      <c r="AD1773" s="150">
        <f t="shared" si="540"/>
        <v>-0.0811394891944991</v>
      </c>
      <c r="AE1773" s="89">
        <f t="shared" si="534"/>
        <v>0.16925</v>
      </c>
      <c r="AF1773" s="36"/>
      <c r="GF1773" s="104">
        <f t="shared" si="525"/>
        <v>2019</v>
      </c>
      <c r="GG1773" s="104">
        <f t="shared" si="526"/>
        <v>52</v>
      </c>
      <c r="GH1773" s="35">
        <v>43823</v>
      </c>
      <c r="GI1773" s="26">
        <v>1.554</v>
      </c>
      <c r="GJ1773" s="94">
        <f t="shared" si="527"/>
        <v>3.108</v>
      </c>
      <c r="GK1773" s="104"/>
      <c r="GL1773" s="104"/>
    </row>
    <row r="1774" spans="3:194">
      <c r="C1774" s="80" t="str" cm="1">
        <f t="array" ref="C1774">_xlfn.IFS(MONTH(D1774)&lt;4,1,MONTH(D1774)&lt;7,2,MONTH(D1774)&lt;10,3,MONTH(D1774)&gt;9,4)&amp;"Q"&amp;RIGHT(YEAR(D1774),2)</f>
        <v>1Q23</v>
      </c>
      <c r="D1774" s="81">
        <f t="shared" si="539"/>
        <v>44985</v>
      </c>
      <c r="E1774" s="82">
        <f t="shared" si="531"/>
        <v>44972</v>
      </c>
      <c r="F1774" s="83">
        <f t="shared" si="541"/>
        <v>0.227375</v>
      </c>
      <c r="G1774" s="83">
        <f t="shared" si="541"/>
        <v>0.22625</v>
      </c>
      <c r="H1774" s="81"/>
      <c r="I1774" s="146">
        <v>44972</v>
      </c>
      <c r="J1774" s="147">
        <v>1.92</v>
      </c>
      <c r="K1774" s="147">
        <v>1.72</v>
      </c>
      <c r="L1774" s="147">
        <v>1.819</v>
      </c>
      <c r="M1774" s="59" cm="1">
        <f t="array" ref="M1774">INDEX($BV$29:$BV$1449,MATCH($D1774,$BR$29:$BR$1449,0),)</f>
        <v>1.81</v>
      </c>
      <c r="N1774" s="150">
        <f t="shared" si="542"/>
        <v>0</v>
      </c>
      <c r="O1774" s="150">
        <f t="shared" si="543"/>
        <v>-0.00601092896174871</v>
      </c>
      <c r="P1774" s="150">
        <f t="shared" si="530"/>
        <v>-0.0188781014023733</v>
      </c>
      <c r="Q1774" s="89">
        <f t="shared" si="532"/>
        <v>0.00497237569060771</v>
      </c>
      <c r="S1774" s="82">
        <f t="shared" si="533"/>
        <v>44972</v>
      </c>
      <c r="T1774" s="83">
        <f t="shared" si="535"/>
        <v>0.2900625</v>
      </c>
      <c r="U1774" s="83">
        <f t="shared" si="535"/>
        <v>0.25</v>
      </c>
      <c r="W1774" s="146">
        <v>44972</v>
      </c>
      <c r="X1774" s="147">
        <v>4.95</v>
      </c>
      <c r="Y1774" s="147">
        <v>4.38</v>
      </c>
      <c r="Z1774" s="147">
        <v>4.641</v>
      </c>
      <c r="AA1774" s="59" cm="1">
        <f t="array" ref="AA1774">INDEX($BX$29:$BX$1449,MATCH($D1774,$BR$29:$BR$1449,0),)</f>
        <v>4</v>
      </c>
      <c r="AB1774" s="150">
        <f t="shared" si="536"/>
        <v>-0.00769724182168052</v>
      </c>
      <c r="AC1774" s="150">
        <f t="shared" si="537"/>
        <v>-0.0476092756002463</v>
      </c>
      <c r="AD1774" s="150">
        <f t="shared" si="540"/>
        <v>-0.0864173228346456</v>
      </c>
      <c r="AE1774" s="89">
        <f t="shared" si="534"/>
        <v>0.16025</v>
      </c>
      <c r="AF1774" s="36"/>
      <c r="GF1774" s="104">
        <f t="shared" si="525"/>
        <v>2019</v>
      </c>
      <c r="GG1774" s="104">
        <f t="shared" si="526"/>
        <v>52</v>
      </c>
      <c r="GH1774" s="35">
        <v>43824</v>
      </c>
      <c r="GI1774" s="26">
        <v>1.554</v>
      </c>
      <c r="GJ1774" s="94">
        <f t="shared" si="527"/>
        <v>3.108</v>
      </c>
      <c r="GK1774" s="104"/>
      <c r="GL1774" s="104"/>
    </row>
    <row r="1775" spans="3:194">
      <c r="C1775" s="80" t="str" cm="1">
        <f t="array" ref="C1775">_xlfn.IFS(MONTH(D1775)&lt;4,1,MONTH(D1775)&lt;7,2,MONTH(D1775)&lt;10,3,MONTH(D1775)&gt;9,4)&amp;"Q"&amp;RIGHT(YEAR(D1775),2)</f>
        <v>1Q23</v>
      </c>
      <c r="D1775" s="81">
        <f t="shared" si="539"/>
        <v>44985</v>
      </c>
      <c r="E1775" s="82">
        <f t="shared" si="531"/>
        <v>44973</v>
      </c>
      <c r="F1775" s="83">
        <f t="shared" si="541"/>
        <v>0.227375</v>
      </c>
      <c r="G1775" s="83">
        <f t="shared" si="541"/>
        <v>0.22625</v>
      </c>
      <c r="H1775" s="81"/>
      <c r="I1775" s="146">
        <v>44973</v>
      </c>
      <c r="J1775" s="147">
        <v>1.92</v>
      </c>
      <c r="K1775" s="147">
        <v>1.72</v>
      </c>
      <c r="L1775" s="147">
        <v>1.819</v>
      </c>
      <c r="M1775" s="59" cm="1">
        <f t="array" ref="M1775">INDEX($BV$29:$BV$1449,MATCH($D1775,$BR$29:$BR$1449,0),)</f>
        <v>1.81</v>
      </c>
      <c r="N1775" s="150">
        <f t="shared" si="542"/>
        <v>0</v>
      </c>
      <c r="O1775" s="150">
        <f t="shared" si="543"/>
        <v>-0.00437876299945261</v>
      </c>
      <c r="P1775" s="150">
        <f t="shared" si="530"/>
        <v>-0.0172879524581308</v>
      </c>
      <c r="Q1775" s="89">
        <f t="shared" si="532"/>
        <v>0.00497237569060771</v>
      </c>
      <c r="S1775" s="82">
        <f t="shared" si="533"/>
        <v>44973</v>
      </c>
      <c r="T1775" s="83">
        <f t="shared" si="535"/>
        <v>0.289375</v>
      </c>
      <c r="U1775" s="83">
        <f t="shared" si="535"/>
        <v>0.25</v>
      </c>
      <c r="W1775" s="146">
        <v>44973</v>
      </c>
      <c r="X1775" s="147">
        <v>4.95</v>
      </c>
      <c r="Y1775" s="147">
        <v>4.38</v>
      </c>
      <c r="Z1775" s="147">
        <v>4.63</v>
      </c>
      <c r="AA1775" s="59" cm="1">
        <f t="array" ref="AA1775">INDEX($BX$29:$BX$1449,MATCH($D1775,$BR$29:$BR$1449,0),)</f>
        <v>4</v>
      </c>
      <c r="AB1775" s="150">
        <f t="shared" si="536"/>
        <v>-0.00237017884076707</v>
      </c>
      <c r="AC1775" s="150">
        <f t="shared" si="537"/>
        <v>-0.0354166666666667</v>
      </c>
      <c r="AD1775" s="150">
        <f t="shared" si="540"/>
        <v>-0.0855224175390085</v>
      </c>
      <c r="AE1775" s="89">
        <f t="shared" si="534"/>
        <v>0.1575</v>
      </c>
      <c r="AF1775" s="36"/>
      <c r="GF1775" s="104">
        <f t="shared" si="525"/>
        <v>2019</v>
      </c>
      <c r="GG1775" s="104">
        <f t="shared" si="526"/>
        <v>52</v>
      </c>
      <c r="GH1775" s="35">
        <v>43825</v>
      </c>
      <c r="GI1775" s="26">
        <v>1.556</v>
      </c>
      <c r="GJ1775" s="94">
        <f t="shared" si="527"/>
        <v>3.112</v>
      </c>
      <c r="GK1775" s="104"/>
      <c r="GL1775" s="104"/>
    </row>
    <row r="1776" spans="3:194">
      <c r="C1776" s="80" t="str" cm="1">
        <f t="array" ref="C1776">_xlfn.IFS(MONTH(D1776)&lt;4,1,MONTH(D1776)&lt;7,2,MONTH(D1776)&lt;10,3,MONTH(D1776)&gt;9,4)&amp;"Q"&amp;RIGHT(YEAR(D1776),2)</f>
        <v>1Q23</v>
      </c>
      <c r="D1776" s="81">
        <f t="shared" si="539"/>
        <v>44985</v>
      </c>
      <c r="E1776" s="82">
        <f t="shared" si="531"/>
        <v>44974</v>
      </c>
      <c r="F1776" s="83">
        <f t="shared" si="541"/>
        <v>0.227375</v>
      </c>
      <c r="G1776" s="83">
        <f t="shared" si="541"/>
        <v>0.22625</v>
      </c>
      <c r="H1776" s="81"/>
      <c r="I1776" s="146">
        <v>44974</v>
      </c>
      <c r="J1776" s="147">
        <v>1.92</v>
      </c>
      <c r="K1776" s="147">
        <v>1.72</v>
      </c>
      <c r="L1776" s="147">
        <v>1.819</v>
      </c>
      <c r="M1776" s="59" cm="1">
        <f t="array" ref="M1776">INDEX($BV$29:$BV$1449,MATCH($D1776,$BR$29:$BR$1449,0),)</f>
        <v>1.81</v>
      </c>
      <c r="N1776" s="150">
        <f t="shared" si="542"/>
        <v>0</v>
      </c>
      <c r="O1776" s="150">
        <f t="shared" si="543"/>
        <v>-0.00274122807017552</v>
      </c>
      <c r="P1776" s="150">
        <f t="shared" si="530"/>
        <v>-0.0172879524581308</v>
      </c>
      <c r="Q1776" s="89">
        <f t="shared" si="532"/>
        <v>0.00497237569060771</v>
      </c>
      <c r="S1776" s="82">
        <f t="shared" si="533"/>
        <v>44974</v>
      </c>
      <c r="T1776" s="83">
        <f t="shared" si="535"/>
        <v>0.289125</v>
      </c>
      <c r="U1776" s="83">
        <f t="shared" si="535"/>
        <v>0.25</v>
      </c>
      <c r="W1776" s="146">
        <v>44974</v>
      </c>
      <c r="X1776" s="147">
        <v>4.95</v>
      </c>
      <c r="Y1776" s="147">
        <v>4.38</v>
      </c>
      <c r="Z1776" s="147">
        <v>4.626</v>
      </c>
      <c r="AA1776" s="59" cm="1">
        <f t="array" ref="AA1776">INDEX($BX$29:$BX$1449,MATCH($D1776,$BR$29:$BR$1449,0),)</f>
        <v>4</v>
      </c>
      <c r="AB1776" s="150">
        <f t="shared" si="536"/>
        <v>-0.000863930885529052</v>
      </c>
      <c r="AC1776" s="150">
        <f t="shared" si="537"/>
        <v>-0.0295783511642542</v>
      </c>
      <c r="AD1776" s="150">
        <f t="shared" si="540"/>
        <v>-0.0839603960396038</v>
      </c>
      <c r="AE1776" s="89">
        <f t="shared" si="534"/>
        <v>0.1565</v>
      </c>
      <c r="AF1776" s="36"/>
      <c r="GF1776" s="104">
        <f t="shared" si="525"/>
        <v>2019</v>
      </c>
      <c r="GG1776" s="104">
        <f t="shared" si="526"/>
        <v>52</v>
      </c>
      <c r="GH1776" s="35">
        <v>43826</v>
      </c>
      <c r="GI1776" s="26">
        <v>1.558</v>
      </c>
      <c r="GJ1776" s="94">
        <f t="shared" si="527"/>
        <v>3.116</v>
      </c>
      <c r="GK1776" s="104"/>
      <c r="GL1776" s="104"/>
    </row>
    <row r="1777" spans="3:194">
      <c r="C1777" s="80" t="str" cm="1">
        <f t="array" ref="C1777">_xlfn.IFS(MONTH(D1777)&lt;4,1,MONTH(D1777)&lt;7,2,MONTH(D1777)&lt;10,3,MONTH(D1777)&gt;9,4)&amp;"Q"&amp;RIGHT(YEAR(D1777),2)</f>
        <v>1Q23</v>
      </c>
      <c r="D1777" s="81">
        <f t="shared" si="539"/>
        <v>44985</v>
      </c>
      <c r="E1777" s="82">
        <f t="shared" si="531"/>
        <v>44977</v>
      </c>
      <c r="F1777" s="83">
        <f t="shared" si="541"/>
        <v>0.227375</v>
      </c>
      <c r="G1777" s="83">
        <f t="shared" si="541"/>
        <v>0.22625</v>
      </c>
      <c r="H1777" s="81"/>
      <c r="I1777" s="146">
        <v>44977</v>
      </c>
      <c r="J1777" s="147">
        <v>1.95</v>
      </c>
      <c r="K1777" s="147">
        <v>1.7</v>
      </c>
      <c r="L1777" s="147">
        <v>1.819</v>
      </c>
      <c r="M1777" s="59" cm="1">
        <f t="array" ref="M1777">INDEX($BV$29:$BV$1449,MATCH($D1777,$BR$29:$BR$1449,0),)</f>
        <v>1.81</v>
      </c>
      <c r="N1777" s="150">
        <f t="shared" si="542"/>
        <v>0</v>
      </c>
      <c r="O1777" s="150">
        <f t="shared" si="543"/>
        <v>0</v>
      </c>
      <c r="P1777" s="150">
        <f t="shared" si="530"/>
        <v>-0.0162249864791779</v>
      </c>
      <c r="Q1777" s="89">
        <f t="shared" si="532"/>
        <v>0.00497237569060771</v>
      </c>
      <c r="S1777" s="82">
        <f t="shared" si="533"/>
        <v>44977</v>
      </c>
      <c r="T1777" s="83">
        <f t="shared" si="535"/>
        <v>0.2888125</v>
      </c>
      <c r="U1777" s="83">
        <f t="shared" si="535"/>
        <v>0.25</v>
      </c>
      <c r="W1777" s="146">
        <v>44977</v>
      </c>
      <c r="X1777" s="147">
        <v>4.95</v>
      </c>
      <c r="Y1777" s="147">
        <v>4.35</v>
      </c>
      <c r="Z1777" s="147">
        <v>4.621</v>
      </c>
      <c r="AA1777" s="59" cm="1">
        <f t="array" ref="AA1777">INDEX($BX$29:$BX$1449,MATCH($D1777,$BR$29:$BR$1449,0),)</f>
        <v>4</v>
      </c>
      <c r="AB1777" s="150">
        <f t="shared" si="536"/>
        <v>-0.00108084738434933</v>
      </c>
      <c r="AC1777" s="150">
        <f t="shared" si="537"/>
        <v>-0.0203519185923254</v>
      </c>
      <c r="AD1777" s="150">
        <f t="shared" si="540"/>
        <v>-0.0757999999999999</v>
      </c>
      <c r="AE1777" s="89">
        <f t="shared" si="534"/>
        <v>0.15525</v>
      </c>
      <c r="AF1777" s="36"/>
      <c r="GF1777" s="104">
        <f t="shared" si="525"/>
        <v>2019</v>
      </c>
      <c r="GG1777" s="104">
        <f t="shared" si="526"/>
        <v>53</v>
      </c>
      <c r="GH1777" s="35">
        <v>43829</v>
      </c>
      <c r="GI1777" s="26">
        <v>1.566</v>
      </c>
      <c r="GJ1777" s="94">
        <f t="shared" si="527"/>
        <v>3.132</v>
      </c>
      <c r="GK1777" s="104"/>
      <c r="GL1777" s="104"/>
    </row>
    <row r="1778" spans="3:194">
      <c r="C1778" s="80" t="str" cm="1">
        <f t="array" ref="C1778">_xlfn.IFS(MONTH(D1778)&lt;4,1,MONTH(D1778)&lt;7,2,MONTH(D1778)&lt;10,3,MONTH(D1778)&gt;9,4)&amp;"Q"&amp;RIGHT(YEAR(D1778),2)</f>
        <v>1Q23</v>
      </c>
      <c r="D1778" s="81">
        <f t="shared" si="539"/>
        <v>44985</v>
      </c>
      <c r="E1778" s="82">
        <f t="shared" si="531"/>
        <v>44978</v>
      </c>
      <c r="F1778" s="83">
        <f t="shared" si="541"/>
        <v>0.227375</v>
      </c>
      <c r="G1778" s="83">
        <f t="shared" si="541"/>
        <v>0.22625</v>
      </c>
      <c r="H1778" s="81"/>
      <c r="I1778" s="146">
        <v>44978</v>
      </c>
      <c r="J1778" s="147">
        <v>1.95</v>
      </c>
      <c r="K1778" s="147">
        <v>1.7</v>
      </c>
      <c r="L1778" s="147">
        <v>1.819</v>
      </c>
      <c r="M1778" s="59" cm="1">
        <f t="array" ref="M1778">INDEX($BV$29:$BV$1449,MATCH($D1778,$BR$29:$BR$1449,0),)</f>
        <v>1.81</v>
      </c>
      <c r="N1778" s="150">
        <f t="shared" si="542"/>
        <v>0</v>
      </c>
      <c r="O1778" s="150">
        <f t="shared" si="543"/>
        <v>0</v>
      </c>
      <c r="P1778" s="150">
        <f t="shared" si="530"/>
        <v>-0.00763775231860342</v>
      </c>
      <c r="Q1778" s="89">
        <f t="shared" si="532"/>
        <v>0.00497237569060771</v>
      </c>
      <c r="S1778" s="82">
        <f t="shared" si="533"/>
        <v>44978</v>
      </c>
      <c r="T1778" s="83">
        <f t="shared" si="535"/>
        <v>0.28675</v>
      </c>
      <c r="U1778" s="83">
        <f t="shared" si="535"/>
        <v>0.25</v>
      </c>
      <c r="W1778" s="146">
        <v>44978</v>
      </c>
      <c r="X1778" s="147">
        <v>4.9</v>
      </c>
      <c r="Y1778" s="147">
        <v>4.3</v>
      </c>
      <c r="Z1778" s="147">
        <v>4.588</v>
      </c>
      <c r="AA1778" s="59" cm="1">
        <f t="array" ref="AA1778">INDEX($BX$29:$BX$1449,MATCH($D1778,$BR$29:$BR$1449,0),)</f>
        <v>4</v>
      </c>
      <c r="AB1778" s="150">
        <f t="shared" si="536"/>
        <v>-0.00714131140445795</v>
      </c>
      <c r="AC1778" s="150">
        <f t="shared" si="537"/>
        <v>-0.0190292922813768</v>
      </c>
      <c r="AD1778" s="150">
        <f t="shared" si="540"/>
        <v>-0.0672900996137425</v>
      </c>
      <c r="AE1778" s="89">
        <f t="shared" si="534"/>
        <v>0.147</v>
      </c>
      <c r="AF1778" s="36"/>
      <c r="GF1778" s="104">
        <f t="shared" si="525"/>
        <v>2019</v>
      </c>
      <c r="GG1778" s="104">
        <f t="shared" si="526"/>
        <v>53</v>
      </c>
      <c r="GH1778" s="35">
        <v>43830</v>
      </c>
      <c r="GI1778" s="26">
        <v>1.568</v>
      </c>
      <c r="GJ1778" s="94">
        <f t="shared" si="527"/>
        <v>3.136</v>
      </c>
      <c r="GK1778" s="104"/>
      <c r="GL1778" s="104"/>
    </row>
    <row r="1779" spans="3:194">
      <c r="C1779" s="80" t="str" cm="1">
        <f t="array" ref="C1779">_xlfn.IFS(MONTH(D1779)&lt;4,1,MONTH(D1779)&lt;7,2,MONTH(D1779)&lt;10,3,MONTH(D1779)&gt;9,4)&amp;"Q"&amp;RIGHT(YEAR(D1779),2)</f>
        <v>1Q23</v>
      </c>
      <c r="D1779" s="81">
        <f t="shared" si="539"/>
        <v>44985</v>
      </c>
      <c r="E1779" s="82">
        <f t="shared" si="531"/>
        <v>44979</v>
      </c>
      <c r="F1779" s="83">
        <f t="shared" si="541"/>
        <v>0.22725</v>
      </c>
      <c r="G1779" s="83">
        <f t="shared" si="541"/>
        <v>0.22625</v>
      </c>
      <c r="H1779" s="81"/>
      <c r="I1779" s="146">
        <v>44979</v>
      </c>
      <c r="J1779" s="147">
        <v>1.95</v>
      </c>
      <c r="K1779" s="147">
        <v>1.7</v>
      </c>
      <c r="L1779" s="147">
        <v>1.818</v>
      </c>
      <c r="M1779" s="59" cm="1">
        <f t="array" ref="M1779">INDEX($BV$29:$BV$1449,MATCH($D1779,$BR$29:$BR$1449,0),)</f>
        <v>1.81</v>
      </c>
      <c r="N1779" s="150">
        <f t="shared" si="542"/>
        <v>-0.000549752611324839</v>
      </c>
      <c r="O1779" s="150">
        <f t="shared" si="543"/>
        <v>-0.000549752611324839</v>
      </c>
      <c r="P1779" s="150">
        <f t="shared" si="530"/>
        <v>-0.00655737704918036</v>
      </c>
      <c r="Q1779" s="89">
        <f t="shared" si="532"/>
        <v>0.00441988950276251</v>
      </c>
      <c r="S1779" s="82">
        <f t="shared" si="533"/>
        <v>44979</v>
      </c>
      <c r="T1779" s="83">
        <f t="shared" si="535"/>
        <v>0.2843125</v>
      </c>
      <c r="U1779" s="83">
        <f t="shared" si="535"/>
        <v>0.25</v>
      </c>
      <c r="W1779" s="146">
        <v>44979</v>
      </c>
      <c r="X1779" s="147">
        <v>4.9</v>
      </c>
      <c r="Y1779" s="147">
        <v>4.27</v>
      </c>
      <c r="Z1779" s="147">
        <v>4.549</v>
      </c>
      <c r="AA1779" s="59" cm="1">
        <f t="array" ref="AA1779">INDEX($BX$29:$BX$1449,MATCH($D1779,$BR$29:$BR$1449,0),)</f>
        <v>4</v>
      </c>
      <c r="AB1779" s="150">
        <f t="shared" si="536"/>
        <v>-0.00850043591979066</v>
      </c>
      <c r="AC1779" s="150">
        <f t="shared" si="537"/>
        <v>-0.0198233139409609</v>
      </c>
      <c r="AD1779" s="150">
        <f t="shared" si="540"/>
        <v>-0.0664888159244819</v>
      </c>
      <c r="AE1779" s="89">
        <f t="shared" si="534"/>
        <v>0.13725</v>
      </c>
      <c r="AF1779" s="36"/>
      <c r="GF1779" s="104">
        <f t="shared" si="525"/>
        <v>2020</v>
      </c>
      <c r="GG1779" s="104">
        <f t="shared" si="526"/>
        <v>1</v>
      </c>
      <c r="GH1779" s="35">
        <v>43832</v>
      </c>
      <c r="GI1779" s="26">
        <v>1.579</v>
      </c>
      <c r="GJ1779" s="94">
        <f t="shared" si="527"/>
        <v>3.158</v>
      </c>
      <c r="GK1779" s="104"/>
      <c r="GL1779" s="104"/>
    </row>
    <row r="1780" spans="3:194">
      <c r="C1780" s="80" t="str" cm="1">
        <f t="array" ref="C1780">_xlfn.IFS(MONTH(D1780)&lt;4,1,MONTH(D1780)&lt;7,2,MONTH(D1780)&lt;10,3,MONTH(D1780)&gt;9,4)&amp;"Q"&amp;RIGHT(YEAR(D1780),2)</f>
        <v>1Q23</v>
      </c>
      <c r="D1780" s="81">
        <f t="shared" si="539"/>
        <v>44985</v>
      </c>
      <c r="E1780" s="82">
        <f t="shared" si="531"/>
        <v>44980</v>
      </c>
      <c r="F1780" s="83">
        <f t="shared" si="541"/>
        <v>0.22725</v>
      </c>
      <c r="G1780" s="83">
        <f t="shared" si="541"/>
        <v>0.22625</v>
      </c>
      <c r="H1780" s="81"/>
      <c r="I1780" s="146">
        <v>44980</v>
      </c>
      <c r="J1780" s="147">
        <v>1.95</v>
      </c>
      <c r="K1780" s="147">
        <v>1.7</v>
      </c>
      <c r="L1780" s="147">
        <v>1.818</v>
      </c>
      <c r="M1780" s="59" cm="1">
        <f t="array" ref="M1780">INDEX($BV$29:$BV$1449,MATCH($D1780,$BR$29:$BR$1449,0),)</f>
        <v>1.81</v>
      </c>
      <c r="N1780" s="150">
        <f t="shared" si="542"/>
        <v>0</v>
      </c>
      <c r="O1780" s="150">
        <f t="shared" si="543"/>
        <v>-0.000549752611324839</v>
      </c>
      <c r="P1780" s="150">
        <f t="shared" si="530"/>
        <v>-0.00492610837438423</v>
      </c>
      <c r="Q1780" s="89">
        <f t="shared" si="532"/>
        <v>0.00441988950276251</v>
      </c>
      <c r="S1780" s="82">
        <f t="shared" si="533"/>
        <v>44980</v>
      </c>
      <c r="T1780" s="83">
        <f t="shared" si="535"/>
        <v>0.2829375</v>
      </c>
      <c r="U1780" s="83">
        <f t="shared" si="535"/>
        <v>0.25</v>
      </c>
      <c r="W1780" s="146">
        <v>44980</v>
      </c>
      <c r="X1780" s="147">
        <v>4.85</v>
      </c>
      <c r="Y1780" s="147">
        <v>4.27</v>
      </c>
      <c r="Z1780" s="147">
        <v>4.527</v>
      </c>
      <c r="AA1780" s="59" cm="1">
        <f t="array" ref="AA1780">INDEX($BX$29:$BX$1449,MATCH($D1780,$BR$29:$BR$1449,0),)</f>
        <v>4</v>
      </c>
      <c r="AB1780" s="150">
        <f t="shared" si="536"/>
        <v>-0.00483622774236103</v>
      </c>
      <c r="AC1780" s="150">
        <f t="shared" si="537"/>
        <v>-0.0222462203023758</v>
      </c>
      <c r="AD1780" s="150">
        <f t="shared" si="540"/>
        <v>-0.0568749999999999</v>
      </c>
      <c r="AE1780" s="89">
        <f t="shared" si="534"/>
        <v>0.13175</v>
      </c>
      <c r="AF1780" s="36"/>
      <c r="GF1780" s="104">
        <f t="shared" ref="GF1780:GF1843" si="544">YEAR(GH1780)</f>
        <v>2020</v>
      </c>
      <c r="GG1780" s="104">
        <f t="shared" ref="GG1780:GG1843" si="545">WEEKNUM(GH1780)</f>
        <v>1</v>
      </c>
      <c r="GH1780" s="35">
        <v>43833</v>
      </c>
      <c r="GI1780" s="26">
        <v>1.598</v>
      </c>
      <c r="GJ1780" s="94">
        <f t="shared" ref="GJ1780:GJ1843" si="546">GI1780*2</f>
        <v>3.196</v>
      </c>
      <c r="GK1780" s="104"/>
      <c r="GL1780" s="104"/>
    </row>
    <row r="1781" spans="3:194">
      <c r="C1781" s="80" t="str" cm="1">
        <f t="array" ref="C1781">_xlfn.IFS(MONTH(D1781)&lt;4,1,MONTH(D1781)&lt;7,2,MONTH(D1781)&lt;10,3,MONTH(D1781)&gt;9,4)&amp;"Q"&amp;RIGHT(YEAR(D1781),2)</f>
        <v>1Q23</v>
      </c>
      <c r="D1781" s="81">
        <f t="shared" si="539"/>
        <v>44985</v>
      </c>
      <c r="E1781" s="82">
        <f t="shared" si="531"/>
        <v>44981</v>
      </c>
      <c r="F1781" s="83">
        <f t="shared" si="541"/>
        <v>0.227</v>
      </c>
      <c r="G1781" s="83">
        <f t="shared" si="541"/>
        <v>0.22625</v>
      </c>
      <c r="H1781" s="81"/>
      <c r="I1781" s="146">
        <v>44981</v>
      </c>
      <c r="J1781" s="147">
        <v>1.95</v>
      </c>
      <c r="K1781" s="147">
        <v>1.7</v>
      </c>
      <c r="L1781" s="147">
        <v>1.816</v>
      </c>
      <c r="M1781" s="59" cm="1">
        <f t="array" ref="M1781">INDEX($BV$29:$BV$1449,MATCH($D1781,$BR$29:$BR$1449,0),)</f>
        <v>1.81</v>
      </c>
      <c r="N1781" s="150">
        <f t="shared" si="542"/>
        <v>-0.00110011001100108</v>
      </c>
      <c r="O1781" s="150">
        <f t="shared" si="543"/>
        <v>-0.00164925783397463</v>
      </c>
      <c r="P1781" s="150">
        <f t="shared" si="530"/>
        <v>-0.00438596491228072</v>
      </c>
      <c r="Q1781" s="89">
        <f t="shared" si="532"/>
        <v>0.00331491712707188</v>
      </c>
      <c r="S1781" s="82">
        <f t="shared" si="533"/>
        <v>44981</v>
      </c>
      <c r="T1781" s="83">
        <f t="shared" si="535"/>
        <v>0.2809375</v>
      </c>
      <c r="U1781" s="83">
        <f t="shared" si="535"/>
        <v>0.25</v>
      </c>
      <c r="W1781" s="146">
        <v>44981</v>
      </c>
      <c r="X1781" s="147">
        <v>4.85</v>
      </c>
      <c r="Y1781" s="147">
        <v>4.25</v>
      </c>
      <c r="Z1781" s="147">
        <v>4.495</v>
      </c>
      <c r="AA1781" s="59" cm="1">
        <f t="array" ref="AA1781">INDEX($BX$29:$BX$1449,MATCH($D1781,$BR$29:$BR$1449,0),)</f>
        <v>4</v>
      </c>
      <c r="AB1781" s="150">
        <f t="shared" si="536"/>
        <v>-0.00706869891760553</v>
      </c>
      <c r="AC1781" s="150">
        <f t="shared" si="537"/>
        <v>-0.0283182014699525</v>
      </c>
      <c r="AD1781" s="150">
        <f t="shared" si="540"/>
        <v>-0.0570589469267884</v>
      </c>
      <c r="AE1781" s="89">
        <f t="shared" si="534"/>
        <v>0.12375</v>
      </c>
      <c r="AF1781" s="36"/>
      <c r="GF1781" s="104">
        <f t="shared" si="544"/>
        <v>2020</v>
      </c>
      <c r="GG1781" s="104">
        <f t="shared" si="545"/>
        <v>2</v>
      </c>
      <c r="GH1781" s="35">
        <v>43836</v>
      </c>
      <c r="GI1781" s="26">
        <v>1.601</v>
      </c>
      <c r="GJ1781" s="94">
        <f t="shared" si="546"/>
        <v>3.202</v>
      </c>
      <c r="GK1781" s="104"/>
      <c r="GL1781" s="104"/>
    </row>
    <row r="1782" spans="3:194">
      <c r="C1782" s="80" t="str" cm="1">
        <f t="array" ref="C1782">_xlfn.IFS(MONTH(D1782)&lt;4,1,MONTH(D1782)&lt;7,2,MONTH(D1782)&lt;10,3,MONTH(D1782)&gt;9,4)&amp;"Q"&amp;RIGHT(YEAR(D1782),2)</f>
        <v>1Q23</v>
      </c>
      <c r="D1782" s="81">
        <f t="shared" si="539"/>
        <v>44985</v>
      </c>
      <c r="E1782" s="82">
        <f t="shared" si="531"/>
        <v>44984</v>
      </c>
      <c r="F1782" s="83">
        <f t="shared" si="541"/>
        <v>0.22575</v>
      </c>
      <c r="G1782" s="83">
        <f t="shared" si="541"/>
        <v>0.22625</v>
      </c>
      <c r="H1782" s="81"/>
      <c r="I1782" s="146">
        <v>44984</v>
      </c>
      <c r="J1782" s="147">
        <v>1.93</v>
      </c>
      <c r="K1782" s="147">
        <v>1.65</v>
      </c>
      <c r="L1782" s="147">
        <v>1.806</v>
      </c>
      <c r="M1782" s="59" cm="1">
        <f t="array" ref="M1782">INDEX($BV$29:$BV$1449,MATCH($D1782,$BR$29:$BR$1449,0),)</f>
        <v>1.81</v>
      </c>
      <c r="N1782" s="150">
        <f t="shared" si="542"/>
        <v>-0.00550660792951541</v>
      </c>
      <c r="O1782" s="150">
        <f t="shared" si="543"/>
        <v>-0.00714678394722368</v>
      </c>
      <c r="P1782" s="150">
        <f t="shared" si="530"/>
        <v>-0.00714678394722368</v>
      </c>
      <c r="Q1782" s="89">
        <f t="shared" si="532"/>
        <v>-0.00220994475138125</v>
      </c>
      <c r="S1782" s="82">
        <f t="shared" si="533"/>
        <v>44984</v>
      </c>
      <c r="T1782" s="83">
        <f t="shared" si="535"/>
        <v>0.2786875</v>
      </c>
      <c r="U1782" s="83">
        <f t="shared" si="535"/>
        <v>0.25</v>
      </c>
      <c r="W1782" s="146">
        <v>44984</v>
      </c>
      <c r="X1782" s="147">
        <v>4.75</v>
      </c>
      <c r="Y1782" s="147">
        <v>4.25</v>
      </c>
      <c r="Z1782" s="147">
        <v>4.459</v>
      </c>
      <c r="AA1782" s="59" cm="1">
        <f t="array" ref="AA1782">INDEX($BX$29:$BX$1449,MATCH($D1782,$BR$29:$BR$1449,0),)</f>
        <v>4</v>
      </c>
      <c r="AB1782" s="150">
        <f t="shared" si="536"/>
        <v>-0.00800889877641831</v>
      </c>
      <c r="AC1782" s="150">
        <f t="shared" si="537"/>
        <v>-0.0350573468946117</v>
      </c>
      <c r="AD1782" s="150">
        <f t="shared" si="540"/>
        <v>-0.0546957812168751</v>
      </c>
      <c r="AE1782" s="89">
        <f t="shared" si="534"/>
        <v>0.11475</v>
      </c>
      <c r="AF1782" s="36"/>
      <c r="GF1782" s="104">
        <f t="shared" si="544"/>
        <v>2020</v>
      </c>
      <c r="GG1782" s="104">
        <f t="shared" si="545"/>
        <v>2</v>
      </c>
      <c r="GH1782" s="35">
        <v>43837</v>
      </c>
      <c r="GI1782" s="26">
        <v>1.606</v>
      </c>
      <c r="GJ1782" s="94">
        <f t="shared" si="546"/>
        <v>3.212</v>
      </c>
      <c r="GK1782" s="104"/>
      <c r="GL1782" s="104"/>
    </row>
    <row r="1783" spans="3:194">
      <c r="C1783" s="80" t="str" cm="1">
        <f t="array" ref="C1783">_xlfn.IFS(MONTH(D1783)&lt;4,1,MONTH(D1783)&lt;7,2,MONTH(D1783)&lt;10,3,MONTH(D1783)&gt;9,4)&amp;"Q"&amp;RIGHT(YEAR(D1783),2)</f>
        <v>1Q23</v>
      </c>
      <c r="D1783" s="81">
        <f t="shared" si="539"/>
        <v>44985</v>
      </c>
      <c r="E1783" s="82">
        <f t="shared" si="531"/>
        <v>44985</v>
      </c>
      <c r="F1783" s="83">
        <f t="shared" si="541"/>
        <v>0.22575</v>
      </c>
      <c r="G1783" s="83">
        <f t="shared" si="541"/>
        <v>0.22625</v>
      </c>
      <c r="H1783" s="81"/>
      <c r="I1783" s="146">
        <v>44985</v>
      </c>
      <c r="J1783" s="147">
        <v>1.93</v>
      </c>
      <c r="K1783" s="147">
        <v>1.65</v>
      </c>
      <c r="L1783" s="147">
        <v>1.806</v>
      </c>
      <c r="M1783" s="59" cm="1">
        <f t="array" ref="M1783">INDEX($BV$29:$BV$1449,MATCH($D1783,$BR$29:$BR$1449,0),)</f>
        <v>1.81</v>
      </c>
      <c r="N1783" s="150">
        <f t="shared" si="542"/>
        <v>0</v>
      </c>
      <c r="O1783" s="150">
        <f t="shared" si="543"/>
        <v>-0.00714678394722368</v>
      </c>
      <c r="P1783" s="150">
        <f t="shared" si="530"/>
        <v>-0.00714678394722368</v>
      </c>
      <c r="Q1783" s="89">
        <f t="shared" si="532"/>
        <v>-0.00220994475138125</v>
      </c>
      <c r="S1783" s="82">
        <f t="shared" si="533"/>
        <v>44985</v>
      </c>
      <c r="T1783" s="83">
        <f t="shared" si="535"/>
        <v>0.277125</v>
      </c>
      <c r="U1783" s="83">
        <f t="shared" si="535"/>
        <v>0.25</v>
      </c>
      <c r="W1783" s="146">
        <v>44985</v>
      </c>
      <c r="X1783" s="147">
        <v>4.7</v>
      </c>
      <c r="Y1783" s="147">
        <v>4.25</v>
      </c>
      <c r="Z1783" s="147">
        <v>4.434</v>
      </c>
      <c r="AA1783" s="59" cm="1">
        <f t="array" ref="AA1783">INDEX($BX$29:$BX$1449,MATCH($D1783,$BR$29:$BR$1449,0),)</f>
        <v>4</v>
      </c>
      <c r="AB1783" s="150">
        <f t="shared" si="536"/>
        <v>-0.00560663825969931</v>
      </c>
      <c r="AC1783" s="150">
        <f t="shared" si="537"/>
        <v>-0.0335658238884046</v>
      </c>
      <c r="AD1783" s="150">
        <f t="shared" si="540"/>
        <v>-0.0519563822963437</v>
      </c>
      <c r="AE1783" s="89">
        <f t="shared" si="534"/>
        <v>0.1085</v>
      </c>
      <c r="AF1783" s="36"/>
      <c r="GF1783" s="104">
        <f t="shared" si="544"/>
        <v>2020</v>
      </c>
      <c r="GG1783" s="104">
        <f t="shared" si="545"/>
        <v>2</v>
      </c>
      <c r="GH1783" s="35">
        <v>43838</v>
      </c>
      <c r="GI1783" s="26">
        <v>1.611</v>
      </c>
      <c r="GJ1783" s="94">
        <f t="shared" si="546"/>
        <v>3.222</v>
      </c>
      <c r="GK1783" s="104"/>
      <c r="GL1783" s="104"/>
    </row>
    <row r="1784" spans="3:194">
      <c r="C1784" s="80" t="str" cm="1">
        <f t="array" ref="C1784">_xlfn.IFS(MONTH(D1784)&lt;4,1,MONTH(D1784)&lt;7,2,MONTH(D1784)&lt;10,3,MONTH(D1784)&gt;9,4)&amp;"Q"&amp;RIGHT(YEAR(D1784),2)</f>
        <v>1Q23</v>
      </c>
      <c r="D1784" s="81">
        <f t="shared" si="539"/>
        <v>45016</v>
      </c>
      <c r="E1784" s="82">
        <f t="shared" si="531"/>
        <v>44986</v>
      </c>
      <c r="F1784" s="83">
        <f t="shared" si="541"/>
        <v>0.22325</v>
      </c>
      <c r="G1784" s="83">
        <f t="shared" si="541"/>
        <v>0.22625</v>
      </c>
      <c r="H1784" s="81"/>
      <c r="I1784" s="146">
        <v>44986</v>
      </c>
      <c r="J1784" s="147">
        <v>1.9</v>
      </c>
      <c r="K1784" s="147">
        <v>1.64</v>
      </c>
      <c r="L1784" s="147">
        <v>1.786</v>
      </c>
      <c r="M1784" s="59" cm="1">
        <f t="array" ref="M1784">INDEX($BV$29:$BV$1449,MATCH($D1784,$BR$29:$BR$1449,0),)</f>
        <v>1.81</v>
      </c>
      <c r="N1784" s="150">
        <f t="shared" si="542"/>
        <v>-0.0110741971207088</v>
      </c>
      <c r="O1784" s="150">
        <f t="shared" si="543"/>
        <v>-0.0176017601760177</v>
      </c>
      <c r="P1784" s="150">
        <f t="shared" si="530"/>
        <v>-0.0181418361737218</v>
      </c>
      <c r="Q1784" s="89">
        <f t="shared" si="532"/>
        <v>-0.0132596685082873</v>
      </c>
      <c r="S1784" s="82">
        <f t="shared" si="533"/>
        <v>44986</v>
      </c>
      <c r="T1784" s="83">
        <f t="shared" si="535"/>
        <v>0.275375</v>
      </c>
      <c r="U1784" s="83">
        <f t="shared" si="535"/>
        <v>0.25</v>
      </c>
      <c r="W1784" s="146">
        <v>44986</v>
      </c>
      <c r="X1784" s="147">
        <v>4.65</v>
      </c>
      <c r="Y1784" s="147">
        <v>4.23</v>
      </c>
      <c r="Z1784" s="147">
        <v>4.406</v>
      </c>
      <c r="AA1784" s="59" cm="1">
        <f t="array" ref="AA1784">INDEX($BX$29:$BX$1449,MATCH($D1784,$BR$29:$BR$1449,0),)</f>
        <v>4</v>
      </c>
      <c r="AB1784" s="150">
        <f t="shared" si="536"/>
        <v>-0.00631483987370329</v>
      </c>
      <c r="AC1784" s="150">
        <f t="shared" si="537"/>
        <v>-0.0314354803253464</v>
      </c>
      <c r="AD1784" s="150">
        <f t="shared" si="540"/>
        <v>-0.050635638870933</v>
      </c>
      <c r="AE1784" s="89">
        <f t="shared" si="534"/>
        <v>0.1015</v>
      </c>
      <c r="AF1784" s="36"/>
      <c r="GF1784" s="104">
        <f t="shared" si="544"/>
        <v>2020</v>
      </c>
      <c r="GG1784" s="104">
        <f t="shared" si="545"/>
        <v>2</v>
      </c>
      <c r="GH1784" s="35">
        <v>43839</v>
      </c>
      <c r="GI1784" s="26">
        <v>1.616</v>
      </c>
      <c r="GJ1784" s="94">
        <f t="shared" si="546"/>
        <v>3.232</v>
      </c>
      <c r="GK1784" s="104"/>
      <c r="GL1784" s="104"/>
    </row>
    <row r="1785" spans="3:194">
      <c r="C1785" s="80" t="str" cm="1">
        <f t="array" ref="C1785">_xlfn.IFS(MONTH(D1785)&lt;4,1,MONTH(D1785)&lt;7,2,MONTH(D1785)&lt;10,3,MONTH(D1785)&gt;9,4)&amp;"Q"&amp;RIGHT(YEAR(D1785),2)</f>
        <v>1Q23</v>
      </c>
      <c r="D1785" s="81">
        <f t="shared" si="539"/>
        <v>45016</v>
      </c>
      <c r="E1785" s="82">
        <f t="shared" si="531"/>
        <v>44987</v>
      </c>
      <c r="F1785" s="83">
        <f t="shared" si="541"/>
        <v>0.2215</v>
      </c>
      <c r="G1785" s="83">
        <f t="shared" si="541"/>
        <v>0.22625</v>
      </c>
      <c r="H1785" s="81"/>
      <c r="I1785" s="146">
        <v>44987</v>
      </c>
      <c r="J1785" s="147">
        <v>1.9</v>
      </c>
      <c r="K1785" s="147">
        <v>1.64</v>
      </c>
      <c r="L1785" s="147">
        <v>1.772</v>
      </c>
      <c r="M1785" s="59" cm="1">
        <f t="array" ref="M1785">INDEX($BV$29:$BV$1449,MATCH($D1785,$BR$29:$BR$1449,0),)</f>
        <v>1.81</v>
      </c>
      <c r="N1785" s="150">
        <f t="shared" si="542"/>
        <v>-0.0078387458006719</v>
      </c>
      <c r="O1785" s="150">
        <f t="shared" si="543"/>
        <v>-0.0253025302530253</v>
      </c>
      <c r="P1785" s="150">
        <f t="shared" si="530"/>
        <v>-0.0258383727322704</v>
      </c>
      <c r="Q1785" s="89">
        <f t="shared" si="532"/>
        <v>-0.0209944751381216</v>
      </c>
      <c r="S1785" s="82">
        <f t="shared" si="533"/>
        <v>44987</v>
      </c>
      <c r="T1785" s="83">
        <f t="shared" si="535"/>
        <v>0.274</v>
      </c>
      <c r="U1785" s="83">
        <f t="shared" si="535"/>
        <v>0.25</v>
      </c>
      <c r="W1785" s="146">
        <v>44987</v>
      </c>
      <c r="X1785" s="147">
        <v>4.65</v>
      </c>
      <c r="Y1785" s="147">
        <v>4.23</v>
      </c>
      <c r="Z1785" s="147">
        <v>4.384</v>
      </c>
      <c r="AA1785" s="59" cm="1">
        <f t="array" ref="AA1785">INDEX($BX$29:$BX$1449,MATCH($D1785,$BR$29:$BR$1449,0),)</f>
        <v>4</v>
      </c>
      <c r="AB1785" s="150">
        <f t="shared" si="536"/>
        <v>-0.00499319110304119</v>
      </c>
      <c r="AC1785" s="150">
        <f t="shared" si="537"/>
        <v>-0.0315882482880494</v>
      </c>
      <c r="AD1785" s="150">
        <f t="shared" si="540"/>
        <v>-0.0531317494600431</v>
      </c>
      <c r="AE1785" s="89">
        <f t="shared" si="534"/>
        <v>0.0960000000000001</v>
      </c>
      <c r="AF1785" s="36"/>
      <c r="GF1785" s="104">
        <f t="shared" si="544"/>
        <v>2020</v>
      </c>
      <c r="GG1785" s="104">
        <f t="shared" si="545"/>
        <v>2</v>
      </c>
      <c r="GH1785" s="35">
        <v>43840</v>
      </c>
      <c r="GI1785" s="26">
        <v>1.616</v>
      </c>
      <c r="GJ1785" s="94">
        <f t="shared" si="546"/>
        <v>3.232</v>
      </c>
      <c r="GK1785" s="104"/>
      <c r="GL1785" s="104"/>
    </row>
    <row r="1786" spans="3:194">
      <c r="C1786" s="80" t="str" cm="1">
        <f t="array" ref="C1786">_xlfn.IFS(MONTH(D1786)&lt;4,1,MONTH(D1786)&lt;7,2,MONTH(D1786)&lt;10,3,MONTH(D1786)&gt;9,4)&amp;"Q"&amp;RIGHT(YEAR(D1786),2)</f>
        <v>1Q23</v>
      </c>
      <c r="D1786" s="81">
        <f t="shared" si="539"/>
        <v>45016</v>
      </c>
      <c r="E1786" s="82">
        <f t="shared" si="531"/>
        <v>44988</v>
      </c>
      <c r="F1786" s="83">
        <f t="shared" ref="F1786:G1801" si="547">+L1786/8</f>
        <v>0.220375</v>
      </c>
      <c r="G1786" s="83">
        <f t="shared" si="547"/>
        <v>0.22625</v>
      </c>
      <c r="H1786" s="81"/>
      <c r="I1786" s="146">
        <v>44988</v>
      </c>
      <c r="J1786" s="147">
        <v>1.9</v>
      </c>
      <c r="K1786" s="147">
        <v>1.64</v>
      </c>
      <c r="L1786" s="147">
        <v>1.763</v>
      </c>
      <c r="M1786" s="59" cm="1">
        <f t="array" ref="M1786">INDEX($BV$29:$BV$1449,MATCH($D1786,$BR$29:$BR$1449,0),)</f>
        <v>1.81</v>
      </c>
      <c r="N1786" s="150">
        <f t="shared" si="542"/>
        <v>-0.00507900677200912</v>
      </c>
      <c r="O1786" s="150">
        <f t="shared" si="543"/>
        <v>-0.0291850220264318</v>
      </c>
      <c r="P1786" s="150">
        <f t="shared" si="530"/>
        <v>-0.0307861462341946</v>
      </c>
      <c r="Q1786" s="89">
        <f t="shared" si="532"/>
        <v>-0.0259668508287294</v>
      </c>
      <c r="S1786" s="82">
        <f t="shared" si="533"/>
        <v>44988</v>
      </c>
      <c r="T1786" s="83">
        <f t="shared" si="535"/>
        <v>0.2728125</v>
      </c>
      <c r="U1786" s="83">
        <f t="shared" si="535"/>
        <v>0.25</v>
      </c>
      <c r="W1786" s="146">
        <v>44988</v>
      </c>
      <c r="X1786" s="147">
        <v>4.65</v>
      </c>
      <c r="Y1786" s="147">
        <v>4.23</v>
      </c>
      <c r="Z1786" s="147">
        <v>4.365</v>
      </c>
      <c r="AA1786" s="59" cm="1">
        <f t="array" ref="AA1786">INDEX($BX$29:$BX$1449,MATCH($D1786,$BR$29:$BR$1449,0),)</f>
        <v>4</v>
      </c>
      <c r="AB1786" s="150">
        <f t="shared" si="536"/>
        <v>-0.00433394160583944</v>
      </c>
      <c r="AC1786" s="150">
        <f t="shared" si="537"/>
        <v>-0.028921023359288</v>
      </c>
      <c r="AD1786" s="150">
        <f t="shared" si="540"/>
        <v>-0.056420233463035</v>
      </c>
      <c r="AE1786" s="89">
        <f t="shared" si="534"/>
        <v>0.0912500000000001</v>
      </c>
      <c r="AF1786" s="36"/>
      <c r="GF1786" s="104">
        <f t="shared" si="544"/>
        <v>2020</v>
      </c>
      <c r="GG1786" s="104">
        <f t="shared" si="545"/>
        <v>3</v>
      </c>
      <c r="GH1786" s="35">
        <v>43843</v>
      </c>
      <c r="GI1786" s="26">
        <v>1.623</v>
      </c>
      <c r="GJ1786" s="94">
        <f t="shared" si="546"/>
        <v>3.246</v>
      </c>
      <c r="GK1786" s="104"/>
      <c r="GL1786" s="104"/>
    </row>
    <row r="1787" spans="3:194">
      <c r="C1787" s="80" t="str" cm="1">
        <f t="array" ref="C1787">_xlfn.IFS(MONTH(D1787)&lt;4,1,MONTH(D1787)&lt;7,2,MONTH(D1787)&lt;10,3,MONTH(D1787)&gt;9,4)&amp;"Q"&amp;RIGHT(YEAR(D1787),2)</f>
        <v>1Q23</v>
      </c>
      <c r="D1787" s="81">
        <f t="shared" si="539"/>
        <v>45016</v>
      </c>
      <c r="E1787" s="82">
        <f t="shared" si="531"/>
        <v>44991</v>
      </c>
      <c r="F1787" s="83">
        <f t="shared" si="547"/>
        <v>0.218875</v>
      </c>
      <c r="G1787" s="83">
        <f t="shared" si="547"/>
        <v>0.22625</v>
      </c>
      <c r="H1787" s="81"/>
      <c r="I1787" s="146">
        <v>44991</v>
      </c>
      <c r="J1787" s="147">
        <v>1.9</v>
      </c>
      <c r="K1787" s="147">
        <v>1.64</v>
      </c>
      <c r="L1787" s="147">
        <v>1.751</v>
      </c>
      <c r="M1787" s="59" cm="1">
        <f t="array" ref="M1787">INDEX($BV$29:$BV$1449,MATCH($D1787,$BR$29:$BR$1449,0),)</f>
        <v>1.81</v>
      </c>
      <c r="N1787" s="150">
        <f t="shared" si="542"/>
        <v>-0.00680657969370391</v>
      </c>
      <c r="O1787" s="150">
        <f t="shared" si="543"/>
        <v>-0.0304540420819491</v>
      </c>
      <c r="P1787" s="150">
        <f t="shared" si="530"/>
        <v>-0.0373831775700935</v>
      </c>
      <c r="Q1787" s="89">
        <f t="shared" si="532"/>
        <v>-0.0325966850828731</v>
      </c>
      <c r="S1787" s="82">
        <f t="shared" si="533"/>
        <v>44991</v>
      </c>
      <c r="T1787" s="83">
        <f t="shared" si="535"/>
        <v>0.272125</v>
      </c>
      <c r="U1787" s="83">
        <f t="shared" si="535"/>
        <v>0.25</v>
      </c>
      <c r="W1787" s="146">
        <v>44991</v>
      </c>
      <c r="X1787" s="147">
        <v>4.65</v>
      </c>
      <c r="Y1787" s="147">
        <v>4.23</v>
      </c>
      <c r="Z1787" s="147">
        <v>4.354</v>
      </c>
      <c r="AA1787" s="59" cm="1">
        <f t="array" ref="AA1787">INDEX($BX$29:$BX$1449,MATCH($D1787,$BR$29:$BR$1449,0),)</f>
        <v>4</v>
      </c>
      <c r="AB1787" s="150">
        <f t="shared" si="536"/>
        <v>-0.00252004581901488</v>
      </c>
      <c r="AC1787" s="150">
        <f t="shared" si="537"/>
        <v>-0.0235478806907378</v>
      </c>
      <c r="AD1787" s="150">
        <f t="shared" si="540"/>
        <v>-0.0577797013633413</v>
      </c>
      <c r="AE1787" s="89">
        <f t="shared" si="534"/>
        <v>0.0885</v>
      </c>
      <c r="AF1787" s="36"/>
      <c r="GF1787" s="104">
        <f t="shared" si="544"/>
        <v>2020</v>
      </c>
      <c r="GG1787" s="104">
        <f t="shared" si="545"/>
        <v>3</v>
      </c>
      <c r="GH1787" s="35">
        <v>43844</v>
      </c>
      <c r="GI1787" s="26">
        <v>1.633</v>
      </c>
      <c r="GJ1787" s="94">
        <f t="shared" si="546"/>
        <v>3.266</v>
      </c>
      <c r="GK1787" s="104"/>
      <c r="GL1787" s="104"/>
    </row>
    <row r="1788" spans="3:194">
      <c r="C1788" s="80" t="str" cm="1">
        <f t="array" ref="C1788">_xlfn.IFS(MONTH(D1788)&lt;4,1,MONTH(D1788)&lt;7,2,MONTH(D1788)&lt;10,3,MONTH(D1788)&gt;9,4)&amp;"Q"&amp;RIGHT(YEAR(D1788),2)</f>
        <v>1Q23</v>
      </c>
      <c r="D1788" s="81">
        <f t="shared" si="539"/>
        <v>45016</v>
      </c>
      <c r="E1788" s="82">
        <f t="shared" si="531"/>
        <v>44992</v>
      </c>
      <c r="F1788" s="83">
        <f t="shared" si="547"/>
        <v>0.217625</v>
      </c>
      <c r="G1788" s="83">
        <f t="shared" si="547"/>
        <v>0.22625</v>
      </c>
      <c r="H1788" s="81"/>
      <c r="I1788" s="146">
        <v>44992</v>
      </c>
      <c r="J1788" s="147">
        <v>1.85</v>
      </c>
      <c r="K1788" s="147">
        <v>1.63</v>
      </c>
      <c r="L1788" s="147">
        <v>1.741</v>
      </c>
      <c r="M1788" s="59" cm="1">
        <f t="array" ref="M1788">INDEX($BV$29:$BV$1449,MATCH($D1788,$BR$29:$BR$1449,0),)</f>
        <v>1.81</v>
      </c>
      <c r="N1788" s="150">
        <f t="shared" si="542"/>
        <v>-0.0057110222729867</v>
      </c>
      <c r="O1788" s="150">
        <f t="shared" si="543"/>
        <v>-0.0359911406423034</v>
      </c>
      <c r="P1788" s="150">
        <f t="shared" si="530"/>
        <v>-0.0428807036833424</v>
      </c>
      <c r="Q1788" s="89">
        <f t="shared" si="532"/>
        <v>-0.038121546961326</v>
      </c>
      <c r="S1788" s="82">
        <f t="shared" si="533"/>
        <v>44992</v>
      </c>
      <c r="T1788" s="83">
        <f t="shared" si="535"/>
        <v>0.2695</v>
      </c>
      <c r="U1788" s="83">
        <f t="shared" si="535"/>
        <v>0.25</v>
      </c>
      <c r="W1788" s="146">
        <v>44992</v>
      </c>
      <c r="X1788" s="147">
        <v>4.5</v>
      </c>
      <c r="Y1788" s="147">
        <v>4.18</v>
      </c>
      <c r="Z1788" s="147">
        <v>4.312</v>
      </c>
      <c r="AA1788" s="59" cm="1">
        <f t="array" ref="AA1788">INDEX($BX$29:$BX$1449,MATCH($D1788,$BR$29:$BR$1449,0),)</f>
        <v>4</v>
      </c>
      <c r="AB1788" s="150">
        <f t="shared" si="536"/>
        <v>-0.00964630225080376</v>
      </c>
      <c r="AC1788" s="150">
        <f t="shared" si="537"/>
        <v>-0.0275146594497068</v>
      </c>
      <c r="AD1788" s="150">
        <f t="shared" si="540"/>
        <v>-0.060156931124673</v>
      </c>
      <c r="AE1788" s="89">
        <f t="shared" si="534"/>
        <v>0.0780000000000001</v>
      </c>
      <c r="AF1788" s="36"/>
      <c r="GF1788" s="104">
        <f t="shared" si="544"/>
        <v>2020</v>
      </c>
      <c r="GG1788" s="104">
        <f t="shared" si="545"/>
        <v>3</v>
      </c>
      <c r="GH1788" s="35">
        <v>43845</v>
      </c>
      <c r="GI1788" s="26">
        <v>1.645</v>
      </c>
      <c r="GJ1788" s="94">
        <f t="shared" si="546"/>
        <v>3.29</v>
      </c>
      <c r="GK1788" s="104"/>
      <c r="GL1788" s="104"/>
    </row>
    <row r="1789" spans="3:194">
      <c r="C1789" s="80" t="str" cm="1">
        <f t="array" ref="C1789">_xlfn.IFS(MONTH(D1789)&lt;4,1,MONTH(D1789)&lt;7,2,MONTH(D1789)&lt;10,3,MONTH(D1789)&gt;9,4)&amp;"Q"&amp;RIGHT(YEAR(D1789),2)</f>
        <v>1Q23</v>
      </c>
      <c r="D1789" s="81">
        <f t="shared" si="539"/>
        <v>45016</v>
      </c>
      <c r="E1789" s="82">
        <f t="shared" si="531"/>
        <v>44993</v>
      </c>
      <c r="F1789" s="83">
        <f t="shared" si="547"/>
        <v>0.21675</v>
      </c>
      <c r="G1789" s="83">
        <f t="shared" si="547"/>
        <v>0.22625</v>
      </c>
      <c r="H1789" s="81"/>
      <c r="I1789" s="146">
        <v>44993</v>
      </c>
      <c r="J1789" s="147">
        <v>1.85</v>
      </c>
      <c r="K1789" s="147">
        <v>1.63</v>
      </c>
      <c r="L1789" s="147">
        <v>1.734</v>
      </c>
      <c r="M1789" s="59" cm="1">
        <f t="array" ref="M1789">INDEX($BV$29:$BV$1449,MATCH($D1789,$BR$29:$BR$1449,0),)</f>
        <v>1.81</v>
      </c>
      <c r="N1789" s="150">
        <f t="shared" si="542"/>
        <v>-0.00402067777139581</v>
      </c>
      <c r="O1789" s="150">
        <f t="shared" si="543"/>
        <v>-0.0291153415453528</v>
      </c>
      <c r="P1789" s="150">
        <f t="shared" si="530"/>
        <v>-0.0462046204620462</v>
      </c>
      <c r="Q1789" s="89">
        <f t="shared" si="532"/>
        <v>-0.0419889502762432</v>
      </c>
      <c r="S1789" s="82">
        <f t="shared" si="533"/>
        <v>44993</v>
      </c>
      <c r="T1789" s="83">
        <f t="shared" si="535"/>
        <v>0.268625</v>
      </c>
      <c r="U1789" s="83">
        <f t="shared" si="535"/>
        <v>0.25</v>
      </c>
      <c r="W1789" s="146">
        <v>44993</v>
      </c>
      <c r="X1789" s="147">
        <v>4.45</v>
      </c>
      <c r="Y1789" s="147">
        <v>4.15</v>
      </c>
      <c r="Z1789" s="147">
        <v>4.298</v>
      </c>
      <c r="AA1789" s="59" cm="1">
        <f t="array" ref="AA1789">INDEX($BX$29:$BX$1449,MATCH($D1789,$BR$29:$BR$1449,0),)</f>
        <v>4</v>
      </c>
      <c r="AB1789" s="150">
        <f t="shared" si="536"/>
        <v>-0.00324675324675328</v>
      </c>
      <c r="AC1789" s="150">
        <f t="shared" si="537"/>
        <v>-0.0245120290512936</v>
      </c>
      <c r="AD1789" s="150">
        <f t="shared" si="540"/>
        <v>-0.0551769619696637</v>
      </c>
      <c r="AE1789" s="89">
        <f t="shared" si="534"/>
        <v>0.0745</v>
      </c>
      <c r="AF1789" s="36"/>
      <c r="GF1789" s="104">
        <f t="shared" si="544"/>
        <v>2020</v>
      </c>
      <c r="GG1789" s="104">
        <f t="shared" si="545"/>
        <v>3</v>
      </c>
      <c r="GH1789" s="35">
        <v>43846</v>
      </c>
      <c r="GI1789" s="26">
        <v>1.659</v>
      </c>
      <c r="GJ1789" s="94">
        <f t="shared" si="546"/>
        <v>3.318</v>
      </c>
      <c r="GK1789" s="104"/>
      <c r="GL1789" s="104"/>
    </row>
    <row r="1790" spans="3:194">
      <c r="C1790" s="80" t="str" cm="1">
        <f t="array" ref="C1790">_xlfn.IFS(MONTH(D1790)&lt;4,1,MONTH(D1790)&lt;7,2,MONTH(D1790)&lt;10,3,MONTH(D1790)&gt;9,4)&amp;"Q"&amp;RIGHT(YEAR(D1790),2)</f>
        <v>1Q23</v>
      </c>
      <c r="D1790" s="81">
        <f t="shared" si="539"/>
        <v>45016</v>
      </c>
      <c r="E1790" s="82">
        <f t="shared" si="531"/>
        <v>44994</v>
      </c>
      <c r="F1790" s="83">
        <f t="shared" si="547"/>
        <v>0.21575</v>
      </c>
      <c r="G1790" s="83">
        <f t="shared" si="547"/>
        <v>0.22625</v>
      </c>
      <c r="H1790" s="81"/>
      <c r="I1790" s="146">
        <v>44994</v>
      </c>
      <c r="J1790" s="147">
        <v>1.85</v>
      </c>
      <c r="K1790" s="147">
        <v>1.63</v>
      </c>
      <c r="L1790" s="147">
        <v>1.726</v>
      </c>
      <c r="M1790" s="59" cm="1">
        <f t="array" ref="M1790">INDEX($BV$29:$BV$1449,MATCH($D1790,$BR$29:$BR$1449,0),)</f>
        <v>1.81</v>
      </c>
      <c r="N1790" s="150">
        <f t="shared" si="542"/>
        <v>-0.00461361014994233</v>
      </c>
      <c r="O1790" s="150">
        <f t="shared" si="543"/>
        <v>-0.025959367945824</v>
      </c>
      <c r="P1790" s="150">
        <f t="shared" si="530"/>
        <v>-0.0506050605060506</v>
      </c>
      <c r="Q1790" s="89">
        <f t="shared" si="532"/>
        <v>-0.0464088397790056</v>
      </c>
      <c r="S1790" s="82">
        <f t="shared" si="533"/>
        <v>44994</v>
      </c>
      <c r="T1790" s="83">
        <f t="shared" si="535"/>
        <v>0.2664375</v>
      </c>
      <c r="U1790" s="83">
        <f t="shared" si="535"/>
        <v>0.25</v>
      </c>
      <c r="W1790" s="146">
        <v>44994</v>
      </c>
      <c r="X1790" s="147">
        <v>4.4</v>
      </c>
      <c r="Y1790" s="147">
        <v>4.15</v>
      </c>
      <c r="Z1790" s="147">
        <v>4.263</v>
      </c>
      <c r="AA1790" s="59" cm="1">
        <f t="array" ref="AA1790">INDEX($BX$29:$BX$1449,MATCH($D1790,$BR$29:$BR$1449,0),)</f>
        <v>4</v>
      </c>
      <c r="AB1790" s="150">
        <f t="shared" si="536"/>
        <v>-0.00814332247557004</v>
      </c>
      <c r="AC1790" s="150">
        <f t="shared" si="537"/>
        <v>-0.0276003649635037</v>
      </c>
      <c r="AD1790" s="150">
        <f t="shared" si="540"/>
        <v>-0.0583167660702453</v>
      </c>
      <c r="AE1790" s="89">
        <f t="shared" si="534"/>
        <v>0.06575</v>
      </c>
      <c r="AF1790" s="36"/>
      <c r="GF1790" s="104">
        <f t="shared" si="544"/>
        <v>2020</v>
      </c>
      <c r="GG1790" s="104">
        <f t="shared" si="545"/>
        <v>3</v>
      </c>
      <c r="GH1790" s="35">
        <v>43847</v>
      </c>
      <c r="GI1790" s="26">
        <v>1.693</v>
      </c>
      <c r="GJ1790" s="94">
        <f t="shared" si="546"/>
        <v>3.386</v>
      </c>
      <c r="GK1790" s="104"/>
      <c r="GL1790" s="104"/>
    </row>
    <row r="1791" spans="3:194">
      <c r="C1791" s="80" t="str" cm="1">
        <f t="array" ref="C1791">_xlfn.IFS(MONTH(D1791)&lt;4,1,MONTH(D1791)&lt;7,2,MONTH(D1791)&lt;10,3,MONTH(D1791)&gt;9,4)&amp;"Q"&amp;RIGHT(YEAR(D1791),2)</f>
        <v>1Q23</v>
      </c>
      <c r="D1791" s="81">
        <f t="shared" si="539"/>
        <v>45016</v>
      </c>
      <c r="E1791" s="82">
        <f t="shared" si="531"/>
        <v>44995</v>
      </c>
      <c r="F1791" s="83">
        <f t="shared" si="547"/>
        <v>0.215375</v>
      </c>
      <c r="G1791" s="83">
        <f t="shared" si="547"/>
        <v>0.22625</v>
      </c>
      <c r="H1791" s="81"/>
      <c r="I1791" s="146">
        <v>44995</v>
      </c>
      <c r="J1791" s="147">
        <v>1.85</v>
      </c>
      <c r="K1791" s="147">
        <v>1.63</v>
      </c>
      <c r="L1791" s="147">
        <v>1.723</v>
      </c>
      <c r="M1791" s="59" cm="1">
        <f t="array" ref="M1791">INDEX($BV$29:$BV$1449,MATCH($D1791,$BR$29:$BR$1449,0),)</f>
        <v>1.81</v>
      </c>
      <c r="N1791" s="150">
        <f t="shared" si="542"/>
        <v>-0.00173812282734642</v>
      </c>
      <c r="O1791" s="150">
        <f t="shared" si="543"/>
        <v>-0.022688598979013</v>
      </c>
      <c r="P1791" s="150">
        <f t="shared" si="530"/>
        <v>-0.0512114537444934</v>
      </c>
      <c r="Q1791" s="89">
        <f t="shared" si="532"/>
        <v>-0.0480662983425414</v>
      </c>
      <c r="S1791" s="82">
        <f t="shared" si="533"/>
        <v>44995</v>
      </c>
      <c r="T1791" s="83">
        <f t="shared" si="535"/>
        <v>0.2641875</v>
      </c>
      <c r="U1791" s="83">
        <f t="shared" si="535"/>
        <v>0.25</v>
      </c>
      <c r="W1791" s="146">
        <v>44995</v>
      </c>
      <c r="X1791" s="147">
        <v>4.35</v>
      </c>
      <c r="Y1791" s="147">
        <v>4.05</v>
      </c>
      <c r="Z1791" s="147">
        <v>4.227</v>
      </c>
      <c r="AA1791" s="59" cm="1">
        <f t="array" ref="AA1791">INDEX($BX$29:$BX$1449,MATCH($D1791,$BR$29:$BR$1449,0),)</f>
        <v>4</v>
      </c>
      <c r="AB1791" s="150">
        <f t="shared" si="536"/>
        <v>-0.00844475721323001</v>
      </c>
      <c r="AC1791" s="150">
        <f t="shared" si="537"/>
        <v>-0.0316151202749141</v>
      </c>
      <c r="AD1791" s="150">
        <f t="shared" si="540"/>
        <v>-0.0596218020022247</v>
      </c>
      <c r="AE1791" s="89">
        <f t="shared" si="534"/>
        <v>0.0567500000000001</v>
      </c>
      <c r="AF1791" s="36"/>
      <c r="GF1791" s="104">
        <f t="shared" si="544"/>
        <v>2020</v>
      </c>
      <c r="GG1791" s="104">
        <f t="shared" si="545"/>
        <v>4</v>
      </c>
      <c r="GH1791" s="35">
        <v>43850</v>
      </c>
      <c r="GI1791" s="26">
        <v>1.705</v>
      </c>
      <c r="GJ1791" s="94">
        <f t="shared" si="546"/>
        <v>3.41</v>
      </c>
      <c r="GK1791" s="104"/>
      <c r="GL1791" s="104"/>
    </row>
    <row r="1792" spans="3:194">
      <c r="C1792" s="80" t="str" cm="1">
        <f t="array" ref="C1792">_xlfn.IFS(MONTH(D1792)&lt;4,1,MONTH(D1792)&lt;7,2,MONTH(D1792)&lt;10,3,MONTH(D1792)&gt;9,4)&amp;"Q"&amp;RIGHT(YEAR(D1792),2)</f>
        <v>1Q23</v>
      </c>
      <c r="D1792" s="81">
        <f t="shared" si="539"/>
        <v>45016</v>
      </c>
      <c r="E1792" s="82">
        <f t="shared" si="531"/>
        <v>44998</v>
      </c>
      <c r="F1792" s="83">
        <f t="shared" si="547"/>
        <v>0.214625</v>
      </c>
      <c r="G1792" s="83">
        <f t="shared" si="547"/>
        <v>0.22625</v>
      </c>
      <c r="H1792" s="81"/>
      <c r="I1792" s="146">
        <v>44998</v>
      </c>
      <c r="J1792" s="147">
        <v>1.85</v>
      </c>
      <c r="K1792" s="147">
        <v>1.64</v>
      </c>
      <c r="L1792" s="147">
        <v>1.717</v>
      </c>
      <c r="M1792" s="59" cm="1">
        <f t="array" ref="M1792">INDEX($BV$29:$BV$1449,MATCH($D1792,$BR$29:$BR$1449,0),)</f>
        <v>1.81</v>
      </c>
      <c r="N1792" s="150">
        <f t="shared" si="542"/>
        <v>-0.00348229831688918</v>
      </c>
      <c r="O1792" s="150">
        <f t="shared" si="543"/>
        <v>-0.0194174757281552</v>
      </c>
      <c r="P1792" s="150">
        <f t="shared" si="530"/>
        <v>-0.0492801771871539</v>
      </c>
      <c r="Q1792" s="89">
        <f t="shared" si="532"/>
        <v>-0.0513812154696133</v>
      </c>
      <c r="S1792" s="82">
        <f t="shared" si="533"/>
        <v>44998</v>
      </c>
      <c r="T1792" s="83">
        <f t="shared" si="535"/>
        <v>0.26275</v>
      </c>
      <c r="U1792" s="83">
        <f t="shared" si="535"/>
        <v>0.25</v>
      </c>
      <c r="W1792" s="146">
        <v>44998</v>
      </c>
      <c r="X1792" s="147">
        <v>4.3</v>
      </c>
      <c r="Y1792" s="147">
        <v>4</v>
      </c>
      <c r="Z1792" s="147">
        <v>4.204</v>
      </c>
      <c r="AA1792" s="59" cm="1">
        <f t="array" ref="AA1792">INDEX($BX$29:$BX$1449,MATCH($D1792,$BR$29:$BR$1449,0),)</f>
        <v>4</v>
      </c>
      <c r="AB1792" s="150">
        <f t="shared" si="536"/>
        <v>-0.00544121126094166</v>
      </c>
      <c r="AC1792" s="150">
        <f t="shared" si="537"/>
        <v>-0.0344510794671568</v>
      </c>
      <c r="AD1792" s="150">
        <f t="shared" si="540"/>
        <v>-0.0571877102489348</v>
      </c>
      <c r="AE1792" s="89">
        <f t="shared" si="534"/>
        <v>0.0509999999999999</v>
      </c>
      <c r="AF1792" s="36"/>
      <c r="GF1792" s="104">
        <f t="shared" si="544"/>
        <v>2020</v>
      </c>
      <c r="GG1792" s="104">
        <f t="shared" si="545"/>
        <v>4</v>
      </c>
      <c r="GH1792" s="35">
        <v>43851</v>
      </c>
      <c r="GI1792" s="26">
        <v>1.729</v>
      </c>
      <c r="GJ1792" s="94">
        <f t="shared" si="546"/>
        <v>3.458</v>
      </c>
      <c r="GK1792" s="104"/>
      <c r="GL1792" s="104"/>
    </row>
    <row r="1793" spans="3:194">
      <c r="C1793" s="80" t="str" cm="1">
        <f t="array" ref="C1793">_xlfn.IFS(MONTH(D1793)&lt;4,1,MONTH(D1793)&lt;7,2,MONTH(D1793)&lt;10,3,MONTH(D1793)&gt;9,4)&amp;"Q"&amp;RIGHT(YEAR(D1793),2)</f>
        <v>1Q23</v>
      </c>
      <c r="D1793" s="81">
        <f t="shared" si="539"/>
        <v>45016</v>
      </c>
      <c r="E1793" s="82">
        <f t="shared" si="531"/>
        <v>44999</v>
      </c>
      <c r="F1793" s="83">
        <f t="shared" si="547"/>
        <v>0.214625</v>
      </c>
      <c r="G1793" s="83">
        <f t="shared" si="547"/>
        <v>0.22625</v>
      </c>
      <c r="H1793" s="81"/>
      <c r="I1793" s="146">
        <v>44999</v>
      </c>
      <c r="J1793" s="147">
        <v>1.82</v>
      </c>
      <c r="K1793" s="147">
        <v>1.64</v>
      </c>
      <c r="L1793" s="147">
        <v>1.717</v>
      </c>
      <c r="M1793" s="59" cm="1">
        <f t="array" ref="M1793">INDEX($BV$29:$BV$1449,MATCH($D1793,$BR$29:$BR$1449,0),)</f>
        <v>1.81</v>
      </c>
      <c r="N1793" s="150">
        <f t="shared" si="542"/>
        <v>0</v>
      </c>
      <c r="O1793" s="150">
        <f t="shared" si="543"/>
        <v>-0.0137851809304997</v>
      </c>
      <c r="P1793" s="150">
        <f t="shared" si="530"/>
        <v>-0.0492801771871539</v>
      </c>
      <c r="Q1793" s="89">
        <f t="shared" si="532"/>
        <v>-0.0513812154696133</v>
      </c>
      <c r="S1793" s="82">
        <f t="shared" si="533"/>
        <v>44999</v>
      </c>
      <c r="T1793" s="83">
        <f t="shared" si="535"/>
        <v>0.2621875</v>
      </c>
      <c r="U1793" s="83">
        <f t="shared" si="535"/>
        <v>0.25</v>
      </c>
      <c r="W1793" s="146">
        <v>44999</v>
      </c>
      <c r="X1793" s="147">
        <v>4.3</v>
      </c>
      <c r="Y1793" s="147">
        <v>4</v>
      </c>
      <c r="Z1793" s="147">
        <v>4.195</v>
      </c>
      <c r="AA1793" s="59" cm="1">
        <f t="array" ref="AA1793">INDEX($BX$29:$BX$1449,MATCH($D1793,$BR$29:$BR$1449,0),)</f>
        <v>4</v>
      </c>
      <c r="AB1793" s="150">
        <f t="shared" si="536"/>
        <v>-0.0021408182683158</v>
      </c>
      <c r="AC1793" s="150">
        <f t="shared" si="537"/>
        <v>-0.0271335807050093</v>
      </c>
      <c r="AD1793" s="150">
        <f t="shared" si="540"/>
        <v>-0.0539016689219666</v>
      </c>
      <c r="AE1793" s="89">
        <f t="shared" si="534"/>
        <v>0.0487500000000001</v>
      </c>
      <c r="AF1793" s="36"/>
      <c r="GF1793" s="104">
        <f t="shared" si="544"/>
        <v>2020</v>
      </c>
      <c r="GG1793" s="104">
        <f t="shared" si="545"/>
        <v>4</v>
      </c>
      <c r="GH1793" s="35">
        <v>43852</v>
      </c>
      <c r="GI1793" s="26">
        <v>1.736</v>
      </c>
      <c r="GJ1793" s="94">
        <f t="shared" si="546"/>
        <v>3.472</v>
      </c>
      <c r="GK1793" s="104"/>
      <c r="GL1793" s="104"/>
    </row>
    <row r="1794" spans="3:194">
      <c r="C1794" s="80" t="str" cm="1">
        <f t="array" ref="C1794">_xlfn.IFS(MONTH(D1794)&lt;4,1,MONTH(D1794)&lt;7,2,MONTH(D1794)&lt;10,3,MONTH(D1794)&gt;9,4)&amp;"Q"&amp;RIGHT(YEAR(D1794),2)</f>
        <v>1Q23</v>
      </c>
      <c r="D1794" s="81">
        <f t="shared" si="539"/>
        <v>45016</v>
      </c>
      <c r="E1794" s="82">
        <f t="shared" si="531"/>
        <v>45000</v>
      </c>
      <c r="F1794" s="83">
        <f t="shared" si="547"/>
        <v>0.21425</v>
      </c>
      <c r="G1794" s="83">
        <f t="shared" si="547"/>
        <v>0.22625</v>
      </c>
      <c r="H1794" s="81"/>
      <c r="I1794" s="146">
        <v>45000</v>
      </c>
      <c r="J1794" s="147">
        <v>1.82</v>
      </c>
      <c r="K1794" s="147">
        <v>1.64</v>
      </c>
      <c r="L1794" s="147">
        <v>1.714</v>
      </c>
      <c r="M1794" s="59" cm="1">
        <f t="array" ref="M1794">INDEX($BV$29:$BV$1449,MATCH($D1794,$BR$29:$BR$1449,0),)</f>
        <v>1.81</v>
      </c>
      <c r="N1794" s="150">
        <f t="shared" si="542"/>
        <v>-0.00174723354688422</v>
      </c>
      <c r="O1794" s="150">
        <f t="shared" si="543"/>
        <v>-0.0115340253748558</v>
      </c>
      <c r="P1794" s="150">
        <f t="shared" si="530"/>
        <v>-0.040313549832027</v>
      </c>
      <c r="Q1794" s="89">
        <f t="shared" si="532"/>
        <v>-0.0530386740331492</v>
      </c>
      <c r="S1794" s="82">
        <f t="shared" si="533"/>
        <v>45000</v>
      </c>
      <c r="T1794" s="83">
        <f t="shared" si="535"/>
        <v>0.26175</v>
      </c>
      <c r="U1794" s="83">
        <f t="shared" si="535"/>
        <v>0.25</v>
      </c>
      <c r="W1794" s="146">
        <v>45000</v>
      </c>
      <c r="X1794" s="147">
        <v>4.3</v>
      </c>
      <c r="Y1794" s="147">
        <v>4</v>
      </c>
      <c r="Z1794" s="147">
        <v>4.188</v>
      </c>
      <c r="AA1794" s="59" cm="1">
        <f t="array" ref="AA1794">INDEX($BX$29:$BX$1449,MATCH($D1794,$BR$29:$BR$1449,0),)</f>
        <v>4</v>
      </c>
      <c r="AB1794" s="150">
        <f t="shared" si="536"/>
        <v>-0.00166865315852216</v>
      </c>
      <c r="AC1794" s="150">
        <f t="shared" si="537"/>
        <v>-0.0255932992089345</v>
      </c>
      <c r="AD1794" s="150">
        <f t="shared" si="540"/>
        <v>-0.0494779845665002</v>
      </c>
      <c r="AE1794" s="89">
        <f t="shared" si="534"/>
        <v>0.0469999999999999</v>
      </c>
      <c r="AF1794" s="36"/>
      <c r="GF1794" s="104">
        <f t="shared" si="544"/>
        <v>2020</v>
      </c>
      <c r="GG1794" s="104">
        <f t="shared" si="545"/>
        <v>5</v>
      </c>
      <c r="GH1794" s="35">
        <v>43860</v>
      </c>
      <c r="GI1794" s="26">
        <v>1.743</v>
      </c>
      <c r="GJ1794" s="94">
        <f t="shared" si="546"/>
        <v>3.486</v>
      </c>
      <c r="GK1794" s="104"/>
      <c r="GL1794" s="104"/>
    </row>
    <row r="1795" spans="3:194">
      <c r="C1795" s="80" t="str" cm="1">
        <f t="array" ref="C1795">_xlfn.IFS(MONTH(D1795)&lt;4,1,MONTH(D1795)&lt;7,2,MONTH(D1795)&lt;10,3,MONTH(D1795)&gt;9,4)&amp;"Q"&amp;RIGHT(YEAR(D1795),2)</f>
        <v>1Q23</v>
      </c>
      <c r="D1795" s="81">
        <f t="shared" si="539"/>
        <v>45016</v>
      </c>
      <c r="E1795" s="82">
        <f t="shared" si="531"/>
        <v>45001</v>
      </c>
      <c r="F1795" s="83">
        <f t="shared" si="547"/>
        <v>0.213625</v>
      </c>
      <c r="G1795" s="83">
        <f t="shared" si="547"/>
        <v>0.22625</v>
      </c>
      <c r="H1795" s="81"/>
      <c r="I1795" s="146">
        <v>45001</v>
      </c>
      <c r="J1795" s="147">
        <v>1.82</v>
      </c>
      <c r="K1795" s="147">
        <v>1.63</v>
      </c>
      <c r="L1795" s="147">
        <v>1.709</v>
      </c>
      <c r="M1795" s="59" cm="1">
        <f t="array" ref="M1795">INDEX($BV$29:$BV$1449,MATCH($D1795,$BR$29:$BR$1449,0),)</f>
        <v>1.81</v>
      </c>
      <c r="N1795" s="150">
        <f t="shared" si="542"/>
        <v>-0.00291715285880978</v>
      </c>
      <c r="O1795" s="150">
        <f t="shared" si="543"/>
        <v>-0.00984936268829661</v>
      </c>
      <c r="P1795" s="150">
        <f t="shared" si="530"/>
        <v>-0.0355530474040632</v>
      </c>
      <c r="Q1795" s="89">
        <f t="shared" si="532"/>
        <v>-0.0558011049723757</v>
      </c>
      <c r="S1795" s="82">
        <f t="shared" si="533"/>
        <v>45001</v>
      </c>
      <c r="T1795" s="83">
        <f t="shared" si="535"/>
        <v>0.261625</v>
      </c>
      <c r="U1795" s="83">
        <f t="shared" si="535"/>
        <v>0.25</v>
      </c>
      <c r="W1795" s="146">
        <v>45001</v>
      </c>
      <c r="X1795" s="147">
        <v>4.3</v>
      </c>
      <c r="Y1795" s="147">
        <v>3.98</v>
      </c>
      <c r="Z1795" s="147">
        <v>4.186</v>
      </c>
      <c r="AA1795" s="59" cm="1">
        <f t="array" ref="AA1795">INDEX($BX$29:$BX$1449,MATCH($D1795,$BR$29:$BR$1449,0),)</f>
        <v>4</v>
      </c>
      <c r="AB1795" s="150">
        <f t="shared" si="536"/>
        <v>-0.000477554918815626</v>
      </c>
      <c r="AC1795" s="150">
        <f t="shared" si="537"/>
        <v>-0.0180623973727422</v>
      </c>
      <c r="AD1795" s="150">
        <f t="shared" si="540"/>
        <v>-0.0451642335766425</v>
      </c>
      <c r="AE1795" s="89">
        <f t="shared" si="534"/>
        <v>0.0465</v>
      </c>
      <c r="AF1795" s="36"/>
      <c r="GF1795" s="104">
        <f t="shared" si="544"/>
        <v>2020</v>
      </c>
      <c r="GG1795" s="104">
        <f t="shared" si="545"/>
        <v>5</v>
      </c>
      <c r="GH1795" s="35">
        <v>43861</v>
      </c>
      <c r="GI1795" s="26">
        <v>1.748</v>
      </c>
      <c r="GJ1795" s="94">
        <f t="shared" si="546"/>
        <v>3.496</v>
      </c>
      <c r="GK1795" s="104"/>
      <c r="GL1795" s="104"/>
    </row>
    <row r="1796" spans="3:194">
      <c r="C1796" s="80" t="str" cm="1">
        <f t="array" ref="C1796">_xlfn.IFS(MONTH(D1796)&lt;4,1,MONTH(D1796)&lt;7,2,MONTH(D1796)&lt;10,3,MONTH(D1796)&gt;9,4)&amp;"Q"&amp;RIGHT(YEAR(D1796),2)</f>
        <v>1Q23</v>
      </c>
      <c r="D1796" s="81">
        <f t="shared" si="539"/>
        <v>45016</v>
      </c>
      <c r="E1796" s="82">
        <f t="shared" si="531"/>
        <v>45002</v>
      </c>
      <c r="F1796" s="83">
        <f t="shared" si="547"/>
        <v>0.212875</v>
      </c>
      <c r="G1796" s="83">
        <f t="shared" si="547"/>
        <v>0.22625</v>
      </c>
      <c r="H1796" s="81"/>
      <c r="I1796" s="146">
        <v>45002</v>
      </c>
      <c r="J1796" s="147">
        <v>1.82</v>
      </c>
      <c r="K1796" s="147">
        <v>1.63</v>
      </c>
      <c r="L1796" s="147">
        <v>1.703</v>
      </c>
      <c r="M1796" s="59" cm="1">
        <f t="array" ref="M1796">INDEX($BV$29:$BV$1449,MATCH($D1796,$BR$29:$BR$1449,0),)</f>
        <v>1.81</v>
      </c>
      <c r="N1796" s="150">
        <f t="shared" si="542"/>
        <v>-0.00351082504388534</v>
      </c>
      <c r="O1796" s="150">
        <f t="shared" si="543"/>
        <v>-0.0116076610562972</v>
      </c>
      <c r="P1796" s="150">
        <f t="shared" si="530"/>
        <v>-0.0340328984685194</v>
      </c>
      <c r="Q1796" s="89">
        <f t="shared" si="532"/>
        <v>-0.0591160220994476</v>
      </c>
      <c r="S1796" s="82">
        <f t="shared" si="533"/>
        <v>45002</v>
      </c>
      <c r="T1796" s="83">
        <f t="shared" si="535"/>
        <v>0.26</v>
      </c>
      <c r="U1796" s="83">
        <f t="shared" si="535"/>
        <v>0.25</v>
      </c>
      <c r="W1796" s="146">
        <v>45002</v>
      </c>
      <c r="X1796" s="147">
        <v>4.3</v>
      </c>
      <c r="Y1796" s="147">
        <v>3.97</v>
      </c>
      <c r="Z1796" s="147">
        <v>4.16</v>
      </c>
      <c r="AA1796" s="59" cm="1">
        <f t="array" ref="AA1796">INDEX($BX$29:$BX$1449,MATCH($D1796,$BR$29:$BR$1449,0),)</f>
        <v>4</v>
      </c>
      <c r="AB1796" s="150">
        <f t="shared" si="536"/>
        <v>-0.0062111801242235</v>
      </c>
      <c r="AC1796" s="150">
        <f t="shared" si="537"/>
        <v>-0.0158504849775255</v>
      </c>
      <c r="AD1796" s="150">
        <f t="shared" si="540"/>
        <v>-0.0469644902634594</v>
      </c>
      <c r="AE1796" s="89">
        <f t="shared" si="534"/>
        <v>0.04</v>
      </c>
      <c r="AF1796" s="36"/>
      <c r="GF1796" s="104">
        <f t="shared" si="544"/>
        <v>2020</v>
      </c>
      <c r="GG1796" s="104">
        <f t="shared" si="545"/>
        <v>6</v>
      </c>
      <c r="GH1796" s="35">
        <v>43864</v>
      </c>
      <c r="GI1796" s="26">
        <v>1.755</v>
      </c>
      <c r="GJ1796" s="94">
        <f t="shared" si="546"/>
        <v>3.51</v>
      </c>
      <c r="GK1796" s="104"/>
      <c r="GL1796" s="104"/>
    </row>
    <row r="1797" spans="3:194">
      <c r="C1797" s="80" t="str" cm="1">
        <f t="array" ref="C1797">_xlfn.IFS(MONTH(D1797)&lt;4,1,MONTH(D1797)&lt;7,2,MONTH(D1797)&lt;10,3,MONTH(D1797)&gt;9,4)&amp;"Q"&amp;RIGHT(YEAR(D1797),2)</f>
        <v>1Q23</v>
      </c>
      <c r="D1797" s="81">
        <f t="shared" si="539"/>
        <v>45016</v>
      </c>
      <c r="E1797" s="82">
        <f t="shared" si="531"/>
        <v>45005</v>
      </c>
      <c r="F1797" s="83">
        <f t="shared" si="547"/>
        <v>0.212375</v>
      </c>
      <c r="G1797" s="83">
        <f t="shared" si="547"/>
        <v>0.22625</v>
      </c>
      <c r="H1797" s="81"/>
      <c r="I1797" s="146">
        <v>45005</v>
      </c>
      <c r="J1797" s="147">
        <v>1.8</v>
      </c>
      <c r="K1797" s="147">
        <v>1.62</v>
      </c>
      <c r="L1797" s="147">
        <v>1.699</v>
      </c>
      <c r="M1797" s="59" cm="1">
        <f t="array" ref="M1797">INDEX($BV$29:$BV$1449,MATCH($D1797,$BR$29:$BR$1449,0),)</f>
        <v>1.81</v>
      </c>
      <c r="N1797" s="150">
        <f t="shared" si="542"/>
        <v>-0.00234879624192597</v>
      </c>
      <c r="O1797" s="150">
        <f t="shared" si="543"/>
        <v>-0.0104834012813046</v>
      </c>
      <c r="P1797" s="150">
        <f t="shared" si="530"/>
        <v>-0.0296973158195316</v>
      </c>
      <c r="Q1797" s="89">
        <f t="shared" si="532"/>
        <v>-0.0613259668508287</v>
      </c>
      <c r="S1797" s="82">
        <f t="shared" si="533"/>
        <v>45005</v>
      </c>
      <c r="T1797" s="83">
        <f t="shared" si="535"/>
        <v>0.25925</v>
      </c>
      <c r="U1797" s="83">
        <f t="shared" si="535"/>
        <v>0.25</v>
      </c>
      <c r="W1797" s="146">
        <v>45005</v>
      </c>
      <c r="X1797" s="147">
        <v>4.28</v>
      </c>
      <c r="Y1797" s="147">
        <v>3.96</v>
      </c>
      <c r="Z1797" s="147">
        <v>4.148</v>
      </c>
      <c r="AA1797" s="59" cm="1">
        <f t="array" ref="AA1797">INDEX($BX$29:$BX$1449,MATCH($D1797,$BR$29:$BR$1449,0),)</f>
        <v>4</v>
      </c>
      <c r="AB1797" s="150">
        <f t="shared" si="536"/>
        <v>-0.00288461538461549</v>
      </c>
      <c r="AC1797" s="150">
        <f t="shared" si="537"/>
        <v>-0.0133206470028544</v>
      </c>
      <c r="AD1797" s="150">
        <f t="shared" si="540"/>
        <v>-0.0473128158015619</v>
      </c>
      <c r="AE1797" s="89">
        <f t="shared" si="534"/>
        <v>0.0369999999999999</v>
      </c>
      <c r="AF1797" s="36"/>
      <c r="GF1797" s="104">
        <f t="shared" si="544"/>
        <v>2020</v>
      </c>
      <c r="GG1797" s="104">
        <f t="shared" si="545"/>
        <v>6</v>
      </c>
      <c r="GH1797" s="35">
        <v>43865</v>
      </c>
      <c r="GI1797" s="26">
        <v>1.768</v>
      </c>
      <c r="GJ1797" s="94">
        <f t="shared" si="546"/>
        <v>3.536</v>
      </c>
      <c r="GK1797" s="104"/>
      <c r="GL1797" s="104"/>
    </row>
    <row r="1798" spans="3:194">
      <c r="C1798" s="80" t="str" cm="1">
        <f t="array" ref="C1798">_xlfn.IFS(MONTH(D1798)&lt;4,1,MONTH(D1798)&lt;7,2,MONTH(D1798)&lt;10,3,MONTH(D1798)&gt;9,4)&amp;"Q"&amp;RIGHT(YEAR(D1798),2)</f>
        <v>1Q23</v>
      </c>
      <c r="D1798" s="81">
        <f t="shared" si="539"/>
        <v>45016</v>
      </c>
      <c r="E1798" s="82">
        <f t="shared" si="531"/>
        <v>45006</v>
      </c>
      <c r="F1798" s="83">
        <f t="shared" si="547"/>
        <v>0.211625</v>
      </c>
      <c r="G1798" s="83">
        <f t="shared" si="547"/>
        <v>0.22625</v>
      </c>
      <c r="H1798" s="81"/>
      <c r="I1798" s="146">
        <v>45006</v>
      </c>
      <c r="J1798" s="147">
        <v>1.8</v>
      </c>
      <c r="K1798" s="147">
        <v>1.62</v>
      </c>
      <c r="L1798" s="147">
        <v>1.693</v>
      </c>
      <c r="M1798" s="59" cm="1">
        <f t="array" ref="M1798">INDEX($BV$29:$BV$1449,MATCH($D1798,$BR$29:$BR$1449,0),)</f>
        <v>1.81</v>
      </c>
      <c r="N1798" s="150">
        <f t="shared" si="542"/>
        <v>-0.0035314891112419</v>
      </c>
      <c r="O1798" s="150">
        <f t="shared" si="543"/>
        <v>-0.0139778683750729</v>
      </c>
      <c r="P1798" s="150">
        <f t="shared" si="530"/>
        <v>-0.0275703618609995</v>
      </c>
      <c r="Q1798" s="89">
        <f t="shared" si="532"/>
        <v>-0.0646408839779006</v>
      </c>
      <c r="S1798" s="82">
        <f t="shared" si="533"/>
        <v>45006</v>
      </c>
      <c r="T1798" s="83">
        <f t="shared" si="535"/>
        <v>0.2588125</v>
      </c>
      <c r="U1798" s="83">
        <f t="shared" si="535"/>
        <v>0.25</v>
      </c>
      <c r="W1798" s="146">
        <v>45006</v>
      </c>
      <c r="X1798" s="147">
        <v>4.28</v>
      </c>
      <c r="Y1798" s="147">
        <v>3.95</v>
      </c>
      <c r="Z1798" s="147">
        <v>4.141</v>
      </c>
      <c r="AA1798" s="59" cm="1">
        <f t="array" ref="AA1798">INDEX($BX$29:$BX$1449,MATCH($D1798,$BR$29:$BR$1449,0),)</f>
        <v>4</v>
      </c>
      <c r="AB1798" s="150">
        <f t="shared" si="536"/>
        <v>-0.0016875602700096</v>
      </c>
      <c r="AC1798" s="150">
        <f t="shared" si="537"/>
        <v>-0.0128724672228845</v>
      </c>
      <c r="AD1798" s="150">
        <f t="shared" si="540"/>
        <v>-0.039656771799629</v>
      </c>
      <c r="AE1798" s="89">
        <f t="shared" si="534"/>
        <v>0.03525</v>
      </c>
      <c r="AF1798" s="36"/>
      <c r="GF1798" s="104">
        <f t="shared" si="544"/>
        <v>2020</v>
      </c>
      <c r="GG1798" s="104">
        <f t="shared" si="545"/>
        <v>6</v>
      </c>
      <c r="GH1798" s="35">
        <v>43866</v>
      </c>
      <c r="GI1798" s="26">
        <v>1.769</v>
      </c>
      <c r="GJ1798" s="94">
        <f t="shared" si="546"/>
        <v>3.538</v>
      </c>
      <c r="GK1798" s="104"/>
      <c r="GL1798" s="104"/>
    </row>
    <row r="1799" spans="3:194">
      <c r="C1799" s="80" t="str" cm="1">
        <f t="array" ref="C1799">_xlfn.IFS(MONTH(D1799)&lt;4,1,MONTH(D1799)&lt;7,2,MONTH(D1799)&lt;10,3,MONTH(D1799)&gt;9,4)&amp;"Q"&amp;RIGHT(YEAR(D1799),2)</f>
        <v>1Q23</v>
      </c>
      <c r="D1799" s="81">
        <f t="shared" si="539"/>
        <v>45016</v>
      </c>
      <c r="E1799" s="82">
        <f t="shared" si="531"/>
        <v>45007</v>
      </c>
      <c r="F1799" s="83">
        <f t="shared" si="547"/>
        <v>0.211375</v>
      </c>
      <c r="G1799" s="83">
        <f t="shared" si="547"/>
        <v>0.22625</v>
      </c>
      <c r="H1799" s="81"/>
      <c r="I1799" s="146">
        <v>45007</v>
      </c>
      <c r="J1799" s="147">
        <v>1.8</v>
      </c>
      <c r="K1799" s="147">
        <v>1.62</v>
      </c>
      <c r="L1799" s="147">
        <v>1.691</v>
      </c>
      <c r="M1799" s="59" cm="1">
        <f t="array" ref="M1799">INDEX($BV$29:$BV$1449,MATCH($D1799,$BR$29:$BR$1449,0),)</f>
        <v>1.81</v>
      </c>
      <c r="N1799" s="150">
        <f t="shared" si="542"/>
        <v>-0.00118133490844652</v>
      </c>
      <c r="O1799" s="150">
        <f t="shared" si="543"/>
        <v>-0.0134189031505251</v>
      </c>
      <c r="P1799" s="150">
        <f t="shared" si="530"/>
        <v>-0.02479815455594</v>
      </c>
      <c r="Q1799" s="89">
        <f t="shared" si="532"/>
        <v>-0.0657458563535912</v>
      </c>
      <c r="S1799" s="82">
        <f t="shared" si="533"/>
        <v>45007</v>
      </c>
      <c r="T1799" s="83">
        <f t="shared" si="535"/>
        <v>0.258125</v>
      </c>
      <c r="U1799" s="83">
        <f t="shared" si="535"/>
        <v>0.25</v>
      </c>
      <c r="W1799" s="146">
        <v>45007</v>
      </c>
      <c r="X1799" s="147">
        <v>4.28</v>
      </c>
      <c r="Y1799" s="147">
        <v>3.95</v>
      </c>
      <c r="Z1799" s="147">
        <v>4.13</v>
      </c>
      <c r="AA1799" s="59" cm="1">
        <f t="array" ref="AA1799">INDEX($BX$29:$BX$1449,MATCH($D1799,$BR$29:$BR$1449,0),)</f>
        <v>4</v>
      </c>
      <c r="AB1799" s="150">
        <f t="shared" si="536"/>
        <v>-0.00265636319729534</v>
      </c>
      <c r="AC1799" s="150">
        <f t="shared" si="537"/>
        <v>-0.0138490926456543</v>
      </c>
      <c r="AD1799" s="150">
        <f t="shared" si="540"/>
        <v>-0.0390879478827362</v>
      </c>
      <c r="AE1799" s="89">
        <f t="shared" si="534"/>
        <v>0.0325</v>
      </c>
      <c r="AF1799" s="36"/>
      <c r="GF1799" s="104">
        <f t="shared" si="544"/>
        <v>2020</v>
      </c>
      <c r="GG1799" s="104">
        <f t="shared" si="545"/>
        <v>6</v>
      </c>
      <c r="GH1799" s="35">
        <v>43867</v>
      </c>
      <c r="GI1799" s="26">
        <v>1.771</v>
      </c>
      <c r="GJ1799" s="94">
        <f t="shared" si="546"/>
        <v>3.542</v>
      </c>
      <c r="GK1799" s="104"/>
      <c r="GL1799" s="104"/>
    </row>
    <row r="1800" spans="3:194">
      <c r="C1800" s="80" t="str" cm="1">
        <f t="array" ref="C1800">_xlfn.IFS(MONTH(D1800)&lt;4,1,MONTH(D1800)&lt;7,2,MONTH(D1800)&lt;10,3,MONTH(D1800)&gt;9,4)&amp;"Q"&amp;RIGHT(YEAR(D1800),2)</f>
        <v>1Q23</v>
      </c>
      <c r="D1800" s="81">
        <f t="shared" si="539"/>
        <v>45016</v>
      </c>
      <c r="E1800" s="82">
        <f t="shared" si="531"/>
        <v>45008</v>
      </c>
      <c r="F1800" s="83">
        <f t="shared" si="547"/>
        <v>0.211375</v>
      </c>
      <c r="G1800" s="83">
        <f t="shared" si="547"/>
        <v>0.22625</v>
      </c>
      <c r="H1800" s="81"/>
      <c r="I1800" s="146">
        <v>45008</v>
      </c>
      <c r="J1800" s="147">
        <v>1.8</v>
      </c>
      <c r="K1800" s="147">
        <v>1.62</v>
      </c>
      <c r="L1800" s="147">
        <v>1.691</v>
      </c>
      <c r="M1800" s="59" cm="1">
        <f t="array" ref="M1800">INDEX($BV$29:$BV$1449,MATCH($D1800,$BR$29:$BR$1449,0),)</f>
        <v>1.81</v>
      </c>
      <c r="N1800" s="150">
        <f t="shared" si="542"/>
        <v>0</v>
      </c>
      <c r="O1800" s="150">
        <f t="shared" si="543"/>
        <v>-0.0105324751316559</v>
      </c>
      <c r="P1800" s="150">
        <f t="shared" si="530"/>
        <v>-0.0202780996523754</v>
      </c>
      <c r="Q1800" s="89">
        <f t="shared" si="532"/>
        <v>-0.0657458563535912</v>
      </c>
      <c r="S1800" s="82">
        <f t="shared" si="533"/>
        <v>45008</v>
      </c>
      <c r="T1800" s="83">
        <f t="shared" si="535"/>
        <v>0.2574375</v>
      </c>
      <c r="U1800" s="83">
        <f t="shared" si="535"/>
        <v>0.25</v>
      </c>
      <c r="W1800" s="146">
        <v>45008</v>
      </c>
      <c r="X1800" s="147">
        <v>4.27</v>
      </c>
      <c r="Y1800" s="147">
        <v>3.95</v>
      </c>
      <c r="Z1800" s="147">
        <v>4.119</v>
      </c>
      <c r="AA1800" s="59" cm="1">
        <f t="array" ref="AA1800">INDEX($BX$29:$BX$1449,MATCH($D1800,$BR$29:$BR$1449,0),)</f>
        <v>4</v>
      </c>
      <c r="AB1800" s="150">
        <f t="shared" si="536"/>
        <v>-0.0026634382566586</v>
      </c>
      <c r="AC1800" s="150">
        <f t="shared" si="537"/>
        <v>-0.0160057333970378</v>
      </c>
      <c r="AD1800" s="150">
        <f t="shared" si="540"/>
        <v>-0.0337790288529205</v>
      </c>
      <c r="AE1800" s="89">
        <f t="shared" si="534"/>
        <v>0.0297499999999999</v>
      </c>
      <c r="AF1800" s="36"/>
      <c r="GF1800" s="104">
        <f t="shared" si="544"/>
        <v>2020</v>
      </c>
      <c r="GG1800" s="104">
        <f t="shared" si="545"/>
        <v>6</v>
      </c>
      <c r="GH1800" s="35">
        <v>43868</v>
      </c>
      <c r="GI1800" s="26">
        <v>1.773</v>
      </c>
      <c r="GJ1800" s="94">
        <f t="shared" si="546"/>
        <v>3.546</v>
      </c>
      <c r="GK1800" s="104"/>
      <c r="GL1800" s="104"/>
    </row>
    <row r="1801" spans="3:194">
      <c r="C1801" s="80" t="str" cm="1">
        <f t="array" ref="C1801">_xlfn.IFS(MONTH(D1801)&lt;4,1,MONTH(D1801)&lt;7,2,MONTH(D1801)&lt;10,3,MONTH(D1801)&gt;9,4)&amp;"Q"&amp;RIGHT(YEAR(D1801),2)</f>
        <v>1Q23</v>
      </c>
      <c r="D1801" s="81">
        <f t="shared" si="539"/>
        <v>45016</v>
      </c>
      <c r="E1801" s="82">
        <f t="shared" si="531"/>
        <v>45009</v>
      </c>
      <c r="F1801" s="83">
        <f t="shared" si="547"/>
        <v>0.21075</v>
      </c>
      <c r="G1801" s="83">
        <f t="shared" si="547"/>
        <v>0.22625</v>
      </c>
      <c r="H1801" s="81"/>
      <c r="I1801" s="146">
        <v>45009</v>
      </c>
      <c r="J1801" s="147">
        <v>1.8</v>
      </c>
      <c r="K1801" s="147">
        <v>1.62</v>
      </c>
      <c r="L1801" s="147">
        <v>1.686</v>
      </c>
      <c r="M1801" s="59" cm="1">
        <f t="array" ref="M1801">INDEX($BV$29:$BV$1449,MATCH($D1801,$BR$29:$BR$1449,0),)</f>
        <v>1.81</v>
      </c>
      <c r="N1801" s="150">
        <f t="shared" si="542"/>
        <v>-0.00295683027794214</v>
      </c>
      <c r="O1801" s="150">
        <f t="shared" si="543"/>
        <v>-0.00998238402818563</v>
      </c>
      <c r="P1801" s="150">
        <f t="shared" si="530"/>
        <v>-0.0214741729541498</v>
      </c>
      <c r="Q1801" s="89">
        <f t="shared" si="532"/>
        <v>-0.0685082872928178</v>
      </c>
      <c r="S1801" s="82">
        <f t="shared" si="533"/>
        <v>45009</v>
      </c>
      <c r="T1801" s="83">
        <f t="shared" si="535"/>
        <v>0.257125</v>
      </c>
      <c r="U1801" s="83">
        <f t="shared" si="535"/>
        <v>0.25</v>
      </c>
      <c r="W1801" s="146">
        <v>45009</v>
      </c>
      <c r="X1801" s="147">
        <v>4.27</v>
      </c>
      <c r="Y1801" s="147">
        <v>3.95</v>
      </c>
      <c r="Z1801" s="147">
        <v>4.114</v>
      </c>
      <c r="AA1801" s="59" cm="1">
        <f t="array" ref="AA1801">INDEX($BX$29:$BX$1449,MATCH($D1801,$BR$29:$BR$1449,0),)</f>
        <v>4</v>
      </c>
      <c r="AB1801" s="150">
        <f t="shared" si="536"/>
        <v>-0.00121388686574408</v>
      </c>
      <c r="AC1801" s="150">
        <f t="shared" si="537"/>
        <v>-0.0110576923076924</v>
      </c>
      <c r="AD1801" s="150">
        <f t="shared" si="540"/>
        <v>-0.0267329074994087</v>
      </c>
      <c r="AE1801" s="89">
        <f t="shared" si="534"/>
        <v>0.0285</v>
      </c>
      <c r="AF1801" s="36"/>
      <c r="GF1801" s="104">
        <f t="shared" si="544"/>
        <v>2020</v>
      </c>
      <c r="GG1801" s="104">
        <f t="shared" si="545"/>
        <v>7</v>
      </c>
      <c r="GH1801" s="35">
        <v>43871</v>
      </c>
      <c r="GI1801" s="26">
        <v>1.77</v>
      </c>
      <c r="GJ1801" s="94">
        <f t="shared" si="546"/>
        <v>3.54</v>
      </c>
      <c r="GK1801" s="104"/>
      <c r="GL1801" s="104"/>
    </row>
    <row r="1802" spans="3:194">
      <c r="C1802" s="80" t="str" cm="1">
        <f t="array" ref="C1802">_xlfn.IFS(MONTH(D1802)&lt;4,1,MONTH(D1802)&lt;7,2,MONTH(D1802)&lt;10,3,MONTH(D1802)&gt;9,4)&amp;"Q"&amp;RIGHT(YEAR(D1802),2)</f>
        <v>1Q23</v>
      </c>
      <c r="D1802" s="81">
        <f t="shared" si="539"/>
        <v>45016</v>
      </c>
      <c r="E1802" s="82">
        <f t="shared" si="531"/>
        <v>45012</v>
      </c>
      <c r="F1802" s="83">
        <f t="shared" ref="F1802:G1817" si="548">+L1802/8</f>
        <v>0.209625</v>
      </c>
      <c r="G1802" s="83">
        <f t="shared" si="548"/>
        <v>0.22625</v>
      </c>
      <c r="H1802" s="81"/>
      <c r="I1802" s="146">
        <v>45012</v>
      </c>
      <c r="J1802" s="147">
        <v>1.8</v>
      </c>
      <c r="K1802" s="147">
        <v>1.6</v>
      </c>
      <c r="L1802" s="147">
        <v>1.677</v>
      </c>
      <c r="M1802" s="59" cm="1">
        <f t="array" ref="M1802">INDEX($BV$29:$BV$1449,MATCH($D1802,$BR$29:$BR$1449,0),)</f>
        <v>1.81</v>
      </c>
      <c r="N1802" s="150">
        <f t="shared" si="542"/>
        <v>-0.00533807829181487</v>
      </c>
      <c r="O1802" s="150">
        <f t="shared" si="543"/>
        <v>-0.012948793407887</v>
      </c>
      <c r="P1802" s="150">
        <f t="shared" si="530"/>
        <v>-0.023296447291788</v>
      </c>
      <c r="Q1802" s="89">
        <f t="shared" si="532"/>
        <v>-0.0734806629834254</v>
      </c>
      <c r="S1802" s="82">
        <f t="shared" si="533"/>
        <v>45012</v>
      </c>
      <c r="T1802" s="83">
        <f t="shared" si="535"/>
        <v>0.257125</v>
      </c>
      <c r="U1802" s="83">
        <f t="shared" si="535"/>
        <v>0.25</v>
      </c>
      <c r="W1802" s="146">
        <v>45012</v>
      </c>
      <c r="X1802" s="147">
        <v>4.25</v>
      </c>
      <c r="Y1802" s="147">
        <v>3.94</v>
      </c>
      <c r="Z1802" s="147">
        <v>4.114</v>
      </c>
      <c r="AA1802" s="59" cm="1">
        <f t="array" ref="AA1802">INDEX($BX$29:$BX$1449,MATCH($D1802,$BR$29:$BR$1449,0),)</f>
        <v>4</v>
      </c>
      <c r="AB1802" s="150">
        <f t="shared" si="536"/>
        <v>0</v>
      </c>
      <c r="AC1802" s="150">
        <f t="shared" si="537"/>
        <v>-0.00819672131147542</v>
      </c>
      <c r="AD1802" s="150">
        <f t="shared" si="540"/>
        <v>-0.0214081826831589</v>
      </c>
      <c r="AE1802" s="89">
        <f t="shared" si="534"/>
        <v>0.0285</v>
      </c>
      <c r="AF1802" s="36"/>
      <c r="GF1802" s="104">
        <f t="shared" si="544"/>
        <v>2020</v>
      </c>
      <c r="GG1802" s="104">
        <f t="shared" si="545"/>
        <v>7</v>
      </c>
      <c r="GH1802" s="35">
        <v>43872</v>
      </c>
      <c r="GI1802" s="26">
        <v>1.775</v>
      </c>
      <c r="GJ1802" s="94">
        <f t="shared" si="546"/>
        <v>3.55</v>
      </c>
      <c r="GK1802" s="104"/>
      <c r="GL1802" s="104"/>
    </row>
    <row r="1803" spans="3:194">
      <c r="C1803" s="80" t="str" cm="1">
        <f t="array" ref="C1803">_xlfn.IFS(MONTH(D1803)&lt;4,1,MONTH(D1803)&lt;7,2,MONTH(D1803)&lt;10,3,MONTH(D1803)&gt;9,4)&amp;"Q"&amp;RIGHT(YEAR(D1803),2)</f>
        <v>1Q23</v>
      </c>
      <c r="D1803" s="81">
        <f t="shared" si="539"/>
        <v>45016</v>
      </c>
      <c r="E1803" s="82">
        <f t="shared" si="531"/>
        <v>45013</v>
      </c>
      <c r="F1803" s="83">
        <f t="shared" si="548"/>
        <v>0.20925</v>
      </c>
      <c r="G1803" s="83">
        <f t="shared" si="548"/>
        <v>0.22625</v>
      </c>
      <c r="H1803" s="81"/>
      <c r="I1803" s="146">
        <v>45013</v>
      </c>
      <c r="J1803" s="147">
        <v>1.8</v>
      </c>
      <c r="K1803" s="147">
        <v>1.6</v>
      </c>
      <c r="L1803" s="147">
        <v>1.674</v>
      </c>
      <c r="M1803" s="59" cm="1">
        <f t="array" ref="M1803">INDEX($BV$29:$BV$1449,MATCH($D1803,$BR$29:$BR$1449,0),)</f>
        <v>1.81</v>
      </c>
      <c r="N1803" s="150">
        <f t="shared" si="542"/>
        <v>-0.00178890876565307</v>
      </c>
      <c r="O1803" s="150">
        <f t="shared" si="543"/>
        <v>-0.0112226816302422</v>
      </c>
      <c r="P1803" s="150">
        <f t="shared" si="530"/>
        <v>-0.0250436808386721</v>
      </c>
      <c r="Q1803" s="89">
        <f t="shared" si="532"/>
        <v>-0.0751381215469614</v>
      </c>
      <c r="S1803" s="82">
        <f t="shared" si="533"/>
        <v>45013</v>
      </c>
      <c r="T1803" s="83">
        <f t="shared" si="535"/>
        <v>0.2543125</v>
      </c>
      <c r="U1803" s="83">
        <f t="shared" si="535"/>
        <v>0.25</v>
      </c>
      <c r="W1803" s="146">
        <v>45013</v>
      </c>
      <c r="X1803" s="147">
        <v>4.2</v>
      </c>
      <c r="Y1803" s="147">
        <v>3.9</v>
      </c>
      <c r="Z1803" s="147">
        <v>4.069</v>
      </c>
      <c r="AA1803" s="59" cm="1">
        <f t="array" ref="AA1803">INDEX($BX$29:$BX$1449,MATCH($D1803,$BR$29:$BR$1449,0),)</f>
        <v>4</v>
      </c>
      <c r="AB1803" s="150">
        <f t="shared" si="536"/>
        <v>-0.0109382596013612</v>
      </c>
      <c r="AC1803" s="150">
        <f t="shared" si="537"/>
        <v>-0.017387104564115</v>
      </c>
      <c r="AD1803" s="150">
        <f t="shared" si="540"/>
        <v>-0.030035756853397</v>
      </c>
      <c r="AE1803" s="89">
        <f t="shared" si="534"/>
        <v>0.01725</v>
      </c>
      <c r="AF1803" s="36"/>
      <c r="GF1803" s="104">
        <f t="shared" si="544"/>
        <v>2020</v>
      </c>
      <c r="GG1803" s="104">
        <f t="shared" si="545"/>
        <v>7</v>
      </c>
      <c r="GH1803" s="35">
        <v>43873</v>
      </c>
      <c r="GI1803" s="26">
        <v>1.775</v>
      </c>
      <c r="GJ1803" s="94">
        <f t="shared" si="546"/>
        <v>3.55</v>
      </c>
      <c r="GK1803" s="104"/>
      <c r="GL1803" s="104"/>
    </row>
    <row r="1804" spans="3:194">
      <c r="C1804" s="80" t="str" cm="1">
        <f t="array" ref="C1804">_xlfn.IFS(MONTH(D1804)&lt;4,1,MONTH(D1804)&lt;7,2,MONTH(D1804)&lt;10,3,MONTH(D1804)&gt;9,4)&amp;"Q"&amp;RIGHT(YEAR(D1804),2)</f>
        <v>1Q23</v>
      </c>
      <c r="D1804" s="81">
        <f t="shared" si="539"/>
        <v>45016</v>
      </c>
      <c r="E1804" s="82">
        <f t="shared" si="531"/>
        <v>45014</v>
      </c>
      <c r="F1804" s="83">
        <f t="shared" si="548"/>
        <v>0.20925</v>
      </c>
      <c r="G1804" s="83">
        <f t="shared" si="548"/>
        <v>0.22625</v>
      </c>
      <c r="H1804" s="81"/>
      <c r="I1804" s="146">
        <v>45014</v>
      </c>
      <c r="J1804" s="147">
        <v>1.8</v>
      </c>
      <c r="K1804" s="147">
        <v>1.6</v>
      </c>
      <c r="L1804" s="147">
        <v>1.674</v>
      </c>
      <c r="M1804" s="59" cm="1">
        <f t="array" ref="M1804">INDEX($BV$29:$BV$1449,MATCH($D1804,$BR$29:$BR$1449,0),)</f>
        <v>1.81</v>
      </c>
      <c r="N1804" s="150">
        <f t="shared" si="542"/>
        <v>0</v>
      </c>
      <c r="O1804" s="150">
        <f t="shared" si="543"/>
        <v>-0.010053222945003</v>
      </c>
      <c r="P1804" s="150">
        <f t="shared" si="530"/>
        <v>-0.0233372228704785</v>
      </c>
      <c r="Q1804" s="89">
        <f t="shared" si="532"/>
        <v>-0.0751381215469614</v>
      </c>
      <c r="S1804" s="82">
        <f t="shared" si="533"/>
        <v>45014</v>
      </c>
      <c r="T1804" s="83">
        <f t="shared" si="535"/>
        <v>0.25275</v>
      </c>
      <c r="U1804" s="83">
        <f t="shared" si="535"/>
        <v>0.25</v>
      </c>
      <c r="W1804" s="146">
        <v>45014</v>
      </c>
      <c r="X1804" s="147">
        <v>4.2</v>
      </c>
      <c r="Y1804" s="147">
        <v>3.9</v>
      </c>
      <c r="Z1804" s="147">
        <v>4.044</v>
      </c>
      <c r="AA1804" s="59" cm="1">
        <f t="array" ref="AA1804">INDEX($BX$29:$BX$1449,MATCH($D1804,$BR$29:$BR$1449,0),)</f>
        <v>4</v>
      </c>
      <c r="AB1804" s="150">
        <f t="shared" si="536"/>
        <v>-0.0061440157286804</v>
      </c>
      <c r="AC1804" s="150">
        <f t="shared" si="537"/>
        <v>-0.0208232445520582</v>
      </c>
      <c r="AD1804" s="150">
        <f t="shared" si="540"/>
        <v>-0.0343839541547278</v>
      </c>
      <c r="AE1804" s="89">
        <f t="shared" si="534"/>
        <v>0.0109999999999999</v>
      </c>
      <c r="AF1804" s="36"/>
      <c r="GF1804" s="104">
        <f t="shared" si="544"/>
        <v>2020</v>
      </c>
      <c r="GG1804" s="104">
        <f t="shared" si="545"/>
        <v>7</v>
      </c>
      <c r="GH1804" s="35">
        <v>43874</v>
      </c>
      <c r="GI1804" s="26">
        <v>1.775</v>
      </c>
      <c r="GJ1804" s="94">
        <f t="shared" si="546"/>
        <v>3.55</v>
      </c>
      <c r="GK1804" s="104"/>
      <c r="GL1804" s="104"/>
    </row>
    <row r="1805" spans="3:194">
      <c r="C1805" s="80" t="str" cm="1">
        <f t="array" ref="C1805">_xlfn.IFS(MONTH(D1805)&lt;4,1,MONTH(D1805)&lt;7,2,MONTH(D1805)&lt;10,3,MONTH(D1805)&gt;9,4)&amp;"Q"&amp;RIGHT(YEAR(D1805),2)</f>
        <v>1Q23</v>
      </c>
      <c r="D1805" s="81">
        <f t="shared" si="539"/>
        <v>45016</v>
      </c>
      <c r="E1805" s="82">
        <f t="shared" si="531"/>
        <v>45015</v>
      </c>
      <c r="F1805" s="83">
        <f t="shared" si="548"/>
        <v>0.207875</v>
      </c>
      <c r="G1805" s="83">
        <f t="shared" si="548"/>
        <v>0.22625</v>
      </c>
      <c r="H1805" s="81"/>
      <c r="I1805" s="146">
        <v>45015</v>
      </c>
      <c r="J1805" s="147">
        <v>1.78</v>
      </c>
      <c r="K1805" s="147">
        <v>1.6</v>
      </c>
      <c r="L1805" s="147">
        <v>1.663</v>
      </c>
      <c r="M1805" s="59" cm="1">
        <f t="array" ref="M1805">INDEX($BV$29:$BV$1449,MATCH($D1805,$BR$29:$BR$1449,0),)</f>
        <v>1.81</v>
      </c>
      <c r="N1805" s="150">
        <f t="shared" si="542"/>
        <v>-0.00657108721624844</v>
      </c>
      <c r="O1805" s="150">
        <f t="shared" si="543"/>
        <v>-0.0165582495564754</v>
      </c>
      <c r="P1805" s="150">
        <f t="shared" si="530"/>
        <v>-0.0269163253364541</v>
      </c>
      <c r="Q1805" s="89">
        <f t="shared" si="532"/>
        <v>-0.0812154696132596</v>
      </c>
      <c r="S1805" s="82">
        <f t="shared" si="533"/>
        <v>45015</v>
      </c>
      <c r="T1805" s="83">
        <f t="shared" si="535"/>
        <v>0.249625</v>
      </c>
      <c r="U1805" s="83">
        <f t="shared" si="535"/>
        <v>0.25</v>
      </c>
      <c r="W1805" s="146">
        <v>45015</v>
      </c>
      <c r="X1805" s="147">
        <v>4.15</v>
      </c>
      <c r="Y1805" s="147">
        <v>3.85</v>
      </c>
      <c r="Z1805" s="147">
        <v>3.994</v>
      </c>
      <c r="AA1805" s="59" cm="1">
        <f t="array" ref="AA1805">INDEX($BX$29:$BX$1449,MATCH($D1805,$BR$29:$BR$1449,0),)</f>
        <v>4</v>
      </c>
      <c r="AB1805" s="150">
        <f t="shared" si="536"/>
        <v>-0.0123639960435211</v>
      </c>
      <c r="AC1805" s="150">
        <f t="shared" si="537"/>
        <v>-0.0303471716436027</v>
      </c>
      <c r="AD1805" s="150">
        <f t="shared" si="540"/>
        <v>-0.0458671763019588</v>
      </c>
      <c r="AE1805" s="89">
        <f t="shared" si="534"/>
        <v>-0.00149999999999995</v>
      </c>
      <c r="AF1805" s="36"/>
      <c r="GF1805" s="104">
        <f t="shared" si="544"/>
        <v>2020</v>
      </c>
      <c r="GG1805" s="104">
        <f t="shared" si="545"/>
        <v>7</v>
      </c>
      <c r="GH1805" s="35">
        <v>43875</v>
      </c>
      <c r="GI1805" s="26">
        <v>1.769</v>
      </c>
      <c r="GJ1805" s="94">
        <f t="shared" si="546"/>
        <v>3.538</v>
      </c>
      <c r="GK1805" s="104"/>
      <c r="GL1805" s="104"/>
    </row>
    <row r="1806" spans="3:194">
      <c r="C1806" s="80" t="str" cm="1">
        <f t="array" ref="C1806">_xlfn.IFS(MONTH(D1806)&lt;4,1,MONTH(D1806)&lt;7,2,MONTH(D1806)&lt;10,3,MONTH(D1806)&gt;9,4)&amp;"Q"&amp;RIGHT(YEAR(D1806),2)</f>
        <v>1Q23</v>
      </c>
      <c r="D1806" s="81">
        <f t="shared" si="539"/>
        <v>45016</v>
      </c>
      <c r="E1806" s="82">
        <f t="shared" si="531"/>
        <v>45016</v>
      </c>
      <c r="F1806" s="83">
        <f t="shared" si="548"/>
        <v>0.207</v>
      </c>
      <c r="G1806" s="83">
        <f t="shared" si="548"/>
        <v>0.22625</v>
      </c>
      <c r="H1806" s="81"/>
      <c r="I1806" s="146">
        <v>45016</v>
      </c>
      <c r="J1806" s="147">
        <v>1.75</v>
      </c>
      <c r="K1806" s="147">
        <v>1.6</v>
      </c>
      <c r="L1806" s="147">
        <v>1.656</v>
      </c>
      <c r="M1806" s="59" cm="1">
        <f t="array" ref="M1806">INDEX($BV$29:$BV$1449,MATCH($D1806,$BR$29:$BR$1449,0),)</f>
        <v>1.81</v>
      </c>
      <c r="N1806" s="150">
        <f t="shared" si="542"/>
        <v>-0.00420926037282032</v>
      </c>
      <c r="O1806" s="150">
        <f t="shared" si="543"/>
        <v>-0.0177935943060499</v>
      </c>
      <c r="P1806" s="150">
        <f t="shared" si="530"/>
        <v>-0.0275983558426307</v>
      </c>
      <c r="Q1806" s="89">
        <f t="shared" si="532"/>
        <v>-0.0850828729281768</v>
      </c>
      <c r="S1806" s="82">
        <f t="shared" si="533"/>
        <v>45016</v>
      </c>
      <c r="T1806" s="83">
        <f t="shared" si="535"/>
        <v>0.2476875</v>
      </c>
      <c r="U1806" s="83">
        <f t="shared" si="535"/>
        <v>0.25</v>
      </c>
      <c r="W1806" s="146">
        <v>45016</v>
      </c>
      <c r="X1806" s="147">
        <v>4.15</v>
      </c>
      <c r="Y1806" s="147">
        <v>3.83</v>
      </c>
      <c r="Z1806" s="147">
        <v>3.963</v>
      </c>
      <c r="AA1806" s="59" cm="1">
        <f t="array" ref="AA1806">INDEX($BX$29:$BX$1449,MATCH($D1806,$BR$29:$BR$1449,0),)</f>
        <v>4</v>
      </c>
      <c r="AB1806" s="150">
        <f t="shared" si="536"/>
        <v>-0.00776164246369559</v>
      </c>
      <c r="AC1806" s="150">
        <f t="shared" si="537"/>
        <v>-0.0367039377734565</v>
      </c>
      <c r="AD1806" s="150">
        <f t="shared" si="540"/>
        <v>-0.0473557692307692</v>
      </c>
      <c r="AE1806" s="89">
        <f t="shared" si="534"/>
        <v>-0.00924999999999998</v>
      </c>
      <c r="AF1806" s="36"/>
      <c r="GF1806" s="104">
        <f t="shared" si="544"/>
        <v>2020</v>
      </c>
      <c r="GG1806" s="104">
        <f t="shared" si="545"/>
        <v>8</v>
      </c>
      <c r="GH1806" s="35">
        <v>43878</v>
      </c>
      <c r="GI1806" s="26">
        <v>1.769</v>
      </c>
      <c r="GJ1806" s="94">
        <f t="shared" si="546"/>
        <v>3.538</v>
      </c>
      <c r="GK1806" s="104"/>
      <c r="GL1806" s="104"/>
    </row>
    <row r="1807" spans="3:194">
      <c r="C1807" s="80" t="str" cm="1">
        <f t="array" ref="C1807">_xlfn.IFS(MONTH(D1807)&lt;4,1,MONTH(D1807)&lt;7,2,MONTH(D1807)&lt;10,3,MONTH(D1807)&gt;9,4)&amp;"Q"&amp;RIGHT(YEAR(D1807),2)</f>
        <v>2Q23</v>
      </c>
      <c r="D1807" s="81">
        <f t="shared" si="539"/>
        <v>45046</v>
      </c>
      <c r="E1807" s="82">
        <f t="shared" si="531"/>
        <v>45019</v>
      </c>
      <c r="F1807" s="83">
        <f t="shared" si="548"/>
        <v>0.207</v>
      </c>
      <c r="G1807" s="83">
        <f t="shared" si="548"/>
        <v>0.18125</v>
      </c>
      <c r="H1807" s="81"/>
      <c r="I1807" s="146">
        <v>45019</v>
      </c>
      <c r="J1807" s="147">
        <v>1.75</v>
      </c>
      <c r="K1807" s="147">
        <v>1.6</v>
      </c>
      <c r="L1807" s="147">
        <v>1.656</v>
      </c>
      <c r="M1807" s="59" cm="1">
        <f t="array" ref="M1807">INDEX($BV$29:$BV$1449,MATCH($D1807,$BR$29:$BR$1449,0),)</f>
        <v>1.45</v>
      </c>
      <c r="N1807" s="150">
        <f t="shared" si="542"/>
        <v>0</v>
      </c>
      <c r="O1807" s="150">
        <f t="shared" si="543"/>
        <v>-0.0125223613595707</v>
      </c>
      <c r="P1807" s="150">
        <f t="shared" ref="P1807:P1870" si="549">L1807/L1797-1</f>
        <v>-0.0253090052972338</v>
      </c>
      <c r="Q1807" s="89">
        <f t="shared" si="532"/>
        <v>0.142068965517241</v>
      </c>
      <c r="S1807" s="82">
        <f t="shared" si="533"/>
        <v>45019</v>
      </c>
      <c r="T1807" s="83">
        <f t="shared" si="535"/>
        <v>0.2475</v>
      </c>
      <c r="U1807" s="83">
        <f t="shared" si="535"/>
        <v>0.198125</v>
      </c>
      <c r="W1807" s="146">
        <v>45019</v>
      </c>
      <c r="X1807" s="147">
        <v>4.15</v>
      </c>
      <c r="Y1807" s="147">
        <v>3.83</v>
      </c>
      <c r="Z1807" s="147">
        <v>3.96</v>
      </c>
      <c r="AA1807" s="59" cm="1">
        <f t="array" ref="AA1807">INDEX($BX$29:$BX$1449,MATCH($D1807,$BR$29:$BR$1449,0),)</f>
        <v>3.17</v>
      </c>
      <c r="AB1807" s="150">
        <f t="shared" si="536"/>
        <v>-0.000757002271006835</v>
      </c>
      <c r="AC1807" s="150">
        <f t="shared" si="537"/>
        <v>-0.0374331550802138</v>
      </c>
      <c r="AD1807" s="150">
        <f t="shared" si="540"/>
        <v>-0.0453230472516875</v>
      </c>
      <c r="AE1807" s="89">
        <f t="shared" si="534"/>
        <v>0.249211356466877</v>
      </c>
      <c r="AF1807" s="36"/>
      <c r="GF1807" s="104">
        <f t="shared" si="544"/>
        <v>2020</v>
      </c>
      <c r="GG1807" s="104">
        <f t="shared" si="545"/>
        <v>8</v>
      </c>
      <c r="GH1807" s="35">
        <v>43879</v>
      </c>
      <c r="GI1807" s="26">
        <v>1.764</v>
      </c>
      <c r="GJ1807" s="94">
        <f t="shared" si="546"/>
        <v>3.528</v>
      </c>
      <c r="GK1807" s="104"/>
      <c r="GL1807" s="104"/>
    </row>
    <row r="1808" spans="3:194">
      <c r="C1808" s="80" t="str" cm="1">
        <f t="array" ref="C1808">_xlfn.IFS(MONTH(D1808)&lt;4,1,MONTH(D1808)&lt;7,2,MONTH(D1808)&lt;10,3,MONTH(D1808)&gt;9,4)&amp;"Q"&amp;RIGHT(YEAR(D1808),2)</f>
        <v>2Q23</v>
      </c>
      <c r="D1808" s="81">
        <f t="shared" si="539"/>
        <v>45046</v>
      </c>
      <c r="E1808" s="82">
        <f t="shared" si="531"/>
        <v>45020</v>
      </c>
      <c r="F1808" s="83">
        <f t="shared" si="548"/>
        <v>0.206625</v>
      </c>
      <c r="G1808" s="83">
        <f t="shared" si="548"/>
        <v>0.18125</v>
      </c>
      <c r="H1808" s="81"/>
      <c r="I1808" s="146">
        <v>45020</v>
      </c>
      <c r="J1808" s="147">
        <v>1.75</v>
      </c>
      <c r="K1808" s="147">
        <v>1.6</v>
      </c>
      <c r="L1808" s="147">
        <v>1.653</v>
      </c>
      <c r="M1808" s="59" cm="1">
        <f t="array" ref="M1808">INDEX($BV$29:$BV$1449,MATCH($D1808,$BR$29:$BR$1449,0),)</f>
        <v>1.45</v>
      </c>
      <c r="N1808" s="150">
        <f t="shared" si="542"/>
        <v>-0.00181159420289845</v>
      </c>
      <c r="O1808" s="150">
        <f t="shared" si="543"/>
        <v>-0.0125448028673835</v>
      </c>
      <c r="P1808" s="150">
        <f t="shared" si="549"/>
        <v>-0.0236266981689309</v>
      </c>
      <c r="Q1808" s="89">
        <f t="shared" si="532"/>
        <v>0.14</v>
      </c>
      <c r="S1808" s="82">
        <f t="shared" si="533"/>
        <v>45020</v>
      </c>
      <c r="T1808" s="83">
        <f t="shared" si="535"/>
        <v>0.246875</v>
      </c>
      <c r="U1808" s="83">
        <f t="shared" si="535"/>
        <v>0.198125</v>
      </c>
      <c r="W1808" s="146">
        <v>45020</v>
      </c>
      <c r="X1808" s="147">
        <v>4.15</v>
      </c>
      <c r="Y1808" s="147">
        <v>3.83</v>
      </c>
      <c r="Z1808" s="147">
        <v>3.95</v>
      </c>
      <c r="AA1808" s="59" cm="1">
        <f t="array" ref="AA1808">INDEX($BX$29:$BX$1449,MATCH($D1808,$BR$29:$BR$1449,0),)</f>
        <v>3.17</v>
      </c>
      <c r="AB1808" s="150">
        <f t="shared" si="536"/>
        <v>-0.00252525252525249</v>
      </c>
      <c r="AC1808" s="150">
        <f t="shared" si="537"/>
        <v>-0.029245514868518</v>
      </c>
      <c r="AD1808" s="150">
        <f t="shared" si="540"/>
        <v>-0.0461241246075826</v>
      </c>
      <c r="AE1808" s="89">
        <f t="shared" si="534"/>
        <v>0.246056782334385</v>
      </c>
      <c r="AF1808" s="36"/>
      <c r="GF1808" s="104">
        <f t="shared" si="544"/>
        <v>2020</v>
      </c>
      <c r="GG1808" s="104">
        <f t="shared" si="545"/>
        <v>8</v>
      </c>
      <c r="GH1808" s="35">
        <v>43880</v>
      </c>
      <c r="GI1808" s="26">
        <v>1.752</v>
      </c>
      <c r="GJ1808" s="94">
        <f t="shared" si="546"/>
        <v>3.504</v>
      </c>
      <c r="GK1808" s="104"/>
      <c r="GL1808" s="104"/>
    </row>
    <row r="1809" spans="3:194">
      <c r="C1809" s="80" t="str" cm="1">
        <f t="array" ref="C1809">_xlfn.IFS(MONTH(D1809)&lt;4,1,MONTH(D1809)&lt;7,2,MONTH(D1809)&lt;10,3,MONTH(D1809)&gt;9,4)&amp;"Q"&amp;RIGHT(YEAR(D1809),2)</f>
        <v>2Q23</v>
      </c>
      <c r="D1809" s="81">
        <f t="shared" si="539"/>
        <v>45046</v>
      </c>
      <c r="E1809" s="82">
        <f t="shared" ref="E1809:E1872" si="550">I1809</f>
        <v>45022</v>
      </c>
      <c r="F1809" s="83">
        <f t="shared" si="548"/>
        <v>0.20625</v>
      </c>
      <c r="G1809" s="83">
        <f t="shared" si="548"/>
        <v>0.18125</v>
      </c>
      <c r="H1809" s="81"/>
      <c r="I1809" s="146">
        <v>45022</v>
      </c>
      <c r="J1809" s="147">
        <v>1.75</v>
      </c>
      <c r="K1809" s="147">
        <v>1.6</v>
      </c>
      <c r="L1809" s="147">
        <v>1.65</v>
      </c>
      <c r="M1809" s="59" cm="1">
        <f t="array" ref="M1809">INDEX($BV$29:$BV$1449,MATCH($D1809,$BR$29:$BR$1449,0),)</f>
        <v>1.45</v>
      </c>
      <c r="N1809" s="150">
        <f t="shared" si="542"/>
        <v>-0.001814882032668</v>
      </c>
      <c r="O1809" s="150">
        <f t="shared" si="543"/>
        <v>-0.014336917562724</v>
      </c>
      <c r="P1809" s="150">
        <f t="shared" si="549"/>
        <v>-0.0242460082791248</v>
      </c>
      <c r="Q1809" s="89">
        <f t="shared" ref="Q1809:Q1872" si="551">L1809/M1809-1</f>
        <v>0.137931034482759</v>
      </c>
      <c r="S1809" s="82">
        <f t="shared" si="533"/>
        <v>45022</v>
      </c>
      <c r="T1809" s="83">
        <f t="shared" si="535"/>
        <v>0.24525</v>
      </c>
      <c r="U1809" s="83">
        <f t="shared" si="535"/>
        <v>0.198125</v>
      </c>
      <c r="W1809" s="146">
        <v>45022</v>
      </c>
      <c r="X1809" s="147">
        <v>4.1</v>
      </c>
      <c r="Y1809" s="147">
        <v>3.82</v>
      </c>
      <c r="Z1809" s="147">
        <v>3.924</v>
      </c>
      <c r="AA1809" s="59" cm="1">
        <f t="array" ref="AA1809">INDEX($BX$29:$BX$1449,MATCH($D1809,$BR$29:$BR$1449,0),)</f>
        <v>3.17</v>
      </c>
      <c r="AB1809" s="150">
        <f t="shared" si="536"/>
        <v>-0.00658227848101267</v>
      </c>
      <c r="AC1809" s="150">
        <f t="shared" si="537"/>
        <v>-0.029673590504451</v>
      </c>
      <c r="AD1809" s="150">
        <f t="shared" si="540"/>
        <v>-0.0498789346246973</v>
      </c>
      <c r="AE1809" s="89">
        <f t="shared" si="534"/>
        <v>0.237854889589905</v>
      </c>
      <c r="AF1809" s="36"/>
      <c r="GF1809" s="104">
        <f t="shared" si="544"/>
        <v>2020</v>
      </c>
      <c r="GG1809" s="104">
        <f t="shared" si="545"/>
        <v>8</v>
      </c>
      <c r="GH1809" s="35">
        <v>43881</v>
      </c>
      <c r="GI1809" s="26">
        <v>1.749</v>
      </c>
      <c r="GJ1809" s="94">
        <f t="shared" si="546"/>
        <v>3.498</v>
      </c>
      <c r="GK1809" s="104"/>
      <c r="GL1809" s="104"/>
    </row>
    <row r="1810" spans="3:194">
      <c r="C1810" s="80" t="str" cm="1">
        <f t="array" ref="C1810">_xlfn.IFS(MONTH(D1810)&lt;4,1,MONTH(D1810)&lt;7,2,MONTH(D1810)&lt;10,3,MONTH(D1810)&gt;9,4)&amp;"Q"&amp;RIGHT(YEAR(D1810),2)</f>
        <v>2Q23</v>
      </c>
      <c r="D1810" s="81">
        <f t="shared" si="539"/>
        <v>45046</v>
      </c>
      <c r="E1810" s="82">
        <f t="shared" si="550"/>
        <v>45023</v>
      </c>
      <c r="F1810" s="83">
        <f t="shared" si="548"/>
        <v>0.20575</v>
      </c>
      <c r="G1810" s="83">
        <f t="shared" si="548"/>
        <v>0.18125</v>
      </c>
      <c r="H1810" s="81"/>
      <c r="I1810" s="146">
        <v>45023</v>
      </c>
      <c r="J1810" s="147">
        <v>1.75</v>
      </c>
      <c r="K1810" s="147">
        <v>1.6</v>
      </c>
      <c r="L1810" s="147">
        <v>1.646</v>
      </c>
      <c r="M1810" s="59" cm="1">
        <f t="array" ref="M1810">INDEX($BV$29:$BV$1449,MATCH($D1810,$BR$29:$BR$1449,0),)</f>
        <v>1.45</v>
      </c>
      <c r="N1810" s="150">
        <f t="shared" si="542"/>
        <v>-0.00242424242424244</v>
      </c>
      <c r="O1810" s="150">
        <f t="shared" si="543"/>
        <v>-0.0102224894768491</v>
      </c>
      <c r="P1810" s="150">
        <f t="shared" si="549"/>
        <v>-0.0266114725014786</v>
      </c>
      <c r="Q1810" s="89">
        <f t="shared" si="551"/>
        <v>0.135172413793103</v>
      </c>
      <c r="S1810" s="82">
        <f t="shared" si="533"/>
        <v>45023</v>
      </c>
      <c r="T1810" s="83">
        <f t="shared" si="535"/>
        <v>0.2450625</v>
      </c>
      <c r="U1810" s="83">
        <f t="shared" si="535"/>
        <v>0.198125</v>
      </c>
      <c r="W1810" s="146">
        <v>45023</v>
      </c>
      <c r="X1810" s="147">
        <v>4.1</v>
      </c>
      <c r="Y1810" s="147">
        <v>3.82</v>
      </c>
      <c r="Z1810" s="147">
        <v>3.921</v>
      </c>
      <c r="AA1810" s="59" cm="1">
        <f t="array" ref="AA1810">INDEX($BX$29:$BX$1449,MATCH($D1810,$BR$29:$BR$1449,0),)</f>
        <v>3.17</v>
      </c>
      <c r="AB1810" s="150">
        <f t="shared" si="536"/>
        <v>-0.000764525993883769</v>
      </c>
      <c r="AC1810" s="150">
        <f t="shared" si="537"/>
        <v>-0.0182774161241864</v>
      </c>
      <c r="AD1810" s="150">
        <f t="shared" si="540"/>
        <v>-0.0480699198834669</v>
      </c>
      <c r="AE1810" s="89">
        <f t="shared" si="534"/>
        <v>0.236908517350158</v>
      </c>
      <c r="AF1810" s="36"/>
      <c r="GF1810" s="104">
        <f t="shared" si="544"/>
        <v>2020</v>
      </c>
      <c r="GG1810" s="104">
        <f t="shared" si="545"/>
        <v>8</v>
      </c>
      <c r="GH1810" s="35">
        <v>43882</v>
      </c>
      <c r="GI1810" s="26">
        <v>1.749</v>
      </c>
      <c r="GJ1810" s="94">
        <f t="shared" si="546"/>
        <v>3.498</v>
      </c>
      <c r="GK1810" s="104"/>
      <c r="GL1810" s="104"/>
    </row>
    <row r="1811" spans="3:194">
      <c r="C1811" s="80" t="str" cm="1">
        <f t="array" ref="C1811">_xlfn.IFS(MONTH(D1811)&lt;4,1,MONTH(D1811)&lt;7,2,MONTH(D1811)&lt;10,3,MONTH(D1811)&gt;9,4)&amp;"Q"&amp;RIGHT(YEAR(D1811),2)</f>
        <v>2Q23</v>
      </c>
      <c r="D1811" s="81">
        <f t="shared" si="539"/>
        <v>45046</v>
      </c>
      <c r="E1811" s="82">
        <f t="shared" si="550"/>
        <v>45026</v>
      </c>
      <c r="F1811" s="83">
        <f t="shared" si="548"/>
        <v>0.205</v>
      </c>
      <c r="G1811" s="83">
        <f t="shared" si="548"/>
        <v>0.18125</v>
      </c>
      <c r="H1811" s="81"/>
      <c r="I1811" s="146">
        <v>45026</v>
      </c>
      <c r="J1811" s="147">
        <v>1.75</v>
      </c>
      <c r="K1811" s="147">
        <v>1.56</v>
      </c>
      <c r="L1811" s="147">
        <v>1.64</v>
      </c>
      <c r="M1811" s="59" cm="1">
        <f t="array" ref="M1811">INDEX($BV$29:$BV$1449,MATCH($D1811,$BR$29:$BR$1449,0),)</f>
        <v>1.45</v>
      </c>
      <c r="N1811" s="150">
        <f t="shared" si="542"/>
        <v>-0.00364520048602679</v>
      </c>
      <c r="O1811" s="150">
        <f t="shared" si="543"/>
        <v>-0.00966183574879231</v>
      </c>
      <c r="P1811" s="150">
        <f t="shared" si="549"/>
        <v>-0.0272835112692764</v>
      </c>
      <c r="Q1811" s="89">
        <f t="shared" si="551"/>
        <v>0.131034482758621</v>
      </c>
      <c r="S1811" s="82">
        <f t="shared" si="533"/>
        <v>45026</v>
      </c>
      <c r="T1811" s="83">
        <f t="shared" si="535"/>
        <v>0.2450625</v>
      </c>
      <c r="U1811" s="83">
        <f t="shared" si="535"/>
        <v>0.198125</v>
      </c>
      <c r="W1811" s="146">
        <v>45026</v>
      </c>
      <c r="X1811" s="147">
        <v>4.15</v>
      </c>
      <c r="Y1811" s="147">
        <v>3.85</v>
      </c>
      <c r="Z1811" s="147">
        <v>3.921</v>
      </c>
      <c r="AA1811" s="59" cm="1">
        <f t="array" ref="AA1811">INDEX($BX$29:$BX$1449,MATCH($D1811,$BR$29:$BR$1449,0),)</f>
        <v>3.17</v>
      </c>
      <c r="AB1811" s="150">
        <f t="shared" si="536"/>
        <v>0</v>
      </c>
      <c r="AC1811" s="150">
        <f t="shared" si="537"/>
        <v>-0.0105980317940955</v>
      </c>
      <c r="AD1811" s="150">
        <f t="shared" si="540"/>
        <v>-0.0469129800680603</v>
      </c>
      <c r="AE1811" s="89">
        <f t="shared" si="534"/>
        <v>0.236908517350158</v>
      </c>
      <c r="AF1811" s="36"/>
      <c r="GF1811" s="104">
        <f t="shared" si="544"/>
        <v>2020</v>
      </c>
      <c r="GG1811" s="104">
        <f t="shared" si="545"/>
        <v>9</v>
      </c>
      <c r="GH1811" s="35">
        <v>43885</v>
      </c>
      <c r="GI1811" s="26">
        <v>1.763</v>
      </c>
      <c r="GJ1811" s="94">
        <f t="shared" si="546"/>
        <v>3.526</v>
      </c>
      <c r="GK1811" s="104"/>
      <c r="GL1811" s="104"/>
    </row>
    <row r="1812" spans="3:194">
      <c r="C1812" s="80" t="str" cm="1">
        <f t="array" ref="C1812">_xlfn.IFS(MONTH(D1812)&lt;4,1,MONTH(D1812)&lt;7,2,MONTH(D1812)&lt;10,3,MONTH(D1812)&gt;9,4)&amp;"Q"&amp;RIGHT(YEAR(D1812),2)</f>
        <v>2Q23</v>
      </c>
      <c r="D1812" s="81">
        <f t="shared" si="539"/>
        <v>45046</v>
      </c>
      <c r="E1812" s="82">
        <f t="shared" si="550"/>
        <v>45027</v>
      </c>
      <c r="F1812" s="83">
        <f t="shared" si="548"/>
        <v>0.204625</v>
      </c>
      <c r="G1812" s="83">
        <f t="shared" si="548"/>
        <v>0.18125</v>
      </c>
      <c r="H1812" s="81"/>
      <c r="I1812" s="146">
        <v>45027</v>
      </c>
      <c r="J1812" s="147">
        <v>1.75</v>
      </c>
      <c r="K1812" s="147">
        <v>1.56</v>
      </c>
      <c r="L1812" s="147">
        <v>1.637</v>
      </c>
      <c r="M1812" s="59" cm="1">
        <f t="array" ref="M1812">INDEX($BV$29:$BV$1449,MATCH($D1812,$BR$29:$BR$1449,0),)</f>
        <v>1.45</v>
      </c>
      <c r="N1812" s="150">
        <f t="shared" si="542"/>
        <v>-0.00182926829268282</v>
      </c>
      <c r="O1812" s="150">
        <f t="shared" si="543"/>
        <v>-0.0114734299516908</v>
      </c>
      <c r="P1812" s="150">
        <f t="shared" si="549"/>
        <v>-0.0238521168753727</v>
      </c>
      <c r="Q1812" s="89">
        <f t="shared" si="551"/>
        <v>0.128965517241379</v>
      </c>
      <c r="S1812" s="82">
        <f t="shared" ref="S1812:S1875" si="552">W1812</f>
        <v>45027</v>
      </c>
      <c r="T1812" s="83">
        <f t="shared" si="535"/>
        <v>0.2450625</v>
      </c>
      <c r="U1812" s="83">
        <f t="shared" si="535"/>
        <v>0.198125</v>
      </c>
      <c r="W1812" s="146">
        <v>45027</v>
      </c>
      <c r="X1812" s="147">
        <v>4.15</v>
      </c>
      <c r="Y1812" s="147">
        <v>3.8</v>
      </c>
      <c r="Z1812" s="147">
        <v>3.921</v>
      </c>
      <c r="AA1812" s="59" cm="1">
        <f t="array" ref="AA1812">INDEX($BX$29:$BX$1449,MATCH($D1812,$BR$29:$BR$1449,0),)</f>
        <v>3.17</v>
      </c>
      <c r="AB1812" s="150">
        <f t="shared" si="536"/>
        <v>0</v>
      </c>
      <c r="AC1812" s="150">
        <f t="shared" si="537"/>
        <v>-0.00984848484848488</v>
      </c>
      <c r="AD1812" s="150">
        <f t="shared" si="540"/>
        <v>-0.0469129800680603</v>
      </c>
      <c r="AE1812" s="89">
        <f t="shared" si="534"/>
        <v>0.236908517350158</v>
      </c>
      <c r="AF1812" s="36"/>
      <c r="GF1812" s="104">
        <f t="shared" si="544"/>
        <v>2020</v>
      </c>
      <c r="GG1812" s="104">
        <f t="shared" si="545"/>
        <v>9</v>
      </c>
      <c r="GH1812" s="35">
        <v>43886</v>
      </c>
      <c r="GI1812" s="26">
        <v>1.786</v>
      </c>
      <c r="GJ1812" s="94">
        <f t="shared" si="546"/>
        <v>3.572</v>
      </c>
      <c r="GK1812" s="104"/>
      <c r="GL1812" s="104"/>
    </row>
    <row r="1813" spans="3:194">
      <c r="C1813" s="80" t="str" cm="1">
        <f t="array" ref="C1813">_xlfn.IFS(MONTH(D1813)&lt;4,1,MONTH(D1813)&lt;7,2,MONTH(D1813)&lt;10,3,MONTH(D1813)&gt;9,4)&amp;"Q"&amp;RIGHT(YEAR(D1813),2)</f>
        <v>2Q23</v>
      </c>
      <c r="D1813" s="81">
        <f t="shared" si="539"/>
        <v>45046</v>
      </c>
      <c r="E1813" s="82">
        <f t="shared" si="550"/>
        <v>45028</v>
      </c>
      <c r="F1813" s="83">
        <f t="shared" si="548"/>
        <v>0.20425</v>
      </c>
      <c r="G1813" s="83">
        <f t="shared" si="548"/>
        <v>0.18125</v>
      </c>
      <c r="H1813" s="81"/>
      <c r="I1813" s="146">
        <v>45028</v>
      </c>
      <c r="J1813" s="147">
        <v>1.75</v>
      </c>
      <c r="K1813" s="147">
        <v>1.56</v>
      </c>
      <c r="L1813" s="147">
        <v>1.634</v>
      </c>
      <c r="M1813" s="59" cm="1">
        <f t="array" ref="M1813">INDEX($BV$29:$BV$1449,MATCH($D1813,$BR$29:$BR$1449,0),)</f>
        <v>1.45</v>
      </c>
      <c r="N1813" s="150">
        <f t="shared" si="542"/>
        <v>-0.00183262064752598</v>
      </c>
      <c r="O1813" s="150">
        <f t="shared" si="543"/>
        <v>-0.0114942528735633</v>
      </c>
      <c r="P1813" s="150">
        <f t="shared" si="549"/>
        <v>-0.0238948626045401</v>
      </c>
      <c r="Q1813" s="89">
        <f t="shared" si="551"/>
        <v>0.126896551724138</v>
      </c>
      <c r="S1813" s="82">
        <f t="shared" si="552"/>
        <v>45028</v>
      </c>
      <c r="T1813" s="83">
        <f t="shared" ref="T1813:U1868" si="553">+Z1813/16</f>
        <v>0.244875</v>
      </c>
      <c r="U1813" s="83">
        <f t="shared" si="553"/>
        <v>0.198125</v>
      </c>
      <c r="W1813" s="146">
        <v>45028</v>
      </c>
      <c r="X1813" s="147">
        <v>4.15</v>
      </c>
      <c r="Y1813" s="147">
        <v>3.8</v>
      </c>
      <c r="Z1813" s="147">
        <v>3.918</v>
      </c>
      <c r="AA1813" s="59" cm="1">
        <f t="array" ref="AA1813">INDEX($BX$29:$BX$1449,MATCH($D1813,$BR$29:$BR$1449,0),)</f>
        <v>3.17</v>
      </c>
      <c r="AB1813" s="150">
        <f t="shared" ref="AB1813:AB1876" si="554">Z1813/Z1812-1</f>
        <v>-0.000765110941086333</v>
      </c>
      <c r="AC1813" s="150">
        <f t="shared" si="537"/>
        <v>-0.00810126582278481</v>
      </c>
      <c r="AD1813" s="150">
        <f t="shared" si="540"/>
        <v>-0.0371098550012288</v>
      </c>
      <c r="AE1813" s="89">
        <f t="shared" ref="AE1813:AE1876" si="555">Z1813/AA1813-1</f>
        <v>0.23596214511041</v>
      </c>
      <c r="AF1813" s="36"/>
      <c r="GF1813" s="104">
        <f t="shared" si="544"/>
        <v>2020</v>
      </c>
      <c r="GG1813" s="104">
        <f t="shared" si="545"/>
        <v>9</v>
      </c>
      <c r="GH1813" s="35">
        <v>43887</v>
      </c>
      <c r="GI1813" s="26">
        <v>1.788</v>
      </c>
      <c r="GJ1813" s="94">
        <f t="shared" si="546"/>
        <v>3.576</v>
      </c>
      <c r="GK1813" s="104"/>
      <c r="GL1813" s="104"/>
    </row>
    <row r="1814" spans="3:194">
      <c r="C1814" s="80" t="str" cm="1">
        <f t="array" ref="C1814">_xlfn.IFS(MONTH(D1814)&lt;4,1,MONTH(D1814)&lt;7,2,MONTH(D1814)&lt;10,3,MONTH(D1814)&gt;9,4)&amp;"Q"&amp;RIGHT(YEAR(D1814),2)</f>
        <v>2Q23</v>
      </c>
      <c r="D1814" s="81">
        <f t="shared" si="539"/>
        <v>45046</v>
      </c>
      <c r="E1814" s="82">
        <f t="shared" si="550"/>
        <v>45029</v>
      </c>
      <c r="F1814" s="83">
        <f t="shared" si="548"/>
        <v>0.204125</v>
      </c>
      <c r="G1814" s="83">
        <f t="shared" si="548"/>
        <v>0.18125</v>
      </c>
      <c r="H1814" s="81"/>
      <c r="I1814" s="146">
        <v>45029</v>
      </c>
      <c r="J1814" s="147">
        <v>1.75</v>
      </c>
      <c r="K1814" s="147">
        <v>1.56</v>
      </c>
      <c r="L1814" s="147">
        <v>1.633</v>
      </c>
      <c r="M1814" s="59" cm="1">
        <f t="array" ref="M1814">INDEX($BV$29:$BV$1449,MATCH($D1814,$BR$29:$BR$1449,0),)</f>
        <v>1.45</v>
      </c>
      <c r="N1814" s="150">
        <f t="shared" si="542"/>
        <v>-0.000611995104039087</v>
      </c>
      <c r="O1814" s="150">
        <f t="shared" si="543"/>
        <v>-0.0103030303030303</v>
      </c>
      <c r="P1814" s="150">
        <f t="shared" si="549"/>
        <v>-0.0244922341696535</v>
      </c>
      <c r="Q1814" s="89">
        <f t="shared" si="551"/>
        <v>0.126206896551724</v>
      </c>
      <c r="S1814" s="82">
        <f t="shared" si="552"/>
        <v>45029</v>
      </c>
      <c r="T1814" s="83">
        <f t="shared" si="553"/>
        <v>0.244875</v>
      </c>
      <c r="U1814" s="83">
        <f t="shared" si="553"/>
        <v>0.198125</v>
      </c>
      <c r="W1814" s="146">
        <v>45029</v>
      </c>
      <c r="X1814" s="147">
        <v>4.2</v>
      </c>
      <c r="Y1814" s="147">
        <v>3.8</v>
      </c>
      <c r="Z1814" s="147">
        <v>3.918</v>
      </c>
      <c r="AA1814" s="59" cm="1">
        <f t="array" ref="AA1814">INDEX($BX$29:$BX$1449,MATCH($D1814,$BR$29:$BR$1449,0),)</f>
        <v>3.17</v>
      </c>
      <c r="AB1814" s="150">
        <f t="shared" si="554"/>
        <v>0</v>
      </c>
      <c r="AC1814" s="150">
        <f t="shared" si="537"/>
        <v>-0.00152905198776754</v>
      </c>
      <c r="AD1814" s="150">
        <f t="shared" si="540"/>
        <v>-0.0311572700296735</v>
      </c>
      <c r="AE1814" s="89">
        <f t="shared" si="555"/>
        <v>0.23596214511041</v>
      </c>
      <c r="AF1814" s="36"/>
      <c r="GF1814" s="104">
        <f t="shared" si="544"/>
        <v>2020</v>
      </c>
      <c r="GG1814" s="104">
        <f t="shared" si="545"/>
        <v>9</v>
      </c>
      <c r="GH1814" s="35">
        <v>43888</v>
      </c>
      <c r="GI1814" s="26">
        <v>1.846</v>
      </c>
      <c r="GJ1814" s="94">
        <f t="shared" si="546"/>
        <v>3.692</v>
      </c>
      <c r="GK1814" s="104"/>
      <c r="GL1814" s="104"/>
    </row>
    <row r="1815" spans="3:194">
      <c r="C1815" s="80" t="str" cm="1">
        <f t="array" ref="C1815">_xlfn.IFS(MONTH(D1815)&lt;4,1,MONTH(D1815)&lt;7,2,MONTH(D1815)&lt;10,3,MONTH(D1815)&gt;9,4)&amp;"Q"&amp;RIGHT(YEAR(D1815),2)</f>
        <v>2Q23</v>
      </c>
      <c r="D1815" s="81">
        <f t="shared" si="539"/>
        <v>45046</v>
      </c>
      <c r="E1815" s="82">
        <f t="shared" si="550"/>
        <v>45030</v>
      </c>
      <c r="F1815" s="83">
        <f t="shared" si="548"/>
        <v>0.204125</v>
      </c>
      <c r="G1815" s="83">
        <f t="shared" si="548"/>
        <v>0.18125</v>
      </c>
      <c r="H1815" s="81"/>
      <c r="I1815" s="146">
        <v>45030</v>
      </c>
      <c r="J1815" s="147">
        <v>1.75</v>
      </c>
      <c r="K1815" s="147">
        <v>1.58</v>
      </c>
      <c r="L1815" s="147">
        <v>1.633</v>
      </c>
      <c r="M1815" s="59" cm="1">
        <f t="array" ref="M1815">INDEX($BV$29:$BV$1449,MATCH($D1815,$BR$29:$BR$1449,0),)</f>
        <v>1.45</v>
      </c>
      <c r="N1815" s="150">
        <f t="shared" si="542"/>
        <v>0</v>
      </c>
      <c r="O1815" s="150">
        <f t="shared" si="543"/>
        <v>-0.00789793438639119</v>
      </c>
      <c r="P1815" s="150">
        <f t="shared" si="549"/>
        <v>-0.0180396873120866</v>
      </c>
      <c r="Q1815" s="89">
        <f t="shared" si="551"/>
        <v>0.126206896551724</v>
      </c>
      <c r="S1815" s="82">
        <f t="shared" si="552"/>
        <v>45030</v>
      </c>
      <c r="T1815" s="83">
        <f t="shared" si="553"/>
        <v>0.244875</v>
      </c>
      <c r="U1815" s="83">
        <f t="shared" si="553"/>
        <v>0.198125</v>
      </c>
      <c r="W1815" s="146">
        <v>45030</v>
      </c>
      <c r="X1815" s="147">
        <v>4.2</v>
      </c>
      <c r="Y1815" s="147">
        <v>3.8</v>
      </c>
      <c r="Z1815" s="147">
        <v>3.918</v>
      </c>
      <c r="AA1815" s="59" cm="1">
        <f t="array" ref="AA1815">INDEX($BX$29:$BX$1449,MATCH($D1815,$BR$29:$BR$1449,0),)</f>
        <v>3.17</v>
      </c>
      <c r="AB1815" s="150">
        <f t="shared" si="554"/>
        <v>0</v>
      </c>
      <c r="AC1815" s="150">
        <f t="shared" si="537"/>
        <v>-0.000765110941086333</v>
      </c>
      <c r="AD1815" s="150">
        <f t="shared" si="540"/>
        <v>-0.0190285428142214</v>
      </c>
      <c r="AE1815" s="89">
        <f t="shared" si="555"/>
        <v>0.23596214511041</v>
      </c>
      <c r="AF1815" s="36"/>
      <c r="GF1815" s="104">
        <f t="shared" si="544"/>
        <v>2020</v>
      </c>
      <c r="GG1815" s="104">
        <f t="shared" si="545"/>
        <v>9</v>
      </c>
      <c r="GH1815" s="35">
        <v>43889</v>
      </c>
      <c r="GI1815" s="26">
        <v>1.872</v>
      </c>
      <c r="GJ1815" s="94">
        <f t="shared" si="546"/>
        <v>3.744</v>
      </c>
      <c r="GK1815" s="104"/>
      <c r="GL1815" s="104"/>
    </row>
    <row r="1816" spans="3:194">
      <c r="C1816" s="80" t="str" cm="1">
        <f t="array" ref="C1816">_xlfn.IFS(MONTH(D1816)&lt;4,1,MONTH(D1816)&lt;7,2,MONTH(D1816)&lt;10,3,MONTH(D1816)&gt;9,4)&amp;"Q"&amp;RIGHT(YEAR(D1816),2)</f>
        <v>2Q23</v>
      </c>
      <c r="D1816" s="81">
        <f t="shared" si="539"/>
        <v>45046</v>
      </c>
      <c r="E1816" s="82">
        <f t="shared" si="550"/>
        <v>45033</v>
      </c>
      <c r="F1816" s="83">
        <f t="shared" si="548"/>
        <v>0.20375</v>
      </c>
      <c r="G1816" s="83">
        <f t="shared" si="548"/>
        <v>0.18125</v>
      </c>
      <c r="H1816" s="81"/>
      <c r="I1816" s="146">
        <v>45033</v>
      </c>
      <c r="J1816" s="147">
        <v>1.75</v>
      </c>
      <c r="K1816" s="147">
        <v>1.57</v>
      </c>
      <c r="L1816" s="147">
        <v>1.63</v>
      </c>
      <c r="M1816" s="59" cm="1">
        <f t="array" ref="M1816">INDEX($BV$29:$BV$1449,MATCH($D1816,$BR$29:$BR$1449,0),)</f>
        <v>1.45</v>
      </c>
      <c r="N1816" s="150">
        <f t="shared" si="542"/>
        <v>-0.00183710961420702</v>
      </c>
      <c r="O1816" s="150">
        <f t="shared" si="543"/>
        <v>-0.00609756097560976</v>
      </c>
      <c r="P1816" s="150">
        <f t="shared" si="549"/>
        <v>-0.0157004830917875</v>
      </c>
      <c r="Q1816" s="89">
        <f t="shared" si="551"/>
        <v>0.124137931034483</v>
      </c>
      <c r="S1816" s="82">
        <f t="shared" si="552"/>
        <v>45033</v>
      </c>
      <c r="T1816" s="83">
        <f t="shared" si="553"/>
        <v>0.244875</v>
      </c>
      <c r="U1816" s="83">
        <f t="shared" si="553"/>
        <v>0.198125</v>
      </c>
      <c r="W1816" s="146">
        <v>45033</v>
      </c>
      <c r="X1816" s="147">
        <v>4.2</v>
      </c>
      <c r="Y1816" s="147">
        <v>3.8</v>
      </c>
      <c r="Z1816" s="147">
        <v>3.918</v>
      </c>
      <c r="AA1816" s="59" cm="1">
        <f t="array" ref="AA1816">INDEX($BX$29:$BX$1449,MATCH($D1816,$BR$29:$BR$1449,0),)</f>
        <v>3.17</v>
      </c>
      <c r="AB1816" s="150">
        <f t="shared" si="554"/>
        <v>0</v>
      </c>
      <c r="AC1816" s="150">
        <f t="shared" si="537"/>
        <v>-0.000765110941086333</v>
      </c>
      <c r="AD1816" s="150">
        <f t="shared" si="540"/>
        <v>-0.0113550340651022</v>
      </c>
      <c r="AE1816" s="89">
        <f t="shared" si="555"/>
        <v>0.23596214511041</v>
      </c>
      <c r="AF1816" s="36"/>
      <c r="GF1816" s="104">
        <f t="shared" si="544"/>
        <v>2020</v>
      </c>
      <c r="GG1816" s="104">
        <f t="shared" si="545"/>
        <v>10</v>
      </c>
      <c r="GH1816" s="35">
        <v>43892</v>
      </c>
      <c r="GI1816" s="26">
        <v>1.9</v>
      </c>
      <c r="GJ1816" s="94">
        <f t="shared" si="546"/>
        <v>3.8</v>
      </c>
      <c r="GK1816" s="104"/>
      <c r="GL1816" s="104"/>
    </row>
    <row r="1817" spans="3:194">
      <c r="C1817" s="80" t="str" cm="1">
        <f t="array" ref="C1817">_xlfn.IFS(MONTH(D1817)&lt;4,1,MONTH(D1817)&lt;7,2,MONTH(D1817)&lt;10,3,MONTH(D1817)&gt;9,4)&amp;"Q"&amp;RIGHT(YEAR(D1817),2)</f>
        <v>2Q23</v>
      </c>
      <c r="D1817" s="81">
        <f t="shared" si="539"/>
        <v>45046</v>
      </c>
      <c r="E1817" s="82">
        <f t="shared" si="550"/>
        <v>45034</v>
      </c>
      <c r="F1817" s="83">
        <f t="shared" si="548"/>
        <v>0.20375</v>
      </c>
      <c r="G1817" s="83">
        <f t="shared" si="548"/>
        <v>0.18125</v>
      </c>
      <c r="H1817" s="81"/>
      <c r="I1817" s="146">
        <v>45034</v>
      </c>
      <c r="J1817" s="147">
        <v>1.75</v>
      </c>
      <c r="K1817" s="147">
        <v>1.57</v>
      </c>
      <c r="L1817" s="147">
        <v>1.63</v>
      </c>
      <c r="M1817" s="59" cm="1">
        <f t="array" ref="M1817">INDEX($BV$29:$BV$1449,MATCH($D1817,$BR$29:$BR$1449,0),)</f>
        <v>1.45</v>
      </c>
      <c r="N1817" s="150">
        <f t="shared" si="542"/>
        <v>0</v>
      </c>
      <c r="O1817" s="150">
        <f t="shared" si="543"/>
        <v>-0.0042761148442273</v>
      </c>
      <c r="P1817" s="150">
        <f t="shared" si="549"/>
        <v>-0.0157004830917875</v>
      </c>
      <c r="Q1817" s="89">
        <f t="shared" si="551"/>
        <v>0.124137931034483</v>
      </c>
      <c r="S1817" s="82">
        <f t="shared" si="552"/>
        <v>45034</v>
      </c>
      <c r="T1817" s="83">
        <f t="shared" si="553"/>
        <v>0.244875</v>
      </c>
      <c r="U1817" s="83">
        <f t="shared" si="553"/>
        <v>0.198125</v>
      </c>
      <c r="W1817" s="146">
        <v>45034</v>
      </c>
      <c r="X1817" s="147">
        <v>4.2</v>
      </c>
      <c r="Y1817" s="147">
        <v>3.8</v>
      </c>
      <c r="Z1817" s="147">
        <v>3.918</v>
      </c>
      <c r="AA1817" s="59" cm="1">
        <f t="array" ref="AA1817">INDEX($BX$29:$BX$1449,MATCH($D1817,$BR$29:$BR$1449,0),)</f>
        <v>3.17</v>
      </c>
      <c r="AB1817" s="150">
        <f t="shared" si="554"/>
        <v>0</v>
      </c>
      <c r="AC1817" s="150">
        <f t="shared" ref="AC1817:AC1880" si="556">Z1817/Z1812-1</f>
        <v>-0.000765110941086333</v>
      </c>
      <c r="AD1817" s="150">
        <f t="shared" si="540"/>
        <v>-0.0106060606060605</v>
      </c>
      <c r="AE1817" s="89">
        <f t="shared" si="555"/>
        <v>0.23596214511041</v>
      </c>
      <c r="AF1817" s="36"/>
      <c r="GF1817" s="104">
        <f t="shared" si="544"/>
        <v>2020</v>
      </c>
      <c r="GG1817" s="104">
        <f t="shared" si="545"/>
        <v>10</v>
      </c>
      <c r="GH1817" s="35">
        <v>43893</v>
      </c>
      <c r="GI1817" s="26">
        <v>1.915</v>
      </c>
      <c r="GJ1817" s="94">
        <f t="shared" si="546"/>
        <v>3.83</v>
      </c>
      <c r="GK1817" s="104"/>
      <c r="GL1817" s="104"/>
    </row>
    <row r="1818" spans="3:194">
      <c r="C1818" s="80" t="str" cm="1">
        <f t="array" ref="C1818">_xlfn.IFS(MONTH(D1818)&lt;4,1,MONTH(D1818)&lt;7,2,MONTH(D1818)&lt;10,3,MONTH(D1818)&gt;9,4)&amp;"Q"&amp;RIGHT(YEAR(D1818),2)</f>
        <v>2Q23</v>
      </c>
      <c r="D1818" s="81">
        <f t="shared" si="539"/>
        <v>45046</v>
      </c>
      <c r="E1818" s="82">
        <f t="shared" si="550"/>
        <v>45035</v>
      </c>
      <c r="F1818" s="83">
        <f t="shared" ref="F1818:G1833" si="557">+L1818/8</f>
        <v>0.20375</v>
      </c>
      <c r="G1818" s="83">
        <f t="shared" si="557"/>
        <v>0.18125</v>
      </c>
      <c r="H1818" s="81"/>
      <c r="I1818" s="146">
        <v>45035</v>
      </c>
      <c r="J1818" s="147">
        <v>1.73</v>
      </c>
      <c r="K1818" s="147">
        <v>1.56</v>
      </c>
      <c r="L1818" s="147">
        <v>1.63</v>
      </c>
      <c r="M1818" s="59" cm="1">
        <f t="array" ref="M1818">INDEX($BV$29:$BV$1449,MATCH($D1818,$BR$29:$BR$1449,0),)</f>
        <v>1.45</v>
      </c>
      <c r="N1818" s="150">
        <f t="shared" si="542"/>
        <v>0</v>
      </c>
      <c r="O1818" s="150">
        <f t="shared" si="543"/>
        <v>-0.00244798041615668</v>
      </c>
      <c r="P1818" s="150">
        <f t="shared" si="549"/>
        <v>-0.0139140955837871</v>
      </c>
      <c r="Q1818" s="89">
        <f t="shared" si="551"/>
        <v>0.124137931034483</v>
      </c>
      <c r="S1818" s="82">
        <f t="shared" si="552"/>
        <v>45035</v>
      </c>
      <c r="T1818" s="83">
        <f t="shared" si="553"/>
        <v>0.244875</v>
      </c>
      <c r="U1818" s="83">
        <f t="shared" si="553"/>
        <v>0.198125</v>
      </c>
      <c r="W1818" s="146">
        <v>45035</v>
      </c>
      <c r="X1818" s="147">
        <v>4.2</v>
      </c>
      <c r="Y1818" s="147">
        <v>3.8</v>
      </c>
      <c r="Z1818" s="147">
        <v>3.918</v>
      </c>
      <c r="AA1818" s="59" cm="1">
        <f t="array" ref="AA1818">INDEX($BX$29:$BX$1449,MATCH($D1818,$BR$29:$BR$1449,0),)</f>
        <v>3.17</v>
      </c>
      <c r="AB1818" s="150">
        <f t="shared" si="554"/>
        <v>0</v>
      </c>
      <c r="AC1818" s="150">
        <f t="shared" si="556"/>
        <v>0</v>
      </c>
      <c r="AD1818" s="150">
        <f t="shared" si="540"/>
        <v>-0.00810126582278481</v>
      </c>
      <c r="AE1818" s="89">
        <f t="shared" si="555"/>
        <v>0.23596214511041</v>
      </c>
      <c r="AF1818" s="36"/>
      <c r="GF1818" s="104">
        <f t="shared" si="544"/>
        <v>2020</v>
      </c>
      <c r="GG1818" s="104">
        <f t="shared" si="545"/>
        <v>10</v>
      </c>
      <c r="GH1818" s="35">
        <v>43894</v>
      </c>
      <c r="GI1818" s="26">
        <v>1.933</v>
      </c>
      <c r="GJ1818" s="94">
        <f t="shared" si="546"/>
        <v>3.866</v>
      </c>
      <c r="GK1818" s="104"/>
      <c r="GL1818" s="104"/>
    </row>
    <row r="1819" spans="3:194">
      <c r="C1819" s="80" t="str" cm="1">
        <f t="array" ref="C1819">_xlfn.IFS(MONTH(D1819)&lt;4,1,MONTH(D1819)&lt;7,2,MONTH(D1819)&lt;10,3,MONTH(D1819)&gt;9,4)&amp;"Q"&amp;RIGHT(YEAR(D1819),2)</f>
        <v>2Q23</v>
      </c>
      <c r="D1819" s="81">
        <f t="shared" si="539"/>
        <v>45046</v>
      </c>
      <c r="E1819" s="82">
        <f t="shared" si="550"/>
        <v>45036</v>
      </c>
      <c r="F1819" s="83">
        <f t="shared" si="557"/>
        <v>0.20375</v>
      </c>
      <c r="G1819" s="83">
        <f t="shared" si="557"/>
        <v>0.18125</v>
      </c>
      <c r="H1819" s="81"/>
      <c r="I1819" s="146">
        <v>45036</v>
      </c>
      <c r="J1819" s="147">
        <v>1.73</v>
      </c>
      <c r="K1819" s="147">
        <v>1.56</v>
      </c>
      <c r="L1819" s="147">
        <v>1.63</v>
      </c>
      <c r="M1819" s="59" cm="1">
        <f t="array" ref="M1819">INDEX($BV$29:$BV$1449,MATCH($D1819,$BR$29:$BR$1449,0),)</f>
        <v>1.45</v>
      </c>
      <c r="N1819" s="150">
        <f t="shared" si="542"/>
        <v>0</v>
      </c>
      <c r="O1819" s="150">
        <f t="shared" si="543"/>
        <v>-0.00183710961420702</v>
      </c>
      <c r="P1819" s="150">
        <f t="shared" si="549"/>
        <v>-0.0121212121212121</v>
      </c>
      <c r="Q1819" s="89">
        <f t="shared" si="551"/>
        <v>0.124137931034483</v>
      </c>
      <c r="S1819" s="82">
        <f t="shared" si="552"/>
        <v>45036</v>
      </c>
      <c r="T1819" s="83">
        <f t="shared" si="553"/>
        <v>0.244875</v>
      </c>
      <c r="U1819" s="83">
        <f t="shared" si="553"/>
        <v>0.198125</v>
      </c>
      <c r="W1819" s="146">
        <v>45036</v>
      </c>
      <c r="X1819" s="147">
        <v>4.2</v>
      </c>
      <c r="Y1819" s="147">
        <v>3.8</v>
      </c>
      <c r="Z1819" s="147">
        <v>3.918</v>
      </c>
      <c r="AA1819" s="59" cm="1">
        <f t="array" ref="AA1819">INDEX($BX$29:$BX$1449,MATCH($D1819,$BR$29:$BR$1449,0),)</f>
        <v>3.17</v>
      </c>
      <c r="AB1819" s="150">
        <f t="shared" si="554"/>
        <v>0</v>
      </c>
      <c r="AC1819" s="150">
        <f t="shared" si="556"/>
        <v>0</v>
      </c>
      <c r="AD1819" s="150">
        <f t="shared" si="540"/>
        <v>-0.00152905198776754</v>
      </c>
      <c r="AE1819" s="89">
        <f t="shared" si="555"/>
        <v>0.23596214511041</v>
      </c>
      <c r="AF1819" s="36"/>
      <c r="GF1819" s="104">
        <f t="shared" si="544"/>
        <v>2020</v>
      </c>
      <c r="GG1819" s="104">
        <f t="shared" si="545"/>
        <v>10</v>
      </c>
      <c r="GH1819" s="35">
        <v>43895</v>
      </c>
      <c r="GI1819" s="26">
        <v>1.951</v>
      </c>
      <c r="GJ1819" s="94">
        <f t="shared" si="546"/>
        <v>3.902</v>
      </c>
      <c r="GK1819" s="104"/>
      <c r="GL1819" s="104"/>
    </row>
    <row r="1820" spans="3:194">
      <c r="C1820" s="80" t="str" cm="1">
        <f t="array" ref="C1820">_xlfn.IFS(MONTH(D1820)&lt;4,1,MONTH(D1820)&lt;7,2,MONTH(D1820)&lt;10,3,MONTH(D1820)&gt;9,4)&amp;"Q"&amp;RIGHT(YEAR(D1820),2)</f>
        <v>2Q23</v>
      </c>
      <c r="D1820" s="81">
        <f t="shared" si="539"/>
        <v>45046</v>
      </c>
      <c r="E1820" s="82">
        <f t="shared" si="550"/>
        <v>45037</v>
      </c>
      <c r="F1820" s="83">
        <f t="shared" si="557"/>
        <v>0.203625</v>
      </c>
      <c r="G1820" s="83">
        <f t="shared" si="557"/>
        <v>0.18125</v>
      </c>
      <c r="H1820" s="81"/>
      <c r="I1820" s="146">
        <v>45037</v>
      </c>
      <c r="J1820" s="147">
        <v>1.73</v>
      </c>
      <c r="K1820" s="147">
        <v>1.56</v>
      </c>
      <c r="L1820" s="147">
        <v>1.629</v>
      </c>
      <c r="M1820" s="59" cm="1">
        <f t="array" ref="M1820">INDEX($BV$29:$BV$1449,MATCH($D1820,$BR$29:$BR$1449,0),)</f>
        <v>1.45</v>
      </c>
      <c r="N1820" s="150">
        <f t="shared" si="542"/>
        <v>-0.000613496932515223</v>
      </c>
      <c r="O1820" s="150">
        <f t="shared" si="543"/>
        <v>-0.00244947948560936</v>
      </c>
      <c r="P1820" s="150">
        <f t="shared" si="549"/>
        <v>-0.0103280680437423</v>
      </c>
      <c r="Q1820" s="89">
        <f t="shared" si="551"/>
        <v>0.123448275862069</v>
      </c>
      <c r="S1820" s="82">
        <f t="shared" si="552"/>
        <v>45037</v>
      </c>
      <c r="T1820" s="83">
        <f t="shared" si="553"/>
        <v>0.244875</v>
      </c>
      <c r="U1820" s="83">
        <f t="shared" si="553"/>
        <v>0.198125</v>
      </c>
      <c r="W1820" s="146">
        <v>45037</v>
      </c>
      <c r="X1820" s="147">
        <v>4.2</v>
      </c>
      <c r="Y1820" s="147">
        <v>3.8</v>
      </c>
      <c r="Z1820" s="147">
        <v>3.918</v>
      </c>
      <c r="AA1820" s="59" cm="1">
        <f t="array" ref="AA1820">INDEX($BX$29:$BX$1449,MATCH($D1820,$BR$29:$BR$1449,0),)</f>
        <v>3.17</v>
      </c>
      <c r="AB1820" s="150">
        <f t="shared" si="554"/>
        <v>0</v>
      </c>
      <c r="AC1820" s="150">
        <f t="shared" si="556"/>
        <v>0</v>
      </c>
      <c r="AD1820" s="150">
        <f t="shared" si="540"/>
        <v>-0.000765110941086333</v>
      </c>
      <c r="AE1820" s="89">
        <f t="shared" si="555"/>
        <v>0.23596214511041</v>
      </c>
      <c r="AF1820" s="36"/>
      <c r="GF1820" s="104">
        <f t="shared" si="544"/>
        <v>2020</v>
      </c>
      <c r="GG1820" s="104">
        <f t="shared" si="545"/>
        <v>10</v>
      </c>
      <c r="GH1820" s="35">
        <v>43896</v>
      </c>
      <c r="GI1820" s="26">
        <v>1.987</v>
      </c>
      <c r="GJ1820" s="94">
        <f t="shared" si="546"/>
        <v>3.974</v>
      </c>
      <c r="GK1820" s="104"/>
      <c r="GL1820" s="104"/>
    </row>
    <row r="1821" spans="3:194">
      <c r="C1821" s="80" t="str" cm="1">
        <f t="array" ref="C1821">_xlfn.IFS(MONTH(D1821)&lt;4,1,MONTH(D1821)&lt;7,2,MONTH(D1821)&lt;10,3,MONTH(D1821)&gt;9,4)&amp;"Q"&amp;RIGHT(YEAR(D1821),2)</f>
        <v>2Q23</v>
      </c>
      <c r="D1821" s="81">
        <f t="shared" si="539"/>
        <v>45046</v>
      </c>
      <c r="E1821" s="82">
        <f t="shared" si="550"/>
        <v>45040</v>
      </c>
      <c r="F1821" s="83">
        <f t="shared" si="557"/>
        <v>0.20275</v>
      </c>
      <c r="G1821" s="83">
        <f t="shared" si="557"/>
        <v>0.18125</v>
      </c>
      <c r="H1821" s="81"/>
      <c r="I1821" s="146">
        <v>45040</v>
      </c>
      <c r="J1821" s="147">
        <v>1.74</v>
      </c>
      <c r="K1821" s="147">
        <v>1.55</v>
      </c>
      <c r="L1821" s="147">
        <v>1.622</v>
      </c>
      <c r="M1821" s="59" cm="1">
        <f t="array" ref="M1821">INDEX($BV$29:$BV$1449,MATCH($D1821,$BR$29:$BR$1449,0),)</f>
        <v>1.45</v>
      </c>
      <c r="N1821" s="150">
        <f t="shared" si="542"/>
        <v>-0.00429711479435235</v>
      </c>
      <c r="O1821" s="150">
        <f t="shared" si="543"/>
        <v>-0.00490797546012256</v>
      </c>
      <c r="P1821" s="150">
        <f t="shared" si="549"/>
        <v>-0.0109756097560975</v>
      </c>
      <c r="Q1821" s="89">
        <f t="shared" si="551"/>
        <v>0.118620689655172</v>
      </c>
      <c r="S1821" s="82">
        <f t="shared" si="552"/>
        <v>45040</v>
      </c>
      <c r="T1821" s="83">
        <f t="shared" si="553"/>
        <v>0.245875</v>
      </c>
      <c r="U1821" s="83">
        <f t="shared" si="553"/>
        <v>0.198125</v>
      </c>
      <c r="W1821" s="146">
        <v>45040</v>
      </c>
      <c r="X1821" s="147">
        <v>4.2</v>
      </c>
      <c r="Y1821" s="147">
        <v>3.83</v>
      </c>
      <c r="Z1821" s="147">
        <v>3.934</v>
      </c>
      <c r="AA1821" s="59" cm="1">
        <f t="array" ref="AA1821">INDEX($BX$29:$BX$1449,MATCH($D1821,$BR$29:$BR$1449,0),)</f>
        <v>3.17</v>
      </c>
      <c r="AB1821" s="150">
        <f t="shared" si="554"/>
        <v>0.00408371618172532</v>
      </c>
      <c r="AC1821" s="150">
        <f t="shared" si="556"/>
        <v>0.00408371618172532</v>
      </c>
      <c r="AD1821" s="150">
        <f t="shared" si="540"/>
        <v>0.003315480744708</v>
      </c>
      <c r="AE1821" s="89">
        <f t="shared" si="555"/>
        <v>0.241009463722398</v>
      </c>
      <c r="AF1821" s="36"/>
      <c r="GF1821" s="104">
        <f t="shared" si="544"/>
        <v>2020</v>
      </c>
      <c r="GG1821" s="104">
        <f t="shared" si="545"/>
        <v>11</v>
      </c>
      <c r="GH1821" s="35">
        <v>43899</v>
      </c>
      <c r="GI1821" s="26">
        <v>1.987</v>
      </c>
      <c r="GJ1821" s="94">
        <f t="shared" si="546"/>
        <v>3.974</v>
      </c>
      <c r="GK1821" s="104"/>
      <c r="GL1821" s="104"/>
    </row>
    <row r="1822" spans="3:194">
      <c r="C1822" s="80" t="str" cm="1">
        <f t="array" ref="C1822">_xlfn.IFS(MONTH(D1822)&lt;4,1,MONTH(D1822)&lt;7,2,MONTH(D1822)&lt;10,3,MONTH(D1822)&gt;9,4)&amp;"Q"&amp;RIGHT(YEAR(D1822),2)</f>
        <v>2Q23</v>
      </c>
      <c r="D1822" s="81">
        <f t="shared" ref="D1822:D1885" si="558">EOMONTH(E1822,0)</f>
        <v>45046</v>
      </c>
      <c r="E1822" s="82">
        <f t="shared" si="550"/>
        <v>45041</v>
      </c>
      <c r="F1822" s="83">
        <f t="shared" si="557"/>
        <v>0.20225</v>
      </c>
      <c r="G1822" s="83">
        <f t="shared" si="557"/>
        <v>0.18125</v>
      </c>
      <c r="H1822" s="81"/>
      <c r="I1822" s="146">
        <v>45041</v>
      </c>
      <c r="J1822" s="147">
        <v>1.75</v>
      </c>
      <c r="K1822" s="147">
        <v>1.55</v>
      </c>
      <c r="L1822" s="147">
        <v>1.618</v>
      </c>
      <c r="M1822" s="59" cm="1">
        <f t="array" ref="M1822">INDEX($BV$29:$BV$1449,MATCH($D1822,$BR$29:$BR$1449,0),)</f>
        <v>1.45</v>
      </c>
      <c r="N1822" s="150">
        <f t="shared" si="542"/>
        <v>-0.00246609124537611</v>
      </c>
      <c r="O1822" s="150">
        <f t="shared" si="543"/>
        <v>-0.0073619631901839</v>
      </c>
      <c r="P1822" s="150">
        <f t="shared" si="549"/>
        <v>-0.011606597434331</v>
      </c>
      <c r="Q1822" s="89">
        <f t="shared" si="551"/>
        <v>0.115862068965517</v>
      </c>
      <c r="S1822" s="82">
        <f t="shared" si="552"/>
        <v>45041</v>
      </c>
      <c r="T1822" s="83">
        <f t="shared" si="553"/>
        <v>0.245875</v>
      </c>
      <c r="U1822" s="83">
        <f t="shared" si="553"/>
        <v>0.198125</v>
      </c>
      <c r="W1822" s="146">
        <v>45041</v>
      </c>
      <c r="X1822" s="147">
        <v>4.2</v>
      </c>
      <c r="Y1822" s="147">
        <v>3.83</v>
      </c>
      <c r="Z1822" s="147">
        <v>3.934</v>
      </c>
      <c r="AA1822" s="59" cm="1">
        <f t="array" ref="AA1822">INDEX($BX$29:$BX$1449,MATCH($D1822,$BR$29:$BR$1449,0),)</f>
        <v>3.17</v>
      </c>
      <c r="AB1822" s="150">
        <f t="shared" si="554"/>
        <v>0</v>
      </c>
      <c r="AC1822" s="150">
        <f t="shared" si="556"/>
        <v>0.00408371618172532</v>
      </c>
      <c r="AD1822" s="150">
        <f t="shared" ref="AD1822:AD1885" si="559">Z1822/Z1812-1</f>
        <v>0.003315480744708</v>
      </c>
      <c r="AE1822" s="89">
        <f t="shared" si="555"/>
        <v>0.241009463722398</v>
      </c>
      <c r="AF1822" s="36"/>
      <c r="GF1822" s="104">
        <f t="shared" si="544"/>
        <v>2020</v>
      </c>
      <c r="GG1822" s="104">
        <f t="shared" si="545"/>
        <v>11</v>
      </c>
      <c r="GH1822" s="35">
        <v>43900</v>
      </c>
      <c r="GI1822" s="26">
        <v>1.97</v>
      </c>
      <c r="GJ1822" s="94">
        <f t="shared" si="546"/>
        <v>3.94</v>
      </c>
      <c r="GK1822" s="104"/>
      <c r="GL1822" s="104"/>
    </row>
    <row r="1823" spans="3:194">
      <c r="C1823" s="80" t="str" cm="1">
        <f t="array" ref="C1823">_xlfn.IFS(MONTH(D1823)&lt;4,1,MONTH(D1823)&lt;7,2,MONTH(D1823)&lt;10,3,MONTH(D1823)&gt;9,4)&amp;"Q"&amp;RIGHT(YEAR(D1823),2)</f>
        <v>2Q23</v>
      </c>
      <c r="D1823" s="81">
        <f t="shared" si="558"/>
        <v>45046</v>
      </c>
      <c r="E1823" s="82">
        <f t="shared" si="550"/>
        <v>45042</v>
      </c>
      <c r="F1823" s="83">
        <f t="shared" si="557"/>
        <v>0.20225</v>
      </c>
      <c r="G1823" s="83">
        <f t="shared" si="557"/>
        <v>0.18125</v>
      </c>
      <c r="H1823" s="81"/>
      <c r="I1823" s="146">
        <v>45042</v>
      </c>
      <c r="J1823" s="147">
        <v>1.75</v>
      </c>
      <c r="K1823" s="147">
        <v>1.55</v>
      </c>
      <c r="L1823" s="147">
        <v>1.618</v>
      </c>
      <c r="M1823" s="59" cm="1">
        <f t="array" ref="M1823">INDEX($BV$29:$BV$1449,MATCH($D1823,$BR$29:$BR$1449,0),)</f>
        <v>1.45</v>
      </c>
      <c r="N1823" s="150">
        <f t="shared" si="542"/>
        <v>0</v>
      </c>
      <c r="O1823" s="150">
        <f t="shared" si="543"/>
        <v>-0.0073619631901839</v>
      </c>
      <c r="P1823" s="150">
        <f t="shared" si="549"/>
        <v>-0.0097919216646265</v>
      </c>
      <c r="Q1823" s="89">
        <f t="shared" si="551"/>
        <v>0.115862068965517</v>
      </c>
      <c r="S1823" s="82">
        <f t="shared" si="552"/>
        <v>45042</v>
      </c>
      <c r="T1823" s="83">
        <f t="shared" si="553"/>
        <v>0.245875</v>
      </c>
      <c r="U1823" s="83">
        <f t="shared" si="553"/>
        <v>0.198125</v>
      </c>
      <c r="W1823" s="146">
        <v>45042</v>
      </c>
      <c r="X1823" s="147">
        <v>4.2</v>
      </c>
      <c r="Y1823" s="147">
        <v>3.83</v>
      </c>
      <c r="Z1823" s="147">
        <v>3.934</v>
      </c>
      <c r="AA1823" s="59" cm="1">
        <f t="array" ref="AA1823">INDEX($BX$29:$BX$1449,MATCH($D1823,$BR$29:$BR$1449,0),)</f>
        <v>3.17</v>
      </c>
      <c r="AB1823" s="150">
        <f t="shared" si="554"/>
        <v>0</v>
      </c>
      <c r="AC1823" s="150">
        <f t="shared" si="556"/>
        <v>0.00408371618172532</v>
      </c>
      <c r="AD1823" s="150">
        <f t="shared" si="559"/>
        <v>0.00408371618172532</v>
      </c>
      <c r="AE1823" s="89">
        <f t="shared" si="555"/>
        <v>0.241009463722398</v>
      </c>
      <c r="AF1823" s="36"/>
      <c r="GF1823" s="104">
        <f t="shared" si="544"/>
        <v>2020</v>
      </c>
      <c r="GG1823" s="104">
        <f t="shared" si="545"/>
        <v>11</v>
      </c>
      <c r="GH1823" s="35">
        <v>43901</v>
      </c>
      <c r="GI1823" s="26">
        <v>1.953</v>
      </c>
      <c r="GJ1823" s="94">
        <f t="shared" si="546"/>
        <v>3.906</v>
      </c>
      <c r="GK1823" s="104"/>
      <c r="GL1823" s="104"/>
    </row>
    <row r="1824" spans="3:194">
      <c r="C1824" s="80" t="str" cm="1">
        <f t="array" ref="C1824">_xlfn.IFS(MONTH(D1824)&lt;4,1,MONTH(D1824)&lt;7,2,MONTH(D1824)&lt;10,3,MONTH(D1824)&gt;9,4)&amp;"Q"&amp;RIGHT(YEAR(D1824),2)</f>
        <v>2Q23</v>
      </c>
      <c r="D1824" s="81">
        <f t="shared" si="558"/>
        <v>45046</v>
      </c>
      <c r="E1824" s="82">
        <f t="shared" si="550"/>
        <v>45043</v>
      </c>
      <c r="F1824" s="83">
        <f t="shared" si="557"/>
        <v>0.20225</v>
      </c>
      <c r="G1824" s="83">
        <f t="shared" si="557"/>
        <v>0.18125</v>
      </c>
      <c r="H1824" s="81"/>
      <c r="I1824" s="146">
        <v>45043</v>
      </c>
      <c r="J1824" s="147">
        <v>1.7</v>
      </c>
      <c r="K1824" s="147">
        <v>1.57</v>
      </c>
      <c r="L1824" s="147">
        <v>1.618</v>
      </c>
      <c r="M1824" s="59" cm="1">
        <f t="array" ref="M1824">INDEX($BV$29:$BV$1449,MATCH($D1824,$BR$29:$BR$1449,0),)</f>
        <v>1.45</v>
      </c>
      <c r="N1824" s="150">
        <f t="shared" si="542"/>
        <v>0</v>
      </c>
      <c r="O1824" s="150">
        <f t="shared" si="543"/>
        <v>-0.0073619631901839</v>
      </c>
      <c r="P1824" s="150">
        <f t="shared" si="549"/>
        <v>-0.00918554807103489</v>
      </c>
      <c r="Q1824" s="89">
        <f t="shared" si="551"/>
        <v>0.115862068965517</v>
      </c>
      <c r="S1824" s="82">
        <f t="shared" si="552"/>
        <v>45043</v>
      </c>
      <c r="T1824" s="83">
        <f t="shared" si="553"/>
        <v>0.2470625</v>
      </c>
      <c r="U1824" s="83">
        <f t="shared" si="553"/>
        <v>0.198125</v>
      </c>
      <c r="W1824" s="146">
        <v>45043</v>
      </c>
      <c r="X1824" s="147">
        <v>4.2</v>
      </c>
      <c r="Y1824" s="147">
        <v>3.85</v>
      </c>
      <c r="Z1824" s="147">
        <v>3.953</v>
      </c>
      <c r="AA1824" s="59" cm="1">
        <f t="array" ref="AA1824">INDEX($BX$29:$BX$1449,MATCH($D1824,$BR$29:$BR$1449,0),)</f>
        <v>3.17</v>
      </c>
      <c r="AB1824" s="150">
        <f t="shared" si="554"/>
        <v>0.00482968988307064</v>
      </c>
      <c r="AC1824" s="150">
        <f t="shared" si="556"/>
        <v>0.00893312914752409</v>
      </c>
      <c r="AD1824" s="150">
        <f t="shared" si="559"/>
        <v>0.00893312914752409</v>
      </c>
      <c r="AE1824" s="89">
        <f t="shared" si="555"/>
        <v>0.247003154574132</v>
      </c>
      <c r="AF1824" s="36"/>
      <c r="GF1824" s="104">
        <f t="shared" si="544"/>
        <v>2020</v>
      </c>
      <c r="GG1824" s="104">
        <f t="shared" si="545"/>
        <v>11</v>
      </c>
      <c r="GH1824" s="35">
        <v>43902</v>
      </c>
      <c r="GI1824" s="26">
        <v>1.953</v>
      </c>
      <c r="GJ1824" s="94">
        <f t="shared" si="546"/>
        <v>3.906</v>
      </c>
      <c r="GK1824" s="104"/>
      <c r="GL1824" s="104"/>
    </row>
    <row r="1825" spans="3:194">
      <c r="C1825" s="80" t="str" cm="1">
        <f t="array" ref="C1825">_xlfn.IFS(MONTH(D1825)&lt;4,1,MONTH(D1825)&lt;7,2,MONTH(D1825)&lt;10,3,MONTH(D1825)&gt;9,4)&amp;"Q"&amp;RIGHT(YEAR(D1825),2)</f>
        <v>2Q23</v>
      </c>
      <c r="D1825" s="81">
        <f t="shared" si="558"/>
        <v>45046</v>
      </c>
      <c r="E1825" s="82">
        <f t="shared" si="550"/>
        <v>45044</v>
      </c>
      <c r="F1825" s="83">
        <f t="shared" si="557"/>
        <v>0.20225</v>
      </c>
      <c r="G1825" s="83">
        <f t="shared" si="557"/>
        <v>0.18125</v>
      </c>
      <c r="H1825" s="81"/>
      <c r="I1825" s="146">
        <v>45044</v>
      </c>
      <c r="J1825" s="147">
        <v>1.7</v>
      </c>
      <c r="K1825" s="147">
        <v>1.57</v>
      </c>
      <c r="L1825" s="147">
        <v>1.618</v>
      </c>
      <c r="M1825" s="59" cm="1">
        <f t="array" ref="M1825">INDEX($BV$29:$BV$1449,MATCH($D1825,$BR$29:$BR$1449,0),)</f>
        <v>1.45</v>
      </c>
      <c r="N1825" s="150">
        <f t="shared" si="542"/>
        <v>0</v>
      </c>
      <c r="O1825" s="150">
        <f t="shared" si="543"/>
        <v>-0.0067526089625537</v>
      </c>
      <c r="P1825" s="150">
        <f t="shared" si="549"/>
        <v>-0.00918554807103489</v>
      </c>
      <c r="Q1825" s="89">
        <f t="shared" si="551"/>
        <v>0.115862068965517</v>
      </c>
      <c r="S1825" s="82">
        <f t="shared" si="552"/>
        <v>45044</v>
      </c>
      <c r="T1825" s="83">
        <f t="shared" si="553"/>
        <v>0.2470625</v>
      </c>
      <c r="U1825" s="83">
        <f t="shared" si="553"/>
        <v>0.198125</v>
      </c>
      <c r="W1825" s="146">
        <v>45044</v>
      </c>
      <c r="X1825" s="147">
        <v>4.2</v>
      </c>
      <c r="Y1825" s="147">
        <v>3.9</v>
      </c>
      <c r="Z1825" s="147">
        <v>3.953</v>
      </c>
      <c r="AA1825" s="59" cm="1">
        <f t="array" ref="AA1825">INDEX($BX$29:$BX$1449,MATCH($D1825,$BR$29:$BR$1449,0),)</f>
        <v>3.17</v>
      </c>
      <c r="AB1825" s="150">
        <f t="shared" si="554"/>
        <v>0</v>
      </c>
      <c r="AC1825" s="150">
        <f t="shared" si="556"/>
        <v>0.00893312914752409</v>
      </c>
      <c r="AD1825" s="150">
        <f t="shared" si="559"/>
        <v>0.00893312914752409</v>
      </c>
      <c r="AE1825" s="89">
        <f t="shared" si="555"/>
        <v>0.247003154574132</v>
      </c>
      <c r="AF1825" s="36"/>
      <c r="GF1825" s="104">
        <f t="shared" si="544"/>
        <v>2020</v>
      </c>
      <c r="GG1825" s="104">
        <f t="shared" si="545"/>
        <v>11</v>
      </c>
      <c r="GH1825" s="35">
        <v>43903</v>
      </c>
      <c r="GI1825" s="26">
        <v>1.95</v>
      </c>
      <c r="GJ1825" s="94">
        <f t="shared" si="546"/>
        <v>3.9</v>
      </c>
      <c r="GK1825" s="104"/>
      <c r="GL1825" s="104"/>
    </row>
    <row r="1826" spans="3:194">
      <c r="C1826" s="80" t="str" cm="1">
        <f t="array" ref="C1826">_xlfn.IFS(MONTH(D1826)&lt;4,1,MONTH(D1826)&lt;7,2,MONTH(D1826)&lt;10,3,MONTH(D1826)&gt;9,4)&amp;"Q"&amp;RIGHT(YEAR(D1826),2)</f>
        <v>2Q23</v>
      </c>
      <c r="D1826" s="81">
        <f t="shared" si="558"/>
        <v>45077</v>
      </c>
      <c r="E1826" s="82">
        <f t="shared" si="550"/>
        <v>45047</v>
      </c>
      <c r="F1826" s="83">
        <f t="shared" si="557"/>
        <v>0.20225</v>
      </c>
      <c r="G1826" s="83">
        <f t="shared" si="557"/>
        <v>0.175</v>
      </c>
      <c r="H1826" s="81"/>
      <c r="I1826" s="146">
        <v>45047</v>
      </c>
      <c r="J1826" s="147">
        <v>1.69</v>
      </c>
      <c r="K1826" s="147">
        <v>1.58</v>
      </c>
      <c r="L1826" s="147">
        <v>1.618</v>
      </c>
      <c r="M1826" s="59" cm="1">
        <f t="array" ref="M1826">INDEX($BV$29:$BV$1449,MATCH($D1826,$BR$29:$BR$1449,0),)</f>
        <v>1.4</v>
      </c>
      <c r="N1826" s="150">
        <f t="shared" si="542"/>
        <v>0</v>
      </c>
      <c r="O1826" s="150">
        <f t="shared" si="543"/>
        <v>-0.00246609124537611</v>
      </c>
      <c r="P1826" s="150">
        <f t="shared" si="549"/>
        <v>-0.0073619631901839</v>
      </c>
      <c r="Q1826" s="89">
        <f t="shared" si="551"/>
        <v>0.155714285714286</v>
      </c>
      <c r="S1826" s="82">
        <f t="shared" si="552"/>
        <v>45048</v>
      </c>
      <c r="T1826" s="83">
        <f t="shared" si="553"/>
        <v>0.2475625</v>
      </c>
      <c r="U1826" s="83">
        <f t="shared" si="553"/>
        <v>0.198125</v>
      </c>
      <c r="W1826" s="146">
        <v>45048</v>
      </c>
      <c r="X1826" s="147">
        <v>4.2</v>
      </c>
      <c r="Y1826" s="147">
        <v>3.92</v>
      </c>
      <c r="Z1826" s="147">
        <v>3.961</v>
      </c>
      <c r="AA1826" s="59" cm="1">
        <f t="array" ref="AA1826">INDEX($BX$29:$BX$1449,MATCH($D1826,$BR$29:$BR$1449,0),)</f>
        <v>3.17</v>
      </c>
      <c r="AB1826" s="150">
        <f t="shared" si="554"/>
        <v>0.00202377940804443</v>
      </c>
      <c r="AC1826" s="150">
        <f t="shared" si="556"/>
        <v>0.00686324351804779</v>
      </c>
      <c r="AD1826" s="150">
        <f t="shared" si="559"/>
        <v>0.0109749872383869</v>
      </c>
      <c r="AE1826" s="89">
        <f t="shared" si="555"/>
        <v>0.249526813880126</v>
      </c>
      <c r="AF1826" s="36"/>
      <c r="GF1826" s="104">
        <f t="shared" si="544"/>
        <v>2020</v>
      </c>
      <c r="GG1826" s="104">
        <f t="shared" si="545"/>
        <v>12</v>
      </c>
      <c r="GH1826" s="35">
        <v>43906</v>
      </c>
      <c r="GI1826" s="26">
        <v>1.939</v>
      </c>
      <c r="GJ1826" s="94">
        <f t="shared" si="546"/>
        <v>3.878</v>
      </c>
      <c r="GK1826" s="104"/>
      <c r="GL1826" s="104"/>
    </row>
    <row r="1827" spans="3:194">
      <c r="C1827" s="80" t="str" cm="1">
        <f t="array" ref="C1827">_xlfn.IFS(MONTH(D1827)&lt;4,1,MONTH(D1827)&lt;7,2,MONTH(D1827)&lt;10,3,MONTH(D1827)&gt;9,4)&amp;"Q"&amp;RIGHT(YEAR(D1827),2)</f>
        <v>2Q23</v>
      </c>
      <c r="D1827" s="81">
        <f t="shared" si="558"/>
        <v>45077</v>
      </c>
      <c r="E1827" s="82">
        <f t="shared" si="550"/>
        <v>45049</v>
      </c>
      <c r="F1827" s="83">
        <f t="shared" si="557"/>
        <v>0.20225</v>
      </c>
      <c r="G1827" s="83">
        <f t="shared" si="557"/>
        <v>0.175</v>
      </c>
      <c r="H1827" s="81"/>
      <c r="I1827" s="146">
        <v>45049</v>
      </c>
      <c r="J1827" s="147">
        <v>1.69</v>
      </c>
      <c r="K1827" s="147">
        <v>1.58</v>
      </c>
      <c r="L1827" s="147">
        <v>1.618</v>
      </c>
      <c r="M1827" s="59" cm="1">
        <f t="array" ref="M1827">INDEX($BV$29:$BV$1449,MATCH($D1827,$BR$29:$BR$1449,0),)</f>
        <v>1.4</v>
      </c>
      <c r="N1827" s="150">
        <f t="shared" si="542"/>
        <v>0</v>
      </c>
      <c r="O1827" s="150">
        <f t="shared" si="543"/>
        <v>0</v>
      </c>
      <c r="P1827" s="150">
        <f t="shared" si="549"/>
        <v>-0.0073619631901839</v>
      </c>
      <c r="Q1827" s="89">
        <f t="shared" si="551"/>
        <v>0.155714285714286</v>
      </c>
      <c r="S1827" s="82">
        <f t="shared" si="552"/>
        <v>45049</v>
      </c>
      <c r="T1827" s="83">
        <f t="shared" si="553"/>
        <v>0.2475625</v>
      </c>
      <c r="U1827" s="83">
        <f t="shared" si="553"/>
        <v>0.198125</v>
      </c>
      <c r="W1827" s="146">
        <v>45049</v>
      </c>
      <c r="X1827" s="147">
        <v>4.2</v>
      </c>
      <c r="Y1827" s="147">
        <v>3.92</v>
      </c>
      <c r="Z1827" s="147">
        <v>3.961</v>
      </c>
      <c r="AA1827" s="59" cm="1">
        <f t="array" ref="AA1827">INDEX($BX$29:$BX$1449,MATCH($D1827,$BR$29:$BR$1449,0),)</f>
        <v>3.17</v>
      </c>
      <c r="AB1827" s="150">
        <f t="shared" si="554"/>
        <v>0</v>
      </c>
      <c r="AC1827" s="150">
        <f t="shared" si="556"/>
        <v>0.00686324351804779</v>
      </c>
      <c r="AD1827" s="150">
        <f t="shared" si="559"/>
        <v>0.0109749872383869</v>
      </c>
      <c r="AE1827" s="89">
        <f t="shared" si="555"/>
        <v>0.249526813880126</v>
      </c>
      <c r="AF1827" s="36"/>
      <c r="GF1827" s="104">
        <f t="shared" si="544"/>
        <v>2020</v>
      </c>
      <c r="GG1827" s="104">
        <f t="shared" si="545"/>
        <v>12</v>
      </c>
      <c r="GH1827" s="35">
        <v>43907</v>
      </c>
      <c r="GI1827" s="26">
        <v>1.937</v>
      </c>
      <c r="GJ1827" s="94">
        <f t="shared" si="546"/>
        <v>3.874</v>
      </c>
      <c r="GK1827" s="104"/>
      <c r="GL1827" s="104"/>
    </row>
    <row r="1828" spans="3:194">
      <c r="C1828" s="80" t="str" cm="1">
        <f t="array" ref="C1828">_xlfn.IFS(MONTH(D1828)&lt;4,1,MONTH(D1828)&lt;7,2,MONTH(D1828)&lt;10,3,MONTH(D1828)&gt;9,4)&amp;"Q"&amp;RIGHT(YEAR(D1828),2)</f>
        <v>2Q23</v>
      </c>
      <c r="D1828" s="81">
        <f t="shared" si="558"/>
        <v>45077</v>
      </c>
      <c r="E1828" s="82">
        <f t="shared" si="550"/>
        <v>45050</v>
      </c>
      <c r="F1828" s="83">
        <f t="shared" si="557"/>
        <v>0.202125</v>
      </c>
      <c r="G1828" s="83">
        <f t="shared" si="557"/>
        <v>0.175</v>
      </c>
      <c r="H1828" s="81"/>
      <c r="I1828" s="146">
        <v>45050</v>
      </c>
      <c r="J1828" s="147">
        <v>1.69</v>
      </c>
      <c r="K1828" s="147">
        <v>1.58</v>
      </c>
      <c r="L1828" s="147">
        <v>1.617</v>
      </c>
      <c r="M1828" s="59" cm="1">
        <f t="array" ref="M1828">INDEX($BV$29:$BV$1449,MATCH($D1828,$BR$29:$BR$1449,0),)</f>
        <v>1.4</v>
      </c>
      <c r="N1828" s="150">
        <f t="shared" si="542"/>
        <v>-0.000618046971569863</v>
      </c>
      <c r="O1828" s="150">
        <f t="shared" si="543"/>
        <v>-0.000618046971569863</v>
      </c>
      <c r="P1828" s="150">
        <f t="shared" si="549"/>
        <v>-0.00797546012269934</v>
      </c>
      <c r="Q1828" s="89">
        <f t="shared" si="551"/>
        <v>0.155</v>
      </c>
      <c r="S1828" s="82">
        <f t="shared" si="552"/>
        <v>45050</v>
      </c>
      <c r="T1828" s="83">
        <f t="shared" si="553"/>
        <v>0.24975</v>
      </c>
      <c r="U1828" s="83">
        <f t="shared" si="553"/>
        <v>0.198125</v>
      </c>
      <c r="W1828" s="146">
        <v>45050</v>
      </c>
      <c r="X1828" s="147">
        <v>4.3</v>
      </c>
      <c r="Y1828" s="147">
        <v>3.95</v>
      </c>
      <c r="Z1828" s="147">
        <v>3.996</v>
      </c>
      <c r="AA1828" s="59" cm="1">
        <f t="array" ref="AA1828">INDEX($BX$29:$BX$1449,MATCH($D1828,$BR$29:$BR$1449,0),)</f>
        <v>3.17</v>
      </c>
      <c r="AB1828" s="150">
        <f t="shared" si="554"/>
        <v>0.00883615248674574</v>
      </c>
      <c r="AC1828" s="150">
        <f t="shared" si="556"/>
        <v>0.0157600406710727</v>
      </c>
      <c r="AD1828" s="150">
        <f t="shared" si="559"/>
        <v>0.0199081163859112</v>
      </c>
      <c r="AE1828" s="89">
        <f t="shared" si="555"/>
        <v>0.260567823343849</v>
      </c>
      <c r="AF1828" s="36"/>
      <c r="GF1828" s="104">
        <f t="shared" si="544"/>
        <v>2020</v>
      </c>
      <c r="GG1828" s="104">
        <f t="shared" si="545"/>
        <v>12</v>
      </c>
      <c r="GH1828" s="35">
        <v>43908</v>
      </c>
      <c r="GI1828" s="26">
        <v>1.901</v>
      </c>
      <c r="GJ1828" s="94">
        <f t="shared" si="546"/>
        <v>3.802</v>
      </c>
      <c r="GK1828" s="104"/>
      <c r="GL1828" s="104"/>
    </row>
    <row r="1829" spans="3:194">
      <c r="C1829" s="80" t="str" cm="1">
        <f t="array" ref="C1829">_xlfn.IFS(MONTH(D1829)&lt;4,1,MONTH(D1829)&lt;7,2,MONTH(D1829)&lt;10,3,MONTH(D1829)&gt;9,4)&amp;"Q"&amp;RIGHT(YEAR(D1829),2)</f>
        <v>2Q23</v>
      </c>
      <c r="D1829" s="81">
        <f t="shared" si="558"/>
        <v>45077</v>
      </c>
      <c r="E1829" s="82">
        <f t="shared" si="550"/>
        <v>45051</v>
      </c>
      <c r="F1829" s="83">
        <f t="shared" si="557"/>
        <v>0.202125</v>
      </c>
      <c r="G1829" s="83">
        <f t="shared" si="557"/>
        <v>0.175</v>
      </c>
      <c r="H1829" s="81"/>
      <c r="I1829" s="146">
        <v>45051</v>
      </c>
      <c r="J1829" s="147">
        <v>1.68</v>
      </c>
      <c r="K1829" s="147">
        <v>1.58</v>
      </c>
      <c r="L1829" s="147">
        <v>1.617</v>
      </c>
      <c r="M1829" s="59" cm="1">
        <f t="array" ref="M1829">INDEX($BV$29:$BV$1449,MATCH($D1829,$BR$29:$BR$1449,0),)</f>
        <v>1.4</v>
      </c>
      <c r="N1829" s="150">
        <f t="shared" si="542"/>
        <v>0</v>
      </c>
      <c r="O1829" s="150">
        <f t="shared" si="543"/>
        <v>-0.000618046971569863</v>
      </c>
      <c r="P1829" s="150">
        <f t="shared" si="549"/>
        <v>-0.00797546012269934</v>
      </c>
      <c r="Q1829" s="89">
        <f t="shared" si="551"/>
        <v>0.155</v>
      </c>
      <c r="S1829" s="82">
        <f t="shared" si="552"/>
        <v>45051</v>
      </c>
      <c r="T1829" s="83">
        <f t="shared" si="553"/>
        <v>0.2521875</v>
      </c>
      <c r="U1829" s="83">
        <f t="shared" si="553"/>
        <v>0.198125</v>
      </c>
      <c r="W1829" s="146">
        <v>45051</v>
      </c>
      <c r="X1829" s="147">
        <v>4.35</v>
      </c>
      <c r="Y1829" s="147">
        <v>3.98</v>
      </c>
      <c r="Z1829" s="147">
        <v>4.035</v>
      </c>
      <c r="AA1829" s="59" cm="1">
        <f t="array" ref="AA1829">INDEX($BX$29:$BX$1449,MATCH($D1829,$BR$29:$BR$1449,0),)</f>
        <v>3.17</v>
      </c>
      <c r="AB1829" s="150">
        <f t="shared" si="554"/>
        <v>0.00975975975975985</v>
      </c>
      <c r="AC1829" s="150">
        <f t="shared" si="556"/>
        <v>0.0207437389324565</v>
      </c>
      <c r="AD1829" s="150">
        <f t="shared" si="559"/>
        <v>0.0298621745788668</v>
      </c>
      <c r="AE1829" s="89">
        <f t="shared" si="555"/>
        <v>0.272870662460568</v>
      </c>
      <c r="AF1829" s="36"/>
      <c r="GF1829" s="104">
        <f t="shared" si="544"/>
        <v>2020</v>
      </c>
      <c r="GG1829" s="104">
        <f t="shared" si="545"/>
        <v>12</v>
      </c>
      <c r="GH1829" s="35">
        <v>43909</v>
      </c>
      <c r="GI1829" s="26">
        <v>1.882</v>
      </c>
      <c r="GJ1829" s="94">
        <f t="shared" si="546"/>
        <v>3.764</v>
      </c>
      <c r="GK1829" s="104"/>
      <c r="GL1829" s="104"/>
    </row>
    <row r="1830" spans="3:194">
      <c r="C1830" s="80" t="str" cm="1">
        <f t="array" ref="C1830">_xlfn.IFS(MONTH(D1830)&lt;4,1,MONTH(D1830)&lt;7,2,MONTH(D1830)&lt;10,3,MONTH(D1830)&gt;9,4)&amp;"Q"&amp;RIGHT(YEAR(D1830),2)</f>
        <v>2Q23</v>
      </c>
      <c r="D1830" s="81">
        <f t="shared" si="558"/>
        <v>45077</v>
      </c>
      <c r="E1830" s="82">
        <f t="shared" si="550"/>
        <v>45054</v>
      </c>
      <c r="F1830" s="83">
        <f t="shared" si="557"/>
        <v>0.201125</v>
      </c>
      <c r="G1830" s="83">
        <f t="shared" si="557"/>
        <v>0.175</v>
      </c>
      <c r="H1830" s="81"/>
      <c r="I1830" s="146">
        <v>45054</v>
      </c>
      <c r="J1830" s="147">
        <v>1.68</v>
      </c>
      <c r="K1830" s="147">
        <v>1.56</v>
      </c>
      <c r="L1830" s="147">
        <v>1.609</v>
      </c>
      <c r="M1830" s="59" cm="1">
        <f t="array" ref="M1830">INDEX($BV$29:$BV$1449,MATCH($D1830,$BR$29:$BR$1449,0),)</f>
        <v>1.4</v>
      </c>
      <c r="N1830" s="150">
        <f t="shared" si="542"/>
        <v>-0.00494743351886207</v>
      </c>
      <c r="O1830" s="150">
        <f t="shared" si="543"/>
        <v>-0.00556242274412866</v>
      </c>
      <c r="P1830" s="150">
        <f t="shared" si="549"/>
        <v>-0.0122774708410067</v>
      </c>
      <c r="Q1830" s="89">
        <f t="shared" si="551"/>
        <v>0.149285714285714</v>
      </c>
      <c r="S1830" s="82">
        <f t="shared" si="552"/>
        <v>45054</v>
      </c>
      <c r="T1830" s="83">
        <f t="shared" si="553"/>
        <v>0.2538125</v>
      </c>
      <c r="U1830" s="83">
        <f t="shared" si="553"/>
        <v>0.198125</v>
      </c>
      <c r="W1830" s="146">
        <v>45054</v>
      </c>
      <c r="X1830" s="147">
        <v>4.4</v>
      </c>
      <c r="Y1830" s="147">
        <v>4</v>
      </c>
      <c r="Z1830" s="147">
        <v>4.061</v>
      </c>
      <c r="AA1830" s="59" cm="1">
        <f t="array" ref="AA1830">INDEX($BX$29:$BX$1449,MATCH($D1830,$BR$29:$BR$1449,0),)</f>
        <v>3.17</v>
      </c>
      <c r="AB1830" s="150">
        <f t="shared" si="554"/>
        <v>0.00644361833952911</v>
      </c>
      <c r="AC1830" s="150">
        <f t="shared" si="556"/>
        <v>0.0273210220086011</v>
      </c>
      <c r="AD1830" s="150">
        <f t="shared" si="559"/>
        <v>0.0364982133741705</v>
      </c>
      <c r="AE1830" s="89">
        <f t="shared" si="555"/>
        <v>0.281072555205047</v>
      </c>
      <c r="AF1830" s="36"/>
      <c r="GF1830" s="104">
        <f t="shared" si="544"/>
        <v>2020</v>
      </c>
      <c r="GG1830" s="104">
        <f t="shared" si="545"/>
        <v>12</v>
      </c>
      <c r="GH1830" s="35">
        <v>43910</v>
      </c>
      <c r="GI1830" s="26">
        <v>1.87</v>
      </c>
      <c r="GJ1830" s="94">
        <f t="shared" si="546"/>
        <v>3.74</v>
      </c>
      <c r="GK1830" s="104"/>
      <c r="GL1830" s="104"/>
    </row>
    <row r="1831" spans="3:194">
      <c r="C1831" s="80" t="str" cm="1">
        <f t="array" ref="C1831">_xlfn.IFS(MONTH(D1831)&lt;4,1,MONTH(D1831)&lt;7,2,MONTH(D1831)&lt;10,3,MONTH(D1831)&gt;9,4)&amp;"Q"&amp;RIGHT(YEAR(D1831),2)</f>
        <v>2Q23</v>
      </c>
      <c r="D1831" s="81">
        <f t="shared" si="558"/>
        <v>45077</v>
      </c>
      <c r="E1831" s="82">
        <f t="shared" si="550"/>
        <v>45055</v>
      </c>
      <c r="F1831" s="83">
        <f t="shared" si="557"/>
        <v>0.20075</v>
      </c>
      <c r="G1831" s="83">
        <f t="shared" si="557"/>
        <v>0.175</v>
      </c>
      <c r="H1831" s="81"/>
      <c r="I1831" s="146">
        <v>45055</v>
      </c>
      <c r="J1831" s="147">
        <v>1.65</v>
      </c>
      <c r="K1831" s="147">
        <v>1.55</v>
      </c>
      <c r="L1831" s="147">
        <v>1.606</v>
      </c>
      <c r="M1831" s="59" cm="1">
        <f t="array" ref="M1831">INDEX($BV$29:$BV$1449,MATCH($D1831,$BR$29:$BR$1449,0),)</f>
        <v>1.4</v>
      </c>
      <c r="N1831" s="150">
        <f t="shared" si="542"/>
        <v>-0.0018645121193287</v>
      </c>
      <c r="O1831" s="150">
        <f t="shared" si="543"/>
        <v>-0.00741656365883803</v>
      </c>
      <c r="P1831" s="150">
        <f t="shared" si="549"/>
        <v>-0.00986436498150434</v>
      </c>
      <c r="Q1831" s="89">
        <f t="shared" si="551"/>
        <v>0.147142857142857</v>
      </c>
      <c r="S1831" s="82">
        <f t="shared" si="552"/>
        <v>45055</v>
      </c>
      <c r="T1831" s="83">
        <f t="shared" si="553"/>
        <v>0.255375</v>
      </c>
      <c r="U1831" s="83">
        <f t="shared" si="553"/>
        <v>0.198125</v>
      </c>
      <c r="W1831" s="146">
        <v>45055</v>
      </c>
      <c r="X1831" s="147">
        <v>4.45</v>
      </c>
      <c r="Y1831" s="147">
        <v>4.05</v>
      </c>
      <c r="Z1831" s="147">
        <v>4.086</v>
      </c>
      <c r="AA1831" s="59" cm="1">
        <f t="array" ref="AA1831">INDEX($BX$29:$BX$1449,MATCH($D1831,$BR$29:$BR$1449,0),)</f>
        <v>3.17</v>
      </c>
      <c r="AB1831" s="150">
        <f t="shared" si="554"/>
        <v>0.0061561191824675</v>
      </c>
      <c r="AC1831" s="150">
        <f t="shared" si="556"/>
        <v>0.0315576874526635</v>
      </c>
      <c r="AD1831" s="150">
        <f t="shared" si="559"/>
        <v>0.0386375190645654</v>
      </c>
      <c r="AE1831" s="89">
        <f t="shared" si="555"/>
        <v>0.288958990536278</v>
      </c>
      <c r="AF1831" s="36"/>
      <c r="GF1831" s="104">
        <f t="shared" si="544"/>
        <v>2020</v>
      </c>
      <c r="GG1831" s="104">
        <f t="shared" si="545"/>
        <v>13</v>
      </c>
      <c r="GH1831" s="35">
        <v>43913</v>
      </c>
      <c r="GI1831" s="26">
        <v>1.854</v>
      </c>
      <c r="GJ1831" s="94">
        <f t="shared" si="546"/>
        <v>3.708</v>
      </c>
      <c r="GK1831" s="104"/>
      <c r="GL1831" s="104"/>
    </row>
    <row r="1832" spans="3:194">
      <c r="C1832" s="80" t="str" cm="1">
        <f t="array" ref="C1832">_xlfn.IFS(MONTH(D1832)&lt;4,1,MONTH(D1832)&lt;7,2,MONTH(D1832)&lt;10,3,MONTH(D1832)&gt;9,4)&amp;"Q"&amp;RIGHT(YEAR(D1832),2)</f>
        <v>2Q23</v>
      </c>
      <c r="D1832" s="81">
        <f t="shared" si="558"/>
        <v>45077</v>
      </c>
      <c r="E1832" s="82">
        <f t="shared" si="550"/>
        <v>45056</v>
      </c>
      <c r="F1832" s="83">
        <f t="shared" si="557"/>
        <v>0.200375</v>
      </c>
      <c r="G1832" s="83">
        <f t="shared" si="557"/>
        <v>0.175</v>
      </c>
      <c r="H1832" s="81"/>
      <c r="I1832" s="146">
        <v>45056</v>
      </c>
      <c r="J1832" s="147">
        <v>1.65</v>
      </c>
      <c r="K1832" s="147">
        <v>1.55</v>
      </c>
      <c r="L1832" s="147">
        <v>1.603</v>
      </c>
      <c r="M1832" s="59" cm="1">
        <f t="array" ref="M1832">INDEX($BV$29:$BV$1449,MATCH($D1832,$BR$29:$BR$1449,0),)</f>
        <v>1.4</v>
      </c>
      <c r="N1832" s="150">
        <f t="shared" si="542"/>
        <v>-0.00186799501868007</v>
      </c>
      <c r="O1832" s="150">
        <f t="shared" si="543"/>
        <v>-0.00927070457354762</v>
      </c>
      <c r="P1832" s="150">
        <f t="shared" si="549"/>
        <v>-0.00927070457354762</v>
      </c>
      <c r="Q1832" s="89">
        <f t="shared" si="551"/>
        <v>0.145</v>
      </c>
      <c r="S1832" s="82">
        <f t="shared" si="552"/>
        <v>45056</v>
      </c>
      <c r="T1832" s="83">
        <f t="shared" si="553"/>
        <v>0.257125</v>
      </c>
      <c r="U1832" s="83">
        <f t="shared" si="553"/>
        <v>0.198125</v>
      </c>
      <c r="W1832" s="146">
        <v>45056</v>
      </c>
      <c r="X1832" s="147">
        <v>4.45</v>
      </c>
      <c r="Y1832" s="147">
        <v>4.05</v>
      </c>
      <c r="Z1832" s="147">
        <v>4.114</v>
      </c>
      <c r="AA1832" s="59" cm="1">
        <f t="array" ref="AA1832">INDEX($BX$29:$BX$1449,MATCH($D1832,$BR$29:$BR$1449,0),)</f>
        <v>3.17</v>
      </c>
      <c r="AB1832" s="150">
        <f t="shared" si="554"/>
        <v>0.00685266764561909</v>
      </c>
      <c r="AC1832" s="150">
        <f t="shared" si="556"/>
        <v>0.0386266094420602</v>
      </c>
      <c r="AD1832" s="150">
        <f t="shared" si="559"/>
        <v>0.0457549567869853</v>
      </c>
      <c r="AE1832" s="89">
        <f t="shared" si="555"/>
        <v>0.297791798107256</v>
      </c>
      <c r="AF1832" s="36"/>
      <c r="GF1832" s="104">
        <f t="shared" si="544"/>
        <v>2020</v>
      </c>
      <c r="GG1832" s="104">
        <f t="shared" si="545"/>
        <v>13</v>
      </c>
      <c r="GH1832" s="35">
        <v>43914</v>
      </c>
      <c r="GI1832" s="26">
        <v>1.839</v>
      </c>
      <c r="GJ1832" s="94">
        <f t="shared" si="546"/>
        <v>3.678</v>
      </c>
      <c r="GK1832" s="104"/>
      <c r="GL1832" s="104"/>
    </row>
    <row r="1833" spans="3:194">
      <c r="C1833" s="80" t="str" cm="1">
        <f t="array" ref="C1833">_xlfn.IFS(MONTH(D1833)&lt;4,1,MONTH(D1833)&lt;7,2,MONTH(D1833)&lt;10,3,MONTH(D1833)&gt;9,4)&amp;"Q"&amp;RIGHT(YEAR(D1833),2)</f>
        <v>2Q23</v>
      </c>
      <c r="D1833" s="81">
        <f t="shared" si="558"/>
        <v>45077</v>
      </c>
      <c r="E1833" s="82">
        <f t="shared" si="550"/>
        <v>45057</v>
      </c>
      <c r="F1833" s="83">
        <f t="shared" si="557"/>
        <v>0.199625</v>
      </c>
      <c r="G1833" s="83">
        <f t="shared" si="557"/>
        <v>0.175</v>
      </c>
      <c r="H1833" s="81"/>
      <c r="I1833" s="146">
        <v>45057</v>
      </c>
      <c r="J1833" s="147">
        <v>1.65</v>
      </c>
      <c r="K1833" s="147">
        <v>1.55</v>
      </c>
      <c r="L1833" s="147">
        <v>1.597</v>
      </c>
      <c r="M1833" s="59" cm="1">
        <f t="array" ref="M1833">INDEX($BV$29:$BV$1449,MATCH($D1833,$BR$29:$BR$1449,0),)</f>
        <v>1.4</v>
      </c>
      <c r="N1833" s="150">
        <f t="shared" si="542"/>
        <v>-0.00374298190892075</v>
      </c>
      <c r="O1833" s="150">
        <f t="shared" si="543"/>
        <v>-0.0123685837971552</v>
      </c>
      <c r="P1833" s="150">
        <f t="shared" si="549"/>
        <v>-0.0129789864029667</v>
      </c>
      <c r="Q1833" s="89">
        <f t="shared" si="551"/>
        <v>0.140714285714286</v>
      </c>
      <c r="S1833" s="82">
        <f t="shared" si="552"/>
        <v>45057</v>
      </c>
      <c r="T1833" s="83">
        <f t="shared" si="553"/>
        <v>0.259</v>
      </c>
      <c r="U1833" s="83">
        <f t="shared" si="553"/>
        <v>0.198125</v>
      </c>
      <c r="W1833" s="146">
        <v>45057</v>
      </c>
      <c r="X1833" s="147">
        <v>4.45</v>
      </c>
      <c r="Y1833" s="147">
        <v>4.05</v>
      </c>
      <c r="Z1833" s="147">
        <v>4.144</v>
      </c>
      <c r="AA1833" s="59" cm="1">
        <f t="array" ref="AA1833">INDEX($BX$29:$BX$1449,MATCH($D1833,$BR$29:$BR$1449,0),)</f>
        <v>3.17</v>
      </c>
      <c r="AB1833" s="150">
        <f t="shared" si="554"/>
        <v>0.00729217306757413</v>
      </c>
      <c r="AC1833" s="150">
        <f t="shared" si="556"/>
        <v>0.037037037037037</v>
      </c>
      <c r="AD1833" s="150">
        <f t="shared" si="559"/>
        <v>0.0533807829181494</v>
      </c>
      <c r="AE1833" s="89">
        <f t="shared" si="555"/>
        <v>0.307255520504732</v>
      </c>
      <c r="AF1833" s="36"/>
      <c r="GF1833" s="104">
        <f t="shared" si="544"/>
        <v>2020</v>
      </c>
      <c r="GG1833" s="104">
        <f t="shared" si="545"/>
        <v>13</v>
      </c>
      <c r="GH1833" s="35">
        <v>43915</v>
      </c>
      <c r="GI1833" s="26">
        <v>1.813</v>
      </c>
      <c r="GJ1833" s="94">
        <f t="shared" si="546"/>
        <v>3.626</v>
      </c>
      <c r="GK1833" s="104"/>
      <c r="GL1833" s="104"/>
    </row>
    <row r="1834" spans="3:194">
      <c r="C1834" s="80" t="str" cm="1">
        <f t="array" ref="C1834">_xlfn.IFS(MONTH(D1834)&lt;4,1,MONTH(D1834)&lt;7,2,MONTH(D1834)&lt;10,3,MONTH(D1834)&gt;9,4)&amp;"Q"&amp;RIGHT(YEAR(D1834),2)</f>
        <v>2Q23</v>
      </c>
      <c r="D1834" s="81">
        <f t="shared" si="558"/>
        <v>45077</v>
      </c>
      <c r="E1834" s="82">
        <f t="shared" si="550"/>
        <v>45058</v>
      </c>
      <c r="F1834" s="83">
        <f t="shared" ref="F1834:G1849" si="560">+L1834/8</f>
        <v>0.197875</v>
      </c>
      <c r="G1834" s="83">
        <f t="shared" si="560"/>
        <v>0.175</v>
      </c>
      <c r="H1834" s="81"/>
      <c r="I1834" s="146">
        <v>45058</v>
      </c>
      <c r="J1834" s="147">
        <v>1.65</v>
      </c>
      <c r="K1834" s="147">
        <v>1.5</v>
      </c>
      <c r="L1834" s="147">
        <v>1.583</v>
      </c>
      <c r="M1834" s="59" cm="1">
        <f t="array" ref="M1834">INDEX($BV$29:$BV$1449,MATCH($D1834,$BR$29:$BR$1449,0),)</f>
        <v>1.4</v>
      </c>
      <c r="N1834" s="150">
        <f t="shared" si="542"/>
        <v>-0.00876643706950531</v>
      </c>
      <c r="O1834" s="150">
        <f t="shared" si="543"/>
        <v>-0.0210265924551639</v>
      </c>
      <c r="P1834" s="150">
        <f t="shared" si="549"/>
        <v>-0.0216316440049444</v>
      </c>
      <c r="Q1834" s="89">
        <f t="shared" si="551"/>
        <v>0.130714285714286</v>
      </c>
      <c r="S1834" s="82">
        <f t="shared" si="552"/>
        <v>45058</v>
      </c>
      <c r="T1834" s="83">
        <f t="shared" si="553"/>
        <v>0.26125</v>
      </c>
      <c r="U1834" s="83">
        <f t="shared" si="553"/>
        <v>0.198125</v>
      </c>
      <c r="W1834" s="146">
        <v>45058</v>
      </c>
      <c r="X1834" s="147">
        <v>4.45</v>
      </c>
      <c r="Y1834" s="147">
        <v>4.1</v>
      </c>
      <c r="Z1834" s="147">
        <v>4.18</v>
      </c>
      <c r="AA1834" s="59" cm="1">
        <f t="array" ref="AA1834">INDEX($BX$29:$BX$1449,MATCH($D1834,$BR$29:$BR$1449,0),)</f>
        <v>3.17</v>
      </c>
      <c r="AB1834" s="150">
        <f t="shared" si="554"/>
        <v>0.00868725868725861</v>
      </c>
      <c r="AC1834" s="150">
        <f t="shared" si="556"/>
        <v>0.0359355638166046</v>
      </c>
      <c r="AD1834" s="150">
        <f t="shared" si="559"/>
        <v>0.0574247407032633</v>
      </c>
      <c r="AE1834" s="89">
        <f t="shared" si="555"/>
        <v>0.318611987381703</v>
      </c>
      <c r="AF1834" s="36"/>
      <c r="GF1834" s="104">
        <f t="shared" si="544"/>
        <v>2020</v>
      </c>
      <c r="GG1834" s="104">
        <f t="shared" si="545"/>
        <v>13</v>
      </c>
      <c r="GH1834" s="35">
        <v>43916</v>
      </c>
      <c r="GI1834" s="26">
        <v>1.808</v>
      </c>
      <c r="GJ1834" s="94">
        <f t="shared" si="546"/>
        <v>3.616</v>
      </c>
      <c r="GK1834" s="104"/>
      <c r="GL1834" s="104"/>
    </row>
    <row r="1835" spans="3:194">
      <c r="C1835" s="80" t="str" cm="1">
        <f t="array" ref="C1835">_xlfn.IFS(MONTH(D1835)&lt;4,1,MONTH(D1835)&lt;7,2,MONTH(D1835)&lt;10,3,MONTH(D1835)&gt;9,4)&amp;"Q"&amp;RIGHT(YEAR(D1835),2)</f>
        <v>2Q23</v>
      </c>
      <c r="D1835" s="81">
        <f t="shared" si="558"/>
        <v>45077</v>
      </c>
      <c r="E1835" s="82">
        <f t="shared" si="550"/>
        <v>45061</v>
      </c>
      <c r="F1835" s="83">
        <f t="shared" si="560"/>
        <v>0.1975</v>
      </c>
      <c r="G1835" s="83">
        <f t="shared" si="560"/>
        <v>0.175</v>
      </c>
      <c r="H1835" s="81"/>
      <c r="I1835" s="146">
        <v>45061</v>
      </c>
      <c r="J1835" s="147">
        <v>1.64</v>
      </c>
      <c r="K1835" s="147">
        <v>1.45</v>
      </c>
      <c r="L1835" s="147">
        <v>1.58</v>
      </c>
      <c r="M1835" s="59" cm="1">
        <f t="array" ref="M1835">INDEX($BV$29:$BV$1449,MATCH($D1835,$BR$29:$BR$1449,0),)</f>
        <v>1.4</v>
      </c>
      <c r="N1835" s="150">
        <f t="shared" si="542"/>
        <v>-0.00189513581806688</v>
      </c>
      <c r="O1835" s="150">
        <f t="shared" si="543"/>
        <v>-0.0180236171535114</v>
      </c>
      <c r="P1835" s="150">
        <f t="shared" si="549"/>
        <v>-0.0234857849196539</v>
      </c>
      <c r="Q1835" s="89">
        <f t="shared" si="551"/>
        <v>0.128571428571429</v>
      </c>
      <c r="S1835" s="82">
        <f t="shared" si="552"/>
        <v>45061</v>
      </c>
      <c r="T1835" s="83">
        <f t="shared" si="553"/>
        <v>0.2633125</v>
      </c>
      <c r="U1835" s="83">
        <f t="shared" si="553"/>
        <v>0.198125</v>
      </c>
      <c r="W1835" s="146">
        <v>45061</v>
      </c>
      <c r="X1835" s="147">
        <v>4.45</v>
      </c>
      <c r="Y1835" s="147">
        <v>4.1</v>
      </c>
      <c r="Z1835" s="147">
        <v>4.213</v>
      </c>
      <c r="AA1835" s="59" cm="1">
        <f t="array" ref="AA1835">INDEX($BX$29:$BX$1449,MATCH($D1835,$BR$29:$BR$1449,0),)</f>
        <v>3.17</v>
      </c>
      <c r="AB1835" s="150">
        <f t="shared" si="554"/>
        <v>0.0078947368421054</v>
      </c>
      <c r="AC1835" s="150">
        <f t="shared" si="556"/>
        <v>0.0374292046294016</v>
      </c>
      <c r="AD1835" s="150">
        <f t="shared" si="559"/>
        <v>0.0657728307614471</v>
      </c>
      <c r="AE1835" s="89">
        <f t="shared" si="555"/>
        <v>0.329022082018928</v>
      </c>
      <c r="AF1835" s="36"/>
      <c r="GF1835" s="104">
        <f t="shared" si="544"/>
        <v>2020</v>
      </c>
      <c r="GG1835" s="104">
        <f t="shared" si="545"/>
        <v>13</v>
      </c>
      <c r="GH1835" s="35">
        <v>43917</v>
      </c>
      <c r="GI1835" s="26">
        <v>1.791</v>
      </c>
      <c r="GJ1835" s="94">
        <f t="shared" si="546"/>
        <v>3.582</v>
      </c>
      <c r="GK1835" s="104"/>
      <c r="GL1835" s="104"/>
    </row>
    <row r="1836" spans="3:194">
      <c r="C1836" s="80" t="str" cm="1">
        <f t="array" ref="C1836">_xlfn.IFS(MONTH(D1836)&lt;4,1,MONTH(D1836)&lt;7,2,MONTH(D1836)&lt;10,3,MONTH(D1836)&gt;9,4)&amp;"Q"&amp;RIGHT(YEAR(D1836),2)</f>
        <v>2Q23</v>
      </c>
      <c r="D1836" s="81">
        <f t="shared" si="558"/>
        <v>45077</v>
      </c>
      <c r="E1836" s="82">
        <f t="shared" si="550"/>
        <v>45062</v>
      </c>
      <c r="F1836" s="83">
        <f t="shared" si="560"/>
        <v>0.197125</v>
      </c>
      <c r="G1836" s="83">
        <f t="shared" si="560"/>
        <v>0.175</v>
      </c>
      <c r="H1836" s="81"/>
      <c r="I1836" s="146">
        <v>45062</v>
      </c>
      <c r="J1836" s="147">
        <v>1.64</v>
      </c>
      <c r="K1836" s="147">
        <v>1.41</v>
      </c>
      <c r="L1836" s="147">
        <v>1.577</v>
      </c>
      <c r="M1836" s="59" cm="1">
        <f t="array" ref="M1836">INDEX($BV$29:$BV$1449,MATCH($D1836,$BR$29:$BR$1449,0),)</f>
        <v>1.4</v>
      </c>
      <c r="N1836" s="150">
        <f t="shared" ref="N1836:N1899" si="561">L1836/L1835-1</f>
        <v>-0.00189873417721531</v>
      </c>
      <c r="O1836" s="150">
        <f t="shared" ref="O1836:O1899" si="562">L1836/L1831-1</f>
        <v>-0.0180572851805729</v>
      </c>
      <c r="P1836" s="150">
        <f t="shared" si="549"/>
        <v>-0.0253399258343635</v>
      </c>
      <c r="Q1836" s="89">
        <f t="shared" si="551"/>
        <v>0.126428571428572</v>
      </c>
      <c r="S1836" s="82">
        <f t="shared" si="552"/>
        <v>45062</v>
      </c>
      <c r="T1836" s="83">
        <f t="shared" si="553"/>
        <v>0.2648125</v>
      </c>
      <c r="U1836" s="83">
        <f t="shared" si="553"/>
        <v>0.198125</v>
      </c>
      <c r="W1836" s="146">
        <v>45062</v>
      </c>
      <c r="X1836" s="147">
        <v>4.45</v>
      </c>
      <c r="Y1836" s="147">
        <v>4.1</v>
      </c>
      <c r="Z1836" s="147">
        <v>4.237</v>
      </c>
      <c r="AA1836" s="59" cm="1">
        <f t="array" ref="AA1836">INDEX($BX$29:$BX$1449,MATCH($D1836,$BR$29:$BR$1449,0),)</f>
        <v>3.17</v>
      </c>
      <c r="AB1836" s="150">
        <f t="shared" si="554"/>
        <v>0.00569665321623547</v>
      </c>
      <c r="AC1836" s="150">
        <f t="shared" si="556"/>
        <v>0.0369554576603035</v>
      </c>
      <c r="AD1836" s="150">
        <f t="shared" si="559"/>
        <v>0.0696793738954811</v>
      </c>
      <c r="AE1836" s="89">
        <f t="shared" si="555"/>
        <v>0.336593059936909</v>
      </c>
      <c r="AF1836" s="36"/>
      <c r="GF1836" s="104">
        <f t="shared" si="544"/>
        <v>2020</v>
      </c>
      <c r="GG1836" s="104">
        <f t="shared" si="545"/>
        <v>14</v>
      </c>
      <c r="GH1836" s="35">
        <v>43920</v>
      </c>
      <c r="GI1836" s="26">
        <v>1.789</v>
      </c>
      <c r="GJ1836" s="94">
        <f t="shared" si="546"/>
        <v>3.578</v>
      </c>
      <c r="GK1836" s="104"/>
      <c r="GL1836" s="104"/>
    </row>
    <row r="1837" spans="3:194">
      <c r="C1837" s="80" t="str" cm="1">
        <f t="array" ref="C1837">_xlfn.IFS(MONTH(D1837)&lt;4,1,MONTH(D1837)&lt;7,2,MONTH(D1837)&lt;10,3,MONTH(D1837)&gt;9,4)&amp;"Q"&amp;RIGHT(YEAR(D1837),2)</f>
        <v>2Q23</v>
      </c>
      <c r="D1837" s="81">
        <f t="shared" si="558"/>
        <v>45077</v>
      </c>
      <c r="E1837" s="82">
        <f t="shared" si="550"/>
        <v>45063</v>
      </c>
      <c r="F1837" s="83">
        <f t="shared" si="560"/>
        <v>0.196875</v>
      </c>
      <c r="G1837" s="83">
        <f t="shared" si="560"/>
        <v>0.175</v>
      </c>
      <c r="H1837" s="81"/>
      <c r="I1837" s="146">
        <v>45063</v>
      </c>
      <c r="J1837" s="147">
        <v>1.63</v>
      </c>
      <c r="K1837" s="147">
        <v>1.4</v>
      </c>
      <c r="L1837" s="147">
        <v>1.575</v>
      </c>
      <c r="M1837" s="59" cm="1">
        <f t="array" ref="M1837">INDEX($BV$29:$BV$1449,MATCH($D1837,$BR$29:$BR$1449,0),)</f>
        <v>1.4</v>
      </c>
      <c r="N1837" s="150">
        <f t="shared" si="561"/>
        <v>-0.00126823081800886</v>
      </c>
      <c r="O1837" s="150">
        <f t="shared" si="562"/>
        <v>-0.017467248908297</v>
      </c>
      <c r="P1837" s="150">
        <f t="shared" si="549"/>
        <v>-0.0265760197775032</v>
      </c>
      <c r="Q1837" s="89">
        <f t="shared" si="551"/>
        <v>0.125</v>
      </c>
      <c r="S1837" s="82">
        <f t="shared" si="552"/>
        <v>45063</v>
      </c>
      <c r="T1837" s="83">
        <f t="shared" si="553"/>
        <v>0.2660625</v>
      </c>
      <c r="U1837" s="83">
        <f t="shared" si="553"/>
        <v>0.198125</v>
      </c>
      <c r="W1837" s="146">
        <v>45063</v>
      </c>
      <c r="X1837" s="147">
        <v>4.48</v>
      </c>
      <c r="Y1837" s="147">
        <v>4.15</v>
      </c>
      <c r="Z1837" s="147">
        <v>4.257</v>
      </c>
      <c r="AA1837" s="59" cm="1">
        <f t="array" ref="AA1837">INDEX($BX$29:$BX$1449,MATCH($D1837,$BR$29:$BR$1449,0),)</f>
        <v>3.17</v>
      </c>
      <c r="AB1837" s="150">
        <f t="shared" si="554"/>
        <v>0.00472032098182673</v>
      </c>
      <c r="AC1837" s="150">
        <f t="shared" si="556"/>
        <v>0.03475935828877</v>
      </c>
      <c r="AD1837" s="150">
        <f t="shared" si="559"/>
        <v>0.0747286038879071</v>
      </c>
      <c r="AE1837" s="89">
        <f t="shared" si="555"/>
        <v>0.342902208201893</v>
      </c>
      <c r="AF1837" s="36"/>
      <c r="GF1837" s="104">
        <f t="shared" si="544"/>
        <v>2020</v>
      </c>
      <c r="GG1837" s="104">
        <f t="shared" si="545"/>
        <v>14</v>
      </c>
      <c r="GH1837" s="35">
        <v>43921</v>
      </c>
      <c r="GI1837" s="26">
        <v>1.789</v>
      </c>
      <c r="GJ1837" s="94">
        <f t="shared" si="546"/>
        <v>3.578</v>
      </c>
      <c r="GK1837" s="104"/>
      <c r="GL1837" s="104"/>
    </row>
    <row r="1838" spans="3:194">
      <c r="C1838" s="80" t="str" cm="1">
        <f t="array" ref="C1838">_xlfn.IFS(MONTH(D1838)&lt;4,1,MONTH(D1838)&lt;7,2,MONTH(D1838)&lt;10,3,MONTH(D1838)&gt;9,4)&amp;"Q"&amp;RIGHT(YEAR(D1838),2)</f>
        <v>2Q23</v>
      </c>
      <c r="D1838" s="81">
        <f t="shared" si="558"/>
        <v>45077</v>
      </c>
      <c r="E1838" s="82">
        <f t="shared" si="550"/>
        <v>45064</v>
      </c>
      <c r="F1838" s="83">
        <f t="shared" si="560"/>
        <v>0.196375</v>
      </c>
      <c r="G1838" s="83">
        <f t="shared" si="560"/>
        <v>0.175</v>
      </c>
      <c r="H1838" s="81"/>
      <c r="I1838" s="146">
        <v>45064</v>
      </c>
      <c r="J1838" s="147">
        <v>1.63</v>
      </c>
      <c r="K1838" s="147">
        <v>1.4</v>
      </c>
      <c r="L1838" s="147">
        <v>1.571</v>
      </c>
      <c r="M1838" s="59" cm="1">
        <f t="array" ref="M1838">INDEX($BV$29:$BV$1449,MATCH($D1838,$BR$29:$BR$1449,0),)</f>
        <v>1.4</v>
      </c>
      <c r="N1838" s="150">
        <f t="shared" si="561"/>
        <v>-0.00253968253968251</v>
      </c>
      <c r="O1838" s="150">
        <f t="shared" si="562"/>
        <v>-0.0162805259862242</v>
      </c>
      <c r="P1838" s="150">
        <f t="shared" si="549"/>
        <v>-0.0284477427334571</v>
      </c>
      <c r="Q1838" s="89">
        <f t="shared" si="551"/>
        <v>0.122142857142857</v>
      </c>
      <c r="S1838" s="82">
        <f t="shared" si="552"/>
        <v>45064</v>
      </c>
      <c r="T1838" s="83">
        <f t="shared" si="553"/>
        <v>0.265625</v>
      </c>
      <c r="U1838" s="83">
        <f t="shared" si="553"/>
        <v>0.198125</v>
      </c>
      <c r="W1838" s="146">
        <v>45064</v>
      </c>
      <c r="X1838" s="147">
        <v>4.45</v>
      </c>
      <c r="Y1838" s="147">
        <v>4.15</v>
      </c>
      <c r="Z1838" s="147">
        <v>4.25</v>
      </c>
      <c r="AA1838" s="59" cm="1">
        <f t="array" ref="AA1838">INDEX($BX$29:$BX$1449,MATCH($D1838,$BR$29:$BR$1449,0),)</f>
        <v>3.17</v>
      </c>
      <c r="AB1838" s="150">
        <f t="shared" si="554"/>
        <v>-0.00164435048155975</v>
      </c>
      <c r="AC1838" s="150">
        <f t="shared" si="556"/>
        <v>0.0255791505791505</v>
      </c>
      <c r="AD1838" s="150">
        <f t="shared" si="559"/>
        <v>0.0635635635635636</v>
      </c>
      <c r="AE1838" s="89">
        <f t="shared" si="555"/>
        <v>0.340694006309148</v>
      </c>
      <c r="AF1838" s="36"/>
      <c r="GF1838" s="104">
        <f t="shared" si="544"/>
        <v>2020</v>
      </c>
      <c r="GG1838" s="104">
        <f t="shared" si="545"/>
        <v>14</v>
      </c>
      <c r="GH1838" s="35">
        <v>43922</v>
      </c>
      <c r="GI1838" s="26">
        <v>1.777</v>
      </c>
      <c r="GJ1838" s="94">
        <f t="shared" si="546"/>
        <v>3.554</v>
      </c>
      <c r="GK1838" s="104"/>
      <c r="GL1838" s="104"/>
    </row>
    <row r="1839" spans="3:194">
      <c r="C1839" s="80" t="str" cm="1">
        <f t="array" ref="C1839">_xlfn.IFS(MONTH(D1839)&lt;4,1,MONTH(D1839)&lt;7,2,MONTH(D1839)&lt;10,3,MONTH(D1839)&gt;9,4)&amp;"Q"&amp;RIGHT(YEAR(D1839),2)</f>
        <v>2Q23</v>
      </c>
      <c r="D1839" s="81">
        <f t="shared" si="558"/>
        <v>45077</v>
      </c>
      <c r="E1839" s="82">
        <f t="shared" si="550"/>
        <v>45065</v>
      </c>
      <c r="F1839" s="83">
        <f t="shared" si="560"/>
        <v>0.196125</v>
      </c>
      <c r="G1839" s="83">
        <f t="shared" si="560"/>
        <v>0.175</v>
      </c>
      <c r="H1839" s="81"/>
      <c r="I1839" s="146">
        <v>45065</v>
      </c>
      <c r="J1839" s="147">
        <v>1.63</v>
      </c>
      <c r="K1839" s="147">
        <v>1.4</v>
      </c>
      <c r="L1839" s="147">
        <v>1.569</v>
      </c>
      <c r="M1839" s="59" cm="1">
        <f t="array" ref="M1839">INDEX($BV$29:$BV$1449,MATCH($D1839,$BR$29:$BR$1449,0),)</f>
        <v>1.4</v>
      </c>
      <c r="N1839" s="150">
        <f t="shared" si="561"/>
        <v>-0.00127307447485681</v>
      </c>
      <c r="O1839" s="150">
        <f t="shared" si="562"/>
        <v>-0.00884396715097913</v>
      </c>
      <c r="P1839" s="150">
        <f t="shared" si="549"/>
        <v>-0.0296846011131726</v>
      </c>
      <c r="Q1839" s="89">
        <f t="shared" si="551"/>
        <v>0.120714285714286</v>
      </c>
      <c r="S1839" s="82">
        <f t="shared" si="552"/>
        <v>45065</v>
      </c>
      <c r="T1839" s="83">
        <f t="shared" si="553"/>
        <v>0.2651875</v>
      </c>
      <c r="U1839" s="83">
        <f t="shared" si="553"/>
        <v>0.198125</v>
      </c>
      <c r="W1839" s="146">
        <v>45065</v>
      </c>
      <c r="X1839" s="147">
        <v>4.45</v>
      </c>
      <c r="Y1839" s="147">
        <v>4.15</v>
      </c>
      <c r="Z1839" s="147">
        <v>4.243</v>
      </c>
      <c r="AA1839" s="59" cm="1">
        <f t="array" ref="AA1839">INDEX($BX$29:$BX$1449,MATCH($D1839,$BR$29:$BR$1449,0),)</f>
        <v>3.17</v>
      </c>
      <c r="AB1839" s="150">
        <f t="shared" si="554"/>
        <v>-0.00164705882352933</v>
      </c>
      <c r="AC1839" s="150">
        <f t="shared" si="556"/>
        <v>0.0150717703349283</v>
      </c>
      <c r="AD1839" s="150">
        <f t="shared" si="559"/>
        <v>0.0515489467162331</v>
      </c>
      <c r="AE1839" s="89">
        <f t="shared" si="555"/>
        <v>0.338485804416404</v>
      </c>
      <c r="AF1839" s="36"/>
      <c r="GF1839" s="104">
        <f t="shared" si="544"/>
        <v>2020</v>
      </c>
      <c r="GG1839" s="104">
        <f t="shared" si="545"/>
        <v>14</v>
      </c>
      <c r="GH1839" s="35">
        <v>43923</v>
      </c>
      <c r="GI1839" s="26">
        <v>1.772</v>
      </c>
      <c r="GJ1839" s="94">
        <f t="shared" si="546"/>
        <v>3.544</v>
      </c>
      <c r="GK1839" s="104"/>
      <c r="GL1839" s="104"/>
    </row>
    <row r="1840" spans="3:194">
      <c r="C1840" s="80" t="str" cm="1">
        <f t="array" ref="C1840">_xlfn.IFS(MONTH(D1840)&lt;4,1,MONTH(D1840)&lt;7,2,MONTH(D1840)&lt;10,3,MONTH(D1840)&gt;9,4)&amp;"Q"&amp;RIGHT(YEAR(D1840),2)</f>
        <v>2Q23</v>
      </c>
      <c r="D1840" s="81">
        <f t="shared" si="558"/>
        <v>45077</v>
      </c>
      <c r="E1840" s="82">
        <f t="shared" si="550"/>
        <v>45068</v>
      </c>
      <c r="F1840" s="83">
        <f t="shared" si="560"/>
        <v>0.195875</v>
      </c>
      <c r="G1840" s="83">
        <f t="shared" si="560"/>
        <v>0.175</v>
      </c>
      <c r="H1840" s="81"/>
      <c r="I1840" s="146">
        <v>45068</v>
      </c>
      <c r="J1840" s="147">
        <v>1.62</v>
      </c>
      <c r="K1840" s="147">
        <v>1.39</v>
      </c>
      <c r="L1840" s="147">
        <v>1.567</v>
      </c>
      <c r="M1840" s="59" cm="1">
        <f t="array" ref="M1840">INDEX($BV$29:$BV$1449,MATCH($D1840,$BR$29:$BR$1449,0),)</f>
        <v>1.4</v>
      </c>
      <c r="N1840" s="150">
        <f t="shared" si="561"/>
        <v>-0.00127469725940088</v>
      </c>
      <c r="O1840" s="150">
        <f t="shared" si="562"/>
        <v>-0.00822784810126587</v>
      </c>
      <c r="P1840" s="150">
        <f t="shared" si="549"/>
        <v>-0.0261031696706029</v>
      </c>
      <c r="Q1840" s="89">
        <f t="shared" si="551"/>
        <v>0.119285714285714</v>
      </c>
      <c r="S1840" s="82">
        <f t="shared" si="552"/>
        <v>45068</v>
      </c>
      <c r="T1840" s="83">
        <f t="shared" si="553"/>
        <v>0.2649375</v>
      </c>
      <c r="U1840" s="83">
        <f t="shared" si="553"/>
        <v>0.198125</v>
      </c>
      <c r="W1840" s="146">
        <v>45068</v>
      </c>
      <c r="X1840" s="147">
        <v>4.43</v>
      </c>
      <c r="Y1840" s="147">
        <v>4.14</v>
      </c>
      <c r="Z1840" s="147">
        <v>4.239</v>
      </c>
      <c r="AA1840" s="59" cm="1">
        <f t="array" ref="AA1840">INDEX($BX$29:$BX$1449,MATCH($D1840,$BR$29:$BR$1449,0),)</f>
        <v>3.17</v>
      </c>
      <c r="AB1840" s="150">
        <f t="shared" si="554"/>
        <v>-0.000942729201037107</v>
      </c>
      <c r="AC1840" s="150">
        <f t="shared" si="556"/>
        <v>0.00617137431758841</v>
      </c>
      <c r="AD1840" s="150">
        <f t="shared" si="559"/>
        <v>0.0438315685791677</v>
      </c>
      <c r="AE1840" s="89">
        <f t="shared" si="555"/>
        <v>0.337223974763407</v>
      </c>
      <c r="AF1840" s="36"/>
      <c r="GF1840" s="104">
        <f t="shared" si="544"/>
        <v>2020</v>
      </c>
      <c r="GG1840" s="104">
        <f t="shared" si="545"/>
        <v>14</v>
      </c>
      <c r="GH1840" s="35">
        <v>43924</v>
      </c>
      <c r="GI1840" s="26">
        <v>1.77</v>
      </c>
      <c r="GJ1840" s="94">
        <f t="shared" si="546"/>
        <v>3.54</v>
      </c>
      <c r="GK1840" s="104"/>
      <c r="GL1840" s="104"/>
    </row>
    <row r="1841" spans="3:194">
      <c r="C1841" s="80" t="str" cm="1">
        <f t="array" ref="C1841">_xlfn.IFS(MONTH(D1841)&lt;4,1,MONTH(D1841)&lt;7,2,MONTH(D1841)&lt;10,3,MONTH(D1841)&gt;9,4)&amp;"Q"&amp;RIGHT(YEAR(D1841),2)</f>
        <v>2Q23</v>
      </c>
      <c r="D1841" s="81">
        <f t="shared" si="558"/>
        <v>45077</v>
      </c>
      <c r="E1841" s="82">
        <f t="shared" si="550"/>
        <v>45069</v>
      </c>
      <c r="F1841" s="83">
        <f t="shared" si="560"/>
        <v>0.19425</v>
      </c>
      <c r="G1841" s="83">
        <f t="shared" si="560"/>
        <v>0.175</v>
      </c>
      <c r="H1841" s="81"/>
      <c r="I1841" s="146">
        <v>45069</v>
      </c>
      <c r="J1841" s="147">
        <v>1.62</v>
      </c>
      <c r="K1841" s="147">
        <v>1.39</v>
      </c>
      <c r="L1841" s="147">
        <v>1.554</v>
      </c>
      <c r="M1841" s="59" cm="1">
        <f t="array" ref="M1841">INDEX($BV$29:$BV$1449,MATCH($D1841,$BR$29:$BR$1449,0),)</f>
        <v>1.4</v>
      </c>
      <c r="N1841" s="150">
        <f t="shared" si="561"/>
        <v>-0.00829610721123164</v>
      </c>
      <c r="O1841" s="150">
        <f t="shared" si="562"/>
        <v>-0.014584654407102</v>
      </c>
      <c r="P1841" s="150">
        <f t="shared" si="549"/>
        <v>-0.0323785803237858</v>
      </c>
      <c r="Q1841" s="89">
        <f t="shared" si="551"/>
        <v>0.11</v>
      </c>
      <c r="S1841" s="82">
        <f t="shared" si="552"/>
        <v>45069</v>
      </c>
      <c r="T1841" s="83">
        <f t="shared" si="553"/>
        <v>0.2648125</v>
      </c>
      <c r="U1841" s="83">
        <f t="shared" si="553"/>
        <v>0.198125</v>
      </c>
      <c r="W1841" s="146">
        <v>45069</v>
      </c>
      <c r="X1841" s="147">
        <v>4.43</v>
      </c>
      <c r="Y1841" s="147">
        <v>4.14</v>
      </c>
      <c r="Z1841" s="147">
        <v>4.237</v>
      </c>
      <c r="AA1841" s="59" cm="1">
        <f t="array" ref="AA1841">INDEX($BX$29:$BX$1449,MATCH($D1841,$BR$29:$BR$1449,0),)</f>
        <v>3.17</v>
      </c>
      <c r="AB1841" s="150">
        <f t="shared" si="554"/>
        <v>-0.000471809389006816</v>
      </c>
      <c r="AC1841" s="150">
        <f t="shared" si="556"/>
        <v>0</v>
      </c>
      <c r="AD1841" s="150">
        <f t="shared" si="559"/>
        <v>0.0369554576603035</v>
      </c>
      <c r="AE1841" s="89">
        <f t="shared" si="555"/>
        <v>0.336593059936909</v>
      </c>
      <c r="AF1841" s="36"/>
      <c r="GF1841" s="104">
        <f t="shared" si="544"/>
        <v>2020</v>
      </c>
      <c r="GG1841" s="104">
        <f t="shared" si="545"/>
        <v>15</v>
      </c>
      <c r="GH1841" s="35">
        <v>43927</v>
      </c>
      <c r="GI1841" s="26">
        <v>1.765</v>
      </c>
      <c r="GJ1841" s="94">
        <f t="shared" si="546"/>
        <v>3.53</v>
      </c>
      <c r="GK1841" s="104"/>
      <c r="GL1841" s="104"/>
    </row>
    <row r="1842" spans="3:194">
      <c r="C1842" s="80" t="str" cm="1">
        <f t="array" ref="C1842">_xlfn.IFS(MONTH(D1842)&lt;4,1,MONTH(D1842)&lt;7,2,MONTH(D1842)&lt;10,3,MONTH(D1842)&gt;9,4)&amp;"Q"&amp;RIGHT(YEAR(D1842),2)</f>
        <v>2Q23</v>
      </c>
      <c r="D1842" s="81">
        <f t="shared" si="558"/>
        <v>45077</v>
      </c>
      <c r="E1842" s="82">
        <f t="shared" si="550"/>
        <v>45070</v>
      </c>
      <c r="F1842" s="83">
        <f t="shared" si="560"/>
        <v>0.192875</v>
      </c>
      <c r="G1842" s="83">
        <f t="shared" si="560"/>
        <v>0.175</v>
      </c>
      <c r="H1842" s="81"/>
      <c r="I1842" s="146">
        <v>45070</v>
      </c>
      <c r="J1842" s="147">
        <v>1.62</v>
      </c>
      <c r="K1842" s="147">
        <v>1.39</v>
      </c>
      <c r="L1842" s="147">
        <v>1.543</v>
      </c>
      <c r="M1842" s="59" cm="1">
        <f t="array" ref="M1842">INDEX($BV$29:$BV$1449,MATCH($D1842,$BR$29:$BR$1449,0),)</f>
        <v>1.4</v>
      </c>
      <c r="N1842" s="150">
        <f t="shared" si="561"/>
        <v>-0.0070785070785071</v>
      </c>
      <c r="O1842" s="150">
        <f t="shared" si="562"/>
        <v>-0.0203174603174603</v>
      </c>
      <c r="P1842" s="150">
        <f t="shared" si="549"/>
        <v>-0.0374298190892077</v>
      </c>
      <c r="Q1842" s="89">
        <f t="shared" si="551"/>
        <v>0.102142857142857</v>
      </c>
      <c r="S1842" s="82">
        <f t="shared" si="552"/>
        <v>45070</v>
      </c>
      <c r="T1842" s="83">
        <f t="shared" si="553"/>
        <v>0.2643125</v>
      </c>
      <c r="U1842" s="83">
        <f t="shared" si="553"/>
        <v>0.198125</v>
      </c>
      <c r="W1842" s="146">
        <v>45070</v>
      </c>
      <c r="X1842" s="147">
        <v>4.43</v>
      </c>
      <c r="Y1842" s="147">
        <v>4.14</v>
      </c>
      <c r="Z1842" s="147">
        <v>4.229</v>
      </c>
      <c r="AA1842" s="59" cm="1">
        <f t="array" ref="AA1842">INDEX($BX$29:$BX$1449,MATCH($D1842,$BR$29:$BR$1449,0),)</f>
        <v>3.17</v>
      </c>
      <c r="AB1842" s="150">
        <f t="shared" si="554"/>
        <v>-0.00188812839273067</v>
      </c>
      <c r="AC1842" s="150">
        <f t="shared" si="556"/>
        <v>-0.00657740192623901</v>
      </c>
      <c r="AD1842" s="150">
        <f t="shared" si="559"/>
        <v>0.0279533300923676</v>
      </c>
      <c r="AE1842" s="89">
        <f t="shared" si="555"/>
        <v>0.334069400630915</v>
      </c>
      <c r="AF1842" s="36"/>
      <c r="GF1842" s="104">
        <f t="shared" si="544"/>
        <v>2020</v>
      </c>
      <c r="GG1842" s="104">
        <f t="shared" si="545"/>
        <v>15</v>
      </c>
      <c r="GH1842" s="35">
        <v>43928</v>
      </c>
      <c r="GI1842" s="26">
        <v>1.761</v>
      </c>
      <c r="GJ1842" s="94">
        <f t="shared" si="546"/>
        <v>3.522</v>
      </c>
      <c r="GK1842" s="104"/>
      <c r="GL1842" s="104"/>
    </row>
    <row r="1843" spans="3:194">
      <c r="C1843" s="80" t="str" cm="1">
        <f t="array" ref="C1843">_xlfn.IFS(MONTH(D1843)&lt;4,1,MONTH(D1843)&lt;7,2,MONTH(D1843)&lt;10,3,MONTH(D1843)&gt;9,4)&amp;"Q"&amp;RIGHT(YEAR(D1843),2)</f>
        <v>2Q23</v>
      </c>
      <c r="D1843" s="81">
        <f t="shared" si="558"/>
        <v>45077</v>
      </c>
      <c r="E1843" s="82">
        <f t="shared" si="550"/>
        <v>45071</v>
      </c>
      <c r="F1843" s="83">
        <f t="shared" si="560"/>
        <v>0.192</v>
      </c>
      <c r="G1843" s="83">
        <f t="shared" si="560"/>
        <v>0.175</v>
      </c>
      <c r="H1843" s="81"/>
      <c r="I1843" s="146">
        <v>45071</v>
      </c>
      <c r="J1843" s="147">
        <v>1.62</v>
      </c>
      <c r="K1843" s="147">
        <v>1.38</v>
      </c>
      <c r="L1843" s="147">
        <v>1.536</v>
      </c>
      <c r="M1843" s="59" cm="1">
        <f t="array" ref="M1843">INDEX($BV$29:$BV$1449,MATCH($D1843,$BR$29:$BR$1449,0),)</f>
        <v>1.4</v>
      </c>
      <c r="N1843" s="150">
        <f t="shared" si="561"/>
        <v>-0.00453661697990915</v>
      </c>
      <c r="O1843" s="150">
        <f t="shared" si="562"/>
        <v>-0.0222788033099935</v>
      </c>
      <c r="P1843" s="150">
        <f t="shared" si="549"/>
        <v>-0.0381966186599875</v>
      </c>
      <c r="Q1843" s="89">
        <f t="shared" si="551"/>
        <v>0.0971428571428572</v>
      </c>
      <c r="S1843" s="82">
        <f t="shared" si="552"/>
        <v>45071</v>
      </c>
      <c r="T1843" s="83">
        <f t="shared" si="553"/>
        <v>0.263375</v>
      </c>
      <c r="U1843" s="83">
        <f t="shared" si="553"/>
        <v>0.198125</v>
      </c>
      <c r="W1843" s="146">
        <v>45071</v>
      </c>
      <c r="X1843" s="147">
        <v>4.4</v>
      </c>
      <c r="Y1843" s="147">
        <v>4.12</v>
      </c>
      <c r="Z1843" s="147">
        <v>4.214</v>
      </c>
      <c r="AA1843" s="59" cm="1">
        <f t="array" ref="AA1843">INDEX($BX$29:$BX$1449,MATCH($D1843,$BR$29:$BR$1449,0),)</f>
        <v>3.17</v>
      </c>
      <c r="AB1843" s="150">
        <f t="shared" si="554"/>
        <v>-0.00354693781035698</v>
      </c>
      <c r="AC1843" s="150">
        <f t="shared" si="556"/>
        <v>-0.00847058823529401</v>
      </c>
      <c r="AD1843" s="150">
        <f t="shared" si="559"/>
        <v>0.0168918918918919</v>
      </c>
      <c r="AE1843" s="89">
        <f t="shared" si="555"/>
        <v>0.329337539432177</v>
      </c>
      <c r="AF1843" s="36"/>
      <c r="GF1843" s="104">
        <f t="shared" si="544"/>
        <v>2020</v>
      </c>
      <c r="GG1843" s="104">
        <f t="shared" si="545"/>
        <v>15</v>
      </c>
      <c r="GH1843" s="35">
        <v>43929</v>
      </c>
      <c r="GI1843" s="26">
        <v>1.761</v>
      </c>
      <c r="GJ1843" s="94">
        <f t="shared" si="546"/>
        <v>3.522</v>
      </c>
      <c r="GK1843" s="104"/>
      <c r="GL1843" s="104"/>
    </row>
    <row r="1844" spans="3:194">
      <c r="C1844" s="80" t="str" cm="1">
        <f t="array" ref="C1844">_xlfn.IFS(MONTH(D1844)&lt;4,1,MONTH(D1844)&lt;7,2,MONTH(D1844)&lt;10,3,MONTH(D1844)&gt;9,4)&amp;"Q"&amp;RIGHT(YEAR(D1844),2)</f>
        <v>2Q23</v>
      </c>
      <c r="D1844" s="81">
        <f t="shared" si="558"/>
        <v>45077</v>
      </c>
      <c r="E1844" s="82">
        <f t="shared" si="550"/>
        <v>45072</v>
      </c>
      <c r="F1844" s="83">
        <f t="shared" si="560"/>
        <v>0.191625</v>
      </c>
      <c r="G1844" s="83">
        <f t="shared" si="560"/>
        <v>0.175</v>
      </c>
      <c r="H1844" s="81"/>
      <c r="I1844" s="146">
        <v>45072</v>
      </c>
      <c r="J1844" s="147">
        <v>1.62</v>
      </c>
      <c r="K1844" s="147">
        <v>1.38</v>
      </c>
      <c r="L1844" s="147">
        <v>1.533</v>
      </c>
      <c r="M1844" s="59" cm="1">
        <f t="array" ref="M1844">INDEX($BV$29:$BV$1449,MATCH($D1844,$BR$29:$BR$1449,0),)</f>
        <v>1.4</v>
      </c>
      <c r="N1844" s="150">
        <f t="shared" si="561"/>
        <v>-0.00195312500000011</v>
      </c>
      <c r="O1844" s="150">
        <f t="shared" si="562"/>
        <v>-0.0229445506692161</v>
      </c>
      <c r="P1844" s="150">
        <f t="shared" si="549"/>
        <v>-0.0315855969677827</v>
      </c>
      <c r="Q1844" s="89">
        <f t="shared" si="551"/>
        <v>0.095</v>
      </c>
      <c r="S1844" s="82">
        <f t="shared" si="552"/>
        <v>45072</v>
      </c>
      <c r="T1844" s="83">
        <f t="shared" si="553"/>
        <v>0.2630625</v>
      </c>
      <c r="U1844" s="83">
        <f t="shared" si="553"/>
        <v>0.198125</v>
      </c>
      <c r="W1844" s="146">
        <v>45072</v>
      </c>
      <c r="X1844" s="147">
        <v>4.4</v>
      </c>
      <c r="Y1844" s="147">
        <v>4.12</v>
      </c>
      <c r="Z1844" s="147">
        <v>4.209</v>
      </c>
      <c r="AA1844" s="59" cm="1">
        <f t="array" ref="AA1844">INDEX($BX$29:$BX$1449,MATCH($D1844,$BR$29:$BR$1449,0),)</f>
        <v>3.17</v>
      </c>
      <c r="AB1844" s="150">
        <f t="shared" si="554"/>
        <v>-0.00118652112007611</v>
      </c>
      <c r="AC1844" s="150">
        <f t="shared" si="556"/>
        <v>-0.00801319820881463</v>
      </c>
      <c r="AD1844" s="150">
        <f t="shared" si="559"/>
        <v>0.00693779904306213</v>
      </c>
      <c r="AE1844" s="89">
        <f t="shared" si="555"/>
        <v>0.32776025236593</v>
      </c>
      <c r="AF1844" s="36"/>
      <c r="GF1844" s="104">
        <f t="shared" ref="GF1844:GF1907" si="563">YEAR(GH1844)</f>
        <v>2020</v>
      </c>
      <c r="GG1844" s="104">
        <f t="shared" ref="GG1844:GG1907" si="564">WEEKNUM(GH1844)</f>
        <v>15</v>
      </c>
      <c r="GH1844" s="35">
        <v>43930</v>
      </c>
      <c r="GI1844" s="26">
        <v>1.744</v>
      </c>
      <c r="GJ1844" s="94">
        <f t="shared" ref="GJ1844:GJ1907" si="565">GI1844*2</f>
        <v>3.488</v>
      </c>
      <c r="GK1844" s="104"/>
      <c r="GL1844" s="104"/>
    </row>
    <row r="1845" spans="3:194">
      <c r="C1845" s="80" t="str" cm="1">
        <f t="array" ref="C1845">_xlfn.IFS(MONTH(D1845)&lt;4,1,MONTH(D1845)&lt;7,2,MONTH(D1845)&lt;10,3,MONTH(D1845)&gt;9,4)&amp;"Q"&amp;RIGHT(YEAR(D1845),2)</f>
        <v>2Q23</v>
      </c>
      <c r="D1845" s="81">
        <f t="shared" si="558"/>
        <v>45077</v>
      </c>
      <c r="E1845" s="82">
        <f t="shared" si="550"/>
        <v>45075</v>
      </c>
      <c r="F1845" s="83">
        <f t="shared" si="560"/>
        <v>0.19125</v>
      </c>
      <c r="G1845" s="83">
        <f t="shared" si="560"/>
        <v>0.175</v>
      </c>
      <c r="H1845" s="81"/>
      <c r="I1845" s="146">
        <v>45075</v>
      </c>
      <c r="J1845" s="147">
        <v>1.63</v>
      </c>
      <c r="K1845" s="147">
        <v>1.4</v>
      </c>
      <c r="L1845" s="147">
        <v>1.53</v>
      </c>
      <c r="M1845" s="59" cm="1">
        <f t="array" ref="M1845">INDEX($BV$29:$BV$1449,MATCH($D1845,$BR$29:$BR$1449,0),)</f>
        <v>1.4</v>
      </c>
      <c r="N1845" s="150">
        <f t="shared" si="561"/>
        <v>-0.00195694716242656</v>
      </c>
      <c r="O1845" s="150">
        <f t="shared" si="562"/>
        <v>-0.0236119974473515</v>
      </c>
      <c r="P1845" s="150">
        <f t="shared" si="549"/>
        <v>-0.0316455696202532</v>
      </c>
      <c r="Q1845" s="89">
        <f t="shared" si="551"/>
        <v>0.092857142857143</v>
      </c>
      <c r="S1845" s="82">
        <f t="shared" si="552"/>
        <v>45075</v>
      </c>
      <c r="T1845" s="83">
        <f t="shared" si="553"/>
        <v>0.2625</v>
      </c>
      <c r="U1845" s="83">
        <f t="shared" si="553"/>
        <v>0.198125</v>
      </c>
      <c r="W1845" s="146">
        <v>45075</v>
      </c>
      <c r="X1845" s="147">
        <v>4.38</v>
      </c>
      <c r="Y1845" s="147">
        <v>4.1</v>
      </c>
      <c r="Z1845" s="147">
        <v>4.2</v>
      </c>
      <c r="AA1845" s="59" cm="1">
        <f t="array" ref="AA1845">INDEX($BX$29:$BX$1449,MATCH($D1845,$BR$29:$BR$1449,0),)</f>
        <v>3.17</v>
      </c>
      <c r="AB1845" s="150">
        <f t="shared" si="554"/>
        <v>-0.00213827512473264</v>
      </c>
      <c r="AC1845" s="150">
        <f t="shared" si="556"/>
        <v>-0.00920028308563337</v>
      </c>
      <c r="AD1845" s="150">
        <f t="shared" si="559"/>
        <v>-0.0030856871587942</v>
      </c>
      <c r="AE1845" s="89">
        <f t="shared" si="555"/>
        <v>0.324921135646688</v>
      </c>
      <c r="AF1845" s="36"/>
      <c r="GF1845" s="104">
        <f t="shared" si="563"/>
        <v>2020</v>
      </c>
      <c r="GG1845" s="104">
        <f t="shared" si="564"/>
        <v>15</v>
      </c>
      <c r="GH1845" s="35">
        <v>43931</v>
      </c>
      <c r="GI1845" s="26">
        <v>1.733</v>
      </c>
      <c r="GJ1845" s="94">
        <f t="shared" si="565"/>
        <v>3.466</v>
      </c>
      <c r="GK1845" s="104"/>
      <c r="GL1845" s="104"/>
    </row>
    <row r="1846" spans="3:194">
      <c r="C1846" s="80" t="str" cm="1">
        <f t="array" ref="C1846">_xlfn.IFS(MONTH(D1846)&lt;4,1,MONTH(D1846)&lt;7,2,MONTH(D1846)&lt;10,3,MONTH(D1846)&gt;9,4)&amp;"Q"&amp;RIGHT(YEAR(D1846),2)</f>
        <v>2Q23</v>
      </c>
      <c r="D1846" s="81">
        <f t="shared" si="558"/>
        <v>45077</v>
      </c>
      <c r="E1846" s="82">
        <f t="shared" si="550"/>
        <v>45076</v>
      </c>
      <c r="F1846" s="83">
        <f t="shared" si="560"/>
        <v>0.191</v>
      </c>
      <c r="G1846" s="83">
        <f t="shared" si="560"/>
        <v>0.175</v>
      </c>
      <c r="H1846" s="81"/>
      <c r="I1846" s="146">
        <v>45076</v>
      </c>
      <c r="J1846" s="147">
        <v>1.63</v>
      </c>
      <c r="K1846" s="147">
        <v>1.4</v>
      </c>
      <c r="L1846" s="147">
        <v>1.528</v>
      </c>
      <c r="M1846" s="59" cm="1">
        <f t="array" ref="M1846">INDEX($BV$29:$BV$1449,MATCH($D1846,$BR$29:$BR$1449,0),)</f>
        <v>1.4</v>
      </c>
      <c r="N1846" s="150">
        <f t="shared" si="561"/>
        <v>-0.00130718954248366</v>
      </c>
      <c r="O1846" s="150">
        <f t="shared" si="562"/>
        <v>-0.0167310167310167</v>
      </c>
      <c r="P1846" s="150">
        <f t="shared" si="549"/>
        <v>-0.0310716550412174</v>
      </c>
      <c r="Q1846" s="89">
        <f t="shared" si="551"/>
        <v>0.0914285714285714</v>
      </c>
      <c r="S1846" s="82">
        <f t="shared" si="552"/>
        <v>45076</v>
      </c>
      <c r="T1846" s="83">
        <f t="shared" si="553"/>
        <v>0.2623125</v>
      </c>
      <c r="U1846" s="83">
        <f t="shared" si="553"/>
        <v>0.198125</v>
      </c>
      <c r="W1846" s="146">
        <v>45076</v>
      </c>
      <c r="X1846" s="147">
        <v>4.37</v>
      </c>
      <c r="Y1846" s="147">
        <v>4.1</v>
      </c>
      <c r="Z1846" s="147">
        <v>4.197</v>
      </c>
      <c r="AA1846" s="59" cm="1">
        <f t="array" ref="AA1846">INDEX($BX$29:$BX$1449,MATCH($D1846,$BR$29:$BR$1449,0),)</f>
        <v>3.17</v>
      </c>
      <c r="AB1846" s="150">
        <f t="shared" si="554"/>
        <v>-0.000714285714285778</v>
      </c>
      <c r="AC1846" s="150">
        <f t="shared" si="556"/>
        <v>-0.00944064196365357</v>
      </c>
      <c r="AD1846" s="150">
        <f t="shared" si="559"/>
        <v>-0.00944064196365357</v>
      </c>
      <c r="AE1846" s="89">
        <f t="shared" si="555"/>
        <v>0.32397476340694</v>
      </c>
      <c r="AF1846" s="36"/>
      <c r="GF1846" s="104">
        <f t="shared" si="563"/>
        <v>2020</v>
      </c>
      <c r="GG1846" s="104">
        <f t="shared" si="564"/>
        <v>16</v>
      </c>
      <c r="GH1846" s="35">
        <v>43934</v>
      </c>
      <c r="GI1846" s="26">
        <v>1.731</v>
      </c>
      <c r="GJ1846" s="94">
        <f t="shared" si="565"/>
        <v>3.462</v>
      </c>
      <c r="GK1846" s="104"/>
      <c r="GL1846" s="104"/>
    </row>
    <row r="1847" spans="3:194">
      <c r="C1847" s="80" t="str" cm="1">
        <f t="array" ref="C1847">_xlfn.IFS(MONTH(D1847)&lt;4,1,MONTH(D1847)&lt;7,2,MONTH(D1847)&lt;10,3,MONTH(D1847)&gt;9,4)&amp;"Q"&amp;RIGHT(YEAR(D1847),2)</f>
        <v>2Q23</v>
      </c>
      <c r="D1847" s="81">
        <f t="shared" si="558"/>
        <v>45077</v>
      </c>
      <c r="E1847" s="82">
        <f t="shared" si="550"/>
        <v>45077</v>
      </c>
      <c r="F1847" s="83">
        <f t="shared" si="560"/>
        <v>0.1905</v>
      </c>
      <c r="G1847" s="83">
        <f t="shared" si="560"/>
        <v>0.175</v>
      </c>
      <c r="H1847" s="81"/>
      <c r="I1847" s="146">
        <v>45077</v>
      </c>
      <c r="J1847" s="147">
        <v>1.62</v>
      </c>
      <c r="K1847" s="147">
        <v>1.38</v>
      </c>
      <c r="L1847" s="147">
        <v>1.524</v>
      </c>
      <c r="M1847" s="59" cm="1">
        <f t="array" ref="M1847">INDEX($BV$29:$BV$1449,MATCH($D1847,$BR$29:$BR$1449,0),)</f>
        <v>1.4</v>
      </c>
      <c r="N1847" s="150">
        <f t="shared" si="561"/>
        <v>-0.00261780104712039</v>
      </c>
      <c r="O1847" s="150">
        <f t="shared" si="562"/>
        <v>-0.0123136746597536</v>
      </c>
      <c r="P1847" s="150">
        <f t="shared" si="549"/>
        <v>-0.0323809523809523</v>
      </c>
      <c r="Q1847" s="89">
        <f t="shared" si="551"/>
        <v>0.0885714285714287</v>
      </c>
      <c r="S1847" s="82">
        <f t="shared" si="552"/>
        <v>45077</v>
      </c>
      <c r="T1847" s="83">
        <f t="shared" si="553"/>
        <v>0.2619375</v>
      </c>
      <c r="U1847" s="83">
        <f t="shared" si="553"/>
        <v>0.198125</v>
      </c>
      <c r="W1847" s="146">
        <v>45077</v>
      </c>
      <c r="X1847" s="147">
        <v>4.35</v>
      </c>
      <c r="Y1847" s="147">
        <v>4.11</v>
      </c>
      <c r="Z1847" s="147">
        <v>4.191</v>
      </c>
      <c r="AA1847" s="59" cm="1">
        <f t="array" ref="AA1847">INDEX($BX$29:$BX$1449,MATCH($D1847,$BR$29:$BR$1449,0),)</f>
        <v>3.17</v>
      </c>
      <c r="AB1847" s="150">
        <f t="shared" si="554"/>
        <v>-0.00142959256611874</v>
      </c>
      <c r="AC1847" s="150">
        <f t="shared" si="556"/>
        <v>-0.00898557578623793</v>
      </c>
      <c r="AD1847" s="150">
        <f t="shared" si="559"/>
        <v>-0.0155038759689922</v>
      </c>
      <c r="AE1847" s="89">
        <f t="shared" si="555"/>
        <v>0.322082018927445</v>
      </c>
      <c r="AF1847" s="36"/>
      <c r="GF1847" s="104">
        <f t="shared" si="563"/>
        <v>2020</v>
      </c>
      <c r="GG1847" s="104">
        <f t="shared" si="564"/>
        <v>16</v>
      </c>
      <c r="GH1847" s="35">
        <v>43935</v>
      </c>
      <c r="GI1847" s="26">
        <v>1.71</v>
      </c>
      <c r="GJ1847" s="94">
        <f t="shared" si="565"/>
        <v>3.42</v>
      </c>
      <c r="GK1847" s="104"/>
      <c r="GL1847" s="104"/>
    </row>
    <row r="1848" spans="3:194">
      <c r="C1848" s="80" t="str" cm="1">
        <f t="array" ref="C1848">_xlfn.IFS(MONTH(D1848)&lt;4,1,MONTH(D1848)&lt;7,2,MONTH(D1848)&lt;10,3,MONTH(D1848)&gt;9,4)&amp;"Q"&amp;RIGHT(YEAR(D1848),2)</f>
        <v>2Q23</v>
      </c>
      <c r="D1848" s="81">
        <f t="shared" si="558"/>
        <v>45107</v>
      </c>
      <c r="E1848" s="82">
        <f t="shared" si="550"/>
        <v>45078</v>
      </c>
      <c r="F1848" s="83">
        <f t="shared" si="560"/>
        <v>0.1905</v>
      </c>
      <c r="G1848" s="83">
        <f t="shared" si="560"/>
        <v>0.17</v>
      </c>
      <c r="H1848" s="81"/>
      <c r="I1848" s="146">
        <v>45078</v>
      </c>
      <c r="J1848" s="147">
        <v>1.7</v>
      </c>
      <c r="K1848" s="147">
        <v>1.38</v>
      </c>
      <c r="L1848" s="147">
        <v>1.524</v>
      </c>
      <c r="M1848" s="59" cm="1">
        <f t="array" ref="M1848">INDEX($BV$29:$BV$1449,MATCH($D1848,$BR$29:$BR$1449,0),)</f>
        <v>1.36</v>
      </c>
      <c r="N1848" s="150">
        <f t="shared" si="561"/>
        <v>0</v>
      </c>
      <c r="O1848" s="150">
        <f t="shared" si="562"/>
        <v>-0.0078125</v>
      </c>
      <c r="P1848" s="150">
        <f t="shared" si="549"/>
        <v>-0.0299172501591343</v>
      </c>
      <c r="Q1848" s="89">
        <f t="shared" si="551"/>
        <v>0.120588235294118</v>
      </c>
      <c r="S1848" s="82">
        <f t="shared" si="552"/>
        <v>45078</v>
      </c>
      <c r="T1848" s="83">
        <f t="shared" si="553"/>
        <v>0.2619375</v>
      </c>
      <c r="U1848" s="83">
        <f t="shared" si="553"/>
        <v>0.198125</v>
      </c>
      <c r="W1848" s="146">
        <v>45078</v>
      </c>
      <c r="X1848" s="147">
        <v>4.35</v>
      </c>
      <c r="Y1848" s="147">
        <v>4.11</v>
      </c>
      <c r="Z1848" s="147">
        <v>4.191</v>
      </c>
      <c r="AA1848" s="59" cm="1">
        <f t="array" ref="AA1848">INDEX($BX$29:$BX$1449,MATCH($D1848,$BR$29:$BR$1449,0),)</f>
        <v>3.17</v>
      </c>
      <c r="AB1848" s="150">
        <f t="shared" si="554"/>
        <v>0</v>
      </c>
      <c r="AC1848" s="150">
        <f t="shared" si="556"/>
        <v>-0.0054579971523494</v>
      </c>
      <c r="AD1848" s="150">
        <f t="shared" si="559"/>
        <v>-0.0138823529411765</v>
      </c>
      <c r="AE1848" s="89">
        <f t="shared" si="555"/>
        <v>0.322082018927445</v>
      </c>
      <c r="AF1848" s="36"/>
      <c r="GF1848" s="104">
        <f t="shared" si="563"/>
        <v>2020</v>
      </c>
      <c r="GG1848" s="104">
        <f t="shared" si="564"/>
        <v>16</v>
      </c>
      <c r="GH1848" s="35">
        <v>43936</v>
      </c>
      <c r="GI1848" s="26">
        <v>1.708</v>
      </c>
      <c r="GJ1848" s="94">
        <f t="shared" si="565"/>
        <v>3.416</v>
      </c>
      <c r="GK1848" s="104"/>
      <c r="GL1848" s="104"/>
    </row>
    <row r="1849" spans="3:194">
      <c r="C1849" s="80" t="str" cm="1">
        <f t="array" ref="C1849">_xlfn.IFS(MONTH(D1849)&lt;4,1,MONTH(D1849)&lt;7,2,MONTH(D1849)&lt;10,3,MONTH(D1849)&gt;9,4)&amp;"Q"&amp;RIGHT(YEAR(D1849),2)</f>
        <v>2Q23</v>
      </c>
      <c r="D1849" s="81">
        <f t="shared" si="558"/>
        <v>45107</v>
      </c>
      <c r="E1849" s="82">
        <f t="shared" si="550"/>
        <v>45079</v>
      </c>
      <c r="F1849" s="83">
        <f t="shared" si="560"/>
        <v>0.1905</v>
      </c>
      <c r="G1849" s="83">
        <f t="shared" si="560"/>
        <v>0.17</v>
      </c>
      <c r="H1849" s="81"/>
      <c r="I1849" s="146">
        <v>45079</v>
      </c>
      <c r="J1849" s="147">
        <v>1.7</v>
      </c>
      <c r="K1849" s="147">
        <v>1.38</v>
      </c>
      <c r="L1849" s="147">
        <v>1.524</v>
      </c>
      <c r="M1849" s="59" cm="1">
        <f t="array" ref="M1849">INDEX($BV$29:$BV$1449,MATCH($D1849,$BR$29:$BR$1449,0),)</f>
        <v>1.36</v>
      </c>
      <c r="N1849" s="150">
        <f t="shared" si="561"/>
        <v>0</v>
      </c>
      <c r="O1849" s="150">
        <f t="shared" si="562"/>
        <v>-0.00587084148727979</v>
      </c>
      <c r="P1849" s="150">
        <f t="shared" si="549"/>
        <v>-0.02868068833652</v>
      </c>
      <c r="Q1849" s="89">
        <f t="shared" si="551"/>
        <v>0.120588235294118</v>
      </c>
      <c r="S1849" s="82">
        <f t="shared" si="552"/>
        <v>45079</v>
      </c>
      <c r="T1849" s="83">
        <f t="shared" si="553"/>
        <v>0.2618125</v>
      </c>
      <c r="U1849" s="83">
        <f t="shared" si="553"/>
        <v>0.198125</v>
      </c>
      <c r="W1849" s="146">
        <v>45079</v>
      </c>
      <c r="X1849" s="147">
        <v>4.35</v>
      </c>
      <c r="Y1849" s="147">
        <v>4.11</v>
      </c>
      <c r="Z1849" s="147">
        <v>4.189</v>
      </c>
      <c r="AA1849" s="59" cm="1">
        <f t="array" ref="AA1849">INDEX($BX$29:$BX$1449,MATCH($D1849,$BR$29:$BR$1449,0),)</f>
        <v>3.17</v>
      </c>
      <c r="AB1849" s="150">
        <f t="shared" si="554"/>
        <v>-0.000477213075638194</v>
      </c>
      <c r="AC1849" s="150">
        <f t="shared" si="556"/>
        <v>-0.00475172249940592</v>
      </c>
      <c r="AD1849" s="150">
        <f t="shared" si="559"/>
        <v>-0.0127268442139996</v>
      </c>
      <c r="AE1849" s="89">
        <f t="shared" si="555"/>
        <v>0.321451104100946</v>
      </c>
      <c r="AF1849" s="36"/>
      <c r="GF1849" s="104">
        <f t="shared" si="563"/>
        <v>2020</v>
      </c>
      <c r="GG1849" s="104">
        <f t="shared" si="564"/>
        <v>16</v>
      </c>
      <c r="GH1849" s="35">
        <v>43937</v>
      </c>
      <c r="GI1849" s="26">
        <v>1.7</v>
      </c>
      <c r="GJ1849" s="94">
        <f t="shared" si="565"/>
        <v>3.4</v>
      </c>
      <c r="GK1849" s="104"/>
      <c r="GL1849" s="104"/>
    </row>
    <row r="1850" spans="3:194">
      <c r="C1850" s="80" t="str" cm="1">
        <f t="array" ref="C1850">_xlfn.IFS(MONTH(D1850)&lt;4,1,MONTH(D1850)&lt;7,2,MONTH(D1850)&lt;10,3,MONTH(D1850)&gt;9,4)&amp;"Q"&amp;RIGHT(YEAR(D1850),2)</f>
        <v>2Q23</v>
      </c>
      <c r="D1850" s="81">
        <f t="shared" si="558"/>
        <v>45107</v>
      </c>
      <c r="E1850" s="82">
        <f t="shared" si="550"/>
        <v>45082</v>
      </c>
      <c r="F1850" s="83">
        <f t="shared" ref="F1850:G1865" si="566">+L1850/8</f>
        <v>0.19</v>
      </c>
      <c r="G1850" s="83">
        <f t="shared" si="566"/>
        <v>0.17</v>
      </c>
      <c r="H1850" s="81"/>
      <c r="I1850" s="146">
        <v>45082</v>
      </c>
      <c r="J1850" s="147">
        <v>1.68</v>
      </c>
      <c r="K1850" s="147">
        <v>1.39</v>
      </c>
      <c r="L1850" s="147">
        <v>1.52</v>
      </c>
      <c r="M1850" s="59" cm="1">
        <f t="array" ref="M1850">INDEX($BV$29:$BV$1449,MATCH($D1850,$BR$29:$BR$1449,0),)</f>
        <v>1.36</v>
      </c>
      <c r="N1850" s="150">
        <f t="shared" si="561"/>
        <v>-0.00262467191601046</v>
      </c>
      <c r="O1850" s="150">
        <f t="shared" si="562"/>
        <v>-0.00653594771241828</v>
      </c>
      <c r="P1850" s="150">
        <f t="shared" si="549"/>
        <v>-0.0299936183790682</v>
      </c>
      <c r="Q1850" s="89">
        <f t="shared" si="551"/>
        <v>0.117647058823529</v>
      </c>
      <c r="S1850" s="82">
        <f t="shared" si="552"/>
        <v>45082</v>
      </c>
      <c r="T1850" s="83">
        <f t="shared" si="553"/>
        <v>0.261625</v>
      </c>
      <c r="U1850" s="83">
        <f t="shared" si="553"/>
        <v>0.198125</v>
      </c>
      <c r="W1850" s="146">
        <v>45082</v>
      </c>
      <c r="X1850" s="147">
        <v>4.3</v>
      </c>
      <c r="Y1850" s="147">
        <v>4.1</v>
      </c>
      <c r="Z1850" s="147">
        <v>4.186</v>
      </c>
      <c r="AA1850" s="59" cm="1">
        <f t="array" ref="AA1850">INDEX($BX$29:$BX$1449,MATCH($D1850,$BR$29:$BR$1449,0),)</f>
        <v>3.17</v>
      </c>
      <c r="AB1850" s="150">
        <f t="shared" si="554"/>
        <v>-0.000716161375029833</v>
      </c>
      <c r="AC1850" s="150">
        <f t="shared" si="556"/>
        <v>-0.00333333333333341</v>
      </c>
      <c r="AD1850" s="150">
        <f t="shared" si="559"/>
        <v>-0.0125029488086813</v>
      </c>
      <c r="AE1850" s="89">
        <f t="shared" si="555"/>
        <v>0.320504731861199</v>
      </c>
      <c r="AF1850" s="36"/>
      <c r="GF1850" s="104">
        <f t="shared" si="563"/>
        <v>2020</v>
      </c>
      <c r="GG1850" s="104">
        <f t="shared" si="564"/>
        <v>16</v>
      </c>
      <c r="GH1850" s="35">
        <v>43938</v>
      </c>
      <c r="GI1850" s="26">
        <v>1.698</v>
      </c>
      <c r="GJ1850" s="94">
        <f t="shared" si="565"/>
        <v>3.396</v>
      </c>
      <c r="GK1850" s="104"/>
      <c r="GL1850" s="104"/>
    </row>
    <row r="1851" spans="3:194">
      <c r="C1851" s="80" t="str" cm="1">
        <f t="array" ref="C1851">_xlfn.IFS(MONTH(D1851)&lt;4,1,MONTH(D1851)&lt;7,2,MONTH(D1851)&lt;10,3,MONTH(D1851)&gt;9,4)&amp;"Q"&amp;RIGHT(YEAR(D1851),2)</f>
        <v>2Q23</v>
      </c>
      <c r="D1851" s="81">
        <f t="shared" si="558"/>
        <v>45107</v>
      </c>
      <c r="E1851" s="82">
        <f t="shared" si="550"/>
        <v>45083</v>
      </c>
      <c r="F1851" s="83">
        <f t="shared" si="566"/>
        <v>0.18975</v>
      </c>
      <c r="G1851" s="83">
        <f t="shared" si="566"/>
        <v>0.17</v>
      </c>
      <c r="H1851" s="81"/>
      <c r="I1851" s="146">
        <v>45083</v>
      </c>
      <c r="J1851" s="147">
        <v>1.7</v>
      </c>
      <c r="K1851" s="147">
        <v>1.39</v>
      </c>
      <c r="L1851" s="147">
        <v>1.518</v>
      </c>
      <c r="M1851" s="59" cm="1">
        <f t="array" ref="M1851">INDEX($BV$29:$BV$1449,MATCH($D1851,$BR$29:$BR$1449,0),)</f>
        <v>1.36</v>
      </c>
      <c r="N1851" s="150">
        <f t="shared" si="561"/>
        <v>-0.00131578947368416</v>
      </c>
      <c r="O1851" s="150">
        <f t="shared" si="562"/>
        <v>-0.00654450261780104</v>
      </c>
      <c r="P1851" s="150">
        <f t="shared" si="549"/>
        <v>-0.0231660231660232</v>
      </c>
      <c r="Q1851" s="89">
        <f t="shared" si="551"/>
        <v>0.116176470588235</v>
      </c>
      <c r="S1851" s="82">
        <f t="shared" si="552"/>
        <v>45083</v>
      </c>
      <c r="T1851" s="83">
        <f t="shared" si="553"/>
        <v>0.2606875</v>
      </c>
      <c r="U1851" s="83">
        <f t="shared" si="553"/>
        <v>0.198125</v>
      </c>
      <c r="W1851" s="146">
        <v>45083</v>
      </c>
      <c r="X1851" s="147">
        <v>4.3</v>
      </c>
      <c r="Y1851" s="147">
        <v>4.1</v>
      </c>
      <c r="Z1851" s="147">
        <v>4.171</v>
      </c>
      <c r="AA1851" s="59" cm="1">
        <f t="array" ref="AA1851">INDEX($BX$29:$BX$1449,MATCH($D1851,$BR$29:$BR$1449,0),)</f>
        <v>3.17</v>
      </c>
      <c r="AB1851" s="150">
        <f t="shared" si="554"/>
        <v>-0.00358337314859047</v>
      </c>
      <c r="AC1851" s="150">
        <f t="shared" si="556"/>
        <v>-0.00619490111984744</v>
      </c>
      <c r="AD1851" s="150">
        <f t="shared" si="559"/>
        <v>-0.0155770592400283</v>
      </c>
      <c r="AE1851" s="89">
        <f t="shared" si="555"/>
        <v>0.315772870662461</v>
      </c>
      <c r="AF1851" s="36"/>
      <c r="GF1851" s="104">
        <f t="shared" si="563"/>
        <v>2020</v>
      </c>
      <c r="GG1851" s="104">
        <f t="shared" si="564"/>
        <v>17</v>
      </c>
      <c r="GH1851" s="35">
        <v>43941</v>
      </c>
      <c r="GI1851" s="26">
        <v>1.698</v>
      </c>
      <c r="GJ1851" s="94">
        <f t="shared" si="565"/>
        <v>3.396</v>
      </c>
      <c r="GK1851" s="104"/>
      <c r="GL1851" s="104"/>
    </row>
    <row r="1852" spans="3:194">
      <c r="C1852" s="80" t="str" cm="1">
        <f t="array" ref="C1852">_xlfn.IFS(MONTH(D1852)&lt;4,1,MONTH(D1852)&lt;7,2,MONTH(D1852)&lt;10,3,MONTH(D1852)&gt;9,4)&amp;"Q"&amp;RIGHT(YEAR(D1852),2)</f>
        <v>2Q23</v>
      </c>
      <c r="D1852" s="81">
        <f t="shared" si="558"/>
        <v>45107</v>
      </c>
      <c r="E1852" s="82">
        <f t="shared" si="550"/>
        <v>45084</v>
      </c>
      <c r="F1852" s="83">
        <f t="shared" si="566"/>
        <v>0.190125</v>
      </c>
      <c r="G1852" s="83">
        <f t="shared" si="566"/>
        <v>0.17</v>
      </c>
      <c r="H1852" s="81"/>
      <c r="I1852" s="146">
        <v>45084</v>
      </c>
      <c r="J1852" s="147">
        <v>1.7</v>
      </c>
      <c r="K1852" s="147">
        <v>1.38</v>
      </c>
      <c r="L1852" s="147">
        <v>1.521</v>
      </c>
      <c r="M1852" s="59" cm="1">
        <f t="array" ref="M1852">INDEX($BV$29:$BV$1449,MATCH($D1852,$BR$29:$BR$1449,0),)</f>
        <v>1.36</v>
      </c>
      <c r="N1852" s="150">
        <f t="shared" si="561"/>
        <v>0.00197628458498023</v>
      </c>
      <c r="O1852" s="150">
        <f t="shared" si="562"/>
        <v>-0.00196850393700798</v>
      </c>
      <c r="P1852" s="150">
        <f t="shared" si="549"/>
        <v>-0.0142579390797148</v>
      </c>
      <c r="Q1852" s="89">
        <f t="shared" si="551"/>
        <v>0.118382352941176</v>
      </c>
      <c r="S1852" s="82">
        <f t="shared" si="552"/>
        <v>45084</v>
      </c>
      <c r="T1852" s="83">
        <f t="shared" si="553"/>
        <v>0.2604375</v>
      </c>
      <c r="U1852" s="83">
        <f t="shared" si="553"/>
        <v>0.198125</v>
      </c>
      <c r="W1852" s="146">
        <v>45084</v>
      </c>
      <c r="X1852" s="147">
        <v>4.3</v>
      </c>
      <c r="Y1852" s="147">
        <v>4.1</v>
      </c>
      <c r="Z1852" s="147">
        <v>4.167</v>
      </c>
      <c r="AA1852" s="59" cm="1">
        <f t="array" ref="AA1852">INDEX($BX$29:$BX$1449,MATCH($D1852,$BR$29:$BR$1449,0),)</f>
        <v>3.17</v>
      </c>
      <c r="AB1852" s="150">
        <f t="shared" si="554"/>
        <v>-0.000959002637257345</v>
      </c>
      <c r="AC1852" s="150">
        <f t="shared" si="556"/>
        <v>-0.00572655690765933</v>
      </c>
      <c r="AD1852" s="150">
        <f t="shared" si="559"/>
        <v>-0.0146606762828092</v>
      </c>
      <c r="AE1852" s="89">
        <f t="shared" si="555"/>
        <v>0.314511041009464</v>
      </c>
      <c r="AF1852" s="36"/>
      <c r="GF1852" s="104">
        <f t="shared" si="563"/>
        <v>2020</v>
      </c>
      <c r="GG1852" s="104">
        <f t="shared" si="564"/>
        <v>17</v>
      </c>
      <c r="GH1852" s="35">
        <v>43942</v>
      </c>
      <c r="GI1852" s="26">
        <v>1.686</v>
      </c>
      <c r="GJ1852" s="94">
        <f t="shared" si="565"/>
        <v>3.372</v>
      </c>
      <c r="GK1852" s="104"/>
      <c r="GL1852" s="104"/>
    </row>
    <row r="1853" spans="3:194">
      <c r="C1853" s="80" t="str" cm="1">
        <f t="array" ref="C1853">_xlfn.IFS(MONTH(D1853)&lt;4,1,MONTH(D1853)&lt;7,2,MONTH(D1853)&lt;10,3,MONTH(D1853)&gt;9,4)&amp;"Q"&amp;RIGHT(YEAR(D1853),2)</f>
        <v>2Q23</v>
      </c>
      <c r="D1853" s="81">
        <f t="shared" si="558"/>
        <v>45107</v>
      </c>
      <c r="E1853" s="82">
        <f t="shared" si="550"/>
        <v>45085</v>
      </c>
      <c r="F1853" s="83">
        <f t="shared" si="566"/>
        <v>0.19</v>
      </c>
      <c r="G1853" s="83">
        <f t="shared" si="566"/>
        <v>0.17</v>
      </c>
      <c r="H1853" s="81"/>
      <c r="I1853" s="146">
        <v>45085</v>
      </c>
      <c r="J1853" s="147">
        <v>1.7</v>
      </c>
      <c r="K1853" s="147">
        <v>1.38</v>
      </c>
      <c r="L1853" s="147">
        <v>1.52</v>
      </c>
      <c r="M1853" s="59" cm="1">
        <f t="array" ref="M1853">INDEX($BV$29:$BV$1449,MATCH($D1853,$BR$29:$BR$1449,0),)</f>
        <v>1.36</v>
      </c>
      <c r="N1853" s="150">
        <f t="shared" si="561"/>
        <v>-0.000657462195923664</v>
      </c>
      <c r="O1853" s="150">
        <f t="shared" si="562"/>
        <v>-0.00262467191601046</v>
      </c>
      <c r="P1853" s="150">
        <f t="shared" si="549"/>
        <v>-0.0104166666666666</v>
      </c>
      <c r="Q1853" s="89">
        <f t="shared" si="551"/>
        <v>0.117647058823529</v>
      </c>
      <c r="S1853" s="82">
        <f t="shared" si="552"/>
        <v>45085</v>
      </c>
      <c r="T1853" s="83">
        <f t="shared" si="553"/>
        <v>0.26025</v>
      </c>
      <c r="U1853" s="83">
        <f t="shared" si="553"/>
        <v>0.198125</v>
      </c>
      <c r="W1853" s="146">
        <v>45085</v>
      </c>
      <c r="X1853" s="147">
        <v>4.3</v>
      </c>
      <c r="Y1853" s="147">
        <v>4.1</v>
      </c>
      <c r="Z1853" s="147">
        <v>4.164</v>
      </c>
      <c r="AA1853" s="59" cm="1">
        <f t="array" ref="AA1853">INDEX($BX$29:$BX$1449,MATCH($D1853,$BR$29:$BR$1449,0),)</f>
        <v>3.17</v>
      </c>
      <c r="AB1853" s="150">
        <f t="shared" si="554"/>
        <v>-0.00071994240460771</v>
      </c>
      <c r="AC1853" s="150">
        <f t="shared" si="556"/>
        <v>-0.00644237652111668</v>
      </c>
      <c r="AD1853" s="150">
        <f t="shared" si="559"/>
        <v>-0.0118652112007596</v>
      </c>
      <c r="AE1853" s="89">
        <f t="shared" si="555"/>
        <v>0.313564668769716</v>
      </c>
      <c r="AF1853" s="36"/>
      <c r="GF1853" s="104">
        <f t="shared" si="563"/>
        <v>2020</v>
      </c>
      <c r="GG1853" s="104">
        <f t="shared" si="564"/>
        <v>17</v>
      </c>
      <c r="GH1853" s="35">
        <v>43943</v>
      </c>
      <c r="GI1853" s="26">
        <v>1.681</v>
      </c>
      <c r="GJ1853" s="94">
        <f t="shared" si="565"/>
        <v>3.362</v>
      </c>
      <c r="GK1853" s="104"/>
      <c r="GL1853" s="104"/>
    </row>
    <row r="1854" spans="3:194">
      <c r="C1854" s="80" t="str" cm="1">
        <f t="array" ref="C1854">_xlfn.IFS(MONTH(D1854)&lt;4,1,MONTH(D1854)&lt;7,2,MONTH(D1854)&lt;10,3,MONTH(D1854)&gt;9,4)&amp;"Q"&amp;RIGHT(YEAR(D1854),2)</f>
        <v>2Q23</v>
      </c>
      <c r="D1854" s="81">
        <f t="shared" si="558"/>
        <v>45107</v>
      </c>
      <c r="E1854" s="82">
        <f t="shared" si="550"/>
        <v>45086</v>
      </c>
      <c r="F1854" s="83">
        <f t="shared" si="566"/>
        <v>0.19</v>
      </c>
      <c r="G1854" s="83">
        <f t="shared" si="566"/>
        <v>0.17</v>
      </c>
      <c r="H1854" s="81"/>
      <c r="I1854" s="146">
        <v>45086</v>
      </c>
      <c r="J1854" s="147">
        <v>1.7</v>
      </c>
      <c r="K1854" s="147">
        <v>1.38</v>
      </c>
      <c r="L1854" s="147">
        <v>1.52</v>
      </c>
      <c r="M1854" s="59" cm="1">
        <f t="array" ref="M1854">INDEX($BV$29:$BV$1449,MATCH($D1854,$BR$29:$BR$1449,0),)</f>
        <v>1.36</v>
      </c>
      <c r="N1854" s="150">
        <f t="shared" si="561"/>
        <v>0</v>
      </c>
      <c r="O1854" s="150">
        <f t="shared" si="562"/>
        <v>-0.00262467191601046</v>
      </c>
      <c r="P1854" s="150">
        <f t="shared" si="549"/>
        <v>-0.00848010437051527</v>
      </c>
      <c r="Q1854" s="89">
        <f t="shared" si="551"/>
        <v>0.117647058823529</v>
      </c>
      <c r="S1854" s="82">
        <f t="shared" si="552"/>
        <v>45086</v>
      </c>
      <c r="T1854" s="83">
        <f t="shared" si="553"/>
        <v>0.2598125</v>
      </c>
      <c r="U1854" s="83">
        <f t="shared" si="553"/>
        <v>0.198125</v>
      </c>
      <c r="W1854" s="146">
        <v>45086</v>
      </c>
      <c r="X1854" s="147">
        <v>4.25</v>
      </c>
      <c r="Y1854" s="147">
        <v>4.1</v>
      </c>
      <c r="Z1854" s="147">
        <v>4.157</v>
      </c>
      <c r="AA1854" s="59" cm="1">
        <f t="array" ref="AA1854">INDEX($BX$29:$BX$1449,MATCH($D1854,$BR$29:$BR$1449,0),)</f>
        <v>3.17</v>
      </c>
      <c r="AB1854" s="150">
        <f t="shared" si="554"/>
        <v>-0.00168107588856858</v>
      </c>
      <c r="AC1854" s="150">
        <f t="shared" si="556"/>
        <v>-0.007639054666985</v>
      </c>
      <c r="AD1854" s="150">
        <f t="shared" si="559"/>
        <v>-0.0123544784984556</v>
      </c>
      <c r="AE1854" s="89">
        <f t="shared" si="555"/>
        <v>0.311356466876972</v>
      </c>
      <c r="AF1854" s="36"/>
      <c r="GF1854" s="104">
        <f t="shared" si="563"/>
        <v>2020</v>
      </c>
      <c r="GG1854" s="104">
        <f t="shared" si="564"/>
        <v>17</v>
      </c>
      <c r="GH1854" s="35">
        <v>43944</v>
      </c>
      <c r="GI1854" s="26">
        <v>1.681</v>
      </c>
      <c r="GJ1854" s="94">
        <f t="shared" si="565"/>
        <v>3.362</v>
      </c>
      <c r="GK1854" s="104"/>
      <c r="GL1854" s="104"/>
    </row>
    <row r="1855" spans="3:194">
      <c r="C1855" s="80" t="str" cm="1">
        <f t="array" ref="C1855">_xlfn.IFS(MONTH(D1855)&lt;4,1,MONTH(D1855)&lt;7,2,MONTH(D1855)&lt;10,3,MONTH(D1855)&gt;9,4)&amp;"Q"&amp;RIGHT(YEAR(D1855),2)</f>
        <v>2Q23</v>
      </c>
      <c r="D1855" s="81">
        <f t="shared" si="558"/>
        <v>45107</v>
      </c>
      <c r="E1855" s="82">
        <f t="shared" si="550"/>
        <v>45089</v>
      </c>
      <c r="F1855" s="83">
        <f t="shared" si="566"/>
        <v>0.19</v>
      </c>
      <c r="G1855" s="83">
        <f t="shared" si="566"/>
        <v>0.17</v>
      </c>
      <c r="H1855" s="81"/>
      <c r="I1855" s="146">
        <v>45089</v>
      </c>
      <c r="J1855" s="147">
        <v>1.7</v>
      </c>
      <c r="K1855" s="147">
        <v>1.37</v>
      </c>
      <c r="L1855" s="147">
        <v>1.52</v>
      </c>
      <c r="M1855" s="59" cm="1">
        <f t="array" ref="M1855">INDEX($BV$29:$BV$1449,MATCH($D1855,$BR$29:$BR$1449,0),)</f>
        <v>1.36</v>
      </c>
      <c r="N1855" s="150">
        <f t="shared" si="561"/>
        <v>0</v>
      </c>
      <c r="O1855" s="150">
        <f t="shared" si="562"/>
        <v>0</v>
      </c>
      <c r="P1855" s="150">
        <f t="shared" si="549"/>
        <v>-0.00653594771241828</v>
      </c>
      <c r="Q1855" s="89">
        <f t="shared" si="551"/>
        <v>0.117647058823529</v>
      </c>
      <c r="S1855" s="82">
        <f t="shared" si="552"/>
        <v>45089</v>
      </c>
      <c r="T1855" s="83">
        <f t="shared" si="553"/>
        <v>0.2595625</v>
      </c>
      <c r="U1855" s="83">
        <f t="shared" si="553"/>
        <v>0.198125</v>
      </c>
      <c r="W1855" s="146">
        <v>45089</v>
      </c>
      <c r="X1855" s="147">
        <v>4.22</v>
      </c>
      <c r="Y1855" s="147">
        <v>4.09</v>
      </c>
      <c r="Z1855" s="147">
        <v>4.153</v>
      </c>
      <c r="AA1855" s="59" cm="1">
        <f t="array" ref="AA1855">INDEX($BX$29:$BX$1449,MATCH($D1855,$BR$29:$BR$1449,0),)</f>
        <v>3.17</v>
      </c>
      <c r="AB1855" s="150">
        <f t="shared" si="554"/>
        <v>-0.000962232379119632</v>
      </c>
      <c r="AC1855" s="150">
        <f t="shared" si="556"/>
        <v>-0.00788342092689931</v>
      </c>
      <c r="AD1855" s="150">
        <f t="shared" si="559"/>
        <v>-0.0111904761904763</v>
      </c>
      <c r="AE1855" s="89">
        <f t="shared" si="555"/>
        <v>0.310094637223975</v>
      </c>
      <c r="AF1855" s="36"/>
      <c r="GF1855" s="104">
        <f t="shared" si="563"/>
        <v>2020</v>
      </c>
      <c r="GG1855" s="104">
        <f t="shared" si="564"/>
        <v>17</v>
      </c>
      <c r="GH1855" s="35">
        <v>43945</v>
      </c>
      <c r="GI1855" s="26">
        <v>1.678</v>
      </c>
      <c r="GJ1855" s="94">
        <f t="shared" si="565"/>
        <v>3.356</v>
      </c>
      <c r="GK1855" s="104"/>
      <c r="GL1855" s="104"/>
    </row>
    <row r="1856" spans="3:194">
      <c r="C1856" s="80" t="str" cm="1">
        <f t="array" ref="C1856">_xlfn.IFS(MONTH(D1856)&lt;4,1,MONTH(D1856)&lt;7,2,MONTH(D1856)&lt;10,3,MONTH(D1856)&gt;9,4)&amp;"Q"&amp;RIGHT(YEAR(D1856),2)</f>
        <v>2Q23</v>
      </c>
      <c r="D1856" s="81">
        <f t="shared" si="558"/>
        <v>45107</v>
      </c>
      <c r="E1856" s="82">
        <f t="shared" si="550"/>
        <v>45090</v>
      </c>
      <c r="F1856" s="83">
        <f t="shared" si="566"/>
        <v>0.19</v>
      </c>
      <c r="G1856" s="83">
        <f t="shared" si="566"/>
        <v>0.17</v>
      </c>
      <c r="H1856" s="81"/>
      <c r="I1856" s="146">
        <v>45090</v>
      </c>
      <c r="J1856" s="147">
        <v>1.7</v>
      </c>
      <c r="K1856" s="147">
        <v>1.37</v>
      </c>
      <c r="L1856" s="147">
        <v>1.52</v>
      </c>
      <c r="M1856" s="59" cm="1">
        <f t="array" ref="M1856">INDEX($BV$29:$BV$1449,MATCH($D1856,$BR$29:$BR$1449,0),)</f>
        <v>1.36</v>
      </c>
      <c r="N1856" s="150">
        <f t="shared" si="561"/>
        <v>0</v>
      </c>
      <c r="O1856" s="150">
        <f t="shared" si="562"/>
        <v>0.00131752305665356</v>
      </c>
      <c r="P1856" s="150">
        <f t="shared" si="549"/>
        <v>-0.00523560209424079</v>
      </c>
      <c r="Q1856" s="89">
        <f t="shared" si="551"/>
        <v>0.117647058823529</v>
      </c>
      <c r="S1856" s="82">
        <f t="shared" si="552"/>
        <v>45090</v>
      </c>
      <c r="T1856" s="83">
        <f t="shared" si="553"/>
        <v>0.2595625</v>
      </c>
      <c r="U1856" s="83">
        <f t="shared" si="553"/>
        <v>0.198125</v>
      </c>
      <c r="W1856" s="146">
        <v>45090</v>
      </c>
      <c r="X1856" s="147">
        <v>4.22</v>
      </c>
      <c r="Y1856" s="147">
        <v>4.09</v>
      </c>
      <c r="Z1856" s="147">
        <v>4.153</v>
      </c>
      <c r="AA1856" s="59" cm="1">
        <f t="array" ref="AA1856">INDEX($BX$29:$BX$1449,MATCH($D1856,$BR$29:$BR$1449,0),)</f>
        <v>3.17</v>
      </c>
      <c r="AB1856" s="150">
        <f t="shared" si="554"/>
        <v>0</v>
      </c>
      <c r="AC1856" s="150">
        <f t="shared" si="556"/>
        <v>-0.00431551186765777</v>
      </c>
      <c r="AD1856" s="150">
        <f t="shared" si="559"/>
        <v>-0.0104836788182036</v>
      </c>
      <c r="AE1856" s="89">
        <f t="shared" si="555"/>
        <v>0.310094637223975</v>
      </c>
      <c r="AF1856" s="36"/>
      <c r="GF1856" s="104">
        <f t="shared" si="563"/>
        <v>2020</v>
      </c>
      <c r="GG1856" s="104">
        <f t="shared" si="564"/>
        <v>18</v>
      </c>
      <c r="GH1856" s="35">
        <v>43948</v>
      </c>
      <c r="GI1856" s="26">
        <v>1.677</v>
      </c>
      <c r="GJ1856" s="94">
        <f t="shared" si="565"/>
        <v>3.354</v>
      </c>
      <c r="GK1856" s="104"/>
      <c r="GL1856" s="104"/>
    </row>
    <row r="1857" spans="3:194">
      <c r="C1857" s="80" t="str" cm="1">
        <f t="array" ref="C1857">_xlfn.IFS(MONTH(D1857)&lt;4,1,MONTH(D1857)&lt;7,2,MONTH(D1857)&lt;10,3,MONTH(D1857)&gt;9,4)&amp;"Q"&amp;RIGHT(YEAR(D1857),2)</f>
        <v>2Q23</v>
      </c>
      <c r="D1857" s="81">
        <f t="shared" si="558"/>
        <v>45107</v>
      </c>
      <c r="E1857" s="82">
        <f t="shared" si="550"/>
        <v>45091</v>
      </c>
      <c r="F1857" s="83">
        <f t="shared" si="566"/>
        <v>0.18975</v>
      </c>
      <c r="G1857" s="83">
        <f t="shared" si="566"/>
        <v>0.17</v>
      </c>
      <c r="H1857" s="81"/>
      <c r="I1857" s="146">
        <v>45091</v>
      </c>
      <c r="J1857" s="147">
        <v>1.69</v>
      </c>
      <c r="K1857" s="147">
        <v>1.36</v>
      </c>
      <c r="L1857" s="147">
        <v>1.518</v>
      </c>
      <c r="M1857" s="59" cm="1">
        <f t="array" ref="M1857">INDEX($BV$29:$BV$1449,MATCH($D1857,$BR$29:$BR$1449,0),)</f>
        <v>1.36</v>
      </c>
      <c r="N1857" s="150">
        <f t="shared" si="561"/>
        <v>-0.00131578947368416</v>
      </c>
      <c r="O1857" s="150">
        <f t="shared" si="562"/>
        <v>-0.0019723865877711</v>
      </c>
      <c r="P1857" s="150">
        <f t="shared" si="549"/>
        <v>-0.00393700787401574</v>
      </c>
      <c r="Q1857" s="89">
        <f t="shared" si="551"/>
        <v>0.116176470588235</v>
      </c>
      <c r="S1857" s="82">
        <f t="shared" si="552"/>
        <v>45091</v>
      </c>
      <c r="T1857" s="83">
        <f t="shared" si="553"/>
        <v>0.259375</v>
      </c>
      <c r="U1857" s="83">
        <f t="shared" si="553"/>
        <v>0.198125</v>
      </c>
      <c r="W1857" s="146">
        <v>45091</v>
      </c>
      <c r="X1857" s="147">
        <v>4.2</v>
      </c>
      <c r="Y1857" s="147">
        <v>4.08</v>
      </c>
      <c r="Z1857" s="147">
        <v>4.15</v>
      </c>
      <c r="AA1857" s="59" cm="1">
        <f t="array" ref="AA1857">INDEX($BX$29:$BX$1449,MATCH($D1857,$BR$29:$BR$1449,0),)</f>
        <v>3.17</v>
      </c>
      <c r="AB1857" s="150">
        <f t="shared" si="554"/>
        <v>-0.000722369371538467</v>
      </c>
      <c r="AC1857" s="150">
        <f t="shared" si="556"/>
        <v>-0.00407967362610984</v>
      </c>
      <c r="AD1857" s="150">
        <f t="shared" si="559"/>
        <v>-0.00978286805058448</v>
      </c>
      <c r="AE1857" s="89">
        <f t="shared" si="555"/>
        <v>0.309148264984227</v>
      </c>
      <c r="AF1857" s="36"/>
      <c r="GF1857" s="104">
        <f t="shared" si="563"/>
        <v>2020</v>
      </c>
      <c r="GG1857" s="104">
        <f t="shared" si="564"/>
        <v>18</v>
      </c>
      <c r="GH1857" s="35">
        <v>43949</v>
      </c>
      <c r="GI1857" s="26">
        <v>1.677</v>
      </c>
      <c r="GJ1857" s="94">
        <f t="shared" si="565"/>
        <v>3.354</v>
      </c>
      <c r="GK1857" s="104"/>
      <c r="GL1857" s="104"/>
    </row>
    <row r="1858" spans="3:194">
      <c r="C1858" s="80" t="str" cm="1">
        <f t="array" ref="C1858">_xlfn.IFS(MONTH(D1858)&lt;4,1,MONTH(D1858)&lt;7,2,MONTH(D1858)&lt;10,3,MONTH(D1858)&gt;9,4)&amp;"Q"&amp;RIGHT(YEAR(D1858),2)</f>
        <v>2Q23</v>
      </c>
      <c r="D1858" s="81">
        <f t="shared" si="558"/>
        <v>45107</v>
      </c>
      <c r="E1858" s="82">
        <f t="shared" si="550"/>
        <v>45092</v>
      </c>
      <c r="F1858" s="83">
        <f t="shared" si="566"/>
        <v>0.18975</v>
      </c>
      <c r="G1858" s="83">
        <f t="shared" si="566"/>
        <v>0.17</v>
      </c>
      <c r="H1858" s="81"/>
      <c r="I1858" s="146">
        <v>45092</v>
      </c>
      <c r="J1858" s="147">
        <v>1.69</v>
      </c>
      <c r="K1858" s="147">
        <v>1.36</v>
      </c>
      <c r="L1858" s="147">
        <v>1.518</v>
      </c>
      <c r="M1858" s="59" cm="1">
        <f t="array" ref="M1858">INDEX($BV$29:$BV$1449,MATCH($D1858,$BR$29:$BR$1449,0),)</f>
        <v>1.36</v>
      </c>
      <c r="N1858" s="150">
        <f t="shared" si="561"/>
        <v>0</v>
      </c>
      <c r="O1858" s="150">
        <f t="shared" si="562"/>
        <v>-0.00131578947368416</v>
      </c>
      <c r="P1858" s="150">
        <f t="shared" si="549"/>
        <v>-0.00393700787401574</v>
      </c>
      <c r="Q1858" s="89">
        <f t="shared" si="551"/>
        <v>0.116176470588235</v>
      </c>
      <c r="S1858" s="82">
        <f t="shared" si="552"/>
        <v>45092</v>
      </c>
      <c r="T1858" s="83">
        <f t="shared" si="553"/>
        <v>0.259375</v>
      </c>
      <c r="U1858" s="83">
        <f t="shared" si="553"/>
        <v>0.198125</v>
      </c>
      <c r="W1858" s="146">
        <v>45092</v>
      </c>
      <c r="X1858" s="147">
        <v>4.2</v>
      </c>
      <c r="Y1858" s="147">
        <v>4.08</v>
      </c>
      <c r="Z1858" s="147">
        <v>4.15</v>
      </c>
      <c r="AA1858" s="59" cm="1">
        <f t="array" ref="AA1858">INDEX($BX$29:$BX$1449,MATCH($D1858,$BR$29:$BR$1449,0),)</f>
        <v>3.17</v>
      </c>
      <c r="AB1858" s="150">
        <f t="shared" si="554"/>
        <v>0</v>
      </c>
      <c r="AC1858" s="150">
        <f t="shared" si="556"/>
        <v>-0.00336215177713717</v>
      </c>
      <c r="AD1858" s="150">
        <f t="shared" si="559"/>
        <v>-0.00978286805058448</v>
      </c>
      <c r="AE1858" s="89">
        <f t="shared" si="555"/>
        <v>0.309148264984227</v>
      </c>
      <c r="AF1858" s="36"/>
      <c r="GF1858" s="104">
        <f t="shared" si="563"/>
        <v>2020</v>
      </c>
      <c r="GG1858" s="104">
        <f t="shared" si="564"/>
        <v>18</v>
      </c>
      <c r="GH1858" s="35">
        <v>43950</v>
      </c>
      <c r="GI1858" s="26">
        <v>1.672</v>
      </c>
      <c r="GJ1858" s="94">
        <f t="shared" si="565"/>
        <v>3.344</v>
      </c>
      <c r="GK1858" s="104"/>
      <c r="GL1858" s="104"/>
    </row>
    <row r="1859" spans="3:194">
      <c r="C1859" s="80" t="str" cm="1">
        <f t="array" ref="C1859">_xlfn.IFS(MONTH(D1859)&lt;4,1,MONTH(D1859)&lt;7,2,MONTH(D1859)&lt;10,3,MONTH(D1859)&gt;9,4)&amp;"Q"&amp;RIGHT(YEAR(D1859),2)</f>
        <v>2Q23</v>
      </c>
      <c r="D1859" s="81">
        <f t="shared" si="558"/>
        <v>45107</v>
      </c>
      <c r="E1859" s="82">
        <f t="shared" si="550"/>
        <v>45093</v>
      </c>
      <c r="F1859" s="83">
        <f t="shared" si="566"/>
        <v>0.189625</v>
      </c>
      <c r="G1859" s="83">
        <f t="shared" si="566"/>
        <v>0.17</v>
      </c>
      <c r="H1859" s="81"/>
      <c r="I1859" s="146">
        <v>45093</v>
      </c>
      <c r="J1859" s="147">
        <v>1.69</v>
      </c>
      <c r="K1859" s="147">
        <v>1.36</v>
      </c>
      <c r="L1859" s="147">
        <v>1.517</v>
      </c>
      <c r="M1859" s="59" cm="1">
        <f t="array" ref="M1859">INDEX($BV$29:$BV$1449,MATCH($D1859,$BR$29:$BR$1449,0),)</f>
        <v>1.36</v>
      </c>
      <c r="N1859" s="150">
        <f t="shared" si="561"/>
        <v>-0.000658761528326779</v>
      </c>
      <c r="O1859" s="150">
        <f t="shared" si="562"/>
        <v>-0.00197368421052635</v>
      </c>
      <c r="P1859" s="150">
        <f t="shared" si="549"/>
        <v>-0.00459317585301844</v>
      </c>
      <c r="Q1859" s="89">
        <f t="shared" si="551"/>
        <v>0.115441176470588</v>
      </c>
      <c r="S1859" s="82">
        <f t="shared" si="552"/>
        <v>45093</v>
      </c>
      <c r="T1859" s="83">
        <f t="shared" si="553"/>
        <v>0.2591875</v>
      </c>
      <c r="U1859" s="83">
        <f t="shared" si="553"/>
        <v>0.198125</v>
      </c>
      <c r="W1859" s="146">
        <v>45093</v>
      </c>
      <c r="X1859" s="147">
        <v>4.2</v>
      </c>
      <c r="Y1859" s="147">
        <v>4.08</v>
      </c>
      <c r="Z1859" s="147">
        <v>4.147</v>
      </c>
      <c r="AA1859" s="59" cm="1">
        <f t="array" ref="AA1859">INDEX($BX$29:$BX$1449,MATCH($D1859,$BR$29:$BR$1449,0),)</f>
        <v>3.17</v>
      </c>
      <c r="AB1859" s="150">
        <f t="shared" si="554"/>
        <v>-0.000722891566265038</v>
      </c>
      <c r="AC1859" s="150">
        <f t="shared" si="556"/>
        <v>-0.00240558094779886</v>
      </c>
      <c r="AD1859" s="150">
        <f t="shared" si="559"/>
        <v>-0.0100262592504177</v>
      </c>
      <c r="AE1859" s="89">
        <f t="shared" si="555"/>
        <v>0.30820189274448</v>
      </c>
      <c r="AF1859" s="36"/>
      <c r="GF1859" s="104">
        <f t="shared" si="563"/>
        <v>2020</v>
      </c>
      <c r="GG1859" s="104">
        <f t="shared" si="564"/>
        <v>18</v>
      </c>
      <c r="GH1859" s="35">
        <v>43951</v>
      </c>
      <c r="GI1859" s="26">
        <v>1.665</v>
      </c>
      <c r="GJ1859" s="94">
        <f t="shared" si="565"/>
        <v>3.33</v>
      </c>
      <c r="GK1859" s="104"/>
      <c r="GL1859" s="104"/>
    </row>
    <row r="1860" spans="3:194">
      <c r="C1860" s="80" t="str" cm="1">
        <f t="array" ref="C1860">_xlfn.IFS(MONTH(D1860)&lt;4,1,MONTH(D1860)&lt;7,2,MONTH(D1860)&lt;10,3,MONTH(D1860)&gt;9,4)&amp;"Q"&amp;RIGHT(YEAR(D1860),2)</f>
        <v>2Q23</v>
      </c>
      <c r="D1860" s="81">
        <f t="shared" si="558"/>
        <v>45107</v>
      </c>
      <c r="E1860" s="82">
        <f t="shared" si="550"/>
        <v>45096</v>
      </c>
      <c r="F1860" s="83">
        <f t="shared" si="566"/>
        <v>0.1895</v>
      </c>
      <c r="G1860" s="83">
        <f t="shared" si="566"/>
        <v>0.17</v>
      </c>
      <c r="H1860" s="81"/>
      <c r="I1860" s="146">
        <v>45096</v>
      </c>
      <c r="J1860" s="147">
        <v>1.68</v>
      </c>
      <c r="K1860" s="147">
        <v>1.35</v>
      </c>
      <c r="L1860" s="147">
        <v>1.516</v>
      </c>
      <c r="M1860" s="59" cm="1">
        <f t="array" ref="M1860">INDEX($BV$29:$BV$1449,MATCH($D1860,$BR$29:$BR$1449,0),)</f>
        <v>1.36</v>
      </c>
      <c r="N1860" s="150">
        <f t="shared" si="561"/>
        <v>-0.000659195781146926</v>
      </c>
      <c r="O1860" s="150">
        <f t="shared" si="562"/>
        <v>-0.00263157894736843</v>
      </c>
      <c r="P1860" s="150">
        <f t="shared" si="549"/>
        <v>-0.00263157894736843</v>
      </c>
      <c r="Q1860" s="89">
        <f t="shared" si="551"/>
        <v>0.114705882352941</v>
      </c>
      <c r="S1860" s="82">
        <f t="shared" si="552"/>
        <v>45096</v>
      </c>
      <c r="T1860" s="83">
        <f t="shared" si="553"/>
        <v>0.2589375</v>
      </c>
      <c r="U1860" s="83">
        <f t="shared" si="553"/>
        <v>0.198125</v>
      </c>
      <c r="W1860" s="146">
        <v>45096</v>
      </c>
      <c r="X1860" s="147">
        <v>4.18</v>
      </c>
      <c r="Y1860" s="147">
        <v>4.07</v>
      </c>
      <c r="Z1860" s="147">
        <v>4.143</v>
      </c>
      <c r="AA1860" s="59" cm="1">
        <f t="array" ref="AA1860">INDEX($BX$29:$BX$1449,MATCH($D1860,$BR$29:$BR$1449,0),)</f>
        <v>3.17</v>
      </c>
      <c r="AB1860" s="150">
        <f t="shared" si="554"/>
        <v>-0.000964552688690778</v>
      </c>
      <c r="AC1860" s="150">
        <f t="shared" si="556"/>
        <v>-0.00240789790512874</v>
      </c>
      <c r="AD1860" s="150">
        <f t="shared" si="559"/>
        <v>-0.0102723363592929</v>
      </c>
      <c r="AE1860" s="89">
        <f t="shared" si="555"/>
        <v>0.306940063091483</v>
      </c>
      <c r="AF1860" s="36"/>
      <c r="GF1860" s="104">
        <f t="shared" si="563"/>
        <v>2020</v>
      </c>
      <c r="GG1860" s="104">
        <f t="shared" si="564"/>
        <v>19</v>
      </c>
      <c r="GH1860" s="35">
        <v>43955</v>
      </c>
      <c r="GI1860" s="26">
        <v>1.653</v>
      </c>
      <c r="GJ1860" s="94">
        <f t="shared" si="565"/>
        <v>3.306</v>
      </c>
      <c r="GK1860" s="104"/>
      <c r="GL1860" s="104"/>
    </row>
    <row r="1861" spans="3:194">
      <c r="C1861" s="80" t="str" cm="1">
        <f t="array" ref="C1861">_xlfn.IFS(MONTH(D1861)&lt;4,1,MONTH(D1861)&lt;7,2,MONTH(D1861)&lt;10,3,MONTH(D1861)&gt;9,4)&amp;"Q"&amp;RIGHT(YEAR(D1861),2)</f>
        <v>2Q23</v>
      </c>
      <c r="D1861" s="81">
        <f t="shared" si="558"/>
        <v>45107</v>
      </c>
      <c r="E1861" s="82">
        <f t="shared" si="550"/>
        <v>45097</v>
      </c>
      <c r="F1861" s="83">
        <f t="shared" si="566"/>
        <v>0.189125</v>
      </c>
      <c r="G1861" s="83">
        <f t="shared" si="566"/>
        <v>0.17</v>
      </c>
      <c r="H1861" s="81"/>
      <c r="I1861" s="146">
        <v>45097</v>
      </c>
      <c r="J1861" s="147">
        <v>1.68</v>
      </c>
      <c r="K1861" s="147">
        <v>1.35</v>
      </c>
      <c r="L1861" s="147">
        <v>1.513</v>
      </c>
      <c r="M1861" s="59" cm="1">
        <f t="array" ref="M1861">INDEX($BV$29:$BV$1449,MATCH($D1861,$BR$29:$BR$1449,0),)</f>
        <v>1.36</v>
      </c>
      <c r="N1861" s="150">
        <f t="shared" si="561"/>
        <v>-0.00197889182058053</v>
      </c>
      <c r="O1861" s="150">
        <f t="shared" si="562"/>
        <v>-0.00460526315789478</v>
      </c>
      <c r="P1861" s="150">
        <f t="shared" si="549"/>
        <v>-0.00329380764163378</v>
      </c>
      <c r="Q1861" s="89">
        <f t="shared" si="551"/>
        <v>0.1125</v>
      </c>
      <c r="S1861" s="82">
        <f t="shared" si="552"/>
        <v>45097</v>
      </c>
      <c r="T1861" s="83">
        <f t="shared" si="553"/>
        <v>0.2589375</v>
      </c>
      <c r="U1861" s="83">
        <f t="shared" si="553"/>
        <v>0.198125</v>
      </c>
      <c r="W1861" s="146">
        <v>45097</v>
      </c>
      <c r="X1861" s="147">
        <v>4.18</v>
      </c>
      <c r="Y1861" s="147">
        <v>4.07</v>
      </c>
      <c r="Z1861" s="147">
        <v>4.143</v>
      </c>
      <c r="AA1861" s="59" cm="1">
        <f t="array" ref="AA1861">INDEX($BX$29:$BX$1449,MATCH($D1861,$BR$29:$BR$1449,0),)</f>
        <v>3.17</v>
      </c>
      <c r="AB1861" s="150">
        <f t="shared" si="554"/>
        <v>0</v>
      </c>
      <c r="AC1861" s="150">
        <f t="shared" si="556"/>
        <v>-0.00240789790512874</v>
      </c>
      <c r="AD1861" s="150">
        <f t="shared" si="559"/>
        <v>-0.00671301846080086</v>
      </c>
      <c r="AE1861" s="89">
        <f t="shared" si="555"/>
        <v>0.306940063091483</v>
      </c>
      <c r="AF1861" s="36"/>
      <c r="GF1861" s="104">
        <f t="shared" si="563"/>
        <v>2020</v>
      </c>
      <c r="GG1861" s="104">
        <f t="shared" si="564"/>
        <v>19</v>
      </c>
      <c r="GH1861" s="35">
        <v>43956</v>
      </c>
      <c r="GI1861" s="26">
        <v>1.648</v>
      </c>
      <c r="GJ1861" s="94">
        <f t="shared" si="565"/>
        <v>3.296</v>
      </c>
      <c r="GK1861" s="104"/>
      <c r="GL1861" s="104"/>
    </row>
    <row r="1862" spans="3:194">
      <c r="C1862" s="80" t="str" cm="1">
        <f t="array" ref="C1862">_xlfn.IFS(MONTH(D1862)&lt;4,1,MONTH(D1862)&lt;7,2,MONTH(D1862)&lt;10,3,MONTH(D1862)&gt;9,4)&amp;"Q"&amp;RIGHT(YEAR(D1862),2)</f>
        <v>2Q23</v>
      </c>
      <c r="D1862" s="81">
        <f t="shared" si="558"/>
        <v>45107</v>
      </c>
      <c r="E1862" s="82">
        <f t="shared" si="550"/>
        <v>45098</v>
      </c>
      <c r="F1862" s="83">
        <f t="shared" si="566"/>
        <v>0.189125</v>
      </c>
      <c r="G1862" s="83">
        <f t="shared" si="566"/>
        <v>0.17</v>
      </c>
      <c r="H1862" s="81"/>
      <c r="I1862" s="146">
        <v>45098</v>
      </c>
      <c r="J1862" s="147">
        <v>1.68</v>
      </c>
      <c r="K1862" s="147">
        <v>1.35</v>
      </c>
      <c r="L1862" s="147">
        <v>1.513</v>
      </c>
      <c r="M1862" s="59" cm="1">
        <f t="array" ref="M1862">INDEX($BV$29:$BV$1449,MATCH($D1862,$BR$29:$BR$1449,0),)</f>
        <v>1.36</v>
      </c>
      <c r="N1862" s="150">
        <f t="shared" si="561"/>
        <v>0</v>
      </c>
      <c r="O1862" s="150">
        <f t="shared" si="562"/>
        <v>-0.00329380764163378</v>
      </c>
      <c r="P1862" s="150">
        <f t="shared" si="549"/>
        <v>-0.00525969756738986</v>
      </c>
      <c r="Q1862" s="89">
        <f t="shared" si="551"/>
        <v>0.1125</v>
      </c>
      <c r="S1862" s="82">
        <f t="shared" si="552"/>
        <v>45098</v>
      </c>
      <c r="T1862" s="83">
        <f t="shared" si="553"/>
        <v>0.2588125</v>
      </c>
      <c r="U1862" s="83">
        <f t="shared" si="553"/>
        <v>0.198125</v>
      </c>
      <c r="W1862" s="146">
        <v>45098</v>
      </c>
      <c r="X1862" s="147">
        <v>4.18</v>
      </c>
      <c r="Y1862" s="147">
        <v>4.07</v>
      </c>
      <c r="Z1862" s="147">
        <v>4.141</v>
      </c>
      <c r="AA1862" s="59" cm="1">
        <f t="array" ref="AA1862">INDEX($BX$29:$BX$1449,MATCH($D1862,$BR$29:$BR$1449,0),)</f>
        <v>3.17</v>
      </c>
      <c r="AB1862" s="150">
        <f t="shared" si="554"/>
        <v>-0.000482741974414669</v>
      </c>
      <c r="AC1862" s="150">
        <f t="shared" si="556"/>
        <v>-0.00216867469879523</v>
      </c>
      <c r="AD1862" s="150">
        <f t="shared" si="559"/>
        <v>-0.00623950083993274</v>
      </c>
      <c r="AE1862" s="89">
        <f t="shared" si="555"/>
        <v>0.306309148264984</v>
      </c>
      <c r="AF1862" s="36"/>
      <c r="GF1862" s="104">
        <f t="shared" si="563"/>
        <v>2020</v>
      </c>
      <c r="GG1862" s="104">
        <f t="shared" si="564"/>
        <v>19</v>
      </c>
      <c r="GH1862" s="35">
        <v>43957</v>
      </c>
      <c r="GI1862" s="26">
        <v>1.641</v>
      </c>
      <c r="GJ1862" s="94">
        <f t="shared" si="565"/>
        <v>3.282</v>
      </c>
      <c r="GK1862" s="104"/>
      <c r="GL1862" s="104"/>
    </row>
    <row r="1863" spans="3:194">
      <c r="C1863" s="80" t="str" cm="1">
        <f t="array" ref="C1863">_xlfn.IFS(MONTH(D1863)&lt;4,1,MONTH(D1863)&lt;7,2,MONTH(D1863)&lt;10,3,MONTH(D1863)&gt;9,4)&amp;"Q"&amp;RIGHT(YEAR(D1863),2)</f>
        <v>2Q23</v>
      </c>
      <c r="D1863" s="81">
        <f t="shared" si="558"/>
        <v>45107</v>
      </c>
      <c r="E1863" s="82">
        <f t="shared" si="550"/>
        <v>45103</v>
      </c>
      <c r="F1863" s="83">
        <f t="shared" si="566"/>
        <v>0.188875</v>
      </c>
      <c r="G1863" s="83">
        <f t="shared" si="566"/>
        <v>0.17</v>
      </c>
      <c r="H1863" s="81"/>
      <c r="I1863" s="146">
        <v>45103</v>
      </c>
      <c r="J1863" s="147">
        <v>1.69</v>
      </c>
      <c r="K1863" s="147">
        <v>1.35</v>
      </c>
      <c r="L1863" s="147">
        <v>1.511</v>
      </c>
      <c r="M1863" s="59" cm="1">
        <f t="array" ref="M1863">INDEX($BV$29:$BV$1449,MATCH($D1863,$BR$29:$BR$1449,0),)</f>
        <v>1.36</v>
      </c>
      <c r="N1863" s="150">
        <f t="shared" si="561"/>
        <v>-0.00132187706543296</v>
      </c>
      <c r="O1863" s="150">
        <f t="shared" si="562"/>
        <v>-0.00461133069828734</v>
      </c>
      <c r="P1863" s="150">
        <f t="shared" si="549"/>
        <v>-0.00592105263157905</v>
      </c>
      <c r="Q1863" s="89">
        <f t="shared" si="551"/>
        <v>0.111029411764706</v>
      </c>
      <c r="S1863" s="82">
        <f t="shared" si="552"/>
        <v>45103</v>
      </c>
      <c r="T1863" s="83">
        <f t="shared" si="553"/>
        <v>0.2588125</v>
      </c>
      <c r="U1863" s="83">
        <f t="shared" si="553"/>
        <v>0.198125</v>
      </c>
      <c r="W1863" s="146">
        <v>45103</v>
      </c>
      <c r="X1863" s="147">
        <v>4.17</v>
      </c>
      <c r="Y1863" s="147">
        <v>4.06</v>
      </c>
      <c r="Z1863" s="147">
        <v>4.141</v>
      </c>
      <c r="AA1863" s="59" cm="1">
        <f t="array" ref="AA1863">INDEX($BX$29:$BX$1449,MATCH($D1863,$BR$29:$BR$1449,0),)</f>
        <v>3.17</v>
      </c>
      <c r="AB1863" s="150">
        <f t="shared" si="554"/>
        <v>0</v>
      </c>
      <c r="AC1863" s="150">
        <f t="shared" si="556"/>
        <v>-0.00216867469879523</v>
      </c>
      <c r="AD1863" s="150">
        <f t="shared" si="559"/>
        <v>-0.00552353506243985</v>
      </c>
      <c r="AE1863" s="89">
        <f t="shared" si="555"/>
        <v>0.306309148264984</v>
      </c>
      <c r="AF1863" s="36"/>
      <c r="GF1863" s="104">
        <f t="shared" si="563"/>
        <v>2020</v>
      </c>
      <c r="GG1863" s="104">
        <f t="shared" si="564"/>
        <v>19</v>
      </c>
      <c r="GH1863" s="35">
        <v>43958</v>
      </c>
      <c r="GI1863" s="26">
        <v>1.63</v>
      </c>
      <c r="GJ1863" s="94">
        <f t="shared" si="565"/>
        <v>3.26</v>
      </c>
      <c r="GK1863" s="104"/>
      <c r="GL1863" s="104"/>
    </row>
    <row r="1864" spans="3:194">
      <c r="C1864" s="80" t="str" cm="1">
        <f t="array" ref="C1864">_xlfn.IFS(MONTH(D1864)&lt;4,1,MONTH(D1864)&lt;7,2,MONTH(D1864)&lt;10,3,MONTH(D1864)&gt;9,4)&amp;"Q"&amp;RIGHT(YEAR(D1864),2)</f>
        <v>2Q23</v>
      </c>
      <c r="D1864" s="81">
        <f t="shared" si="558"/>
        <v>45107</v>
      </c>
      <c r="E1864" s="82">
        <f t="shared" si="550"/>
        <v>45104</v>
      </c>
      <c r="F1864" s="83">
        <f t="shared" si="566"/>
        <v>0.188625</v>
      </c>
      <c r="G1864" s="83">
        <f t="shared" si="566"/>
        <v>0.17</v>
      </c>
      <c r="H1864" s="81"/>
      <c r="I1864" s="146">
        <v>45104</v>
      </c>
      <c r="J1864" s="147">
        <v>1.69</v>
      </c>
      <c r="K1864" s="147">
        <v>1.34</v>
      </c>
      <c r="L1864" s="147">
        <v>1.509</v>
      </c>
      <c r="M1864" s="59" cm="1">
        <f t="array" ref="M1864">INDEX($BV$29:$BV$1449,MATCH($D1864,$BR$29:$BR$1449,0),)</f>
        <v>1.36</v>
      </c>
      <c r="N1864" s="150">
        <f t="shared" si="561"/>
        <v>-0.00132362673726005</v>
      </c>
      <c r="O1864" s="150">
        <f t="shared" si="562"/>
        <v>-0.00527356624917596</v>
      </c>
      <c r="P1864" s="150">
        <f t="shared" si="549"/>
        <v>-0.00723684210526321</v>
      </c>
      <c r="Q1864" s="89">
        <f t="shared" si="551"/>
        <v>0.109558823529412</v>
      </c>
      <c r="S1864" s="82">
        <f t="shared" si="552"/>
        <v>45104</v>
      </c>
      <c r="T1864" s="83">
        <f t="shared" si="553"/>
        <v>0.2588125</v>
      </c>
      <c r="U1864" s="83">
        <f t="shared" si="553"/>
        <v>0.198125</v>
      </c>
      <c r="W1864" s="146">
        <v>45104</v>
      </c>
      <c r="X1864" s="147">
        <v>4.17</v>
      </c>
      <c r="Y1864" s="147">
        <v>4.06</v>
      </c>
      <c r="Z1864" s="147">
        <v>4.141</v>
      </c>
      <c r="AA1864" s="59" cm="1">
        <f t="array" ref="AA1864">INDEX($BX$29:$BX$1449,MATCH($D1864,$BR$29:$BR$1449,0),)</f>
        <v>3.17</v>
      </c>
      <c r="AB1864" s="150">
        <f t="shared" si="554"/>
        <v>0</v>
      </c>
      <c r="AC1864" s="150">
        <f t="shared" si="556"/>
        <v>-0.00144682903303595</v>
      </c>
      <c r="AD1864" s="150">
        <f t="shared" si="559"/>
        <v>-0.00384892951647819</v>
      </c>
      <c r="AE1864" s="89">
        <f t="shared" si="555"/>
        <v>0.306309148264984</v>
      </c>
      <c r="AF1864" s="36"/>
      <c r="GF1864" s="104">
        <f t="shared" si="563"/>
        <v>2020</v>
      </c>
      <c r="GG1864" s="104">
        <f t="shared" si="564"/>
        <v>19</v>
      </c>
      <c r="GH1864" s="35">
        <v>43959</v>
      </c>
      <c r="GI1864" s="26">
        <v>1.628</v>
      </c>
      <c r="GJ1864" s="94">
        <f t="shared" si="565"/>
        <v>3.256</v>
      </c>
      <c r="GK1864" s="104"/>
      <c r="GL1864" s="104"/>
    </row>
    <row r="1865" spans="3:194">
      <c r="C1865" s="80" t="str" cm="1">
        <f t="array" ref="C1865">_xlfn.IFS(MONTH(D1865)&lt;4,1,MONTH(D1865)&lt;7,2,MONTH(D1865)&lt;10,3,MONTH(D1865)&gt;9,4)&amp;"Q"&amp;RIGHT(YEAR(D1865),2)</f>
        <v>2Q23</v>
      </c>
      <c r="D1865" s="81">
        <f t="shared" si="558"/>
        <v>45107</v>
      </c>
      <c r="E1865" s="82">
        <f t="shared" si="550"/>
        <v>45105</v>
      </c>
      <c r="F1865" s="83">
        <f t="shared" si="566"/>
        <v>0.1885</v>
      </c>
      <c r="G1865" s="83">
        <f t="shared" si="566"/>
        <v>0.17</v>
      </c>
      <c r="H1865" s="81"/>
      <c r="I1865" s="146">
        <v>45105</v>
      </c>
      <c r="J1865" s="147">
        <v>1.69</v>
      </c>
      <c r="K1865" s="147">
        <v>1.34</v>
      </c>
      <c r="L1865" s="147">
        <v>1.508</v>
      </c>
      <c r="M1865" s="59" cm="1">
        <f t="array" ref="M1865">INDEX($BV$29:$BV$1449,MATCH($D1865,$BR$29:$BR$1449,0),)</f>
        <v>1.36</v>
      </c>
      <c r="N1865" s="150">
        <f t="shared" si="561"/>
        <v>-0.000662690523525411</v>
      </c>
      <c r="O1865" s="150">
        <f t="shared" si="562"/>
        <v>-0.00527704485488123</v>
      </c>
      <c r="P1865" s="150">
        <f t="shared" si="549"/>
        <v>-0.00789473684210529</v>
      </c>
      <c r="Q1865" s="89">
        <f t="shared" si="551"/>
        <v>0.108823529411765</v>
      </c>
      <c r="S1865" s="82">
        <f t="shared" si="552"/>
        <v>45105</v>
      </c>
      <c r="T1865" s="83">
        <f t="shared" si="553"/>
        <v>0.2588125</v>
      </c>
      <c r="U1865" s="83">
        <f t="shared" si="553"/>
        <v>0.198125</v>
      </c>
      <c r="W1865" s="146">
        <v>45105</v>
      </c>
      <c r="X1865" s="147">
        <v>4.17</v>
      </c>
      <c r="Y1865" s="147">
        <v>4.06</v>
      </c>
      <c r="Z1865" s="147">
        <v>4.141</v>
      </c>
      <c r="AA1865" s="59" cm="1">
        <f t="array" ref="AA1865">INDEX($BX$29:$BX$1449,MATCH($D1865,$BR$29:$BR$1449,0),)</f>
        <v>3.17</v>
      </c>
      <c r="AB1865" s="150">
        <f t="shared" si="554"/>
        <v>0</v>
      </c>
      <c r="AC1865" s="150">
        <f t="shared" si="556"/>
        <v>-0.000482741974414669</v>
      </c>
      <c r="AD1865" s="150">
        <f t="shared" si="559"/>
        <v>-0.00288947748615453</v>
      </c>
      <c r="AE1865" s="89">
        <f t="shared" si="555"/>
        <v>0.306309148264984</v>
      </c>
      <c r="AF1865" s="36"/>
      <c r="GF1865" s="104">
        <f t="shared" si="563"/>
        <v>2020</v>
      </c>
      <c r="GG1865" s="104">
        <f t="shared" si="564"/>
        <v>20</v>
      </c>
      <c r="GH1865" s="35">
        <v>43962</v>
      </c>
      <c r="GI1865" s="26">
        <v>1.622</v>
      </c>
      <c r="GJ1865" s="94">
        <f t="shared" si="565"/>
        <v>3.244</v>
      </c>
      <c r="GK1865" s="104"/>
      <c r="GL1865" s="104"/>
    </row>
    <row r="1866" spans="3:194">
      <c r="C1866" s="80" t="str" cm="1">
        <f t="array" ref="C1866">_xlfn.IFS(MONTH(D1866)&lt;4,1,MONTH(D1866)&lt;7,2,MONTH(D1866)&lt;10,3,MONTH(D1866)&gt;9,4)&amp;"Q"&amp;RIGHT(YEAR(D1866),2)</f>
        <v>2Q23</v>
      </c>
      <c r="D1866" s="81">
        <f t="shared" si="558"/>
        <v>45107</v>
      </c>
      <c r="E1866" s="82">
        <f t="shared" si="550"/>
        <v>45106</v>
      </c>
      <c r="F1866" s="83">
        <f t="shared" ref="F1866:G1881" si="567">+L1866/8</f>
        <v>0.188375</v>
      </c>
      <c r="G1866" s="83">
        <f t="shared" si="567"/>
        <v>0.17</v>
      </c>
      <c r="H1866" s="81"/>
      <c r="I1866" s="146">
        <v>45106</v>
      </c>
      <c r="J1866" s="147">
        <v>1.69</v>
      </c>
      <c r="K1866" s="147">
        <v>1.34</v>
      </c>
      <c r="L1866" s="147">
        <v>1.507</v>
      </c>
      <c r="M1866" s="59" cm="1">
        <f t="array" ref="M1866">INDEX($BV$29:$BV$1449,MATCH($D1866,$BR$29:$BR$1449,0),)</f>
        <v>1.36</v>
      </c>
      <c r="N1866" s="150">
        <f t="shared" si="561"/>
        <v>-0.000663129973474841</v>
      </c>
      <c r="O1866" s="150">
        <f t="shared" si="562"/>
        <v>-0.00396563119629878</v>
      </c>
      <c r="P1866" s="150">
        <f t="shared" si="549"/>
        <v>-0.00855263157894748</v>
      </c>
      <c r="Q1866" s="89">
        <f t="shared" si="551"/>
        <v>0.108088235294117</v>
      </c>
      <c r="S1866" s="82">
        <f t="shared" si="552"/>
        <v>45106</v>
      </c>
      <c r="T1866" s="83">
        <f t="shared" si="553"/>
        <v>0.2588125</v>
      </c>
      <c r="U1866" s="83">
        <f t="shared" si="553"/>
        <v>0.198125</v>
      </c>
      <c r="W1866" s="146">
        <v>45106</v>
      </c>
      <c r="X1866" s="147">
        <v>4.17</v>
      </c>
      <c r="Y1866" s="147">
        <v>4.06</v>
      </c>
      <c r="Z1866" s="147">
        <v>4.141</v>
      </c>
      <c r="AA1866" s="59" cm="1">
        <f t="array" ref="AA1866">INDEX($BX$29:$BX$1449,MATCH($D1866,$BR$29:$BR$1449,0),)</f>
        <v>3.17</v>
      </c>
      <c r="AB1866" s="150">
        <f t="shared" si="554"/>
        <v>0</v>
      </c>
      <c r="AC1866" s="150">
        <f t="shared" si="556"/>
        <v>-0.000482741974414669</v>
      </c>
      <c r="AD1866" s="150">
        <f t="shared" si="559"/>
        <v>-0.00288947748615453</v>
      </c>
      <c r="AE1866" s="89">
        <f t="shared" si="555"/>
        <v>0.306309148264984</v>
      </c>
      <c r="AF1866" s="36"/>
      <c r="GF1866" s="104">
        <f t="shared" si="563"/>
        <v>2020</v>
      </c>
      <c r="GG1866" s="104">
        <f t="shared" si="564"/>
        <v>20</v>
      </c>
      <c r="GH1866" s="35">
        <v>43963</v>
      </c>
      <c r="GI1866" s="26">
        <v>1.619</v>
      </c>
      <c r="GJ1866" s="94">
        <f t="shared" si="565"/>
        <v>3.238</v>
      </c>
      <c r="GK1866" s="104"/>
      <c r="GL1866" s="104"/>
    </row>
    <row r="1867" spans="3:194">
      <c r="C1867" s="80" t="str" cm="1">
        <f t="array" ref="C1867">_xlfn.IFS(MONTH(D1867)&lt;4,1,MONTH(D1867)&lt;7,2,MONTH(D1867)&lt;10,3,MONTH(D1867)&gt;9,4)&amp;"Q"&amp;RIGHT(YEAR(D1867),2)</f>
        <v>2Q23</v>
      </c>
      <c r="D1867" s="81">
        <f t="shared" si="558"/>
        <v>45107</v>
      </c>
      <c r="E1867" s="82">
        <f t="shared" si="550"/>
        <v>45107</v>
      </c>
      <c r="F1867" s="83">
        <f t="shared" si="567"/>
        <v>0.187875</v>
      </c>
      <c r="G1867" s="83">
        <f t="shared" si="567"/>
        <v>0.17</v>
      </c>
      <c r="H1867" s="81"/>
      <c r="I1867" s="146">
        <v>45107</v>
      </c>
      <c r="J1867" s="147">
        <v>1.68</v>
      </c>
      <c r="K1867" s="147">
        <v>1.34</v>
      </c>
      <c r="L1867" s="147">
        <v>1.503</v>
      </c>
      <c r="M1867" s="59" cm="1">
        <f t="array" ref="M1867">INDEX($BV$29:$BV$1449,MATCH($D1867,$BR$29:$BR$1449,0),)</f>
        <v>1.36</v>
      </c>
      <c r="N1867" s="150">
        <f t="shared" si="561"/>
        <v>-0.00265428002654278</v>
      </c>
      <c r="O1867" s="150">
        <f t="shared" si="562"/>
        <v>-0.0066093853271646</v>
      </c>
      <c r="P1867" s="150">
        <f t="shared" si="549"/>
        <v>-0.00988142292490124</v>
      </c>
      <c r="Q1867" s="89">
        <f t="shared" si="551"/>
        <v>0.105147058823529</v>
      </c>
      <c r="S1867" s="82">
        <f t="shared" si="552"/>
        <v>45107</v>
      </c>
      <c r="T1867" s="83">
        <f t="shared" si="553"/>
        <v>0.258375</v>
      </c>
      <c r="U1867" s="83">
        <f t="shared" si="553"/>
        <v>0.198125</v>
      </c>
      <c r="W1867" s="146">
        <v>45107</v>
      </c>
      <c r="X1867" s="147">
        <v>4.17</v>
      </c>
      <c r="Y1867" s="147">
        <v>4.06</v>
      </c>
      <c r="Z1867" s="147">
        <v>4.134</v>
      </c>
      <c r="AA1867" s="59" cm="1">
        <f t="array" ref="AA1867">INDEX($BX$29:$BX$1449,MATCH($D1867,$BR$29:$BR$1449,0),)</f>
        <v>3.17</v>
      </c>
      <c r="AB1867" s="150">
        <f t="shared" si="554"/>
        <v>-0.00169041294373329</v>
      </c>
      <c r="AC1867" s="150">
        <f t="shared" si="556"/>
        <v>-0.00169041294373329</v>
      </c>
      <c r="AD1867" s="150">
        <f t="shared" si="559"/>
        <v>-0.00385542168674702</v>
      </c>
      <c r="AE1867" s="89">
        <f t="shared" si="555"/>
        <v>0.30410094637224</v>
      </c>
      <c r="AF1867" s="36"/>
      <c r="GF1867" s="104">
        <f t="shared" si="563"/>
        <v>2020</v>
      </c>
      <c r="GG1867" s="104">
        <f t="shared" si="564"/>
        <v>20</v>
      </c>
      <c r="GH1867" s="35">
        <v>43964</v>
      </c>
      <c r="GI1867" s="26">
        <v>1.617</v>
      </c>
      <c r="GJ1867" s="94">
        <f t="shared" si="565"/>
        <v>3.234</v>
      </c>
      <c r="GK1867" s="104"/>
      <c r="GL1867" s="104"/>
    </row>
    <row r="1868" spans="3:194">
      <c r="C1868" s="80" t="str" cm="1">
        <f t="array" ref="C1868">_xlfn.IFS(MONTH(D1868)&lt;4,1,MONTH(D1868)&lt;7,2,MONTH(D1868)&lt;10,3,MONTH(D1868)&gt;9,4)&amp;"Q"&amp;RIGHT(YEAR(D1868),2)</f>
        <v>3Q23</v>
      </c>
      <c r="D1868" s="81">
        <f t="shared" si="558"/>
        <v>45138</v>
      </c>
      <c r="E1868" s="82">
        <f t="shared" si="550"/>
        <v>45110</v>
      </c>
      <c r="F1868" s="83">
        <f t="shared" si="567"/>
        <v>0.1875</v>
      </c>
      <c r="G1868" s="83">
        <f t="shared" si="567"/>
        <v>0.1675</v>
      </c>
      <c r="H1868" s="81"/>
      <c r="I1868" s="146">
        <v>45110</v>
      </c>
      <c r="J1868" s="147">
        <v>1.69</v>
      </c>
      <c r="K1868" s="147">
        <v>1.35</v>
      </c>
      <c r="L1868" s="147">
        <v>1.5</v>
      </c>
      <c r="M1868" s="59" cm="1">
        <f t="array" ref="M1868">INDEX($BV$29:$BV$1449,MATCH($D1868,$BR$29:$BR$1449,0),)</f>
        <v>1.34</v>
      </c>
      <c r="N1868" s="150">
        <f t="shared" si="561"/>
        <v>-0.00199600798403188</v>
      </c>
      <c r="O1868" s="150">
        <f t="shared" si="562"/>
        <v>-0.0072799470549304</v>
      </c>
      <c r="P1868" s="150">
        <f t="shared" si="549"/>
        <v>-0.0118577075098815</v>
      </c>
      <c r="Q1868" s="89">
        <f t="shared" si="551"/>
        <v>0.119402985074627</v>
      </c>
      <c r="S1868" s="82">
        <f t="shared" si="552"/>
        <v>45110</v>
      </c>
      <c r="T1868" s="83">
        <f t="shared" si="553"/>
        <v>0.258125</v>
      </c>
      <c r="U1868" s="83">
        <f t="shared" si="553"/>
        <v>0.198125</v>
      </c>
      <c r="W1868" s="146">
        <v>45110</v>
      </c>
      <c r="X1868" s="147">
        <v>4.15</v>
      </c>
      <c r="Y1868" s="147">
        <v>4.05</v>
      </c>
      <c r="Z1868" s="147">
        <v>4.13</v>
      </c>
      <c r="AA1868" s="59" cm="1">
        <f t="array" ref="AA1868">INDEX($BX$29:$BX$1449,MATCH($D1868,$BR$29:$BR$1449,0),)</f>
        <v>3.17</v>
      </c>
      <c r="AB1868" s="150">
        <f t="shared" si="554"/>
        <v>-0.000967585873246413</v>
      </c>
      <c r="AC1868" s="150">
        <f t="shared" si="556"/>
        <v>-0.00265636319729534</v>
      </c>
      <c r="AD1868" s="150">
        <f t="shared" si="559"/>
        <v>-0.00481927710843388</v>
      </c>
      <c r="AE1868" s="89">
        <f t="shared" si="555"/>
        <v>0.302839116719243</v>
      </c>
      <c r="AF1868" s="36"/>
      <c r="GF1868" s="104">
        <f t="shared" si="563"/>
        <v>2020</v>
      </c>
      <c r="GG1868" s="104">
        <f t="shared" si="564"/>
        <v>20</v>
      </c>
      <c r="GH1868" s="35">
        <v>43965</v>
      </c>
      <c r="GI1868" s="26">
        <v>1.617</v>
      </c>
      <c r="GJ1868" s="94">
        <f t="shared" si="565"/>
        <v>3.234</v>
      </c>
      <c r="GK1868" s="104"/>
      <c r="GL1868" s="104"/>
    </row>
    <row r="1869" spans="3:194">
      <c r="C1869" s="80" t="str" cm="1">
        <f t="array" ref="C1869">_xlfn.IFS(MONTH(D1869)&lt;4,1,MONTH(D1869)&lt;7,2,MONTH(D1869)&lt;10,3,MONTH(D1869)&gt;9,4)&amp;"Q"&amp;RIGHT(YEAR(D1869),2)</f>
        <v>3Q23</v>
      </c>
      <c r="D1869" s="81">
        <f t="shared" si="558"/>
        <v>45138</v>
      </c>
      <c r="E1869" s="82">
        <f t="shared" si="550"/>
        <v>45111</v>
      </c>
      <c r="F1869" s="83">
        <f t="shared" si="567"/>
        <v>0.18725</v>
      </c>
      <c r="G1869" s="83">
        <f t="shared" si="567"/>
        <v>0.1675</v>
      </c>
      <c r="H1869" s="81"/>
      <c r="I1869" s="146">
        <v>45111</v>
      </c>
      <c r="J1869" s="147">
        <v>1.69</v>
      </c>
      <c r="K1869" s="147">
        <v>1.35</v>
      </c>
      <c r="L1869" s="147">
        <v>1.498</v>
      </c>
      <c r="M1869" s="59" cm="1">
        <f t="array" ref="M1869">INDEX($BV$29:$BV$1449,MATCH($D1869,$BR$29:$BR$1449,0),)</f>
        <v>1.34</v>
      </c>
      <c r="N1869" s="150">
        <f t="shared" si="561"/>
        <v>-0.0013333333333333</v>
      </c>
      <c r="O1869" s="150">
        <f t="shared" si="562"/>
        <v>-0.00728959575878063</v>
      </c>
      <c r="P1869" s="150">
        <f t="shared" si="549"/>
        <v>-0.0125247198417929</v>
      </c>
      <c r="Q1869" s="89">
        <f t="shared" si="551"/>
        <v>0.117910447761194</v>
      </c>
      <c r="S1869" s="82">
        <f t="shared" si="552"/>
        <v>45111</v>
      </c>
      <c r="T1869" s="83">
        <f t="shared" ref="T1869:U1887" si="568">+Z1869/16</f>
        <v>0.25725</v>
      </c>
      <c r="U1869" s="83">
        <f t="shared" si="568"/>
        <v>0.198125</v>
      </c>
      <c r="W1869" s="146">
        <v>45111</v>
      </c>
      <c r="X1869" s="147">
        <v>4.15</v>
      </c>
      <c r="Y1869" s="147">
        <v>4.05</v>
      </c>
      <c r="Z1869" s="147">
        <v>4.116</v>
      </c>
      <c r="AA1869" s="59" cm="1">
        <f t="array" ref="AA1869">INDEX($BX$29:$BX$1449,MATCH($D1869,$BR$29:$BR$1449,0),)</f>
        <v>3.17</v>
      </c>
      <c r="AB1869" s="150">
        <f t="shared" si="554"/>
        <v>-0.00338983050847463</v>
      </c>
      <c r="AC1869" s="150">
        <f t="shared" si="556"/>
        <v>-0.00603718908476225</v>
      </c>
      <c r="AD1869" s="150">
        <f t="shared" si="559"/>
        <v>-0.00747528333735248</v>
      </c>
      <c r="AE1869" s="89">
        <f t="shared" si="555"/>
        <v>0.298422712933754</v>
      </c>
      <c r="AF1869" s="36"/>
      <c r="GF1869" s="104">
        <f t="shared" si="563"/>
        <v>2020</v>
      </c>
      <c r="GG1869" s="104">
        <f t="shared" si="564"/>
        <v>20</v>
      </c>
      <c r="GH1869" s="35">
        <v>43966</v>
      </c>
      <c r="GI1869" s="26">
        <v>1.611</v>
      </c>
      <c r="GJ1869" s="94">
        <f t="shared" si="565"/>
        <v>3.222</v>
      </c>
      <c r="GK1869" s="104"/>
      <c r="GL1869" s="104"/>
    </row>
    <row r="1870" spans="3:194">
      <c r="C1870" s="80" t="str" cm="1">
        <f t="array" ref="C1870">_xlfn.IFS(MONTH(D1870)&lt;4,1,MONTH(D1870)&lt;7,2,MONTH(D1870)&lt;10,3,MONTH(D1870)&gt;9,4)&amp;"Q"&amp;RIGHT(YEAR(D1870),2)</f>
        <v>3Q23</v>
      </c>
      <c r="D1870" s="81">
        <f t="shared" si="558"/>
        <v>45138</v>
      </c>
      <c r="E1870" s="82">
        <f t="shared" si="550"/>
        <v>45112</v>
      </c>
      <c r="F1870" s="83">
        <f t="shared" si="567"/>
        <v>0.187</v>
      </c>
      <c r="G1870" s="83">
        <f t="shared" si="567"/>
        <v>0.1675</v>
      </c>
      <c r="H1870" s="81"/>
      <c r="I1870" s="146">
        <v>45112</v>
      </c>
      <c r="J1870" s="147">
        <v>1.69</v>
      </c>
      <c r="K1870" s="147">
        <v>1.35</v>
      </c>
      <c r="L1870" s="147">
        <v>1.496</v>
      </c>
      <c r="M1870" s="59" cm="1">
        <f t="array" ref="M1870">INDEX($BV$29:$BV$1449,MATCH($D1870,$BR$29:$BR$1449,0),)</f>
        <v>1.34</v>
      </c>
      <c r="N1870" s="150">
        <f t="shared" si="561"/>
        <v>-0.00133511348464621</v>
      </c>
      <c r="O1870" s="150">
        <f t="shared" si="562"/>
        <v>-0.00795755968169765</v>
      </c>
      <c r="P1870" s="150">
        <f t="shared" si="549"/>
        <v>-0.0131926121372031</v>
      </c>
      <c r="Q1870" s="89">
        <f t="shared" si="551"/>
        <v>0.116417910447761</v>
      </c>
      <c r="S1870" s="82">
        <f t="shared" si="552"/>
        <v>45112</v>
      </c>
      <c r="T1870" s="83">
        <f t="shared" si="568"/>
        <v>0.256875</v>
      </c>
      <c r="U1870" s="83">
        <f t="shared" si="568"/>
        <v>0.198125</v>
      </c>
      <c r="W1870" s="146">
        <v>45112</v>
      </c>
      <c r="X1870" s="147">
        <v>4.15</v>
      </c>
      <c r="Y1870" s="147">
        <v>4.05</v>
      </c>
      <c r="Z1870" s="147">
        <v>4.11</v>
      </c>
      <c r="AA1870" s="59" cm="1">
        <f t="array" ref="AA1870">INDEX($BX$29:$BX$1449,MATCH($D1870,$BR$29:$BR$1449,0),)</f>
        <v>3.17</v>
      </c>
      <c r="AB1870" s="150">
        <f t="shared" si="554"/>
        <v>-0.00145772594752169</v>
      </c>
      <c r="AC1870" s="150">
        <f t="shared" si="556"/>
        <v>-0.00748611446510494</v>
      </c>
      <c r="AD1870" s="150">
        <f t="shared" si="559"/>
        <v>-0.00796524257784204</v>
      </c>
      <c r="AE1870" s="89">
        <f t="shared" si="555"/>
        <v>0.296529968454259</v>
      </c>
      <c r="AF1870" s="36"/>
      <c r="GF1870" s="104">
        <f t="shared" si="563"/>
        <v>2020</v>
      </c>
      <c r="GG1870" s="104">
        <f t="shared" si="564"/>
        <v>21</v>
      </c>
      <c r="GH1870" s="35">
        <v>43969</v>
      </c>
      <c r="GI1870" s="26">
        <v>1.596</v>
      </c>
      <c r="GJ1870" s="94">
        <f t="shared" si="565"/>
        <v>3.192</v>
      </c>
      <c r="GK1870" s="104"/>
      <c r="GL1870" s="104"/>
    </row>
    <row r="1871" spans="3:194">
      <c r="C1871" s="80" t="str" cm="1">
        <f t="array" ref="C1871">_xlfn.IFS(MONTH(D1871)&lt;4,1,MONTH(D1871)&lt;7,2,MONTH(D1871)&lt;10,3,MONTH(D1871)&gt;9,4)&amp;"Q"&amp;RIGHT(YEAR(D1871),2)</f>
        <v>3Q23</v>
      </c>
      <c r="D1871" s="81">
        <f t="shared" si="558"/>
        <v>45138</v>
      </c>
      <c r="E1871" s="82">
        <f t="shared" si="550"/>
        <v>45113</v>
      </c>
      <c r="F1871" s="83">
        <f t="shared" si="567"/>
        <v>0.186625</v>
      </c>
      <c r="G1871" s="83">
        <f t="shared" si="567"/>
        <v>0.1675</v>
      </c>
      <c r="H1871" s="81"/>
      <c r="I1871" s="146">
        <v>45113</v>
      </c>
      <c r="J1871" s="147">
        <v>1.69</v>
      </c>
      <c r="K1871" s="147">
        <v>1.34</v>
      </c>
      <c r="L1871" s="147">
        <v>1.493</v>
      </c>
      <c r="M1871" s="59" cm="1">
        <f t="array" ref="M1871">INDEX($BV$29:$BV$1449,MATCH($D1871,$BR$29:$BR$1449,0),)</f>
        <v>1.34</v>
      </c>
      <c r="N1871" s="150">
        <f t="shared" si="561"/>
        <v>-0.00200534759358284</v>
      </c>
      <c r="O1871" s="150">
        <f t="shared" si="562"/>
        <v>-0.00928998009289961</v>
      </c>
      <c r="P1871" s="150">
        <f t="shared" ref="P1871:P1934" si="569">L1871/L1861-1</f>
        <v>-0.013218770654329</v>
      </c>
      <c r="Q1871" s="89">
        <f t="shared" si="551"/>
        <v>0.114179104477612</v>
      </c>
      <c r="S1871" s="82">
        <f t="shared" si="552"/>
        <v>45113</v>
      </c>
      <c r="T1871" s="83">
        <f t="shared" si="568"/>
        <v>0.2565</v>
      </c>
      <c r="U1871" s="83">
        <f t="shared" si="568"/>
        <v>0.198125</v>
      </c>
      <c r="W1871" s="146">
        <v>45113</v>
      </c>
      <c r="X1871" s="147">
        <v>4.15</v>
      </c>
      <c r="Y1871" s="147">
        <v>4.04</v>
      </c>
      <c r="Z1871" s="147">
        <v>4.104</v>
      </c>
      <c r="AA1871" s="59" cm="1">
        <f t="array" ref="AA1871">INDEX($BX$29:$BX$1449,MATCH($D1871,$BR$29:$BR$1449,0),)</f>
        <v>3.17</v>
      </c>
      <c r="AB1871" s="150">
        <f t="shared" si="554"/>
        <v>-0.00145985401459858</v>
      </c>
      <c r="AC1871" s="150">
        <f t="shared" si="556"/>
        <v>-0.00893503984544797</v>
      </c>
      <c r="AD1871" s="150">
        <f t="shared" si="559"/>
        <v>-0.00941346850108615</v>
      </c>
      <c r="AE1871" s="89">
        <f t="shared" si="555"/>
        <v>0.294637223974763</v>
      </c>
      <c r="AF1871" s="36"/>
      <c r="GF1871" s="104">
        <f t="shared" si="563"/>
        <v>2020</v>
      </c>
      <c r="GG1871" s="104">
        <f t="shared" si="564"/>
        <v>21</v>
      </c>
      <c r="GH1871" s="35">
        <v>43970</v>
      </c>
      <c r="GI1871" s="26">
        <v>1.591</v>
      </c>
      <c r="GJ1871" s="94">
        <f t="shared" si="565"/>
        <v>3.182</v>
      </c>
      <c r="GK1871" s="104"/>
      <c r="GL1871" s="104"/>
    </row>
    <row r="1872" spans="3:194">
      <c r="C1872" s="80" t="str" cm="1">
        <f t="array" ref="C1872">_xlfn.IFS(MONTH(D1872)&lt;4,1,MONTH(D1872)&lt;7,2,MONTH(D1872)&lt;10,3,MONTH(D1872)&gt;9,4)&amp;"Q"&amp;RIGHT(YEAR(D1872),2)</f>
        <v>3Q23</v>
      </c>
      <c r="D1872" s="81">
        <f t="shared" si="558"/>
        <v>45138</v>
      </c>
      <c r="E1872" s="82">
        <f t="shared" si="550"/>
        <v>45114</v>
      </c>
      <c r="F1872" s="83">
        <f t="shared" si="567"/>
        <v>0.186625</v>
      </c>
      <c r="G1872" s="83">
        <f t="shared" si="567"/>
        <v>0.1675</v>
      </c>
      <c r="H1872" s="81"/>
      <c r="I1872" s="146">
        <v>45114</v>
      </c>
      <c r="J1872" s="147">
        <v>1.69</v>
      </c>
      <c r="K1872" s="147">
        <v>1.34</v>
      </c>
      <c r="L1872" s="147">
        <v>1.493</v>
      </c>
      <c r="M1872" s="59" cm="1">
        <f t="array" ref="M1872">INDEX($BV$29:$BV$1449,MATCH($D1872,$BR$29:$BR$1449,0),)</f>
        <v>1.34</v>
      </c>
      <c r="N1872" s="150">
        <f t="shared" si="561"/>
        <v>0</v>
      </c>
      <c r="O1872" s="150">
        <f t="shared" si="562"/>
        <v>-0.00665335994677296</v>
      </c>
      <c r="P1872" s="150">
        <f t="shared" si="569"/>
        <v>-0.013218770654329</v>
      </c>
      <c r="Q1872" s="89">
        <f t="shared" si="551"/>
        <v>0.114179104477612</v>
      </c>
      <c r="S1872" s="82">
        <f t="shared" si="552"/>
        <v>45114</v>
      </c>
      <c r="T1872" s="83">
        <f t="shared" si="568"/>
        <v>0.256125</v>
      </c>
      <c r="U1872" s="83">
        <f t="shared" si="568"/>
        <v>0.198125</v>
      </c>
      <c r="W1872" s="146">
        <v>45114</v>
      </c>
      <c r="X1872" s="147">
        <v>4.15</v>
      </c>
      <c r="Y1872" s="147">
        <v>4.04</v>
      </c>
      <c r="Z1872" s="147">
        <v>4.098</v>
      </c>
      <c r="AA1872" s="59" cm="1">
        <f t="array" ref="AA1872">INDEX($BX$29:$BX$1449,MATCH($D1872,$BR$29:$BR$1449,0),)</f>
        <v>3.17</v>
      </c>
      <c r="AB1872" s="150">
        <f t="shared" si="554"/>
        <v>-0.00146198830409361</v>
      </c>
      <c r="AC1872" s="150">
        <f t="shared" si="556"/>
        <v>-0.00870827285921638</v>
      </c>
      <c r="AD1872" s="150">
        <f t="shared" si="559"/>
        <v>-0.0103839652257909</v>
      </c>
      <c r="AE1872" s="89">
        <f t="shared" si="555"/>
        <v>0.292744479495268</v>
      </c>
      <c r="AF1872" s="36"/>
      <c r="GF1872" s="104">
        <f t="shared" si="563"/>
        <v>2020</v>
      </c>
      <c r="GG1872" s="104">
        <f t="shared" si="564"/>
        <v>21</v>
      </c>
      <c r="GH1872" s="35">
        <v>43971</v>
      </c>
      <c r="GI1872" s="26">
        <v>1.584</v>
      </c>
      <c r="GJ1872" s="94">
        <f t="shared" si="565"/>
        <v>3.168</v>
      </c>
      <c r="GK1872" s="104"/>
      <c r="GL1872" s="104"/>
    </row>
    <row r="1873" spans="3:194">
      <c r="C1873" s="80" t="str" cm="1">
        <f t="array" ref="C1873">_xlfn.IFS(MONTH(D1873)&lt;4,1,MONTH(D1873)&lt;7,2,MONTH(D1873)&lt;10,3,MONTH(D1873)&gt;9,4)&amp;"Q"&amp;RIGHT(YEAR(D1873),2)</f>
        <v>3Q23</v>
      </c>
      <c r="D1873" s="81">
        <f t="shared" si="558"/>
        <v>45138</v>
      </c>
      <c r="E1873" s="82">
        <f t="shared" ref="E1873:E1936" si="570">I1873</f>
        <v>45117</v>
      </c>
      <c r="F1873" s="83">
        <f t="shared" si="567"/>
        <v>0.186375</v>
      </c>
      <c r="G1873" s="83">
        <f t="shared" si="567"/>
        <v>0.1675</v>
      </c>
      <c r="H1873" s="81"/>
      <c r="I1873" s="146">
        <v>45117</v>
      </c>
      <c r="J1873" s="147">
        <v>1.68</v>
      </c>
      <c r="K1873" s="147">
        <v>1.33</v>
      </c>
      <c r="L1873" s="147">
        <v>1.491</v>
      </c>
      <c r="M1873" s="59" cm="1">
        <f t="array" ref="M1873">INDEX($BV$29:$BV$1449,MATCH($D1873,$BR$29:$BR$1449,0),)</f>
        <v>1.34</v>
      </c>
      <c r="N1873" s="150">
        <f t="shared" si="561"/>
        <v>-0.00133958472873408</v>
      </c>
      <c r="O1873" s="150">
        <f t="shared" si="562"/>
        <v>-0.00599999999999989</v>
      </c>
      <c r="P1873" s="150">
        <f t="shared" si="569"/>
        <v>-0.0132362673726008</v>
      </c>
      <c r="Q1873" s="89">
        <f t="shared" ref="Q1873:Q1936" si="571">L1873/M1873-1</f>
        <v>0.112686567164179</v>
      </c>
      <c r="S1873" s="82">
        <f t="shared" si="552"/>
        <v>45117</v>
      </c>
      <c r="T1873" s="83">
        <f t="shared" si="568"/>
        <v>0.2558125</v>
      </c>
      <c r="U1873" s="83">
        <f t="shared" si="568"/>
        <v>0.198125</v>
      </c>
      <c r="W1873" s="146">
        <v>45117</v>
      </c>
      <c r="X1873" s="147">
        <v>4.15</v>
      </c>
      <c r="Y1873" s="147">
        <v>4.03</v>
      </c>
      <c r="Z1873" s="147">
        <v>4.093</v>
      </c>
      <c r="AA1873" s="59" cm="1">
        <f t="array" ref="AA1873">INDEX($BX$29:$BX$1449,MATCH($D1873,$BR$29:$BR$1449,0),)</f>
        <v>3.17</v>
      </c>
      <c r="AB1873" s="150">
        <f t="shared" si="554"/>
        <v>-0.00122010736944844</v>
      </c>
      <c r="AC1873" s="150">
        <f t="shared" si="556"/>
        <v>-0.00895883777239703</v>
      </c>
      <c r="AD1873" s="150">
        <f t="shared" si="559"/>
        <v>-0.0115914030427433</v>
      </c>
      <c r="AE1873" s="89">
        <f t="shared" si="555"/>
        <v>0.291167192429022</v>
      </c>
      <c r="AF1873" s="36"/>
      <c r="GF1873" s="104">
        <f t="shared" si="563"/>
        <v>2020</v>
      </c>
      <c r="GG1873" s="104">
        <f t="shared" si="564"/>
        <v>21</v>
      </c>
      <c r="GH1873" s="35">
        <v>43972</v>
      </c>
      <c r="GI1873" s="26">
        <v>1.582</v>
      </c>
      <c r="GJ1873" s="94">
        <f t="shared" si="565"/>
        <v>3.164</v>
      </c>
      <c r="GK1873" s="104"/>
      <c r="GL1873" s="104"/>
    </row>
    <row r="1874" spans="3:194">
      <c r="C1874" s="80" t="str" cm="1">
        <f t="array" ref="C1874">_xlfn.IFS(MONTH(D1874)&lt;4,1,MONTH(D1874)&lt;7,2,MONTH(D1874)&lt;10,3,MONTH(D1874)&gt;9,4)&amp;"Q"&amp;RIGHT(YEAR(D1874),2)</f>
        <v>3Q23</v>
      </c>
      <c r="D1874" s="81">
        <f t="shared" si="558"/>
        <v>45138</v>
      </c>
      <c r="E1874" s="82">
        <f t="shared" si="570"/>
        <v>45118</v>
      </c>
      <c r="F1874" s="83">
        <f t="shared" si="567"/>
        <v>0.186125</v>
      </c>
      <c r="G1874" s="83">
        <f t="shared" si="567"/>
        <v>0.1675</v>
      </c>
      <c r="H1874" s="81"/>
      <c r="I1874" s="146">
        <v>45118</v>
      </c>
      <c r="J1874" s="147">
        <v>1.68</v>
      </c>
      <c r="K1874" s="147">
        <v>1.35</v>
      </c>
      <c r="L1874" s="147">
        <v>1.489</v>
      </c>
      <c r="M1874" s="59" cm="1">
        <f t="array" ref="M1874">INDEX($BV$29:$BV$1449,MATCH($D1874,$BR$29:$BR$1449,0),)</f>
        <v>1.34</v>
      </c>
      <c r="N1874" s="150">
        <f t="shared" si="561"/>
        <v>-0.00134138162307174</v>
      </c>
      <c r="O1874" s="150">
        <f t="shared" si="562"/>
        <v>-0.00600801068090784</v>
      </c>
      <c r="P1874" s="150">
        <f t="shared" si="569"/>
        <v>-0.0132538104705101</v>
      </c>
      <c r="Q1874" s="89">
        <f t="shared" si="571"/>
        <v>0.111194029850746</v>
      </c>
      <c r="S1874" s="82">
        <f t="shared" si="552"/>
        <v>45118</v>
      </c>
      <c r="T1874" s="83">
        <f t="shared" si="568"/>
        <v>0.2543125</v>
      </c>
      <c r="U1874" s="83">
        <f t="shared" si="568"/>
        <v>0.198125</v>
      </c>
      <c r="W1874" s="146">
        <v>45118</v>
      </c>
      <c r="X1874" s="147">
        <v>4.15</v>
      </c>
      <c r="Y1874" s="147">
        <v>4</v>
      </c>
      <c r="Z1874" s="147">
        <v>4.069</v>
      </c>
      <c r="AA1874" s="59" cm="1">
        <f t="array" ref="AA1874">INDEX($BX$29:$BX$1449,MATCH($D1874,$BR$29:$BR$1449,0),)</f>
        <v>3.17</v>
      </c>
      <c r="AB1874" s="150">
        <f t="shared" si="554"/>
        <v>-0.00586366967994134</v>
      </c>
      <c r="AC1874" s="150">
        <f t="shared" si="556"/>
        <v>-0.0114188532555879</v>
      </c>
      <c r="AD1874" s="150">
        <f t="shared" si="559"/>
        <v>-0.017387104564115</v>
      </c>
      <c r="AE1874" s="89">
        <f t="shared" si="555"/>
        <v>0.283596214511041</v>
      </c>
      <c r="AF1874" s="36"/>
      <c r="GF1874" s="104">
        <f t="shared" si="563"/>
        <v>2020</v>
      </c>
      <c r="GG1874" s="104">
        <f t="shared" si="564"/>
        <v>21</v>
      </c>
      <c r="GH1874" s="35">
        <v>43973</v>
      </c>
      <c r="GI1874" s="26">
        <v>1.579</v>
      </c>
      <c r="GJ1874" s="94">
        <f t="shared" si="565"/>
        <v>3.158</v>
      </c>
      <c r="GK1874" s="104"/>
      <c r="GL1874" s="104"/>
    </row>
    <row r="1875" spans="3:194">
      <c r="C1875" s="80" t="str" cm="1">
        <f t="array" ref="C1875">_xlfn.IFS(MONTH(D1875)&lt;4,1,MONTH(D1875)&lt;7,2,MONTH(D1875)&lt;10,3,MONTH(D1875)&gt;9,4)&amp;"Q"&amp;RIGHT(YEAR(D1875),2)</f>
        <v>3Q23</v>
      </c>
      <c r="D1875" s="81">
        <f t="shared" si="558"/>
        <v>45138</v>
      </c>
      <c r="E1875" s="82">
        <f t="shared" si="570"/>
        <v>45119</v>
      </c>
      <c r="F1875" s="83">
        <f t="shared" si="567"/>
        <v>0.18575</v>
      </c>
      <c r="G1875" s="83">
        <f t="shared" si="567"/>
        <v>0.1675</v>
      </c>
      <c r="H1875" s="81"/>
      <c r="I1875" s="146">
        <v>45119</v>
      </c>
      <c r="J1875" s="147">
        <v>1.67</v>
      </c>
      <c r="K1875" s="147">
        <v>1.35</v>
      </c>
      <c r="L1875" s="147">
        <v>1.486</v>
      </c>
      <c r="M1875" s="59" cm="1">
        <f t="array" ref="M1875">INDEX($BV$29:$BV$1449,MATCH($D1875,$BR$29:$BR$1449,0),)</f>
        <v>1.34</v>
      </c>
      <c r="N1875" s="150">
        <f t="shared" si="561"/>
        <v>-0.00201477501678982</v>
      </c>
      <c r="O1875" s="150">
        <f t="shared" si="562"/>
        <v>-0.00668449197860965</v>
      </c>
      <c r="P1875" s="150">
        <f t="shared" si="569"/>
        <v>-0.0145888594164456</v>
      </c>
      <c r="Q1875" s="89">
        <f t="shared" si="571"/>
        <v>0.108955223880597</v>
      </c>
      <c r="S1875" s="82">
        <f t="shared" si="552"/>
        <v>45119</v>
      </c>
      <c r="T1875" s="83">
        <f t="shared" si="568"/>
        <v>0.253375</v>
      </c>
      <c r="U1875" s="83">
        <f t="shared" si="568"/>
        <v>0.198125</v>
      </c>
      <c r="W1875" s="146">
        <v>45119</v>
      </c>
      <c r="X1875" s="147">
        <v>4.15</v>
      </c>
      <c r="Y1875" s="147">
        <v>4</v>
      </c>
      <c r="Z1875" s="147">
        <v>4.054</v>
      </c>
      <c r="AA1875" s="59" cm="1">
        <f t="array" ref="AA1875">INDEX($BX$29:$BX$1449,MATCH($D1875,$BR$29:$BR$1449,0),)</f>
        <v>3.17</v>
      </c>
      <c r="AB1875" s="150">
        <f t="shared" si="554"/>
        <v>-0.0036864094372081</v>
      </c>
      <c r="AC1875" s="150">
        <f t="shared" si="556"/>
        <v>-0.0136253041362531</v>
      </c>
      <c r="AD1875" s="150">
        <f t="shared" si="559"/>
        <v>-0.0210094180149721</v>
      </c>
      <c r="AE1875" s="89">
        <f t="shared" si="555"/>
        <v>0.278864353312303</v>
      </c>
      <c r="AF1875" s="36"/>
      <c r="GF1875" s="104">
        <f t="shared" si="563"/>
        <v>2020</v>
      </c>
      <c r="GG1875" s="104">
        <f t="shared" si="564"/>
        <v>22</v>
      </c>
      <c r="GH1875" s="35">
        <v>43976</v>
      </c>
      <c r="GI1875" s="26">
        <v>1.574</v>
      </c>
      <c r="GJ1875" s="94">
        <f t="shared" si="565"/>
        <v>3.148</v>
      </c>
      <c r="GK1875" s="104"/>
      <c r="GL1875" s="104"/>
    </row>
    <row r="1876" spans="3:194">
      <c r="C1876" s="80" t="str" cm="1">
        <f t="array" ref="C1876">_xlfn.IFS(MONTH(D1876)&lt;4,1,MONTH(D1876)&lt;7,2,MONTH(D1876)&lt;10,3,MONTH(D1876)&gt;9,4)&amp;"Q"&amp;RIGHT(YEAR(D1876),2)</f>
        <v>3Q23</v>
      </c>
      <c r="D1876" s="81">
        <f t="shared" si="558"/>
        <v>45138</v>
      </c>
      <c r="E1876" s="82">
        <f t="shared" si="570"/>
        <v>45120</v>
      </c>
      <c r="F1876" s="83">
        <f t="shared" si="567"/>
        <v>0.18575</v>
      </c>
      <c r="G1876" s="83">
        <f t="shared" si="567"/>
        <v>0.1675</v>
      </c>
      <c r="H1876" s="81"/>
      <c r="I1876" s="146">
        <v>45120</v>
      </c>
      <c r="J1876" s="147">
        <v>1.67</v>
      </c>
      <c r="K1876" s="147">
        <v>1.35</v>
      </c>
      <c r="L1876" s="147">
        <v>1.486</v>
      </c>
      <c r="M1876" s="59" cm="1">
        <f t="array" ref="M1876">INDEX($BV$29:$BV$1449,MATCH($D1876,$BR$29:$BR$1449,0),)</f>
        <v>1.34</v>
      </c>
      <c r="N1876" s="150">
        <f t="shared" si="561"/>
        <v>0</v>
      </c>
      <c r="O1876" s="150">
        <f t="shared" si="562"/>
        <v>-0.00468854655056938</v>
      </c>
      <c r="P1876" s="150">
        <f t="shared" si="569"/>
        <v>-0.0139349701393496</v>
      </c>
      <c r="Q1876" s="89">
        <f t="shared" si="571"/>
        <v>0.108955223880597</v>
      </c>
      <c r="S1876" s="82">
        <f t="shared" ref="S1876:S1939" si="572">W1876</f>
        <v>45120</v>
      </c>
      <c r="T1876" s="83">
        <f t="shared" si="568"/>
        <v>0.252875</v>
      </c>
      <c r="U1876" s="83">
        <f t="shared" si="568"/>
        <v>0.198125</v>
      </c>
      <c r="W1876" s="146">
        <v>45120</v>
      </c>
      <c r="X1876" s="147">
        <v>4.13</v>
      </c>
      <c r="Y1876" s="147">
        <v>4</v>
      </c>
      <c r="Z1876" s="147">
        <v>4.046</v>
      </c>
      <c r="AA1876" s="59" cm="1">
        <f t="array" ref="AA1876">INDEX($BX$29:$BX$1449,MATCH($D1876,$BR$29:$BR$1449,0),)</f>
        <v>3.17</v>
      </c>
      <c r="AB1876" s="150">
        <f t="shared" si="554"/>
        <v>-0.00197335964479528</v>
      </c>
      <c r="AC1876" s="150">
        <f t="shared" si="556"/>
        <v>-0.0141325536062378</v>
      </c>
      <c r="AD1876" s="150">
        <f t="shared" si="559"/>
        <v>-0.022941318522096</v>
      </c>
      <c r="AE1876" s="89">
        <f t="shared" si="555"/>
        <v>0.276340694006309</v>
      </c>
      <c r="AF1876" s="36"/>
      <c r="GF1876" s="104">
        <f t="shared" si="563"/>
        <v>2020</v>
      </c>
      <c r="GG1876" s="104">
        <f t="shared" si="564"/>
        <v>22</v>
      </c>
      <c r="GH1876" s="35">
        <v>43977</v>
      </c>
      <c r="GI1876" s="26">
        <v>1.574</v>
      </c>
      <c r="GJ1876" s="94">
        <f t="shared" si="565"/>
        <v>3.148</v>
      </c>
      <c r="GK1876" s="104"/>
      <c r="GL1876" s="104"/>
    </row>
    <row r="1877" spans="3:194">
      <c r="C1877" s="80" t="str" cm="1">
        <f t="array" ref="C1877">_xlfn.IFS(MONTH(D1877)&lt;4,1,MONTH(D1877)&lt;7,2,MONTH(D1877)&lt;10,3,MONTH(D1877)&gt;9,4)&amp;"Q"&amp;RIGHT(YEAR(D1877),2)</f>
        <v>3Q23</v>
      </c>
      <c r="D1877" s="81">
        <f t="shared" si="558"/>
        <v>45138</v>
      </c>
      <c r="E1877" s="82">
        <f t="shared" si="570"/>
        <v>45121</v>
      </c>
      <c r="F1877" s="83">
        <f t="shared" si="567"/>
        <v>0.185625</v>
      </c>
      <c r="G1877" s="83">
        <f t="shared" si="567"/>
        <v>0.1675</v>
      </c>
      <c r="H1877" s="81"/>
      <c r="I1877" s="146">
        <v>45121</v>
      </c>
      <c r="J1877" s="147">
        <v>1.65</v>
      </c>
      <c r="K1877" s="147">
        <v>1.35</v>
      </c>
      <c r="L1877" s="147">
        <v>1.485</v>
      </c>
      <c r="M1877" s="59" cm="1">
        <f t="array" ref="M1877">INDEX($BV$29:$BV$1449,MATCH($D1877,$BR$29:$BR$1449,0),)</f>
        <v>1.34</v>
      </c>
      <c r="N1877" s="150">
        <f t="shared" si="561"/>
        <v>-0.000672947510094168</v>
      </c>
      <c r="O1877" s="150">
        <f t="shared" si="562"/>
        <v>-0.00535833891493642</v>
      </c>
      <c r="P1877" s="150">
        <f t="shared" si="569"/>
        <v>-0.0119760479041915</v>
      </c>
      <c r="Q1877" s="89">
        <f t="shared" si="571"/>
        <v>0.108208955223881</v>
      </c>
      <c r="S1877" s="82">
        <f t="shared" si="572"/>
        <v>45121</v>
      </c>
      <c r="T1877" s="83">
        <f t="shared" si="568"/>
        <v>0.252875</v>
      </c>
      <c r="U1877" s="83">
        <f t="shared" si="568"/>
        <v>0.198125</v>
      </c>
      <c r="W1877" s="146">
        <v>45121</v>
      </c>
      <c r="X1877" s="147">
        <v>4.13</v>
      </c>
      <c r="Y1877" s="147">
        <v>4</v>
      </c>
      <c r="Z1877" s="147">
        <v>4.046</v>
      </c>
      <c r="AA1877" s="59" cm="1">
        <f t="array" ref="AA1877">INDEX($BX$29:$BX$1449,MATCH($D1877,$BR$29:$BR$1449,0),)</f>
        <v>3.17</v>
      </c>
      <c r="AB1877" s="150">
        <f t="shared" ref="AB1877:AB1940" si="573">Z1877/Z1876-1</f>
        <v>0</v>
      </c>
      <c r="AC1877" s="150">
        <f t="shared" si="556"/>
        <v>-0.0126891166422645</v>
      </c>
      <c r="AD1877" s="150">
        <f t="shared" si="559"/>
        <v>-0.0212868892114175</v>
      </c>
      <c r="AE1877" s="89">
        <f>Z1877/AA1877-1</f>
        <v>0.276340694006309</v>
      </c>
      <c r="AF1877" s="36"/>
      <c r="GF1877" s="104">
        <f t="shared" si="563"/>
        <v>2020</v>
      </c>
      <c r="GG1877" s="104">
        <f t="shared" si="564"/>
        <v>22</v>
      </c>
      <c r="GH1877" s="35">
        <v>43978</v>
      </c>
      <c r="GI1877" s="26">
        <v>1.573</v>
      </c>
      <c r="GJ1877" s="94">
        <f t="shared" si="565"/>
        <v>3.146</v>
      </c>
      <c r="GK1877" s="104"/>
      <c r="GL1877" s="104"/>
    </row>
    <row r="1878" spans="3:194">
      <c r="C1878" s="80" t="str" cm="1">
        <f t="array" ref="C1878">_xlfn.IFS(MONTH(D1878)&lt;4,1,MONTH(D1878)&lt;7,2,MONTH(D1878)&lt;10,3,MONTH(D1878)&gt;9,4)&amp;"Q"&amp;RIGHT(YEAR(D1878),2)</f>
        <v>3Q23</v>
      </c>
      <c r="D1878" s="81">
        <f t="shared" si="558"/>
        <v>45138</v>
      </c>
      <c r="E1878" s="82">
        <f t="shared" si="570"/>
        <v>45124</v>
      </c>
      <c r="F1878" s="83">
        <f t="shared" si="567"/>
        <v>0.185375</v>
      </c>
      <c r="G1878" s="83">
        <f t="shared" si="567"/>
        <v>0.1675</v>
      </c>
      <c r="H1878" s="81"/>
      <c r="I1878" s="146">
        <v>45124</v>
      </c>
      <c r="J1878" s="147">
        <v>1.65</v>
      </c>
      <c r="K1878" s="147">
        <v>1.37</v>
      </c>
      <c r="L1878" s="147">
        <v>1.483</v>
      </c>
      <c r="M1878" s="59" cm="1">
        <f t="array" ref="M1878">INDEX($BV$29:$BV$1449,MATCH($D1878,$BR$29:$BR$1449,0),)</f>
        <v>1.34</v>
      </c>
      <c r="N1878" s="150">
        <f t="shared" si="561"/>
        <v>-0.00134680134680132</v>
      </c>
      <c r="O1878" s="150">
        <f t="shared" si="562"/>
        <v>-0.00536552649228705</v>
      </c>
      <c r="P1878" s="150">
        <f t="shared" si="569"/>
        <v>-0.0113333333333333</v>
      </c>
      <c r="Q1878" s="89">
        <f t="shared" si="571"/>
        <v>0.106716417910448</v>
      </c>
      <c r="S1878" s="82">
        <f t="shared" si="572"/>
        <v>45124</v>
      </c>
      <c r="T1878" s="83">
        <f t="shared" si="568"/>
        <v>0.252875</v>
      </c>
      <c r="U1878" s="83">
        <f t="shared" si="568"/>
        <v>0.198125</v>
      </c>
      <c r="W1878" s="146">
        <v>45124</v>
      </c>
      <c r="X1878" s="147">
        <v>4.15</v>
      </c>
      <c r="Y1878" s="147">
        <v>4</v>
      </c>
      <c r="Z1878" s="147">
        <v>4.046</v>
      </c>
      <c r="AA1878" s="59" cm="1">
        <f t="array" ref="AA1878">INDEX($BX$29:$BX$1449,MATCH($D1878,$BR$29:$BR$1449,0),)</f>
        <v>3.17</v>
      </c>
      <c r="AB1878" s="150">
        <f t="shared" si="573"/>
        <v>0</v>
      </c>
      <c r="AC1878" s="150">
        <f t="shared" si="556"/>
        <v>-0.0114830197898851</v>
      </c>
      <c r="AD1878" s="150">
        <f t="shared" si="559"/>
        <v>-0.0203389830508474</v>
      </c>
      <c r="AE1878" s="89">
        <f t="shared" ref="AE1878:AE1941" si="574">Z1878/AA1878-1</f>
        <v>0.276340694006309</v>
      </c>
      <c r="AF1878" s="36"/>
      <c r="GF1878" s="104">
        <f t="shared" si="563"/>
        <v>2020</v>
      </c>
      <c r="GG1878" s="104">
        <f t="shared" si="564"/>
        <v>22</v>
      </c>
      <c r="GH1878" s="35">
        <v>43979</v>
      </c>
      <c r="GI1878" s="26">
        <v>1.572</v>
      </c>
      <c r="GJ1878" s="94">
        <f t="shared" si="565"/>
        <v>3.144</v>
      </c>
      <c r="GK1878" s="104"/>
      <c r="GL1878" s="104"/>
    </row>
    <row r="1879" spans="3:194">
      <c r="C1879" s="80" t="str" cm="1">
        <f t="array" ref="C1879">_xlfn.IFS(MONTH(D1879)&lt;4,1,MONTH(D1879)&lt;7,2,MONTH(D1879)&lt;10,3,MONTH(D1879)&gt;9,4)&amp;"Q"&amp;RIGHT(YEAR(D1879),2)</f>
        <v>3Q23</v>
      </c>
      <c r="D1879" s="81">
        <f t="shared" si="558"/>
        <v>45138</v>
      </c>
      <c r="E1879" s="82">
        <f t="shared" si="570"/>
        <v>45125</v>
      </c>
      <c r="F1879" s="83">
        <f t="shared" si="567"/>
        <v>0.185375</v>
      </c>
      <c r="G1879" s="83">
        <f t="shared" si="567"/>
        <v>0.1675</v>
      </c>
      <c r="H1879" s="81"/>
      <c r="I1879" s="146">
        <v>45125</v>
      </c>
      <c r="J1879" s="147">
        <v>1.65</v>
      </c>
      <c r="K1879" s="147">
        <v>1.37</v>
      </c>
      <c r="L1879" s="147">
        <v>1.483</v>
      </c>
      <c r="M1879" s="59" cm="1">
        <f t="array" ref="M1879">INDEX($BV$29:$BV$1449,MATCH($D1879,$BR$29:$BR$1449,0),)</f>
        <v>1.34</v>
      </c>
      <c r="N1879" s="150">
        <f t="shared" si="561"/>
        <v>0</v>
      </c>
      <c r="O1879" s="150">
        <f t="shared" si="562"/>
        <v>-0.00402955003357963</v>
      </c>
      <c r="P1879" s="150">
        <f t="shared" si="569"/>
        <v>-0.0100133511348464</v>
      </c>
      <c r="Q1879" s="89">
        <f t="shared" si="571"/>
        <v>0.106716417910448</v>
      </c>
      <c r="S1879" s="82">
        <f t="shared" si="572"/>
        <v>45125</v>
      </c>
      <c r="T1879" s="83">
        <f t="shared" si="568"/>
        <v>0.252875</v>
      </c>
      <c r="U1879" s="83">
        <f t="shared" si="568"/>
        <v>0.198125</v>
      </c>
      <c r="W1879" s="146">
        <v>45125</v>
      </c>
      <c r="X1879" s="147">
        <v>4.15</v>
      </c>
      <c r="Y1879" s="147">
        <v>4</v>
      </c>
      <c r="Z1879" s="147">
        <v>4.046</v>
      </c>
      <c r="AA1879" s="59" cm="1">
        <f t="array" ref="AA1879">INDEX($BX$29:$BX$1449,MATCH($D1879,$BR$29:$BR$1449,0),)</f>
        <v>3.17</v>
      </c>
      <c r="AB1879" s="150">
        <f t="shared" si="573"/>
        <v>0</v>
      </c>
      <c r="AC1879" s="150">
        <f t="shared" si="556"/>
        <v>-0.00565249447038574</v>
      </c>
      <c r="AD1879" s="150">
        <f t="shared" si="559"/>
        <v>-0.0170068027210883</v>
      </c>
      <c r="AE1879" s="89">
        <f t="shared" si="574"/>
        <v>0.276340694006309</v>
      </c>
      <c r="AF1879" s="36"/>
      <c r="GF1879" s="104">
        <f t="shared" si="563"/>
        <v>2020</v>
      </c>
      <c r="GG1879" s="104">
        <f t="shared" si="564"/>
        <v>22</v>
      </c>
      <c r="GH1879" s="35">
        <v>43980</v>
      </c>
      <c r="GI1879" s="26">
        <v>1.571</v>
      </c>
      <c r="GJ1879" s="94">
        <f t="shared" si="565"/>
        <v>3.142</v>
      </c>
      <c r="GK1879" s="104"/>
      <c r="GL1879" s="104"/>
    </row>
    <row r="1880" spans="3:194">
      <c r="C1880" s="80" t="str" cm="1">
        <f t="array" ref="C1880">_xlfn.IFS(MONTH(D1880)&lt;4,1,MONTH(D1880)&lt;7,2,MONTH(D1880)&lt;10,3,MONTH(D1880)&gt;9,4)&amp;"Q"&amp;RIGHT(YEAR(D1880),2)</f>
        <v>3Q23</v>
      </c>
      <c r="D1880" s="81">
        <f t="shared" si="558"/>
        <v>45138</v>
      </c>
      <c r="E1880" s="82">
        <f t="shared" si="570"/>
        <v>45126</v>
      </c>
      <c r="F1880" s="83">
        <f t="shared" si="567"/>
        <v>0.185375</v>
      </c>
      <c r="G1880" s="83">
        <f t="shared" si="567"/>
        <v>0.1675</v>
      </c>
      <c r="H1880" s="81"/>
      <c r="I1880" s="146">
        <v>45126</v>
      </c>
      <c r="J1880" s="147">
        <v>1.65</v>
      </c>
      <c r="K1880" s="147">
        <v>1.38</v>
      </c>
      <c r="L1880" s="147">
        <v>1.483</v>
      </c>
      <c r="M1880" s="59" cm="1">
        <f t="array" ref="M1880">INDEX($BV$29:$BV$1449,MATCH($D1880,$BR$29:$BR$1449,0),)</f>
        <v>1.34</v>
      </c>
      <c r="N1880" s="150">
        <f t="shared" si="561"/>
        <v>0</v>
      </c>
      <c r="O1880" s="150">
        <f t="shared" si="562"/>
        <v>-0.00201884253028262</v>
      </c>
      <c r="P1880" s="150">
        <f t="shared" si="569"/>
        <v>-0.00868983957219249</v>
      </c>
      <c r="Q1880" s="89">
        <f t="shared" si="571"/>
        <v>0.106716417910448</v>
      </c>
      <c r="S1880" s="82">
        <f t="shared" si="572"/>
        <v>45126</v>
      </c>
      <c r="T1880" s="83">
        <f t="shared" si="568"/>
        <v>0.2526875</v>
      </c>
      <c r="U1880" s="83">
        <f t="shared" si="568"/>
        <v>0.198125</v>
      </c>
      <c r="W1880" s="146">
        <v>45126</v>
      </c>
      <c r="X1880" s="147">
        <v>4.15</v>
      </c>
      <c r="Y1880" s="147">
        <v>4</v>
      </c>
      <c r="Z1880" s="147">
        <v>4.043</v>
      </c>
      <c r="AA1880" s="59" cm="1">
        <f t="array" ref="AA1880">INDEX($BX$29:$BX$1449,MATCH($D1880,$BR$29:$BR$1449,0),)</f>
        <v>3.17</v>
      </c>
      <c r="AB1880" s="150">
        <f t="shared" si="573"/>
        <v>-0.000741473059812203</v>
      </c>
      <c r="AC1880" s="150">
        <f t="shared" si="556"/>
        <v>-0.00271336951159351</v>
      </c>
      <c r="AD1880" s="150">
        <f t="shared" si="559"/>
        <v>-0.016301703163017</v>
      </c>
      <c r="AE1880" s="89">
        <f t="shared" si="574"/>
        <v>0.275394321766562</v>
      </c>
      <c r="AF1880" s="36"/>
      <c r="GF1880" s="104">
        <f t="shared" si="563"/>
        <v>2020</v>
      </c>
      <c r="GG1880" s="104">
        <f t="shared" si="564"/>
        <v>23</v>
      </c>
      <c r="GH1880" s="35">
        <v>43983</v>
      </c>
      <c r="GI1880" s="26">
        <v>1.571</v>
      </c>
      <c r="GJ1880" s="94">
        <f t="shared" si="565"/>
        <v>3.142</v>
      </c>
      <c r="GK1880" s="104"/>
      <c r="GL1880" s="104"/>
    </row>
    <row r="1881" spans="3:194">
      <c r="C1881" s="80" t="str" cm="1">
        <f t="array" ref="C1881">_xlfn.IFS(MONTH(D1881)&lt;4,1,MONTH(D1881)&lt;7,2,MONTH(D1881)&lt;10,3,MONTH(D1881)&gt;9,4)&amp;"Q"&amp;RIGHT(YEAR(D1881),2)</f>
        <v>3Q23</v>
      </c>
      <c r="D1881" s="81">
        <f t="shared" si="558"/>
        <v>45138</v>
      </c>
      <c r="E1881" s="82">
        <f t="shared" si="570"/>
        <v>45127</v>
      </c>
      <c r="F1881" s="83">
        <f t="shared" si="567"/>
        <v>0.185</v>
      </c>
      <c r="G1881" s="83">
        <f t="shared" si="567"/>
        <v>0.1675</v>
      </c>
      <c r="H1881" s="81"/>
      <c r="I1881" s="146">
        <v>45127</v>
      </c>
      <c r="J1881" s="147">
        <v>1.63</v>
      </c>
      <c r="K1881" s="147">
        <v>1.38</v>
      </c>
      <c r="L1881" s="147">
        <v>1.48</v>
      </c>
      <c r="M1881" s="59" cm="1">
        <f t="array" ref="M1881">INDEX($BV$29:$BV$1449,MATCH($D1881,$BR$29:$BR$1449,0),)</f>
        <v>1.34</v>
      </c>
      <c r="N1881" s="150">
        <f t="shared" si="561"/>
        <v>-0.0020229265003372</v>
      </c>
      <c r="O1881" s="150">
        <f t="shared" si="562"/>
        <v>-0.00403768506056523</v>
      </c>
      <c r="P1881" s="150">
        <f t="shared" si="569"/>
        <v>-0.00870730073677173</v>
      </c>
      <c r="Q1881" s="89">
        <f t="shared" si="571"/>
        <v>0.104477611940298</v>
      </c>
      <c r="S1881" s="82">
        <f t="shared" si="572"/>
        <v>45127</v>
      </c>
      <c r="T1881" s="83">
        <f t="shared" si="568"/>
        <v>0.2526875</v>
      </c>
      <c r="U1881" s="83">
        <f t="shared" si="568"/>
        <v>0.198125</v>
      </c>
      <c r="W1881" s="146">
        <v>45127</v>
      </c>
      <c r="X1881" s="147">
        <v>4.15</v>
      </c>
      <c r="Y1881" s="147">
        <v>4</v>
      </c>
      <c r="Z1881" s="147">
        <v>4.043</v>
      </c>
      <c r="AA1881" s="59" cm="1">
        <f t="array" ref="AA1881">INDEX($BX$29:$BX$1449,MATCH($D1881,$BR$29:$BR$1449,0),)</f>
        <v>3.17</v>
      </c>
      <c r="AB1881" s="150">
        <f t="shared" si="573"/>
        <v>0</v>
      </c>
      <c r="AC1881" s="150">
        <f t="shared" ref="AC1881:AC1944" si="575">Z1881/Z1876-1</f>
        <v>-0.000741473059812203</v>
      </c>
      <c r="AD1881" s="150">
        <f t="shared" si="559"/>
        <v>-0.0148635477582846</v>
      </c>
      <c r="AE1881" s="89">
        <f t="shared" si="574"/>
        <v>0.275394321766562</v>
      </c>
      <c r="AF1881" s="36"/>
      <c r="GF1881" s="104">
        <f t="shared" si="563"/>
        <v>2020</v>
      </c>
      <c r="GG1881" s="104">
        <f t="shared" si="564"/>
        <v>23</v>
      </c>
      <c r="GH1881" s="35">
        <v>43984</v>
      </c>
      <c r="GI1881" s="26">
        <v>1.57</v>
      </c>
      <c r="GJ1881" s="94">
        <f t="shared" si="565"/>
        <v>3.14</v>
      </c>
      <c r="GK1881" s="104"/>
      <c r="GL1881" s="104"/>
    </row>
    <row r="1882" spans="3:194">
      <c r="C1882" s="80" t="str" cm="1">
        <f t="array" ref="C1882">_xlfn.IFS(MONTH(D1882)&lt;4,1,MONTH(D1882)&lt;7,2,MONTH(D1882)&lt;10,3,MONTH(D1882)&gt;9,4)&amp;"Q"&amp;RIGHT(YEAR(D1882),2)</f>
        <v>3Q23</v>
      </c>
      <c r="D1882" s="81">
        <f t="shared" si="558"/>
        <v>45138</v>
      </c>
      <c r="E1882" s="82">
        <f t="shared" si="570"/>
        <v>45128</v>
      </c>
      <c r="F1882" s="83">
        <f t="shared" ref="F1882:G1897" si="576">+L1882/8</f>
        <v>0.1845</v>
      </c>
      <c r="G1882" s="83">
        <f t="shared" si="576"/>
        <v>0.1675</v>
      </c>
      <c r="H1882" s="81"/>
      <c r="I1882" s="146">
        <v>45128</v>
      </c>
      <c r="J1882" s="147">
        <v>1.63</v>
      </c>
      <c r="K1882" s="147">
        <v>1.38</v>
      </c>
      <c r="L1882" s="147">
        <v>1.476</v>
      </c>
      <c r="M1882" s="59" cm="1">
        <f t="array" ref="M1882">INDEX($BV$29:$BV$1449,MATCH($D1882,$BR$29:$BR$1449,0),)</f>
        <v>1.34</v>
      </c>
      <c r="N1882" s="150">
        <f t="shared" si="561"/>
        <v>-0.00270270270270268</v>
      </c>
      <c r="O1882" s="150">
        <f t="shared" si="562"/>
        <v>-0.0060606060606061</v>
      </c>
      <c r="P1882" s="150">
        <f t="shared" si="569"/>
        <v>-0.0113864701942399</v>
      </c>
      <c r="Q1882" s="89">
        <f t="shared" si="571"/>
        <v>0.101492537313433</v>
      </c>
      <c r="S1882" s="82">
        <f t="shared" si="572"/>
        <v>45128</v>
      </c>
      <c r="T1882" s="83">
        <f t="shared" si="568"/>
        <v>0.2526875</v>
      </c>
      <c r="U1882" s="83">
        <f t="shared" si="568"/>
        <v>0.198125</v>
      </c>
      <c r="W1882" s="146">
        <v>45128</v>
      </c>
      <c r="X1882" s="147">
        <v>4.15</v>
      </c>
      <c r="Y1882" s="147">
        <v>4</v>
      </c>
      <c r="Z1882" s="147">
        <v>4.043</v>
      </c>
      <c r="AA1882" s="59" cm="1">
        <f t="array" ref="AA1882">INDEX($BX$29:$BX$1449,MATCH($D1882,$BR$29:$BR$1449,0),)</f>
        <v>3.17</v>
      </c>
      <c r="AB1882" s="150">
        <f t="shared" si="573"/>
        <v>0</v>
      </c>
      <c r="AC1882" s="150">
        <f t="shared" si="575"/>
        <v>-0.000741473059812203</v>
      </c>
      <c r="AD1882" s="150">
        <f t="shared" si="559"/>
        <v>-0.0134211810639335</v>
      </c>
      <c r="AE1882" s="89">
        <f t="shared" si="574"/>
        <v>0.275394321766562</v>
      </c>
      <c r="AF1882" s="36"/>
      <c r="GF1882" s="104">
        <f t="shared" si="563"/>
        <v>2020</v>
      </c>
      <c r="GG1882" s="104">
        <f t="shared" si="564"/>
        <v>23</v>
      </c>
      <c r="GH1882" s="35">
        <v>43985</v>
      </c>
      <c r="GI1882" s="26">
        <v>1.57</v>
      </c>
      <c r="GJ1882" s="94">
        <f t="shared" si="565"/>
        <v>3.14</v>
      </c>
      <c r="GK1882" s="104"/>
      <c r="GL1882" s="104"/>
    </row>
    <row r="1883" spans="3:194">
      <c r="C1883" s="80" t="str" cm="1">
        <f t="array" ref="C1883">_xlfn.IFS(MONTH(D1883)&lt;4,1,MONTH(D1883)&lt;7,2,MONTH(D1883)&lt;10,3,MONTH(D1883)&gt;9,4)&amp;"Q"&amp;RIGHT(YEAR(D1883),2)</f>
        <v>3Q23</v>
      </c>
      <c r="D1883" s="81">
        <f t="shared" si="558"/>
        <v>45138</v>
      </c>
      <c r="E1883" s="82">
        <f t="shared" si="570"/>
        <v>45131</v>
      </c>
      <c r="F1883" s="83">
        <f t="shared" si="576"/>
        <v>0.184375</v>
      </c>
      <c r="G1883" s="83">
        <f t="shared" si="576"/>
        <v>0.1675</v>
      </c>
      <c r="H1883" s="81"/>
      <c r="I1883" s="146">
        <v>45131</v>
      </c>
      <c r="J1883" s="147">
        <v>1.62</v>
      </c>
      <c r="K1883" s="147">
        <v>1.39</v>
      </c>
      <c r="L1883" s="147">
        <v>1.475</v>
      </c>
      <c r="M1883" s="59" cm="1">
        <f t="array" ref="M1883">INDEX($BV$29:$BV$1449,MATCH($D1883,$BR$29:$BR$1449,0),)</f>
        <v>1.34</v>
      </c>
      <c r="N1883" s="150">
        <f t="shared" si="561"/>
        <v>-0.000677506775067727</v>
      </c>
      <c r="O1883" s="150">
        <f t="shared" si="562"/>
        <v>-0.00539447066756571</v>
      </c>
      <c r="P1883" s="150">
        <f t="shared" si="569"/>
        <v>-0.0107310529845741</v>
      </c>
      <c r="Q1883" s="89">
        <f t="shared" si="571"/>
        <v>0.100746268656716</v>
      </c>
      <c r="S1883" s="82">
        <f t="shared" si="572"/>
        <v>45131</v>
      </c>
      <c r="T1883" s="83">
        <f t="shared" si="568"/>
        <v>0.2526875</v>
      </c>
      <c r="U1883" s="83">
        <f t="shared" si="568"/>
        <v>0.198125</v>
      </c>
      <c r="W1883" s="146">
        <v>45131</v>
      </c>
      <c r="X1883" s="147">
        <v>4.14</v>
      </c>
      <c r="Y1883" s="147">
        <v>3.99</v>
      </c>
      <c r="Z1883" s="147">
        <v>4.043</v>
      </c>
      <c r="AA1883" s="59" cm="1">
        <f t="array" ref="AA1883">INDEX($BX$29:$BX$1449,MATCH($D1883,$BR$29:$BR$1449,0),)</f>
        <v>3.17</v>
      </c>
      <c r="AB1883" s="150">
        <f t="shared" si="573"/>
        <v>0</v>
      </c>
      <c r="AC1883" s="150">
        <f t="shared" si="575"/>
        <v>-0.000741473059812203</v>
      </c>
      <c r="AD1883" s="150">
        <f t="shared" si="559"/>
        <v>-0.0122159784998778</v>
      </c>
      <c r="AE1883" s="89">
        <f t="shared" si="574"/>
        <v>0.275394321766562</v>
      </c>
      <c r="AF1883" s="36"/>
      <c r="GF1883" s="104">
        <f t="shared" si="563"/>
        <v>2020</v>
      </c>
      <c r="GG1883" s="104">
        <f t="shared" si="564"/>
        <v>23</v>
      </c>
      <c r="GH1883" s="35">
        <v>43986</v>
      </c>
      <c r="GI1883" s="26">
        <v>1.57</v>
      </c>
      <c r="GJ1883" s="94">
        <f t="shared" si="565"/>
        <v>3.14</v>
      </c>
      <c r="GK1883" s="104"/>
      <c r="GL1883" s="104"/>
    </row>
    <row r="1884" spans="3:194">
      <c r="C1884" s="80" t="str" cm="1">
        <f t="array" ref="C1884">_xlfn.IFS(MONTH(D1884)&lt;4,1,MONTH(D1884)&lt;7,2,MONTH(D1884)&lt;10,3,MONTH(D1884)&gt;9,4)&amp;"Q"&amp;RIGHT(YEAR(D1884),2)</f>
        <v>3Q23</v>
      </c>
      <c r="D1884" s="81">
        <f t="shared" si="558"/>
        <v>45138</v>
      </c>
      <c r="E1884" s="82">
        <f t="shared" si="570"/>
        <v>45132</v>
      </c>
      <c r="F1884" s="83">
        <f t="shared" si="576"/>
        <v>0.18375</v>
      </c>
      <c r="G1884" s="83">
        <f t="shared" si="576"/>
        <v>0.1675</v>
      </c>
      <c r="H1884" s="81"/>
      <c r="I1884" s="146">
        <v>45132</v>
      </c>
      <c r="J1884" s="147">
        <v>1.6</v>
      </c>
      <c r="K1884" s="147">
        <v>1.38</v>
      </c>
      <c r="L1884" s="147">
        <v>1.47</v>
      </c>
      <c r="M1884" s="59" cm="1">
        <f t="array" ref="M1884">INDEX($BV$29:$BV$1449,MATCH($D1884,$BR$29:$BR$1449,0),)</f>
        <v>1.34</v>
      </c>
      <c r="N1884" s="150">
        <f t="shared" si="561"/>
        <v>-0.00338983050847463</v>
      </c>
      <c r="O1884" s="150">
        <f t="shared" si="562"/>
        <v>-0.00876601483479444</v>
      </c>
      <c r="P1884" s="150">
        <f t="shared" si="569"/>
        <v>-0.0127602417730021</v>
      </c>
      <c r="Q1884" s="89">
        <f t="shared" si="571"/>
        <v>0.0970149253731343</v>
      </c>
      <c r="S1884" s="82">
        <f t="shared" si="572"/>
        <v>45132</v>
      </c>
      <c r="T1884" s="83">
        <f t="shared" si="568"/>
        <v>0.2526875</v>
      </c>
      <c r="U1884" s="83">
        <f t="shared" si="568"/>
        <v>0.198125</v>
      </c>
      <c r="W1884" s="146">
        <v>45132</v>
      </c>
      <c r="X1884" s="147">
        <v>4.14</v>
      </c>
      <c r="Y1884" s="147">
        <v>3.99</v>
      </c>
      <c r="Z1884" s="147">
        <v>4.043</v>
      </c>
      <c r="AA1884" s="59" cm="1">
        <f t="array" ref="AA1884">INDEX($BX$29:$BX$1449,MATCH($D1884,$BR$29:$BR$1449,0),)</f>
        <v>3.17</v>
      </c>
      <c r="AB1884" s="150">
        <f t="shared" si="573"/>
        <v>0</v>
      </c>
      <c r="AC1884" s="150">
        <f t="shared" si="575"/>
        <v>-0.000741473059812203</v>
      </c>
      <c r="AD1884" s="150">
        <f t="shared" si="559"/>
        <v>-0.00638977635782745</v>
      </c>
      <c r="AE1884" s="89">
        <f t="shared" si="574"/>
        <v>0.275394321766562</v>
      </c>
      <c r="AF1884" s="36"/>
      <c r="GF1884" s="104">
        <f t="shared" si="563"/>
        <v>2020</v>
      </c>
      <c r="GG1884" s="104">
        <f t="shared" si="564"/>
        <v>23</v>
      </c>
      <c r="GH1884" s="35">
        <v>43987</v>
      </c>
      <c r="GI1884" s="26">
        <v>1.567</v>
      </c>
      <c r="GJ1884" s="94">
        <f t="shared" si="565"/>
        <v>3.134</v>
      </c>
      <c r="GK1884" s="104"/>
      <c r="GL1884" s="104"/>
    </row>
    <row r="1885" spans="3:194">
      <c r="C1885" s="80" t="str" cm="1">
        <f t="array" ref="C1885">_xlfn.IFS(MONTH(D1885)&lt;4,1,MONTH(D1885)&lt;7,2,MONTH(D1885)&lt;10,3,MONTH(D1885)&gt;9,4)&amp;"Q"&amp;RIGHT(YEAR(D1885),2)</f>
        <v>3Q23</v>
      </c>
      <c r="D1885" s="81">
        <f t="shared" si="558"/>
        <v>45138</v>
      </c>
      <c r="E1885" s="82">
        <f t="shared" si="570"/>
        <v>45133</v>
      </c>
      <c r="F1885" s="83">
        <f t="shared" si="576"/>
        <v>0.18325</v>
      </c>
      <c r="G1885" s="83">
        <f t="shared" si="576"/>
        <v>0.1675</v>
      </c>
      <c r="H1885" s="81"/>
      <c r="I1885" s="146">
        <v>45133</v>
      </c>
      <c r="J1885" s="147">
        <v>1.59</v>
      </c>
      <c r="K1885" s="147">
        <v>1.37</v>
      </c>
      <c r="L1885" s="147">
        <v>1.466</v>
      </c>
      <c r="M1885" s="59" cm="1">
        <f t="array" ref="M1885">INDEX($BV$29:$BV$1449,MATCH($D1885,$BR$29:$BR$1449,0),)</f>
        <v>1.34</v>
      </c>
      <c r="N1885" s="150">
        <f t="shared" si="561"/>
        <v>-0.00272108843537411</v>
      </c>
      <c r="O1885" s="150">
        <f t="shared" si="562"/>
        <v>-0.0114632501685773</v>
      </c>
      <c r="P1885" s="150">
        <f t="shared" si="569"/>
        <v>-0.0134589502018843</v>
      </c>
      <c r="Q1885" s="89">
        <f t="shared" si="571"/>
        <v>0.0940298507462685</v>
      </c>
      <c r="S1885" s="82">
        <f t="shared" si="572"/>
        <v>45133</v>
      </c>
      <c r="T1885" s="83">
        <f t="shared" si="568"/>
        <v>0.252625</v>
      </c>
      <c r="U1885" s="83">
        <f t="shared" si="568"/>
        <v>0.198125</v>
      </c>
      <c r="W1885" s="146">
        <v>45133</v>
      </c>
      <c r="X1885" s="147">
        <v>4.15</v>
      </c>
      <c r="Y1885" s="147">
        <v>3.98</v>
      </c>
      <c r="Z1885" s="147">
        <v>4.042</v>
      </c>
      <c r="AA1885" s="59" cm="1">
        <f t="array" ref="AA1885">INDEX($BX$29:$BX$1449,MATCH($D1885,$BR$29:$BR$1449,0),)</f>
        <v>3.17</v>
      </c>
      <c r="AB1885" s="150">
        <f t="shared" si="573"/>
        <v>-0.000247341083354002</v>
      </c>
      <c r="AC1885" s="150">
        <f t="shared" si="575"/>
        <v>-0.000247341083354002</v>
      </c>
      <c r="AD1885" s="150">
        <f t="shared" si="559"/>
        <v>-0.00296003946719303</v>
      </c>
      <c r="AE1885" s="89">
        <f t="shared" si="574"/>
        <v>0.275078864353312</v>
      </c>
      <c r="AF1885" s="36"/>
      <c r="GF1885" s="104">
        <f t="shared" si="563"/>
        <v>2020</v>
      </c>
      <c r="GG1885" s="104">
        <f t="shared" si="564"/>
        <v>24</v>
      </c>
      <c r="GH1885" s="35">
        <v>43990</v>
      </c>
      <c r="GI1885" s="26">
        <v>1.567</v>
      </c>
      <c r="GJ1885" s="94">
        <f t="shared" si="565"/>
        <v>3.134</v>
      </c>
      <c r="GK1885" s="104"/>
      <c r="GL1885" s="104"/>
    </row>
    <row r="1886" spans="3:194">
      <c r="C1886" s="80" t="str" cm="1">
        <f t="array" ref="C1886">_xlfn.IFS(MONTH(D1886)&lt;4,1,MONTH(D1886)&lt;7,2,MONTH(D1886)&lt;10,3,MONTH(D1886)&gt;9,4)&amp;"Q"&amp;RIGHT(YEAR(D1886),2)</f>
        <v>3Q23</v>
      </c>
      <c r="D1886" s="81">
        <f t="shared" ref="D1886:D1949" si="577">EOMONTH(E1886,0)</f>
        <v>45138</v>
      </c>
      <c r="E1886" s="82">
        <f t="shared" si="570"/>
        <v>45134</v>
      </c>
      <c r="F1886" s="83">
        <f t="shared" si="576"/>
        <v>0.183125</v>
      </c>
      <c r="G1886" s="83">
        <f t="shared" si="576"/>
        <v>0.1675</v>
      </c>
      <c r="H1886" s="81"/>
      <c r="I1886" s="146">
        <v>45134</v>
      </c>
      <c r="J1886" s="147">
        <v>1.59</v>
      </c>
      <c r="K1886" s="147">
        <v>1.37</v>
      </c>
      <c r="L1886" s="147">
        <v>1.465</v>
      </c>
      <c r="M1886" s="59" cm="1">
        <f t="array" ref="M1886">INDEX($BV$29:$BV$1449,MATCH($D1886,$BR$29:$BR$1449,0),)</f>
        <v>1.34</v>
      </c>
      <c r="N1886" s="150">
        <f t="shared" si="561"/>
        <v>-0.000682128240109048</v>
      </c>
      <c r="O1886" s="150">
        <f t="shared" si="562"/>
        <v>-0.0101351351351351</v>
      </c>
      <c r="P1886" s="150">
        <f t="shared" si="569"/>
        <v>-0.0141318977119784</v>
      </c>
      <c r="Q1886" s="89">
        <f t="shared" si="571"/>
        <v>0.0932835820895523</v>
      </c>
      <c r="S1886" s="82">
        <f t="shared" si="572"/>
        <v>45134</v>
      </c>
      <c r="T1886" s="83">
        <f t="shared" si="568"/>
        <v>0.252625</v>
      </c>
      <c r="U1886" s="83">
        <f t="shared" si="568"/>
        <v>0.198125</v>
      </c>
      <c r="W1886" s="146">
        <v>45134</v>
      </c>
      <c r="X1886" s="147">
        <v>4.15</v>
      </c>
      <c r="Y1886" s="147">
        <v>3.98</v>
      </c>
      <c r="Z1886" s="147">
        <v>4.042</v>
      </c>
      <c r="AA1886" s="59" cm="1">
        <f t="array" ref="AA1886">INDEX($BX$29:$BX$1449,MATCH($D1886,$BR$29:$BR$1449,0),)</f>
        <v>3.17</v>
      </c>
      <c r="AB1886" s="150">
        <f t="shared" si="573"/>
        <v>0</v>
      </c>
      <c r="AC1886" s="150">
        <f t="shared" si="575"/>
        <v>-0.000247341083354002</v>
      </c>
      <c r="AD1886" s="150">
        <f t="shared" ref="AD1886:AD1949" si="578">Z1886/Z1876-1</f>
        <v>-0.000988630746416308</v>
      </c>
      <c r="AE1886" s="89">
        <f t="shared" si="574"/>
        <v>0.275078864353312</v>
      </c>
      <c r="AF1886" s="36"/>
      <c r="GF1886" s="104">
        <f t="shared" si="563"/>
        <v>2020</v>
      </c>
      <c r="GG1886" s="104">
        <f t="shared" si="564"/>
        <v>24</v>
      </c>
      <c r="GH1886" s="35">
        <v>43991</v>
      </c>
      <c r="GI1886" s="26">
        <v>1.558</v>
      </c>
      <c r="GJ1886" s="94">
        <f t="shared" si="565"/>
        <v>3.116</v>
      </c>
      <c r="GK1886" s="104"/>
      <c r="GL1886" s="104"/>
    </row>
    <row r="1887" spans="3:194">
      <c r="C1887" s="80" t="str" cm="1">
        <f t="array" ref="C1887">_xlfn.IFS(MONTH(D1887)&lt;4,1,MONTH(D1887)&lt;7,2,MONTH(D1887)&lt;10,3,MONTH(D1887)&gt;9,4)&amp;"Q"&amp;RIGHT(YEAR(D1887),2)</f>
        <v>3Q23</v>
      </c>
      <c r="D1887" s="81">
        <f t="shared" si="577"/>
        <v>45138</v>
      </c>
      <c r="E1887" s="82">
        <f t="shared" si="570"/>
        <v>45135</v>
      </c>
      <c r="F1887" s="83">
        <f t="shared" si="576"/>
        <v>0.1825</v>
      </c>
      <c r="G1887" s="83">
        <f t="shared" si="576"/>
        <v>0.1675</v>
      </c>
      <c r="H1887" s="81"/>
      <c r="I1887" s="146">
        <v>45135</v>
      </c>
      <c r="J1887" s="147">
        <v>1.59</v>
      </c>
      <c r="K1887" s="147">
        <v>1.36</v>
      </c>
      <c r="L1887" s="147">
        <v>1.46</v>
      </c>
      <c r="M1887" s="59" cm="1">
        <f t="array" ref="M1887">INDEX($BV$29:$BV$1449,MATCH($D1887,$BR$29:$BR$1449,0),)</f>
        <v>1.34</v>
      </c>
      <c r="N1887" s="150">
        <f t="shared" si="561"/>
        <v>-0.0034129692832765</v>
      </c>
      <c r="O1887" s="150">
        <f t="shared" si="562"/>
        <v>-0.0108401084010841</v>
      </c>
      <c r="P1887" s="150">
        <f t="shared" si="569"/>
        <v>-0.0168350168350169</v>
      </c>
      <c r="Q1887" s="89">
        <f t="shared" si="571"/>
        <v>0.08955223880597</v>
      </c>
      <c r="S1887" s="82">
        <f t="shared" si="572"/>
        <v>45135</v>
      </c>
      <c r="T1887" s="83">
        <f t="shared" si="568"/>
        <v>0.252625</v>
      </c>
      <c r="U1887" s="83">
        <f t="shared" si="568"/>
        <v>0.198125</v>
      </c>
      <c r="W1887" s="146">
        <v>45135</v>
      </c>
      <c r="X1887" s="147">
        <v>4.15</v>
      </c>
      <c r="Y1887" s="147">
        <v>3.98</v>
      </c>
      <c r="Z1887" s="147">
        <v>4.042</v>
      </c>
      <c r="AA1887" s="59" cm="1">
        <f t="array" ref="AA1887">INDEX($BX$29:$BX$1449,MATCH($D1887,$BR$29:$BR$1449,0),)</f>
        <v>3.17</v>
      </c>
      <c r="AB1887" s="150">
        <f t="shared" si="573"/>
        <v>0</v>
      </c>
      <c r="AC1887" s="150">
        <f t="shared" si="575"/>
        <v>-0.000247341083354002</v>
      </c>
      <c r="AD1887" s="150">
        <f t="shared" si="578"/>
        <v>-0.000988630746416308</v>
      </c>
      <c r="AE1887" s="89">
        <f t="shared" si="574"/>
        <v>0.275078864353312</v>
      </c>
      <c r="AF1887" s="36"/>
      <c r="GF1887" s="104">
        <f t="shared" si="563"/>
        <v>2020</v>
      </c>
      <c r="GG1887" s="104">
        <f t="shared" si="564"/>
        <v>24</v>
      </c>
      <c r="GH1887" s="35">
        <v>43992</v>
      </c>
      <c r="GI1887" s="26">
        <v>1.558</v>
      </c>
      <c r="GJ1887" s="94">
        <f t="shared" si="565"/>
        <v>3.116</v>
      </c>
      <c r="GK1887" s="104"/>
      <c r="GL1887" s="104"/>
    </row>
    <row r="1888" spans="3:194">
      <c r="C1888" s="80" t="str" cm="1">
        <f t="array" ref="C1888">_xlfn.IFS(MONTH(D1888)&lt;4,1,MONTH(D1888)&lt;7,2,MONTH(D1888)&lt;10,3,MONTH(D1888)&gt;9,4)&amp;"Q"&amp;RIGHT(YEAR(D1888),2)</f>
        <v>3Q23</v>
      </c>
      <c r="D1888" s="81">
        <f t="shared" si="577"/>
        <v>45138</v>
      </c>
      <c r="E1888" s="82">
        <f t="shared" si="570"/>
        <v>45138</v>
      </c>
      <c r="F1888" s="83">
        <f t="shared" si="576"/>
        <v>0.1825</v>
      </c>
      <c r="G1888" s="83">
        <f t="shared" si="576"/>
        <v>0.1675</v>
      </c>
      <c r="H1888" s="81"/>
      <c r="I1888" s="146">
        <v>45138</v>
      </c>
      <c r="J1888" s="147">
        <v>1.58</v>
      </c>
      <c r="K1888" s="147">
        <v>1.35</v>
      </c>
      <c r="L1888" s="147">
        <v>1.46</v>
      </c>
      <c r="M1888" s="59" cm="1">
        <f t="array" ref="M1888">INDEX($BV$29:$BV$1449,MATCH($D1888,$BR$29:$BR$1449,0),)</f>
        <v>1.34</v>
      </c>
      <c r="N1888" s="150">
        <f t="shared" si="561"/>
        <v>0</v>
      </c>
      <c r="O1888" s="150">
        <f t="shared" si="562"/>
        <v>-0.0101694915254238</v>
      </c>
      <c r="P1888" s="150">
        <f t="shared" si="569"/>
        <v>-0.0155091031692516</v>
      </c>
      <c r="Q1888" s="89">
        <f t="shared" si="571"/>
        <v>0.08955223880597</v>
      </c>
      <c r="S1888" s="82">
        <f t="shared" si="572"/>
        <v>45138</v>
      </c>
      <c r="T1888" s="83">
        <f t="shared" ref="T1888:U1903" si="579">+Z1888/16</f>
        <v>0.2525</v>
      </c>
      <c r="U1888" s="83">
        <f t="shared" si="579"/>
        <v>0.198125</v>
      </c>
      <c r="W1888" s="146">
        <v>45138</v>
      </c>
      <c r="X1888" s="147">
        <v>4.14</v>
      </c>
      <c r="Y1888" s="147">
        <v>3.99</v>
      </c>
      <c r="Z1888" s="147">
        <v>4.04</v>
      </c>
      <c r="AA1888" s="59" cm="1">
        <f t="array" ref="AA1888">INDEX($BX$29:$BX$1449,MATCH($D1888,$BR$29:$BR$1449,0),)</f>
        <v>3.17</v>
      </c>
      <c r="AB1888" s="150">
        <f t="shared" si="573"/>
        <v>-0.000494804552201855</v>
      </c>
      <c r="AC1888" s="150">
        <f t="shared" si="575"/>
        <v>-0.000742023250061896</v>
      </c>
      <c r="AD1888" s="150">
        <f t="shared" si="578"/>
        <v>-0.00148294611962441</v>
      </c>
      <c r="AE1888" s="89">
        <f t="shared" si="574"/>
        <v>0.274447949526814</v>
      </c>
      <c r="AF1888" s="36"/>
      <c r="GF1888" s="104">
        <f t="shared" si="563"/>
        <v>2020</v>
      </c>
      <c r="GG1888" s="104">
        <f t="shared" si="564"/>
        <v>24</v>
      </c>
      <c r="GH1888" s="35">
        <v>43993</v>
      </c>
      <c r="GI1888" s="26">
        <v>1.558</v>
      </c>
      <c r="GJ1888" s="94">
        <f t="shared" si="565"/>
        <v>3.116</v>
      </c>
      <c r="GK1888" s="104"/>
      <c r="GL1888" s="104"/>
    </row>
    <row r="1889" spans="3:194">
      <c r="C1889" s="80" t="str" cm="1">
        <f t="array" ref="C1889">_xlfn.IFS(MONTH(D1889)&lt;4,1,MONTH(D1889)&lt;7,2,MONTH(D1889)&lt;10,3,MONTH(D1889)&gt;9,4)&amp;"Q"&amp;RIGHT(YEAR(D1889),2)</f>
        <v>3Q23</v>
      </c>
      <c r="D1889" s="81">
        <f t="shared" si="577"/>
        <v>45169</v>
      </c>
      <c r="E1889" s="82">
        <f t="shared" si="570"/>
        <v>45139</v>
      </c>
      <c r="F1889" s="83">
        <f t="shared" si="576"/>
        <v>0.182</v>
      </c>
      <c r="G1889" s="83">
        <f t="shared" si="576"/>
        <v>0.1625</v>
      </c>
      <c r="H1889" s="81"/>
      <c r="I1889" s="146">
        <v>45139</v>
      </c>
      <c r="J1889" s="147">
        <v>1.58</v>
      </c>
      <c r="K1889" s="147">
        <v>1.35</v>
      </c>
      <c r="L1889" s="147">
        <v>1.456</v>
      </c>
      <c r="M1889" s="59" cm="1">
        <f t="array" ref="M1889">INDEX($BV$29:$BV$1449,MATCH($D1889,$BR$29:$BR$1449,0),)</f>
        <v>1.3</v>
      </c>
      <c r="N1889" s="150">
        <f t="shared" si="561"/>
        <v>-0.00273972602739725</v>
      </c>
      <c r="O1889" s="150">
        <f t="shared" si="562"/>
        <v>-0.00952380952380949</v>
      </c>
      <c r="P1889" s="150">
        <f t="shared" si="569"/>
        <v>-0.0182063385030344</v>
      </c>
      <c r="Q1889" s="89">
        <f t="shared" si="571"/>
        <v>0.12</v>
      </c>
      <c r="S1889" s="82">
        <f t="shared" si="572"/>
        <v>45139</v>
      </c>
      <c r="T1889" s="83">
        <f t="shared" si="579"/>
        <v>0.253125</v>
      </c>
      <c r="U1889" s="83">
        <f t="shared" si="579"/>
        <v>0.2125</v>
      </c>
      <c r="W1889" s="146">
        <v>45139</v>
      </c>
      <c r="X1889" s="147">
        <v>4.18</v>
      </c>
      <c r="Y1889" s="147">
        <v>3.97</v>
      </c>
      <c r="Z1889" s="147">
        <v>4.05</v>
      </c>
      <c r="AA1889" s="59" cm="1">
        <f t="array" ref="AA1889">INDEX($BX$29:$BX$1449,MATCH($D1889,$BR$29:$BR$1449,0),)</f>
        <v>3.4</v>
      </c>
      <c r="AB1889" s="150">
        <f t="shared" si="573"/>
        <v>0.00247524752475248</v>
      </c>
      <c r="AC1889" s="150">
        <f t="shared" si="575"/>
        <v>0.00173138758347746</v>
      </c>
      <c r="AD1889" s="150">
        <f t="shared" si="578"/>
        <v>0.000988630746416197</v>
      </c>
      <c r="AE1889" s="89">
        <f t="shared" si="574"/>
        <v>0.191176470588235</v>
      </c>
      <c r="AF1889" s="36"/>
      <c r="GF1889" s="104">
        <f t="shared" si="563"/>
        <v>2020</v>
      </c>
      <c r="GG1889" s="104">
        <f t="shared" si="564"/>
        <v>24</v>
      </c>
      <c r="GH1889" s="35">
        <v>43994</v>
      </c>
      <c r="GI1889" s="26">
        <v>1.558</v>
      </c>
      <c r="GJ1889" s="94">
        <f t="shared" si="565"/>
        <v>3.116</v>
      </c>
      <c r="GK1889" s="104"/>
      <c r="GL1889" s="104"/>
    </row>
    <row r="1890" spans="3:194">
      <c r="C1890" s="80" t="str" cm="1">
        <f t="array" ref="C1890">_xlfn.IFS(MONTH(D1890)&lt;4,1,MONTH(D1890)&lt;7,2,MONTH(D1890)&lt;10,3,MONTH(D1890)&gt;9,4)&amp;"Q"&amp;RIGHT(YEAR(D1890),2)</f>
        <v>3Q23</v>
      </c>
      <c r="D1890" s="81">
        <f t="shared" si="577"/>
        <v>45169</v>
      </c>
      <c r="E1890" s="82">
        <f t="shared" si="570"/>
        <v>45140</v>
      </c>
      <c r="F1890" s="83">
        <f t="shared" si="576"/>
        <v>0.1815</v>
      </c>
      <c r="G1890" s="83">
        <f t="shared" si="576"/>
        <v>0.1625</v>
      </c>
      <c r="H1890" s="81"/>
      <c r="I1890" s="146">
        <v>45140</v>
      </c>
      <c r="J1890" s="147">
        <v>1.58</v>
      </c>
      <c r="K1890" s="147">
        <v>1.35</v>
      </c>
      <c r="L1890" s="147">
        <v>1.452</v>
      </c>
      <c r="M1890" s="59" cm="1">
        <f t="array" ref="M1890">INDEX($BV$29:$BV$1449,MATCH($D1890,$BR$29:$BR$1449,0),)</f>
        <v>1.3</v>
      </c>
      <c r="N1890" s="150">
        <f t="shared" si="561"/>
        <v>-0.00274725274725274</v>
      </c>
      <c r="O1890" s="150">
        <f t="shared" si="562"/>
        <v>-0.009549795361528</v>
      </c>
      <c r="P1890" s="150">
        <f t="shared" si="569"/>
        <v>-0.0209035738368174</v>
      </c>
      <c r="Q1890" s="89">
        <f t="shared" si="571"/>
        <v>0.116923076923077</v>
      </c>
      <c r="S1890" s="82">
        <f t="shared" si="572"/>
        <v>45140</v>
      </c>
      <c r="T1890" s="83">
        <f t="shared" si="579"/>
        <v>0.253125</v>
      </c>
      <c r="U1890" s="83">
        <f t="shared" si="579"/>
        <v>0.2125</v>
      </c>
      <c r="W1890" s="146">
        <v>45140</v>
      </c>
      <c r="X1890" s="147">
        <v>4.18</v>
      </c>
      <c r="Y1890" s="147">
        <v>3.97</v>
      </c>
      <c r="Z1890" s="147">
        <v>4.05</v>
      </c>
      <c r="AA1890" s="59" cm="1">
        <f t="array" ref="AA1890">INDEX($BX$29:$BX$1449,MATCH($D1890,$BR$29:$BR$1449,0),)</f>
        <v>3.4</v>
      </c>
      <c r="AB1890" s="150">
        <f t="shared" si="573"/>
        <v>0</v>
      </c>
      <c r="AC1890" s="150">
        <f t="shared" si="575"/>
        <v>0.00197921820880742</v>
      </c>
      <c r="AD1890" s="150">
        <f t="shared" si="578"/>
        <v>0.00173138758347746</v>
      </c>
      <c r="AE1890" s="89">
        <f t="shared" si="574"/>
        <v>0.191176470588235</v>
      </c>
      <c r="AF1890" s="36"/>
      <c r="GF1890" s="104">
        <f t="shared" si="563"/>
        <v>2020</v>
      </c>
      <c r="GG1890" s="104">
        <f t="shared" si="564"/>
        <v>25</v>
      </c>
      <c r="GH1890" s="35">
        <v>43997</v>
      </c>
      <c r="GI1890" s="26">
        <v>1.556</v>
      </c>
      <c r="GJ1890" s="94">
        <f t="shared" si="565"/>
        <v>3.112</v>
      </c>
      <c r="GK1890" s="104"/>
      <c r="GL1890" s="104"/>
    </row>
    <row r="1891" spans="3:194">
      <c r="C1891" s="80" t="str" cm="1">
        <f t="array" ref="C1891">_xlfn.IFS(MONTH(D1891)&lt;4,1,MONTH(D1891)&lt;7,2,MONTH(D1891)&lt;10,3,MONTH(D1891)&gt;9,4)&amp;"Q"&amp;RIGHT(YEAR(D1891),2)</f>
        <v>3Q23</v>
      </c>
      <c r="D1891" s="81">
        <f t="shared" si="577"/>
        <v>45169</v>
      </c>
      <c r="E1891" s="82">
        <f t="shared" si="570"/>
        <v>45141</v>
      </c>
      <c r="F1891" s="83">
        <f t="shared" si="576"/>
        <v>0.181125</v>
      </c>
      <c r="G1891" s="83">
        <f t="shared" si="576"/>
        <v>0.1625</v>
      </c>
      <c r="H1891" s="81"/>
      <c r="I1891" s="146">
        <v>45141</v>
      </c>
      <c r="J1891" s="147">
        <v>1.57</v>
      </c>
      <c r="K1891" s="147">
        <v>1.34</v>
      </c>
      <c r="L1891" s="147">
        <v>1.449</v>
      </c>
      <c r="M1891" s="59" cm="1">
        <f t="array" ref="M1891">INDEX($BV$29:$BV$1449,MATCH($D1891,$BR$29:$BR$1449,0),)</f>
        <v>1.3</v>
      </c>
      <c r="N1891" s="150">
        <f t="shared" si="561"/>
        <v>-0.00206611570247928</v>
      </c>
      <c r="O1891" s="150">
        <f t="shared" si="562"/>
        <v>-0.0109215017064846</v>
      </c>
      <c r="P1891" s="150">
        <f t="shared" si="569"/>
        <v>-0.0209459459459459</v>
      </c>
      <c r="Q1891" s="89">
        <f t="shared" si="571"/>
        <v>0.114615384615385</v>
      </c>
      <c r="S1891" s="82">
        <f t="shared" si="572"/>
        <v>45141</v>
      </c>
      <c r="T1891" s="83">
        <f t="shared" si="579"/>
        <v>0.253</v>
      </c>
      <c r="U1891" s="83">
        <f t="shared" si="579"/>
        <v>0.2125</v>
      </c>
      <c r="W1891" s="146">
        <v>45141</v>
      </c>
      <c r="X1891" s="147">
        <v>4.2</v>
      </c>
      <c r="Y1891" s="147">
        <v>3.95</v>
      </c>
      <c r="Z1891" s="147">
        <v>4.048</v>
      </c>
      <c r="AA1891" s="59" cm="1">
        <f t="array" ref="AA1891">INDEX($BX$29:$BX$1449,MATCH($D1891,$BR$29:$BR$1449,0),)</f>
        <v>3.4</v>
      </c>
      <c r="AB1891" s="150">
        <f t="shared" si="573"/>
        <v>-0.000493827160493732</v>
      </c>
      <c r="AC1891" s="150">
        <f t="shared" si="575"/>
        <v>0.00148441365660568</v>
      </c>
      <c r="AD1891" s="150">
        <f t="shared" si="578"/>
        <v>0.00123670541676968</v>
      </c>
      <c r="AE1891" s="89">
        <f t="shared" si="574"/>
        <v>0.190588235294118</v>
      </c>
      <c r="AF1891" s="36"/>
      <c r="GF1891" s="104">
        <f t="shared" si="563"/>
        <v>2020</v>
      </c>
      <c r="GG1891" s="104">
        <f t="shared" si="564"/>
        <v>25</v>
      </c>
      <c r="GH1891" s="35">
        <v>43998</v>
      </c>
      <c r="GI1891" s="26">
        <v>1.553</v>
      </c>
      <c r="GJ1891" s="94">
        <f t="shared" si="565"/>
        <v>3.106</v>
      </c>
      <c r="GK1891" s="104"/>
      <c r="GL1891" s="104"/>
    </row>
    <row r="1892" spans="3:194">
      <c r="C1892" s="80" t="str" cm="1">
        <f t="array" ref="C1892">_xlfn.IFS(MONTH(D1892)&lt;4,1,MONTH(D1892)&lt;7,2,MONTH(D1892)&lt;10,3,MONTH(D1892)&gt;9,4)&amp;"Q"&amp;RIGHT(YEAR(D1892),2)</f>
        <v>3Q23</v>
      </c>
      <c r="D1892" s="81">
        <f t="shared" si="577"/>
        <v>45169</v>
      </c>
      <c r="E1892" s="82">
        <f t="shared" si="570"/>
        <v>45142</v>
      </c>
      <c r="F1892" s="83">
        <f t="shared" si="576"/>
        <v>0.180875</v>
      </c>
      <c r="G1892" s="83">
        <f t="shared" si="576"/>
        <v>0.1625</v>
      </c>
      <c r="H1892" s="81"/>
      <c r="I1892" s="146">
        <v>45142</v>
      </c>
      <c r="J1892" s="147">
        <v>1.59</v>
      </c>
      <c r="K1892" s="147">
        <v>1.34</v>
      </c>
      <c r="L1892" s="147">
        <v>1.447</v>
      </c>
      <c r="M1892" s="59" cm="1">
        <f t="array" ref="M1892">INDEX($BV$29:$BV$1449,MATCH($D1892,$BR$29:$BR$1449,0),)</f>
        <v>1.3</v>
      </c>
      <c r="N1892" s="150">
        <f t="shared" si="561"/>
        <v>-0.00138026224982746</v>
      </c>
      <c r="O1892" s="150">
        <f t="shared" si="562"/>
        <v>-0.00890410958904098</v>
      </c>
      <c r="P1892" s="150">
        <f t="shared" si="569"/>
        <v>-0.0196476964769647</v>
      </c>
      <c r="Q1892" s="89">
        <f t="shared" si="571"/>
        <v>0.113076923076923</v>
      </c>
      <c r="S1892" s="82">
        <f t="shared" si="572"/>
        <v>45142</v>
      </c>
      <c r="T1892" s="83">
        <f t="shared" si="579"/>
        <v>0.253625</v>
      </c>
      <c r="U1892" s="83">
        <f t="shared" si="579"/>
        <v>0.2125</v>
      </c>
      <c r="W1892" s="146">
        <v>45142</v>
      </c>
      <c r="X1892" s="147">
        <v>4.2</v>
      </c>
      <c r="Y1892" s="147">
        <v>3.95</v>
      </c>
      <c r="Z1892" s="147">
        <v>4.058</v>
      </c>
      <c r="AA1892" s="59" cm="1">
        <f t="array" ref="AA1892">INDEX($BX$29:$BX$1449,MATCH($D1892,$BR$29:$BR$1449,0),)</f>
        <v>3.4</v>
      </c>
      <c r="AB1892" s="150">
        <f t="shared" si="573"/>
        <v>0.00247035573122534</v>
      </c>
      <c r="AC1892" s="150">
        <f t="shared" si="575"/>
        <v>0.00395843641761506</v>
      </c>
      <c r="AD1892" s="150">
        <f t="shared" si="578"/>
        <v>0.00371011625030904</v>
      </c>
      <c r="AE1892" s="89">
        <f t="shared" si="574"/>
        <v>0.193529411764706</v>
      </c>
      <c r="AF1892" s="36"/>
      <c r="GF1892" s="104">
        <f t="shared" si="563"/>
        <v>2020</v>
      </c>
      <c r="GG1892" s="104">
        <f t="shared" si="564"/>
        <v>25</v>
      </c>
      <c r="GH1892" s="35">
        <v>43999</v>
      </c>
      <c r="GI1892" s="26">
        <v>1.551</v>
      </c>
      <c r="GJ1892" s="94">
        <f t="shared" si="565"/>
        <v>3.102</v>
      </c>
      <c r="GK1892" s="104"/>
      <c r="GL1892" s="104"/>
    </row>
    <row r="1893" spans="3:194">
      <c r="C1893" s="80" t="str" cm="1">
        <f t="array" ref="C1893">_xlfn.IFS(MONTH(D1893)&lt;4,1,MONTH(D1893)&lt;7,2,MONTH(D1893)&lt;10,3,MONTH(D1893)&gt;9,4)&amp;"Q"&amp;RIGHT(YEAR(D1893),2)</f>
        <v>3Q23</v>
      </c>
      <c r="D1893" s="81">
        <f t="shared" si="577"/>
        <v>45169</v>
      </c>
      <c r="E1893" s="82">
        <f t="shared" si="570"/>
        <v>45145</v>
      </c>
      <c r="F1893" s="83">
        <f t="shared" si="576"/>
        <v>0.180625</v>
      </c>
      <c r="G1893" s="83">
        <f t="shared" si="576"/>
        <v>0.1625</v>
      </c>
      <c r="H1893" s="81"/>
      <c r="I1893" s="146">
        <v>45145</v>
      </c>
      <c r="J1893" s="147">
        <v>1.6</v>
      </c>
      <c r="K1893" s="147">
        <v>1.33</v>
      </c>
      <c r="L1893" s="147">
        <v>1.445</v>
      </c>
      <c r="M1893" s="59" cm="1">
        <f t="array" ref="M1893">INDEX($BV$29:$BV$1449,MATCH($D1893,$BR$29:$BR$1449,0),)</f>
        <v>1.3</v>
      </c>
      <c r="N1893" s="150">
        <f t="shared" si="561"/>
        <v>-0.00138217000691088</v>
      </c>
      <c r="O1893" s="150">
        <f t="shared" si="562"/>
        <v>-0.0102739726027397</v>
      </c>
      <c r="P1893" s="150">
        <f t="shared" si="569"/>
        <v>-0.0203389830508475</v>
      </c>
      <c r="Q1893" s="89">
        <f t="shared" si="571"/>
        <v>0.111538461538462</v>
      </c>
      <c r="S1893" s="82">
        <f t="shared" si="572"/>
        <v>45145</v>
      </c>
      <c r="T1893" s="83">
        <f t="shared" si="579"/>
        <v>0.2534375</v>
      </c>
      <c r="U1893" s="83">
        <f t="shared" si="579"/>
        <v>0.2125</v>
      </c>
      <c r="W1893" s="146">
        <v>45145</v>
      </c>
      <c r="X1893" s="147">
        <v>4.18</v>
      </c>
      <c r="Y1893" s="147">
        <v>3.94</v>
      </c>
      <c r="Z1893" s="147">
        <v>4.055</v>
      </c>
      <c r="AA1893" s="59" cm="1">
        <f t="array" ref="AA1893">INDEX($BX$29:$BX$1449,MATCH($D1893,$BR$29:$BR$1449,0),)</f>
        <v>3.4</v>
      </c>
      <c r="AB1893" s="150">
        <f t="shared" si="573"/>
        <v>-0.000739280433711187</v>
      </c>
      <c r="AC1893" s="150">
        <f t="shared" si="575"/>
        <v>0.00371287128712861</v>
      </c>
      <c r="AD1893" s="150">
        <f t="shared" si="578"/>
        <v>0.00296809300024714</v>
      </c>
      <c r="AE1893" s="89">
        <f t="shared" si="574"/>
        <v>0.192647058823529</v>
      </c>
      <c r="AF1893" s="36"/>
      <c r="GF1893" s="104">
        <f t="shared" si="563"/>
        <v>2020</v>
      </c>
      <c r="GG1893" s="104">
        <f t="shared" si="564"/>
        <v>25</v>
      </c>
      <c r="GH1893" s="35">
        <v>44000</v>
      </c>
      <c r="GI1893" s="26">
        <v>1.543</v>
      </c>
      <c r="GJ1893" s="94">
        <f t="shared" si="565"/>
        <v>3.086</v>
      </c>
      <c r="GK1893" s="104"/>
      <c r="GL1893" s="104"/>
    </row>
    <row r="1894" spans="3:194">
      <c r="C1894" s="80" t="str" cm="1">
        <f t="array" ref="C1894">_xlfn.IFS(MONTH(D1894)&lt;4,1,MONTH(D1894)&lt;7,2,MONTH(D1894)&lt;10,3,MONTH(D1894)&gt;9,4)&amp;"Q"&amp;RIGHT(YEAR(D1894),2)</f>
        <v>3Q23</v>
      </c>
      <c r="D1894" s="81">
        <f t="shared" si="577"/>
        <v>45169</v>
      </c>
      <c r="E1894" s="82">
        <f t="shared" si="570"/>
        <v>45146</v>
      </c>
      <c r="F1894" s="83">
        <f t="shared" si="576"/>
        <v>0.1805</v>
      </c>
      <c r="G1894" s="83">
        <f t="shared" si="576"/>
        <v>0.1625</v>
      </c>
      <c r="H1894" s="81"/>
      <c r="I1894" s="146">
        <v>45146</v>
      </c>
      <c r="J1894" s="147">
        <v>1.6</v>
      </c>
      <c r="K1894" s="147">
        <v>1.33</v>
      </c>
      <c r="L1894" s="147">
        <v>1.444</v>
      </c>
      <c r="M1894" s="59" cm="1">
        <f t="array" ref="M1894">INDEX($BV$29:$BV$1449,MATCH($D1894,$BR$29:$BR$1449,0),)</f>
        <v>1.3</v>
      </c>
      <c r="N1894" s="150">
        <f t="shared" si="561"/>
        <v>-0.000692041522491471</v>
      </c>
      <c r="O1894" s="150">
        <f t="shared" si="562"/>
        <v>-0.00824175824175821</v>
      </c>
      <c r="P1894" s="150">
        <f t="shared" si="569"/>
        <v>-0.017687074829932</v>
      </c>
      <c r="Q1894" s="89">
        <f t="shared" si="571"/>
        <v>0.110769230769231</v>
      </c>
      <c r="S1894" s="82">
        <f t="shared" si="572"/>
        <v>45146</v>
      </c>
      <c r="T1894" s="83">
        <f t="shared" si="579"/>
        <v>0.2533125</v>
      </c>
      <c r="U1894" s="83">
        <f t="shared" si="579"/>
        <v>0.2125</v>
      </c>
      <c r="W1894" s="146">
        <v>45146</v>
      </c>
      <c r="X1894" s="147">
        <v>4.18</v>
      </c>
      <c r="Y1894" s="147">
        <v>3.94</v>
      </c>
      <c r="Z1894" s="147">
        <v>4.053</v>
      </c>
      <c r="AA1894" s="59" cm="1">
        <f t="array" ref="AA1894">INDEX($BX$29:$BX$1449,MATCH($D1894,$BR$29:$BR$1449,0),)</f>
        <v>3.4</v>
      </c>
      <c r="AB1894" s="150">
        <f t="shared" si="573"/>
        <v>-0.000493218249075111</v>
      </c>
      <c r="AC1894" s="150">
        <f t="shared" si="575"/>
        <v>0.000740740740740709</v>
      </c>
      <c r="AD1894" s="150">
        <f t="shared" si="578"/>
        <v>0.00247341083353936</v>
      </c>
      <c r="AE1894" s="89">
        <f t="shared" si="574"/>
        <v>0.192058823529412</v>
      </c>
      <c r="AF1894" s="36"/>
      <c r="GF1894" s="104">
        <f t="shared" si="563"/>
        <v>2020</v>
      </c>
      <c r="GG1894" s="104">
        <f t="shared" si="564"/>
        <v>25</v>
      </c>
      <c r="GH1894" s="35">
        <v>44001</v>
      </c>
      <c r="GI1894" s="26">
        <v>1.538</v>
      </c>
      <c r="GJ1894" s="94">
        <f t="shared" si="565"/>
        <v>3.076</v>
      </c>
      <c r="GK1894" s="104"/>
      <c r="GL1894" s="104"/>
    </row>
    <row r="1895" spans="3:194">
      <c r="C1895" s="80" t="str" cm="1">
        <f t="array" ref="C1895">_xlfn.IFS(MONTH(D1895)&lt;4,1,MONTH(D1895)&lt;7,2,MONTH(D1895)&lt;10,3,MONTH(D1895)&gt;9,4)&amp;"Q"&amp;RIGHT(YEAR(D1895),2)</f>
        <v>3Q23</v>
      </c>
      <c r="D1895" s="81">
        <f t="shared" si="577"/>
        <v>45169</v>
      </c>
      <c r="E1895" s="82">
        <f t="shared" si="570"/>
        <v>45147</v>
      </c>
      <c r="F1895" s="83">
        <f t="shared" si="576"/>
        <v>0.180375</v>
      </c>
      <c r="G1895" s="83">
        <f t="shared" si="576"/>
        <v>0.1625</v>
      </c>
      <c r="H1895" s="81"/>
      <c r="I1895" s="146">
        <v>45147</v>
      </c>
      <c r="J1895" s="147">
        <v>1.59</v>
      </c>
      <c r="K1895" s="147">
        <v>1.34</v>
      </c>
      <c r="L1895" s="147">
        <v>1.443</v>
      </c>
      <c r="M1895" s="59" cm="1">
        <f t="array" ref="M1895">INDEX($BV$29:$BV$1449,MATCH($D1895,$BR$29:$BR$1449,0),)</f>
        <v>1.3</v>
      </c>
      <c r="N1895" s="150">
        <f t="shared" si="561"/>
        <v>-0.000692520775623207</v>
      </c>
      <c r="O1895" s="150">
        <f t="shared" si="562"/>
        <v>-0.00619834710743794</v>
      </c>
      <c r="P1895" s="150">
        <f t="shared" si="569"/>
        <v>-0.0156889495225102</v>
      </c>
      <c r="Q1895" s="89">
        <f t="shared" si="571"/>
        <v>0.11</v>
      </c>
      <c r="S1895" s="82">
        <f t="shared" si="572"/>
        <v>45147</v>
      </c>
      <c r="T1895" s="83">
        <f t="shared" si="579"/>
        <v>0.253125</v>
      </c>
      <c r="U1895" s="83">
        <f t="shared" si="579"/>
        <v>0.2125</v>
      </c>
      <c r="W1895" s="146">
        <v>45147</v>
      </c>
      <c r="X1895" s="147">
        <v>4.17</v>
      </c>
      <c r="Y1895" s="147">
        <v>3.93</v>
      </c>
      <c r="Z1895" s="147">
        <v>4.05</v>
      </c>
      <c r="AA1895" s="59" cm="1">
        <f t="array" ref="AA1895">INDEX($BX$29:$BX$1449,MATCH($D1895,$BR$29:$BR$1449,0),)</f>
        <v>3.4</v>
      </c>
      <c r="AB1895" s="150">
        <f t="shared" si="573"/>
        <v>-0.000740192450037092</v>
      </c>
      <c r="AC1895" s="150">
        <f t="shared" si="575"/>
        <v>0</v>
      </c>
      <c r="AD1895" s="150">
        <f t="shared" si="578"/>
        <v>0.00197921820880742</v>
      </c>
      <c r="AE1895" s="89">
        <f t="shared" si="574"/>
        <v>0.191176470588235</v>
      </c>
      <c r="AF1895" s="36"/>
      <c r="GF1895" s="104">
        <f t="shared" si="563"/>
        <v>2020</v>
      </c>
      <c r="GG1895" s="104">
        <f t="shared" si="564"/>
        <v>26</v>
      </c>
      <c r="GH1895" s="35">
        <v>44004</v>
      </c>
      <c r="GI1895" s="26">
        <v>1.531</v>
      </c>
      <c r="GJ1895" s="94">
        <f t="shared" si="565"/>
        <v>3.062</v>
      </c>
      <c r="GK1895" s="104"/>
      <c r="GL1895" s="104"/>
    </row>
    <row r="1896" spans="3:194">
      <c r="C1896" s="80" t="str" cm="1">
        <f t="array" ref="C1896">_xlfn.IFS(MONTH(D1896)&lt;4,1,MONTH(D1896)&lt;7,2,MONTH(D1896)&lt;10,3,MONTH(D1896)&gt;9,4)&amp;"Q"&amp;RIGHT(YEAR(D1896),2)</f>
        <v>3Q23</v>
      </c>
      <c r="D1896" s="81">
        <f t="shared" si="577"/>
        <v>45169</v>
      </c>
      <c r="E1896" s="82">
        <f t="shared" si="570"/>
        <v>45148</v>
      </c>
      <c r="F1896" s="83">
        <f t="shared" si="576"/>
        <v>0.180375</v>
      </c>
      <c r="G1896" s="83">
        <f t="shared" si="576"/>
        <v>0.1625</v>
      </c>
      <c r="H1896" s="81"/>
      <c r="I1896" s="146">
        <v>45148</v>
      </c>
      <c r="J1896" s="147">
        <v>1.59</v>
      </c>
      <c r="K1896" s="147">
        <v>1.34</v>
      </c>
      <c r="L1896" s="147">
        <v>1.443</v>
      </c>
      <c r="M1896" s="59" cm="1">
        <f t="array" ref="M1896">INDEX($BV$29:$BV$1449,MATCH($D1896,$BR$29:$BR$1449,0),)</f>
        <v>1.3</v>
      </c>
      <c r="N1896" s="150">
        <f t="shared" si="561"/>
        <v>0</v>
      </c>
      <c r="O1896" s="150">
        <f t="shared" si="562"/>
        <v>-0.00414078674948237</v>
      </c>
      <c r="P1896" s="150">
        <f t="shared" si="569"/>
        <v>-0.0150170648464164</v>
      </c>
      <c r="Q1896" s="89">
        <f t="shared" si="571"/>
        <v>0.11</v>
      </c>
      <c r="S1896" s="82">
        <f t="shared" si="572"/>
        <v>45148</v>
      </c>
      <c r="T1896" s="83">
        <f t="shared" si="579"/>
        <v>0.2529375</v>
      </c>
      <c r="U1896" s="83">
        <f t="shared" si="579"/>
        <v>0.2125</v>
      </c>
      <c r="W1896" s="146">
        <v>45148</v>
      </c>
      <c r="X1896" s="147">
        <v>4.17</v>
      </c>
      <c r="Y1896" s="147">
        <v>3.93</v>
      </c>
      <c r="Z1896" s="147">
        <v>4.047</v>
      </c>
      <c r="AA1896" s="59" cm="1">
        <f t="array" ref="AA1896">INDEX($BX$29:$BX$1449,MATCH($D1896,$BR$29:$BR$1449,0),)</f>
        <v>3.4</v>
      </c>
      <c r="AB1896" s="150">
        <f t="shared" si="573"/>
        <v>-0.00074074074074082</v>
      </c>
      <c r="AC1896" s="150">
        <f t="shared" si="575"/>
        <v>-0.000247035573122667</v>
      </c>
      <c r="AD1896" s="150">
        <f t="shared" si="578"/>
        <v>0.00123701138050469</v>
      </c>
      <c r="AE1896" s="89">
        <f t="shared" si="574"/>
        <v>0.190294117647059</v>
      </c>
      <c r="AF1896" s="36"/>
      <c r="GF1896" s="104">
        <f t="shared" si="563"/>
        <v>2020</v>
      </c>
      <c r="GG1896" s="104">
        <f t="shared" si="564"/>
        <v>26</v>
      </c>
      <c r="GH1896" s="35">
        <v>44005</v>
      </c>
      <c r="GI1896" s="26">
        <v>1.528</v>
      </c>
      <c r="GJ1896" s="94">
        <f t="shared" si="565"/>
        <v>3.056</v>
      </c>
      <c r="GK1896" s="104"/>
      <c r="GL1896" s="104"/>
    </row>
    <row r="1897" spans="3:194">
      <c r="C1897" s="80" t="str" cm="1">
        <f t="array" ref="C1897">_xlfn.IFS(MONTH(D1897)&lt;4,1,MONTH(D1897)&lt;7,2,MONTH(D1897)&lt;10,3,MONTH(D1897)&gt;9,4)&amp;"Q"&amp;RIGHT(YEAR(D1897),2)</f>
        <v>3Q23</v>
      </c>
      <c r="D1897" s="81">
        <f t="shared" si="577"/>
        <v>45169</v>
      </c>
      <c r="E1897" s="82">
        <f t="shared" si="570"/>
        <v>45149</v>
      </c>
      <c r="F1897" s="83">
        <f t="shared" si="576"/>
        <v>0.180375</v>
      </c>
      <c r="G1897" s="83">
        <f t="shared" si="576"/>
        <v>0.1625</v>
      </c>
      <c r="H1897" s="81"/>
      <c r="I1897" s="146">
        <v>45149</v>
      </c>
      <c r="J1897" s="147">
        <v>1.59</v>
      </c>
      <c r="K1897" s="147">
        <v>1.34</v>
      </c>
      <c r="L1897" s="147">
        <v>1.443</v>
      </c>
      <c r="M1897" s="59" cm="1">
        <f t="array" ref="M1897">INDEX($BV$29:$BV$1449,MATCH($D1897,$BR$29:$BR$1449,0),)</f>
        <v>1.3</v>
      </c>
      <c r="N1897" s="150">
        <f t="shared" si="561"/>
        <v>0</v>
      </c>
      <c r="O1897" s="150">
        <f t="shared" si="562"/>
        <v>-0.00276434001382175</v>
      </c>
      <c r="P1897" s="150">
        <f t="shared" si="569"/>
        <v>-0.0116438356164383</v>
      </c>
      <c r="Q1897" s="89">
        <f t="shared" si="571"/>
        <v>0.11</v>
      </c>
      <c r="S1897" s="82">
        <f t="shared" si="572"/>
        <v>45149</v>
      </c>
      <c r="T1897" s="83">
        <f t="shared" si="579"/>
        <v>0.2491875</v>
      </c>
      <c r="U1897" s="83">
        <f t="shared" si="579"/>
        <v>0.2125</v>
      </c>
      <c r="W1897" s="146">
        <v>45149</v>
      </c>
      <c r="X1897" s="147">
        <v>4.15</v>
      </c>
      <c r="Y1897" s="147">
        <v>3.88</v>
      </c>
      <c r="Z1897" s="147">
        <v>3.987</v>
      </c>
      <c r="AA1897" s="59" cm="1">
        <f t="array" ref="AA1897">INDEX($BX$29:$BX$1449,MATCH($D1897,$BR$29:$BR$1449,0),)</f>
        <v>3.4</v>
      </c>
      <c r="AB1897" s="150">
        <f t="shared" si="573"/>
        <v>-0.0148257968865826</v>
      </c>
      <c r="AC1897" s="150">
        <f t="shared" si="575"/>
        <v>-0.0174963035978314</v>
      </c>
      <c r="AD1897" s="150">
        <f t="shared" si="578"/>
        <v>-0.0136071251855516</v>
      </c>
      <c r="AE1897" s="89">
        <f t="shared" si="574"/>
        <v>0.172647058823529</v>
      </c>
      <c r="AF1897" s="36"/>
      <c r="GF1897" s="104">
        <f t="shared" si="563"/>
        <v>2020</v>
      </c>
      <c r="GG1897" s="104">
        <f t="shared" si="564"/>
        <v>26</v>
      </c>
      <c r="GH1897" s="35">
        <v>44006</v>
      </c>
      <c r="GI1897" s="26">
        <v>1.523</v>
      </c>
      <c r="GJ1897" s="94">
        <f t="shared" si="565"/>
        <v>3.046</v>
      </c>
      <c r="GK1897" s="104"/>
      <c r="GL1897" s="104"/>
    </row>
    <row r="1898" spans="3:194">
      <c r="C1898" s="80" t="str" cm="1">
        <f t="array" ref="C1898">_xlfn.IFS(MONTH(D1898)&lt;4,1,MONTH(D1898)&lt;7,2,MONTH(D1898)&lt;10,3,MONTH(D1898)&gt;9,4)&amp;"Q"&amp;RIGHT(YEAR(D1898),2)</f>
        <v>3Q23</v>
      </c>
      <c r="D1898" s="81">
        <f t="shared" si="577"/>
        <v>45169</v>
      </c>
      <c r="E1898" s="82">
        <f t="shared" si="570"/>
        <v>45152</v>
      </c>
      <c r="F1898" s="83">
        <f t="shared" ref="F1898:G1913" si="580">+L1898/8</f>
        <v>0.180375</v>
      </c>
      <c r="G1898" s="83">
        <f t="shared" si="580"/>
        <v>0.1625</v>
      </c>
      <c r="H1898" s="81"/>
      <c r="I1898" s="146">
        <v>45152</v>
      </c>
      <c r="J1898" s="147">
        <v>1.6</v>
      </c>
      <c r="K1898" s="147">
        <v>1.33</v>
      </c>
      <c r="L1898" s="147">
        <v>1.443</v>
      </c>
      <c r="M1898" s="59" cm="1">
        <f t="array" ref="M1898">INDEX($BV$29:$BV$1449,MATCH($D1898,$BR$29:$BR$1449,0),)</f>
        <v>1.3</v>
      </c>
      <c r="N1898" s="150">
        <f t="shared" si="561"/>
        <v>0</v>
      </c>
      <c r="O1898" s="150">
        <f t="shared" si="562"/>
        <v>-0.00138408304498272</v>
      </c>
      <c r="P1898" s="150">
        <f t="shared" si="569"/>
        <v>-0.0116438356164383</v>
      </c>
      <c r="Q1898" s="89">
        <f t="shared" si="571"/>
        <v>0.11</v>
      </c>
      <c r="S1898" s="82">
        <f t="shared" si="572"/>
        <v>45152</v>
      </c>
      <c r="T1898" s="83">
        <f t="shared" si="579"/>
        <v>0.2473125</v>
      </c>
      <c r="U1898" s="83">
        <f t="shared" si="579"/>
        <v>0.2125</v>
      </c>
      <c r="W1898" s="146">
        <v>45152</v>
      </c>
      <c r="X1898" s="147">
        <v>4.13</v>
      </c>
      <c r="Y1898" s="147">
        <v>3.85</v>
      </c>
      <c r="Z1898" s="147">
        <v>3.957</v>
      </c>
      <c r="AA1898" s="59" cm="1">
        <f t="array" ref="AA1898">INDEX($BX$29:$BX$1449,MATCH($D1898,$BR$29:$BR$1449,0),)</f>
        <v>3.4</v>
      </c>
      <c r="AB1898" s="150">
        <f t="shared" si="573"/>
        <v>-0.00752445447705052</v>
      </c>
      <c r="AC1898" s="150">
        <f t="shared" si="575"/>
        <v>-0.0241676942046856</v>
      </c>
      <c r="AD1898" s="150">
        <f t="shared" si="578"/>
        <v>-0.0205445544554456</v>
      </c>
      <c r="AE1898" s="89">
        <f t="shared" si="574"/>
        <v>0.163823529411765</v>
      </c>
      <c r="AF1898" s="36"/>
      <c r="GF1898" s="104">
        <f t="shared" si="563"/>
        <v>2020</v>
      </c>
      <c r="GG1898" s="104">
        <f t="shared" si="564"/>
        <v>27</v>
      </c>
      <c r="GH1898" s="35">
        <v>44011</v>
      </c>
      <c r="GI1898" s="26">
        <v>1.522</v>
      </c>
      <c r="GJ1898" s="94">
        <f t="shared" si="565"/>
        <v>3.044</v>
      </c>
      <c r="GK1898" s="104"/>
      <c r="GL1898" s="104"/>
    </row>
    <row r="1899" spans="3:194">
      <c r="C1899" s="80" t="str" cm="1">
        <f t="array" ref="C1899">_xlfn.IFS(MONTH(D1899)&lt;4,1,MONTH(D1899)&lt;7,2,MONTH(D1899)&lt;10,3,MONTH(D1899)&gt;9,4)&amp;"Q"&amp;RIGHT(YEAR(D1899),2)</f>
        <v>3Q23</v>
      </c>
      <c r="D1899" s="81">
        <f t="shared" si="577"/>
        <v>45169</v>
      </c>
      <c r="E1899" s="82">
        <f t="shared" si="570"/>
        <v>45153</v>
      </c>
      <c r="F1899" s="83">
        <f t="shared" si="580"/>
        <v>0.17975</v>
      </c>
      <c r="G1899" s="83">
        <f t="shared" si="580"/>
        <v>0.1625</v>
      </c>
      <c r="H1899" s="81"/>
      <c r="I1899" s="146">
        <v>45153</v>
      </c>
      <c r="J1899" s="147">
        <v>1.58</v>
      </c>
      <c r="K1899" s="147">
        <v>1.33</v>
      </c>
      <c r="L1899" s="147">
        <v>1.438</v>
      </c>
      <c r="M1899" s="59" cm="1">
        <f t="array" ref="M1899">INDEX($BV$29:$BV$1449,MATCH($D1899,$BR$29:$BR$1449,0),)</f>
        <v>1.3</v>
      </c>
      <c r="N1899" s="150">
        <f t="shared" si="561"/>
        <v>-0.00346500346500356</v>
      </c>
      <c r="O1899" s="150">
        <f t="shared" si="562"/>
        <v>-0.00415512465373957</v>
      </c>
      <c r="P1899" s="150">
        <f t="shared" si="569"/>
        <v>-0.0123626373626373</v>
      </c>
      <c r="Q1899" s="89">
        <f t="shared" si="571"/>
        <v>0.106153846153846</v>
      </c>
      <c r="S1899" s="82">
        <f t="shared" si="572"/>
        <v>45153</v>
      </c>
      <c r="T1899" s="83">
        <f t="shared" si="579"/>
        <v>0.2458125</v>
      </c>
      <c r="U1899" s="83">
        <f t="shared" si="579"/>
        <v>0.2125</v>
      </c>
      <c r="W1899" s="146">
        <v>45153</v>
      </c>
      <c r="X1899" s="147">
        <v>4.1</v>
      </c>
      <c r="Y1899" s="147">
        <v>3.8</v>
      </c>
      <c r="Z1899" s="147">
        <v>3.933</v>
      </c>
      <c r="AA1899" s="59" cm="1">
        <f t="array" ref="AA1899">INDEX($BX$29:$BX$1449,MATCH($D1899,$BR$29:$BR$1449,0),)</f>
        <v>3.4</v>
      </c>
      <c r="AB1899" s="150">
        <f t="shared" si="573"/>
        <v>-0.00606520090978013</v>
      </c>
      <c r="AC1899" s="150">
        <f t="shared" si="575"/>
        <v>-0.0296076980014804</v>
      </c>
      <c r="AD1899" s="150">
        <f t="shared" si="578"/>
        <v>-0.0288888888888889</v>
      </c>
      <c r="AE1899" s="89">
        <f t="shared" si="574"/>
        <v>0.156764705882353</v>
      </c>
      <c r="AF1899" s="36"/>
      <c r="GF1899" s="104">
        <f t="shared" si="563"/>
        <v>2020</v>
      </c>
      <c r="GG1899" s="104">
        <f t="shared" si="564"/>
        <v>27</v>
      </c>
      <c r="GH1899" s="35">
        <v>44012</v>
      </c>
      <c r="GI1899" s="26">
        <v>1.513</v>
      </c>
      <c r="GJ1899" s="94">
        <f t="shared" si="565"/>
        <v>3.026</v>
      </c>
      <c r="GK1899" s="104"/>
      <c r="GL1899" s="104"/>
    </row>
    <row r="1900" spans="3:194">
      <c r="C1900" s="80" t="str" cm="1">
        <f t="array" ref="C1900">_xlfn.IFS(MONTH(D1900)&lt;4,1,MONTH(D1900)&lt;7,2,MONTH(D1900)&lt;10,3,MONTH(D1900)&gt;9,4)&amp;"Q"&amp;RIGHT(YEAR(D1900),2)</f>
        <v>3Q23</v>
      </c>
      <c r="D1900" s="81">
        <f t="shared" si="577"/>
        <v>45169</v>
      </c>
      <c r="E1900" s="82">
        <f t="shared" si="570"/>
        <v>45154</v>
      </c>
      <c r="F1900" s="83">
        <f t="shared" si="580"/>
        <v>0.179375</v>
      </c>
      <c r="G1900" s="83">
        <f t="shared" si="580"/>
        <v>0.1625</v>
      </c>
      <c r="H1900" s="81"/>
      <c r="I1900" s="146">
        <v>45154</v>
      </c>
      <c r="J1900" s="147">
        <v>1.57</v>
      </c>
      <c r="K1900" s="147">
        <v>1.33</v>
      </c>
      <c r="L1900" s="147">
        <v>1.435</v>
      </c>
      <c r="M1900" s="59" cm="1">
        <f t="array" ref="M1900">INDEX($BV$29:$BV$1449,MATCH($D1900,$BR$29:$BR$1449,0),)</f>
        <v>1.3</v>
      </c>
      <c r="N1900" s="150">
        <f t="shared" ref="N1900:N1963" si="581">L1900/L1899-1</f>
        <v>-0.00208623087621684</v>
      </c>
      <c r="O1900" s="150">
        <f t="shared" ref="O1900:O1963" si="582">L1900/L1895-1</f>
        <v>-0.00554400554400558</v>
      </c>
      <c r="P1900" s="150">
        <f t="shared" si="569"/>
        <v>-0.0117079889807162</v>
      </c>
      <c r="Q1900" s="89">
        <f t="shared" si="571"/>
        <v>0.103846153846154</v>
      </c>
      <c r="S1900" s="82">
        <f t="shared" si="572"/>
        <v>45154</v>
      </c>
      <c r="T1900" s="83">
        <f t="shared" si="579"/>
        <v>0.2445625</v>
      </c>
      <c r="U1900" s="83">
        <f t="shared" si="579"/>
        <v>0.2125</v>
      </c>
      <c r="W1900" s="146">
        <v>45154</v>
      </c>
      <c r="X1900" s="147">
        <v>4.1</v>
      </c>
      <c r="Y1900" s="147">
        <v>3.75</v>
      </c>
      <c r="Z1900" s="147">
        <v>3.913</v>
      </c>
      <c r="AA1900" s="59" cm="1">
        <f t="array" ref="AA1900">INDEX($BX$29:$BX$1449,MATCH($D1900,$BR$29:$BR$1449,0),)</f>
        <v>3.4</v>
      </c>
      <c r="AB1900" s="150">
        <f t="shared" si="573"/>
        <v>-0.00508517670989073</v>
      </c>
      <c r="AC1900" s="150">
        <f t="shared" si="575"/>
        <v>-0.0338271604938272</v>
      </c>
      <c r="AD1900" s="150">
        <f t="shared" si="578"/>
        <v>-0.0338271604938272</v>
      </c>
      <c r="AE1900" s="89">
        <f t="shared" si="574"/>
        <v>0.150882352941176</v>
      </c>
      <c r="AF1900" s="36"/>
      <c r="GF1900" s="104">
        <f t="shared" si="563"/>
        <v>2020</v>
      </c>
      <c r="GG1900" s="104">
        <f t="shared" si="564"/>
        <v>27</v>
      </c>
      <c r="GH1900" s="35">
        <v>44013</v>
      </c>
      <c r="GI1900" s="26">
        <v>1.505</v>
      </c>
      <c r="GJ1900" s="94">
        <f t="shared" si="565"/>
        <v>3.01</v>
      </c>
      <c r="GK1900" s="104"/>
      <c r="GL1900" s="104"/>
    </row>
    <row r="1901" spans="3:194">
      <c r="C1901" s="80" t="str" cm="1">
        <f t="array" ref="C1901">_xlfn.IFS(MONTH(D1901)&lt;4,1,MONTH(D1901)&lt;7,2,MONTH(D1901)&lt;10,3,MONTH(D1901)&gt;9,4)&amp;"Q"&amp;RIGHT(YEAR(D1901),2)</f>
        <v>3Q23</v>
      </c>
      <c r="D1901" s="81">
        <f t="shared" si="577"/>
        <v>45169</v>
      </c>
      <c r="E1901" s="82">
        <f t="shared" si="570"/>
        <v>45155</v>
      </c>
      <c r="F1901" s="83">
        <f t="shared" si="580"/>
        <v>0.17875</v>
      </c>
      <c r="G1901" s="83">
        <f t="shared" si="580"/>
        <v>0.1625</v>
      </c>
      <c r="H1901" s="81"/>
      <c r="I1901" s="146">
        <v>45155</v>
      </c>
      <c r="J1901" s="147">
        <v>1.56</v>
      </c>
      <c r="K1901" s="147">
        <v>1.32</v>
      </c>
      <c r="L1901" s="147">
        <v>1.43</v>
      </c>
      <c r="M1901" s="59" cm="1">
        <f t="array" ref="M1901">INDEX($BV$29:$BV$1449,MATCH($D1901,$BR$29:$BR$1449,0),)</f>
        <v>1.3</v>
      </c>
      <c r="N1901" s="150">
        <f t="shared" si="581"/>
        <v>-0.00348432055749137</v>
      </c>
      <c r="O1901" s="150">
        <f t="shared" si="582"/>
        <v>-0.00900900900900914</v>
      </c>
      <c r="P1901" s="150">
        <f t="shared" si="569"/>
        <v>-0.013112491373361</v>
      </c>
      <c r="Q1901" s="89">
        <f t="shared" si="571"/>
        <v>0.0999999999999999</v>
      </c>
      <c r="S1901" s="82">
        <f t="shared" si="572"/>
        <v>45155</v>
      </c>
      <c r="T1901" s="83">
        <f t="shared" si="579"/>
        <v>0.2439375</v>
      </c>
      <c r="U1901" s="83">
        <f t="shared" si="579"/>
        <v>0.2125</v>
      </c>
      <c r="W1901" s="146">
        <v>45155</v>
      </c>
      <c r="X1901" s="147">
        <v>4.1</v>
      </c>
      <c r="Y1901" s="147">
        <v>3.7</v>
      </c>
      <c r="Z1901" s="147">
        <v>3.903</v>
      </c>
      <c r="AA1901" s="59" cm="1">
        <f t="array" ref="AA1901">INDEX($BX$29:$BX$1449,MATCH($D1901,$BR$29:$BR$1449,0),)</f>
        <v>3.4</v>
      </c>
      <c r="AB1901" s="150">
        <f t="shared" si="573"/>
        <v>-0.00255558395093269</v>
      </c>
      <c r="AC1901" s="150">
        <f t="shared" si="575"/>
        <v>-0.0355819125277983</v>
      </c>
      <c r="AD1901" s="150">
        <f t="shared" si="578"/>
        <v>-0.0358201581027668</v>
      </c>
      <c r="AE1901" s="89">
        <f t="shared" si="574"/>
        <v>0.147941176470588</v>
      </c>
      <c r="AF1901" s="36"/>
      <c r="GF1901" s="104">
        <f t="shared" si="563"/>
        <v>2020</v>
      </c>
      <c r="GG1901" s="104">
        <f t="shared" si="564"/>
        <v>27</v>
      </c>
      <c r="GH1901" s="35">
        <v>44014</v>
      </c>
      <c r="GI1901" s="26">
        <v>1.503</v>
      </c>
      <c r="GJ1901" s="94">
        <f t="shared" si="565"/>
        <v>3.006</v>
      </c>
      <c r="GK1901" s="104"/>
      <c r="GL1901" s="104"/>
    </row>
    <row r="1902" spans="3:194">
      <c r="C1902" s="80" t="str" cm="1">
        <f t="array" ref="C1902">_xlfn.IFS(MONTH(D1902)&lt;4,1,MONTH(D1902)&lt;7,2,MONTH(D1902)&lt;10,3,MONTH(D1902)&gt;9,4)&amp;"Q"&amp;RIGHT(YEAR(D1902),2)</f>
        <v>3Q23</v>
      </c>
      <c r="D1902" s="81">
        <f t="shared" si="577"/>
        <v>45169</v>
      </c>
      <c r="E1902" s="82">
        <f t="shared" si="570"/>
        <v>45156</v>
      </c>
      <c r="F1902" s="83">
        <f t="shared" si="580"/>
        <v>0.1785</v>
      </c>
      <c r="G1902" s="83">
        <f t="shared" si="580"/>
        <v>0.1625</v>
      </c>
      <c r="H1902" s="81"/>
      <c r="I1902" s="146">
        <v>45156</v>
      </c>
      <c r="J1902" s="147">
        <v>1.56</v>
      </c>
      <c r="K1902" s="147">
        <v>1.32</v>
      </c>
      <c r="L1902" s="147">
        <v>1.428</v>
      </c>
      <c r="M1902" s="59" cm="1">
        <f t="array" ref="M1902">INDEX($BV$29:$BV$1449,MATCH($D1902,$BR$29:$BR$1449,0),)</f>
        <v>1.3</v>
      </c>
      <c r="N1902" s="150">
        <f t="shared" si="581"/>
        <v>-0.00139860139860137</v>
      </c>
      <c r="O1902" s="150">
        <f t="shared" si="582"/>
        <v>-0.0103950103950105</v>
      </c>
      <c r="P1902" s="150">
        <f t="shared" si="569"/>
        <v>-0.0131306150656532</v>
      </c>
      <c r="Q1902" s="89">
        <f t="shared" si="571"/>
        <v>0.0984615384615384</v>
      </c>
      <c r="S1902" s="82">
        <f t="shared" si="572"/>
        <v>45156</v>
      </c>
      <c r="T1902" s="83">
        <f t="shared" si="579"/>
        <v>0.2426875</v>
      </c>
      <c r="U1902" s="83">
        <f t="shared" si="579"/>
        <v>0.2125</v>
      </c>
      <c r="W1902" s="146">
        <v>45156</v>
      </c>
      <c r="X1902" s="147">
        <v>4.1</v>
      </c>
      <c r="Y1902" s="147">
        <v>3.65</v>
      </c>
      <c r="Z1902" s="147">
        <v>3.883</v>
      </c>
      <c r="AA1902" s="59" cm="1">
        <f t="array" ref="AA1902">INDEX($BX$29:$BX$1449,MATCH($D1902,$BR$29:$BR$1449,0),)</f>
        <v>3.4</v>
      </c>
      <c r="AB1902" s="150">
        <f t="shared" si="573"/>
        <v>-0.00512426338713812</v>
      </c>
      <c r="AC1902" s="150">
        <f t="shared" si="575"/>
        <v>-0.0260847755204414</v>
      </c>
      <c r="AD1902" s="150">
        <f t="shared" si="578"/>
        <v>-0.0431246919664859</v>
      </c>
      <c r="AE1902" s="89">
        <f t="shared" si="574"/>
        <v>0.142058823529412</v>
      </c>
      <c r="AF1902" s="36"/>
      <c r="GF1902" s="104">
        <f t="shared" si="563"/>
        <v>2020</v>
      </c>
      <c r="GG1902" s="104">
        <f t="shared" si="564"/>
        <v>27</v>
      </c>
      <c r="GH1902" s="35">
        <v>44015</v>
      </c>
      <c r="GI1902" s="26">
        <v>1.5</v>
      </c>
      <c r="GJ1902" s="94">
        <f t="shared" si="565"/>
        <v>3</v>
      </c>
      <c r="GK1902" s="104"/>
      <c r="GL1902" s="104"/>
    </row>
    <row r="1903" spans="3:194">
      <c r="C1903" s="80" t="str" cm="1">
        <f t="array" ref="C1903">_xlfn.IFS(MONTH(D1903)&lt;4,1,MONTH(D1903)&lt;7,2,MONTH(D1903)&lt;10,3,MONTH(D1903)&gt;9,4)&amp;"Q"&amp;RIGHT(YEAR(D1903),2)</f>
        <v>3Q23</v>
      </c>
      <c r="D1903" s="81">
        <f t="shared" si="577"/>
        <v>45169</v>
      </c>
      <c r="E1903" s="82">
        <f t="shared" si="570"/>
        <v>45159</v>
      </c>
      <c r="F1903" s="83">
        <f t="shared" si="580"/>
        <v>0.177875</v>
      </c>
      <c r="G1903" s="83">
        <f t="shared" si="580"/>
        <v>0.1625</v>
      </c>
      <c r="H1903" s="81"/>
      <c r="I1903" s="146">
        <v>45159</v>
      </c>
      <c r="J1903" s="147">
        <v>1.55</v>
      </c>
      <c r="K1903" s="147">
        <v>1.3</v>
      </c>
      <c r="L1903" s="147">
        <v>1.423</v>
      </c>
      <c r="M1903" s="59" cm="1">
        <f t="array" ref="M1903">INDEX($BV$29:$BV$1449,MATCH($D1903,$BR$29:$BR$1449,0),)</f>
        <v>1.3</v>
      </c>
      <c r="N1903" s="150">
        <f t="shared" si="581"/>
        <v>-0.00350140056022397</v>
      </c>
      <c r="O1903" s="150">
        <f t="shared" si="582"/>
        <v>-0.0138600138600139</v>
      </c>
      <c r="P1903" s="150">
        <f t="shared" si="569"/>
        <v>-0.0152249134948097</v>
      </c>
      <c r="Q1903" s="89">
        <f t="shared" si="571"/>
        <v>0.0946153846153845</v>
      </c>
      <c r="S1903" s="82">
        <f t="shared" si="572"/>
        <v>45159</v>
      </c>
      <c r="T1903" s="83">
        <f t="shared" si="579"/>
        <v>0.2425</v>
      </c>
      <c r="U1903" s="83">
        <f t="shared" si="579"/>
        <v>0.2125</v>
      </c>
      <c r="W1903" s="146">
        <v>45159</v>
      </c>
      <c r="X1903" s="147">
        <v>4.1</v>
      </c>
      <c r="Y1903" s="147">
        <v>3.62</v>
      </c>
      <c r="Z1903" s="147">
        <v>3.88</v>
      </c>
      <c r="AA1903" s="59" cm="1">
        <f t="array" ref="AA1903">INDEX($BX$29:$BX$1449,MATCH($D1903,$BR$29:$BR$1449,0),)</f>
        <v>3.4</v>
      </c>
      <c r="AB1903" s="150">
        <f t="shared" si="573"/>
        <v>-0.000772598506309619</v>
      </c>
      <c r="AC1903" s="150">
        <f t="shared" si="575"/>
        <v>-0.0194591862522112</v>
      </c>
      <c r="AD1903" s="150">
        <f t="shared" si="578"/>
        <v>-0.0431565967940813</v>
      </c>
      <c r="AE1903" s="89">
        <f t="shared" si="574"/>
        <v>0.141176470588235</v>
      </c>
      <c r="AF1903" s="36"/>
      <c r="GF1903" s="104">
        <f t="shared" si="563"/>
        <v>2020</v>
      </c>
      <c r="GG1903" s="104">
        <f t="shared" si="564"/>
        <v>28</v>
      </c>
      <c r="GH1903" s="35">
        <v>44018</v>
      </c>
      <c r="GI1903" s="26">
        <v>1.499</v>
      </c>
      <c r="GJ1903" s="94">
        <f t="shared" si="565"/>
        <v>2.998</v>
      </c>
      <c r="GK1903" s="104"/>
      <c r="GL1903" s="104"/>
    </row>
    <row r="1904" spans="3:194">
      <c r="C1904" s="80" t="str" cm="1">
        <f t="array" ref="C1904">_xlfn.IFS(MONTH(D1904)&lt;4,1,MONTH(D1904)&lt;7,2,MONTH(D1904)&lt;10,3,MONTH(D1904)&gt;9,4)&amp;"Q"&amp;RIGHT(YEAR(D1904),2)</f>
        <v>3Q23</v>
      </c>
      <c r="D1904" s="81">
        <f t="shared" si="577"/>
        <v>45169</v>
      </c>
      <c r="E1904" s="82">
        <f t="shared" si="570"/>
        <v>45160</v>
      </c>
      <c r="F1904" s="83">
        <f t="shared" si="580"/>
        <v>0.1775</v>
      </c>
      <c r="G1904" s="83">
        <f t="shared" si="580"/>
        <v>0.1625</v>
      </c>
      <c r="H1904" s="81"/>
      <c r="I1904" s="146">
        <v>45160</v>
      </c>
      <c r="J1904" s="147">
        <v>1.55</v>
      </c>
      <c r="K1904" s="147">
        <v>1.3</v>
      </c>
      <c r="L1904" s="147">
        <v>1.42</v>
      </c>
      <c r="M1904" s="59" cm="1">
        <f t="array" ref="M1904">INDEX($BV$29:$BV$1449,MATCH($D1904,$BR$29:$BR$1449,0),)</f>
        <v>1.3</v>
      </c>
      <c r="N1904" s="150">
        <f t="shared" si="581"/>
        <v>-0.00210822206605765</v>
      </c>
      <c r="O1904" s="150">
        <f t="shared" si="582"/>
        <v>-0.0125173852573018</v>
      </c>
      <c r="P1904" s="150">
        <f t="shared" si="569"/>
        <v>-0.0166204986149585</v>
      </c>
      <c r="Q1904" s="89">
        <f t="shared" si="571"/>
        <v>0.0923076923076922</v>
      </c>
      <c r="S1904" s="82">
        <f t="shared" si="572"/>
        <v>45160</v>
      </c>
      <c r="T1904" s="83">
        <f t="shared" ref="T1904:U1919" si="583">+Z1904/16</f>
        <v>0.244</v>
      </c>
      <c r="U1904" s="83">
        <f t="shared" si="583"/>
        <v>0.2125</v>
      </c>
      <c r="W1904" s="146">
        <v>45160</v>
      </c>
      <c r="X1904" s="147">
        <v>4.1</v>
      </c>
      <c r="Y1904" s="147">
        <v>3.62</v>
      </c>
      <c r="Z1904" s="147">
        <v>3.904</v>
      </c>
      <c r="AA1904" s="59" cm="1">
        <f t="array" ref="AA1904">INDEX($BX$29:$BX$1449,MATCH($D1904,$BR$29:$BR$1449,0),)</f>
        <v>3.4</v>
      </c>
      <c r="AB1904" s="150">
        <f t="shared" si="573"/>
        <v>0.00618556701030926</v>
      </c>
      <c r="AC1904" s="150">
        <f t="shared" si="575"/>
        <v>-0.00737350622934141</v>
      </c>
      <c r="AD1904" s="150">
        <f t="shared" si="578"/>
        <v>-0.0367628916851714</v>
      </c>
      <c r="AE1904" s="89">
        <f t="shared" si="574"/>
        <v>0.148235294117647</v>
      </c>
      <c r="AF1904" s="36"/>
      <c r="GF1904" s="104">
        <f t="shared" si="563"/>
        <v>2020</v>
      </c>
      <c r="GG1904" s="104">
        <f t="shared" si="564"/>
        <v>28</v>
      </c>
      <c r="GH1904" s="35">
        <v>44019</v>
      </c>
      <c r="GI1904" s="26">
        <v>1.496</v>
      </c>
      <c r="GJ1904" s="94">
        <f t="shared" si="565"/>
        <v>2.992</v>
      </c>
      <c r="GK1904" s="104"/>
      <c r="GL1904" s="104"/>
    </row>
    <row r="1905" spans="3:194">
      <c r="C1905" s="80" t="str" cm="1">
        <f t="array" ref="C1905">_xlfn.IFS(MONTH(D1905)&lt;4,1,MONTH(D1905)&lt;7,2,MONTH(D1905)&lt;10,3,MONTH(D1905)&gt;9,4)&amp;"Q"&amp;RIGHT(YEAR(D1905),2)</f>
        <v>3Q23</v>
      </c>
      <c r="D1905" s="81">
        <f t="shared" si="577"/>
        <v>45169</v>
      </c>
      <c r="E1905" s="82">
        <f t="shared" si="570"/>
        <v>45161</v>
      </c>
      <c r="F1905" s="83">
        <f t="shared" si="580"/>
        <v>0.176875</v>
      </c>
      <c r="G1905" s="83">
        <f t="shared" si="580"/>
        <v>0.1625</v>
      </c>
      <c r="H1905" s="81"/>
      <c r="I1905" s="146">
        <v>45161</v>
      </c>
      <c r="J1905" s="147">
        <v>1.55</v>
      </c>
      <c r="K1905" s="147">
        <v>1.3</v>
      </c>
      <c r="L1905" s="147">
        <v>1.415</v>
      </c>
      <c r="M1905" s="59" cm="1">
        <f t="array" ref="M1905">INDEX($BV$29:$BV$1449,MATCH($D1905,$BR$29:$BR$1449,0),)</f>
        <v>1.3</v>
      </c>
      <c r="N1905" s="150">
        <f t="shared" si="581"/>
        <v>-0.00352112676056326</v>
      </c>
      <c r="O1905" s="150">
        <f t="shared" si="582"/>
        <v>-0.0139372822299652</v>
      </c>
      <c r="P1905" s="150">
        <f t="shared" si="569"/>
        <v>-0.0194040194040194</v>
      </c>
      <c r="Q1905" s="89">
        <f t="shared" si="571"/>
        <v>0.0884615384615384</v>
      </c>
      <c r="S1905" s="82">
        <f t="shared" si="572"/>
        <v>45161</v>
      </c>
      <c r="T1905" s="83">
        <f t="shared" si="583"/>
        <v>0.2441875</v>
      </c>
      <c r="U1905" s="83">
        <f t="shared" si="583"/>
        <v>0.2125</v>
      </c>
      <c r="W1905" s="146">
        <v>45161</v>
      </c>
      <c r="X1905" s="147">
        <v>4.1</v>
      </c>
      <c r="Y1905" s="147">
        <v>3.62</v>
      </c>
      <c r="Z1905" s="147">
        <v>3.907</v>
      </c>
      <c r="AA1905" s="59" cm="1">
        <f t="array" ref="AA1905">INDEX($BX$29:$BX$1449,MATCH($D1905,$BR$29:$BR$1449,0),)</f>
        <v>3.4</v>
      </c>
      <c r="AB1905" s="150">
        <f t="shared" si="573"/>
        <v>0.000768442622950838</v>
      </c>
      <c r="AC1905" s="150">
        <f t="shared" si="575"/>
        <v>-0.00153335037055957</v>
      </c>
      <c r="AD1905" s="150">
        <f t="shared" si="578"/>
        <v>-0.0353086419753086</v>
      </c>
      <c r="AE1905" s="89">
        <f t="shared" si="574"/>
        <v>0.149117647058824</v>
      </c>
      <c r="AF1905" s="36"/>
      <c r="GF1905" s="104">
        <f t="shared" si="563"/>
        <v>2020</v>
      </c>
      <c r="GG1905" s="104">
        <f t="shared" si="564"/>
        <v>28</v>
      </c>
      <c r="GH1905" s="35">
        <v>44020</v>
      </c>
      <c r="GI1905" s="26">
        <v>1.493</v>
      </c>
      <c r="GJ1905" s="94">
        <f t="shared" si="565"/>
        <v>2.986</v>
      </c>
      <c r="GK1905" s="104"/>
      <c r="GL1905" s="104"/>
    </row>
    <row r="1906" spans="3:194">
      <c r="C1906" s="80" t="str" cm="1">
        <f t="array" ref="C1906">_xlfn.IFS(MONTH(D1906)&lt;4,1,MONTH(D1906)&lt;7,2,MONTH(D1906)&lt;10,3,MONTH(D1906)&gt;9,4)&amp;"Q"&amp;RIGHT(YEAR(D1906),2)</f>
        <v>3Q23</v>
      </c>
      <c r="D1906" s="81">
        <f t="shared" si="577"/>
        <v>45169</v>
      </c>
      <c r="E1906" s="82">
        <f t="shared" si="570"/>
        <v>45162</v>
      </c>
      <c r="F1906" s="83">
        <f t="shared" si="580"/>
        <v>0.176625</v>
      </c>
      <c r="G1906" s="83">
        <f t="shared" si="580"/>
        <v>0.1625</v>
      </c>
      <c r="H1906" s="81"/>
      <c r="I1906" s="146">
        <v>45162</v>
      </c>
      <c r="J1906" s="147">
        <v>1.55</v>
      </c>
      <c r="K1906" s="147">
        <v>1.31</v>
      </c>
      <c r="L1906" s="147">
        <v>1.413</v>
      </c>
      <c r="M1906" s="59" cm="1">
        <f t="array" ref="M1906">INDEX($BV$29:$BV$1449,MATCH($D1906,$BR$29:$BR$1449,0),)</f>
        <v>1.3</v>
      </c>
      <c r="N1906" s="150">
        <f t="shared" si="581"/>
        <v>-0.00141342756183749</v>
      </c>
      <c r="O1906" s="150">
        <f t="shared" si="582"/>
        <v>-0.0118881118881118</v>
      </c>
      <c r="P1906" s="150">
        <f t="shared" si="569"/>
        <v>-0.0207900207900208</v>
      </c>
      <c r="Q1906" s="89">
        <f t="shared" si="571"/>
        <v>0.0869230769230769</v>
      </c>
      <c r="S1906" s="82">
        <f t="shared" si="572"/>
        <v>45162</v>
      </c>
      <c r="T1906" s="83">
        <f t="shared" si="583"/>
        <v>0.2441875</v>
      </c>
      <c r="U1906" s="83">
        <f t="shared" si="583"/>
        <v>0.2125</v>
      </c>
      <c r="W1906" s="146">
        <v>45162</v>
      </c>
      <c r="X1906" s="147">
        <v>4.08</v>
      </c>
      <c r="Y1906" s="147">
        <v>3.61</v>
      </c>
      <c r="Z1906" s="147">
        <v>3.907</v>
      </c>
      <c r="AA1906" s="59" cm="1">
        <f t="array" ref="AA1906">INDEX($BX$29:$BX$1449,MATCH($D1906,$BR$29:$BR$1449,0),)</f>
        <v>3.4</v>
      </c>
      <c r="AB1906" s="150">
        <f t="shared" si="573"/>
        <v>0</v>
      </c>
      <c r="AC1906" s="150">
        <f t="shared" si="575"/>
        <v>0.00102485267742769</v>
      </c>
      <c r="AD1906" s="150">
        <f t="shared" si="578"/>
        <v>-0.0345935260686928</v>
      </c>
      <c r="AE1906" s="89">
        <f t="shared" si="574"/>
        <v>0.149117647058824</v>
      </c>
      <c r="AF1906" s="36"/>
      <c r="GF1906" s="104">
        <f t="shared" si="563"/>
        <v>2020</v>
      </c>
      <c r="GG1906" s="104">
        <f t="shared" si="564"/>
        <v>28</v>
      </c>
      <c r="GH1906" s="35">
        <v>44021</v>
      </c>
      <c r="GI1906" s="26">
        <v>1.492</v>
      </c>
      <c r="GJ1906" s="94">
        <f t="shared" si="565"/>
        <v>2.984</v>
      </c>
      <c r="GK1906" s="104"/>
      <c r="GL1906" s="104"/>
    </row>
    <row r="1907" spans="3:194">
      <c r="C1907" s="80" t="str" cm="1">
        <f t="array" ref="C1907">_xlfn.IFS(MONTH(D1907)&lt;4,1,MONTH(D1907)&lt;7,2,MONTH(D1907)&lt;10,3,MONTH(D1907)&gt;9,4)&amp;"Q"&amp;RIGHT(YEAR(D1907),2)</f>
        <v>3Q23</v>
      </c>
      <c r="D1907" s="81">
        <f t="shared" si="577"/>
        <v>45169</v>
      </c>
      <c r="E1907" s="82">
        <f t="shared" si="570"/>
        <v>45163</v>
      </c>
      <c r="F1907" s="83">
        <f t="shared" si="580"/>
        <v>0.176125</v>
      </c>
      <c r="G1907" s="83">
        <f t="shared" si="580"/>
        <v>0.1625</v>
      </c>
      <c r="H1907" s="81"/>
      <c r="I1907" s="146">
        <v>45163</v>
      </c>
      <c r="J1907" s="147">
        <v>1.55</v>
      </c>
      <c r="K1907" s="147">
        <v>1.31</v>
      </c>
      <c r="L1907" s="147">
        <v>1.409</v>
      </c>
      <c r="M1907" s="59" cm="1">
        <f t="array" ref="M1907">INDEX($BV$29:$BV$1449,MATCH($D1907,$BR$29:$BR$1449,0),)</f>
        <v>1.3</v>
      </c>
      <c r="N1907" s="150">
        <f t="shared" si="581"/>
        <v>-0.00283085633404101</v>
      </c>
      <c r="O1907" s="150">
        <f t="shared" si="582"/>
        <v>-0.0133053221288515</v>
      </c>
      <c r="P1907" s="150">
        <f t="shared" si="569"/>
        <v>-0.0235620235620236</v>
      </c>
      <c r="Q1907" s="89">
        <f t="shared" si="571"/>
        <v>0.0838461538461539</v>
      </c>
      <c r="S1907" s="82">
        <f t="shared" si="572"/>
        <v>45163</v>
      </c>
      <c r="T1907" s="83">
        <f t="shared" si="583"/>
        <v>0.244625</v>
      </c>
      <c r="U1907" s="83">
        <f t="shared" si="583"/>
        <v>0.2125</v>
      </c>
      <c r="W1907" s="146">
        <v>45163</v>
      </c>
      <c r="X1907" s="147">
        <v>4.1</v>
      </c>
      <c r="Y1907" s="147">
        <v>3.61</v>
      </c>
      <c r="Z1907" s="147">
        <v>3.914</v>
      </c>
      <c r="AA1907" s="59" cm="1">
        <f t="array" ref="AA1907">INDEX($BX$29:$BX$1449,MATCH($D1907,$BR$29:$BR$1449,0),)</f>
        <v>3.4</v>
      </c>
      <c r="AB1907" s="150">
        <f t="shared" si="573"/>
        <v>0.00179165600204767</v>
      </c>
      <c r="AC1907" s="150">
        <f t="shared" si="575"/>
        <v>0.00798351789853213</v>
      </c>
      <c r="AD1907" s="150">
        <f t="shared" si="578"/>
        <v>-0.018309505894156</v>
      </c>
      <c r="AE1907" s="89">
        <f t="shared" si="574"/>
        <v>0.151176470588235</v>
      </c>
      <c r="AF1907" s="36"/>
      <c r="GF1907" s="104">
        <f t="shared" si="563"/>
        <v>2020</v>
      </c>
      <c r="GG1907" s="104">
        <f t="shared" si="564"/>
        <v>28</v>
      </c>
      <c r="GH1907" s="35">
        <v>44022</v>
      </c>
      <c r="GI1907" s="26">
        <v>1.49</v>
      </c>
      <c r="GJ1907" s="94">
        <f t="shared" si="565"/>
        <v>2.98</v>
      </c>
      <c r="GK1907" s="104"/>
      <c r="GL1907" s="104"/>
    </row>
    <row r="1908" spans="3:194">
      <c r="C1908" s="80" t="str" cm="1">
        <f t="array" ref="C1908">_xlfn.IFS(MONTH(D1908)&lt;4,1,MONTH(D1908)&lt;7,2,MONTH(D1908)&lt;10,3,MONTH(D1908)&gt;9,4)&amp;"Q"&amp;RIGHT(YEAR(D1908),2)</f>
        <v>3Q23</v>
      </c>
      <c r="D1908" s="81">
        <f t="shared" si="577"/>
        <v>45169</v>
      </c>
      <c r="E1908" s="82">
        <f t="shared" si="570"/>
        <v>45166</v>
      </c>
      <c r="F1908" s="83">
        <f t="shared" si="580"/>
        <v>0.176</v>
      </c>
      <c r="G1908" s="83">
        <f t="shared" si="580"/>
        <v>0.1625</v>
      </c>
      <c r="H1908" s="81"/>
      <c r="I1908" s="146">
        <v>45166</v>
      </c>
      <c r="J1908" s="147">
        <v>1.56</v>
      </c>
      <c r="K1908" s="147">
        <v>1.3</v>
      </c>
      <c r="L1908" s="147">
        <v>1.408</v>
      </c>
      <c r="M1908" s="59" cm="1">
        <f t="array" ref="M1908">INDEX($BV$29:$BV$1449,MATCH($D1908,$BR$29:$BR$1449,0),)</f>
        <v>1.3</v>
      </c>
      <c r="N1908" s="150">
        <f t="shared" si="581"/>
        <v>-0.000709723207948931</v>
      </c>
      <c r="O1908" s="150">
        <f t="shared" si="582"/>
        <v>-0.0105411103302883</v>
      </c>
      <c r="P1908" s="150">
        <f t="shared" si="569"/>
        <v>-0.0242550242550243</v>
      </c>
      <c r="Q1908" s="89">
        <f t="shared" si="571"/>
        <v>0.083076923076923</v>
      </c>
      <c r="S1908" s="82">
        <f t="shared" si="572"/>
        <v>45166</v>
      </c>
      <c r="T1908" s="83">
        <f t="shared" si="583"/>
        <v>0.246875</v>
      </c>
      <c r="U1908" s="83">
        <f t="shared" si="583"/>
        <v>0.2125</v>
      </c>
      <c r="W1908" s="146">
        <v>45166</v>
      </c>
      <c r="X1908" s="147">
        <v>4.12</v>
      </c>
      <c r="Y1908" s="147">
        <v>3.6</v>
      </c>
      <c r="Z1908" s="147">
        <v>3.95</v>
      </c>
      <c r="AA1908" s="59" cm="1">
        <f t="array" ref="AA1908">INDEX($BX$29:$BX$1449,MATCH($D1908,$BR$29:$BR$1449,0),)</f>
        <v>3.4</v>
      </c>
      <c r="AB1908" s="150">
        <f t="shared" si="573"/>
        <v>0.00919775166070513</v>
      </c>
      <c r="AC1908" s="150">
        <f t="shared" si="575"/>
        <v>0.0180412371134022</v>
      </c>
      <c r="AD1908" s="150">
        <f t="shared" si="578"/>
        <v>-0.00176901693201914</v>
      </c>
      <c r="AE1908" s="89">
        <f t="shared" si="574"/>
        <v>0.161764705882353</v>
      </c>
      <c r="AF1908" s="36"/>
      <c r="GF1908" s="104">
        <f t="shared" ref="GF1908:GF1971" si="584">YEAR(GH1908)</f>
        <v>2020</v>
      </c>
      <c r="GG1908" s="104">
        <f t="shared" ref="GG1908:GG1971" si="585">WEEKNUM(GH1908)</f>
        <v>29</v>
      </c>
      <c r="GH1908" s="35">
        <v>44025</v>
      </c>
      <c r="GI1908" s="26">
        <v>1.49</v>
      </c>
      <c r="GJ1908" s="94">
        <f t="shared" ref="GJ1908:GJ1971" si="586">GI1908*2</f>
        <v>2.98</v>
      </c>
      <c r="GK1908" s="104"/>
      <c r="GL1908" s="104"/>
    </row>
    <row r="1909" spans="3:194">
      <c r="C1909" s="80" t="str" cm="1">
        <f t="array" ref="C1909">_xlfn.IFS(MONTH(D1909)&lt;4,1,MONTH(D1909)&lt;7,2,MONTH(D1909)&lt;10,3,MONTH(D1909)&gt;9,4)&amp;"Q"&amp;RIGHT(YEAR(D1909),2)</f>
        <v>3Q23</v>
      </c>
      <c r="D1909" s="81">
        <f t="shared" si="577"/>
        <v>45169</v>
      </c>
      <c r="E1909" s="82">
        <f t="shared" si="570"/>
        <v>45167</v>
      </c>
      <c r="F1909" s="83">
        <f t="shared" si="580"/>
        <v>0.17575</v>
      </c>
      <c r="G1909" s="83">
        <f t="shared" si="580"/>
        <v>0.1625</v>
      </c>
      <c r="H1909" s="81"/>
      <c r="I1909" s="146">
        <v>45167</v>
      </c>
      <c r="J1909" s="147">
        <v>1.56</v>
      </c>
      <c r="K1909" s="147">
        <v>1.3</v>
      </c>
      <c r="L1909" s="147">
        <v>1.406</v>
      </c>
      <c r="M1909" s="59" cm="1">
        <f t="array" ref="M1909">INDEX($BV$29:$BV$1449,MATCH($D1909,$BR$29:$BR$1449,0),)</f>
        <v>1.3</v>
      </c>
      <c r="N1909" s="150">
        <f t="shared" si="581"/>
        <v>-0.00142045454545459</v>
      </c>
      <c r="O1909" s="150">
        <f t="shared" si="582"/>
        <v>-0.00985915492957745</v>
      </c>
      <c r="P1909" s="150">
        <f t="shared" si="569"/>
        <v>-0.0222531293463143</v>
      </c>
      <c r="Q1909" s="89">
        <f t="shared" si="571"/>
        <v>0.0815384615384613</v>
      </c>
      <c r="S1909" s="82">
        <f t="shared" si="572"/>
        <v>45167</v>
      </c>
      <c r="T1909" s="83">
        <f t="shared" si="583"/>
        <v>0.246875</v>
      </c>
      <c r="U1909" s="83">
        <f t="shared" si="583"/>
        <v>0.2125</v>
      </c>
      <c r="W1909" s="146">
        <v>45167</v>
      </c>
      <c r="X1909" s="147">
        <v>4.15</v>
      </c>
      <c r="Y1909" s="147">
        <v>3.6</v>
      </c>
      <c r="Z1909" s="147">
        <v>3.95</v>
      </c>
      <c r="AA1909" s="59" cm="1">
        <f t="array" ref="AA1909">INDEX($BX$29:$BX$1449,MATCH($D1909,$BR$29:$BR$1449,0),)</f>
        <v>3.4</v>
      </c>
      <c r="AB1909" s="150">
        <f t="shared" si="573"/>
        <v>0</v>
      </c>
      <c r="AC1909" s="150">
        <f t="shared" si="575"/>
        <v>0.011782786885246</v>
      </c>
      <c r="AD1909" s="150">
        <f t="shared" si="578"/>
        <v>0.00432240020340724</v>
      </c>
      <c r="AE1909" s="89">
        <f t="shared" si="574"/>
        <v>0.161764705882353</v>
      </c>
      <c r="AF1909" s="36"/>
      <c r="GF1909" s="104">
        <f t="shared" si="584"/>
        <v>2020</v>
      </c>
      <c r="GG1909" s="104">
        <f t="shared" si="585"/>
        <v>29</v>
      </c>
      <c r="GH1909" s="35">
        <v>44026</v>
      </c>
      <c r="GI1909" s="26">
        <v>1.489</v>
      </c>
      <c r="GJ1909" s="94">
        <f t="shared" si="586"/>
        <v>2.978</v>
      </c>
      <c r="GK1909" s="104"/>
      <c r="GL1909" s="104"/>
    </row>
    <row r="1910" spans="3:194">
      <c r="C1910" s="80" t="str" cm="1">
        <f t="array" ref="C1910">_xlfn.IFS(MONTH(D1910)&lt;4,1,MONTH(D1910)&lt;7,2,MONTH(D1910)&lt;10,3,MONTH(D1910)&gt;9,4)&amp;"Q"&amp;RIGHT(YEAR(D1910),2)</f>
        <v>3Q23</v>
      </c>
      <c r="D1910" s="81">
        <f t="shared" si="577"/>
        <v>45169</v>
      </c>
      <c r="E1910" s="82">
        <f t="shared" si="570"/>
        <v>45168</v>
      </c>
      <c r="F1910" s="83">
        <f t="shared" si="580"/>
        <v>0.17575</v>
      </c>
      <c r="G1910" s="83">
        <f t="shared" si="580"/>
        <v>0.1625</v>
      </c>
      <c r="H1910" s="81"/>
      <c r="I1910" s="146">
        <v>45168</v>
      </c>
      <c r="J1910" s="147">
        <v>1.56</v>
      </c>
      <c r="K1910" s="147">
        <v>1.3</v>
      </c>
      <c r="L1910" s="147">
        <v>1.406</v>
      </c>
      <c r="M1910" s="59" cm="1">
        <f t="array" ref="M1910">INDEX($BV$29:$BV$1449,MATCH($D1910,$BR$29:$BR$1449,0),)</f>
        <v>1.3</v>
      </c>
      <c r="N1910" s="150">
        <f t="shared" si="581"/>
        <v>0</v>
      </c>
      <c r="O1910" s="150">
        <f t="shared" si="582"/>
        <v>-0.00636042402826864</v>
      </c>
      <c r="P1910" s="150">
        <f t="shared" si="569"/>
        <v>-0.0202090592334496</v>
      </c>
      <c r="Q1910" s="89">
        <f t="shared" si="571"/>
        <v>0.0815384615384613</v>
      </c>
      <c r="S1910" s="82">
        <f t="shared" si="572"/>
        <v>45168</v>
      </c>
      <c r="T1910" s="83">
        <f t="shared" si="583"/>
        <v>0.246875</v>
      </c>
      <c r="U1910" s="83">
        <f t="shared" si="583"/>
        <v>0.2125</v>
      </c>
      <c r="W1910" s="146">
        <v>45168</v>
      </c>
      <c r="X1910" s="147">
        <v>4.15</v>
      </c>
      <c r="Y1910" s="147">
        <v>3.6</v>
      </c>
      <c r="Z1910" s="147">
        <v>3.95</v>
      </c>
      <c r="AA1910" s="59" cm="1">
        <f t="array" ref="AA1910">INDEX($BX$29:$BX$1449,MATCH($D1910,$BR$29:$BR$1449,0),)</f>
        <v>3.4</v>
      </c>
      <c r="AB1910" s="150">
        <f t="shared" si="573"/>
        <v>0</v>
      </c>
      <c r="AC1910" s="150">
        <f t="shared" si="575"/>
        <v>0.0110058868697211</v>
      </c>
      <c r="AD1910" s="150">
        <f t="shared" si="578"/>
        <v>0.00945566061845149</v>
      </c>
      <c r="AE1910" s="89">
        <f t="shared" si="574"/>
        <v>0.161764705882353</v>
      </c>
      <c r="AF1910" s="36"/>
      <c r="GF1910" s="104">
        <f t="shared" si="584"/>
        <v>2020</v>
      </c>
      <c r="GG1910" s="104">
        <f t="shared" si="585"/>
        <v>29</v>
      </c>
      <c r="GH1910" s="35">
        <v>44027</v>
      </c>
      <c r="GI1910" s="26">
        <v>1.486</v>
      </c>
      <c r="GJ1910" s="94">
        <f t="shared" si="586"/>
        <v>2.972</v>
      </c>
      <c r="GK1910" s="104"/>
      <c r="GL1910" s="104"/>
    </row>
    <row r="1911" spans="3:194">
      <c r="C1911" s="80" t="str" cm="1">
        <f t="array" ref="C1911">_xlfn.IFS(MONTH(D1911)&lt;4,1,MONTH(D1911)&lt;7,2,MONTH(D1911)&lt;10,3,MONTH(D1911)&gt;9,4)&amp;"Q"&amp;RIGHT(YEAR(D1911),2)</f>
        <v>3Q23</v>
      </c>
      <c r="D1911" s="81">
        <f t="shared" si="577"/>
        <v>45169</v>
      </c>
      <c r="E1911" s="82">
        <f t="shared" si="570"/>
        <v>45169</v>
      </c>
      <c r="F1911" s="83">
        <f t="shared" si="580"/>
        <v>0.175625</v>
      </c>
      <c r="G1911" s="83">
        <f t="shared" si="580"/>
        <v>0.1625</v>
      </c>
      <c r="H1911" s="81"/>
      <c r="I1911" s="146">
        <v>45169</v>
      </c>
      <c r="J1911" s="147">
        <v>1.55</v>
      </c>
      <c r="K1911" s="147">
        <v>1.31</v>
      </c>
      <c r="L1911" s="147">
        <v>1.405</v>
      </c>
      <c r="M1911" s="59" cm="1">
        <f t="array" ref="M1911">INDEX($BV$29:$BV$1449,MATCH($D1911,$BR$29:$BR$1449,0),)</f>
        <v>1.3</v>
      </c>
      <c r="N1911" s="150">
        <f t="shared" si="581"/>
        <v>-0.000711237553342792</v>
      </c>
      <c r="O1911" s="150">
        <f t="shared" si="582"/>
        <v>-0.00566171266808213</v>
      </c>
      <c r="P1911" s="150">
        <f t="shared" si="569"/>
        <v>-0.0174825174825174</v>
      </c>
      <c r="Q1911" s="89">
        <f t="shared" si="571"/>
        <v>0.0807692307692307</v>
      </c>
      <c r="S1911" s="82">
        <f t="shared" si="572"/>
        <v>45169</v>
      </c>
      <c r="T1911" s="83">
        <f t="shared" si="583"/>
        <v>0.2476875</v>
      </c>
      <c r="U1911" s="83">
        <f t="shared" si="583"/>
        <v>0.2125</v>
      </c>
      <c r="W1911" s="146">
        <v>45169</v>
      </c>
      <c r="X1911" s="147">
        <v>4.18</v>
      </c>
      <c r="Y1911" s="147">
        <v>3.6</v>
      </c>
      <c r="Z1911" s="147">
        <v>3.963</v>
      </c>
      <c r="AA1911" s="59" cm="1">
        <f t="array" ref="AA1911">INDEX($BX$29:$BX$1449,MATCH($D1911,$BR$29:$BR$1449,0),)</f>
        <v>3.4</v>
      </c>
      <c r="AB1911" s="150">
        <f t="shared" si="573"/>
        <v>0.00329113924050639</v>
      </c>
      <c r="AC1911" s="150">
        <f t="shared" si="575"/>
        <v>0.0143332480163809</v>
      </c>
      <c r="AD1911" s="150">
        <f t="shared" si="578"/>
        <v>0.0153727901614142</v>
      </c>
      <c r="AE1911" s="89">
        <f t="shared" si="574"/>
        <v>0.165588235294118</v>
      </c>
      <c r="AF1911" s="36"/>
      <c r="GF1911" s="104">
        <f t="shared" si="584"/>
        <v>2020</v>
      </c>
      <c r="GG1911" s="104">
        <f t="shared" si="585"/>
        <v>29</v>
      </c>
      <c r="GH1911" s="35">
        <v>44028</v>
      </c>
      <c r="GI1911" s="26">
        <v>1.485</v>
      </c>
      <c r="GJ1911" s="94">
        <f t="shared" si="586"/>
        <v>2.97</v>
      </c>
      <c r="GK1911" s="104"/>
      <c r="GL1911" s="104"/>
    </row>
    <row r="1912" spans="3:194">
      <c r="C1912" s="80" t="str" cm="1">
        <f t="array" ref="C1912">_xlfn.IFS(MONTH(D1912)&lt;4,1,MONTH(D1912)&lt;7,2,MONTH(D1912)&lt;10,3,MONTH(D1912)&gt;9,4)&amp;"Q"&amp;RIGHT(YEAR(D1912),2)</f>
        <v>3Q23</v>
      </c>
      <c r="D1912" s="81">
        <f t="shared" si="577"/>
        <v>45199</v>
      </c>
      <c r="E1912" s="82">
        <f t="shared" si="570"/>
        <v>45170</v>
      </c>
      <c r="F1912" s="83">
        <f t="shared" si="580"/>
        <v>0.175375</v>
      </c>
      <c r="G1912" s="83">
        <f t="shared" si="580"/>
        <v>0.1625</v>
      </c>
      <c r="H1912" s="81"/>
      <c r="I1912" s="146">
        <v>45170</v>
      </c>
      <c r="J1912" s="147">
        <v>1.55</v>
      </c>
      <c r="K1912" s="147">
        <v>1.32</v>
      </c>
      <c r="L1912" s="147">
        <v>1.403</v>
      </c>
      <c r="M1912" s="59" cm="1">
        <f t="array" ref="M1912">INDEX($BV$29:$BV$1449,MATCH($D1912,$BR$29:$BR$1449,0),)</f>
        <v>1.3</v>
      </c>
      <c r="N1912" s="150">
        <f t="shared" si="581"/>
        <v>-0.00142348754448396</v>
      </c>
      <c r="O1912" s="150">
        <f t="shared" si="582"/>
        <v>-0.00425833924769337</v>
      </c>
      <c r="P1912" s="150">
        <f t="shared" si="569"/>
        <v>-0.0175070028011204</v>
      </c>
      <c r="Q1912" s="89">
        <f t="shared" si="571"/>
        <v>0.0792307692307692</v>
      </c>
      <c r="S1912" s="82">
        <f t="shared" si="572"/>
        <v>45170</v>
      </c>
      <c r="T1912" s="83">
        <f t="shared" si="583"/>
        <v>0.2476875</v>
      </c>
      <c r="U1912" s="83">
        <f t="shared" si="583"/>
        <v>0.2125</v>
      </c>
      <c r="W1912" s="146">
        <v>45170</v>
      </c>
      <c r="X1912" s="147">
        <v>4.2</v>
      </c>
      <c r="Y1912" s="147">
        <v>3.62</v>
      </c>
      <c r="Z1912" s="147">
        <v>3.963</v>
      </c>
      <c r="AA1912" s="59" cm="1">
        <f t="array" ref="AA1912">INDEX($BX$29:$BX$1449,MATCH($D1912,$BR$29:$BR$1449,0),)</f>
        <v>3.4</v>
      </c>
      <c r="AB1912" s="150">
        <f t="shared" si="573"/>
        <v>0</v>
      </c>
      <c r="AC1912" s="150">
        <f t="shared" si="575"/>
        <v>0.0125191619826264</v>
      </c>
      <c r="AD1912" s="150">
        <f t="shared" si="578"/>
        <v>0.0206026268349215</v>
      </c>
      <c r="AE1912" s="89">
        <f t="shared" si="574"/>
        <v>0.165588235294118</v>
      </c>
      <c r="AF1912" s="36"/>
      <c r="GF1912" s="104">
        <f t="shared" si="584"/>
        <v>2020</v>
      </c>
      <c r="GG1912" s="104">
        <f t="shared" si="585"/>
        <v>29</v>
      </c>
      <c r="GH1912" s="35">
        <v>44029</v>
      </c>
      <c r="GI1912" s="26">
        <v>1.482</v>
      </c>
      <c r="GJ1912" s="94">
        <f t="shared" si="586"/>
        <v>2.964</v>
      </c>
      <c r="GK1912" s="104"/>
      <c r="GL1912" s="104"/>
    </row>
    <row r="1913" spans="3:194">
      <c r="C1913" s="80" t="str" cm="1">
        <f t="array" ref="C1913">_xlfn.IFS(MONTH(D1913)&lt;4,1,MONTH(D1913)&lt;7,2,MONTH(D1913)&lt;10,3,MONTH(D1913)&gt;9,4)&amp;"Q"&amp;RIGHT(YEAR(D1913),2)</f>
        <v>3Q23</v>
      </c>
      <c r="D1913" s="81">
        <f t="shared" si="577"/>
        <v>45199</v>
      </c>
      <c r="E1913" s="82">
        <f t="shared" si="570"/>
        <v>45173</v>
      </c>
      <c r="F1913" s="83">
        <f t="shared" si="580"/>
        <v>0.17525</v>
      </c>
      <c r="G1913" s="83">
        <f t="shared" si="580"/>
        <v>0.1625</v>
      </c>
      <c r="H1913" s="81"/>
      <c r="I1913" s="146">
        <v>45173</v>
      </c>
      <c r="J1913" s="147">
        <v>1.54</v>
      </c>
      <c r="K1913" s="147">
        <v>1.3</v>
      </c>
      <c r="L1913" s="147">
        <v>1.402</v>
      </c>
      <c r="M1913" s="59" cm="1">
        <f t="array" ref="M1913">INDEX($BV$29:$BV$1449,MATCH($D1913,$BR$29:$BR$1449,0),)</f>
        <v>1.3</v>
      </c>
      <c r="N1913" s="150">
        <f t="shared" si="581"/>
        <v>-0.000712758374911027</v>
      </c>
      <c r="O1913" s="150">
        <f t="shared" si="582"/>
        <v>-0.00426136363636365</v>
      </c>
      <c r="P1913" s="150">
        <f t="shared" si="569"/>
        <v>-0.0147575544624035</v>
      </c>
      <c r="Q1913" s="89">
        <f t="shared" si="571"/>
        <v>0.0784615384615384</v>
      </c>
      <c r="S1913" s="82">
        <f t="shared" si="572"/>
        <v>45173</v>
      </c>
      <c r="T1913" s="83">
        <f t="shared" si="583"/>
        <v>0.248125</v>
      </c>
      <c r="U1913" s="83">
        <f t="shared" si="583"/>
        <v>0.2125</v>
      </c>
      <c r="W1913" s="146">
        <v>45173</v>
      </c>
      <c r="X1913" s="147">
        <v>4.22</v>
      </c>
      <c r="Y1913" s="147">
        <v>3.6</v>
      </c>
      <c r="Z1913" s="147">
        <v>3.97</v>
      </c>
      <c r="AA1913" s="59" cm="1">
        <f t="array" ref="AA1913">INDEX($BX$29:$BX$1449,MATCH($D1913,$BR$29:$BR$1449,0),)</f>
        <v>3.4</v>
      </c>
      <c r="AB1913" s="150">
        <f t="shared" si="573"/>
        <v>0.00176633863234921</v>
      </c>
      <c r="AC1913" s="150">
        <f t="shared" si="575"/>
        <v>0.00506329113924053</v>
      </c>
      <c r="AD1913" s="150">
        <f t="shared" si="578"/>
        <v>0.0231958762886599</v>
      </c>
      <c r="AE1913" s="89">
        <f t="shared" si="574"/>
        <v>0.167647058823529</v>
      </c>
      <c r="AF1913" s="36"/>
      <c r="GF1913" s="104">
        <f t="shared" si="584"/>
        <v>2020</v>
      </c>
      <c r="GG1913" s="104">
        <f t="shared" si="585"/>
        <v>30</v>
      </c>
      <c r="GH1913" s="35">
        <v>44032</v>
      </c>
      <c r="GI1913" s="26">
        <v>1.477</v>
      </c>
      <c r="GJ1913" s="94">
        <f t="shared" si="586"/>
        <v>2.954</v>
      </c>
      <c r="GK1913" s="104"/>
      <c r="GL1913" s="104"/>
    </row>
    <row r="1914" spans="3:194">
      <c r="C1914" s="80" t="str" cm="1">
        <f t="array" ref="C1914">_xlfn.IFS(MONTH(D1914)&lt;4,1,MONTH(D1914)&lt;7,2,MONTH(D1914)&lt;10,3,MONTH(D1914)&gt;9,4)&amp;"Q"&amp;RIGHT(YEAR(D1914),2)</f>
        <v>3Q23</v>
      </c>
      <c r="D1914" s="81">
        <f t="shared" si="577"/>
        <v>45199</v>
      </c>
      <c r="E1914" s="82">
        <f t="shared" si="570"/>
        <v>45174</v>
      </c>
      <c r="F1914" s="83">
        <f t="shared" ref="F1914:G1929" si="587">+L1914/8</f>
        <v>0.175</v>
      </c>
      <c r="G1914" s="83">
        <f t="shared" si="587"/>
        <v>0.1625</v>
      </c>
      <c r="H1914" s="81"/>
      <c r="I1914" s="146">
        <v>45174</v>
      </c>
      <c r="J1914" s="147">
        <v>1.54</v>
      </c>
      <c r="K1914" s="147">
        <v>1.3</v>
      </c>
      <c r="L1914" s="147">
        <v>1.4</v>
      </c>
      <c r="M1914" s="59" cm="1">
        <f t="array" ref="M1914">INDEX($BV$29:$BV$1449,MATCH($D1914,$BR$29:$BR$1449,0),)</f>
        <v>1.3</v>
      </c>
      <c r="N1914" s="150">
        <f t="shared" si="581"/>
        <v>-0.00142653352353783</v>
      </c>
      <c r="O1914" s="150">
        <f t="shared" si="582"/>
        <v>-0.00426742532005686</v>
      </c>
      <c r="P1914" s="150">
        <f t="shared" si="569"/>
        <v>-0.0140845070422535</v>
      </c>
      <c r="Q1914" s="89">
        <f t="shared" si="571"/>
        <v>0.0769230769230769</v>
      </c>
      <c r="S1914" s="82">
        <f t="shared" si="572"/>
        <v>45174</v>
      </c>
      <c r="T1914" s="83">
        <f t="shared" si="583"/>
        <v>0.248125</v>
      </c>
      <c r="U1914" s="83">
        <f t="shared" si="583"/>
        <v>0.2125</v>
      </c>
      <c r="W1914" s="146">
        <v>45174</v>
      </c>
      <c r="X1914" s="147">
        <v>4.22</v>
      </c>
      <c r="Y1914" s="147">
        <v>3.6</v>
      </c>
      <c r="Z1914" s="147">
        <v>3.97</v>
      </c>
      <c r="AA1914" s="59" cm="1">
        <f t="array" ref="AA1914">INDEX($BX$29:$BX$1449,MATCH($D1914,$BR$29:$BR$1449,0),)</f>
        <v>3.4</v>
      </c>
      <c r="AB1914" s="150">
        <f t="shared" si="573"/>
        <v>0</v>
      </c>
      <c r="AC1914" s="150">
        <f t="shared" si="575"/>
        <v>0.00506329113924053</v>
      </c>
      <c r="AD1914" s="150">
        <f t="shared" si="578"/>
        <v>0.0169057377049182</v>
      </c>
      <c r="AE1914" s="89">
        <f t="shared" si="574"/>
        <v>0.167647058823529</v>
      </c>
      <c r="AF1914" s="36"/>
      <c r="GF1914" s="104">
        <f t="shared" si="584"/>
        <v>2020</v>
      </c>
      <c r="GG1914" s="104">
        <f t="shared" si="585"/>
        <v>30</v>
      </c>
      <c r="GH1914" s="35">
        <v>44033</v>
      </c>
      <c r="GI1914" s="26">
        <v>1.475</v>
      </c>
      <c r="GJ1914" s="94">
        <f t="shared" si="586"/>
        <v>2.95</v>
      </c>
      <c r="GK1914" s="104"/>
      <c r="GL1914" s="104"/>
    </row>
    <row r="1915" spans="3:194">
      <c r="C1915" s="80" t="str" cm="1">
        <f t="array" ref="C1915">_xlfn.IFS(MONTH(D1915)&lt;4,1,MONTH(D1915)&lt;7,2,MONTH(D1915)&lt;10,3,MONTH(D1915)&gt;9,4)&amp;"Q"&amp;RIGHT(YEAR(D1915),2)</f>
        <v>3Q23</v>
      </c>
      <c r="D1915" s="81">
        <f t="shared" si="577"/>
        <v>45199</v>
      </c>
      <c r="E1915" s="82">
        <f t="shared" si="570"/>
        <v>45175</v>
      </c>
      <c r="F1915" s="83">
        <f t="shared" si="587"/>
        <v>0.17475</v>
      </c>
      <c r="G1915" s="83">
        <f t="shared" si="587"/>
        <v>0.1625</v>
      </c>
      <c r="H1915" s="81"/>
      <c r="I1915" s="146">
        <v>45175</v>
      </c>
      <c r="J1915" s="147">
        <v>1.56</v>
      </c>
      <c r="K1915" s="147">
        <v>1.31</v>
      </c>
      <c r="L1915" s="147">
        <v>1.398</v>
      </c>
      <c r="M1915" s="59" cm="1">
        <f t="array" ref="M1915">INDEX($BV$29:$BV$1449,MATCH($D1915,$BR$29:$BR$1449,0),)</f>
        <v>1.3</v>
      </c>
      <c r="N1915" s="150">
        <f t="shared" si="581"/>
        <v>-0.00142857142857145</v>
      </c>
      <c r="O1915" s="150">
        <f t="shared" si="582"/>
        <v>-0.00568990042674256</v>
      </c>
      <c r="P1915" s="150">
        <f t="shared" si="569"/>
        <v>-0.0120141342756185</v>
      </c>
      <c r="Q1915" s="89">
        <f t="shared" si="571"/>
        <v>0.0753846153846154</v>
      </c>
      <c r="S1915" s="82">
        <f t="shared" si="572"/>
        <v>45175</v>
      </c>
      <c r="T1915" s="83">
        <f t="shared" si="583"/>
        <v>0.24875</v>
      </c>
      <c r="U1915" s="83">
        <f t="shared" si="583"/>
        <v>0.2125</v>
      </c>
      <c r="W1915" s="146">
        <v>45175</v>
      </c>
      <c r="X1915" s="147">
        <v>4.23</v>
      </c>
      <c r="Y1915" s="147">
        <v>3.62</v>
      </c>
      <c r="Z1915" s="147">
        <v>3.98</v>
      </c>
      <c r="AA1915" s="59" cm="1">
        <f t="array" ref="AA1915">INDEX($BX$29:$BX$1449,MATCH($D1915,$BR$29:$BR$1449,0),)</f>
        <v>3.4</v>
      </c>
      <c r="AB1915" s="150">
        <f t="shared" si="573"/>
        <v>0.00251889168765729</v>
      </c>
      <c r="AC1915" s="150">
        <f t="shared" si="575"/>
        <v>0.0075949367088608</v>
      </c>
      <c r="AD1915" s="150">
        <f t="shared" si="578"/>
        <v>0.0186844125927821</v>
      </c>
      <c r="AE1915" s="89">
        <f t="shared" si="574"/>
        <v>0.170588235294118</v>
      </c>
      <c r="AF1915" s="36"/>
      <c r="GF1915" s="104">
        <f t="shared" si="584"/>
        <v>2020</v>
      </c>
      <c r="GG1915" s="104">
        <f t="shared" si="585"/>
        <v>30</v>
      </c>
      <c r="GH1915" s="35">
        <v>44034</v>
      </c>
      <c r="GI1915" s="26">
        <v>1.473</v>
      </c>
      <c r="GJ1915" s="94">
        <f t="shared" si="586"/>
        <v>2.946</v>
      </c>
      <c r="GK1915" s="104"/>
      <c r="GL1915" s="104"/>
    </row>
    <row r="1916" spans="3:194">
      <c r="C1916" s="80" t="str" cm="1">
        <f t="array" ref="C1916">_xlfn.IFS(MONTH(D1916)&lt;4,1,MONTH(D1916)&lt;7,2,MONTH(D1916)&lt;10,3,MONTH(D1916)&gt;9,4)&amp;"Q"&amp;RIGHT(YEAR(D1916),2)</f>
        <v>3Q23</v>
      </c>
      <c r="D1916" s="81">
        <f t="shared" si="577"/>
        <v>45199</v>
      </c>
      <c r="E1916" s="82">
        <f t="shared" si="570"/>
        <v>45176</v>
      </c>
      <c r="F1916" s="83">
        <f t="shared" si="587"/>
        <v>0.174375</v>
      </c>
      <c r="G1916" s="83">
        <f t="shared" si="587"/>
        <v>0.1625</v>
      </c>
      <c r="H1916" s="81"/>
      <c r="I1916" s="146">
        <v>45176</v>
      </c>
      <c r="J1916" s="147">
        <v>1.56</v>
      </c>
      <c r="K1916" s="147">
        <v>1.31</v>
      </c>
      <c r="L1916" s="147">
        <v>1.395</v>
      </c>
      <c r="M1916" s="59" cm="1">
        <f t="array" ref="M1916">INDEX($BV$29:$BV$1449,MATCH($D1916,$BR$29:$BR$1449,0),)</f>
        <v>1.3</v>
      </c>
      <c r="N1916" s="150">
        <f t="shared" si="581"/>
        <v>-0.00214592274678105</v>
      </c>
      <c r="O1916" s="150">
        <f t="shared" si="582"/>
        <v>-0.00711743772241991</v>
      </c>
      <c r="P1916" s="150">
        <f t="shared" si="569"/>
        <v>-0.0127388535031847</v>
      </c>
      <c r="Q1916" s="89">
        <f t="shared" si="571"/>
        <v>0.073076923076923</v>
      </c>
      <c r="S1916" s="82">
        <f t="shared" si="572"/>
        <v>45176</v>
      </c>
      <c r="T1916" s="83">
        <f t="shared" si="583"/>
        <v>0.24875</v>
      </c>
      <c r="U1916" s="83">
        <f t="shared" si="583"/>
        <v>0.2125</v>
      </c>
      <c r="W1916" s="146">
        <v>45176</v>
      </c>
      <c r="X1916" s="147">
        <v>4.23</v>
      </c>
      <c r="Y1916" s="147">
        <v>3.62</v>
      </c>
      <c r="Z1916" s="147">
        <v>3.98</v>
      </c>
      <c r="AA1916" s="59" cm="1">
        <f t="array" ref="AA1916">INDEX($BX$29:$BX$1449,MATCH($D1916,$BR$29:$BR$1449,0),)</f>
        <v>3.4</v>
      </c>
      <c r="AB1916" s="150">
        <f t="shared" si="573"/>
        <v>0</v>
      </c>
      <c r="AC1916" s="150">
        <f t="shared" si="575"/>
        <v>0.00428967953570525</v>
      </c>
      <c r="AD1916" s="150">
        <f t="shared" si="578"/>
        <v>0.0186844125927821</v>
      </c>
      <c r="AE1916" s="89">
        <f t="shared" si="574"/>
        <v>0.170588235294118</v>
      </c>
      <c r="AF1916" s="36"/>
      <c r="GF1916" s="104">
        <f t="shared" si="584"/>
        <v>2020</v>
      </c>
      <c r="GG1916" s="104">
        <f t="shared" si="585"/>
        <v>30</v>
      </c>
      <c r="GH1916" s="35">
        <v>44035</v>
      </c>
      <c r="GI1916" s="26">
        <v>1.471</v>
      </c>
      <c r="GJ1916" s="94">
        <f t="shared" si="586"/>
        <v>2.942</v>
      </c>
      <c r="GK1916" s="104"/>
      <c r="GL1916" s="104"/>
    </row>
    <row r="1917" spans="3:194">
      <c r="C1917" s="80" t="str" cm="1">
        <f t="array" ref="C1917">_xlfn.IFS(MONTH(D1917)&lt;4,1,MONTH(D1917)&lt;7,2,MONTH(D1917)&lt;10,3,MONTH(D1917)&gt;9,4)&amp;"Q"&amp;RIGHT(YEAR(D1917),2)</f>
        <v>3Q23</v>
      </c>
      <c r="D1917" s="81">
        <f t="shared" si="577"/>
        <v>45199</v>
      </c>
      <c r="E1917" s="82">
        <f t="shared" si="570"/>
        <v>45177</v>
      </c>
      <c r="F1917" s="83">
        <f t="shared" si="587"/>
        <v>0.174375</v>
      </c>
      <c r="G1917" s="83">
        <f t="shared" si="587"/>
        <v>0.1625</v>
      </c>
      <c r="H1917" s="81"/>
      <c r="I1917" s="146">
        <v>45177</v>
      </c>
      <c r="J1917" s="147">
        <v>1.56</v>
      </c>
      <c r="K1917" s="147">
        <v>1.31</v>
      </c>
      <c r="L1917" s="147">
        <v>1.395</v>
      </c>
      <c r="M1917" s="59" cm="1">
        <f t="array" ref="M1917">INDEX($BV$29:$BV$1449,MATCH($D1917,$BR$29:$BR$1449,0),)</f>
        <v>1.3</v>
      </c>
      <c r="N1917" s="150">
        <f t="shared" si="581"/>
        <v>0</v>
      </c>
      <c r="O1917" s="150">
        <f t="shared" si="582"/>
        <v>-0.00570206699928721</v>
      </c>
      <c r="P1917" s="150">
        <f t="shared" si="569"/>
        <v>-0.00993612491128459</v>
      </c>
      <c r="Q1917" s="89">
        <f t="shared" si="571"/>
        <v>0.073076923076923</v>
      </c>
      <c r="S1917" s="82">
        <f t="shared" si="572"/>
        <v>45177</v>
      </c>
      <c r="T1917" s="83">
        <f t="shared" si="583"/>
        <v>0.2495625</v>
      </c>
      <c r="U1917" s="83">
        <f t="shared" si="583"/>
        <v>0.2125</v>
      </c>
      <c r="W1917" s="146">
        <v>45177</v>
      </c>
      <c r="X1917" s="147">
        <v>4.25</v>
      </c>
      <c r="Y1917" s="147">
        <v>3.6</v>
      </c>
      <c r="Z1917" s="147">
        <v>3.993</v>
      </c>
      <c r="AA1917" s="59" cm="1">
        <f t="array" ref="AA1917">INDEX($BX$29:$BX$1449,MATCH($D1917,$BR$29:$BR$1449,0),)</f>
        <v>3.4</v>
      </c>
      <c r="AB1917" s="150">
        <f t="shared" si="573"/>
        <v>0.00326633165829149</v>
      </c>
      <c r="AC1917" s="150">
        <f t="shared" si="575"/>
        <v>0.00757002271006812</v>
      </c>
      <c r="AD1917" s="150">
        <f t="shared" si="578"/>
        <v>0.0201839550332141</v>
      </c>
      <c r="AE1917" s="89">
        <f t="shared" si="574"/>
        <v>0.174411764705882</v>
      </c>
      <c r="AF1917" s="36"/>
      <c r="GF1917" s="104">
        <f t="shared" si="584"/>
        <v>2020</v>
      </c>
      <c r="GG1917" s="104">
        <f t="shared" si="585"/>
        <v>30</v>
      </c>
      <c r="GH1917" s="35">
        <v>44036</v>
      </c>
      <c r="GI1917" s="26">
        <v>1.466</v>
      </c>
      <c r="GJ1917" s="94">
        <f t="shared" si="586"/>
        <v>2.932</v>
      </c>
      <c r="GK1917" s="104"/>
      <c r="GL1917" s="104"/>
    </row>
    <row r="1918" spans="3:194">
      <c r="C1918" s="80" t="str" cm="1">
        <f t="array" ref="C1918">_xlfn.IFS(MONTH(D1918)&lt;4,1,MONTH(D1918)&lt;7,2,MONTH(D1918)&lt;10,3,MONTH(D1918)&gt;9,4)&amp;"Q"&amp;RIGHT(YEAR(D1918),2)</f>
        <v>3Q23</v>
      </c>
      <c r="D1918" s="81">
        <f t="shared" si="577"/>
        <v>45199</v>
      </c>
      <c r="E1918" s="82">
        <f t="shared" si="570"/>
        <v>45180</v>
      </c>
      <c r="F1918" s="83">
        <f t="shared" si="587"/>
        <v>0.1745</v>
      </c>
      <c r="G1918" s="83">
        <f t="shared" si="587"/>
        <v>0.1625</v>
      </c>
      <c r="H1918" s="81"/>
      <c r="I1918" s="146">
        <v>45180</v>
      </c>
      <c r="J1918" s="147">
        <v>1.56</v>
      </c>
      <c r="K1918" s="147">
        <v>1.3</v>
      </c>
      <c r="L1918" s="147">
        <v>1.396</v>
      </c>
      <c r="M1918" s="59" cm="1">
        <f t="array" ref="M1918">INDEX($BV$29:$BV$1449,MATCH($D1918,$BR$29:$BR$1449,0),)</f>
        <v>1.3</v>
      </c>
      <c r="N1918" s="150">
        <f t="shared" si="581"/>
        <v>0.000716845878136141</v>
      </c>
      <c r="O1918" s="150">
        <f t="shared" si="582"/>
        <v>-0.00427960057061338</v>
      </c>
      <c r="P1918" s="150">
        <f t="shared" si="569"/>
        <v>-0.00852272727272729</v>
      </c>
      <c r="Q1918" s="89">
        <f t="shared" si="571"/>
        <v>0.0738461538461537</v>
      </c>
      <c r="S1918" s="82">
        <f t="shared" si="572"/>
        <v>45180</v>
      </c>
      <c r="T1918" s="83">
        <f t="shared" si="583"/>
        <v>0.2495625</v>
      </c>
      <c r="U1918" s="83">
        <f t="shared" si="583"/>
        <v>0.2125</v>
      </c>
      <c r="W1918" s="146">
        <v>45180</v>
      </c>
      <c r="X1918" s="147">
        <v>4.25</v>
      </c>
      <c r="Y1918" s="147">
        <v>3.6</v>
      </c>
      <c r="Z1918" s="147">
        <v>3.993</v>
      </c>
      <c r="AA1918" s="59" cm="1">
        <f t="array" ref="AA1918">INDEX($BX$29:$BX$1449,MATCH($D1918,$BR$29:$BR$1449,0),)</f>
        <v>3.4</v>
      </c>
      <c r="AB1918" s="150">
        <f t="shared" si="573"/>
        <v>0</v>
      </c>
      <c r="AC1918" s="150">
        <f t="shared" si="575"/>
        <v>0.00579345088161198</v>
      </c>
      <c r="AD1918" s="150">
        <f t="shared" si="578"/>
        <v>0.010886075949367</v>
      </c>
      <c r="AE1918" s="89">
        <f t="shared" si="574"/>
        <v>0.174411764705882</v>
      </c>
      <c r="AF1918" s="36"/>
      <c r="GF1918" s="104">
        <f t="shared" si="584"/>
        <v>2020</v>
      </c>
      <c r="GG1918" s="104">
        <f t="shared" si="585"/>
        <v>31</v>
      </c>
      <c r="GH1918" s="35">
        <v>44039</v>
      </c>
      <c r="GI1918" s="26">
        <v>1.465</v>
      </c>
      <c r="GJ1918" s="94">
        <f t="shared" si="586"/>
        <v>2.93</v>
      </c>
      <c r="GK1918" s="104"/>
      <c r="GL1918" s="104"/>
    </row>
    <row r="1919" spans="3:194">
      <c r="C1919" s="80" t="str" cm="1">
        <f t="array" ref="C1919">_xlfn.IFS(MONTH(D1919)&lt;4,1,MONTH(D1919)&lt;7,2,MONTH(D1919)&lt;10,3,MONTH(D1919)&gt;9,4)&amp;"Q"&amp;RIGHT(YEAR(D1919),2)</f>
        <v>3Q23</v>
      </c>
      <c r="D1919" s="81">
        <f t="shared" si="577"/>
        <v>45199</v>
      </c>
      <c r="E1919" s="82">
        <f t="shared" si="570"/>
        <v>45181</v>
      </c>
      <c r="F1919" s="83">
        <f t="shared" si="587"/>
        <v>0.175</v>
      </c>
      <c r="G1919" s="83">
        <f t="shared" si="587"/>
        <v>0.1625</v>
      </c>
      <c r="H1919" s="81"/>
      <c r="I1919" s="146">
        <v>45181</v>
      </c>
      <c r="J1919" s="147">
        <v>1.57</v>
      </c>
      <c r="K1919" s="147">
        <v>1.3</v>
      </c>
      <c r="L1919" s="147">
        <v>1.4</v>
      </c>
      <c r="M1919" s="59" cm="1">
        <f t="array" ref="M1919">INDEX($BV$29:$BV$1449,MATCH($D1919,$BR$29:$BR$1449,0),)</f>
        <v>1.3</v>
      </c>
      <c r="N1919" s="150">
        <f t="shared" si="581"/>
        <v>0.00286532951289398</v>
      </c>
      <c r="O1919" s="150">
        <f t="shared" si="582"/>
        <v>0</v>
      </c>
      <c r="P1919" s="150">
        <f t="shared" si="569"/>
        <v>-0.00426742532005686</v>
      </c>
      <c r="Q1919" s="89">
        <f t="shared" si="571"/>
        <v>0.0769230769230769</v>
      </c>
      <c r="S1919" s="82">
        <f t="shared" si="572"/>
        <v>45181</v>
      </c>
      <c r="T1919" s="83">
        <f t="shared" si="583"/>
        <v>0.25125</v>
      </c>
      <c r="U1919" s="83">
        <f t="shared" si="583"/>
        <v>0.2125</v>
      </c>
      <c r="W1919" s="146">
        <v>45181</v>
      </c>
      <c r="X1919" s="147">
        <v>4.3</v>
      </c>
      <c r="Y1919" s="147">
        <v>3.6</v>
      </c>
      <c r="Z1919" s="147">
        <v>4.02</v>
      </c>
      <c r="AA1919" s="59" cm="1">
        <f t="array" ref="AA1919">INDEX($BX$29:$BX$1449,MATCH($D1919,$BR$29:$BR$1449,0),)</f>
        <v>3.4</v>
      </c>
      <c r="AB1919" s="150">
        <f t="shared" si="573"/>
        <v>0.00676183320811408</v>
      </c>
      <c r="AC1919" s="150">
        <f t="shared" si="575"/>
        <v>0.0125944584382871</v>
      </c>
      <c r="AD1919" s="150">
        <f t="shared" si="578"/>
        <v>0.0177215189873416</v>
      </c>
      <c r="AE1919" s="89">
        <f t="shared" si="574"/>
        <v>0.18235294117647</v>
      </c>
      <c r="AF1919" s="36"/>
      <c r="GF1919" s="104">
        <f t="shared" si="584"/>
        <v>2020</v>
      </c>
      <c r="GG1919" s="104">
        <f t="shared" si="585"/>
        <v>31</v>
      </c>
      <c r="GH1919" s="35">
        <v>44040</v>
      </c>
      <c r="GI1919" s="26">
        <v>1.463</v>
      </c>
      <c r="GJ1919" s="94">
        <f t="shared" si="586"/>
        <v>2.926</v>
      </c>
      <c r="GK1919" s="104"/>
      <c r="GL1919" s="104"/>
    </row>
    <row r="1920" spans="3:194">
      <c r="C1920" s="80" t="str" cm="1">
        <f t="array" ref="C1920">_xlfn.IFS(MONTH(D1920)&lt;4,1,MONTH(D1920)&lt;7,2,MONTH(D1920)&lt;10,3,MONTH(D1920)&gt;9,4)&amp;"Q"&amp;RIGHT(YEAR(D1920),2)</f>
        <v>3Q23</v>
      </c>
      <c r="D1920" s="81">
        <f t="shared" si="577"/>
        <v>45199</v>
      </c>
      <c r="E1920" s="82">
        <f t="shared" si="570"/>
        <v>45182</v>
      </c>
      <c r="F1920" s="83">
        <f t="shared" si="587"/>
        <v>0.175625</v>
      </c>
      <c r="G1920" s="83">
        <f t="shared" si="587"/>
        <v>0.1625</v>
      </c>
      <c r="H1920" s="81"/>
      <c r="I1920" s="146">
        <v>45182</v>
      </c>
      <c r="J1920" s="147">
        <v>1.58</v>
      </c>
      <c r="K1920" s="147">
        <v>1.3</v>
      </c>
      <c r="L1920" s="147">
        <v>1.405</v>
      </c>
      <c r="M1920" s="59" cm="1">
        <f t="array" ref="M1920">INDEX($BV$29:$BV$1449,MATCH($D1920,$BR$29:$BR$1449,0),)</f>
        <v>1.3</v>
      </c>
      <c r="N1920" s="150">
        <f t="shared" si="581"/>
        <v>0.00357142857142856</v>
      </c>
      <c r="O1920" s="150">
        <f t="shared" si="582"/>
        <v>0.00500715307582267</v>
      </c>
      <c r="P1920" s="150">
        <f t="shared" si="569"/>
        <v>-0.000711237553342792</v>
      </c>
      <c r="Q1920" s="89">
        <f t="shared" si="571"/>
        <v>0.0807692307692307</v>
      </c>
      <c r="S1920" s="82">
        <f t="shared" si="572"/>
        <v>45182</v>
      </c>
      <c r="T1920" s="83">
        <f t="shared" ref="T1920:U1935" si="588">+Z1920/16</f>
        <v>0.2520625</v>
      </c>
      <c r="U1920" s="83">
        <f t="shared" si="588"/>
        <v>0.2125</v>
      </c>
      <c r="W1920" s="146">
        <v>45182</v>
      </c>
      <c r="X1920" s="147">
        <v>4.3</v>
      </c>
      <c r="Y1920" s="147">
        <v>3.6</v>
      </c>
      <c r="Z1920" s="147">
        <v>4.033</v>
      </c>
      <c r="AA1920" s="59" cm="1">
        <f t="array" ref="AA1920">INDEX($BX$29:$BX$1449,MATCH($D1920,$BR$29:$BR$1449,0),)</f>
        <v>3.4</v>
      </c>
      <c r="AB1920" s="150">
        <f t="shared" si="573"/>
        <v>0.00323383084577133</v>
      </c>
      <c r="AC1920" s="150">
        <f t="shared" si="575"/>
        <v>0.0133165829145729</v>
      </c>
      <c r="AD1920" s="150">
        <f t="shared" si="578"/>
        <v>0.0210126582278483</v>
      </c>
      <c r="AE1920" s="89">
        <f t="shared" si="574"/>
        <v>0.186176470588235</v>
      </c>
      <c r="AF1920" s="36"/>
      <c r="GF1920" s="104">
        <f t="shared" si="584"/>
        <v>2020</v>
      </c>
      <c r="GG1920" s="104">
        <f t="shared" si="585"/>
        <v>31</v>
      </c>
      <c r="GH1920" s="35">
        <v>44041</v>
      </c>
      <c r="GI1920" s="26">
        <v>1.462</v>
      </c>
      <c r="GJ1920" s="94">
        <f t="shared" si="586"/>
        <v>2.924</v>
      </c>
      <c r="GK1920" s="104"/>
      <c r="GL1920" s="104"/>
    </row>
    <row r="1921" spans="3:194">
      <c r="C1921" s="80" t="str" cm="1">
        <f t="array" ref="C1921">_xlfn.IFS(MONTH(D1921)&lt;4,1,MONTH(D1921)&lt;7,2,MONTH(D1921)&lt;10,3,MONTH(D1921)&gt;9,4)&amp;"Q"&amp;RIGHT(YEAR(D1921),2)</f>
        <v>3Q23</v>
      </c>
      <c r="D1921" s="81">
        <f t="shared" si="577"/>
        <v>45199</v>
      </c>
      <c r="E1921" s="82">
        <f t="shared" si="570"/>
        <v>45183</v>
      </c>
      <c r="F1921" s="83">
        <f t="shared" si="587"/>
        <v>0.1775</v>
      </c>
      <c r="G1921" s="83">
        <f t="shared" si="587"/>
        <v>0.1625</v>
      </c>
      <c r="H1921" s="81"/>
      <c r="I1921" s="146">
        <v>45183</v>
      </c>
      <c r="J1921" s="147">
        <v>1.7</v>
      </c>
      <c r="K1921" s="147">
        <v>1.29</v>
      </c>
      <c r="L1921" s="147">
        <v>1.42</v>
      </c>
      <c r="M1921" s="59" cm="1">
        <f t="array" ref="M1921">INDEX($BV$29:$BV$1449,MATCH($D1921,$BR$29:$BR$1449,0),)</f>
        <v>1.3</v>
      </c>
      <c r="N1921" s="150">
        <f t="shared" si="581"/>
        <v>0.0106761565836297</v>
      </c>
      <c r="O1921" s="150">
        <f t="shared" si="582"/>
        <v>0.0179211469534049</v>
      </c>
      <c r="P1921" s="150">
        <f t="shared" si="569"/>
        <v>0.0106761565836297</v>
      </c>
      <c r="Q1921" s="89">
        <f t="shared" si="571"/>
        <v>0.0923076923076922</v>
      </c>
      <c r="S1921" s="82">
        <f t="shared" si="572"/>
        <v>45183</v>
      </c>
      <c r="T1921" s="83">
        <f t="shared" si="588"/>
        <v>0.2525</v>
      </c>
      <c r="U1921" s="83">
        <f t="shared" si="588"/>
        <v>0.2125</v>
      </c>
      <c r="W1921" s="146">
        <v>45183</v>
      </c>
      <c r="X1921" s="147">
        <v>4.35</v>
      </c>
      <c r="Y1921" s="147">
        <v>3.6</v>
      </c>
      <c r="Z1921" s="147">
        <v>4.04</v>
      </c>
      <c r="AA1921" s="59" cm="1">
        <f t="array" ref="AA1921">INDEX($BX$29:$BX$1449,MATCH($D1921,$BR$29:$BR$1449,0),)</f>
        <v>3.4</v>
      </c>
      <c r="AB1921" s="150">
        <f t="shared" si="573"/>
        <v>0.00173568063476304</v>
      </c>
      <c r="AC1921" s="150">
        <f t="shared" si="575"/>
        <v>0.0150753768844221</v>
      </c>
      <c r="AD1921" s="150">
        <f t="shared" si="578"/>
        <v>0.0194297249558415</v>
      </c>
      <c r="AE1921" s="89">
        <f t="shared" si="574"/>
        <v>0.188235294117647</v>
      </c>
      <c r="AF1921" s="36"/>
      <c r="GF1921" s="104">
        <f t="shared" si="584"/>
        <v>2020</v>
      </c>
      <c r="GG1921" s="104">
        <f t="shared" si="585"/>
        <v>31</v>
      </c>
      <c r="GH1921" s="35">
        <v>44042</v>
      </c>
      <c r="GI1921" s="26">
        <v>1.453</v>
      </c>
      <c r="GJ1921" s="94">
        <f t="shared" si="586"/>
        <v>2.906</v>
      </c>
      <c r="GK1921" s="104"/>
      <c r="GL1921" s="104"/>
    </row>
    <row r="1922" spans="3:194">
      <c r="C1922" s="80" t="str" cm="1">
        <f t="array" ref="C1922">_xlfn.IFS(MONTH(D1922)&lt;4,1,MONTH(D1922)&lt;7,2,MONTH(D1922)&lt;10,3,MONTH(D1922)&gt;9,4)&amp;"Q"&amp;RIGHT(YEAR(D1922),2)</f>
        <v>3Q23</v>
      </c>
      <c r="D1922" s="81">
        <f t="shared" si="577"/>
        <v>45199</v>
      </c>
      <c r="E1922" s="82">
        <f t="shared" si="570"/>
        <v>45184</v>
      </c>
      <c r="F1922" s="83">
        <f t="shared" si="587"/>
        <v>0.17875</v>
      </c>
      <c r="G1922" s="83">
        <f t="shared" si="587"/>
        <v>0.1625</v>
      </c>
      <c r="H1922" s="81"/>
      <c r="I1922" s="146">
        <v>45184</v>
      </c>
      <c r="J1922" s="147">
        <v>1.7</v>
      </c>
      <c r="K1922" s="147">
        <v>1.32</v>
      </c>
      <c r="L1922" s="147">
        <v>1.43</v>
      </c>
      <c r="M1922" s="59" cm="1">
        <f t="array" ref="M1922">INDEX($BV$29:$BV$1449,MATCH($D1922,$BR$29:$BR$1449,0),)</f>
        <v>1.3</v>
      </c>
      <c r="N1922" s="150">
        <f t="shared" si="581"/>
        <v>0.00704225352112675</v>
      </c>
      <c r="O1922" s="150">
        <f t="shared" si="582"/>
        <v>0.0250896057347669</v>
      </c>
      <c r="P1922" s="150">
        <f t="shared" si="569"/>
        <v>0.0192444761225943</v>
      </c>
      <c r="Q1922" s="89">
        <f t="shared" si="571"/>
        <v>0.0999999999999999</v>
      </c>
      <c r="S1922" s="82">
        <f t="shared" si="572"/>
        <v>45184</v>
      </c>
      <c r="T1922" s="83">
        <f t="shared" si="588"/>
        <v>0.253125</v>
      </c>
      <c r="U1922" s="83">
        <f t="shared" si="588"/>
        <v>0.2125</v>
      </c>
      <c r="W1922" s="146">
        <v>45184</v>
      </c>
      <c r="X1922" s="147">
        <v>4.4</v>
      </c>
      <c r="Y1922" s="147">
        <v>3.62</v>
      </c>
      <c r="Z1922" s="147">
        <v>4.05</v>
      </c>
      <c r="AA1922" s="59" cm="1">
        <f t="array" ref="AA1922">INDEX($BX$29:$BX$1449,MATCH($D1922,$BR$29:$BR$1449,0),)</f>
        <v>3.4</v>
      </c>
      <c r="AB1922" s="150">
        <f t="shared" si="573"/>
        <v>0.00247524752475248</v>
      </c>
      <c r="AC1922" s="150">
        <f t="shared" si="575"/>
        <v>0.0142749812171299</v>
      </c>
      <c r="AD1922" s="150">
        <f t="shared" si="578"/>
        <v>0.0219530658591975</v>
      </c>
      <c r="AE1922" s="89">
        <f t="shared" si="574"/>
        <v>0.191176470588235</v>
      </c>
      <c r="AF1922" s="36"/>
      <c r="GF1922" s="104">
        <f t="shared" si="584"/>
        <v>2020</v>
      </c>
      <c r="GG1922" s="104">
        <f t="shared" si="585"/>
        <v>31</v>
      </c>
      <c r="GH1922" s="35">
        <v>44043</v>
      </c>
      <c r="GI1922" s="26">
        <v>1.45</v>
      </c>
      <c r="GJ1922" s="94">
        <f t="shared" si="586"/>
        <v>2.9</v>
      </c>
      <c r="GK1922" s="104"/>
      <c r="GL1922" s="104"/>
    </row>
    <row r="1923" spans="3:194">
      <c r="C1923" s="80" t="str" cm="1">
        <f t="array" ref="C1923">_xlfn.IFS(MONTH(D1923)&lt;4,1,MONTH(D1923)&lt;7,2,MONTH(D1923)&lt;10,3,MONTH(D1923)&gt;9,4)&amp;"Q"&amp;RIGHT(YEAR(D1923),2)</f>
        <v>3Q23</v>
      </c>
      <c r="D1923" s="81">
        <f t="shared" si="577"/>
        <v>45199</v>
      </c>
      <c r="E1923" s="82">
        <f t="shared" si="570"/>
        <v>45187</v>
      </c>
      <c r="F1923" s="83">
        <f t="shared" si="587"/>
        <v>0.17975</v>
      </c>
      <c r="G1923" s="83">
        <f t="shared" si="587"/>
        <v>0.1625</v>
      </c>
      <c r="H1923" s="81"/>
      <c r="I1923" s="146">
        <v>45187</v>
      </c>
      <c r="J1923" s="147">
        <v>1.68</v>
      </c>
      <c r="K1923" s="147">
        <v>1.33</v>
      </c>
      <c r="L1923" s="147">
        <v>1.438</v>
      </c>
      <c r="M1923" s="59" cm="1">
        <f t="array" ref="M1923">INDEX($BV$29:$BV$1449,MATCH($D1923,$BR$29:$BR$1449,0),)</f>
        <v>1.3</v>
      </c>
      <c r="N1923" s="150">
        <f t="shared" si="581"/>
        <v>0.00559440559440549</v>
      </c>
      <c r="O1923" s="150">
        <f t="shared" si="582"/>
        <v>0.0300859598853869</v>
      </c>
      <c r="P1923" s="150">
        <f t="shared" si="569"/>
        <v>0.0256776034236805</v>
      </c>
      <c r="Q1923" s="89">
        <f t="shared" si="571"/>
        <v>0.106153846153846</v>
      </c>
      <c r="S1923" s="82">
        <f t="shared" si="572"/>
        <v>45187</v>
      </c>
      <c r="T1923" s="83">
        <f t="shared" si="588"/>
        <v>0.2551875</v>
      </c>
      <c r="U1923" s="83">
        <f t="shared" si="588"/>
        <v>0.2125</v>
      </c>
      <c r="W1923" s="146">
        <v>45187</v>
      </c>
      <c r="X1923" s="147">
        <v>4.45</v>
      </c>
      <c r="Y1923" s="147">
        <v>3.65</v>
      </c>
      <c r="Z1923" s="147">
        <v>4.083</v>
      </c>
      <c r="AA1923" s="59" cm="1">
        <f t="array" ref="AA1923">INDEX($BX$29:$BX$1449,MATCH($D1923,$BR$29:$BR$1449,0),)</f>
        <v>3.4</v>
      </c>
      <c r="AB1923" s="150">
        <f t="shared" si="573"/>
        <v>0.00814814814814824</v>
      </c>
      <c r="AC1923" s="150">
        <f t="shared" si="575"/>
        <v>0.0225394440270474</v>
      </c>
      <c r="AD1923" s="150">
        <f t="shared" si="578"/>
        <v>0.0284634760705289</v>
      </c>
      <c r="AE1923" s="89">
        <f t="shared" si="574"/>
        <v>0.200882352941177</v>
      </c>
      <c r="AF1923" s="36"/>
      <c r="GF1923" s="104">
        <f t="shared" si="584"/>
        <v>2020</v>
      </c>
      <c r="GG1923" s="104">
        <f t="shared" si="585"/>
        <v>32</v>
      </c>
      <c r="GH1923" s="35">
        <v>44046</v>
      </c>
      <c r="GI1923" s="26">
        <v>1.446</v>
      </c>
      <c r="GJ1923" s="94">
        <f t="shared" si="586"/>
        <v>2.892</v>
      </c>
      <c r="GK1923" s="104"/>
      <c r="GL1923" s="104"/>
    </row>
    <row r="1924" spans="3:194">
      <c r="C1924" s="80" t="str" cm="1">
        <f t="array" ref="C1924">_xlfn.IFS(MONTH(D1924)&lt;4,1,MONTH(D1924)&lt;7,2,MONTH(D1924)&lt;10,3,MONTH(D1924)&gt;9,4)&amp;"Q"&amp;RIGHT(YEAR(D1924),2)</f>
        <v>3Q23</v>
      </c>
      <c r="D1924" s="81">
        <f t="shared" si="577"/>
        <v>45199</v>
      </c>
      <c r="E1924" s="82">
        <f t="shared" si="570"/>
        <v>45188</v>
      </c>
      <c r="F1924" s="83">
        <f t="shared" si="587"/>
        <v>0.179375</v>
      </c>
      <c r="G1924" s="83">
        <f t="shared" si="587"/>
        <v>0.1625</v>
      </c>
      <c r="H1924" s="81"/>
      <c r="I1924" s="146">
        <v>45188</v>
      </c>
      <c r="J1924" s="147">
        <v>1.68</v>
      </c>
      <c r="K1924" s="147">
        <v>1.33</v>
      </c>
      <c r="L1924" s="147">
        <v>1.435</v>
      </c>
      <c r="M1924" s="59" cm="1">
        <f t="array" ref="M1924">INDEX($BV$29:$BV$1449,MATCH($D1924,$BR$29:$BR$1449,0),)</f>
        <v>1.3</v>
      </c>
      <c r="N1924" s="150">
        <f t="shared" si="581"/>
        <v>-0.00208623087621684</v>
      </c>
      <c r="O1924" s="150">
        <f t="shared" si="582"/>
        <v>0.0250000000000001</v>
      </c>
      <c r="P1924" s="150">
        <f t="shared" si="569"/>
        <v>0.0250000000000001</v>
      </c>
      <c r="Q1924" s="89">
        <f t="shared" si="571"/>
        <v>0.103846153846154</v>
      </c>
      <c r="S1924" s="82">
        <f t="shared" si="572"/>
        <v>45188</v>
      </c>
      <c r="T1924" s="83">
        <f t="shared" si="588"/>
        <v>0.2551875</v>
      </c>
      <c r="U1924" s="83">
        <f t="shared" si="588"/>
        <v>0.2125</v>
      </c>
      <c r="W1924" s="146">
        <v>45188</v>
      </c>
      <c r="X1924" s="147">
        <v>4.45</v>
      </c>
      <c r="Y1924" s="147">
        <v>3.65</v>
      </c>
      <c r="Z1924" s="147">
        <v>4.083</v>
      </c>
      <c r="AA1924" s="59" cm="1">
        <f t="array" ref="AA1924">INDEX($BX$29:$BX$1449,MATCH($D1924,$BR$29:$BR$1449,0),)</f>
        <v>3.4</v>
      </c>
      <c r="AB1924" s="150">
        <f t="shared" si="573"/>
        <v>0</v>
      </c>
      <c r="AC1924" s="150">
        <f t="shared" si="575"/>
        <v>0.015671641791045</v>
      </c>
      <c r="AD1924" s="150">
        <f t="shared" si="578"/>
        <v>0.0284634760705289</v>
      </c>
      <c r="AE1924" s="89">
        <f t="shared" si="574"/>
        <v>0.200882352941177</v>
      </c>
      <c r="AF1924" s="36"/>
      <c r="GF1924" s="104">
        <f t="shared" si="584"/>
        <v>2020</v>
      </c>
      <c r="GG1924" s="104">
        <f t="shared" si="585"/>
        <v>32</v>
      </c>
      <c r="GH1924" s="35">
        <v>44047</v>
      </c>
      <c r="GI1924" s="26">
        <v>1.444</v>
      </c>
      <c r="GJ1924" s="94">
        <f t="shared" si="586"/>
        <v>2.888</v>
      </c>
      <c r="GK1924" s="104"/>
      <c r="GL1924" s="104"/>
    </row>
    <row r="1925" spans="3:194">
      <c r="C1925" s="80" t="str" cm="1">
        <f t="array" ref="C1925">_xlfn.IFS(MONTH(D1925)&lt;4,1,MONTH(D1925)&lt;7,2,MONTH(D1925)&lt;10,3,MONTH(D1925)&gt;9,4)&amp;"Q"&amp;RIGHT(YEAR(D1925),2)</f>
        <v>3Q23</v>
      </c>
      <c r="D1925" s="81">
        <f t="shared" si="577"/>
        <v>45199</v>
      </c>
      <c r="E1925" s="82">
        <f t="shared" si="570"/>
        <v>45189</v>
      </c>
      <c r="F1925" s="83">
        <f t="shared" si="587"/>
        <v>0.179375</v>
      </c>
      <c r="G1925" s="83">
        <f t="shared" si="587"/>
        <v>0.1625</v>
      </c>
      <c r="H1925" s="81"/>
      <c r="I1925" s="146">
        <v>45189</v>
      </c>
      <c r="J1925" s="147">
        <v>1.68</v>
      </c>
      <c r="K1925" s="147">
        <v>1.33</v>
      </c>
      <c r="L1925" s="147">
        <v>1.435</v>
      </c>
      <c r="M1925" s="59" cm="1">
        <f t="array" ref="M1925">INDEX($BV$29:$BV$1449,MATCH($D1925,$BR$29:$BR$1449,0),)</f>
        <v>1.3</v>
      </c>
      <c r="N1925" s="150">
        <f t="shared" si="581"/>
        <v>0</v>
      </c>
      <c r="O1925" s="150">
        <f t="shared" si="582"/>
        <v>0.0213523131672597</v>
      </c>
      <c r="P1925" s="150">
        <f t="shared" si="569"/>
        <v>0.0264663805436338</v>
      </c>
      <c r="Q1925" s="89">
        <f t="shared" si="571"/>
        <v>0.103846153846154</v>
      </c>
      <c r="S1925" s="82">
        <f t="shared" si="572"/>
        <v>45189</v>
      </c>
      <c r="T1925" s="83">
        <f t="shared" si="588"/>
        <v>0.25625</v>
      </c>
      <c r="U1925" s="83">
        <f t="shared" si="588"/>
        <v>0.2125</v>
      </c>
      <c r="W1925" s="146">
        <v>45189</v>
      </c>
      <c r="X1925" s="147">
        <v>4.45</v>
      </c>
      <c r="Y1925" s="147">
        <v>3.7</v>
      </c>
      <c r="Z1925" s="147">
        <v>4.1</v>
      </c>
      <c r="AA1925" s="59" cm="1">
        <f t="array" ref="AA1925">INDEX($BX$29:$BX$1449,MATCH($D1925,$BR$29:$BR$1449,0),)</f>
        <v>3.4</v>
      </c>
      <c r="AB1925" s="150">
        <f t="shared" si="573"/>
        <v>0.00416360519226044</v>
      </c>
      <c r="AC1925" s="150">
        <f t="shared" si="575"/>
        <v>0.0166129432184476</v>
      </c>
      <c r="AD1925" s="150">
        <f t="shared" si="578"/>
        <v>0.0301507537688441</v>
      </c>
      <c r="AE1925" s="89">
        <f t="shared" si="574"/>
        <v>0.205882352941176</v>
      </c>
      <c r="AF1925" s="36"/>
      <c r="GF1925" s="104">
        <f t="shared" si="584"/>
        <v>2020</v>
      </c>
      <c r="GG1925" s="104">
        <f t="shared" si="585"/>
        <v>32</v>
      </c>
      <c r="GH1925" s="35">
        <v>44048</v>
      </c>
      <c r="GI1925" s="26">
        <v>1.438</v>
      </c>
      <c r="GJ1925" s="94">
        <f t="shared" si="586"/>
        <v>2.876</v>
      </c>
      <c r="GK1925" s="104"/>
      <c r="GL1925" s="104"/>
    </row>
    <row r="1926" spans="3:194">
      <c r="C1926" s="80" t="str" cm="1">
        <f t="array" ref="C1926">_xlfn.IFS(MONTH(D1926)&lt;4,1,MONTH(D1926)&lt;7,2,MONTH(D1926)&lt;10,3,MONTH(D1926)&gt;9,4)&amp;"Q"&amp;RIGHT(YEAR(D1926),2)</f>
        <v>3Q23</v>
      </c>
      <c r="D1926" s="81">
        <f t="shared" si="577"/>
        <v>45199</v>
      </c>
      <c r="E1926" s="82">
        <f t="shared" si="570"/>
        <v>45190</v>
      </c>
      <c r="F1926" s="83">
        <f t="shared" si="587"/>
        <v>0.17975</v>
      </c>
      <c r="G1926" s="83">
        <f t="shared" si="587"/>
        <v>0.1625</v>
      </c>
      <c r="H1926" s="81"/>
      <c r="I1926" s="146">
        <v>45190</v>
      </c>
      <c r="J1926" s="147">
        <v>1.67</v>
      </c>
      <c r="K1926" s="147">
        <v>1.33</v>
      </c>
      <c r="L1926" s="147">
        <v>1.438</v>
      </c>
      <c r="M1926" s="59" cm="1">
        <f t="array" ref="M1926">INDEX($BV$29:$BV$1449,MATCH($D1926,$BR$29:$BR$1449,0),)</f>
        <v>1.3</v>
      </c>
      <c r="N1926" s="150">
        <f t="shared" si="581"/>
        <v>0.00209059233449471</v>
      </c>
      <c r="O1926" s="150">
        <f t="shared" si="582"/>
        <v>0.0126760563380282</v>
      </c>
      <c r="P1926" s="150">
        <f t="shared" si="569"/>
        <v>0.0308243727598565</v>
      </c>
      <c r="Q1926" s="89">
        <f t="shared" si="571"/>
        <v>0.106153846153846</v>
      </c>
      <c r="S1926" s="82">
        <f t="shared" si="572"/>
        <v>45190</v>
      </c>
      <c r="T1926" s="83">
        <f t="shared" si="588"/>
        <v>0.25625</v>
      </c>
      <c r="U1926" s="83">
        <f t="shared" si="588"/>
        <v>0.2125</v>
      </c>
      <c r="W1926" s="146">
        <v>45190</v>
      </c>
      <c r="X1926" s="147">
        <v>4.45</v>
      </c>
      <c r="Y1926" s="147">
        <v>3.7</v>
      </c>
      <c r="Z1926" s="147">
        <v>4.1</v>
      </c>
      <c r="AA1926" s="59" cm="1">
        <f t="array" ref="AA1926">INDEX($BX$29:$BX$1449,MATCH($D1926,$BR$29:$BR$1449,0),)</f>
        <v>3.4</v>
      </c>
      <c r="AB1926" s="150">
        <f t="shared" si="573"/>
        <v>0</v>
      </c>
      <c r="AC1926" s="150">
        <f t="shared" si="575"/>
        <v>0.0148514851485149</v>
      </c>
      <c r="AD1926" s="150">
        <f t="shared" si="578"/>
        <v>0.0301507537688441</v>
      </c>
      <c r="AE1926" s="89">
        <f t="shared" si="574"/>
        <v>0.205882352941176</v>
      </c>
      <c r="AF1926" s="36"/>
      <c r="GF1926" s="104">
        <f t="shared" si="584"/>
        <v>2020</v>
      </c>
      <c r="GG1926" s="104">
        <f t="shared" si="585"/>
        <v>32</v>
      </c>
      <c r="GH1926" s="35">
        <v>44049</v>
      </c>
      <c r="GI1926" s="26">
        <v>1.431</v>
      </c>
      <c r="GJ1926" s="94">
        <f t="shared" si="586"/>
        <v>2.862</v>
      </c>
      <c r="GK1926" s="104"/>
      <c r="GL1926" s="104"/>
    </row>
    <row r="1927" spans="3:194">
      <c r="C1927" s="80" t="str" cm="1">
        <f t="array" ref="C1927">_xlfn.IFS(MONTH(D1927)&lt;4,1,MONTH(D1927)&lt;7,2,MONTH(D1927)&lt;10,3,MONTH(D1927)&gt;9,4)&amp;"Q"&amp;RIGHT(YEAR(D1927),2)</f>
        <v>3Q23</v>
      </c>
      <c r="D1927" s="81">
        <f t="shared" si="577"/>
        <v>45199</v>
      </c>
      <c r="E1927" s="82">
        <f t="shared" si="570"/>
        <v>45191</v>
      </c>
      <c r="F1927" s="83">
        <f t="shared" si="587"/>
        <v>0.17975</v>
      </c>
      <c r="G1927" s="83">
        <f t="shared" si="587"/>
        <v>0.1625</v>
      </c>
      <c r="H1927" s="81"/>
      <c r="I1927" s="146">
        <v>45191</v>
      </c>
      <c r="J1927" s="147">
        <v>1.65</v>
      </c>
      <c r="K1927" s="147">
        <v>1.35</v>
      </c>
      <c r="L1927" s="147">
        <v>1.438</v>
      </c>
      <c r="M1927" s="59" cm="1">
        <f t="array" ref="M1927">INDEX($BV$29:$BV$1449,MATCH($D1927,$BR$29:$BR$1449,0),)</f>
        <v>1.3</v>
      </c>
      <c r="N1927" s="150">
        <f t="shared" si="581"/>
        <v>0</v>
      </c>
      <c r="O1927" s="150">
        <f t="shared" si="582"/>
        <v>0.00559440559440549</v>
      </c>
      <c r="P1927" s="150">
        <f t="shared" si="569"/>
        <v>0.0308243727598565</v>
      </c>
      <c r="Q1927" s="89">
        <f t="shared" si="571"/>
        <v>0.106153846153846</v>
      </c>
      <c r="S1927" s="82">
        <f t="shared" si="572"/>
        <v>45191</v>
      </c>
      <c r="T1927" s="83">
        <f t="shared" si="588"/>
        <v>0.2576875</v>
      </c>
      <c r="U1927" s="83">
        <f t="shared" si="588"/>
        <v>0.2125</v>
      </c>
      <c r="W1927" s="146">
        <v>45191</v>
      </c>
      <c r="X1927" s="147">
        <v>4.5</v>
      </c>
      <c r="Y1927" s="147">
        <v>3.75</v>
      </c>
      <c r="Z1927" s="147">
        <v>4.123</v>
      </c>
      <c r="AA1927" s="59" cm="1">
        <f t="array" ref="AA1927">INDEX($BX$29:$BX$1449,MATCH($D1927,$BR$29:$BR$1449,0),)</f>
        <v>3.4</v>
      </c>
      <c r="AB1927" s="150">
        <f t="shared" si="573"/>
        <v>0.0056097560975612</v>
      </c>
      <c r="AC1927" s="150">
        <f t="shared" si="575"/>
        <v>0.0180246913580249</v>
      </c>
      <c r="AD1927" s="150">
        <f t="shared" si="578"/>
        <v>0.032556974705735</v>
      </c>
      <c r="AE1927" s="89">
        <f t="shared" si="574"/>
        <v>0.212647058823529</v>
      </c>
      <c r="AF1927" s="36"/>
      <c r="GF1927" s="104">
        <f t="shared" si="584"/>
        <v>2020</v>
      </c>
      <c r="GG1927" s="104">
        <f t="shared" si="585"/>
        <v>32</v>
      </c>
      <c r="GH1927" s="35">
        <v>44050</v>
      </c>
      <c r="GI1927" s="26">
        <v>1.419</v>
      </c>
      <c r="GJ1927" s="94">
        <f t="shared" si="586"/>
        <v>2.838</v>
      </c>
      <c r="GK1927" s="104"/>
      <c r="GL1927" s="104"/>
    </row>
    <row r="1928" spans="3:194">
      <c r="C1928" s="80" t="str" cm="1">
        <f t="array" ref="C1928">_xlfn.IFS(MONTH(D1928)&lt;4,1,MONTH(D1928)&lt;7,2,MONTH(D1928)&lt;10,3,MONTH(D1928)&gt;9,4)&amp;"Q"&amp;RIGHT(YEAR(D1928),2)</f>
        <v>3Q23</v>
      </c>
      <c r="D1928" s="81">
        <f t="shared" si="577"/>
        <v>45199</v>
      </c>
      <c r="E1928" s="82">
        <f t="shared" si="570"/>
        <v>45194</v>
      </c>
      <c r="F1928" s="83">
        <f t="shared" si="587"/>
        <v>0.18</v>
      </c>
      <c r="G1928" s="83">
        <f t="shared" si="587"/>
        <v>0.1625</v>
      </c>
      <c r="H1928" s="81"/>
      <c r="I1928" s="146">
        <v>45194</v>
      </c>
      <c r="J1928" s="147">
        <v>1.65</v>
      </c>
      <c r="K1928" s="147">
        <v>1.35</v>
      </c>
      <c r="L1928" s="147">
        <v>1.44</v>
      </c>
      <c r="M1928" s="59" cm="1">
        <f t="array" ref="M1928">INDEX($BV$29:$BV$1449,MATCH($D1928,$BR$29:$BR$1449,0),)</f>
        <v>1.3</v>
      </c>
      <c r="N1928" s="150">
        <f t="shared" si="581"/>
        <v>0.00139082058414464</v>
      </c>
      <c r="O1928" s="150">
        <f t="shared" si="582"/>
        <v>0.00139082058414464</v>
      </c>
      <c r="P1928" s="150">
        <f t="shared" si="569"/>
        <v>0.0315186246418337</v>
      </c>
      <c r="Q1928" s="89">
        <f t="shared" si="571"/>
        <v>0.107692307692308</v>
      </c>
      <c r="S1928" s="82">
        <f t="shared" si="572"/>
        <v>45194</v>
      </c>
      <c r="T1928" s="83">
        <f t="shared" si="588"/>
        <v>0.258125</v>
      </c>
      <c r="U1928" s="83">
        <f t="shared" si="588"/>
        <v>0.2125</v>
      </c>
      <c r="W1928" s="146">
        <v>45194</v>
      </c>
      <c r="X1928" s="147">
        <v>4.5</v>
      </c>
      <c r="Y1928" s="147">
        <v>3.8</v>
      </c>
      <c r="Z1928" s="147">
        <v>4.13</v>
      </c>
      <c r="AA1928" s="59" cm="1">
        <f t="array" ref="AA1928">INDEX($BX$29:$BX$1449,MATCH($D1928,$BR$29:$BR$1449,0),)</f>
        <v>3.4</v>
      </c>
      <c r="AB1928" s="150">
        <f t="shared" si="573"/>
        <v>0.00169779286926985</v>
      </c>
      <c r="AC1928" s="150">
        <f t="shared" si="575"/>
        <v>0.011511143766838</v>
      </c>
      <c r="AD1928" s="150">
        <f t="shared" si="578"/>
        <v>0.0343100425745053</v>
      </c>
      <c r="AE1928" s="89">
        <f t="shared" si="574"/>
        <v>0.214705882352941</v>
      </c>
      <c r="AF1928" s="36"/>
      <c r="GF1928" s="104">
        <f t="shared" si="584"/>
        <v>2020</v>
      </c>
      <c r="GG1928" s="104">
        <f t="shared" si="585"/>
        <v>33</v>
      </c>
      <c r="GH1928" s="35">
        <v>44053</v>
      </c>
      <c r="GI1928" s="26">
        <v>1.415</v>
      </c>
      <c r="GJ1928" s="94">
        <f t="shared" si="586"/>
        <v>2.83</v>
      </c>
      <c r="GK1928" s="104"/>
      <c r="GL1928" s="104"/>
    </row>
    <row r="1929" spans="3:194">
      <c r="C1929" s="80" t="str" cm="1">
        <f t="array" ref="C1929">_xlfn.IFS(MONTH(D1929)&lt;4,1,MONTH(D1929)&lt;7,2,MONTH(D1929)&lt;10,3,MONTH(D1929)&gt;9,4)&amp;"Q"&amp;RIGHT(YEAR(D1929),2)</f>
        <v>3Q23</v>
      </c>
      <c r="D1929" s="81">
        <f t="shared" si="577"/>
        <v>45199</v>
      </c>
      <c r="E1929" s="82">
        <f t="shared" si="570"/>
        <v>45195</v>
      </c>
      <c r="F1929" s="83">
        <f t="shared" si="587"/>
        <v>0.180375</v>
      </c>
      <c r="G1929" s="83">
        <f t="shared" si="587"/>
        <v>0.1625</v>
      </c>
      <c r="H1929" s="81"/>
      <c r="I1929" s="146">
        <v>45195</v>
      </c>
      <c r="J1929" s="147">
        <v>1.65</v>
      </c>
      <c r="K1929" s="147">
        <v>1.37</v>
      </c>
      <c r="L1929" s="147">
        <v>1.443</v>
      </c>
      <c r="M1929" s="59" cm="1">
        <f t="array" ref="M1929">INDEX($BV$29:$BV$1449,MATCH($D1929,$BR$29:$BR$1449,0),)</f>
        <v>1.3</v>
      </c>
      <c r="N1929" s="150">
        <f t="shared" si="581"/>
        <v>0.00208333333333344</v>
      </c>
      <c r="O1929" s="150">
        <f t="shared" si="582"/>
        <v>0.00557491289198597</v>
      </c>
      <c r="P1929" s="150">
        <f t="shared" si="569"/>
        <v>0.0307142857142859</v>
      </c>
      <c r="Q1929" s="89">
        <f t="shared" si="571"/>
        <v>0.11</v>
      </c>
      <c r="S1929" s="82">
        <f t="shared" si="572"/>
        <v>45195</v>
      </c>
      <c r="T1929" s="83">
        <f t="shared" si="588"/>
        <v>0.2583125</v>
      </c>
      <c r="U1929" s="83">
        <f t="shared" si="588"/>
        <v>0.2125</v>
      </c>
      <c r="W1929" s="146">
        <v>45195</v>
      </c>
      <c r="X1929" s="147">
        <v>4.5</v>
      </c>
      <c r="Y1929" s="147">
        <v>3.8</v>
      </c>
      <c r="Z1929" s="147">
        <v>4.133</v>
      </c>
      <c r="AA1929" s="59" cm="1">
        <f t="array" ref="AA1929">INDEX($BX$29:$BX$1449,MATCH($D1929,$BR$29:$BR$1449,0),)</f>
        <v>3.4</v>
      </c>
      <c r="AB1929" s="150">
        <f t="shared" si="573"/>
        <v>0.000726392251815922</v>
      </c>
      <c r="AC1929" s="150">
        <f t="shared" si="575"/>
        <v>0.0122458976242958</v>
      </c>
      <c r="AD1929" s="150">
        <f t="shared" si="578"/>
        <v>0.0281094527363186</v>
      </c>
      <c r="AE1929" s="89">
        <f t="shared" si="574"/>
        <v>0.215588235294118</v>
      </c>
      <c r="AF1929" s="36"/>
      <c r="GF1929" s="104">
        <f t="shared" si="584"/>
        <v>2020</v>
      </c>
      <c r="GG1929" s="104">
        <f t="shared" si="585"/>
        <v>33</v>
      </c>
      <c r="GH1929" s="35">
        <v>44054</v>
      </c>
      <c r="GI1929" s="26">
        <v>1.413</v>
      </c>
      <c r="GJ1929" s="94">
        <f t="shared" si="586"/>
        <v>2.826</v>
      </c>
      <c r="GK1929" s="104"/>
      <c r="GL1929" s="104"/>
    </row>
    <row r="1930" spans="3:194">
      <c r="C1930" s="80" t="str" cm="1">
        <f t="array" ref="C1930">_xlfn.IFS(MONTH(D1930)&lt;4,1,MONTH(D1930)&lt;7,2,MONTH(D1930)&lt;10,3,MONTH(D1930)&gt;9,4)&amp;"Q"&amp;RIGHT(YEAR(D1930),2)</f>
        <v>3Q23</v>
      </c>
      <c r="D1930" s="81">
        <f t="shared" si="577"/>
        <v>45199</v>
      </c>
      <c r="E1930" s="82">
        <f t="shared" si="570"/>
        <v>45196</v>
      </c>
      <c r="F1930" s="83">
        <f t="shared" ref="F1930:G1945" si="589">+L1930/8</f>
        <v>0.18125</v>
      </c>
      <c r="G1930" s="83">
        <f t="shared" si="589"/>
        <v>0.1625</v>
      </c>
      <c r="H1930" s="81"/>
      <c r="I1930" s="146">
        <v>45196</v>
      </c>
      <c r="J1930" s="147">
        <v>1.65</v>
      </c>
      <c r="K1930" s="147">
        <v>1.37</v>
      </c>
      <c r="L1930" s="147">
        <v>1.45</v>
      </c>
      <c r="M1930" s="59" cm="1">
        <f t="array" ref="M1930">INDEX($BV$29:$BV$1449,MATCH($D1930,$BR$29:$BR$1449,0),)</f>
        <v>1.3</v>
      </c>
      <c r="N1930" s="150">
        <f t="shared" si="581"/>
        <v>0.00485100485100487</v>
      </c>
      <c r="O1930" s="150">
        <f t="shared" si="582"/>
        <v>0.0104529616724738</v>
      </c>
      <c r="P1930" s="150">
        <f t="shared" si="569"/>
        <v>0.0320284697508897</v>
      </c>
      <c r="Q1930" s="89">
        <f t="shared" si="571"/>
        <v>0.115384615384615</v>
      </c>
      <c r="S1930" s="82">
        <f t="shared" si="572"/>
        <v>45196</v>
      </c>
      <c r="T1930" s="83">
        <f t="shared" si="588"/>
        <v>0.2579375</v>
      </c>
      <c r="U1930" s="83">
        <f t="shared" si="588"/>
        <v>0.2125</v>
      </c>
      <c r="W1930" s="146">
        <v>45196</v>
      </c>
      <c r="X1930" s="147">
        <v>4.5</v>
      </c>
      <c r="Y1930" s="147">
        <v>3.8</v>
      </c>
      <c r="Z1930" s="147">
        <v>4.127</v>
      </c>
      <c r="AA1930" s="59" cm="1">
        <f t="array" ref="AA1930">INDEX($BX$29:$BX$1449,MATCH($D1930,$BR$29:$BR$1449,0),)</f>
        <v>3.4</v>
      </c>
      <c r="AB1930" s="150">
        <f t="shared" si="573"/>
        <v>-0.00145172997822407</v>
      </c>
      <c r="AC1930" s="150">
        <f t="shared" si="575"/>
        <v>0.00658536585365854</v>
      </c>
      <c r="AD1930" s="150">
        <f t="shared" si="578"/>
        <v>0.0233077113811058</v>
      </c>
      <c r="AE1930" s="89">
        <f t="shared" si="574"/>
        <v>0.213823529411765</v>
      </c>
      <c r="AF1930" s="36"/>
      <c r="GF1930" s="104">
        <f t="shared" si="584"/>
        <v>2020</v>
      </c>
      <c r="GG1930" s="104">
        <f t="shared" si="585"/>
        <v>33</v>
      </c>
      <c r="GH1930" s="35">
        <v>44055</v>
      </c>
      <c r="GI1930" s="26">
        <v>1.413</v>
      </c>
      <c r="GJ1930" s="94">
        <f t="shared" si="586"/>
        <v>2.826</v>
      </c>
      <c r="GK1930" s="104"/>
      <c r="GL1930" s="104"/>
    </row>
    <row r="1931" spans="3:194">
      <c r="C1931" s="80" t="str" cm="1">
        <f t="array" ref="C1931">_xlfn.IFS(MONTH(D1931)&lt;4,1,MONTH(D1931)&lt;7,2,MONTH(D1931)&lt;10,3,MONTH(D1931)&gt;9,4)&amp;"Q"&amp;RIGHT(YEAR(D1931),2)</f>
        <v>3Q23</v>
      </c>
      <c r="D1931" s="81">
        <f t="shared" si="577"/>
        <v>45199</v>
      </c>
      <c r="E1931" s="82">
        <f t="shared" si="570"/>
        <v>45197</v>
      </c>
      <c r="F1931" s="83">
        <f t="shared" si="589"/>
        <v>0.18125</v>
      </c>
      <c r="G1931" s="83">
        <f t="shared" si="589"/>
        <v>0.1625</v>
      </c>
      <c r="H1931" s="81"/>
      <c r="I1931" s="146">
        <v>45197</v>
      </c>
      <c r="J1931" s="147">
        <v>1.65</v>
      </c>
      <c r="K1931" s="147">
        <v>1.37</v>
      </c>
      <c r="L1931" s="147">
        <v>1.45</v>
      </c>
      <c r="M1931" s="59" cm="1">
        <f t="array" ref="M1931">INDEX($BV$29:$BV$1449,MATCH($D1931,$BR$29:$BR$1449,0),)</f>
        <v>1.3</v>
      </c>
      <c r="N1931" s="150">
        <f t="shared" si="581"/>
        <v>0</v>
      </c>
      <c r="O1931" s="150">
        <f t="shared" si="582"/>
        <v>0.00834492350486782</v>
      </c>
      <c r="P1931" s="150">
        <f t="shared" si="569"/>
        <v>0.0211267605633803</v>
      </c>
      <c r="Q1931" s="89">
        <f t="shared" si="571"/>
        <v>0.115384615384615</v>
      </c>
      <c r="S1931" s="82">
        <f t="shared" si="572"/>
        <v>45197</v>
      </c>
      <c r="T1931" s="83">
        <f t="shared" si="588"/>
        <v>0.2579375</v>
      </c>
      <c r="U1931" s="83">
        <f t="shared" si="588"/>
        <v>0.2125</v>
      </c>
      <c r="W1931" s="146">
        <v>45197</v>
      </c>
      <c r="X1931" s="147">
        <v>4.5</v>
      </c>
      <c r="Y1931" s="147">
        <v>3.8</v>
      </c>
      <c r="Z1931" s="147">
        <v>4.127</v>
      </c>
      <c r="AA1931" s="59" cm="1">
        <f t="array" ref="AA1931">INDEX($BX$29:$BX$1449,MATCH($D1931,$BR$29:$BR$1449,0),)</f>
        <v>3.4</v>
      </c>
      <c r="AB1931" s="150">
        <f t="shared" si="573"/>
        <v>0</v>
      </c>
      <c r="AC1931" s="150">
        <f t="shared" si="575"/>
        <v>0.00658536585365854</v>
      </c>
      <c r="AD1931" s="150">
        <f t="shared" si="578"/>
        <v>0.0215346534653464</v>
      </c>
      <c r="AE1931" s="89">
        <f t="shared" si="574"/>
        <v>0.213823529411765</v>
      </c>
      <c r="AF1931" s="36"/>
      <c r="GF1931" s="104">
        <f t="shared" si="584"/>
        <v>2020</v>
      </c>
      <c r="GG1931" s="104">
        <f t="shared" si="585"/>
        <v>33</v>
      </c>
      <c r="GH1931" s="35">
        <v>44056</v>
      </c>
      <c r="GI1931" s="26">
        <v>1.413</v>
      </c>
      <c r="GJ1931" s="94">
        <f t="shared" si="586"/>
        <v>2.826</v>
      </c>
      <c r="GK1931" s="104"/>
      <c r="GL1931" s="104"/>
    </row>
    <row r="1932" spans="3:194">
      <c r="C1932" s="80" t="str" cm="1">
        <f t="array" ref="C1932">_xlfn.IFS(MONTH(D1932)&lt;4,1,MONTH(D1932)&lt;7,2,MONTH(D1932)&lt;10,3,MONTH(D1932)&gt;9,4)&amp;"Q"&amp;RIGHT(YEAR(D1932),2)</f>
        <v>4Q23</v>
      </c>
      <c r="D1932" s="81">
        <f t="shared" si="577"/>
        <v>45230</v>
      </c>
      <c r="E1932" s="82">
        <f t="shared" si="570"/>
        <v>45201</v>
      </c>
      <c r="F1932" s="83">
        <f t="shared" si="589"/>
        <v>0.181875</v>
      </c>
      <c r="G1932" s="83">
        <f t="shared" si="589"/>
        <v>0.1875</v>
      </c>
      <c r="H1932" s="81"/>
      <c r="I1932" s="146">
        <v>45201</v>
      </c>
      <c r="J1932" s="147">
        <v>1.66</v>
      </c>
      <c r="K1932" s="147">
        <v>1.38</v>
      </c>
      <c r="L1932" s="147">
        <v>1.455</v>
      </c>
      <c r="M1932" s="59" cm="1">
        <f t="array" ref="M1932">INDEX($BV$29:$BV$1449,MATCH($D1932,$BR$29:$BR$1449,0),)</f>
        <v>1.5</v>
      </c>
      <c r="N1932" s="150">
        <f t="shared" si="581"/>
        <v>0.00344827586206908</v>
      </c>
      <c r="O1932" s="150">
        <f t="shared" si="582"/>
        <v>0.0118219749652295</v>
      </c>
      <c r="P1932" s="150">
        <f t="shared" si="569"/>
        <v>0.0174825174825175</v>
      </c>
      <c r="Q1932" s="89">
        <f t="shared" si="571"/>
        <v>-0.0299999999999999</v>
      </c>
      <c r="S1932" s="82">
        <f t="shared" si="572"/>
        <v>45201</v>
      </c>
      <c r="T1932" s="83">
        <f t="shared" si="588"/>
        <v>0.2576875</v>
      </c>
      <c r="U1932" s="83">
        <f t="shared" si="588"/>
        <v>0.2375</v>
      </c>
      <c r="W1932" s="146">
        <v>45201</v>
      </c>
      <c r="X1932" s="147">
        <v>4.48</v>
      </c>
      <c r="Y1932" s="147">
        <v>3.82</v>
      </c>
      <c r="Z1932" s="147">
        <v>4.123</v>
      </c>
      <c r="AA1932" s="59" cm="1">
        <f t="array" ref="AA1932">INDEX($BX$29:$BX$1449,MATCH($D1932,$BR$29:$BR$1449,0),)</f>
        <v>3.8</v>
      </c>
      <c r="AB1932" s="150">
        <f t="shared" si="573"/>
        <v>-0.000969227041434317</v>
      </c>
      <c r="AC1932" s="150">
        <f t="shared" si="575"/>
        <v>0</v>
      </c>
      <c r="AD1932" s="150">
        <f t="shared" si="578"/>
        <v>0.0180246913580249</v>
      </c>
      <c r="AE1932" s="89">
        <f t="shared" si="574"/>
        <v>0.0850000000000002</v>
      </c>
      <c r="AF1932" s="36"/>
      <c r="GF1932" s="104">
        <f t="shared" si="584"/>
        <v>2020</v>
      </c>
      <c r="GG1932" s="104">
        <f t="shared" si="585"/>
        <v>33</v>
      </c>
      <c r="GH1932" s="35">
        <v>44057</v>
      </c>
      <c r="GI1932" s="26">
        <v>1.408</v>
      </c>
      <c r="GJ1932" s="94">
        <f t="shared" si="586"/>
        <v>2.816</v>
      </c>
      <c r="GK1932" s="104"/>
      <c r="GL1932" s="104"/>
    </row>
    <row r="1933" spans="3:194">
      <c r="C1933" s="80" t="str" cm="1">
        <f t="array" ref="C1933">_xlfn.IFS(MONTH(D1933)&lt;4,1,MONTH(D1933)&lt;7,2,MONTH(D1933)&lt;10,3,MONTH(D1933)&gt;9,4)&amp;"Q"&amp;RIGHT(YEAR(D1933),2)</f>
        <v>4Q23</v>
      </c>
      <c r="D1933" s="81">
        <f t="shared" si="577"/>
        <v>45230</v>
      </c>
      <c r="E1933" s="82">
        <f t="shared" si="570"/>
        <v>45202</v>
      </c>
      <c r="F1933" s="83">
        <f t="shared" si="589"/>
        <v>0.18175</v>
      </c>
      <c r="G1933" s="83">
        <f t="shared" si="589"/>
        <v>0.1875</v>
      </c>
      <c r="H1933" s="81"/>
      <c r="I1933" s="146">
        <v>45202</v>
      </c>
      <c r="J1933" s="147">
        <v>1.66</v>
      </c>
      <c r="K1933" s="147">
        <v>1.38</v>
      </c>
      <c r="L1933" s="147">
        <v>1.454</v>
      </c>
      <c r="M1933" s="59" cm="1">
        <f t="array" ref="M1933">INDEX($BV$29:$BV$1449,MATCH($D1933,$BR$29:$BR$1449,0),)</f>
        <v>1.5</v>
      </c>
      <c r="N1933" s="150">
        <f t="shared" si="581"/>
        <v>-0.000687285223367806</v>
      </c>
      <c r="O1933" s="150">
        <f t="shared" si="582"/>
        <v>0.00972222222222219</v>
      </c>
      <c r="P1933" s="150">
        <f t="shared" si="569"/>
        <v>0.0111265646731571</v>
      </c>
      <c r="Q1933" s="89">
        <f t="shared" si="571"/>
        <v>-0.0306666666666667</v>
      </c>
      <c r="S1933" s="82">
        <f t="shared" si="572"/>
        <v>45202</v>
      </c>
      <c r="T1933" s="83">
        <f t="shared" si="588"/>
        <v>0.2576875</v>
      </c>
      <c r="U1933" s="83">
        <f t="shared" si="588"/>
        <v>0.2375</v>
      </c>
      <c r="W1933" s="146">
        <v>45202</v>
      </c>
      <c r="X1933" s="147">
        <v>4.48</v>
      </c>
      <c r="Y1933" s="147">
        <v>3.82</v>
      </c>
      <c r="Z1933" s="147">
        <v>4.123</v>
      </c>
      <c r="AA1933" s="59" cm="1">
        <f t="array" ref="AA1933">INDEX($BX$29:$BX$1449,MATCH($D1933,$BR$29:$BR$1449,0),)</f>
        <v>3.8</v>
      </c>
      <c r="AB1933" s="150">
        <f t="shared" si="573"/>
        <v>0</v>
      </c>
      <c r="AC1933" s="150">
        <f t="shared" si="575"/>
        <v>-0.00169491525423726</v>
      </c>
      <c r="AD1933" s="150">
        <f t="shared" si="578"/>
        <v>0.00979671809943672</v>
      </c>
      <c r="AE1933" s="89">
        <f t="shared" si="574"/>
        <v>0.0850000000000002</v>
      </c>
      <c r="AF1933" s="36"/>
      <c r="GF1933" s="104">
        <f t="shared" si="584"/>
        <v>2020</v>
      </c>
      <c r="GG1933" s="104">
        <f t="shared" si="585"/>
        <v>34</v>
      </c>
      <c r="GH1933" s="35">
        <v>44060</v>
      </c>
      <c r="GI1933" s="26">
        <v>1.395</v>
      </c>
      <c r="GJ1933" s="94">
        <f t="shared" si="586"/>
        <v>2.79</v>
      </c>
      <c r="GK1933" s="104"/>
      <c r="GL1933" s="104"/>
    </row>
    <row r="1934" spans="3:194">
      <c r="C1934" s="80" t="str" cm="1">
        <f t="array" ref="C1934">_xlfn.IFS(MONTH(D1934)&lt;4,1,MONTH(D1934)&lt;7,2,MONTH(D1934)&lt;10,3,MONTH(D1934)&gt;9,4)&amp;"Q"&amp;RIGHT(YEAR(D1934),2)</f>
        <v>4Q23</v>
      </c>
      <c r="D1934" s="81">
        <f t="shared" si="577"/>
        <v>45230</v>
      </c>
      <c r="E1934" s="82">
        <f t="shared" si="570"/>
        <v>45203</v>
      </c>
      <c r="F1934" s="83">
        <f t="shared" si="589"/>
        <v>0.18225</v>
      </c>
      <c r="G1934" s="83">
        <f t="shared" si="589"/>
        <v>0.1875</v>
      </c>
      <c r="H1934" s="81"/>
      <c r="I1934" s="146">
        <v>45203</v>
      </c>
      <c r="J1934" s="147">
        <v>1.67</v>
      </c>
      <c r="K1934" s="147">
        <v>1.39</v>
      </c>
      <c r="L1934" s="147">
        <v>1.458</v>
      </c>
      <c r="M1934" s="59" cm="1">
        <f t="array" ref="M1934">INDEX($BV$29:$BV$1449,MATCH($D1934,$BR$29:$BR$1449,0),)</f>
        <v>1.5</v>
      </c>
      <c r="N1934" s="150">
        <f t="shared" si="581"/>
        <v>0.00275103163686374</v>
      </c>
      <c r="O1934" s="150">
        <f t="shared" si="582"/>
        <v>0.0103950103950103</v>
      </c>
      <c r="P1934" s="150">
        <f t="shared" si="569"/>
        <v>0.01602787456446</v>
      </c>
      <c r="Q1934" s="89">
        <f t="shared" si="571"/>
        <v>-0.028</v>
      </c>
      <c r="S1934" s="82">
        <f t="shared" si="572"/>
        <v>45203</v>
      </c>
      <c r="T1934" s="83">
        <f t="shared" si="588"/>
        <v>0.258125</v>
      </c>
      <c r="U1934" s="83">
        <f t="shared" si="588"/>
        <v>0.2375</v>
      </c>
      <c r="W1934" s="146">
        <v>45203</v>
      </c>
      <c r="X1934" s="147">
        <v>4.5</v>
      </c>
      <c r="Y1934" s="147">
        <v>3.82</v>
      </c>
      <c r="Z1934" s="147">
        <v>4.13</v>
      </c>
      <c r="AA1934" s="59" cm="1">
        <f t="array" ref="AA1934">INDEX($BX$29:$BX$1449,MATCH($D1934,$BR$29:$BR$1449,0),)</f>
        <v>3.8</v>
      </c>
      <c r="AB1934" s="150">
        <f t="shared" si="573"/>
        <v>0.00169779286926985</v>
      </c>
      <c r="AC1934" s="150">
        <f t="shared" si="575"/>
        <v>-0.000725864989112091</v>
      </c>
      <c r="AD1934" s="150">
        <f t="shared" si="578"/>
        <v>0.011511143766838</v>
      </c>
      <c r="AE1934" s="89">
        <f t="shared" si="574"/>
        <v>0.0868421052631578</v>
      </c>
      <c r="AF1934" s="36"/>
      <c r="GF1934" s="104">
        <f t="shared" si="584"/>
        <v>2020</v>
      </c>
      <c r="GG1934" s="104">
        <f t="shared" si="585"/>
        <v>34</v>
      </c>
      <c r="GH1934" s="35">
        <v>44061</v>
      </c>
      <c r="GI1934" s="26">
        <v>1.385</v>
      </c>
      <c r="GJ1934" s="94">
        <f t="shared" si="586"/>
        <v>2.77</v>
      </c>
      <c r="GK1934" s="104"/>
      <c r="GL1934" s="104"/>
    </row>
    <row r="1935" spans="3:194">
      <c r="C1935" s="80" t="str" cm="1">
        <f t="array" ref="C1935">_xlfn.IFS(MONTH(D1935)&lt;4,1,MONTH(D1935)&lt;7,2,MONTH(D1935)&lt;10,3,MONTH(D1935)&gt;9,4)&amp;"Q"&amp;RIGHT(YEAR(D1935),2)</f>
        <v>4Q23</v>
      </c>
      <c r="D1935" s="81">
        <f t="shared" si="577"/>
        <v>45230</v>
      </c>
      <c r="E1935" s="82">
        <f t="shared" si="570"/>
        <v>45204</v>
      </c>
      <c r="F1935" s="83">
        <f t="shared" si="589"/>
        <v>0.18225</v>
      </c>
      <c r="G1935" s="83">
        <f t="shared" si="589"/>
        <v>0.1875</v>
      </c>
      <c r="H1935" s="81"/>
      <c r="I1935" s="146">
        <v>45204</v>
      </c>
      <c r="J1935" s="147">
        <v>1.67</v>
      </c>
      <c r="K1935" s="147">
        <v>1.39</v>
      </c>
      <c r="L1935" s="147">
        <v>1.458</v>
      </c>
      <c r="M1935" s="59" cm="1">
        <f t="array" ref="M1935">INDEX($BV$29:$BV$1449,MATCH($D1935,$BR$29:$BR$1449,0),)</f>
        <v>1.5</v>
      </c>
      <c r="N1935" s="150">
        <f t="shared" si="581"/>
        <v>0</v>
      </c>
      <c r="O1935" s="150">
        <f t="shared" si="582"/>
        <v>0.00551724137931031</v>
      </c>
      <c r="P1935" s="150">
        <f t="shared" ref="P1935:P1998" si="590">L1935/L1925-1</f>
        <v>0.01602787456446</v>
      </c>
      <c r="Q1935" s="89">
        <f t="shared" si="571"/>
        <v>-0.028</v>
      </c>
      <c r="S1935" s="82">
        <f t="shared" si="572"/>
        <v>45204</v>
      </c>
      <c r="T1935" s="83">
        <f t="shared" si="588"/>
        <v>0.25875</v>
      </c>
      <c r="U1935" s="83">
        <f t="shared" si="588"/>
        <v>0.2375</v>
      </c>
      <c r="W1935" s="146">
        <v>45204</v>
      </c>
      <c r="X1935" s="147">
        <v>4.5</v>
      </c>
      <c r="Y1935" s="147">
        <v>3.82</v>
      </c>
      <c r="Z1935" s="147">
        <v>4.14</v>
      </c>
      <c r="AA1935" s="59" cm="1">
        <f t="array" ref="AA1935">INDEX($BX$29:$BX$1449,MATCH($D1935,$BR$29:$BR$1449,0),)</f>
        <v>3.8</v>
      </c>
      <c r="AB1935" s="150">
        <f t="shared" si="573"/>
        <v>0.00242130750605329</v>
      </c>
      <c r="AC1935" s="150">
        <f t="shared" si="575"/>
        <v>0.00314998788466192</v>
      </c>
      <c r="AD1935" s="150">
        <f t="shared" si="578"/>
        <v>0.00975609756097562</v>
      </c>
      <c r="AE1935" s="89">
        <f t="shared" si="574"/>
        <v>0.0894736842105264</v>
      </c>
      <c r="AF1935" s="36"/>
      <c r="GF1935" s="104">
        <f t="shared" si="584"/>
        <v>2020</v>
      </c>
      <c r="GG1935" s="104">
        <f t="shared" si="585"/>
        <v>34</v>
      </c>
      <c r="GH1935" s="35">
        <v>44062</v>
      </c>
      <c r="GI1935" s="26">
        <v>1.379</v>
      </c>
      <c r="GJ1935" s="94">
        <f t="shared" si="586"/>
        <v>2.758</v>
      </c>
      <c r="GK1935" s="104"/>
      <c r="GL1935" s="104"/>
    </row>
    <row r="1936" spans="3:194">
      <c r="C1936" s="80" t="str" cm="1">
        <f t="array" ref="C1936">_xlfn.IFS(MONTH(D1936)&lt;4,1,MONTH(D1936)&lt;7,2,MONTH(D1936)&lt;10,3,MONTH(D1936)&gt;9,4)&amp;"Q"&amp;RIGHT(YEAR(D1936),2)</f>
        <v>4Q23</v>
      </c>
      <c r="D1936" s="81">
        <f t="shared" si="577"/>
        <v>45230</v>
      </c>
      <c r="E1936" s="82">
        <f t="shared" si="570"/>
        <v>45205</v>
      </c>
      <c r="F1936" s="83">
        <f t="shared" si="589"/>
        <v>0.1835</v>
      </c>
      <c r="G1936" s="83">
        <f t="shared" si="589"/>
        <v>0.1875</v>
      </c>
      <c r="H1936" s="81"/>
      <c r="I1936" s="146">
        <v>45205</v>
      </c>
      <c r="J1936" s="147">
        <v>1.7</v>
      </c>
      <c r="K1936" s="147">
        <v>1.4</v>
      </c>
      <c r="L1936" s="147">
        <v>1.468</v>
      </c>
      <c r="M1936" s="59" cm="1">
        <f t="array" ref="M1936">INDEX($BV$29:$BV$1449,MATCH($D1936,$BR$29:$BR$1449,0),)</f>
        <v>1.5</v>
      </c>
      <c r="N1936" s="150">
        <f t="shared" si="581"/>
        <v>0.00685871056241427</v>
      </c>
      <c r="O1936" s="150">
        <f t="shared" si="582"/>
        <v>0.0124137931034483</v>
      </c>
      <c r="P1936" s="150">
        <f t="shared" si="590"/>
        <v>0.0208623087621698</v>
      </c>
      <c r="Q1936" s="89">
        <f t="shared" si="571"/>
        <v>-0.0213333333333333</v>
      </c>
      <c r="S1936" s="82">
        <f t="shared" si="572"/>
        <v>45205</v>
      </c>
      <c r="T1936" s="83">
        <f t="shared" ref="T1936:U1951" si="591">+Z1936/16</f>
        <v>0.2598125</v>
      </c>
      <c r="U1936" s="83">
        <f t="shared" si="591"/>
        <v>0.2375</v>
      </c>
      <c r="W1936" s="146">
        <v>45205</v>
      </c>
      <c r="X1936" s="147">
        <v>4.5</v>
      </c>
      <c r="Y1936" s="147">
        <v>3.85</v>
      </c>
      <c r="Z1936" s="147">
        <v>4.157</v>
      </c>
      <c r="AA1936" s="59" cm="1">
        <f t="array" ref="AA1936">INDEX($BX$29:$BX$1449,MATCH($D1936,$BR$29:$BR$1449,0),)</f>
        <v>3.8</v>
      </c>
      <c r="AB1936" s="150">
        <f t="shared" si="573"/>
        <v>0.00410628019323678</v>
      </c>
      <c r="AC1936" s="150">
        <f t="shared" si="575"/>
        <v>0.00726920281075838</v>
      </c>
      <c r="AD1936" s="150">
        <f t="shared" si="578"/>
        <v>0.0139024390243903</v>
      </c>
      <c r="AE1936" s="89">
        <f t="shared" si="574"/>
        <v>0.0939473684210528</v>
      </c>
      <c r="AF1936" s="36"/>
      <c r="GF1936" s="104">
        <f t="shared" si="584"/>
        <v>2020</v>
      </c>
      <c r="GG1936" s="104">
        <f t="shared" si="585"/>
        <v>34</v>
      </c>
      <c r="GH1936" s="35">
        <v>44063</v>
      </c>
      <c r="GI1936" s="26">
        <v>1.374</v>
      </c>
      <c r="GJ1936" s="94">
        <f t="shared" si="586"/>
        <v>2.748</v>
      </c>
      <c r="GK1936" s="104"/>
      <c r="GL1936" s="104"/>
    </row>
    <row r="1937" spans="3:194">
      <c r="C1937" s="80" t="str" cm="1">
        <f t="array" ref="C1937">_xlfn.IFS(MONTH(D1937)&lt;4,1,MONTH(D1937)&lt;7,2,MONTH(D1937)&lt;10,3,MONTH(D1937)&gt;9,4)&amp;"Q"&amp;RIGHT(YEAR(D1937),2)</f>
        <v>4Q23</v>
      </c>
      <c r="D1937" s="81">
        <f t="shared" si="577"/>
        <v>45230</v>
      </c>
      <c r="E1937" s="82">
        <f t="shared" ref="E1937:E2000" si="592">I1937</f>
        <v>45208</v>
      </c>
      <c r="F1937" s="83">
        <f t="shared" si="589"/>
        <v>0.18375</v>
      </c>
      <c r="G1937" s="83">
        <f t="shared" si="589"/>
        <v>0.1875</v>
      </c>
      <c r="H1937" s="81"/>
      <c r="I1937" s="146">
        <v>45208</v>
      </c>
      <c r="J1937" s="147">
        <v>1.7</v>
      </c>
      <c r="K1937" s="147">
        <v>1.4</v>
      </c>
      <c r="L1937" s="147">
        <v>1.47</v>
      </c>
      <c r="M1937" s="59" cm="1">
        <f t="array" ref="M1937">INDEX($BV$29:$BV$1449,MATCH($D1937,$BR$29:$BR$1449,0),)</f>
        <v>1.5</v>
      </c>
      <c r="N1937" s="150">
        <f t="shared" si="581"/>
        <v>0.00136239782016356</v>
      </c>
      <c r="O1937" s="150">
        <f t="shared" si="582"/>
        <v>0.0103092783505154</v>
      </c>
      <c r="P1937" s="150">
        <f t="shared" si="590"/>
        <v>0.0222531293463144</v>
      </c>
      <c r="Q1937" s="89">
        <f t="shared" ref="Q1937:Q2000" si="593">L1937/M1937-1</f>
        <v>-0.02</v>
      </c>
      <c r="S1937" s="82">
        <f t="shared" si="572"/>
        <v>45208</v>
      </c>
      <c r="T1937" s="83">
        <f t="shared" si="591"/>
        <v>0.26</v>
      </c>
      <c r="U1937" s="83">
        <f t="shared" si="591"/>
        <v>0.2375</v>
      </c>
      <c r="W1937" s="146">
        <v>45208</v>
      </c>
      <c r="X1937" s="147">
        <v>4.5</v>
      </c>
      <c r="Y1937" s="147">
        <v>3.85</v>
      </c>
      <c r="Z1937" s="147">
        <v>4.16</v>
      </c>
      <c r="AA1937" s="59" cm="1">
        <f t="array" ref="AA1937">INDEX($BX$29:$BX$1449,MATCH($D1937,$BR$29:$BR$1449,0),)</f>
        <v>3.8</v>
      </c>
      <c r="AB1937" s="150">
        <f t="shared" si="573"/>
        <v>0.000721674284339668</v>
      </c>
      <c r="AC1937" s="150">
        <f t="shared" si="575"/>
        <v>0.00897404802328405</v>
      </c>
      <c r="AD1937" s="150">
        <f t="shared" si="578"/>
        <v>0.00897404802328405</v>
      </c>
      <c r="AE1937" s="89">
        <f t="shared" si="574"/>
        <v>0.0947368421052632</v>
      </c>
      <c r="AF1937" s="36"/>
      <c r="GF1937" s="104">
        <f t="shared" si="584"/>
        <v>2020</v>
      </c>
      <c r="GG1937" s="104">
        <f t="shared" si="585"/>
        <v>34</v>
      </c>
      <c r="GH1937" s="35">
        <v>44064</v>
      </c>
      <c r="GI1937" s="26">
        <v>1.368</v>
      </c>
      <c r="GJ1937" s="94">
        <f t="shared" si="586"/>
        <v>2.736</v>
      </c>
      <c r="GK1937" s="104"/>
      <c r="GL1937" s="104"/>
    </row>
    <row r="1938" spans="3:194">
      <c r="C1938" s="80" t="str" cm="1">
        <f t="array" ref="C1938">_xlfn.IFS(MONTH(D1938)&lt;4,1,MONTH(D1938)&lt;7,2,MONTH(D1938)&lt;10,3,MONTH(D1938)&gt;9,4)&amp;"Q"&amp;RIGHT(YEAR(D1938),2)</f>
        <v>4Q23</v>
      </c>
      <c r="D1938" s="81">
        <f t="shared" si="577"/>
        <v>45230</v>
      </c>
      <c r="E1938" s="82">
        <f t="shared" si="592"/>
        <v>45209</v>
      </c>
      <c r="F1938" s="83">
        <f t="shared" si="589"/>
        <v>0.18375</v>
      </c>
      <c r="G1938" s="83">
        <f t="shared" si="589"/>
        <v>0.1875</v>
      </c>
      <c r="H1938" s="81"/>
      <c r="I1938" s="146">
        <v>45209</v>
      </c>
      <c r="J1938" s="147">
        <v>1.7</v>
      </c>
      <c r="K1938" s="147">
        <v>1.4</v>
      </c>
      <c r="L1938" s="147">
        <v>1.47</v>
      </c>
      <c r="M1938" s="59" cm="1">
        <f t="array" ref="M1938">INDEX($BV$29:$BV$1449,MATCH($D1938,$BR$29:$BR$1449,0),)</f>
        <v>1.5</v>
      </c>
      <c r="N1938" s="150">
        <f t="shared" si="581"/>
        <v>0</v>
      </c>
      <c r="O1938" s="150">
        <f t="shared" si="582"/>
        <v>0.0110041265474552</v>
      </c>
      <c r="P1938" s="150">
        <f t="shared" si="590"/>
        <v>0.0208333333333333</v>
      </c>
      <c r="Q1938" s="89">
        <f t="shared" si="593"/>
        <v>-0.02</v>
      </c>
      <c r="S1938" s="82">
        <f t="shared" si="572"/>
        <v>45209</v>
      </c>
      <c r="T1938" s="83">
        <f t="shared" si="591"/>
        <v>0.2604375</v>
      </c>
      <c r="U1938" s="83">
        <f t="shared" si="591"/>
        <v>0.2375</v>
      </c>
      <c r="W1938" s="146">
        <v>45209</v>
      </c>
      <c r="X1938" s="147">
        <v>4.5</v>
      </c>
      <c r="Y1938" s="147">
        <v>3.85</v>
      </c>
      <c r="Z1938" s="147">
        <v>4.167</v>
      </c>
      <c r="AA1938" s="59" cm="1">
        <f t="array" ref="AA1938">INDEX($BX$29:$BX$1449,MATCH($D1938,$BR$29:$BR$1449,0),)</f>
        <v>3.8</v>
      </c>
      <c r="AB1938" s="150">
        <f t="shared" si="573"/>
        <v>0.00168269230769225</v>
      </c>
      <c r="AC1938" s="150">
        <f t="shared" si="575"/>
        <v>0.0106718408925539</v>
      </c>
      <c r="AD1938" s="150">
        <f t="shared" si="578"/>
        <v>0.00895883777239703</v>
      </c>
      <c r="AE1938" s="89">
        <f t="shared" si="574"/>
        <v>0.0965789473684211</v>
      </c>
      <c r="AF1938" s="36"/>
      <c r="GF1938" s="104">
        <f t="shared" si="584"/>
        <v>2020</v>
      </c>
      <c r="GG1938" s="104">
        <f t="shared" si="585"/>
        <v>35</v>
      </c>
      <c r="GH1938" s="35">
        <v>44067</v>
      </c>
      <c r="GI1938" s="26">
        <v>1.368</v>
      </c>
      <c r="GJ1938" s="94">
        <f t="shared" si="586"/>
        <v>2.736</v>
      </c>
      <c r="GK1938" s="104"/>
      <c r="GL1938" s="104"/>
    </row>
    <row r="1939" spans="3:194">
      <c r="C1939" s="80" t="str" cm="1">
        <f t="array" ref="C1939">_xlfn.IFS(MONTH(D1939)&lt;4,1,MONTH(D1939)&lt;7,2,MONTH(D1939)&lt;10,3,MONTH(D1939)&gt;9,4)&amp;"Q"&amp;RIGHT(YEAR(D1939),2)</f>
        <v>4Q23</v>
      </c>
      <c r="D1939" s="81">
        <f t="shared" si="577"/>
        <v>45230</v>
      </c>
      <c r="E1939" s="82">
        <f t="shared" si="592"/>
        <v>45210</v>
      </c>
      <c r="F1939" s="83">
        <f t="shared" si="589"/>
        <v>0.18475</v>
      </c>
      <c r="G1939" s="83">
        <f t="shared" si="589"/>
        <v>0.1875</v>
      </c>
      <c r="H1939" s="81"/>
      <c r="I1939" s="146">
        <v>45210</v>
      </c>
      <c r="J1939" s="147">
        <v>1.72</v>
      </c>
      <c r="K1939" s="147">
        <v>1.4</v>
      </c>
      <c r="L1939" s="147">
        <v>1.478</v>
      </c>
      <c r="M1939" s="59" cm="1">
        <f t="array" ref="M1939">INDEX($BV$29:$BV$1449,MATCH($D1939,$BR$29:$BR$1449,0),)</f>
        <v>1.5</v>
      </c>
      <c r="N1939" s="150">
        <f t="shared" si="581"/>
        <v>0.00544217687074822</v>
      </c>
      <c r="O1939" s="150">
        <f t="shared" si="582"/>
        <v>0.0137174211248285</v>
      </c>
      <c r="P1939" s="150">
        <f t="shared" si="590"/>
        <v>0.0242550242550241</v>
      </c>
      <c r="Q1939" s="89">
        <f t="shared" si="593"/>
        <v>-0.0146666666666667</v>
      </c>
      <c r="S1939" s="82">
        <f t="shared" si="572"/>
        <v>45210</v>
      </c>
      <c r="T1939" s="83">
        <f t="shared" si="591"/>
        <v>0.260625</v>
      </c>
      <c r="U1939" s="83">
        <f t="shared" si="591"/>
        <v>0.2375</v>
      </c>
      <c r="W1939" s="146">
        <v>45210</v>
      </c>
      <c r="X1939" s="147">
        <v>4.5</v>
      </c>
      <c r="Y1939" s="147">
        <v>3.88</v>
      </c>
      <c r="Z1939" s="147">
        <v>4.17</v>
      </c>
      <c r="AA1939" s="59" cm="1">
        <f t="array" ref="AA1939">INDEX($BX$29:$BX$1449,MATCH($D1939,$BR$29:$BR$1449,0),)</f>
        <v>3.8</v>
      </c>
      <c r="AB1939" s="150">
        <f t="shared" si="573"/>
        <v>0.000719942404607599</v>
      </c>
      <c r="AC1939" s="150">
        <f t="shared" si="575"/>
        <v>0.00968523002421318</v>
      </c>
      <c r="AD1939" s="150">
        <f t="shared" si="578"/>
        <v>0.00895233486571501</v>
      </c>
      <c r="AE1939" s="89">
        <f t="shared" si="574"/>
        <v>0.0973684210526315</v>
      </c>
      <c r="AF1939" s="36"/>
      <c r="GF1939" s="104">
        <f t="shared" si="584"/>
        <v>2020</v>
      </c>
      <c r="GG1939" s="104">
        <f t="shared" si="585"/>
        <v>35</v>
      </c>
      <c r="GH1939" s="35">
        <v>44068</v>
      </c>
      <c r="GI1939" s="26">
        <v>1.368</v>
      </c>
      <c r="GJ1939" s="94">
        <f t="shared" si="586"/>
        <v>2.736</v>
      </c>
      <c r="GK1939" s="104"/>
      <c r="GL1939" s="104"/>
    </row>
    <row r="1940" spans="3:194">
      <c r="C1940" s="80" t="str" cm="1">
        <f t="array" ref="C1940">_xlfn.IFS(MONTH(D1940)&lt;4,1,MONTH(D1940)&lt;7,2,MONTH(D1940)&lt;10,3,MONTH(D1940)&gt;9,4)&amp;"Q"&amp;RIGHT(YEAR(D1940),2)</f>
        <v>4Q23</v>
      </c>
      <c r="D1940" s="81">
        <f t="shared" si="577"/>
        <v>45230</v>
      </c>
      <c r="E1940" s="82">
        <f t="shared" si="592"/>
        <v>45211</v>
      </c>
      <c r="F1940" s="83">
        <f t="shared" si="589"/>
        <v>0.185625</v>
      </c>
      <c r="G1940" s="83">
        <f t="shared" si="589"/>
        <v>0.1875</v>
      </c>
      <c r="H1940" s="81"/>
      <c r="I1940" s="146">
        <v>45211</v>
      </c>
      <c r="J1940" s="147">
        <v>1.72</v>
      </c>
      <c r="K1940" s="147">
        <v>1.43</v>
      </c>
      <c r="L1940" s="147">
        <v>1.485</v>
      </c>
      <c r="M1940" s="59" cm="1">
        <f t="array" ref="M1940">INDEX($BV$29:$BV$1449,MATCH($D1940,$BR$29:$BR$1449,0),)</f>
        <v>1.5</v>
      </c>
      <c r="N1940" s="150">
        <f t="shared" si="581"/>
        <v>0.0047361299052775</v>
      </c>
      <c r="O1940" s="150">
        <f t="shared" si="582"/>
        <v>0.0185185185185186</v>
      </c>
      <c r="P1940" s="150">
        <f t="shared" si="590"/>
        <v>0.0241379310344829</v>
      </c>
      <c r="Q1940" s="89">
        <f t="shared" si="593"/>
        <v>-0.0099999999999999</v>
      </c>
      <c r="S1940" s="82">
        <f t="shared" ref="S1940:S2003" si="594">W1940</f>
        <v>45211</v>
      </c>
      <c r="T1940" s="83">
        <f t="shared" si="591"/>
        <v>0.260625</v>
      </c>
      <c r="U1940" s="83">
        <f t="shared" si="591"/>
        <v>0.2375</v>
      </c>
      <c r="W1940" s="146">
        <v>45211</v>
      </c>
      <c r="X1940" s="147">
        <v>4.5</v>
      </c>
      <c r="Y1940" s="147">
        <v>3.88</v>
      </c>
      <c r="Z1940" s="147">
        <v>4.17</v>
      </c>
      <c r="AA1940" s="59" cm="1">
        <f t="array" ref="AA1940">INDEX($BX$29:$BX$1449,MATCH($D1940,$BR$29:$BR$1449,0),)</f>
        <v>3.8</v>
      </c>
      <c r="AB1940" s="150">
        <f t="shared" si="573"/>
        <v>0</v>
      </c>
      <c r="AC1940" s="150">
        <f t="shared" si="575"/>
        <v>0.00724637681159424</v>
      </c>
      <c r="AD1940" s="150">
        <f t="shared" si="578"/>
        <v>0.0104191906954205</v>
      </c>
      <c r="AE1940" s="89">
        <f t="shared" si="574"/>
        <v>0.0973684210526315</v>
      </c>
      <c r="AF1940" s="36"/>
      <c r="GF1940" s="104">
        <f t="shared" si="584"/>
        <v>2020</v>
      </c>
      <c r="GG1940" s="104">
        <f t="shared" si="585"/>
        <v>35</v>
      </c>
      <c r="GH1940" s="35">
        <v>44069</v>
      </c>
      <c r="GI1940" s="26">
        <v>1.393</v>
      </c>
      <c r="GJ1940" s="94">
        <f t="shared" si="586"/>
        <v>2.786</v>
      </c>
      <c r="GK1940" s="104"/>
      <c r="GL1940" s="104"/>
    </row>
    <row r="1941" spans="3:194">
      <c r="C1941" s="80" t="str" cm="1">
        <f t="array" ref="C1941">_xlfn.IFS(MONTH(D1941)&lt;4,1,MONTH(D1941)&lt;7,2,MONTH(D1941)&lt;10,3,MONTH(D1941)&gt;9,4)&amp;"Q"&amp;RIGHT(YEAR(D1941),2)</f>
        <v>4Q23</v>
      </c>
      <c r="D1941" s="81">
        <f t="shared" si="577"/>
        <v>45230</v>
      </c>
      <c r="E1941" s="82">
        <f t="shared" si="592"/>
        <v>45212</v>
      </c>
      <c r="F1941" s="83">
        <f t="shared" si="589"/>
        <v>0.186875</v>
      </c>
      <c r="G1941" s="83">
        <f t="shared" si="589"/>
        <v>0.1875</v>
      </c>
      <c r="H1941" s="81"/>
      <c r="I1941" s="146">
        <v>45212</v>
      </c>
      <c r="J1941" s="147">
        <v>1.74</v>
      </c>
      <c r="K1941" s="147">
        <v>1.43</v>
      </c>
      <c r="L1941" s="147">
        <v>1.495</v>
      </c>
      <c r="M1941" s="59" cm="1">
        <f t="array" ref="M1941">INDEX($BV$29:$BV$1449,MATCH($D1941,$BR$29:$BR$1449,0),)</f>
        <v>1.5</v>
      </c>
      <c r="N1941" s="150">
        <f t="shared" si="581"/>
        <v>0.0067340067340067</v>
      </c>
      <c r="O1941" s="150">
        <f t="shared" si="582"/>
        <v>0.0183923705722071</v>
      </c>
      <c r="P1941" s="150">
        <f t="shared" si="590"/>
        <v>0.0310344827586209</v>
      </c>
      <c r="Q1941" s="89">
        <f t="shared" si="593"/>
        <v>-0.0033333333333333</v>
      </c>
      <c r="S1941" s="82">
        <f t="shared" si="594"/>
        <v>45212</v>
      </c>
      <c r="T1941" s="83">
        <f t="shared" si="591"/>
        <v>0.260625</v>
      </c>
      <c r="U1941" s="83">
        <f t="shared" si="591"/>
        <v>0.2375</v>
      </c>
      <c r="W1941" s="146">
        <v>45212</v>
      </c>
      <c r="X1941" s="147">
        <v>4.5</v>
      </c>
      <c r="Y1941" s="147">
        <v>3.88</v>
      </c>
      <c r="Z1941" s="147">
        <v>4.17</v>
      </c>
      <c r="AA1941" s="59" cm="1">
        <f t="array" ref="AA1941">INDEX($BX$29:$BX$1449,MATCH($D1941,$BR$29:$BR$1449,0),)</f>
        <v>3.8</v>
      </c>
      <c r="AB1941" s="150">
        <f t="shared" ref="AB1941:AB2004" si="595">Z1941/Z1940-1</f>
        <v>0</v>
      </c>
      <c r="AC1941" s="150">
        <f t="shared" si="575"/>
        <v>0.00312725523213864</v>
      </c>
      <c r="AD1941" s="150">
        <f t="shared" si="578"/>
        <v>0.0104191906954205</v>
      </c>
      <c r="AE1941" s="89">
        <f t="shared" si="574"/>
        <v>0.0973684210526315</v>
      </c>
      <c r="AF1941" s="36"/>
      <c r="GF1941" s="104">
        <f t="shared" si="584"/>
        <v>2020</v>
      </c>
      <c r="GG1941" s="104">
        <f t="shared" si="585"/>
        <v>35</v>
      </c>
      <c r="GH1941" s="35">
        <v>44070</v>
      </c>
      <c r="GI1941" s="26">
        <v>1.403</v>
      </c>
      <c r="GJ1941" s="94">
        <f t="shared" si="586"/>
        <v>2.806</v>
      </c>
      <c r="GK1941" s="104"/>
      <c r="GL1941" s="104"/>
    </row>
    <row r="1942" spans="3:194">
      <c r="C1942" s="80" t="str" cm="1">
        <f t="array" ref="C1942">_xlfn.IFS(MONTH(D1942)&lt;4,1,MONTH(D1942)&lt;7,2,MONTH(D1942)&lt;10,3,MONTH(D1942)&gt;9,4)&amp;"Q"&amp;RIGHT(YEAR(D1942),2)</f>
        <v>4Q23</v>
      </c>
      <c r="D1942" s="81">
        <f t="shared" si="577"/>
        <v>45230</v>
      </c>
      <c r="E1942" s="82">
        <f t="shared" si="592"/>
        <v>45215</v>
      </c>
      <c r="F1942" s="83">
        <f t="shared" si="589"/>
        <v>0.188125</v>
      </c>
      <c r="G1942" s="83">
        <f t="shared" si="589"/>
        <v>0.1875</v>
      </c>
      <c r="H1942" s="81"/>
      <c r="I1942" s="146">
        <v>45215</v>
      </c>
      <c r="J1942" s="147">
        <v>1.75</v>
      </c>
      <c r="K1942" s="147">
        <v>1.45</v>
      </c>
      <c r="L1942" s="147">
        <v>1.505</v>
      </c>
      <c r="M1942" s="59" cm="1">
        <f t="array" ref="M1942">INDEX($BV$29:$BV$1449,MATCH($D1942,$BR$29:$BR$1449,0),)</f>
        <v>1.5</v>
      </c>
      <c r="N1942" s="150">
        <f t="shared" si="581"/>
        <v>0.00668896321070211</v>
      </c>
      <c r="O1942" s="150">
        <f t="shared" si="582"/>
        <v>0.0238095238095237</v>
      </c>
      <c r="P1942" s="150">
        <f t="shared" si="590"/>
        <v>0.0343642611683848</v>
      </c>
      <c r="Q1942" s="89">
        <f t="shared" si="593"/>
        <v>0.00333333333333319</v>
      </c>
      <c r="S1942" s="82">
        <f t="shared" si="594"/>
        <v>45215</v>
      </c>
      <c r="T1942" s="83">
        <f t="shared" si="591"/>
        <v>0.26</v>
      </c>
      <c r="U1942" s="83">
        <f t="shared" si="591"/>
        <v>0.2375</v>
      </c>
      <c r="W1942" s="146">
        <v>45215</v>
      </c>
      <c r="X1942" s="147">
        <v>4.5</v>
      </c>
      <c r="Y1942" s="147">
        <v>3.9</v>
      </c>
      <c r="Z1942" s="147">
        <v>4.16</v>
      </c>
      <c r="AA1942" s="59" cm="1">
        <f t="array" ref="AA1942">INDEX($BX$29:$BX$1449,MATCH($D1942,$BR$29:$BR$1449,0),)</f>
        <v>3.8</v>
      </c>
      <c r="AB1942" s="150">
        <f t="shared" si="595"/>
        <v>-0.00239808153477217</v>
      </c>
      <c r="AC1942" s="150">
        <f t="shared" si="575"/>
        <v>0</v>
      </c>
      <c r="AD1942" s="150">
        <f t="shared" si="578"/>
        <v>0.00897404802328405</v>
      </c>
      <c r="AE1942" s="89">
        <f t="shared" ref="AE1942:AE2005" si="596">Z1942/AA1942-1</f>
        <v>0.0947368421052632</v>
      </c>
      <c r="AF1942" s="36"/>
      <c r="GF1942" s="104">
        <f t="shared" si="584"/>
        <v>2020</v>
      </c>
      <c r="GG1942" s="104">
        <f t="shared" si="585"/>
        <v>35</v>
      </c>
      <c r="GH1942" s="35">
        <v>44071</v>
      </c>
      <c r="GI1942" s="26">
        <v>1.406</v>
      </c>
      <c r="GJ1942" s="94">
        <f t="shared" si="586"/>
        <v>2.812</v>
      </c>
      <c r="GK1942" s="104"/>
      <c r="GL1942" s="104"/>
    </row>
    <row r="1943" spans="3:194">
      <c r="C1943" s="80" t="str" cm="1">
        <f t="array" ref="C1943">_xlfn.IFS(MONTH(D1943)&lt;4,1,MONTH(D1943)&lt;7,2,MONTH(D1943)&lt;10,3,MONTH(D1943)&gt;9,4)&amp;"Q"&amp;RIGHT(YEAR(D1943),2)</f>
        <v>4Q23</v>
      </c>
      <c r="D1943" s="81">
        <f t="shared" si="577"/>
        <v>45230</v>
      </c>
      <c r="E1943" s="82">
        <f t="shared" si="592"/>
        <v>45216</v>
      </c>
      <c r="F1943" s="83">
        <f t="shared" si="589"/>
        <v>0.18875</v>
      </c>
      <c r="G1943" s="83">
        <f t="shared" si="589"/>
        <v>0.1875</v>
      </c>
      <c r="H1943" s="81"/>
      <c r="I1943" s="146">
        <v>45216</v>
      </c>
      <c r="J1943" s="147">
        <v>1.74</v>
      </c>
      <c r="K1943" s="147">
        <v>1.45</v>
      </c>
      <c r="L1943" s="147">
        <v>1.51</v>
      </c>
      <c r="M1943" s="59" cm="1">
        <f t="array" ref="M1943">INDEX($BV$29:$BV$1449,MATCH($D1943,$BR$29:$BR$1449,0),)</f>
        <v>1.5</v>
      </c>
      <c r="N1943" s="150">
        <f t="shared" si="581"/>
        <v>0.00332225913621276</v>
      </c>
      <c r="O1943" s="150">
        <f t="shared" si="582"/>
        <v>0.0272108843537415</v>
      </c>
      <c r="P1943" s="150">
        <f t="shared" si="590"/>
        <v>0.0385144429160935</v>
      </c>
      <c r="Q1943" s="89">
        <f t="shared" si="593"/>
        <v>0.0066666666666666</v>
      </c>
      <c r="S1943" s="82">
        <f t="shared" si="594"/>
        <v>45216</v>
      </c>
      <c r="T1943" s="83">
        <f t="shared" si="591"/>
        <v>0.259375</v>
      </c>
      <c r="U1943" s="83">
        <f t="shared" si="591"/>
        <v>0.2375</v>
      </c>
      <c r="W1943" s="146">
        <v>45216</v>
      </c>
      <c r="X1943" s="147">
        <v>4.5</v>
      </c>
      <c r="Y1943" s="147">
        <v>3.92</v>
      </c>
      <c r="Z1943" s="147">
        <v>4.15</v>
      </c>
      <c r="AA1943" s="59" cm="1">
        <f t="array" ref="AA1943">INDEX($BX$29:$BX$1449,MATCH($D1943,$BR$29:$BR$1449,0),)</f>
        <v>3.8</v>
      </c>
      <c r="AB1943" s="150">
        <f t="shared" si="595"/>
        <v>-0.00240384615384615</v>
      </c>
      <c r="AC1943" s="150">
        <f t="shared" si="575"/>
        <v>-0.00407967362610984</v>
      </c>
      <c r="AD1943" s="150">
        <f t="shared" si="578"/>
        <v>0.0065486296386128</v>
      </c>
      <c r="AE1943" s="89">
        <f t="shared" si="596"/>
        <v>0.0921052631578949</v>
      </c>
      <c r="AF1943" s="36"/>
      <c r="GF1943" s="104">
        <f t="shared" si="584"/>
        <v>2020</v>
      </c>
      <c r="GG1943" s="104">
        <f t="shared" si="585"/>
        <v>36</v>
      </c>
      <c r="GH1943" s="35">
        <v>44074</v>
      </c>
      <c r="GI1943" s="26">
        <v>1.413</v>
      </c>
      <c r="GJ1943" s="94">
        <f t="shared" si="586"/>
        <v>2.826</v>
      </c>
      <c r="GK1943" s="104"/>
      <c r="GL1943" s="104"/>
    </row>
    <row r="1944" spans="3:194">
      <c r="C1944" s="80" t="str" cm="1">
        <f t="array" ref="C1944">_xlfn.IFS(MONTH(D1944)&lt;4,1,MONTH(D1944)&lt;7,2,MONTH(D1944)&lt;10,3,MONTH(D1944)&gt;9,4)&amp;"Q"&amp;RIGHT(YEAR(D1944),2)</f>
        <v>4Q23</v>
      </c>
      <c r="D1944" s="81">
        <f t="shared" si="577"/>
        <v>45230</v>
      </c>
      <c r="E1944" s="82">
        <f t="shared" si="592"/>
        <v>45217</v>
      </c>
      <c r="F1944" s="83">
        <f t="shared" si="589"/>
        <v>0.1885</v>
      </c>
      <c r="G1944" s="83">
        <f t="shared" si="589"/>
        <v>0.1875</v>
      </c>
      <c r="H1944" s="81"/>
      <c r="I1944" s="146">
        <v>45217</v>
      </c>
      <c r="J1944" s="147">
        <v>1.72</v>
      </c>
      <c r="K1944" s="147">
        <v>1.45</v>
      </c>
      <c r="L1944" s="147">
        <v>1.508</v>
      </c>
      <c r="M1944" s="59" cm="1">
        <f t="array" ref="M1944">INDEX($BV$29:$BV$1449,MATCH($D1944,$BR$29:$BR$1449,0),)</f>
        <v>1.5</v>
      </c>
      <c r="N1944" s="150">
        <f t="shared" si="581"/>
        <v>-0.00132450331125833</v>
      </c>
      <c r="O1944" s="150">
        <f t="shared" si="582"/>
        <v>0.020297699594046</v>
      </c>
      <c r="P1944" s="150">
        <f t="shared" si="590"/>
        <v>0.0342935528120714</v>
      </c>
      <c r="Q1944" s="89">
        <f t="shared" si="593"/>
        <v>0.00533333333333341</v>
      </c>
      <c r="S1944" s="82">
        <f t="shared" si="594"/>
        <v>45217</v>
      </c>
      <c r="T1944" s="83">
        <f t="shared" si="591"/>
        <v>0.259375</v>
      </c>
      <c r="U1944" s="83">
        <f t="shared" si="591"/>
        <v>0.2375</v>
      </c>
      <c r="W1944" s="146">
        <v>45217</v>
      </c>
      <c r="X1944" s="147">
        <v>4.5</v>
      </c>
      <c r="Y1944" s="147">
        <v>3.92</v>
      </c>
      <c r="Z1944" s="147">
        <v>4.15</v>
      </c>
      <c r="AA1944" s="59" cm="1">
        <f t="array" ref="AA1944">INDEX($BX$29:$BX$1449,MATCH($D1944,$BR$29:$BR$1449,0),)</f>
        <v>3.8</v>
      </c>
      <c r="AB1944" s="150">
        <f t="shared" si="595"/>
        <v>0</v>
      </c>
      <c r="AC1944" s="150">
        <f t="shared" si="575"/>
        <v>-0.00479616306954422</v>
      </c>
      <c r="AD1944" s="150">
        <f t="shared" si="578"/>
        <v>0.00484261501210659</v>
      </c>
      <c r="AE1944" s="89">
        <f t="shared" si="596"/>
        <v>0.0921052631578949</v>
      </c>
      <c r="AF1944" s="36"/>
      <c r="GF1944" s="104">
        <f t="shared" si="584"/>
        <v>2020</v>
      </c>
      <c r="GG1944" s="104">
        <f t="shared" si="585"/>
        <v>36</v>
      </c>
      <c r="GH1944" s="35">
        <v>44075</v>
      </c>
      <c r="GI1944" s="26">
        <v>1.415</v>
      </c>
      <c r="GJ1944" s="94">
        <f t="shared" si="586"/>
        <v>2.83</v>
      </c>
      <c r="GK1944" s="104"/>
      <c r="GL1944" s="104"/>
    </row>
    <row r="1945" spans="3:194">
      <c r="C1945" s="80" t="str" cm="1">
        <f t="array" ref="C1945">_xlfn.IFS(MONTH(D1945)&lt;4,1,MONTH(D1945)&lt;7,2,MONTH(D1945)&lt;10,3,MONTH(D1945)&gt;9,4)&amp;"Q"&amp;RIGHT(YEAR(D1945),2)</f>
        <v>4Q23</v>
      </c>
      <c r="D1945" s="81">
        <f t="shared" si="577"/>
        <v>45230</v>
      </c>
      <c r="E1945" s="82">
        <f t="shared" si="592"/>
        <v>45218</v>
      </c>
      <c r="F1945" s="83">
        <f t="shared" si="589"/>
        <v>0.1885</v>
      </c>
      <c r="G1945" s="83">
        <f t="shared" si="589"/>
        <v>0.1875</v>
      </c>
      <c r="H1945" s="81"/>
      <c r="I1945" s="146">
        <v>45218</v>
      </c>
      <c r="J1945" s="147">
        <v>1.7</v>
      </c>
      <c r="K1945" s="147">
        <v>1.44</v>
      </c>
      <c r="L1945" s="147">
        <v>1.508</v>
      </c>
      <c r="M1945" s="59" cm="1">
        <f t="array" ref="M1945">INDEX($BV$29:$BV$1449,MATCH($D1945,$BR$29:$BR$1449,0),)</f>
        <v>1.5</v>
      </c>
      <c r="N1945" s="150">
        <f t="shared" si="581"/>
        <v>0</v>
      </c>
      <c r="O1945" s="150">
        <f t="shared" si="582"/>
        <v>0.0154882154882154</v>
      </c>
      <c r="P1945" s="150">
        <f t="shared" si="590"/>
        <v>0.0342935528120714</v>
      </c>
      <c r="Q1945" s="89">
        <f t="shared" si="593"/>
        <v>0.00533333333333341</v>
      </c>
      <c r="S1945" s="82">
        <f t="shared" si="594"/>
        <v>45218</v>
      </c>
      <c r="T1945" s="83">
        <f t="shared" si="591"/>
        <v>0.259375</v>
      </c>
      <c r="U1945" s="83">
        <f t="shared" si="591"/>
        <v>0.2375</v>
      </c>
      <c r="W1945" s="146">
        <v>45218</v>
      </c>
      <c r="X1945" s="147">
        <v>4.45</v>
      </c>
      <c r="Y1945" s="147">
        <v>3.95</v>
      </c>
      <c r="Z1945" s="147">
        <v>4.15</v>
      </c>
      <c r="AA1945" s="59" cm="1">
        <f t="array" ref="AA1945">INDEX($BX$29:$BX$1449,MATCH($D1945,$BR$29:$BR$1449,0),)</f>
        <v>3.8</v>
      </c>
      <c r="AB1945" s="150">
        <f t="shared" si="595"/>
        <v>0</v>
      </c>
      <c r="AC1945" s="150">
        <f t="shared" ref="AC1945:AC2008" si="597">Z1945/Z1940-1</f>
        <v>-0.00479616306954422</v>
      </c>
      <c r="AD1945" s="150">
        <f t="shared" si="578"/>
        <v>0.0024154589371983</v>
      </c>
      <c r="AE1945" s="89">
        <f t="shared" si="596"/>
        <v>0.0921052631578949</v>
      </c>
      <c r="AF1945" s="36"/>
      <c r="GF1945" s="104">
        <f t="shared" si="584"/>
        <v>2020</v>
      </c>
      <c r="GG1945" s="104">
        <f t="shared" si="585"/>
        <v>36</v>
      </c>
      <c r="GH1945" s="35">
        <v>44076</v>
      </c>
      <c r="GI1945" s="26">
        <v>1.436</v>
      </c>
      <c r="GJ1945" s="94">
        <f t="shared" si="586"/>
        <v>2.872</v>
      </c>
      <c r="GK1945" s="104"/>
      <c r="GL1945" s="104"/>
    </row>
    <row r="1946" spans="3:194">
      <c r="C1946" s="80" t="str" cm="1">
        <f t="array" ref="C1946">_xlfn.IFS(MONTH(D1946)&lt;4,1,MONTH(D1946)&lt;7,2,MONTH(D1946)&lt;10,3,MONTH(D1946)&gt;9,4)&amp;"Q"&amp;RIGHT(YEAR(D1946),2)</f>
        <v>4Q23</v>
      </c>
      <c r="D1946" s="81">
        <f t="shared" si="577"/>
        <v>45230</v>
      </c>
      <c r="E1946" s="82">
        <f t="shared" si="592"/>
        <v>45219</v>
      </c>
      <c r="F1946" s="83">
        <f t="shared" ref="F1946:G1961" si="598">+L1946/8</f>
        <v>0.1885</v>
      </c>
      <c r="G1946" s="83">
        <f t="shared" si="598"/>
        <v>0.1875</v>
      </c>
      <c r="H1946" s="81"/>
      <c r="I1946" s="146">
        <v>45219</v>
      </c>
      <c r="J1946" s="147">
        <v>1.7</v>
      </c>
      <c r="K1946" s="147">
        <v>1.44</v>
      </c>
      <c r="L1946" s="147">
        <v>1.508</v>
      </c>
      <c r="M1946" s="59" cm="1">
        <f t="array" ref="M1946">INDEX($BV$29:$BV$1449,MATCH($D1946,$BR$29:$BR$1449,0),)</f>
        <v>1.5</v>
      </c>
      <c r="N1946" s="150">
        <f t="shared" si="581"/>
        <v>0</v>
      </c>
      <c r="O1946" s="150">
        <f t="shared" si="582"/>
        <v>0.00869565217391299</v>
      </c>
      <c r="P1946" s="150">
        <f t="shared" si="590"/>
        <v>0.0272479564032697</v>
      </c>
      <c r="Q1946" s="89">
        <f t="shared" si="593"/>
        <v>0.00533333333333341</v>
      </c>
      <c r="S1946" s="82">
        <f t="shared" si="594"/>
        <v>45219</v>
      </c>
      <c r="T1946" s="83">
        <f t="shared" si="591"/>
        <v>0.2589375</v>
      </c>
      <c r="U1946" s="83">
        <f t="shared" si="591"/>
        <v>0.2375</v>
      </c>
      <c r="W1946" s="146">
        <v>45219</v>
      </c>
      <c r="X1946" s="147">
        <v>4.45</v>
      </c>
      <c r="Y1946" s="147">
        <v>3.95</v>
      </c>
      <c r="Z1946" s="147">
        <v>4.143</v>
      </c>
      <c r="AA1946" s="59" cm="1">
        <f t="array" ref="AA1946">INDEX($BX$29:$BX$1449,MATCH($D1946,$BR$29:$BR$1449,0),)</f>
        <v>3.8</v>
      </c>
      <c r="AB1946" s="150">
        <f t="shared" si="595"/>
        <v>-0.0016867469879519</v>
      </c>
      <c r="AC1946" s="150">
        <f t="shared" si="597"/>
        <v>-0.0064748201438849</v>
      </c>
      <c r="AD1946" s="150">
        <f t="shared" si="578"/>
        <v>-0.00336781332691849</v>
      </c>
      <c r="AE1946" s="89">
        <f t="shared" si="596"/>
        <v>0.0902631578947368</v>
      </c>
      <c r="AF1946" s="36"/>
      <c r="GF1946" s="104">
        <f t="shared" si="584"/>
        <v>2020</v>
      </c>
      <c r="GG1946" s="104">
        <f t="shared" si="585"/>
        <v>36</v>
      </c>
      <c r="GH1946" s="35">
        <v>44077</v>
      </c>
      <c r="GI1946" s="26">
        <v>1.454</v>
      </c>
      <c r="GJ1946" s="94">
        <f t="shared" si="586"/>
        <v>2.908</v>
      </c>
      <c r="GK1946" s="104"/>
      <c r="GL1946" s="104"/>
    </row>
    <row r="1947" spans="3:194">
      <c r="C1947" s="80" t="str" cm="1">
        <f t="array" ref="C1947">_xlfn.IFS(MONTH(D1947)&lt;4,1,MONTH(D1947)&lt;7,2,MONTH(D1947)&lt;10,3,MONTH(D1947)&gt;9,4)&amp;"Q"&amp;RIGHT(YEAR(D1947),2)</f>
        <v>4Q23</v>
      </c>
      <c r="D1947" s="81">
        <f t="shared" si="577"/>
        <v>45230</v>
      </c>
      <c r="E1947" s="82">
        <f t="shared" si="592"/>
        <v>45222</v>
      </c>
      <c r="F1947" s="83">
        <f t="shared" si="598"/>
        <v>0.18875</v>
      </c>
      <c r="G1947" s="83">
        <f t="shared" si="598"/>
        <v>0.1875</v>
      </c>
      <c r="H1947" s="81"/>
      <c r="I1947" s="146">
        <v>45222</v>
      </c>
      <c r="J1947" s="147">
        <v>1.7</v>
      </c>
      <c r="K1947" s="147">
        <v>1.45</v>
      </c>
      <c r="L1947" s="147">
        <v>1.51</v>
      </c>
      <c r="M1947" s="59" cm="1">
        <f t="array" ref="M1947">INDEX($BV$29:$BV$1449,MATCH($D1947,$BR$29:$BR$1449,0),)</f>
        <v>1.5</v>
      </c>
      <c r="N1947" s="150">
        <f t="shared" si="581"/>
        <v>0.00132625994694968</v>
      </c>
      <c r="O1947" s="150">
        <f t="shared" si="582"/>
        <v>0.00332225913621276</v>
      </c>
      <c r="P1947" s="150">
        <f t="shared" si="590"/>
        <v>0.0272108843537415</v>
      </c>
      <c r="Q1947" s="89">
        <f t="shared" si="593"/>
        <v>0.0066666666666666</v>
      </c>
      <c r="S1947" s="82">
        <f t="shared" si="594"/>
        <v>45222</v>
      </c>
      <c r="T1947" s="83">
        <f t="shared" si="591"/>
        <v>0.25875</v>
      </c>
      <c r="U1947" s="83">
        <f t="shared" si="591"/>
        <v>0.2375</v>
      </c>
      <c r="W1947" s="146">
        <v>45222</v>
      </c>
      <c r="X1947" s="147">
        <v>4.45</v>
      </c>
      <c r="Y1947" s="147">
        <v>3.9</v>
      </c>
      <c r="Z1947" s="147">
        <v>4.14</v>
      </c>
      <c r="AA1947" s="59" cm="1">
        <f t="array" ref="AA1947">INDEX($BX$29:$BX$1449,MATCH($D1947,$BR$29:$BR$1449,0),)</f>
        <v>3.8</v>
      </c>
      <c r="AB1947" s="150">
        <f t="shared" si="595"/>
        <v>-0.000724112961622003</v>
      </c>
      <c r="AC1947" s="150">
        <f t="shared" si="597"/>
        <v>-0.0048076923076924</v>
      </c>
      <c r="AD1947" s="150">
        <f t="shared" si="578"/>
        <v>-0.0048076923076924</v>
      </c>
      <c r="AE1947" s="89">
        <f t="shared" si="596"/>
        <v>0.0894736842105264</v>
      </c>
      <c r="AF1947" s="36"/>
      <c r="GF1947" s="104">
        <f t="shared" si="584"/>
        <v>2020</v>
      </c>
      <c r="GG1947" s="104">
        <f t="shared" si="585"/>
        <v>36</v>
      </c>
      <c r="GH1947" s="35">
        <v>44078</v>
      </c>
      <c r="GI1947" s="26">
        <v>1.457</v>
      </c>
      <c r="GJ1947" s="94">
        <f t="shared" si="586"/>
        <v>2.914</v>
      </c>
      <c r="GK1947" s="104"/>
      <c r="GL1947" s="104"/>
    </row>
    <row r="1948" spans="3:194">
      <c r="C1948" s="80" t="str" cm="1">
        <f t="array" ref="C1948">_xlfn.IFS(MONTH(D1948)&lt;4,1,MONTH(D1948)&lt;7,2,MONTH(D1948)&lt;10,3,MONTH(D1948)&gt;9,4)&amp;"Q"&amp;RIGHT(YEAR(D1948),2)</f>
        <v>4Q23</v>
      </c>
      <c r="D1948" s="81">
        <f t="shared" si="577"/>
        <v>45230</v>
      </c>
      <c r="E1948" s="82">
        <f t="shared" si="592"/>
        <v>45223</v>
      </c>
      <c r="F1948" s="83">
        <f t="shared" si="598"/>
        <v>0.188875</v>
      </c>
      <c r="G1948" s="83">
        <f t="shared" si="598"/>
        <v>0.1875</v>
      </c>
      <c r="H1948" s="81"/>
      <c r="I1948" s="146">
        <v>45223</v>
      </c>
      <c r="J1948" s="147">
        <v>1.7</v>
      </c>
      <c r="K1948" s="147">
        <v>1.45</v>
      </c>
      <c r="L1948" s="147">
        <v>1.511</v>
      </c>
      <c r="M1948" s="59" cm="1">
        <f t="array" ref="M1948">INDEX($BV$29:$BV$1449,MATCH($D1948,$BR$29:$BR$1449,0),)</f>
        <v>1.5</v>
      </c>
      <c r="N1948" s="150">
        <f t="shared" si="581"/>
        <v>0.000662251655629165</v>
      </c>
      <c r="O1948" s="150">
        <f t="shared" si="582"/>
        <v>0.000662251655629165</v>
      </c>
      <c r="P1948" s="150">
        <f t="shared" si="590"/>
        <v>0.027891156462585</v>
      </c>
      <c r="Q1948" s="89">
        <f t="shared" si="593"/>
        <v>0.00733333333333319</v>
      </c>
      <c r="S1948" s="82">
        <f t="shared" si="594"/>
        <v>45223</v>
      </c>
      <c r="T1948" s="83">
        <f t="shared" si="591"/>
        <v>0.25875</v>
      </c>
      <c r="U1948" s="83">
        <f t="shared" si="591"/>
        <v>0.2375</v>
      </c>
      <c r="W1948" s="146">
        <v>45223</v>
      </c>
      <c r="X1948" s="147">
        <v>4.45</v>
      </c>
      <c r="Y1948" s="147">
        <v>3.9</v>
      </c>
      <c r="Z1948" s="147">
        <v>4.14</v>
      </c>
      <c r="AA1948" s="59" cm="1">
        <f t="array" ref="AA1948">INDEX($BX$29:$BX$1449,MATCH($D1948,$BR$29:$BR$1449,0),)</f>
        <v>3.8</v>
      </c>
      <c r="AB1948" s="150">
        <f t="shared" si="595"/>
        <v>0</v>
      </c>
      <c r="AC1948" s="150">
        <f t="shared" si="597"/>
        <v>-0.00240963855421705</v>
      </c>
      <c r="AD1948" s="150">
        <f t="shared" si="578"/>
        <v>-0.00647948164146872</v>
      </c>
      <c r="AE1948" s="89">
        <f t="shared" si="596"/>
        <v>0.0894736842105264</v>
      </c>
      <c r="AF1948" s="36"/>
      <c r="GF1948" s="104">
        <f t="shared" si="584"/>
        <v>2020</v>
      </c>
      <c r="GG1948" s="104">
        <f t="shared" si="585"/>
        <v>37</v>
      </c>
      <c r="GH1948" s="35">
        <v>44081</v>
      </c>
      <c r="GI1948" s="26">
        <v>1.465</v>
      </c>
      <c r="GJ1948" s="94">
        <f t="shared" si="586"/>
        <v>2.93</v>
      </c>
      <c r="GK1948" s="104"/>
      <c r="GL1948" s="104"/>
    </row>
    <row r="1949" spans="3:194">
      <c r="C1949" s="80" t="str" cm="1">
        <f t="array" ref="C1949">_xlfn.IFS(MONTH(D1949)&lt;4,1,MONTH(D1949)&lt;7,2,MONTH(D1949)&lt;10,3,MONTH(D1949)&gt;9,4)&amp;"Q"&amp;RIGHT(YEAR(D1949),2)</f>
        <v>4Q23</v>
      </c>
      <c r="D1949" s="81">
        <f t="shared" si="577"/>
        <v>45230</v>
      </c>
      <c r="E1949" s="82">
        <f t="shared" si="592"/>
        <v>45224</v>
      </c>
      <c r="F1949" s="83">
        <f t="shared" si="598"/>
        <v>0.19</v>
      </c>
      <c r="G1949" s="83">
        <f t="shared" si="598"/>
        <v>0.1875</v>
      </c>
      <c r="H1949" s="81"/>
      <c r="I1949" s="146">
        <v>45224</v>
      </c>
      <c r="J1949" s="147">
        <v>1.72</v>
      </c>
      <c r="K1949" s="147">
        <v>1.45</v>
      </c>
      <c r="L1949" s="147">
        <v>1.52</v>
      </c>
      <c r="M1949" s="59" cm="1">
        <f t="array" ref="M1949">INDEX($BV$29:$BV$1449,MATCH($D1949,$BR$29:$BR$1449,0),)</f>
        <v>1.5</v>
      </c>
      <c r="N1949" s="150">
        <f t="shared" si="581"/>
        <v>0.00595632031767046</v>
      </c>
      <c r="O1949" s="150">
        <f t="shared" si="582"/>
        <v>0.00795755968169765</v>
      </c>
      <c r="P1949" s="150">
        <f t="shared" si="590"/>
        <v>0.0284167794316645</v>
      </c>
      <c r="Q1949" s="89">
        <f t="shared" si="593"/>
        <v>0.0133333333333334</v>
      </c>
      <c r="S1949" s="82">
        <f t="shared" si="594"/>
        <v>45224</v>
      </c>
      <c r="T1949" s="83">
        <f t="shared" si="591"/>
        <v>0.25875</v>
      </c>
      <c r="U1949" s="83">
        <f t="shared" si="591"/>
        <v>0.2375</v>
      </c>
      <c r="W1949" s="146">
        <v>45224</v>
      </c>
      <c r="X1949" s="147">
        <v>4.45</v>
      </c>
      <c r="Y1949" s="147">
        <v>3.85</v>
      </c>
      <c r="Z1949" s="147">
        <v>4.14</v>
      </c>
      <c r="AA1949" s="59" cm="1">
        <f t="array" ref="AA1949">INDEX($BX$29:$BX$1449,MATCH($D1949,$BR$29:$BR$1449,0),)</f>
        <v>3.8</v>
      </c>
      <c r="AB1949" s="150">
        <f t="shared" si="595"/>
        <v>0</v>
      </c>
      <c r="AC1949" s="150">
        <f t="shared" si="597"/>
        <v>-0.00240963855421705</v>
      </c>
      <c r="AD1949" s="150">
        <f t="shared" si="578"/>
        <v>-0.00719424460431661</v>
      </c>
      <c r="AE1949" s="89">
        <f t="shared" si="596"/>
        <v>0.0894736842105264</v>
      </c>
      <c r="AF1949" s="36"/>
      <c r="GF1949" s="104">
        <f t="shared" si="584"/>
        <v>2020</v>
      </c>
      <c r="GG1949" s="104">
        <f t="shared" si="585"/>
        <v>37</v>
      </c>
      <c r="GH1949" s="35">
        <v>44082</v>
      </c>
      <c r="GI1949" s="26">
        <v>1.469</v>
      </c>
      <c r="GJ1949" s="94">
        <f t="shared" si="586"/>
        <v>2.938</v>
      </c>
      <c r="GK1949" s="104"/>
      <c r="GL1949" s="104"/>
    </row>
    <row r="1950" spans="3:194">
      <c r="C1950" s="80" t="str" cm="1">
        <f t="array" ref="C1950">_xlfn.IFS(MONTH(D1950)&lt;4,1,MONTH(D1950)&lt;7,2,MONTH(D1950)&lt;10,3,MONTH(D1950)&gt;9,4)&amp;"Q"&amp;RIGHT(YEAR(D1950),2)</f>
        <v>4Q23</v>
      </c>
      <c r="D1950" s="81">
        <f t="shared" ref="D1950:D2013" si="599">EOMONTH(E1950,0)</f>
        <v>45230</v>
      </c>
      <c r="E1950" s="82">
        <f t="shared" si="592"/>
        <v>45225</v>
      </c>
      <c r="F1950" s="83">
        <f t="shared" si="598"/>
        <v>0.19</v>
      </c>
      <c r="G1950" s="83">
        <f t="shared" si="598"/>
        <v>0.1875</v>
      </c>
      <c r="H1950" s="81"/>
      <c r="I1950" s="146">
        <v>45225</v>
      </c>
      <c r="J1950" s="147">
        <v>1.72</v>
      </c>
      <c r="K1950" s="147">
        <v>1.45</v>
      </c>
      <c r="L1950" s="147">
        <v>1.52</v>
      </c>
      <c r="M1950" s="59" cm="1">
        <f t="array" ref="M1950">INDEX($BV$29:$BV$1449,MATCH($D1950,$BR$29:$BR$1449,0),)</f>
        <v>1.5</v>
      </c>
      <c r="N1950" s="150">
        <f t="shared" si="581"/>
        <v>0</v>
      </c>
      <c r="O1950" s="150">
        <f t="shared" si="582"/>
        <v>0.00795755968169765</v>
      </c>
      <c r="P1950" s="150">
        <f t="shared" si="590"/>
        <v>0.0235690235690236</v>
      </c>
      <c r="Q1950" s="89">
        <f t="shared" si="593"/>
        <v>0.0133333333333334</v>
      </c>
      <c r="S1950" s="82">
        <f t="shared" si="594"/>
        <v>45225</v>
      </c>
      <c r="T1950" s="83">
        <f t="shared" si="591"/>
        <v>0.25875</v>
      </c>
      <c r="U1950" s="83">
        <f t="shared" si="591"/>
        <v>0.2375</v>
      </c>
      <c r="W1950" s="146">
        <v>45225</v>
      </c>
      <c r="X1950" s="147">
        <v>4.45</v>
      </c>
      <c r="Y1950" s="147">
        <v>3.85</v>
      </c>
      <c r="Z1950" s="147">
        <v>4.14</v>
      </c>
      <c r="AA1950" s="59" cm="1">
        <f t="array" ref="AA1950">INDEX($BX$29:$BX$1449,MATCH($D1950,$BR$29:$BR$1449,0),)</f>
        <v>3.8</v>
      </c>
      <c r="AB1950" s="150">
        <f t="shared" si="595"/>
        <v>0</v>
      </c>
      <c r="AC1950" s="150">
        <f t="shared" si="597"/>
        <v>-0.00240963855421705</v>
      </c>
      <c r="AD1950" s="150">
        <f t="shared" ref="AD1950:AD2013" si="600">Z1950/Z1940-1</f>
        <v>-0.00719424460431661</v>
      </c>
      <c r="AE1950" s="89">
        <f t="shared" si="596"/>
        <v>0.0894736842105264</v>
      </c>
      <c r="AF1950" s="36"/>
      <c r="GF1950" s="104">
        <f t="shared" si="584"/>
        <v>2020</v>
      </c>
      <c r="GG1950" s="104">
        <f t="shared" si="585"/>
        <v>37</v>
      </c>
      <c r="GH1950" s="35">
        <v>44083</v>
      </c>
      <c r="GI1950" s="26">
        <v>1.471</v>
      </c>
      <c r="GJ1950" s="94">
        <f t="shared" si="586"/>
        <v>2.942</v>
      </c>
      <c r="GK1950" s="104"/>
      <c r="GL1950" s="104"/>
    </row>
    <row r="1951" spans="3:194">
      <c r="C1951" s="80" t="str" cm="1">
        <f t="array" ref="C1951">_xlfn.IFS(MONTH(D1951)&lt;4,1,MONTH(D1951)&lt;7,2,MONTH(D1951)&lt;10,3,MONTH(D1951)&gt;9,4)&amp;"Q"&amp;RIGHT(YEAR(D1951),2)</f>
        <v>4Q23</v>
      </c>
      <c r="D1951" s="81">
        <f t="shared" si="599"/>
        <v>45230</v>
      </c>
      <c r="E1951" s="82">
        <f t="shared" si="592"/>
        <v>45226</v>
      </c>
      <c r="F1951" s="83">
        <f t="shared" si="598"/>
        <v>0.1915</v>
      </c>
      <c r="G1951" s="83">
        <f t="shared" si="598"/>
        <v>0.1875</v>
      </c>
      <c r="H1951" s="81"/>
      <c r="I1951" s="146">
        <v>45226</v>
      </c>
      <c r="J1951" s="147">
        <v>1.73</v>
      </c>
      <c r="K1951" s="147">
        <v>1.48</v>
      </c>
      <c r="L1951" s="147">
        <v>1.532</v>
      </c>
      <c r="M1951" s="59" cm="1">
        <f t="array" ref="M1951">INDEX($BV$29:$BV$1449,MATCH($D1951,$BR$29:$BR$1449,0),)</f>
        <v>1.5</v>
      </c>
      <c r="N1951" s="150">
        <f t="shared" si="581"/>
        <v>0.00789473684210518</v>
      </c>
      <c r="O1951" s="150">
        <f t="shared" si="582"/>
        <v>0.0159151193633953</v>
      </c>
      <c r="P1951" s="150">
        <f t="shared" si="590"/>
        <v>0.0247491638795987</v>
      </c>
      <c r="Q1951" s="89">
        <f t="shared" si="593"/>
        <v>0.0213333333333334</v>
      </c>
      <c r="S1951" s="82">
        <f t="shared" si="594"/>
        <v>45226</v>
      </c>
      <c r="T1951" s="83">
        <f t="shared" si="591"/>
        <v>0.25875</v>
      </c>
      <c r="U1951" s="83">
        <f t="shared" si="591"/>
        <v>0.2375</v>
      </c>
      <c r="W1951" s="146">
        <v>45226</v>
      </c>
      <c r="X1951" s="147">
        <v>4.45</v>
      </c>
      <c r="Y1951" s="147">
        <v>3.85</v>
      </c>
      <c r="Z1951" s="147">
        <v>4.14</v>
      </c>
      <c r="AA1951" s="59" cm="1">
        <f t="array" ref="AA1951">INDEX($BX$29:$BX$1449,MATCH($D1951,$BR$29:$BR$1449,0),)</f>
        <v>3.8</v>
      </c>
      <c r="AB1951" s="150">
        <f t="shared" si="595"/>
        <v>0</v>
      </c>
      <c r="AC1951" s="150">
        <f t="shared" si="597"/>
        <v>-0.000724112961622003</v>
      </c>
      <c r="AD1951" s="150">
        <f t="shared" si="600"/>
        <v>-0.00719424460431661</v>
      </c>
      <c r="AE1951" s="89">
        <f t="shared" si="596"/>
        <v>0.0894736842105264</v>
      </c>
      <c r="AF1951" s="36"/>
      <c r="GF1951" s="104">
        <f t="shared" si="584"/>
        <v>2020</v>
      </c>
      <c r="GG1951" s="104">
        <f t="shared" si="585"/>
        <v>37</v>
      </c>
      <c r="GH1951" s="35">
        <v>44084</v>
      </c>
      <c r="GI1951" s="26">
        <v>1.471</v>
      </c>
      <c r="GJ1951" s="94">
        <f t="shared" si="586"/>
        <v>2.942</v>
      </c>
      <c r="GK1951" s="104"/>
      <c r="GL1951" s="104"/>
    </row>
    <row r="1952" spans="3:194">
      <c r="C1952" s="80" t="str" cm="1">
        <f t="array" ref="C1952">_xlfn.IFS(MONTH(D1952)&lt;4,1,MONTH(D1952)&lt;7,2,MONTH(D1952)&lt;10,3,MONTH(D1952)&gt;9,4)&amp;"Q"&amp;RIGHT(YEAR(D1952),2)</f>
        <v>4Q23</v>
      </c>
      <c r="D1952" s="81">
        <f t="shared" si="599"/>
        <v>45230</v>
      </c>
      <c r="E1952" s="82">
        <f t="shared" si="592"/>
        <v>45229</v>
      </c>
      <c r="F1952" s="83">
        <f t="shared" si="598"/>
        <v>0.19275</v>
      </c>
      <c r="G1952" s="83">
        <f t="shared" si="598"/>
        <v>0.1875</v>
      </c>
      <c r="H1952" s="81"/>
      <c r="I1952" s="146">
        <v>45229</v>
      </c>
      <c r="J1952" s="147">
        <v>1.72</v>
      </c>
      <c r="K1952" s="147">
        <v>1.48</v>
      </c>
      <c r="L1952" s="147">
        <v>1.542</v>
      </c>
      <c r="M1952" s="59" cm="1">
        <f t="array" ref="M1952">INDEX($BV$29:$BV$1449,MATCH($D1952,$BR$29:$BR$1449,0),)</f>
        <v>1.5</v>
      </c>
      <c r="N1952" s="150">
        <f t="shared" si="581"/>
        <v>0.00652741514360322</v>
      </c>
      <c r="O1952" s="150">
        <f t="shared" si="582"/>
        <v>0.0211920529801324</v>
      </c>
      <c r="P1952" s="150">
        <f t="shared" si="590"/>
        <v>0.0245847176079734</v>
      </c>
      <c r="Q1952" s="89">
        <f t="shared" si="593"/>
        <v>0.028</v>
      </c>
      <c r="S1952" s="82">
        <f t="shared" si="594"/>
        <v>45229</v>
      </c>
      <c r="T1952" s="83">
        <f t="shared" ref="T1952:U1967" si="601">+Z1952/16</f>
        <v>0.2589375</v>
      </c>
      <c r="U1952" s="83">
        <f t="shared" si="601"/>
        <v>0.2375</v>
      </c>
      <c r="W1952" s="146">
        <v>45229</v>
      </c>
      <c r="X1952" s="147">
        <v>4.5</v>
      </c>
      <c r="Y1952" s="147">
        <v>3.82</v>
      </c>
      <c r="Z1952" s="147">
        <v>4.143</v>
      </c>
      <c r="AA1952" s="59" cm="1">
        <f t="array" ref="AA1952">INDEX($BX$29:$BX$1449,MATCH($D1952,$BR$29:$BR$1449,0),)</f>
        <v>3.8</v>
      </c>
      <c r="AB1952" s="150">
        <f t="shared" si="595"/>
        <v>0.000724637681159379</v>
      </c>
      <c r="AC1952" s="150">
        <f t="shared" si="597"/>
        <v>0.000724637681159379</v>
      </c>
      <c r="AD1952" s="150">
        <f t="shared" si="600"/>
        <v>-0.0040865384615385</v>
      </c>
      <c r="AE1952" s="89">
        <f t="shared" si="596"/>
        <v>0.0902631578947368</v>
      </c>
      <c r="AF1952" s="36"/>
      <c r="GF1952" s="104">
        <f t="shared" si="584"/>
        <v>2020</v>
      </c>
      <c r="GG1952" s="104">
        <f t="shared" si="585"/>
        <v>37</v>
      </c>
      <c r="GH1952" s="35">
        <v>44085</v>
      </c>
      <c r="GI1952" s="26">
        <v>1.471</v>
      </c>
      <c r="GJ1952" s="94">
        <f t="shared" si="586"/>
        <v>2.942</v>
      </c>
      <c r="GK1952" s="104"/>
      <c r="GL1952" s="104"/>
    </row>
    <row r="1953" spans="3:194">
      <c r="C1953" s="80" t="str" cm="1">
        <f t="array" ref="C1953">_xlfn.IFS(MONTH(D1953)&lt;4,1,MONTH(D1953)&lt;7,2,MONTH(D1953)&lt;10,3,MONTH(D1953)&gt;9,4)&amp;"Q"&amp;RIGHT(YEAR(D1953),2)</f>
        <v>4Q23</v>
      </c>
      <c r="D1953" s="81">
        <f t="shared" si="599"/>
        <v>45230</v>
      </c>
      <c r="E1953" s="82">
        <f t="shared" si="592"/>
        <v>45230</v>
      </c>
      <c r="F1953" s="83">
        <f t="shared" si="598"/>
        <v>0.19275</v>
      </c>
      <c r="G1953" s="83">
        <f t="shared" si="598"/>
        <v>0.1875</v>
      </c>
      <c r="H1953" s="81"/>
      <c r="I1953" s="146">
        <v>45230</v>
      </c>
      <c r="J1953" s="147">
        <v>1.72</v>
      </c>
      <c r="K1953" s="147">
        <v>1.48</v>
      </c>
      <c r="L1953" s="147">
        <v>1.542</v>
      </c>
      <c r="M1953" s="59" cm="1">
        <f t="array" ref="M1953">INDEX($BV$29:$BV$1449,MATCH($D1953,$BR$29:$BR$1449,0),)</f>
        <v>1.5</v>
      </c>
      <c r="N1953" s="150">
        <f t="shared" si="581"/>
        <v>0</v>
      </c>
      <c r="O1953" s="150">
        <f t="shared" si="582"/>
        <v>0.0205162144275315</v>
      </c>
      <c r="P1953" s="150">
        <f t="shared" si="590"/>
        <v>0.0211920529801324</v>
      </c>
      <c r="Q1953" s="89">
        <f t="shared" si="593"/>
        <v>0.028</v>
      </c>
      <c r="S1953" s="82">
        <f t="shared" si="594"/>
        <v>45230</v>
      </c>
      <c r="T1953" s="83">
        <f t="shared" si="601"/>
        <v>0.259375</v>
      </c>
      <c r="U1953" s="83">
        <f t="shared" si="601"/>
        <v>0.2375</v>
      </c>
      <c r="W1953" s="146">
        <v>45230</v>
      </c>
      <c r="X1953" s="147">
        <v>4.5</v>
      </c>
      <c r="Y1953" s="147">
        <v>3.82</v>
      </c>
      <c r="Z1953" s="147">
        <v>4.15</v>
      </c>
      <c r="AA1953" s="59" cm="1">
        <f t="array" ref="AA1953">INDEX($BX$29:$BX$1449,MATCH($D1953,$BR$29:$BR$1449,0),)</f>
        <v>3.8</v>
      </c>
      <c r="AB1953" s="150">
        <f t="shared" si="595"/>
        <v>0.00168959691045156</v>
      </c>
      <c r="AC1953" s="150">
        <f t="shared" si="597"/>
        <v>0.0024154589371983</v>
      </c>
      <c r="AD1953" s="150">
        <f t="shared" si="600"/>
        <v>0</v>
      </c>
      <c r="AE1953" s="89">
        <f t="shared" si="596"/>
        <v>0.0921052631578949</v>
      </c>
      <c r="AF1953" s="36"/>
      <c r="GF1953" s="104">
        <f t="shared" si="584"/>
        <v>2020</v>
      </c>
      <c r="GG1953" s="104">
        <f t="shared" si="585"/>
        <v>38</v>
      </c>
      <c r="GH1953" s="35">
        <v>44088</v>
      </c>
      <c r="GI1953" s="26">
        <v>1.469</v>
      </c>
      <c r="GJ1953" s="94">
        <f t="shared" si="586"/>
        <v>2.938</v>
      </c>
      <c r="GK1953" s="104"/>
      <c r="GL1953" s="104"/>
    </row>
    <row r="1954" spans="3:194">
      <c r="C1954" s="80" t="str" cm="1">
        <f t="array" ref="C1954">_xlfn.IFS(MONTH(D1954)&lt;4,1,MONTH(D1954)&lt;7,2,MONTH(D1954)&lt;10,3,MONTH(D1954)&gt;9,4)&amp;"Q"&amp;RIGHT(YEAR(D1954),2)</f>
        <v>4Q23</v>
      </c>
      <c r="D1954" s="81">
        <f t="shared" si="599"/>
        <v>45260</v>
      </c>
      <c r="E1954" s="82">
        <f t="shared" si="592"/>
        <v>45231</v>
      </c>
      <c r="F1954" s="83">
        <f t="shared" si="598"/>
        <v>0.193375</v>
      </c>
      <c r="G1954" s="83">
        <f t="shared" si="598"/>
        <v>0.19375</v>
      </c>
      <c r="H1954" s="81"/>
      <c r="I1954" s="146">
        <v>45231</v>
      </c>
      <c r="J1954" s="147">
        <v>1.72</v>
      </c>
      <c r="K1954" s="147">
        <v>1.48</v>
      </c>
      <c r="L1954" s="147">
        <v>1.547</v>
      </c>
      <c r="M1954" s="59" cm="1">
        <f t="array" ref="M1954">INDEX($BV$29:$BV$1449,MATCH($D1954,$BR$29:$BR$1449,0),)</f>
        <v>1.55</v>
      </c>
      <c r="N1954" s="150">
        <f t="shared" si="581"/>
        <v>0.00324254215304798</v>
      </c>
      <c r="O1954" s="150">
        <f t="shared" si="582"/>
        <v>0.0177631578947368</v>
      </c>
      <c r="P1954" s="150">
        <f t="shared" si="590"/>
        <v>0.0258620689655171</v>
      </c>
      <c r="Q1954" s="89">
        <f t="shared" si="593"/>
        <v>-0.00193548387096787</v>
      </c>
      <c r="S1954" s="82">
        <f t="shared" si="594"/>
        <v>45231</v>
      </c>
      <c r="T1954" s="83">
        <f t="shared" si="601"/>
        <v>0.259375</v>
      </c>
      <c r="U1954" s="83">
        <f t="shared" si="601"/>
        <v>0.24375</v>
      </c>
      <c r="W1954" s="146">
        <v>45231</v>
      </c>
      <c r="X1954" s="147">
        <v>4.5</v>
      </c>
      <c r="Y1954" s="147">
        <v>3.82</v>
      </c>
      <c r="Z1954" s="147">
        <v>4.15</v>
      </c>
      <c r="AA1954" s="59" cm="1">
        <f t="array" ref="AA1954">INDEX($BX$29:$BX$1449,MATCH($D1954,$BR$29:$BR$1449,0),)</f>
        <v>3.9</v>
      </c>
      <c r="AB1954" s="150">
        <f t="shared" si="595"/>
        <v>0</v>
      </c>
      <c r="AC1954" s="150">
        <f t="shared" si="597"/>
        <v>0.0024154589371983</v>
      </c>
      <c r="AD1954" s="150">
        <f t="shared" si="600"/>
        <v>0</v>
      </c>
      <c r="AE1954" s="89">
        <f t="shared" si="596"/>
        <v>0.0641025641025643</v>
      </c>
      <c r="AF1954" s="36"/>
      <c r="GF1954" s="104">
        <f t="shared" si="584"/>
        <v>2020</v>
      </c>
      <c r="GG1954" s="104">
        <f t="shared" si="585"/>
        <v>38</v>
      </c>
      <c r="GH1954" s="35">
        <v>44089</v>
      </c>
      <c r="GI1954" s="26">
        <v>1.474</v>
      </c>
      <c r="GJ1954" s="94">
        <f t="shared" si="586"/>
        <v>2.948</v>
      </c>
      <c r="GK1954" s="104"/>
      <c r="GL1954" s="104"/>
    </row>
    <row r="1955" spans="3:194">
      <c r="C1955" s="80" t="str" cm="1">
        <f t="array" ref="C1955">_xlfn.IFS(MONTH(D1955)&lt;4,1,MONTH(D1955)&lt;7,2,MONTH(D1955)&lt;10,3,MONTH(D1955)&gt;9,4)&amp;"Q"&amp;RIGHT(YEAR(D1955),2)</f>
        <v>4Q23</v>
      </c>
      <c r="D1955" s="81">
        <f t="shared" si="599"/>
        <v>45260</v>
      </c>
      <c r="E1955" s="82">
        <f t="shared" si="592"/>
        <v>45232</v>
      </c>
      <c r="F1955" s="83">
        <f t="shared" si="598"/>
        <v>0.193375</v>
      </c>
      <c r="G1955" s="83">
        <f t="shared" si="598"/>
        <v>0.19375</v>
      </c>
      <c r="H1955" s="81"/>
      <c r="I1955" s="146">
        <v>45232</v>
      </c>
      <c r="J1955" s="147">
        <v>1.73</v>
      </c>
      <c r="K1955" s="147">
        <v>1.47</v>
      </c>
      <c r="L1955" s="147">
        <v>1.547</v>
      </c>
      <c r="M1955" s="59" cm="1">
        <f t="array" ref="M1955">INDEX($BV$29:$BV$1449,MATCH($D1955,$BR$29:$BR$1449,0),)</f>
        <v>1.55</v>
      </c>
      <c r="N1955" s="150">
        <f t="shared" si="581"/>
        <v>0</v>
      </c>
      <c r="O1955" s="150">
        <f t="shared" si="582"/>
        <v>0.0177631578947368</v>
      </c>
      <c r="P1955" s="150">
        <f t="shared" si="590"/>
        <v>0.0258620689655171</v>
      </c>
      <c r="Q1955" s="89">
        <f t="shared" si="593"/>
        <v>-0.00193548387096787</v>
      </c>
      <c r="S1955" s="82">
        <f t="shared" si="594"/>
        <v>45232</v>
      </c>
      <c r="T1955" s="83">
        <f t="shared" si="601"/>
        <v>0.259375</v>
      </c>
      <c r="U1955" s="83">
        <f t="shared" si="601"/>
        <v>0.24375</v>
      </c>
      <c r="W1955" s="146">
        <v>45232</v>
      </c>
      <c r="X1955" s="147">
        <v>4.48</v>
      </c>
      <c r="Y1955" s="147">
        <v>3.8</v>
      </c>
      <c r="Z1955" s="147">
        <v>4.15</v>
      </c>
      <c r="AA1955" s="59" cm="1">
        <f t="array" ref="AA1955">INDEX($BX$29:$BX$1449,MATCH($D1955,$BR$29:$BR$1449,0),)</f>
        <v>3.9</v>
      </c>
      <c r="AB1955" s="150">
        <f t="shared" si="595"/>
        <v>0</v>
      </c>
      <c r="AC1955" s="150">
        <f t="shared" si="597"/>
        <v>0.0024154589371983</v>
      </c>
      <c r="AD1955" s="150">
        <f t="shared" si="600"/>
        <v>0</v>
      </c>
      <c r="AE1955" s="89">
        <f t="shared" si="596"/>
        <v>0.0641025641025643</v>
      </c>
      <c r="AF1955" s="36"/>
      <c r="GF1955" s="104">
        <f t="shared" si="584"/>
        <v>2020</v>
      </c>
      <c r="GG1955" s="104">
        <f t="shared" si="585"/>
        <v>38</v>
      </c>
      <c r="GH1955" s="35">
        <v>44090</v>
      </c>
      <c r="GI1955" s="26">
        <v>1.469</v>
      </c>
      <c r="GJ1955" s="94">
        <f t="shared" si="586"/>
        <v>2.938</v>
      </c>
      <c r="GK1955" s="104"/>
      <c r="GL1955" s="104"/>
    </row>
    <row r="1956" spans="3:194">
      <c r="C1956" s="80" t="str" cm="1">
        <f t="array" ref="C1956">_xlfn.IFS(MONTH(D1956)&lt;4,1,MONTH(D1956)&lt;7,2,MONTH(D1956)&lt;10,3,MONTH(D1956)&gt;9,4)&amp;"Q"&amp;RIGHT(YEAR(D1956),2)</f>
        <v>4Q23</v>
      </c>
      <c r="D1956" s="81">
        <f t="shared" si="599"/>
        <v>45260</v>
      </c>
      <c r="E1956" s="82">
        <f t="shared" si="592"/>
        <v>45233</v>
      </c>
      <c r="F1956" s="83">
        <f t="shared" si="598"/>
        <v>0.193125</v>
      </c>
      <c r="G1956" s="83">
        <f t="shared" si="598"/>
        <v>0.19375</v>
      </c>
      <c r="H1956" s="81"/>
      <c r="I1956" s="146">
        <v>45233</v>
      </c>
      <c r="J1956" s="147">
        <v>1.73</v>
      </c>
      <c r="K1956" s="147">
        <v>1.47</v>
      </c>
      <c r="L1956" s="147">
        <v>1.545</v>
      </c>
      <c r="M1956" s="59" cm="1">
        <f t="array" ref="M1956">INDEX($BV$29:$BV$1449,MATCH($D1956,$BR$29:$BR$1449,0),)</f>
        <v>1.55</v>
      </c>
      <c r="N1956" s="150">
        <f t="shared" si="581"/>
        <v>-0.00129282482223658</v>
      </c>
      <c r="O1956" s="150">
        <f t="shared" si="582"/>
        <v>0.00848563968668392</v>
      </c>
      <c r="P1956" s="150">
        <f t="shared" si="590"/>
        <v>0.0245358090185677</v>
      </c>
      <c r="Q1956" s="89">
        <f t="shared" si="593"/>
        <v>-0.00322580645161297</v>
      </c>
      <c r="S1956" s="82">
        <f t="shared" si="594"/>
        <v>45233</v>
      </c>
      <c r="T1956" s="83">
        <f t="shared" si="601"/>
        <v>0.2589375</v>
      </c>
      <c r="U1956" s="83">
        <f t="shared" si="601"/>
        <v>0.24375</v>
      </c>
      <c r="W1956" s="146">
        <v>45233</v>
      </c>
      <c r="X1956" s="147">
        <v>4.48</v>
      </c>
      <c r="Y1956" s="147">
        <v>3.8</v>
      </c>
      <c r="Z1956" s="147">
        <v>4.143</v>
      </c>
      <c r="AA1956" s="59" cm="1">
        <f t="array" ref="AA1956">INDEX($BX$29:$BX$1449,MATCH($D1956,$BR$29:$BR$1449,0),)</f>
        <v>3.9</v>
      </c>
      <c r="AB1956" s="150">
        <f t="shared" si="595"/>
        <v>-0.0016867469879519</v>
      </c>
      <c r="AC1956" s="150">
        <f t="shared" si="597"/>
        <v>0.000724637681159379</v>
      </c>
      <c r="AD1956" s="150">
        <f t="shared" si="600"/>
        <v>0</v>
      </c>
      <c r="AE1956" s="89">
        <f t="shared" si="596"/>
        <v>0.0623076923076922</v>
      </c>
      <c r="AF1956" s="36"/>
      <c r="GF1956" s="104">
        <f t="shared" si="584"/>
        <v>2020</v>
      </c>
      <c r="GG1956" s="104">
        <f t="shared" si="585"/>
        <v>38</v>
      </c>
      <c r="GH1956" s="35">
        <v>44091</v>
      </c>
      <c r="GI1956" s="26">
        <v>1.469</v>
      </c>
      <c r="GJ1956" s="94">
        <f t="shared" si="586"/>
        <v>2.938</v>
      </c>
      <c r="GK1956" s="104"/>
      <c r="GL1956" s="104"/>
    </row>
    <row r="1957" spans="3:194">
      <c r="C1957" s="80" t="str" cm="1">
        <f t="array" ref="C1957">_xlfn.IFS(MONTH(D1957)&lt;4,1,MONTH(D1957)&lt;7,2,MONTH(D1957)&lt;10,3,MONTH(D1957)&gt;9,4)&amp;"Q"&amp;RIGHT(YEAR(D1957),2)</f>
        <v>4Q23</v>
      </c>
      <c r="D1957" s="81">
        <f t="shared" si="599"/>
        <v>45260</v>
      </c>
      <c r="E1957" s="82">
        <f t="shared" si="592"/>
        <v>45236</v>
      </c>
      <c r="F1957" s="83">
        <f t="shared" si="598"/>
        <v>0.193375</v>
      </c>
      <c r="G1957" s="83">
        <f t="shared" si="598"/>
        <v>0.19375</v>
      </c>
      <c r="H1957" s="81"/>
      <c r="I1957" s="146">
        <v>45236</v>
      </c>
      <c r="J1957" s="147">
        <v>1.72</v>
      </c>
      <c r="K1957" s="147">
        <v>1.46</v>
      </c>
      <c r="L1957" s="147">
        <v>1.547</v>
      </c>
      <c r="M1957" s="59" cm="1">
        <f t="array" ref="M1957">INDEX($BV$29:$BV$1449,MATCH($D1957,$BR$29:$BR$1449,0),)</f>
        <v>1.55</v>
      </c>
      <c r="N1957" s="150">
        <f t="shared" si="581"/>
        <v>0.00129449838187701</v>
      </c>
      <c r="O1957" s="150">
        <f t="shared" si="582"/>
        <v>0.00324254215304798</v>
      </c>
      <c r="P1957" s="150">
        <f t="shared" si="590"/>
        <v>0.0245033112582782</v>
      </c>
      <c r="Q1957" s="89">
        <f t="shared" si="593"/>
        <v>-0.00193548387096787</v>
      </c>
      <c r="S1957" s="82">
        <f t="shared" si="594"/>
        <v>45236</v>
      </c>
      <c r="T1957" s="83">
        <f t="shared" si="601"/>
        <v>0.2583125</v>
      </c>
      <c r="U1957" s="83">
        <f t="shared" si="601"/>
        <v>0.24375</v>
      </c>
      <c r="W1957" s="146">
        <v>45236</v>
      </c>
      <c r="X1957" s="147">
        <v>4.45</v>
      </c>
      <c r="Y1957" s="147">
        <v>3.78</v>
      </c>
      <c r="Z1957" s="147">
        <v>4.133</v>
      </c>
      <c r="AA1957" s="59" cm="1">
        <f t="array" ref="AA1957">INDEX($BX$29:$BX$1449,MATCH($D1957,$BR$29:$BR$1449,0),)</f>
        <v>3.9</v>
      </c>
      <c r="AB1957" s="150">
        <f t="shared" si="595"/>
        <v>-0.00241370987207334</v>
      </c>
      <c r="AC1957" s="150">
        <f t="shared" si="597"/>
        <v>-0.00241370987207334</v>
      </c>
      <c r="AD1957" s="150">
        <f t="shared" si="600"/>
        <v>-0.00169082125603859</v>
      </c>
      <c r="AE1957" s="89">
        <f t="shared" si="596"/>
        <v>0.0597435897435898</v>
      </c>
      <c r="AF1957" s="36"/>
      <c r="GF1957" s="104">
        <f t="shared" si="584"/>
        <v>2020</v>
      </c>
      <c r="GG1957" s="104">
        <f t="shared" si="585"/>
        <v>38</v>
      </c>
      <c r="GH1957" s="35">
        <v>44092</v>
      </c>
      <c r="GI1957" s="26">
        <v>1.458</v>
      </c>
      <c r="GJ1957" s="94">
        <f t="shared" si="586"/>
        <v>2.916</v>
      </c>
      <c r="GK1957" s="104"/>
      <c r="GL1957" s="104"/>
    </row>
    <row r="1958" spans="3:194">
      <c r="C1958" s="80" t="str" cm="1">
        <f t="array" ref="C1958">_xlfn.IFS(MONTH(D1958)&lt;4,1,MONTH(D1958)&lt;7,2,MONTH(D1958)&lt;10,3,MONTH(D1958)&gt;9,4)&amp;"Q"&amp;RIGHT(YEAR(D1958),2)</f>
        <v>4Q23</v>
      </c>
      <c r="D1958" s="81">
        <f t="shared" si="599"/>
        <v>45260</v>
      </c>
      <c r="E1958" s="82">
        <f t="shared" si="592"/>
        <v>45237</v>
      </c>
      <c r="F1958" s="83">
        <f t="shared" si="598"/>
        <v>0.194375</v>
      </c>
      <c r="G1958" s="83">
        <f t="shared" si="598"/>
        <v>0.19375</v>
      </c>
      <c r="H1958" s="81"/>
      <c r="I1958" s="146">
        <v>45237</v>
      </c>
      <c r="J1958" s="147">
        <v>1.73</v>
      </c>
      <c r="K1958" s="147">
        <v>1.46</v>
      </c>
      <c r="L1958" s="147">
        <v>1.555</v>
      </c>
      <c r="M1958" s="59" cm="1">
        <f t="array" ref="M1958">INDEX($BV$29:$BV$1449,MATCH($D1958,$BR$29:$BR$1449,0),)</f>
        <v>1.55</v>
      </c>
      <c r="N1958" s="150">
        <f t="shared" si="581"/>
        <v>0.00517129928894633</v>
      </c>
      <c r="O1958" s="150">
        <f t="shared" si="582"/>
        <v>0.00843060959792474</v>
      </c>
      <c r="P1958" s="150">
        <f t="shared" si="590"/>
        <v>0.0291197882197221</v>
      </c>
      <c r="Q1958" s="89">
        <f t="shared" si="593"/>
        <v>0.00322580645161286</v>
      </c>
      <c r="S1958" s="82">
        <f t="shared" si="594"/>
        <v>45237</v>
      </c>
      <c r="T1958" s="83">
        <f t="shared" si="601"/>
        <v>0.2583125</v>
      </c>
      <c r="U1958" s="83">
        <f t="shared" si="601"/>
        <v>0.24375</v>
      </c>
      <c r="W1958" s="146">
        <v>45237</v>
      </c>
      <c r="X1958" s="147">
        <v>4.45</v>
      </c>
      <c r="Y1958" s="147">
        <v>3.78</v>
      </c>
      <c r="Z1958" s="147">
        <v>4.133</v>
      </c>
      <c r="AA1958" s="59" cm="1">
        <f t="array" ref="AA1958">INDEX($BX$29:$BX$1449,MATCH($D1958,$BR$29:$BR$1449,0),)</f>
        <v>3.9</v>
      </c>
      <c r="AB1958" s="150">
        <f t="shared" si="595"/>
        <v>0</v>
      </c>
      <c r="AC1958" s="150">
        <f t="shared" si="597"/>
        <v>-0.00409638554216873</v>
      </c>
      <c r="AD1958" s="150">
        <f t="shared" si="600"/>
        <v>-0.00169082125603859</v>
      </c>
      <c r="AE1958" s="89">
        <f t="shared" si="596"/>
        <v>0.0597435897435898</v>
      </c>
      <c r="AF1958" s="36"/>
      <c r="GF1958" s="104">
        <f t="shared" si="584"/>
        <v>2020</v>
      </c>
      <c r="GG1958" s="104">
        <f t="shared" si="585"/>
        <v>39</v>
      </c>
      <c r="GH1958" s="35">
        <v>44095</v>
      </c>
      <c r="GI1958" s="26">
        <v>1.457</v>
      </c>
      <c r="GJ1958" s="94">
        <f t="shared" si="586"/>
        <v>2.914</v>
      </c>
      <c r="GK1958" s="104"/>
      <c r="GL1958" s="104"/>
    </row>
    <row r="1959" spans="3:194">
      <c r="C1959" s="80" t="str" cm="1">
        <f t="array" ref="C1959">_xlfn.IFS(MONTH(D1959)&lt;4,1,MONTH(D1959)&lt;7,2,MONTH(D1959)&lt;10,3,MONTH(D1959)&gt;9,4)&amp;"Q"&amp;RIGHT(YEAR(D1959),2)</f>
        <v>4Q23</v>
      </c>
      <c r="D1959" s="81">
        <f t="shared" si="599"/>
        <v>45260</v>
      </c>
      <c r="E1959" s="82">
        <f t="shared" si="592"/>
        <v>45238</v>
      </c>
      <c r="F1959" s="83">
        <f t="shared" si="598"/>
        <v>0.194375</v>
      </c>
      <c r="G1959" s="83">
        <f t="shared" si="598"/>
        <v>0.19375</v>
      </c>
      <c r="H1959" s="81"/>
      <c r="I1959" s="146">
        <v>45238</v>
      </c>
      <c r="J1959" s="147">
        <v>1.73</v>
      </c>
      <c r="K1959" s="147">
        <v>1.46</v>
      </c>
      <c r="L1959" s="147">
        <v>1.555</v>
      </c>
      <c r="M1959" s="59" cm="1">
        <f t="array" ref="M1959">INDEX($BV$29:$BV$1449,MATCH($D1959,$BR$29:$BR$1449,0),)</f>
        <v>1.55</v>
      </c>
      <c r="N1959" s="150">
        <f t="shared" si="581"/>
        <v>0</v>
      </c>
      <c r="O1959" s="150">
        <f t="shared" si="582"/>
        <v>0.00517129928894633</v>
      </c>
      <c r="P1959" s="150">
        <f t="shared" si="590"/>
        <v>0.0230263157894737</v>
      </c>
      <c r="Q1959" s="89">
        <f t="shared" si="593"/>
        <v>0.00322580645161286</v>
      </c>
      <c r="S1959" s="82">
        <f t="shared" si="594"/>
        <v>45238</v>
      </c>
      <c r="T1959" s="83">
        <f t="shared" si="601"/>
        <v>0.2579375</v>
      </c>
      <c r="U1959" s="83">
        <f t="shared" si="601"/>
        <v>0.24375</v>
      </c>
      <c r="W1959" s="146">
        <v>45238</v>
      </c>
      <c r="X1959" s="147">
        <v>4.45</v>
      </c>
      <c r="Y1959" s="147">
        <v>3.77</v>
      </c>
      <c r="Z1959" s="147">
        <v>4.127</v>
      </c>
      <c r="AA1959" s="59" cm="1">
        <f t="array" ref="AA1959">INDEX($BX$29:$BX$1449,MATCH($D1959,$BR$29:$BR$1449,0),)</f>
        <v>3.9</v>
      </c>
      <c r="AB1959" s="150">
        <f t="shared" si="595"/>
        <v>-0.00145172997822407</v>
      </c>
      <c r="AC1959" s="150">
        <f t="shared" si="597"/>
        <v>-0.00554216867469892</v>
      </c>
      <c r="AD1959" s="150">
        <f t="shared" si="600"/>
        <v>-0.00314009661835746</v>
      </c>
      <c r="AE1959" s="89">
        <f t="shared" si="596"/>
        <v>0.0582051282051281</v>
      </c>
      <c r="AF1959" s="36"/>
      <c r="GF1959" s="104">
        <f t="shared" si="584"/>
        <v>2020</v>
      </c>
      <c r="GG1959" s="104">
        <f t="shared" si="585"/>
        <v>39</v>
      </c>
      <c r="GH1959" s="35">
        <v>44096</v>
      </c>
      <c r="GI1959" s="26">
        <v>1.457</v>
      </c>
      <c r="GJ1959" s="94">
        <f t="shared" si="586"/>
        <v>2.914</v>
      </c>
      <c r="GK1959" s="104"/>
      <c r="GL1959" s="104"/>
    </row>
    <row r="1960" spans="3:194">
      <c r="C1960" s="80" t="str" cm="1">
        <f t="array" ref="C1960">_xlfn.IFS(MONTH(D1960)&lt;4,1,MONTH(D1960)&lt;7,2,MONTH(D1960)&lt;10,3,MONTH(D1960)&gt;9,4)&amp;"Q"&amp;RIGHT(YEAR(D1960),2)</f>
        <v>4Q23</v>
      </c>
      <c r="D1960" s="81">
        <f t="shared" si="599"/>
        <v>45260</v>
      </c>
      <c r="E1960" s="82">
        <f t="shared" si="592"/>
        <v>45239</v>
      </c>
      <c r="F1960" s="83">
        <f t="shared" si="598"/>
        <v>0.194625</v>
      </c>
      <c r="G1960" s="83">
        <f t="shared" si="598"/>
        <v>0.19375</v>
      </c>
      <c r="H1960" s="81"/>
      <c r="I1960" s="146">
        <v>45239</v>
      </c>
      <c r="J1960" s="147">
        <v>1.73</v>
      </c>
      <c r="K1960" s="147">
        <v>1.46</v>
      </c>
      <c r="L1960" s="147">
        <v>1.557</v>
      </c>
      <c r="M1960" s="59" cm="1">
        <f t="array" ref="M1960">INDEX($BV$29:$BV$1449,MATCH($D1960,$BR$29:$BR$1449,0),)</f>
        <v>1.55</v>
      </c>
      <c r="N1960" s="150">
        <f t="shared" si="581"/>
        <v>0.00128617363344041</v>
      </c>
      <c r="O1960" s="150">
        <f t="shared" si="582"/>
        <v>0.00646412411118291</v>
      </c>
      <c r="P1960" s="150">
        <f t="shared" si="590"/>
        <v>0.0243421052631578</v>
      </c>
      <c r="Q1960" s="89">
        <f t="shared" si="593"/>
        <v>0.00451612903225795</v>
      </c>
      <c r="S1960" s="82">
        <f t="shared" si="594"/>
        <v>45239</v>
      </c>
      <c r="T1960" s="83">
        <f t="shared" si="601"/>
        <v>0.2575</v>
      </c>
      <c r="U1960" s="83">
        <f t="shared" si="601"/>
        <v>0.24375</v>
      </c>
      <c r="W1960" s="146">
        <v>45239</v>
      </c>
      <c r="X1960" s="147">
        <v>4.45</v>
      </c>
      <c r="Y1960" s="147">
        <v>3.77</v>
      </c>
      <c r="Z1960" s="147">
        <v>4.12</v>
      </c>
      <c r="AA1960" s="59" cm="1">
        <f t="array" ref="AA1960">INDEX($BX$29:$BX$1449,MATCH($D1960,$BR$29:$BR$1449,0),)</f>
        <v>3.9</v>
      </c>
      <c r="AB1960" s="150">
        <f t="shared" si="595"/>
        <v>-0.00169614732251022</v>
      </c>
      <c r="AC1960" s="150">
        <f t="shared" si="597"/>
        <v>-0.00722891566265071</v>
      </c>
      <c r="AD1960" s="150">
        <f t="shared" si="600"/>
        <v>-0.00483091787439605</v>
      </c>
      <c r="AE1960" s="89">
        <f t="shared" si="596"/>
        <v>0.0564102564102564</v>
      </c>
      <c r="AF1960" s="36"/>
      <c r="GF1960" s="104">
        <f t="shared" si="584"/>
        <v>2020</v>
      </c>
      <c r="GG1960" s="104">
        <f t="shared" si="585"/>
        <v>39</v>
      </c>
      <c r="GH1960" s="35">
        <v>44097</v>
      </c>
      <c r="GI1960" s="26">
        <v>1.455</v>
      </c>
      <c r="GJ1960" s="94">
        <f t="shared" si="586"/>
        <v>2.91</v>
      </c>
      <c r="GK1960" s="104"/>
      <c r="GL1960" s="104"/>
    </row>
    <row r="1961" spans="3:194">
      <c r="C1961" s="80" t="str" cm="1">
        <f t="array" ref="C1961">_xlfn.IFS(MONTH(D1961)&lt;4,1,MONTH(D1961)&lt;7,2,MONTH(D1961)&lt;10,3,MONTH(D1961)&gt;9,4)&amp;"Q"&amp;RIGHT(YEAR(D1961),2)</f>
        <v>4Q23</v>
      </c>
      <c r="D1961" s="81">
        <f t="shared" si="599"/>
        <v>45260</v>
      </c>
      <c r="E1961" s="82">
        <f t="shared" si="592"/>
        <v>45240</v>
      </c>
      <c r="F1961" s="83">
        <f t="shared" si="598"/>
        <v>0.194625</v>
      </c>
      <c r="G1961" s="83">
        <f t="shared" si="598"/>
        <v>0.19375</v>
      </c>
      <c r="H1961" s="81"/>
      <c r="I1961" s="146">
        <v>45240</v>
      </c>
      <c r="J1961" s="147">
        <v>1.74</v>
      </c>
      <c r="K1961" s="147">
        <v>1.48</v>
      </c>
      <c r="L1961" s="147">
        <v>1.557</v>
      </c>
      <c r="M1961" s="59" cm="1">
        <f t="array" ref="M1961">INDEX($BV$29:$BV$1449,MATCH($D1961,$BR$29:$BR$1449,0),)</f>
        <v>1.55</v>
      </c>
      <c r="N1961" s="150">
        <f t="shared" si="581"/>
        <v>0</v>
      </c>
      <c r="O1961" s="150">
        <f t="shared" si="582"/>
        <v>0.00776699029126204</v>
      </c>
      <c r="P1961" s="150">
        <f t="shared" si="590"/>
        <v>0.0163185378590078</v>
      </c>
      <c r="Q1961" s="89">
        <f t="shared" si="593"/>
        <v>0.00451612903225795</v>
      </c>
      <c r="S1961" s="82">
        <f t="shared" si="594"/>
        <v>45240</v>
      </c>
      <c r="T1961" s="83">
        <f t="shared" si="601"/>
        <v>0.2575</v>
      </c>
      <c r="U1961" s="83">
        <f t="shared" si="601"/>
        <v>0.24375</v>
      </c>
      <c r="W1961" s="146">
        <v>45240</v>
      </c>
      <c r="X1961" s="147">
        <v>4.46</v>
      </c>
      <c r="Y1961" s="147">
        <v>3.78</v>
      </c>
      <c r="Z1961" s="147">
        <v>4.12</v>
      </c>
      <c r="AA1961" s="59" cm="1">
        <f t="array" ref="AA1961">INDEX($BX$29:$BX$1449,MATCH($D1961,$BR$29:$BR$1449,0),)</f>
        <v>3.9</v>
      </c>
      <c r="AB1961" s="150">
        <f t="shared" si="595"/>
        <v>0</v>
      </c>
      <c r="AC1961" s="150">
        <f t="shared" si="597"/>
        <v>-0.00555153270576869</v>
      </c>
      <c r="AD1961" s="150">
        <f t="shared" si="600"/>
        <v>-0.00483091787439605</v>
      </c>
      <c r="AE1961" s="89">
        <f t="shared" si="596"/>
        <v>0.0564102564102564</v>
      </c>
      <c r="AF1961" s="36"/>
      <c r="GF1961" s="104">
        <f t="shared" si="584"/>
        <v>2020</v>
      </c>
      <c r="GG1961" s="104">
        <f t="shared" si="585"/>
        <v>39</v>
      </c>
      <c r="GH1961" s="35">
        <v>44098</v>
      </c>
      <c r="GI1961" s="26">
        <v>1.447</v>
      </c>
      <c r="GJ1961" s="94">
        <f t="shared" si="586"/>
        <v>2.894</v>
      </c>
      <c r="GK1961" s="104"/>
      <c r="GL1961" s="104"/>
    </row>
    <row r="1962" spans="3:194">
      <c r="C1962" s="80" t="str" cm="1">
        <f t="array" ref="C1962">_xlfn.IFS(MONTH(D1962)&lt;4,1,MONTH(D1962)&lt;7,2,MONTH(D1962)&lt;10,3,MONTH(D1962)&gt;9,4)&amp;"Q"&amp;RIGHT(YEAR(D1962),2)</f>
        <v>4Q23</v>
      </c>
      <c r="D1962" s="81">
        <f t="shared" si="599"/>
        <v>45260</v>
      </c>
      <c r="E1962" s="82">
        <f t="shared" si="592"/>
        <v>45243</v>
      </c>
      <c r="F1962" s="83">
        <f t="shared" ref="F1962:G1977" si="602">+L1962/8</f>
        <v>0.194625</v>
      </c>
      <c r="G1962" s="83">
        <f t="shared" si="602"/>
        <v>0.19375</v>
      </c>
      <c r="H1962" s="81"/>
      <c r="I1962" s="146">
        <v>45243</v>
      </c>
      <c r="J1962" s="147">
        <v>1.75</v>
      </c>
      <c r="K1962" s="147">
        <v>1.46</v>
      </c>
      <c r="L1962" s="147">
        <v>1.557</v>
      </c>
      <c r="M1962" s="59" cm="1">
        <f t="array" ref="M1962">INDEX($BV$29:$BV$1449,MATCH($D1962,$BR$29:$BR$1449,0),)</f>
        <v>1.55</v>
      </c>
      <c r="N1962" s="150">
        <f t="shared" si="581"/>
        <v>0</v>
      </c>
      <c r="O1962" s="150">
        <f t="shared" si="582"/>
        <v>0.00646412411118291</v>
      </c>
      <c r="P1962" s="150">
        <f t="shared" si="590"/>
        <v>0.00972762645914393</v>
      </c>
      <c r="Q1962" s="89">
        <f t="shared" si="593"/>
        <v>0.00451612903225795</v>
      </c>
      <c r="S1962" s="82">
        <f t="shared" si="594"/>
        <v>45243</v>
      </c>
      <c r="T1962" s="83">
        <f t="shared" si="601"/>
        <v>0.2573125</v>
      </c>
      <c r="U1962" s="83">
        <f t="shared" si="601"/>
        <v>0.24375</v>
      </c>
      <c r="W1962" s="146">
        <v>45243</v>
      </c>
      <c r="X1962" s="147">
        <v>4.45</v>
      </c>
      <c r="Y1962" s="147">
        <v>3.77</v>
      </c>
      <c r="Z1962" s="147">
        <v>4.117</v>
      </c>
      <c r="AA1962" s="59" cm="1">
        <f t="array" ref="AA1962">INDEX($BX$29:$BX$1449,MATCH($D1962,$BR$29:$BR$1449,0),)</f>
        <v>3.9</v>
      </c>
      <c r="AB1962" s="150">
        <f t="shared" si="595"/>
        <v>-0.000728155339805858</v>
      </c>
      <c r="AC1962" s="150">
        <f t="shared" si="597"/>
        <v>-0.00387127994193082</v>
      </c>
      <c r="AD1962" s="150">
        <f t="shared" si="600"/>
        <v>-0.00627564566739069</v>
      </c>
      <c r="AE1962" s="89">
        <f t="shared" si="596"/>
        <v>0.0556410256410256</v>
      </c>
      <c r="AF1962" s="36"/>
      <c r="GF1962" s="104">
        <f t="shared" si="584"/>
        <v>2020</v>
      </c>
      <c r="GG1962" s="104">
        <f t="shared" si="585"/>
        <v>39</v>
      </c>
      <c r="GH1962" s="35">
        <v>44099</v>
      </c>
      <c r="GI1962" s="26">
        <v>1.447</v>
      </c>
      <c r="GJ1962" s="94">
        <f t="shared" si="586"/>
        <v>2.894</v>
      </c>
      <c r="GK1962" s="104"/>
      <c r="GL1962" s="104"/>
    </row>
    <row r="1963" spans="3:194">
      <c r="C1963" s="80" t="str" cm="1">
        <f t="array" ref="C1963">_xlfn.IFS(MONTH(D1963)&lt;4,1,MONTH(D1963)&lt;7,2,MONTH(D1963)&lt;10,3,MONTH(D1963)&gt;9,4)&amp;"Q"&amp;RIGHT(YEAR(D1963),2)</f>
        <v>4Q23</v>
      </c>
      <c r="D1963" s="81">
        <f t="shared" si="599"/>
        <v>45260</v>
      </c>
      <c r="E1963" s="82">
        <f t="shared" si="592"/>
        <v>45244</v>
      </c>
      <c r="F1963" s="83">
        <f t="shared" si="602"/>
        <v>0.194625</v>
      </c>
      <c r="G1963" s="83">
        <f t="shared" si="602"/>
        <v>0.19375</v>
      </c>
      <c r="H1963" s="81"/>
      <c r="I1963" s="146">
        <v>45244</v>
      </c>
      <c r="J1963" s="147">
        <v>1.75</v>
      </c>
      <c r="K1963" s="147">
        <v>1.46</v>
      </c>
      <c r="L1963" s="147">
        <v>1.557</v>
      </c>
      <c r="M1963" s="59" cm="1">
        <f t="array" ref="M1963">INDEX($BV$29:$BV$1449,MATCH($D1963,$BR$29:$BR$1449,0),)</f>
        <v>1.55</v>
      </c>
      <c r="N1963" s="150">
        <f t="shared" si="581"/>
        <v>0</v>
      </c>
      <c r="O1963" s="150">
        <f t="shared" si="582"/>
        <v>0.00128617363344041</v>
      </c>
      <c r="P1963" s="150">
        <f t="shared" si="590"/>
        <v>0.00972762645914393</v>
      </c>
      <c r="Q1963" s="89">
        <f t="shared" si="593"/>
        <v>0.00451612903225795</v>
      </c>
      <c r="S1963" s="82">
        <f t="shared" si="594"/>
        <v>45244</v>
      </c>
      <c r="T1963" s="83">
        <f t="shared" si="601"/>
        <v>0.2573125</v>
      </c>
      <c r="U1963" s="83">
        <f t="shared" si="601"/>
        <v>0.24375</v>
      </c>
      <c r="W1963" s="146">
        <v>45244</v>
      </c>
      <c r="X1963" s="147">
        <v>4.45</v>
      </c>
      <c r="Y1963" s="147">
        <v>3.77</v>
      </c>
      <c r="Z1963" s="147">
        <v>4.117</v>
      </c>
      <c r="AA1963" s="59" cm="1">
        <f t="array" ref="AA1963">INDEX($BX$29:$BX$1449,MATCH($D1963,$BR$29:$BR$1449,0),)</f>
        <v>3.9</v>
      </c>
      <c r="AB1963" s="150">
        <f t="shared" si="595"/>
        <v>0</v>
      </c>
      <c r="AC1963" s="150">
        <f t="shared" si="597"/>
        <v>-0.00387127994193082</v>
      </c>
      <c r="AD1963" s="150">
        <f t="shared" si="600"/>
        <v>-0.00795180722891575</v>
      </c>
      <c r="AE1963" s="89">
        <f t="shared" si="596"/>
        <v>0.0556410256410256</v>
      </c>
      <c r="AF1963" s="36"/>
      <c r="GF1963" s="104">
        <f t="shared" si="584"/>
        <v>2020</v>
      </c>
      <c r="GG1963" s="104">
        <f t="shared" si="585"/>
        <v>40</v>
      </c>
      <c r="GH1963" s="35">
        <v>44102</v>
      </c>
      <c r="GI1963" s="26">
        <v>1.443</v>
      </c>
      <c r="GJ1963" s="94">
        <f t="shared" si="586"/>
        <v>2.886</v>
      </c>
      <c r="GK1963" s="104"/>
      <c r="GL1963" s="104"/>
    </row>
    <row r="1964" spans="3:194">
      <c r="C1964" s="80" t="str" cm="1">
        <f t="array" ref="C1964">_xlfn.IFS(MONTH(D1964)&lt;4,1,MONTH(D1964)&lt;7,2,MONTH(D1964)&lt;10,3,MONTH(D1964)&gt;9,4)&amp;"Q"&amp;RIGHT(YEAR(D1964),2)</f>
        <v>4Q23</v>
      </c>
      <c r="D1964" s="81">
        <f t="shared" si="599"/>
        <v>45260</v>
      </c>
      <c r="E1964" s="82">
        <f t="shared" si="592"/>
        <v>45245</v>
      </c>
      <c r="F1964" s="83">
        <f t="shared" si="602"/>
        <v>0.194625</v>
      </c>
      <c r="G1964" s="83">
        <f t="shared" si="602"/>
        <v>0.19375</v>
      </c>
      <c r="H1964" s="81"/>
      <c r="I1964" s="146">
        <v>45245</v>
      </c>
      <c r="J1964" s="147">
        <v>1.75</v>
      </c>
      <c r="K1964" s="147">
        <v>1.46</v>
      </c>
      <c r="L1964" s="147">
        <v>1.557</v>
      </c>
      <c r="M1964" s="59" cm="1">
        <f t="array" ref="M1964">INDEX($BV$29:$BV$1449,MATCH($D1964,$BR$29:$BR$1449,0),)</f>
        <v>1.55</v>
      </c>
      <c r="N1964" s="150">
        <f t="shared" ref="N1964:N2027" si="603">L1964/L1963-1</f>
        <v>0</v>
      </c>
      <c r="O1964" s="150">
        <f t="shared" ref="O1964:O2027" si="604">L1964/L1959-1</f>
        <v>0.00128617363344041</v>
      </c>
      <c r="P1964" s="150">
        <f t="shared" si="590"/>
        <v>0.00646412411118291</v>
      </c>
      <c r="Q1964" s="89">
        <f t="shared" si="593"/>
        <v>0.00451612903225795</v>
      </c>
      <c r="S1964" s="82">
        <f t="shared" si="594"/>
        <v>45245</v>
      </c>
      <c r="T1964" s="83">
        <f t="shared" si="601"/>
        <v>0.2583125</v>
      </c>
      <c r="U1964" s="83">
        <f t="shared" si="601"/>
        <v>0.24375</v>
      </c>
      <c r="W1964" s="146">
        <v>45245</v>
      </c>
      <c r="X1964" s="147">
        <v>4.5</v>
      </c>
      <c r="Y1964" s="147">
        <v>3.77</v>
      </c>
      <c r="Z1964" s="147">
        <v>4.133</v>
      </c>
      <c r="AA1964" s="59" cm="1">
        <f t="array" ref="AA1964">INDEX($BX$29:$BX$1449,MATCH($D1964,$BR$29:$BR$1449,0),)</f>
        <v>3.9</v>
      </c>
      <c r="AB1964" s="150">
        <f t="shared" si="595"/>
        <v>0.0038863249939276</v>
      </c>
      <c r="AC1964" s="150">
        <f t="shared" si="597"/>
        <v>0.00145384056215181</v>
      </c>
      <c r="AD1964" s="150">
        <f t="shared" si="600"/>
        <v>-0.00409638554216873</v>
      </c>
      <c r="AE1964" s="89">
        <f t="shared" si="596"/>
        <v>0.0597435897435898</v>
      </c>
      <c r="AF1964" s="36"/>
      <c r="GF1964" s="104">
        <f t="shared" si="584"/>
        <v>2020</v>
      </c>
      <c r="GG1964" s="104">
        <f t="shared" si="585"/>
        <v>40</v>
      </c>
      <c r="GH1964" s="35">
        <v>44103</v>
      </c>
      <c r="GI1964" s="26">
        <v>1.442</v>
      </c>
      <c r="GJ1964" s="94">
        <f t="shared" si="586"/>
        <v>2.884</v>
      </c>
      <c r="GK1964" s="104"/>
      <c r="GL1964" s="104"/>
    </row>
    <row r="1965" spans="3:194">
      <c r="C1965" s="80" t="str" cm="1">
        <f t="array" ref="C1965">_xlfn.IFS(MONTH(D1965)&lt;4,1,MONTH(D1965)&lt;7,2,MONTH(D1965)&lt;10,3,MONTH(D1965)&gt;9,4)&amp;"Q"&amp;RIGHT(YEAR(D1965),2)</f>
        <v>4Q23</v>
      </c>
      <c r="D1965" s="81">
        <f t="shared" si="599"/>
        <v>45260</v>
      </c>
      <c r="E1965" s="82">
        <f t="shared" si="592"/>
        <v>45246</v>
      </c>
      <c r="F1965" s="83">
        <f t="shared" si="602"/>
        <v>0.19425</v>
      </c>
      <c r="G1965" s="83">
        <f t="shared" si="602"/>
        <v>0.19375</v>
      </c>
      <c r="H1965" s="81"/>
      <c r="I1965" s="146">
        <v>45246</v>
      </c>
      <c r="J1965" s="147">
        <v>1.75</v>
      </c>
      <c r="K1965" s="147">
        <v>1.45</v>
      </c>
      <c r="L1965" s="147">
        <v>1.554</v>
      </c>
      <c r="M1965" s="59" cm="1">
        <f t="array" ref="M1965">INDEX($BV$29:$BV$1449,MATCH($D1965,$BR$29:$BR$1449,0),)</f>
        <v>1.55</v>
      </c>
      <c r="N1965" s="150">
        <f t="shared" si="603"/>
        <v>-0.00192678227360299</v>
      </c>
      <c r="O1965" s="150">
        <f t="shared" si="604"/>
        <v>-0.00192678227360299</v>
      </c>
      <c r="P1965" s="150">
        <f t="shared" si="590"/>
        <v>0.00452488687782804</v>
      </c>
      <c r="Q1965" s="89">
        <f t="shared" si="593"/>
        <v>0.00258064516129042</v>
      </c>
      <c r="S1965" s="82">
        <f t="shared" si="594"/>
        <v>45246</v>
      </c>
      <c r="T1965" s="83">
        <f t="shared" si="601"/>
        <v>0.2589375</v>
      </c>
      <c r="U1965" s="83">
        <f t="shared" si="601"/>
        <v>0.24375</v>
      </c>
      <c r="W1965" s="146">
        <v>45246</v>
      </c>
      <c r="X1965" s="147">
        <v>4.52</v>
      </c>
      <c r="Y1965" s="147">
        <v>3.75</v>
      </c>
      <c r="Z1965" s="147">
        <v>4.143</v>
      </c>
      <c r="AA1965" s="59" cm="1">
        <f t="array" ref="AA1965">INDEX($BX$29:$BX$1449,MATCH($D1965,$BR$29:$BR$1449,0),)</f>
        <v>3.9</v>
      </c>
      <c r="AB1965" s="150">
        <f t="shared" si="595"/>
        <v>0.00241954996370675</v>
      </c>
      <c r="AC1965" s="150">
        <f t="shared" si="597"/>
        <v>0.00558252427184458</v>
      </c>
      <c r="AD1965" s="150">
        <f t="shared" si="600"/>
        <v>-0.0016867469879519</v>
      </c>
      <c r="AE1965" s="89">
        <f t="shared" si="596"/>
        <v>0.0623076923076922</v>
      </c>
      <c r="AF1965" s="36"/>
      <c r="GF1965" s="104">
        <f t="shared" si="584"/>
        <v>2020</v>
      </c>
      <c r="GG1965" s="104">
        <f t="shared" si="585"/>
        <v>40</v>
      </c>
      <c r="GH1965" s="35">
        <v>44104</v>
      </c>
      <c r="GI1965" s="26">
        <v>1.442</v>
      </c>
      <c r="GJ1965" s="94">
        <f t="shared" si="586"/>
        <v>2.884</v>
      </c>
      <c r="GK1965" s="104"/>
      <c r="GL1965" s="104"/>
    </row>
    <row r="1966" spans="3:194">
      <c r="C1966" s="80" t="str" cm="1">
        <f t="array" ref="C1966">_xlfn.IFS(MONTH(D1966)&lt;4,1,MONTH(D1966)&lt;7,2,MONTH(D1966)&lt;10,3,MONTH(D1966)&gt;9,4)&amp;"Q"&amp;RIGHT(YEAR(D1966),2)</f>
        <v>4Q23</v>
      </c>
      <c r="D1966" s="81">
        <f t="shared" si="599"/>
        <v>45260</v>
      </c>
      <c r="E1966" s="82">
        <f t="shared" si="592"/>
        <v>45247</v>
      </c>
      <c r="F1966" s="83">
        <f t="shared" si="602"/>
        <v>0.194</v>
      </c>
      <c r="G1966" s="83">
        <f t="shared" si="602"/>
        <v>0.19375</v>
      </c>
      <c r="H1966" s="81"/>
      <c r="I1966" s="146">
        <v>45247</v>
      </c>
      <c r="J1966" s="147">
        <v>1.75</v>
      </c>
      <c r="K1966" s="147">
        <v>1.45</v>
      </c>
      <c r="L1966" s="147">
        <v>1.552</v>
      </c>
      <c r="M1966" s="59" cm="1">
        <f t="array" ref="M1966">INDEX($BV$29:$BV$1449,MATCH($D1966,$BR$29:$BR$1449,0),)</f>
        <v>1.55</v>
      </c>
      <c r="N1966" s="150">
        <f t="shared" si="603"/>
        <v>-0.00128700128700132</v>
      </c>
      <c r="O1966" s="150">
        <f t="shared" si="604"/>
        <v>-0.00321130378933843</v>
      </c>
      <c r="P1966" s="150">
        <f t="shared" si="590"/>
        <v>0.00453074433656964</v>
      </c>
      <c r="Q1966" s="89">
        <f t="shared" si="593"/>
        <v>0.0012903225806451</v>
      </c>
      <c r="S1966" s="82">
        <f t="shared" si="594"/>
        <v>45247</v>
      </c>
      <c r="T1966" s="83">
        <f t="shared" si="601"/>
        <v>0.2595625</v>
      </c>
      <c r="U1966" s="83">
        <f t="shared" si="601"/>
        <v>0.24375</v>
      </c>
      <c r="W1966" s="146">
        <v>45247</v>
      </c>
      <c r="X1966" s="147">
        <v>4.52</v>
      </c>
      <c r="Y1966" s="147">
        <v>3.75</v>
      </c>
      <c r="Z1966" s="147">
        <v>4.153</v>
      </c>
      <c r="AA1966" s="59" cm="1">
        <f t="array" ref="AA1966">INDEX($BX$29:$BX$1449,MATCH($D1966,$BR$29:$BR$1449,0),)</f>
        <v>3.9</v>
      </c>
      <c r="AB1966" s="150">
        <f t="shared" si="595"/>
        <v>0.00241370987207334</v>
      </c>
      <c r="AC1966" s="150">
        <f t="shared" si="597"/>
        <v>0.00800970873786389</v>
      </c>
      <c r="AD1966" s="150">
        <f t="shared" si="600"/>
        <v>0.00241370987207334</v>
      </c>
      <c r="AE1966" s="89">
        <f t="shared" si="596"/>
        <v>0.0648717948717947</v>
      </c>
      <c r="AF1966" s="36"/>
      <c r="GF1966" s="104">
        <f t="shared" si="584"/>
        <v>2020</v>
      </c>
      <c r="GG1966" s="104">
        <f t="shared" si="585"/>
        <v>41</v>
      </c>
      <c r="GH1966" s="35">
        <v>44109</v>
      </c>
      <c r="GI1966" s="26">
        <v>1.442</v>
      </c>
      <c r="GJ1966" s="94">
        <f t="shared" si="586"/>
        <v>2.884</v>
      </c>
      <c r="GK1966" s="104"/>
      <c r="GL1966" s="104"/>
    </row>
    <row r="1967" spans="3:194">
      <c r="C1967" s="80" t="str" cm="1">
        <f t="array" ref="C1967">_xlfn.IFS(MONTH(D1967)&lt;4,1,MONTH(D1967)&lt;7,2,MONTH(D1967)&lt;10,3,MONTH(D1967)&gt;9,4)&amp;"Q"&amp;RIGHT(YEAR(D1967),2)</f>
        <v>4Q23</v>
      </c>
      <c r="D1967" s="81">
        <f t="shared" si="599"/>
        <v>45260</v>
      </c>
      <c r="E1967" s="82">
        <f t="shared" si="592"/>
        <v>45250</v>
      </c>
      <c r="F1967" s="83">
        <f t="shared" si="602"/>
        <v>0.194125</v>
      </c>
      <c r="G1967" s="83">
        <f t="shared" si="602"/>
        <v>0.19375</v>
      </c>
      <c r="H1967" s="81"/>
      <c r="I1967" s="146">
        <v>45250</v>
      </c>
      <c r="J1967" s="147">
        <v>1.74</v>
      </c>
      <c r="K1967" s="147">
        <v>1.46</v>
      </c>
      <c r="L1967" s="147">
        <v>1.553</v>
      </c>
      <c r="M1967" s="59" cm="1">
        <f t="array" ref="M1967">INDEX($BV$29:$BV$1449,MATCH($D1967,$BR$29:$BR$1449,0),)</f>
        <v>1.55</v>
      </c>
      <c r="N1967" s="150">
        <f t="shared" si="603"/>
        <v>0.000644329896907214</v>
      </c>
      <c r="O1967" s="150">
        <f t="shared" si="604"/>
        <v>-0.00256904303147076</v>
      </c>
      <c r="P1967" s="150">
        <f t="shared" si="590"/>
        <v>0.00387847446670975</v>
      </c>
      <c r="Q1967" s="89">
        <f t="shared" si="593"/>
        <v>0.00193548387096776</v>
      </c>
      <c r="S1967" s="82">
        <f t="shared" si="594"/>
        <v>45250</v>
      </c>
      <c r="T1967" s="83">
        <f t="shared" si="601"/>
        <v>0.2595625</v>
      </c>
      <c r="U1967" s="83">
        <f t="shared" si="601"/>
        <v>0.24375</v>
      </c>
      <c r="W1967" s="146">
        <v>45250</v>
      </c>
      <c r="X1967" s="147">
        <v>4.55</v>
      </c>
      <c r="Y1967" s="147">
        <v>3.8</v>
      </c>
      <c r="Z1967" s="147">
        <v>4.153</v>
      </c>
      <c r="AA1967" s="59" cm="1">
        <f t="array" ref="AA1967">INDEX($BX$29:$BX$1449,MATCH($D1967,$BR$29:$BR$1449,0),)</f>
        <v>3.9</v>
      </c>
      <c r="AB1967" s="150">
        <f t="shared" si="595"/>
        <v>0</v>
      </c>
      <c r="AC1967" s="150">
        <f t="shared" si="597"/>
        <v>0.00874423123633705</v>
      </c>
      <c r="AD1967" s="150">
        <f t="shared" si="600"/>
        <v>0.00483909992741349</v>
      </c>
      <c r="AE1967" s="89">
        <f t="shared" si="596"/>
        <v>0.0648717948717947</v>
      </c>
      <c r="AF1967" s="36"/>
      <c r="GF1967" s="104">
        <f t="shared" si="584"/>
        <v>2020</v>
      </c>
      <c r="GG1967" s="104">
        <f t="shared" si="585"/>
        <v>41</v>
      </c>
      <c r="GH1967" s="35">
        <v>44110</v>
      </c>
      <c r="GI1967" s="26">
        <v>1.459</v>
      </c>
      <c r="GJ1967" s="94">
        <f t="shared" si="586"/>
        <v>2.918</v>
      </c>
      <c r="GK1967" s="104"/>
      <c r="GL1967" s="104"/>
    </row>
    <row r="1968" spans="3:194">
      <c r="C1968" s="80" t="str" cm="1">
        <f t="array" ref="C1968">_xlfn.IFS(MONTH(D1968)&lt;4,1,MONTH(D1968)&lt;7,2,MONTH(D1968)&lt;10,3,MONTH(D1968)&gt;9,4)&amp;"Q"&amp;RIGHT(YEAR(D1968),2)</f>
        <v>4Q23</v>
      </c>
      <c r="D1968" s="81">
        <f t="shared" si="599"/>
        <v>45260</v>
      </c>
      <c r="E1968" s="82">
        <f t="shared" si="592"/>
        <v>45251</v>
      </c>
      <c r="F1968" s="83">
        <f t="shared" si="602"/>
        <v>0.193875</v>
      </c>
      <c r="G1968" s="83">
        <f t="shared" si="602"/>
        <v>0.19375</v>
      </c>
      <c r="H1968" s="81"/>
      <c r="I1968" s="146">
        <v>45251</v>
      </c>
      <c r="J1968" s="147">
        <v>1.74</v>
      </c>
      <c r="K1968" s="147">
        <v>1.46</v>
      </c>
      <c r="L1968" s="147">
        <v>1.551</v>
      </c>
      <c r="M1968" s="59" cm="1">
        <f t="array" ref="M1968">INDEX($BV$29:$BV$1449,MATCH($D1968,$BR$29:$BR$1449,0),)</f>
        <v>1.55</v>
      </c>
      <c r="N1968" s="150">
        <f t="shared" si="603"/>
        <v>-0.00128783000643917</v>
      </c>
      <c r="O1968" s="150">
        <f t="shared" si="604"/>
        <v>-0.0038535645472062</v>
      </c>
      <c r="P1968" s="150">
        <f t="shared" si="590"/>
        <v>-0.00257234726688105</v>
      </c>
      <c r="Q1968" s="89">
        <f t="shared" si="593"/>
        <v>0.000645161290322438</v>
      </c>
      <c r="S1968" s="82">
        <f t="shared" si="594"/>
        <v>45251</v>
      </c>
      <c r="T1968" s="83">
        <f t="shared" ref="T1968:U1983" si="605">+Z1968/16</f>
        <v>0.2595625</v>
      </c>
      <c r="U1968" s="83">
        <f t="shared" si="605"/>
        <v>0.24375</v>
      </c>
      <c r="W1968" s="146">
        <v>45251</v>
      </c>
      <c r="X1968" s="147">
        <v>4.55</v>
      </c>
      <c r="Y1968" s="147">
        <v>3.8</v>
      </c>
      <c r="Z1968" s="147">
        <v>4.153</v>
      </c>
      <c r="AA1968" s="59" cm="1">
        <f t="array" ref="AA1968">INDEX($BX$29:$BX$1449,MATCH($D1968,$BR$29:$BR$1449,0),)</f>
        <v>3.9</v>
      </c>
      <c r="AB1968" s="150">
        <f t="shared" si="595"/>
        <v>0</v>
      </c>
      <c r="AC1968" s="150">
        <f t="shared" si="597"/>
        <v>0.00874423123633705</v>
      </c>
      <c r="AD1968" s="150">
        <f t="shared" si="600"/>
        <v>0.00483909992741349</v>
      </c>
      <c r="AE1968" s="89">
        <f t="shared" si="596"/>
        <v>0.0648717948717947</v>
      </c>
      <c r="AF1968" s="36"/>
      <c r="GF1968" s="104">
        <f t="shared" si="584"/>
        <v>2020</v>
      </c>
      <c r="GG1968" s="104">
        <f t="shared" si="585"/>
        <v>41</v>
      </c>
      <c r="GH1968" s="35">
        <v>44111</v>
      </c>
      <c r="GI1968" s="26">
        <v>1.465</v>
      </c>
      <c r="GJ1968" s="94">
        <f t="shared" si="586"/>
        <v>2.93</v>
      </c>
      <c r="GK1968" s="104"/>
      <c r="GL1968" s="104"/>
    </row>
    <row r="1969" spans="3:194">
      <c r="C1969" s="80" t="str" cm="1">
        <f t="array" ref="C1969">_xlfn.IFS(MONTH(D1969)&lt;4,1,MONTH(D1969)&lt;7,2,MONTH(D1969)&lt;10,3,MONTH(D1969)&gt;9,4)&amp;"Q"&amp;RIGHT(YEAR(D1969),2)</f>
        <v>4Q23</v>
      </c>
      <c r="D1969" s="81">
        <f t="shared" si="599"/>
        <v>45260</v>
      </c>
      <c r="E1969" s="82">
        <f t="shared" si="592"/>
        <v>45252</v>
      </c>
      <c r="F1969" s="83">
        <f t="shared" si="602"/>
        <v>0.194</v>
      </c>
      <c r="G1969" s="83">
        <f t="shared" si="602"/>
        <v>0.19375</v>
      </c>
      <c r="H1969" s="81"/>
      <c r="I1969" s="146">
        <v>45252</v>
      </c>
      <c r="J1969" s="147">
        <v>1.74</v>
      </c>
      <c r="K1969" s="147">
        <v>1.46</v>
      </c>
      <c r="L1969" s="147">
        <v>1.552</v>
      </c>
      <c r="M1969" s="59" cm="1">
        <f t="array" ref="M1969">INDEX($BV$29:$BV$1449,MATCH($D1969,$BR$29:$BR$1449,0),)</f>
        <v>1.55</v>
      </c>
      <c r="N1969" s="150">
        <f t="shared" si="603"/>
        <v>0.000644745325596441</v>
      </c>
      <c r="O1969" s="150">
        <f t="shared" si="604"/>
        <v>-0.00321130378933843</v>
      </c>
      <c r="P1969" s="150">
        <f t="shared" si="590"/>
        <v>-0.00192926045016073</v>
      </c>
      <c r="Q1969" s="89">
        <f t="shared" si="593"/>
        <v>0.0012903225806451</v>
      </c>
      <c r="S1969" s="82">
        <f t="shared" si="594"/>
        <v>45252</v>
      </c>
      <c r="T1969" s="83">
        <f t="shared" si="605"/>
        <v>0.26</v>
      </c>
      <c r="U1969" s="83">
        <f t="shared" si="605"/>
        <v>0.24375</v>
      </c>
      <c r="W1969" s="146">
        <v>45252</v>
      </c>
      <c r="X1969" s="147">
        <v>4.58</v>
      </c>
      <c r="Y1969" s="147">
        <v>3.8</v>
      </c>
      <c r="Z1969" s="147">
        <v>4.16</v>
      </c>
      <c r="AA1969" s="59" cm="1">
        <f t="array" ref="AA1969">INDEX($BX$29:$BX$1449,MATCH($D1969,$BR$29:$BR$1449,0),)</f>
        <v>3.9</v>
      </c>
      <c r="AB1969" s="150">
        <f t="shared" si="595"/>
        <v>0.00168552853359039</v>
      </c>
      <c r="AC1969" s="150">
        <f t="shared" si="597"/>
        <v>0.00653278490200826</v>
      </c>
      <c r="AD1969" s="150">
        <f t="shared" si="600"/>
        <v>0.0079961230918344</v>
      </c>
      <c r="AE1969" s="89">
        <f t="shared" si="596"/>
        <v>0.0666666666666667</v>
      </c>
      <c r="AF1969" s="36"/>
      <c r="GF1969" s="104">
        <f t="shared" si="584"/>
        <v>2020</v>
      </c>
      <c r="GG1969" s="104">
        <f t="shared" si="585"/>
        <v>41</v>
      </c>
      <c r="GH1969" s="35">
        <v>44112</v>
      </c>
      <c r="GI1969" s="26">
        <v>1.468</v>
      </c>
      <c r="GJ1969" s="94">
        <f t="shared" si="586"/>
        <v>2.936</v>
      </c>
      <c r="GK1969" s="104"/>
      <c r="GL1969" s="104"/>
    </row>
    <row r="1970" spans="3:194">
      <c r="C1970" s="80" t="str" cm="1">
        <f t="array" ref="C1970">_xlfn.IFS(MONTH(D1970)&lt;4,1,MONTH(D1970)&lt;7,2,MONTH(D1970)&lt;10,3,MONTH(D1970)&gt;9,4)&amp;"Q"&amp;RIGHT(YEAR(D1970),2)</f>
        <v>4Q23</v>
      </c>
      <c r="D1970" s="81">
        <f t="shared" si="599"/>
        <v>45260</v>
      </c>
      <c r="E1970" s="82">
        <f t="shared" si="592"/>
        <v>45253</v>
      </c>
      <c r="F1970" s="83">
        <f t="shared" si="602"/>
        <v>0.19425</v>
      </c>
      <c r="G1970" s="83">
        <f t="shared" si="602"/>
        <v>0.19375</v>
      </c>
      <c r="H1970" s="81"/>
      <c r="I1970" s="146">
        <v>45253</v>
      </c>
      <c r="J1970" s="147">
        <v>1.75</v>
      </c>
      <c r="K1970" s="147">
        <v>1.47</v>
      </c>
      <c r="L1970" s="147">
        <v>1.554</v>
      </c>
      <c r="M1970" s="59" cm="1">
        <f t="array" ref="M1970">INDEX($BV$29:$BV$1449,MATCH($D1970,$BR$29:$BR$1449,0),)</f>
        <v>1.55</v>
      </c>
      <c r="N1970" s="150">
        <f t="shared" si="603"/>
        <v>0.00128865979381443</v>
      </c>
      <c r="O1970" s="150">
        <f t="shared" si="604"/>
        <v>0</v>
      </c>
      <c r="P1970" s="150">
        <f t="shared" si="590"/>
        <v>-0.00192678227360299</v>
      </c>
      <c r="Q1970" s="89">
        <f t="shared" si="593"/>
        <v>0.00258064516129042</v>
      </c>
      <c r="S1970" s="82">
        <f t="shared" si="594"/>
        <v>45253</v>
      </c>
      <c r="T1970" s="83">
        <f t="shared" si="605"/>
        <v>0.2608125</v>
      </c>
      <c r="U1970" s="83">
        <f t="shared" si="605"/>
        <v>0.24375</v>
      </c>
      <c r="W1970" s="146">
        <v>45253</v>
      </c>
      <c r="X1970" s="147">
        <v>4.6</v>
      </c>
      <c r="Y1970" s="147">
        <v>3.8</v>
      </c>
      <c r="Z1970" s="147">
        <v>4.173</v>
      </c>
      <c r="AA1970" s="59" cm="1">
        <f t="array" ref="AA1970">INDEX($BX$29:$BX$1449,MATCH($D1970,$BR$29:$BR$1449,0),)</f>
        <v>3.9</v>
      </c>
      <c r="AB1970" s="150">
        <f t="shared" si="595"/>
        <v>0.00312500000000004</v>
      </c>
      <c r="AC1970" s="150">
        <f t="shared" si="597"/>
        <v>0.00724112961622025</v>
      </c>
      <c r="AD1970" s="150">
        <f t="shared" si="600"/>
        <v>0.0128640776699029</v>
      </c>
      <c r="AE1970" s="89">
        <f t="shared" si="596"/>
        <v>0.0700000000000001</v>
      </c>
      <c r="AF1970" s="36"/>
      <c r="GF1970" s="104">
        <f t="shared" si="584"/>
        <v>2020</v>
      </c>
      <c r="GG1970" s="104">
        <f t="shared" si="585"/>
        <v>41</v>
      </c>
      <c r="GH1970" s="35">
        <v>44113</v>
      </c>
      <c r="GI1970" s="26">
        <v>1.475</v>
      </c>
      <c r="GJ1970" s="94">
        <f t="shared" si="586"/>
        <v>2.95</v>
      </c>
      <c r="GK1970" s="104"/>
      <c r="GL1970" s="104"/>
    </row>
    <row r="1971" spans="3:194">
      <c r="C1971" s="80" t="str" cm="1">
        <f t="array" ref="C1971">_xlfn.IFS(MONTH(D1971)&lt;4,1,MONTH(D1971)&lt;7,2,MONTH(D1971)&lt;10,3,MONTH(D1971)&gt;9,4)&amp;"Q"&amp;RIGHT(YEAR(D1971),2)</f>
        <v>4Q23</v>
      </c>
      <c r="D1971" s="81">
        <f t="shared" si="599"/>
        <v>45260</v>
      </c>
      <c r="E1971" s="82">
        <f t="shared" si="592"/>
        <v>45254</v>
      </c>
      <c r="F1971" s="83">
        <f t="shared" si="602"/>
        <v>0.1945</v>
      </c>
      <c r="G1971" s="83">
        <f t="shared" si="602"/>
        <v>0.19375</v>
      </c>
      <c r="H1971" s="81"/>
      <c r="I1971" s="146">
        <v>45254</v>
      </c>
      <c r="J1971" s="147">
        <v>1.75</v>
      </c>
      <c r="K1971" s="147">
        <v>1.47</v>
      </c>
      <c r="L1971" s="147">
        <v>1.556</v>
      </c>
      <c r="M1971" s="59" cm="1">
        <f t="array" ref="M1971">INDEX($BV$29:$BV$1449,MATCH($D1971,$BR$29:$BR$1449,0),)</f>
        <v>1.55</v>
      </c>
      <c r="N1971" s="150">
        <f t="shared" si="603"/>
        <v>0.00128700128700121</v>
      </c>
      <c r="O1971" s="150">
        <f t="shared" si="604"/>
        <v>0.00257731958762886</v>
      </c>
      <c r="P1971" s="150">
        <f t="shared" si="590"/>
        <v>-0.000642260757867663</v>
      </c>
      <c r="Q1971" s="89">
        <f t="shared" si="593"/>
        <v>0.00387096774193552</v>
      </c>
      <c r="S1971" s="82">
        <f t="shared" si="594"/>
        <v>45254</v>
      </c>
      <c r="T1971" s="83">
        <f t="shared" si="605"/>
        <v>0.26125</v>
      </c>
      <c r="U1971" s="83">
        <f t="shared" si="605"/>
        <v>0.24375</v>
      </c>
      <c r="W1971" s="146">
        <v>45254</v>
      </c>
      <c r="X1971" s="147">
        <v>4.6</v>
      </c>
      <c r="Y1971" s="147">
        <v>3.8</v>
      </c>
      <c r="Z1971" s="147">
        <v>4.18</v>
      </c>
      <c r="AA1971" s="59" cm="1">
        <f t="array" ref="AA1971">INDEX($BX$29:$BX$1449,MATCH($D1971,$BR$29:$BR$1449,0),)</f>
        <v>3.9</v>
      </c>
      <c r="AB1971" s="150">
        <f t="shared" si="595"/>
        <v>0.00167745027558097</v>
      </c>
      <c r="AC1971" s="150">
        <f t="shared" si="597"/>
        <v>0.00650132434384787</v>
      </c>
      <c r="AD1971" s="150">
        <f t="shared" si="600"/>
        <v>0.0145631067961165</v>
      </c>
      <c r="AE1971" s="89">
        <f t="shared" si="596"/>
        <v>0.0717948717948718</v>
      </c>
      <c r="AF1971" s="36"/>
      <c r="GF1971" s="104">
        <f t="shared" si="584"/>
        <v>2020</v>
      </c>
      <c r="GG1971" s="104">
        <f t="shared" si="585"/>
        <v>42</v>
      </c>
      <c r="GH1971" s="35">
        <v>44116</v>
      </c>
      <c r="GI1971" s="26">
        <v>1.494</v>
      </c>
      <c r="GJ1971" s="94">
        <f t="shared" si="586"/>
        <v>2.988</v>
      </c>
      <c r="GK1971" s="104"/>
      <c r="GL1971" s="104"/>
    </row>
    <row r="1972" spans="3:194">
      <c r="C1972" s="80" t="str" cm="1">
        <f t="array" ref="C1972">_xlfn.IFS(MONTH(D1972)&lt;4,1,MONTH(D1972)&lt;7,2,MONTH(D1972)&lt;10,3,MONTH(D1972)&gt;9,4)&amp;"Q"&amp;RIGHT(YEAR(D1972),2)</f>
        <v>4Q23</v>
      </c>
      <c r="D1972" s="81">
        <f t="shared" si="599"/>
        <v>45260</v>
      </c>
      <c r="E1972" s="82">
        <f t="shared" si="592"/>
        <v>45257</v>
      </c>
      <c r="F1972" s="83">
        <f t="shared" si="602"/>
        <v>0.194875</v>
      </c>
      <c r="G1972" s="83">
        <f t="shared" si="602"/>
        <v>0.19375</v>
      </c>
      <c r="H1972" s="81"/>
      <c r="I1972" s="146">
        <v>45257</v>
      </c>
      <c r="J1972" s="147">
        <v>1.75</v>
      </c>
      <c r="K1972" s="147">
        <v>1.47</v>
      </c>
      <c r="L1972" s="147">
        <v>1.559</v>
      </c>
      <c r="M1972" s="59" cm="1">
        <f t="array" ref="M1972">INDEX($BV$29:$BV$1449,MATCH($D1972,$BR$29:$BR$1449,0),)</f>
        <v>1.55</v>
      </c>
      <c r="N1972" s="150">
        <f t="shared" si="603"/>
        <v>0.00192802056555252</v>
      </c>
      <c r="O1972" s="150">
        <f t="shared" si="604"/>
        <v>0.00386349001931752</v>
      </c>
      <c r="P1972" s="150">
        <f t="shared" si="590"/>
        <v>0.00128452151573533</v>
      </c>
      <c r="Q1972" s="89">
        <f t="shared" si="593"/>
        <v>0.00580645161290305</v>
      </c>
      <c r="S1972" s="82">
        <f t="shared" si="594"/>
        <v>45257</v>
      </c>
      <c r="T1972" s="83">
        <f t="shared" si="605"/>
        <v>0.2623125</v>
      </c>
      <c r="U1972" s="83">
        <f t="shared" si="605"/>
        <v>0.24375</v>
      </c>
      <c r="W1972" s="146">
        <v>45257</v>
      </c>
      <c r="X1972" s="147">
        <v>4.6</v>
      </c>
      <c r="Y1972" s="147">
        <v>3.8</v>
      </c>
      <c r="Z1972" s="147">
        <v>4.197</v>
      </c>
      <c r="AA1972" s="59" cm="1">
        <f t="array" ref="AA1972">INDEX($BX$29:$BX$1449,MATCH($D1972,$BR$29:$BR$1449,0),)</f>
        <v>3.9</v>
      </c>
      <c r="AB1972" s="150">
        <f t="shared" si="595"/>
        <v>0.004066985645933</v>
      </c>
      <c r="AC1972" s="150">
        <f t="shared" si="597"/>
        <v>0.010594750782567</v>
      </c>
      <c r="AD1972" s="150">
        <f t="shared" si="600"/>
        <v>0.019431624969638</v>
      </c>
      <c r="AE1972" s="89">
        <f t="shared" si="596"/>
        <v>0.0761538461538462</v>
      </c>
      <c r="AF1972" s="36"/>
      <c r="GF1972" s="104">
        <f t="shared" ref="GF1972:GF2035" si="606">YEAR(GH1972)</f>
        <v>2020</v>
      </c>
      <c r="GG1972" s="104">
        <f t="shared" ref="GG1972:GG2035" si="607">WEEKNUM(GH1972)</f>
        <v>42</v>
      </c>
      <c r="GH1972" s="35">
        <v>44117</v>
      </c>
      <c r="GI1972" s="26">
        <v>1.499</v>
      </c>
      <c r="GJ1972" s="94">
        <f t="shared" ref="GJ1972:GJ2035" si="608">GI1972*2</f>
        <v>2.998</v>
      </c>
      <c r="GK1972" s="104"/>
      <c r="GL1972" s="104"/>
    </row>
    <row r="1973" spans="3:194">
      <c r="C1973" s="80" t="str" cm="1">
        <f t="array" ref="C1973">_xlfn.IFS(MONTH(D1973)&lt;4,1,MONTH(D1973)&lt;7,2,MONTH(D1973)&lt;10,3,MONTH(D1973)&gt;9,4)&amp;"Q"&amp;RIGHT(YEAR(D1973),2)</f>
        <v>4Q23</v>
      </c>
      <c r="D1973" s="81">
        <f t="shared" si="599"/>
        <v>45260</v>
      </c>
      <c r="E1973" s="82">
        <f t="shared" si="592"/>
        <v>45258</v>
      </c>
      <c r="F1973" s="83">
        <f t="shared" si="602"/>
        <v>0.194875</v>
      </c>
      <c r="G1973" s="83">
        <f t="shared" si="602"/>
        <v>0.19375</v>
      </c>
      <c r="H1973" s="81"/>
      <c r="I1973" s="146">
        <v>45258</v>
      </c>
      <c r="J1973" s="147">
        <v>1.75</v>
      </c>
      <c r="K1973" s="147">
        <v>1.47</v>
      </c>
      <c r="L1973" s="147">
        <v>1.559</v>
      </c>
      <c r="M1973" s="59" cm="1">
        <f t="array" ref="M1973">INDEX($BV$29:$BV$1449,MATCH($D1973,$BR$29:$BR$1449,0),)</f>
        <v>1.55</v>
      </c>
      <c r="N1973" s="150">
        <f t="shared" si="603"/>
        <v>0</v>
      </c>
      <c r="O1973" s="150">
        <f t="shared" si="604"/>
        <v>0.00515796260477108</v>
      </c>
      <c r="P1973" s="150">
        <f t="shared" si="590"/>
        <v>0.00128452151573533</v>
      </c>
      <c r="Q1973" s="89">
        <f t="shared" si="593"/>
        <v>0.00580645161290305</v>
      </c>
      <c r="S1973" s="82">
        <f t="shared" si="594"/>
        <v>45258</v>
      </c>
      <c r="T1973" s="83">
        <f t="shared" si="605"/>
        <v>0.2623125</v>
      </c>
      <c r="U1973" s="83">
        <f t="shared" si="605"/>
        <v>0.24375</v>
      </c>
      <c r="W1973" s="146">
        <v>45258</v>
      </c>
      <c r="X1973" s="147">
        <v>4.6</v>
      </c>
      <c r="Y1973" s="147">
        <v>3.8</v>
      </c>
      <c r="Z1973" s="147">
        <v>4.197</v>
      </c>
      <c r="AA1973" s="59" cm="1">
        <f t="array" ref="AA1973">INDEX($BX$29:$BX$1449,MATCH($D1973,$BR$29:$BR$1449,0),)</f>
        <v>3.9</v>
      </c>
      <c r="AB1973" s="150">
        <f t="shared" si="595"/>
        <v>0</v>
      </c>
      <c r="AC1973" s="150">
        <f t="shared" si="597"/>
        <v>0.010594750782567</v>
      </c>
      <c r="AD1973" s="150">
        <f t="shared" si="600"/>
        <v>0.019431624969638</v>
      </c>
      <c r="AE1973" s="89">
        <f t="shared" si="596"/>
        <v>0.0761538461538462</v>
      </c>
      <c r="AF1973" s="36"/>
      <c r="GF1973" s="104">
        <f t="shared" si="606"/>
        <v>2020</v>
      </c>
      <c r="GG1973" s="104">
        <f t="shared" si="607"/>
        <v>42</v>
      </c>
      <c r="GH1973" s="35">
        <v>44118</v>
      </c>
      <c r="GI1973" s="26">
        <v>1.508</v>
      </c>
      <c r="GJ1973" s="94">
        <f t="shared" si="608"/>
        <v>3.016</v>
      </c>
      <c r="GK1973" s="104"/>
      <c r="GL1973" s="104"/>
    </row>
    <row r="1974" spans="3:194">
      <c r="C1974" s="80" t="str" cm="1">
        <f t="array" ref="C1974">_xlfn.IFS(MONTH(D1974)&lt;4,1,MONTH(D1974)&lt;7,2,MONTH(D1974)&lt;10,3,MONTH(D1974)&gt;9,4)&amp;"Q"&amp;RIGHT(YEAR(D1974),2)</f>
        <v>4Q23</v>
      </c>
      <c r="D1974" s="81">
        <f t="shared" si="599"/>
        <v>45260</v>
      </c>
      <c r="E1974" s="82">
        <f t="shared" si="592"/>
        <v>45259</v>
      </c>
      <c r="F1974" s="83">
        <f t="shared" si="602"/>
        <v>0.194875</v>
      </c>
      <c r="G1974" s="83">
        <f t="shared" si="602"/>
        <v>0.19375</v>
      </c>
      <c r="H1974" s="81"/>
      <c r="I1974" s="146">
        <v>45259</v>
      </c>
      <c r="J1974" s="147">
        <v>1.75</v>
      </c>
      <c r="K1974" s="147">
        <v>1.47</v>
      </c>
      <c r="L1974" s="147">
        <v>1.559</v>
      </c>
      <c r="M1974" s="59" cm="1">
        <f t="array" ref="M1974">INDEX($BV$29:$BV$1449,MATCH($D1974,$BR$29:$BR$1449,0),)</f>
        <v>1.55</v>
      </c>
      <c r="N1974" s="150">
        <f t="shared" si="603"/>
        <v>0</v>
      </c>
      <c r="O1974" s="150">
        <f t="shared" si="604"/>
        <v>0.0045103092783505</v>
      </c>
      <c r="P1974" s="150">
        <f t="shared" si="590"/>
        <v>0.00128452151573533</v>
      </c>
      <c r="Q1974" s="89">
        <f t="shared" si="593"/>
        <v>0.00580645161290305</v>
      </c>
      <c r="S1974" s="82">
        <f t="shared" si="594"/>
        <v>45259</v>
      </c>
      <c r="T1974" s="83">
        <f t="shared" si="605"/>
        <v>0.2633125</v>
      </c>
      <c r="U1974" s="83">
        <f t="shared" si="605"/>
        <v>0.24375</v>
      </c>
      <c r="W1974" s="146">
        <v>45259</v>
      </c>
      <c r="X1974" s="147">
        <v>4.55</v>
      </c>
      <c r="Y1974" s="147">
        <v>3.8</v>
      </c>
      <c r="Z1974" s="147">
        <v>4.213</v>
      </c>
      <c r="AA1974" s="59" cm="1">
        <f t="array" ref="AA1974">INDEX($BX$29:$BX$1449,MATCH($D1974,$BR$29:$BR$1449,0),)</f>
        <v>3.9</v>
      </c>
      <c r="AB1974" s="150">
        <f t="shared" si="595"/>
        <v>0.00381224684298309</v>
      </c>
      <c r="AC1974" s="150">
        <f t="shared" si="597"/>
        <v>0.0127403846153846</v>
      </c>
      <c r="AD1974" s="150">
        <f t="shared" si="600"/>
        <v>0.019356399709654</v>
      </c>
      <c r="AE1974" s="89">
        <f t="shared" si="596"/>
        <v>0.0802564102564103</v>
      </c>
      <c r="AF1974" s="36"/>
      <c r="GF1974" s="104">
        <f t="shared" si="606"/>
        <v>2020</v>
      </c>
      <c r="GG1974" s="104">
        <f t="shared" si="607"/>
        <v>42</v>
      </c>
      <c r="GH1974" s="35">
        <v>44119</v>
      </c>
      <c r="GI1974" s="26">
        <v>1.508</v>
      </c>
      <c r="GJ1974" s="94">
        <f t="shared" si="608"/>
        <v>3.016</v>
      </c>
      <c r="GK1974" s="104"/>
      <c r="GL1974" s="104"/>
    </row>
    <row r="1975" spans="3:194">
      <c r="C1975" s="80" t="str" cm="1">
        <f t="array" ref="C1975">_xlfn.IFS(MONTH(D1975)&lt;4,1,MONTH(D1975)&lt;7,2,MONTH(D1975)&lt;10,3,MONTH(D1975)&gt;9,4)&amp;"Q"&amp;RIGHT(YEAR(D1975),2)</f>
        <v>4Q23</v>
      </c>
      <c r="D1975" s="81">
        <f t="shared" si="599"/>
        <v>45260</v>
      </c>
      <c r="E1975" s="82">
        <f t="shared" si="592"/>
        <v>45260</v>
      </c>
      <c r="F1975" s="83">
        <f t="shared" si="602"/>
        <v>0.19675</v>
      </c>
      <c r="G1975" s="83">
        <f t="shared" si="602"/>
        <v>0.19375</v>
      </c>
      <c r="H1975" s="81"/>
      <c r="I1975" s="146">
        <v>45260</v>
      </c>
      <c r="J1975" s="147">
        <v>1.75</v>
      </c>
      <c r="K1975" s="147">
        <v>1.5</v>
      </c>
      <c r="L1975" s="147">
        <v>1.574</v>
      </c>
      <c r="M1975" s="59" cm="1">
        <f t="array" ref="M1975">INDEX($BV$29:$BV$1449,MATCH($D1975,$BR$29:$BR$1449,0),)</f>
        <v>1.55</v>
      </c>
      <c r="N1975" s="150">
        <f t="shared" si="603"/>
        <v>0.00962155227710082</v>
      </c>
      <c r="O1975" s="150">
        <f t="shared" si="604"/>
        <v>0.0128700128700128</v>
      </c>
      <c r="P1975" s="150">
        <f t="shared" si="590"/>
        <v>0.0128700128700128</v>
      </c>
      <c r="Q1975" s="89">
        <f t="shared" si="593"/>
        <v>0.0154838709677418</v>
      </c>
      <c r="S1975" s="82">
        <f t="shared" si="594"/>
        <v>45260</v>
      </c>
      <c r="T1975" s="83">
        <f t="shared" si="605"/>
        <v>0.2635625</v>
      </c>
      <c r="U1975" s="83">
        <f t="shared" si="605"/>
        <v>0.24375</v>
      </c>
      <c r="W1975" s="146">
        <v>45260</v>
      </c>
      <c r="X1975" s="147">
        <v>4.55</v>
      </c>
      <c r="Y1975" s="147">
        <v>3.78</v>
      </c>
      <c r="Z1975" s="147">
        <v>4.217</v>
      </c>
      <c r="AA1975" s="59" cm="1">
        <f t="array" ref="AA1975">INDEX($BX$29:$BX$1449,MATCH($D1975,$BR$29:$BR$1449,0),)</f>
        <v>3.9</v>
      </c>
      <c r="AB1975" s="150">
        <f t="shared" si="595"/>
        <v>0.000949442202705875</v>
      </c>
      <c r="AC1975" s="150">
        <f t="shared" si="597"/>
        <v>0.0105439731607955</v>
      </c>
      <c r="AD1975" s="150">
        <f t="shared" si="600"/>
        <v>0.017861453053343</v>
      </c>
      <c r="AE1975" s="89">
        <f t="shared" si="596"/>
        <v>0.0812820512820511</v>
      </c>
      <c r="AF1975" s="36"/>
      <c r="GF1975" s="104">
        <f t="shared" si="606"/>
        <v>2020</v>
      </c>
      <c r="GG1975" s="104">
        <f t="shared" si="607"/>
        <v>42</v>
      </c>
      <c r="GH1975" s="35">
        <v>44120</v>
      </c>
      <c r="GI1975" s="26">
        <v>1.51</v>
      </c>
      <c r="GJ1975" s="94">
        <f t="shared" si="608"/>
        <v>3.02</v>
      </c>
      <c r="GK1975" s="104"/>
      <c r="GL1975" s="104"/>
    </row>
    <row r="1976" spans="3:194">
      <c r="C1976" s="80" t="str" cm="1">
        <f t="array" ref="C1976">_xlfn.IFS(MONTH(D1976)&lt;4,1,MONTH(D1976)&lt;7,2,MONTH(D1976)&lt;10,3,MONTH(D1976)&gt;9,4)&amp;"Q"&amp;RIGHT(YEAR(D1976),2)</f>
        <v>4Q23</v>
      </c>
      <c r="D1976" s="81">
        <f t="shared" si="599"/>
        <v>45291</v>
      </c>
      <c r="E1976" s="82">
        <f t="shared" si="592"/>
        <v>45261</v>
      </c>
      <c r="F1976" s="83">
        <f t="shared" si="602"/>
        <v>0.19775</v>
      </c>
      <c r="G1976" s="83">
        <f t="shared" si="602"/>
        <v>0.20625</v>
      </c>
      <c r="H1976" s="81"/>
      <c r="I1976" s="146">
        <v>45261</v>
      </c>
      <c r="J1976" s="147">
        <v>1.75</v>
      </c>
      <c r="K1976" s="147">
        <v>1.5</v>
      </c>
      <c r="L1976" s="147">
        <v>1.582</v>
      </c>
      <c r="M1976" s="59" cm="1">
        <f t="array" ref="M1976">INDEX($BV$29:$BV$1449,MATCH($D1976,$BR$29:$BR$1449,0),)</f>
        <v>1.65</v>
      </c>
      <c r="N1976" s="150">
        <f t="shared" si="603"/>
        <v>0.00508259212198214</v>
      </c>
      <c r="O1976" s="150">
        <f t="shared" si="604"/>
        <v>0.0167095115681235</v>
      </c>
      <c r="P1976" s="150">
        <f t="shared" si="590"/>
        <v>0.0193298969072164</v>
      </c>
      <c r="Q1976" s="89">
        <f t="shared" si="593"/>
        <v>-0.0412121212121211</v>
      </c>
      <c r="S1976" s="82">
        <f t="shared" si="594"/>
        <v>45261</v>
      </c>
      <c r="T1976" s="83">
        <f t="shared" si="605"/>
        <v>0.2635625</v>
      </c>
      <c r="U1976" s="83">
        <f t="shared" si="605"/>
        <v>0.25</v>
      </c>
      <c r="W1976" s="146">
        <v>45261</v>
      </c>
      <c r="X1976" s="147">
        <v>4.53</v>
      </c>
      <c r="Y1976" s="147">
        <v>3.75</v>
      </c>
      <c r="Z1976" s="147">
        <v>4.217</v>
      </c>
      <c r="AA1976" s="59" cm="1">
        <f t="array" ref="AA1976">INDEX($BX$29:$BX$1449,MATCH($D1976,$BR$29:$BR$1449,0),)</f>
        <v>4</v>
      </c>
      <c r="AB1976" s="150">
        <f t="shared" si="595"/>
        <v>0</v>
      </c>
      <c r="AC1976" s="150">
        <f t="shared" si="597"/>
        <v>0.00885167464114822</v>
      </c>
      <c r="AD1976" s="150">
        <f t="shared" si="600"/>
        <v>0.0154105465928245</v>
      </c>
      <c r="AE1976" s="89">
        <f t="shared" si="596"/>
        <v>0.0542499999999999</v>
      </c>
      <c r="AF1976" s="36"/>
      <c r="GF1976" s="104">
        <f t="shared" si="606"/>
        <v>2020</v>
      </c>
      <c r="GG1976" s="104">
        <f t="shared" si="607"/>
        <v>43</v>
      </c>
      <c r="GH1976" s="35">
        <v>44123</v>
      </c>
      <c r="GI1976" s="26">
        <v>1.51</v>
      </c>
      <c r="GJ1976" s="94">
        <f t="shared" si="608"/>
        <v>3.02</v>
      </c>
      <c r="GK1976" s="104"/>
      <c r="GL1976" s="104"/>
    </row>
    <row r="1977" spans="3:194">
      <c r="C1977" s="80" t="str" cm="1">
        <f t="array" ref="C1977">_xlfn.IFS(MONTH(D1977)&lt;4,1,MONTH(D1977)&lt;7,2,MONTH(D1977)&lt;10,3,MONTH(D1977)&gt;9,4)&amp;"Q"&amp;RIGHT(YEAR(D1977),2)</f>
        <v>4Q23</v>
      </c>
      <c r="D1977" s="81">
        <f t="shared" si="599"/>
        <v>45291</v>
      </c>
      <c r="E1977" s="82">
        <f t="shared" si="592"/>
        <v>45264</v>
      </c>
      <c r="F1977" s="83">
        <f t="shared" si="602"/>
        <v>0.198125</v>
      </c>
      <c r="G1977" s="83">
        <f t="shared" si="602"/>
        <v>0.20625</v>
      </c>
      <c r="H1977" s="81"/>
      <c r="I1977" s="146">
        <v>45264</v>
      </c>
      <c r="J1977" s="147">
        <v>1.75</v>
      </c>
      <c r="K1977" s="147">
        <v>1.52</v>
      </c>
      <c r="L1977" s="147">
        <v>1.585</v>
      </c>
      <c r="M1977" s="59" cm="1">
        <f t="array" ref="M1977">INDEX($BV$29:$BV$1449,MATCH($D1977,$BR$29:$BR$1449,0),)</f>
        <v>1.65</v>
      </c>
      <c r="N1977" s="150">
        <f t="shared" si="603"/>
        <v>0.00189633375474085</v>
      </c>
      <c r="O1977" s="150">
        <f t="shared" si="604"/>
        <v>0.0166773572803078</v>
      </c>
      <c r="P1977" s="150">
        <f t="shared" si="590"/>
        <v>0.0206052801030263</v>
      </c>
      <c r="Q1977" s="89">
        <f t="shared" si="593"/>
        <v>-0.0393939393939393</v>
      </c>
      <c r="S1977" s="82">
        <f t="shared" si="594"/>
        <v>45264</v>
      </c>
      <c r="T1977" s="83">
        <f t="shared" si="605"/>
        <v>0.26375</v>
      </c>
      <c r="U1977" s="83">
        <f t="shared" si="605"/>
        <v>0.25</v>
      </c>
      <c r="W1977" s="146">
        <v>45264</v>
      </c>
      <c r="X1977" s="147">
        <v>4.5</v>
      </c>
      <c r="Y1977" s="147">
        <v>3.75</v>
      </c>
      <c r="Z1977" s="147">
        <v>4.22</v>
      </c>
      <c r="AA1977" s="59" cm="1">
        <f t="array" ref="AA1977">INDEX($BX$29:$BX$1449,MATCH($D1977,$BR$29:$BR$1449,0),)</f>
        <v>4</v>
      </c>
      <c r="AB1977" s="150">
        <f t="shared" si="595"/>
        <v>0.00071140621294763</v>
      </c>
      <c r="AC1977" s="150">
        <f t="shared" si="597"/>
        <v>0.00548010483678807</v>
      </c>
      <c r="AD1977" s="150">
        <f t="shared" si="600"/>
        <v>0.0161329159643631</v>
      </c>
      <c r="AE1977" s="89">
        <f t="shared" si="596"/>
        <v>0.0549999999999999</v>
      </c>
      <c r="AF1977" s="36"/>
      <c r="GF1977" s="104">
        <f t="shared" si="606"/>
        <v>2020</v>
      </c>
      <c r="GG1977" s="104">
        <f t="shared" si="607"/>
        <v>43</v>
      </c>
      <c r="GH1977" s="35">
        <v>44124</v>
      </c>
      <c r="GI1977" s="26">
        <v>1.51</v>
      </c>
      <c r="GJ1977" s="94">
        <f t="shared" si="608"/>
        <v>3.02</v>
      </c>
      <c r="GK1977" s="104"/>
      <c r="GL1977" s="104"/>
    </row>
    <row r="1978" spans="3:194">
      <c r="C1978" s="80" t="str" cm="1">
        <f t="array" ref="C1978">_xlfn.IFS(MONTH(D1978)&lt;4,1,MONTH(D1978)&lt;7,2,MONTH(D1978)&lt;10,3,MONTH(D1978)&gt;9,4)&amp;"Q"&amp;RIGHT(YEAR(D1978),2)</f>
        <v>4Q23</v>
      </c>
      <c r="D1978" s="81">
        <f t="shared" si="599"/>
        <v>45291</v>
      </c>
      <c r="E1978" s="82">
        <f t="shared" si="592"/>
        <v>45265</v>
      </c>
      <c r="F1978" s="83">
        <f t="shared" ref="F1978:G1993" si="609">+L1978/8</f>
        <v>0.19875</v>
      </c>
      <c r="G1978" s="83">
        <f t="shared" si="609"/>
        <v>0.20625</v>
      </c>
      <c r="H1978" s="81"/>
      <c r="I1978" s="146">
        <v>45265</v>
      </c>
      <c r="J1978" s="147">
        <v>1.75</v>
      </c>
      <c r="K1978" s="147">
        <v>1.53</v>
      </c>
      <c r="L1978" s="147">
        <v>1.59</v>
      </c>
      <c r="M1978" s="59" cm="1">
        <f t="array" ref="M1978">INDEX($BV$29:$BV$1449,MATCH($D1978,$BR$29:$BR$1449,0),)</f>
        <v>1.65</v>
      </c>
      <c r="N1978" s="150">
        <f t="shared" si="603"/>
        <v>0.00315457413249209</v>
      </c>
      <c r="O1978" s="150">
        <f t="shared" si="604"/>
        <v>0.0198845413726749</v>
      </c>
      <c r="P1978" s="150">
        <f t="shared" si="590"/>
        <v>0.0251450676982592</v>
      </c>
      <c r="Q1978" s="89">
        <f t="shared" si="593"/>
        <v>-0.0363636363636363</v>
      </c>
      <c r="S1978" s="82">
        <f t="shared" si="594"/>
        <v>45265</v>
      </c>
      <c r="T1978" s="83">
        <f t="shared" si="605"/>
        <v>0.2640625</v>
      </c>
      <c r="U1978" s="83">
        <f t="shared" si="605"/>
        <v>0.25</v>
      </c>
      <c r="W1978" s="146">
        <v>45265</v>
      </c>
      <c r="X1978" s="147">
        <v>4.5</v>
      </c>
      <c r="Y1978" s="147">
        <v>3.78</v>
      </c>
      <c r="Z1978" s="147">
        <v>4.225</v>
      </c>
      <c r="AA1978" s="59" cm="1">
        <f t="array" ref="AA1978">INDEX($BX$29:$BX$1449,MATCH($D1978,$BR$29:$BR$1449,0),)</f>
        <v>4</v>
      </c>
      <c r="AB1978" s="150">
        <f t="shared" si="595"/>
        <v>0.00118483412322279</v>
      </c>
      <c r="AC1978" s="150">
        <f t="shared" si="597"/>
        <v>0.00667143197522035</v>
      </c>
      <c r="AD1978" s="150">
        <f t="shared" si="600"/>
        <v>0.0173368649169274</v>
      </c>
      <c r="AE1978" s="89">
        <f t="shared" si="596"/>
        <v>0.0562499999999999</v>
      </c>
      <c r="AF1978" s="36"/>
      <c r="GF1978" s="104">
        <f t="shared" si="606"/>
        <v>2020</v>
      </c>
      <c r="GG1978" s="104">
        <f t="shared" si="607"/>
        <v>43</v>
      </c>
      <c r="GH1978" s="35">
        <v>44125</v>
      </c>
      <c r="GI1978" s="26">
        <v>1.51</v>
      </c>
      <c r="GJ1978" s="94">
        <f t="shared" si="608"/>
        <v>3.02</v>
      </c>
      <c r="GK1978" s="104"/>
      <c r="GL1978" s="104"/>
    </row>
    <row r="1979" spans="3:194">
      <c r="C1979" s="80" t="str" cm="1">
        <f t="array" ref="C1979">_xlfn.IFS(MONTH(D1979)&lt;4,1,MONTH(D1979)&lt;7,2,MONTH(D1979)&lt;10,3,MONTH(D1979)&gt;9,4)&amp;"Q"&amp;RIGHT(YEAR(D1979),2)</f>
        <v>4Q23</v>
      </c>
      <c r="D1979" s="81">
        <f t="shared" si="599"/>
        <v>45291</v>
      </c>
      <c r="E1979" s="82">
        <f t="shared" si="592"/>
        <v>45266</v>
      </c>
      <c r="F1979" s="83">
        <f t="shared" si="609"/>
        <v>0.1995</v>
      </c>
      <c r="G1979" s="83">
        <f t="shared" si="609"/>
        <v>0.20625</v>
      </c>
      <c r="H1979" s="81"/>
      <c r="I1979" s="146">
        <v>45266</v>
      </c>
      <c r="J1979" s="147">
        <v>1.75</v>
      </c>
      <c r="K1979" s="147">
        <v>1.53</v>
      </c>
      <c r="L1979" s="147">
        <v>1.596</v>
      </c>
      <c r="M1979" s="59" cm="1">
        <f t="array" ref="M1979">INDEX($BV$29:$BV$1449,MATCH($D1979,$BR$29:$BR$1449,0),)</f>
        <v>1.65</v>
      </c>
      <c r="N1979" s="150">
        <f t="shared" si="603"/>
        <v>0.00377358490566038</v>
      </c>
      <c r="O1979" s="150">
        <f t="shared" si="604"/>
        <v>0.0237331622835151</v>
      </c>
      <c r="P1979" s="150">
        <f t="shared" si="590"/>
        <v>0.0283505154639176</v>
      </c>
      <c r="Q1979" s="89">
        <f t="shared" si="593"/>
        <v>-0.0327272727272726</v>
      </c>
      <c r="S1979" s="82">
        <f t="shared" si="594"/>
        <v>45266</v>
      </c>
      <c r="T1979" s="83">
        <f t="shared" si="605"/>
        <v>0.2643125</v>
      </c>
      <c r="U1979" s="83">
        <f t="shared" si="605"/>
        <v>0.25</v>
      </c>
      <c r="W1979" s="146">
        <v>45266</v>
      </c>
      <c r="X1979" s="147">
        <v>4.5</v>
      </c>
      <c r="Y1979" s="147">
        <v>3.78</v>
      </c>
      <c r="Z1979" s="147">
        <v>4.229</v>
      </c>
      <c r="AA1979" s="59" cm="1">
        <f t="array" ref="AA1979">INDEX($BX$29:$BX$1449,MATCH($D1979,$BR$29:$BR$1449,0),)</f>
        <v>4</v>
      </c>
      <c r="AB1979" s="150">
        <f t="shared" si="595"/>
        <v>0.000946745562130369</v>
      </c>
      <c r="AC1979" s="150">
        <f t="shared" si="597"/>
        <v>0.00379776881082372</v>
      </c>
      <c r="AD1979" s="150">
        <f t="shared" si="600"/>
        <v>0.0165865384615385</v>
      </c>
      <c r="AE1979" s="89">
        <f t="shared" si="596"/>
        <v>0.05725</v>
      </c>
      <c r="AF1979" s="36"/>
      <c r="GF1979" s="104">
        <f t="shared" si="606"/>
        <v>2020</v>
      </c>
      <c r="GG1979" s="104">
        <f t="shared" si="607"/>
        <v>43</v>
      </c>
      <c r="GH1979" s="35">
        <v>44126</v>
      </c>
      <c r="GI1979" s="26">
        <v>1.508</v>
      </c>
      <c r="GJ1979" s="94">
        <f t="shared" si="608"/>
        <v>3.016</v>
      </c>
      <c r="GK1979" s="104"/>
      <c r="GL1979" s="104"/>
    </row>
    <row r="1980" spans="3:194">
      <c r="C1980" s="80" t="str" cm="1">
        <f t="array" ref="C1980">_xlfn.IFS(MONTH(D1980)&lt;4,1,MONTH(D1980)&lt;7,2,MONTH(D1980)&lt;10,3,MONTH(D1980)&gt;9,4)&amp;"Q"&amp;RIGHT(YEAR(D1980),2)</f>
        <v>4Q23</v>
      </c>
      <c r="D1980" s="81">
        <f t="shared" si="599"/>
        <v>45291</v>
      </c>
      <c r="E1980" s="82">
        <f t="shared" si="592"/>
        <v>45267</v>
      </c>
      <c r="F1980" s="83">
        <f t="shared" si="609"/>
        <v>0.2005</v>
      </c>
      <c r="G1980" s="83">
        <f t="shared" si="609"/>
        <v>0.20625</v>
      </c>
      <c r="H1980" s="81"/>
      <c r="I1980" s="146">
        <v>45267</v>
      </c>
      <c r="J1980" s="147">
        <v>1.75</v>
      </c>
      <c r="K1980" s="147">
        <v>1.53</v>
      </c>
      <c r="L1980" s="147">
        <v>1.604</v>
      </c>
      <c r="M1980" s="59" cm="1">
        <f t="array" ref="M1980">INDEX($BV$29:$BV$1449,MATCH($D1980,$BR$29:$BR$1449,0),)</f>
        <v>1.65</v>
      </c>
      <c r="N1980" s="150">
        <f t="shared" si="603"/>
        <v>0.00501253132832091</v>
      </c>
      <c r="O1980" s="150">
        <f t="shared" si="604"/>
        <v>0.0190597204574332</v>
      </c>
      <c r="P1980" s="150">
        <f t="shared" si="590"/>
        <v>0.0321750321750323</v>
      </c>
      <c r="Q1980" s="89">
        <f t="shared" si="593"/>
        <v>-0.0278787878787877</v>
      </c>
      <c r="S1980" s="82">
        <f t="shared" si="594"/>
        <v>45267</v>
      </c>
      <c r="T1980" s="83">
        <f t="shared" si="605"/>
        <v>0.2645625</v>
      </c>
      <c r="U1980" s="83">
        <f t="shared" si="605"/>
        <v>0.25</v>
      </c>
      <c r="W1980" s="146">
        <v>45267</v>
      </c>
      <c r="X1980" s="147">
        <v>4.5</v>
      </c>
      <c r="Y1980" s="147">
        <v>3.78</v>
      </c>
      <c r="Z1980" s="147">
        <v>4.233</v>
      </c>
      <c r="AA1980" s="59" cm="1">
        <f t="array" ref="AA1980">INDEX($BX$29:$BX$1449,MATCH($D1980,$BR$29:$BR$1449,0),)</f>
        <v>4</v>
      </c>
      <c r="AB1980" s="150">
        <f t="shared" si="595"/>
        <v>0.000945850082761712</v>
      </c>
      <c r="AC1980" s="150">
        <f t="shared" si="597"/>
        <v>0.00379416646905373</v>
      </c>
      <c r="AD1980" s="150">
        <f t="shared" si="600"/>
        <v>0.0143781452192666</v>
      </c>
      <c r="AE1980" s="89">
        <f t="shared" si="596"/>
        <v>0.0582499999999999</v>
      </c>
      <c r="AF1980" s="36"/>
      <c r="GF1980" s="104">
        <f t="shared" si="606"/>
        <v>2020</v>
      </c>
      <c r="GG1980" s="104">
        <f t="shared" si="607"/>
        <v>43</v>
      </c>
      <c r="GH1980" s="35">
        <v>44127</v>
      </c>
      <c r="GI1980" s="26">
        <v>1.507</v>
      </c>
      <c r="GJ1980" s="94">
        <f t="shared" si="608"/>
        <v>3.014</v>
      </c>
      <c r="GK1980" s="104"/>
      <c r="GL1980" s="104"/>
    </row>
    <row r="1981" spans="3:194">
      <c r="C1981" s="80" t="str" cm="1">
        <f t="array" ref="C1981">_xlfn.IFS(MONTH(D1981)&lt;4,1,MONTH(D1981)&lt;7,2,MONTH(D1981)&lt;10,3,MONTH(D1981)&gt;9,4)&amp;"Q"&amp;RIGHT(YEAR(D1981),2)</f>
        <v>4Q23</v>
      </c>
      <c r="D1981" s="81">
        <f t="shared" si="599"/>
        <v>45291</v>
      </c>
      <c r="E1981" s="82">
        <f t="shared" si="592"/>
        <v>45268</v>
      </c>
      <c r="F1981" s="83">
        <f t="shared" si="609"/>
        <v>0.2005</v>
      </c>
      <c r="G1981" s="83">
        <f t="shared" si="609"/>
        <v>0.20625</v>
      </c>
      <c r="H1981" s="81"/>
      <c r="I1981" s="146">
        <v>45268</v>
      </c>
      <c r="J1981" s="147">
        <v>1.75</v>
      </c>
      <c r="K1981" s="147">
        <v>1.53</v>
      </c>
      <c r="L1981" s="147">
        <v>1.604</v>
      </c>
      <c r="M1981" s="59" cm="1">
        <f t="array" ref="M1981">INDEX($BV$29:$BV$1449,MATCH($D1981,$BR$29:$BR$1449,0),)</f>
        <v>1.65</v>
      </c>
      <c r="N1981" s="150">
        <f t="shared" si="603"/>
        <v>0</v>
      </c>
      <c r="O1981" s="150">
        <f t="shared" si="604"/>
        <v>0.0139064475347661</v>
      </c>
      <c r="P1981" s="150">
        <f t="shared" si="590"/>
        <v>0.0308483290488433</v>
      </c>
      <c r="Q1981" s="89">
        <f t="shared" si="593"/>
        <v>-0.0278787878787877</v>
      </c>
      <c r="S1981" s="82">
        <f t="shared" si="594"/>
        <v>45268</v>
      </c>
      <c r="T1981" s="83">
        <f t="shared" si="605"/>
        <v>0.26475</v>
      </c>
      <c r="U1981" s="83">
        <f t="shared" si="605"/>
        <v>0.25</v>
      </c>
      <c r="W1981" s="146">
        <v>45268</v>
      </c>
      <c r="X1981" s="147">
        <v>4.52</v>
      </c>
      <c r="Y1981" s="147">
        <v>3.8</v>
      </c>
      <c r="Z1981" s="147">
        <v>4.236</v>
      </c>
      <c r="AA1981" s="59" cm="1">
        <f t="array" ref="AA1981">INDEX($BX$29:$BX$1449,MATCH($D1981,$BR$29:$BR$1449,0),)</f>
        <v>4</v>
      </c>
      <c r="AB1981" s="150">
        <f t="shared" si="595"/>
        <v>0.000708717221828525</v>
      </c>
      <c r="AC1981" s="150">
        <f t="shared" si="597"/>
        <v>0.00450557268200136</v>
      </c>
      <c r="AD1981" s="150">
        <f t="shared" si="600"/>
        <v>0.0133971291866029</v>
      </c>
      <c r="AE1981" s="89">
        <f t="shared" si="596"/>
        <v>0.0589999999999999</v>
      </c>
      <c r="AF1981" s="36"/>
      <c r="GF1981" s="104">
        <f t="shared" si="606"/>
        <v>2020</v>
      </c>
      <c r="GG1981" s="104">
        <f t="shared" si="607"/>
        <v>44</v>
      </c>
      <c r="GH1981" s="35">
        <v>44130</v>
      </c>
      <c r="GI1981" s="26">
        <v>1.501</v>
      </c>
      <c r="GJ1981" s="94">
        <f t="shared" si="608"/>
        <v>3.002</v>
      </c>
      <c r="GK1981" s="104"/>
      <c r="GL1981" s="104"/>
    </row>
    <row r="1982" spans="3:194">
      <c r="C1982" s="80" t="str" cm="1">
        <f t="array" ref="C1982">_xlfn.IFS(MONTH(D1982)&lt;4,1,MONTH(D1982)&lt;7,2,MONTH(D1982)&lt;10,3,MONTH(D1982)&gt;9,4)&amp;"Q"&amp;RIGHT(YEAR(D1982),2)</f>
        <v>4Q23</v>
      </c>
      <c r="D1982" s="81">
        <f t="shared" si="599"/>
        <v>45291</v>
      </c>
      <c r="E1982" s="82">
        <f t="shared" si="592"/>
        <v>45271</v>
      </c>
      <c r="F1982" s="83">
        <f t="shared" si="609"/>
        <v>0.201125</v>
      </c>
      <c r="G1982" s="83">
        <f t="shared" si="609"/>
        <v>0.20625</v>
      </c>
      <c r="H1982" s="81"/>
      <c r="I1982" s="146">
        <v>45271</v>
      </c>
      <c r="J1982" s="147">
        <v>1.76</v>
      </c>
      <c r="K1982" s="147">
        <v>1.55</v>
      </c>
      <c r="L1982" s="147">
        <v>1.609</v>
      </c>
      <c r="M1982" s="59" cm="1">
        <f t="array" ref="M1982">INDEX($BV$29:$BV$1449,MATCH($D1982,$BR$29:$BR$1449,0),)</f>
        <v>1.65</v>
      </c>
      <c r="N1982" s="150">
        <f t="shared" si="603"/>
        <v>0.00311720698254359</v>
      </c>
      <c r="O1982" s="150">
        <f t="shared" si="604"/>
        <v>0.0151419558359622</v>
      </c>
      <c r="P1982" s="150">
        <f t="shared" si="590"/>
        <v>0.0320718409236691</v>
      </c>
      <c r="Q1982" s="89">
        <f t="shared" si="593"/>
        <v>-0.0248484848484848</v>
      </c>
      <c r="S1982" s="82">
        <f t="shared" si="594"/>
        <v>45271</v>
      </c>
      <c r="T1982" s="83">
        <f t="shared" si="605"/>
        <v>0.26475</v>
      </c>
      <c r="U1982" s="83">
        <f t="shared" si="605"/>
        <v>0.25</v>
      </c>
      <c r="W1982" s="146">
        <v>45271</v>
      </c>
      <c r="X1982" s="147">
        <v>4.53</v>
      </c>
      <c r="Y1982" s="147">
        <v>3.78</v>
      </c>
      <c r="Z1982" s="147">
        <v>4.236</v>
      </c>
      <c r="AA1982" s="59" cm="1">
        <f t="array" ref="AA1982">INDEX($BX$29:$BX$1449,MATCH($D1982,$BR$29:$BR$1449,0),)</f>
        <v>4</v>
      </c>
      <c r="AB1982" s="150">
        <f t="shared" si="595"/>
        <v>0</v>
      </c>
      <c r="AC1982" s="150">
        <f t="shared" si="597"/>
        <v>0.00379146919431284</v>
      </c>
      <c r="AD1982" s="150">
        <f t="shared" si="600"/>
        <v>0.00929235167977116</v>
      </c>
      <c r="AE1982" s="89">
        <f t="shared" si="596"/>
        <v>0.0589999999999999</v>
      </c>
      <c r="AF1982" s="36"/>
      <c r="GF1982" s="104">
        <f t="shared" si="606"/>
        <v>2020</v>
      </c>
      <c r="GG1982" s="104">
        <f t="shared" si="607"/>
        <v>44</v>
      </c>
      <c r="GH1982" s="35">
        <v>44131</v>
      </c>
      <c r="GI1982" s="26">
        <v>1.498</v>
      </c>
      <c r="GJ1982" s="94">
        <f t="shared" si="608"/>
        <v>2.996</v>
      </c>
      <c r="GK1982" s="104"/>
      <c r="GL1982" s="104"/>
    </row>
    <row r="1983" spans="3:194">
      <c r="C1983" s="80" t="str" cm="1">
        <f t="array" ref="C1983">_xlfn.IFS(MONTH(D1983)&lt;4,1,MONTH(D1983)&lt;7,2,MONTH(D1983)&lt;10,3,MONTH(D1983)&gt;9,4)&amp;"Q"&amp;RIGHT(YEAR(D1983),2)</f>
        <v>4Q23</v>
      </c>
      <c r="D1983" s="81">
        <f t="shared" si="599"/>
        <v>45291</v>
      </c>
      <c r="E1983" s="82">
        <f t="shared" si="592"/>
        <v>45272</v>
      </c>
      <c r="F1983" s="83">
        <f t="shared" si="609"/>
        <v>0.2015</v>
      </c>
      <c r="G1983" s="83">
        <f t="shared" si="609"/>
        <v>0.20625</v>
      </c>
      <c r="H1983" s="81"/>
      <c r="I1983" s="146">
        <v>45272</v>
      </c>
      <c r="J1983" s="147">
        <v>1.76</v>
      </c>
      <c r="K1983" s="147">
        <v>1.55</v>
      </c>
      <c r="L1983" s="147">
        <v>1.612</v>
      </c>
      <c r="M1983" s="59" cm="1">
        <f t="array" ref="M1983">INDEX($BV$29:$BV$1449,MATCH($D1983,$BR$29:$BR$1449,0),)</f>
        <v>1.65</v>
      </c>
      <c r="N1983" s="150">
        <f t="shared" si="603"/>
        <v>0.00186451211932881</v>
      </c>
      <c r="O1983" s="150">
        <f t="shared" si="604"/>
        <v>0.0138364779874214</v>
      </c>
      <c r="P1983" s="150">
        <f t="shared" si="590"/>
        <v>0.0339961513790892</v>
      </c>
      <c r="Q1983" s="89">
        <f t="shared" si="593"/>
        <v>-0.023030303030303</v>
      </c>
      <c r="S1983" s="82">
        <f t="shared" si="594"/>
        <v>45272</v>
      </c>
      <c r="T1983" s="83">
        <f t="shared" si="605"/>
        <v>0.26475</v>
      </c>
      <c r="U1983" s="83">
        <f t="shared" si="605"/>
        <v>0.25</v>
      </c>
      <c r="W1983" s="146">
        <v>45272</v>
      </c>
      <c r="X1983" s="147">
        <v>4.53</v>
      </c>
      <c r="Y1983" s="147">
        <v>3.78</v>
      </c>
      <c r="Z1983" s="147">
        <v>4.236</v>
      </c>
      <c r="AA1983" s="59" cm="1">
        <f t="array" ref="AA1983">INDEX($BX$29:$BX$1449,MATCH($D1983,$BR$29:$BR$1449,0),)</f>
        <v>4</v>
      </c>
      <c r="AB1983" s="150">
        <f t="shared" si="595"/>
        <v>0</v>
      </c>
      <c r="AC1983" s="150">
        <f t="shared" si="597"/>
        <v>0.00260355029585813</v>
      </c>
      <c r="AD1983" s="150">
        <f t="shared" si="600"/>
        <v>0.00929235167977116</v>
      </c>
      <c r="AE1983" s="89">
        <f t="shared" si="596"/>
        <v>0.0589999999999999</v>
      </c>
      <c r="AF1983" s="36"/>
      <c r="GF1983" s="104">
        <f t="shared" si="606"/>
        <v>2020</v>
      </c>
      <c r="GG1983" s="104">
        <f t="shared" si="607"/>
        <v>44</v>
      </c>
      <c r="GH1983" s="35">
        <v>44132</v>
      </c>
      <c r="GI1983" s="26">
        <v>1.498</v>
      </c>
      <c r="GJ1983" s="94">
        <f t="shared" si="608"/>
        <v>2.996</v>
      </c>
      <c r="GK1983" s="104"/>
      <c r="GL1983" s="104"/>
    </row>
    <row r="1984" spans="3:194">
      <c r="C1984" s="80" t="str" cm="1">
        <f t="array" ref="C1984">_xlfn.IFS(MONTH(D1984)&lt;4,1,MONTH(D1984)&lt;7,2,MONTH(D1984)&lt;10,3,MONTH(D1984)&gt;9,4)&amp;"Q"&amp;RIGHT(YEAR(D1984),2)</f>
        <v>4Q23</v>
      </c>
      <c r="D1984" s="81">
        <f t="shared" si="599"/>
        <v>45291</v>
      </c>
      <c r="E1984" s="82">
        <f t="shared" si="592"/>
        <v>45273</v>
      </c>
      <c r="F1984" s="83">
        <f t="shared" si="609"/>
        <v>0.20125</v>
      </c>
      <c r="G1984" s="83">
        <f t="shared" si="609"/>
        <v>0.20625</v>
      </c>
      <c r="H1984" s="81"/>
      <c r="I1984" s="146">
        <v>45273</v>
      </c>
      <c r="J1984" s="147">
        <v>1.74</v>
      </c>
      <c r="K1984" s="147">
        <v>1.55</v>
      </c>
      <c r="L1984" s="147">
        <v>1.61</v>
      </c>
      <c r="M1984" s="59" cm="1">
        <f t="array" ref="M1984">INDEX($BV$29:$BV$1449,MATCH($D1984,$BR$29:$BR$1449,0),)</f>
        <v>1.65</v>
      </c>
      <c r="N1984" s="150">
        <f t="shared" si="603"/>
        <v>-0.00124069478908184</v>
      </c>
      <c r="O1984" s="150">
        <f t="shared" si="604"/>
        <v>0.00877192982456143</v>
      </c>
      <c r="P1984" s="150">
        <f t="shared" si="590"/>
        <v>0.0327132777421426</v>
      </c>
      <c r="Q1984" s="89">
        <f t="shared" si="593"/>
        <v>-0.0242424242424242</v>
      </c>
      <c r="S1984" s="82">
        <f t="shared" si="594"/>
        <v>45273</v>
      </c>
      <c r="T1984" s="83">
        <f t="shared" ref="T1984:U1999" si="610">+Z1984/16</f>
        <v>0.2649375</v>
      </c>
      <c r="U1984" s="83">
        <f t="shared" si="610"/>
        <v>0.25</v>
      </c>
      <c r="W1984" s="146">
        <v>45273</v>
      </c>
      <c r="X1984" s="147">
        <v>4.55</v>
      </c>
      <c r="Y1984" s="147">
        <v>3.77</v>
      </c>
      <c r="Z1984" s="147">
        <v>4.239</v>
      </c>
      <c r="AA1984" s="59" cm="1">
        <f t="array" ref="AA1984">INDEX($BX$29:$BX$1449,MATCH($D1984,$BR$29:$BR$1449,0),)</f>
        <v>4</v>
      </c>
      <c r="AB1984" s="150">
        <f t="shared" si="595"/>
        <v>0.000708215297450465</v>
      </c>
      <c r="AC1984" s="150">
        <f t="shared" si="597"/>
        <v>0.00236462520690472</v>
      </c>
      <c r="AD1984" s="150">
        <f t="shared" si="600"/>
        <v>0.00617137431758841</v>
      </c>
      <c r="AE1984" s="89">
        <f t="shared" si="596"/>
        <v>0.05975</v>
      </c>
      <c r="AF1984" s="36"/>
      <c r="GF1984" s="104">
        <f t="shared" si="606"/>
        <v>2020</v>
      </c>
      <c r="GG1984" s="104">
        <f t="shared" si="607"/>
        <v>44</v>
      </c>
      <c r="GH1984" s="35">
        <v>44133</v>
      </c>
      <c r="GI1984" s="26">
        <v>1.491</v>
      </c>
      <c r="GJ1984" s="94">
        <f t="shared" si="608"/>
        <v>2.982</v>
      </c>
      <c r="GK1984" s="104"/>
      <c r="GL1984" s="104"/>
    </row>
    <row r="1985" spans="3:194">
      <c r="C1985" s="80" t="str" cm="1">
        <f t="array" ref="C1985">_xlfn.IFS(MONTH(D1985)&lt;4,1,MONTH(D1985)&lt;7,2,MONTH(D1985)&lt;10,3,MONTH(D1985)&gt;9,4)&amp;"Q"&amp;RIGHT(YEAR(D1985),2)</f>
        <v>4Q23</v>
      </c>
      <c r="D1985" s="81">
        <f t="shared" si="599"/>
        <v>45291</v>
      </c>
      <c r="E1985" s="82">
        <f t="shared" si="592"/>
        <v>45274</v>
      </c>
      <c r="F1985" s="83">
        <f t="shared" si="609"/>
        <v>0.2005</v>
      </c>
      <c r="G1985" s="83">
        <f t="shared" si="609"/>
        <v>0.20625</v>
      </c>
      <c r="H1985" s="81"/>
      <c r="I1985" s="146">
        <v>45274</v>
      </c>
      <c r="J1985" s="147">
        <v>1.73</v>
      </c>
      <c r="K1985" s="147">
        <v>1.56</v>
      </c>
      <c r="L1985" s="147">
        <v>1.604</v>
      </c>
      <c r="M1985" s="59" cm="1">
        <f t="array" ref="M1985">INDEX($BV$29:$BV$1449,MATCH($D1985,$BR$29:$BR$1449,0),)</f>
        <v>1.65</v>
      </c>
      <c r="N1985" s="150">
        <f t="shared" si="603"/>
        <v>-0.00372670807453412</v>
      </c>
      <c r="O1985" s="150">
        <f t="shared" si="604"/>
        <v>0</v>
      </c>
      <c r="P1985" s="150">
        <f t="shared" si="590"/>
        <v>0.0190597204574332</v>
      </c>
      <c r="Q1985" s="89">
        <f t="shared" si="593"/>
        <v>-0.0278787878787877</v>
      </c>
      <c r="S1985" s="82">
        <f t="shared" si="594"/>
        <v>45274</v>
      </c>
      <c r="T1985" s="83">
        <f t="shared" si="610"/>
        <v>0.2649375</v>
      </c>
      <c r="U1985" s="83">
        <f t="shared" si="610"/>
        <v>0.25</v>
      </c>
      <c r="W1985" s="146">
        <v>45274</v>
      </c>
      <c r="X1985" s="147">
        <v>4.55</v>
      </c>
      <c r="Y1985" s="147">
        <v>3.78</v>
      </c>
      <c r="Z1985" s="147">
        <v>4.239</v>
      </c>
      <c r="AA1985" s="59" cm="1">
        <f t="array" ref="AA1985">INDEX($BX$29:$BX$1449,MATCH($D1985,$BR$29:$BR$1449,0),)</f>
        <v>4</v>
      </c>
      <c r="AB1985" s="150">
        <f t="shared" si="595"/>
        <v>0</v>
      </c>
      <c r="AC1985" s="150">
        <f t="shared" si="597"/>
        <v>0.00141743444365705</v>
      </c>
      <c r="AD1985" s="150">
        <f t="shared" si="600"/>
        <v>0.00521697889494899</v>
      </c>
      <c r="AE1985" s="89">
        <f t="shared" si="596"/>
        <v>0.05975</v>
      </c>
      <c r="AF1985" s="36"/>
      <c r="GF1985" s="104">
        <f t="shared" si="606"/>
        <v>2020</v>
      </c>
      <c r="GG1985" s="104">
        <f t="shared" si="607"/>
        <v>44</v>
      </c>
      <c r="GH1985" s="35">
        <v>44134</v>
      </c>
      <c r="GI1985" s="26">
        <v>1.488</v>
      </c>
      <c r="GJ1985" s="94">
        <f t="shared" si="608"/>
        <v>2.976</v>
      </c>
      <c r="GK1985" s="104"/>
      <c r="GL1985" s="104"/>
    </row>
    <row r="1986" spans="3:194">
      <c r="C1986" s="80" t="str" cm="1">
        <f t="array" ref="C1986">_xlfn.IFS(MONTH(D1986)&lt;4,1,MONTH(D1986)&lt;7,2,MONTH(D1986)&lt;10,3,MONTH(D1986)&gt;9,4)&amp;"Q"&amp;RIGHT(YEAR(D1986),2)</f>
        <v>4Q23</v>
      </c>
      <c r="D1986" s="81">
        <f t="shared" si="599"/>
        <v>45291</v>
      </c>
      <c r="E1986" s="82">
        <f t="shared" si="592"/>
        <v>45275</v>
      </c>
      <c r="F1986" s="83">
        <f t="shared" si="609"/>
        <v>0.200375</v>
      </c>
      <c r="G1986" s="83">
        <f t="shared" si="609"/>
        <v>0.20625</v>
      </c>
      <c r="H1986" s="81"/>
      <c r="I1986" s="146">
        <v>45275</v>
      </c>
      <c r="J1986" s="147">
        <v>1.73</v>
      </c>
      <c r="K1986" s="147">
        <v>1.56</v>
      </c>
      <c r="L1986" s="147">
        <v>1.603</v>
      </c>
      <c r="M1986" s="59" cm="1">
        <f t="array" ref="M1986">INDEX($BV$29:$BV$1449,MATCH($D1986,$BR$29:$BR$1449,0),)</f>
        <v>1.65</v>
      </c>
      <c r="N1986" s="150">
        <f t="shared" si="603"/>
        <v>-0.000623441396508828</v>
      </c>
      <c r="O1986" s="150">
        <f t="shared" si="604"/>
        <v>-0.000623441396508828</v>
      </c>
      <c r="P1986" s="150">
        <f t="shared" si="590"/>
        <v>0.0132743362831858</v>
      </c>
      <c r="Q1986" s="89">
        <f t="shared" si="593"/>
        <v>-0.0284848484848484</v>
      </c>
      <c r="S1986" s="82">
        <f t="shared" si="594"/>
        <v>45275</v>
      </c>
      <c r="T1986" s="83">
        <f t="shared" si="610"/>
        <v>0.2645625</v>
      </c>
      <c r="U1986" s="83">
        <f t="shared" si="610"/>
        <v>0.25</v>
      </c>
      <c r="W1986" s="146">
        <v>45275</v>
      </c>
      <c r="X1986" s="147">
        <v>4.55</v>
      </c>
      <c r="Y1986" s="147">
        <v>3.78</v>
      </c>
      <c r="Z1986" s="147">
        <v>4.233</v>
      </c>
      <c r="AA1986" s="59" cm="1">
        <f t="array" ref="AA1986">INDEX($BX$29:$BX$1449,MATCH($D1986,$BR$29:$BR$1449,0),)</f>
        <v>4</v>
      </c>
      <c r="AB1986" s="150">
        <f t="shared" si="595"/>
        <v>-0.00141542816702056</v>
      </c>
      <c r="AC1986" s="150">
        <f t="shared" si="597"/>
        <v>-0.000708215297450465</v>
      </c>
      <c r="AD1986" s="150">
        <f t="shared" si="600"/>
        <v>0.00379416646905373</v>
      </c>
      <c r="AE1986" s="89">
        <f t="shared" si="596"/>
        <v>0.0582499999999999</v>
      </c>
      <c r="AF1986" s="36"/>
      <c r="GF1986" s="104">
        <f t="shared" si="606"/>
        <v>2020</v>
      </c>
      <c r="GG1986" s="104">
        <f t="shared" si="607"/>
        <v>45</v>
      </c>
      <c r="GH1986" s="35">
        <v>44137</v>
      </c>
      <c r="GI1986" s="26">
        <v>1.48</v>
      </c>
      <c r="GJ1986" s="94">
        <f t="shared" si="608"/>
        <v>2.96</v>
      </c>
      <c r="GK1986" s="104"/>
      <c r="GL1986" s="104"/>
    </row>
    <row r="1987" spans="3:194">
      <c r="C1987" s="80" t="str" cm="1">
        <f t="array" ref="C1987">_xlfn.IFS(MONTH(D1987)&lt;4,1,MONTH(D1987)&lt;7,2,MONTH(D1987)&lt;10,3,MONTH(D1987)&gt;9,4)&amp;"Q"&amp;RIGHT(YEAR(D1987),2)</f>
        <v>4Q23</v>
      </c>
      <c r="D1987" s="81">
        <f t="shared" si="599"/>
        <v>45291</v>
      </c>
      <c r="E1987" s="82">
        <f t="shared" si="592"/>
        <v>45278</v>
      </c>
      <c r="F1987" s="83">
        <f t="shared" si="609"/>
        <v>0.200375</v>
      </c>
      <c r="G1987" s="83">
        <f t="shared" si="609"/>
        <v>0.20625</v>
      </c>
      <c r="H1987" s="81"/>
      <c r="I1987" s="146">
        <v>45278</v>
      </c>
      <c r="J1987" s="147">
        <v>1.73</v>
      </c>
      <c r="K1987" s="147">
        <v>1.56</v>
      </c>
      <c r="L1987" s="147">
        <v>1.603</v>
      </c>
      <c r="M1987" s="59" cm="1">
        <f t="array" ref="M1987">INDEX($BV$29:$BV$1449,MATCH($D1987,$BR$29:$BR$1449,0),)</f>
        <v>1.65</v>
      </c>
      <c r="N1987" s="150">
        <f t="shared" si="603"/>
        <v>0</v>
      </c>
      <c r="O1987" s="150">
        <f t="shared" si="604"/>
        <v>-0.00372902423865751</v>
      </c>
      <c r="P1987" s="150">
        <f t="shared" si="590"/>
        <v>0.0113564668769717</v>
      </c>
      <c r="Q1987" s="89">
        <f t="shared" si="593"/>
        <v>-0.0284848484848484</v>
      </c>
      <c r="S1987" s="82">
        <f t="shared" si="594"/>
        <v>45278</v>
      </c>
      <c r="T1987" s="83">
        <f t="shared" si="610"/>
        <v>0.2645625</v>
      </c>
      <c r="U1987" s="83">
        <f t="shared" si="610"/>
        <v>0.25</v>
      </c>
      <c r="W1987" s="146">
        <v>45278</v>
      </c>
      <c r="X1987" s="147">
        <v>4.55</v>
      </c>
      <c r="Y1987" s="147">
        <v>3.78</v>
      </c>
      <c r="Z1987" s="147">
        <v>4.233</v>
      </c>
      <c r="AA1987" s="59" cm="1">
        <f t="array" ref="AA1987">INDEX($BX$29:$BX$1449,MATCH($D1987,$BR$29:$BR$1449,0),)</f>
        <v>4</v>
      </c>
      <c r="AB1987" s="150">
        <f t="shared" si="595"/>
        <v>0</v>
      </c>
      <c r="AC1987" s="150">
        <f t="shared" si="597"/>
        <v>-0.000708215297450465</v>
      </c>
      <c r="AD1987" s="150">
        <f t="shared" si="600"/>
        <v>0.00308056872037921</v>
      </c>
      <c r="AE1987" s="89">
        <f t="shared" si="596"/>
        <v>0.0582499999999999</v>
      </c>
      <c r="AF1987" s="36"/>
      <c r="GF1987" s="104">
        <f t="shared" si="606"/>
        <v>2020</v>
      </c>
      <c r="GG1987" s="104">
        <f t="shared" si="607"/>
        <v>45</v>
      </c>
      <c r="GH1987" s="35">
        <v>44138</v>
      </c>
      <c r="GI1987" s="26">
        <v>1.474</v>
      </c>
      <c r="GJ1987" s="94">
        <f t="shared" si="608"/>
        <v>2.948</v>
      </c>
      <c r="GK1987" s="104"/>
      <c r="GL1987" s="104"/>
    </row>
    <row r="1988" spans="3:194">
      <c r="C1988" s="80" t="str" cm="1">
        <f t="array" ref="C1988">_xlfn.IFS(MONTH(D1988)&lt;4,1,MONTH(D1988)&lt;7,2,MONTH(D1988)&lt;10,3,MONTH(D1988)&gt;9,4)&amp;"Q"&amp;RIGHT(YEAR(D1988),2)</f>
        <v>4Q23</v>
      </c>
      <c r="D1988" s="81">
        <f t="shared" si="599"/>
        <v>45291</v>
      </c>
      <c r="E1988" s="82">
        <f t="shared" si="592"/>
        <v>45279</v>
      </c>
      <c r="F1988" s="83">
        <f t="shared" si="609"/>
        <v>0.200125</v>
      </c>
      <c r="G1988" s="83">
        <f t="shared" si="609"/>
        <v>0.20625</v>
      </c>
      <c r="H1988" s="81"/>
      <c r="I1988" s="146">
        <v>45279</v>
      </c>
      <c r="J1988" s="147">
        <v>1.74</v>
      </c>
      <c r="K1988" s="147">
        <v>1.57</v>
      </c>
      <c r="L1988" s="147">
        <v>1.601</v>
      </c>
      <c r="M1988" s="59" cm="1">
        <f t="array" ref="M1988">INDEX($BV$29:$BV$1449,MATCH($D1988,$BR$29:$BR$1449,0),)</f>
        <v>1.65</v>
      </c>
      <c r="N1988" s="150">
        <f t="shared" si="603"/>
        <v>-0.00124766063630688</v>
      </c>
      <c r="O1988" s="150">
        <f t="shared" si="604"/>
        <v>-0.00682382133995041</v>
      </c>
      <c r="P1988" s="150">
        <f t="shared" si="590"/>
        <v>0.00691823899371058</v>
      </c>
      <c r="Q1988" s="89">
        <f t="shared" si="593"/>
        <v>-0.0296969696969697</v>
      </c>
      <c r="S1988" s="82">
        <f t="shared" si="594"/>
        <v>45279</v>
      </c>
      <c r="T1988" s="83">
        <f t="shared" si="610"/>
        <v>0.2638125</v>
      </c>
      <c r="U1988" s="83">
        <f t="shared" si="610"/>
        <v>0.25</v>
      </c>
      <c r="W1988" s="146">
        <v>45279</v>
      </c>
      <c r="X1988" s="147">
        <v>4.5</v>
      </c>
      <c r="Y1988" s="147">
        <v>3.77</v>
      </c>
      <c r="Z1988" s="147">
        <v>4.221</v>
      </c>
      <c r="AA1988" s="59" cm="1">
        <f t="array" ref="AA1988">INDEX($BX$29:$BX$1449,MATCH($D1988,$BR$29:$BR$1449,0),)</f>
        <v>4</v>
      </c>
      <c r="AB1988" s="150">
        <f t="shared" si="595"/>
        <v>-0.00283486888731388</v>
      </c>
      <c r="AC1988" s="150">
        <f t="shared" si="597"/>
        <v>-0.0035410764872521</v>
      </c>
      <c r="AD1988" s="150">
        <f t="shared" si="600"/>
        <v>-0.000946745562130036</v>
      </c>
      <c r="AE1988" s="89">
        <f t="shared" si="596"/>
        <v>0.05525</v>
      </c>
      <c r="AF1988" s="36"/>
      <c r="GF1988" s="104">
        <f t="shared" si="606"/>
        <v>2020</v>
      </c>
      <c r="GG1988" s="104">
        <f t="shared" si="607"/>
        <v>45</v>
      </c>
      <c r="GH1988" s="35">
        <v>44139</v>
      </c>
      <c r="GI1988" s="26">
        <v>1.471</v>
      </c>
      <c r="GJ1988" s="94">
        <f t="shared" si="608"/>
        <v>2.942</v>
      </c>
      <c r="GK1988" s="104"/>
      <c r="GL1988" s="104"/>
    </row>
    <row r="1989" spans="3:194">
      <c r="C1989" s="80" t="str" cm="1">
        <f t="array" ref="C1989">_xlfn.IFS(MONTH(D1989)&lt;4,1,MONTH(D1989)&lt;7,2,MONTH(D1989)&lt;10,3,MONTH(D1989)&gt;9,4)&amp;"Q"&amp;RIGHT(YEAR(D1989),2)</f>
        <v>4Q23</v>
      </c>
      <c r="D1989" s="81">
        <f t="shared" si="599"/>
        <v>45291</v>
      </c>
      <c r="E1989" s="82">
        <f t="shared" si="592"/>
        <v>45280</v>
      </c>
      <c r="F1989" s="83">
        <f t="shared" si="609"/>
        <v>0.200125</v>
      </c>
      <c r="G1989" s="83">
        <f t="shared" si="609"/>
        <v>0.20625</v>
      </c>
      <c r="H1989" s="81"/>
      <c r="I1989" s="146">
        <v>45280</v>
      </c>
      <c r="J1989" s="147">
        <v>1.74</v>
      </c>
      <c r="K1989" s="147">
        <v>1.57</v>
      </c>
      <c r="L1989" s="147">
        <v>1.601</v>
      </c>
      <c r="M1989" s="59" cm="1">
        <f t="array" ref="M1989">INDEX($BV$29:$BV$1449,MATCH($D1989,$BR$29:$BR$1449,0),)</f>
        <v>1.65</v>
      </c>
      <c r="N1989" s="150">
        <f t="shared" si="603"/>
        <v>0</v>
      </c>
      <c r="O1989" s="150">
        <f t="shared" si="604"/>
        <v>-0.00559006211180135</v>
      </c>
      <c r="P1989" s="150">
        <f t="shared" si="590"/>
        <v>0.00313283208020043</v>
      </c>
      <c r="Q1989" s="89">
        <f t="shared" si="593"/>
        <v>-0.0296969696969697</v>
      </c>
      <c r="S1989" s="82">
        <f t="shared" si="594"/>
        <v>45280</v>
      </c>
      <c r="T1989" s="83">
        <f t="shared" si="610"/>
        <v>0.2638125</v>
      </c>
      <c r="U1989" s="83">
        <f t="shared" si="610"/>
        <v>0.25</v>
      </c>
      <c r="W1989" s="146">
        <v>45280</v>
      </c>
      <c r="X1989" s="147">
        <v>4.5</v>
      </c>
      <c r="Y1989" s="147">
        <v>3.78</v>
      </c>
      <c r="Z1989" s="147">
        <v>4.221</v>
      </c>
      <c r="AA1989" s="59" cm="1">
        <f t="array" ref="AA1989">INDEX($BX$29:$BX$1449,MATCH($D1989,$BR$29:$BR$1449,0),)</f>
        <v>4</v>
      </c>
      <c r="AB1989" s="150">
        <f t="shared" si="595"/>
        <v>0</v>
      </c>
      <c r="AC1989" s="150">
        <f t="shared" si="597"/>
        <v>-0.00424628450106157</v>
      </c>
      <c r="AD1989" s="150">
        <f t="shared" si="600"/>
        <v>-0.00189170016552376</v>
      </c>
      <c r="AE1989" s="89">
        <f t="shared" si="596"/>
        <v>0.05525</v>
      </c>
      <c r="AF1989" s="36"/>
      <c r="GF1989" s="104">
        <f t="shared" si="606"/>
        <v>2020</v>
      </c>
      <c r="GG1989" s="104">
        <f t="shared" si="607"/>
        <v>45</v>
      </c>
      <c r="GH1989" s="35">
        <v>44140</v>
      </c>
      <c r="GI1989" s="26">
        <v>1.474</v>
      </c>
      <c r="GJ1989" s="94">
        <f t="shared" si="608"/>
        <v>2.948</v>
      </c>
      <c r="GK1989" s="104"/>
      <c r="GL1989" s="104"/>
    </row>
    <row r="1990" spans="3:194">
      <c r="C1990" s="80" t="str" cm="1">
        <f t="array" ref="C1990">_xlfn.IFS(MONTH(D1990)&lt;4,1,MONTH(D1990)&lt;7,2,MONTH(D1990)&lt;10,3,MONTH(D1990)&gt;9,4)&amp;"Q"&amp;RIGHT(YEAR(D1990),2)</f>
        <v>4Q23</v>
      </c>
      <c r="D1990" s="81">
        <f t="shared" si="599"/>
        <v>45291</v>
      </c>
      <c r="E1990" s="82">
        <f t="shared" si="592"/>
        <v>45281</v>
      </c>
      <c r="F1990" s="83">
        <f t="shared" si="609"/>
        <v>0.200375</v>
      </c>
      <c r="G1990" s="83">
        <f t="shared" si="609"/>
        <v>0.20625</v>
      </c>
      <c r="H1990" s="81"/>
      <c r="I1990" s="146">
        <v>45281</v>
      </c>
      <c r="J1990" s="147">
        <v>1.74</v>
      </c>
      <c r="K1990" s="147">
        <v>1.57</v>
      </c>
      <c r="L1990" s="147">
        <v>1.603</v>
      </c>
      <c r="M1990" s="59" cm="1">
        <f t="array" ref="M1990">INDEX($BV$29:$BV$1449,MATCH($D1990,$BR$29:$BR$1449,0),)</f>
        <v>1.65</v>
      </c>
      <c r="N1990" s="150">
        <f t="shared" si="603"/>
        <v>0.00124921923797627</v>
      </c>
      <c r="O1990" s="150">
        <f t="shared" si="604"/>
        <v>-0.000623441396508828</v>
      </c>
      <c r="P1990" s="150">
        <f t="shared" si="590"/>
        <v>-0.000623441396508828</v>
      </c>
      <c r="Q1990" s="89">
        <f t="shared" si="593"/>
        <v>-0.0284848484848484</v>
      </c>
      <c r="S1990" s="82">
        <f t="shared" si="594"/>
        <v>45281</v>
      </c>
      <c r="T1990" s="83">
        <f t="shared" si="610"/>
        <v>0.2638125</v>
      </c>
      <c r="U1990" s="83">
        <f t="shared" si="610"/>
        <v>0.25</v>
      </c>
      <c r="W1990" s="146">
        <v>45281</v>
      </c>
      <c r="X1990" s="147">
        <v>4.5</v>
      </c>
      <c r="Y1990" s="147">
        <v>3.78</v>
      </c>
      <c r="Z1990" s="147">
        <v>4.221</v>
      </c>
      <c r="AA1990" s="59" cm="1">
        <f t="array" ref="AA1990">INDEX($BX$29:$BX$1449,MATCH($D1990,$BR$29:$BR$1449,0),)</f>
        <v>4</v>
      </c>
      <c r="AB1990" s="150">
        <f t="shared" si="595"/>
        <v>0</v>
      </c>
      <c r="AC1990" s="150">
        <f t="shared" si="597"/>
        <v>-0.00424628450106157</v>
      </c>
      <c r="AD1990" s="150">
        <f t="shared" si="600"/>
        <v>-0.00283486888731388</v>
      </c>
      <c r="AE1990" s="89">
        <f t="shared" si="596"/>
        <v>0.05525</v>
      </c>
      <c r="AF1990" s="36"/>
      <c r="GF1990" s="104">
        <f t="shared" si="606"/>
        <v>2020</v>
      </c>
      <c r="GG1990" s="104">
        <f t="shared" si="607"/>
        <v>45</v>
      </c>
      <c r="GH1990" s="35">
        <v>44141</v>
      </c>
      <c r="GI1990" s="26">
        <v>1.474</v>
      </c>
      <c r="GJ1990" s="94">
        <f t="shared" si="608"/>
        <v>2.948</v>
      </c>
      <c r="GK1990" s="104"/>
      <c r="GL1990" s="104"/>
    </row>
    <row r="1991" spans="3:194">
      <c r="C1991" s="80" t="str" cm="1">
        <f t="array" ref="C1991">_xlfn.IFS(MONTH(D1991)&lt;4,1,MONTH(D1991)&lt;7,2,MONTH(D1991)&lt;10,3,MONTH(D1991)&gt;9,4)&amp;"Q"&amp;RIGHT(YEAR(D1991),2)</f>
        <v>4Q23</v>
      </c>
      <c r="D1991" s="81">
        <f t="shared" si="599"/>
        <v>45291</v>
      </c>
      <c r="E1991" s="82">
        <f t="shared" si="592"/>
        <v>45282</v>
      </c>
      <c r="F1991" s="83">
        <f t="shared" si="609"/>
        <v>0.201125</v>
      </c>
      <c r="G1991" s="83">
        <f t="shared" si="609"/>
        <v>0.20625</v>
      </c>
      <c r="H1991" s="81"/>
      <c r="I1991" s="146">
        <v>45282</v>
      </c>
      <c r="J1991" s="147">
        <v>1.74</v>
      </c>
      <c r="K1991" s="147">
        <v>1.58</v>
      </c>
      <c r="L1991" s="147">
        <v>1.609</v>
      </c>
      <c r="M1991" s="59" cm="1">
        <f t="array" ref="M1991">INDEX($BV$29:$BV$1449,MATCH($D1991,$BR$29:$BR$1449,0),)</f>
        <v>1.65</v>
      </c>
      <c r="N1991" s="150">
        <f t="shared" si="603"/>
        <v>0.00374298190892075</v>
      </c>
      <c r="O1991" s="150">
        <f t="shared" si="604"/>
        <v>0.00374298190892075</v>
      </c>
      <c r="P1991" s="150">
        <f t="shared" si="590"/>
        <v>0.00311720698254359</v>
      </c>
      <c r="Q1991" s="89">
        <f t="shared" si="593"/>
        <v>-0.0248484848484848</v>
      </c>
      <c r="S1991" s="82">
        <f t="shared" si="594"/>
        <v>45282</v>
      </c>
      <c r="T1991" s="83">
        <f t="shared" si="610"/>
        <v>0.2640625</v>
      </c>
      <c r="U1991" s="83">
        <f t="shared" si="610"/>
        <v>0.25</v>
      </c>
      <c r="W1991" s="146">
        <v>45282</v>
      </c>
      <c r="X1991" s="147">
        <v>4.5</v>
      </c>
      <c r="Y1991" s="147">
        <v>3.79</v>
      </c>
      <c r="Z1991" s="147">
        <v>4.225</v>
      </c>
      <c r="AA1991" s="59" cm="1">
        <f t="array" ref="AA1991">INDEX($BX$29:$BX$1449,MATCH($D1991,$BR$29:$BR$1449,0),)</f>
        <v>4</v>
      </c>
      <c r="AB1991" s="150">
        <f t="shared" si="595"/>
        <v>0.000947642738687415</v>
      </c>
      <c r="AC1991" s="150">
        <f t="shared" si="597"/>
        <v>-0.0018899125915427</v>
      </c>
      <c r="AD1991" s="150">
        <f t="shared" si="600"/>
        <v>-0.00259678942398489</v>
      </c>
      <c r="AE1991" s="89">
        <f t="shared" si="596"/>
        <v>0.0562499999999999</v>
      </c>
      <c r="AF1991" s="36"/>
      <c r="GF1991" s="104">
        <f t="shared" si="606"/>
        <v>2020</v>
      </c>
      <c r="GG1991" s="104">
        <f t="shared" si="607"/>
        <v>46</v>
      </c>
      <c r="GH1991" s="35">
        <v>44144</v>
      </c>
      <c r="GI1991" s="26">
        <v>1.477</v>
      </c>
      <c r="GJ1991" s="94">
        <f t="shared" si="608"/>
        <v>2.954</v>
      </c>
      <c r="GK1991" s="104"/>
      <c r="GL1991" s="104"/>
    </row>
    <row r="1992" spans="3:194">
      <c r="C1992" s="80" t="str" cm="1">
        <f t="array" ref="C1992">_xlfn.IFS(MONTH(D1992)&lt;4,1,MONTH(D1992)&lt;7,2,MONTH(D1992)&lt;10,3,MONTH(D1992)&gt;9,4)&amp;"Q"&amp;RIGHT(YEAR(D1992),2)</f>
        <v>4Q23</v>
      </c>
      <c r="D1992" s="81">
        <f t="shared" si="599"/>
        <v>45291</v>
      </c>
      <c r="E1992" s="82">
        <f t="shared" si="592"/>
        <v>45285</v>
      </c>
      <c r="F1992" s="83">
        <f t="shared" si="609"/>
        <v>0.20125</v>
      </c>
      <c r="G1992" s="83">
        <f t="shared" si="609"/>
        <v>0.20625</v>
      </c>
      <c r="H1992" s="81"/>
      <c r="I1992" s="146">
        <v>45285</v>
      </c>
      <c r="J1992" s="147">
        <v>1.75</v>
      </c>
      <c r="K1992" s="147">
        <v>1.59</v>
      </c>
      <c r="L1992" s="147">
        <v>1.61</v>
      </c>
      <c r="M1992" s="59" cm="1">
        <f t="array" ref="M1992">INDEX($BV$29:$BV$1449,MATCH($D1992,$BR$29:$BR$1449,0),)</f>
        <v>1.65</v>
      </c>
      <c r="N1992" s="150">
        <f t="shared" si="603"/>
        <v>0.000621504039776344</v>
      </c>
      <c r="O1992" s="150">
        <f t="shared" si="604"/>
        <v>0.00436681222707436</v>
      </c>
      <c r="P1992" s="150">
        <f t="shared" si="590"/>
        <v>0.000621504039776344</v>
      </c>
      <c r="Q1992" s="89">
        <f t="shared" si="593"/>
        <v>-0.0242424242424242</v>
      </c>
      <c r="S1992" s="82">
        <f t="shared" si="594"/>
        <v>45285</v>
      </c>
      <c r="T1992" s="83">
        <f t="shared" si="610"/>
        <v>0.2643125</v>
      </c>
      <c r="U1992" s="83">
        <f t="shared" si="610"/>
        <v>0.25</v>
      </c>
      <c r="W1992" s="146">
        <v>45285</v>
      </c>
      <c r="X1992" s="147">
        <v>4.52</v>
      </c>
      <c r="Y1992" s="147">
        <v>3.8</v>
      </c>
      <c r="Z1992" s="147">
        <v>4.229</v>
      </c>
      <c r="AA1992" s="59" cm="1">
        <f t="array" ref="AA1992">INDEX($BX$29:$BX$1449,MATCH($D1992,$BR$29:$BR$1449,0),)</f>
        <v>4</v>
      </c>
      <c r="AB1992" s="150">
        <f t="shared" si="595"/>
        <v>0.000946745562130369</v>
      </c>
      <c r="AC1992" s="150">
        <f t="shared" si="597"/>
        <v>-0.000944956295771182</v>
      </c>
      <c r="AD1992" s="150">
        <f t="shared" si="600"/>
        <v>-0.00165250236071757</v>
      </c>
      <c r="AE1992" s="89">
        <f t="shared" si="596"/>
        <v>0.05725</v>
      </c>
      <c r="AF1992" s="36"/>
      <c r="GF1992" s="104">
        <f t="shared" si="606"/>
        <v>2020</v>
      </c>
      <c r="GG1992" s="104">
        <f t="shared" si="607"/>
        <v>46</v>
      </c>
      <c r="GH1992" s="35">
        <v>44145</v>
      </c>
      <c r="GI1992" s="26">
        <v>1.48</v>
      </c>
      <c r="GJ1992" s="94">
        <f t="shared" si="608"/>
        <v>2.96</v>
      </c>
      <c r="GK1992" s="104"/>
      <c r="GL1992" s="104"/>
    </row>
    <row r="1993" spans="3:194">
      <c r="C1993" s="80" t="str" cm="1">
        <f t="array" ref="C1993">_xlfn.IFS(MONTH(D1993)&lt;4,1,MONTH(D1993)&lt;7,2,MONTH(D1993)&lt;10,3,MONTH(D1993)&gt;9,4)&amp;"Q"&amp;RIGHT(YEAR(D1993),2)</f>
        <v>4Q23</v>
      </c>
      <c r="D1993" s="81">
        <f t="shared" si="599"/>
        <v>45291</v>
      </c>
      <c r="E1993" s="82">
        <f t="shared" si="592"/>
        <v>45286</v>
      </c>
      <c r="F1993" s="83">
        <f t="shared" si="609"/>
        <v>0.20125</v>
      </c>
      <c r="G1993" s="83">
        <f t="shared" si="609"/>
        <v>0.20625</v>
      </c>
      <c r="H1993" s="81"/>
      <c r="I1993" s="146">
        <v>45286</v>
      </c>
      <c r="J1993" s="147">
        <v>1.75</v>
      </c>
      <c r="K1993" s="147">
        <v>1.59</v>
      </c>
      <c r="L1993" s="147">
        <v>1.61</v>
      </c>
      <c r="M1993" s="59" cm="1">
        <f t="array" ref="M1993">INDEX($BV$29:$BV$1449,MATCH($D1993,$BR$29:$BR$1449,0),)</f>
        <v>1.65</v>
      </c>
      <c r="N1993" s="150">
        <f t="shared" si="603"/>
        <v>0</v>
      </c>
      <c r="O1993" s="150">
        <f t="shared" si="604"/>
        <v>0.00562148657089323</v>
      </c>
      <c r="P1993" s="150">
        <f t="shared" si="590"/>
        <v>-0.00124069478908184</v>
      </c>
      <c r="Q1993" s="89">
        <f t="shared" si="593"/>
        <v>-0.0242424242424242</v>
      </c>
      <c r="S1993" s="82">
        <f t="shared" si="594"/>
        <v>45286</v>
      </c>
      <c r="T1993" s="83">
        <f t="shared" si="610"/>
        <v>0.2643125</v>
      </c>
      <c r="U1993" s="83">
        <f t="shared" si="610"/>
        <v>0.25</v>
      </c>
      <c r="W1993" s="146">
        <v>45286</v>
      </c>
      <c r="X1993" s="147">
        <v>4.52</v>
      </c>
      <c r="Y1993" s="147">
        <v>3.8</v>
      </c>
      <c r="Z1993" s="147">
        <v>4.229</v>
      </c>
      <c r="AA1993" s="59" cm="1">
        <f t="array" ref="AA1993">INDEX($BX$29:$BX$1449,MATCH($D1993,$BR$29:$BR$1449,0),)</f>
        <v>4</v>
      </c>
      <c r="AB1993" s="150">
        <f t="shared" si="595"/>
        <v>0</v>
      </c>
      <c r="AC1993" s="150">
        <f t="shared" si="597"/>
        <v>0.00189528547737505</v>
      </c>
      <c r="AD1993" s="150">
        <f t="shared" si="600"/>
        <v>-0.00165250236071757</v>
      </c>
      <c r="AE1993" s="89">
        <f t="shared" si="596"/>
        <v>0.05725</v>
      </c>
      <c r="AF1993" s="36"/>
      <c r="GF1993" s="104">
        <f t="shared" si="606"/>
        <v>2020</v>
      </c>
      <c r="GG1993" s="104">
        <f t="shared" si="607"/>
        <v>46</v>
      </c>
      <c r="GH1993" s="35">
        <v>44146</v>
      </c>
      <c r="GI1993" s="26">
        <v>1.483</v>
      </c>
      <c r="GJ1993" s="94">
        <f t="shared" si="608"/>
        <v>2.966</v>
      </c>
      <c r="GK1993" s="104"/>
      <c r="GL1993" s="104"/>
    </row>
    <row r="1994" spans="3:194">
      <c r="C1994" s="80" t="str" cm="1">
        <f t="array" ref="C1994">_xlfn.IFS(MONTH(D1994)&lt;4,1,MONTH(D1994)&lt;7,2,MONTH(D1994)&lt;10,3,MONTH(D1994)&gt;9,4)&amp;"Q"&amp;RIGHT(YEAR(D1994),2)</f>
        <v>4Q23</v>
      </c>
      <c r="D1994" s="81">
        <f t="shared" si="599"/>
        <v>45291</v>
      </c>
      <c r="E1994" s="82">
        <f t="shared" si="592"/>
        <v>45287</v>
      </c>
      <c r="F1994" s="83">
        <f t="shared" ref="F1994:G2009" si="611">+L1994/8</f>
        <v>0.201625</v>
      </c>
      <c r="G1994" s="83">
        <f t="shared" si="611"/>
        <v>0.20625</v>
      </c>
      <c r="H1994" s="81"/>
      <c r="I1994" s="146">
        <v>45287</v>
      </c>
      <c r="J1994" s="147">
        <v>1.75</v>
      </c>
      <c r="K1994" s="147">
        <v>1.59</v>
      </c>
      <c r="L1994" s="147">
        <v>1.613</v>
      </c>
      <c r="M1994" s="59" cm="1">
        <f t="array" ref="M1994">INDEX($BV$29:$BV$1449,MATCH($D1994,$BR$29:$BR$1449,0),)</f>
        <v>1.65</v>
      </c>
      <c r="N1994" s="150">
        <f t="shared" si="603"/>
        <v>0.00186335403726701</v>
      </c>
      <c r="O1994" s="150">
        <f t="shared" si="604"/>
        <v>0.00749531542785764</v>
      </c>
      <c r="P1994" s="150">
        <f t="shared" si="590"/>
        <v>0.00186335403726701</v>
      </c>
      <c r="Q1994" s="89">
        <f t="shared" si="593"/>
        <v>-0.0224242424242423</v>
      </c>
      <c r="S1994" s="82">
        <f t="shared" si="594"/>
        <v>45287</v>
      </c>
      <c r="T1994" s="83">
        <f t="shared" si="610"/>
        <v>0.265</v>
      </c>
      <c r="U1994" s="83">
        <f t="shared" si="610"/>
        <v>0.25</v>
      </c>
      <c r="W1994" s="146">
        <v>45287</v>
      </c>
      <c r="X1994" s="147">
        <v>4.53</v>
      </c>
      <c r="Y1994" s="147">
        <v>3.8</v>
      </c>
      <c r="Z1994" s="147">
        <v>4.24</v>
      </c>
      <c r="AA1994" s="59" cm="1">
        <f t="array" ref="AA1994">INDEX($BX$29:$BX$1449,MATCH($D1994,$BR$29:$BR$1449,0),)</f>
        <v>4</v>
      </c>
      <c r="AB1994" s="150">
        <f t="shared" si="595"/>
        <v>0.00260108772759526</v>
      </c>
      <c r="AC1994" s="150">
        <f t="shared" si="597"/>
        <v>0.00450130300876572</v>
      </c>
      <c r="AD1994" s="150">
        <f t="shared" si="600"/>
        <v>0.000235904694503519</v>
      </c>
      <c r="AE1994" s="89">
        <f t="shared" si="596"/>
        <v>0.0600000000000001</v>
      </c>
      <c r="AF1994" s="36"/>
      <c r="GF1994" s="104">
        <f t="shared" si="606"/>
        <v>2020</v>
      </c>
      <c r="GG1994" s="104">
        <f t="shared" si="607"/>
        <v>46</v>
      </c>
      <c r="GH1994" s="35">
        <v>44147</v>
      </c>
      <c r="GI1994" s="26">
        <v>1.489</v>
      </c>
      <c r="GJ1994" s="94">
        <f t="shared" si="608"/>
        <v>2.978</v>
      </c>
      <c r="GK1994" s="104"/>
      <c r="GL1994" s="104"/>
    </row>
    <row r="1995" spans="3:194">
      <c r="C1995" s="80" t="str" cm="1">
        <f t="array" ref="C1995">_xlfn.IFS(MONTH(D1995)&lt;4,1,MONTH(D1995)&lt;7,2,MONTH(D1995)&lt;10,3,MONTH(D1995)&gt;9,4)&amp;"Q"&amp;RIGHT(YEAR(D1995),2)</f>
        <v>4Q23</v>
      </c>
      <c r="D1995" s="81">
        <f t="shared" si="599"/>
        <v>45291</v>
      </c>
      <c r="E1995" s="82">
        <f t="shared" si="592"/>
        <v>45288</v>
      </c>
      <c r="F1995" s="83">
        <f t="shared" si="611"/>
        <v>0.201625</v>
      </c>
      <c r="G1995" s="83">
        <f t="shared" si="611"/>
        <v>0.20625</v>
      </c>
      <c r="H1995" s="81"/>
      <c r="I1995" s="146">
        <v>45288</v>
      </c>
      <c r="J1995" s="147">
        <v>1.75</v>
      </c>
      <c r="K1995" s="147">
        <v>1.58</v>
      </c>
      <c r="L1995" s="147">
        <v>1.613</v>
      </c>
      <c r="M1995" s="59" cm="1">
        <f t="array" ref="M1995">INDEX($BV$29:$BV$1449,MATCH($D1995,$BR$29:$BR$1449,0),)</f>
        <v>1.65</v>
      </c>
      <c r="N1995" s="150">
        <f t="shared" si="603"/>
        <v>0</v>
      </c>
      <c r="O1995" s="150">
        <f t="shared" si="604"/>
        <v>0.00623830318153473</v>
      </c>
      <c r="P1995" s="150">
        <f t="shared" si="590"/>
        <v>0.00561097256857845</v>
      </c>
      <c r="Q1995" s="89">
        <f t="shared" si="593"/>
        <v>-0.0224242424242423</v>
      </c>
      <c r="S1995" s="82">
        <f t="shared" si="594"/>
        <v>45288</v>
      </c>
      <c r="T1995" s="83">
        <f t="shared" si="610"/>
        <v>0.2651875</v>
      </c>
      <c r="U1995" s="83">
        <f t="shared" si="610"/>
        <v>0.25</v>
      </c>
      <c r="W1995" s="146">
        <v>45288</v>
      </c>
      <c r="X1995" s="147">
        <v>4.55</v>
      </c>
      <c r="Y1995" s="147">
        <v>3.8</v>
      </c>
      <c r="Z1995" s="147">
        <v>4.243</v>
      </c>
      <c r="AA1995" s="59" cm="1">
        <f t="array" ref="AA1995">INDEX($BX$29:$BX$1449,MATCH($D1995,$BR$29:$BR$1449,0),)</f>
        <v>4</v>
      </c>
      <c r="AB1995" s="150">
        <f t="shared" si="595"/>
        <v>0.000707547169811251</v>
      </c>
      <c r="AC1995" s="150">
        <f t="shared" si="597"/>
        <v>0.00521203506278134</v>
      </c>
      <c r="AD1995" s="150">
        <f t="shared" si="600"/>
        <v>0.000943618778013855</v>
      </c>
      <c r="AE1995" s="89">
        <f t="shared" si="596"/>
        <v>0.0607500000000001</v>
      </c>
      <c r="AF1995" s="36"/>
      <c r="GF1995" s="104">
        <f t="shared" si="606"/>
        <v>2020</v>
      </c>
      <c r="GG1995" s="104">
        <f t="shared" si="607"/>
        <v>46</v>
      </c>
      <c r="GH1995" s="35">
        <v>44148</v>
      </c>
      <c r="GI1995" s="26">
        <v>1.49</v>
      </c>
      <c r="GJ1995" s="94">
        <f t="shared" si="608"/>
        <v>2.98</v>
      </c>
      <c r="GK1995" s="104"/>
      <c r="GL1995" s="104"/>
    </row>
    <row r="1996" spans="3:194">
      <c r="C1996" s="80" t="str" cm="1">
        <f t="array" ref="C1996">_xlfn.IFS(MONTH(D1996)&lt;4,1,MONTH(D1996)&lt;7,2,MONTH(D1996)&lt;10,3,MONTH(D1996)&gt;9,4)&amp;"Q"&amp;RIGHT(YEAR(D1996),2)</f>
        <v>4Q23</v>
      </c>
      <c r="D1996" s="81">
        <f t="shared" si="599"/>
        <v>45291</v>
      </c>
      <c r="E1996" s="82">
        <f t="shared" si="592"/>
        <v>45289</v>
      </c>
      <c r="F1996" s="83">
        <f t="shared" si="611"/>
        <v>0.201625</v>
      </c>
      <c r="G1996" s="83">
        <f t="shared" si="611"/>
        <v>0.20625</v>
      </c>
      <c r="H1996" s="81"/>
      <c r="I1996" s="146">
        <v>45289</v>
      </c>
      <c r="J1996" s="147">
        <v>1.75</v>
      </c>
      <c r="K1996" s="147">
        <v>1.58</v>
      </c>
      <c r="L1996" s="147">
        <v>1.613</v>
      </c>
      <c r="M1996" s="59" cm="1">
        <f t="array" ref="M1996">INDEX($BV$29:$BV$1449,MATCH($D1996,$BR$29:$BR$1449,0),)</f>
        <v>1.65</v>
      </c>
      <c r="N1996" s="150">
        <f t="shared" si="603"/>
        <v>0</v>
      </c>
      <c r="O1996" s="150">
        <f t="shared" si="604"/>
        <v>0.00248601615910493</v>
      </c>
      <c r="P1996" s="150">
        <f t="shared" si="590"/>
        <v>0.00623830318153473</v>
      </c>
      <c r="Q1996" s="89">
        <f t="shared" si="593"/>
        <v>-0.0224242424242423</v>
      </c>
      <c r="S1996" s="82">
        <f t="shared" si="594"/>
        <v>45289</v>
      </c>
      <c r="T1996" s="83">
        <f t="shared" si="610"/>
        <v>0.2654375</v>
      </c>
      <c r="U1996" s="83">
        <f t="shared" si="610"/>
        <v>0.25</v>
      </c>
      <c r="W1996" s="146">
        <v>45289</v>
      </c>
      <c r="X1996" s="147">
        <v>4.55</v>
      </c>
      <c r="Y1996" s="147">
        <v>3.8</v>
      </c>
      <c r="Z1996" s="147">
        <v>4.247</v>
      </c>
      <c r="AA1996" s="59" cm="1">
        <f t="array" ref="AA1996">INDEX($BX$29:$BX$1449,MATCH($D1996,$BR$29:$BR$1449,0),)</f>
        <v>4</v>
      </c>
      <c r="AB1996" s="150">
        <f t="shared" si="595"/>
        <v>0.000942729201036885</v>
      </c>
      <c r="AC1996" s="150">
        <f t="shared" si="597"/>
        <v>0.00520710059171603</v>
      </c>
      <c r="AD1996" s="150">
        <f t="shared" si="600"/>
        <v>0.00330734703519964</v>
      </c>
      <c r="AE1996" s="89">
        <f t="shared" si="596"/>
        <v>0.06175</v>
      </c>
      <c r="AF1996" s="36"/>
      <c r="GF1996" s="104">
        <f t="shared" si="606"/>
        <v>2020</v>
      </c>
      <c r="GG1996" s="104">
        <f t="shared" si="607"/>
        <v>47</v>
      </c>
      <c r="GH1996" s="35">
        <v>44151</v>
      </c>
      <c r="GI1996" s="26">
        <v>1.49</v>
      </c>
      <c r="GJ1996" s="94">
        <f t="shared" si="608"/>
        <v>2.98</v>
      </c>
      <c r="GK1996" s="104"/>
      <c r="GL1996" s="104"/>
    </row>
    <row r="1997" spans="3:194">
      <c r="C1997" s="80" t="str" cm="1">
        <f t="array" ref="C1997">_xlfn.IFS(MONTH(D1997)&lt;4,1,MONTH(D1997)&lt;7,2,MONTH(D1997)&lt;10,3,MONTH(D1997)&gt;9,4)&amp;"Q"&amp;RIGHT(YEAR(D1997),2)</f>
        <v>1Q24</v>
      </c>
      <c r="D1997" s="81">
        <f t="shared" si="599"/>
        <v>45322</v>
      </c>
      <c r="E1997" s="82">
        <f t="shared" si="592"/>
        <v>45293</v>
      </c>
      <c r="F1997" s="83">
        <f t="shared" si="611"/>
        <v>0.202625</v>
      </c>
      <c r="G1997" s="83">
        <f t="shared" si="611"/>
        <v>0.225</v>
      </c>
      <c r="H1997" s="81"/>
      <c r="I1997" s="146">
        <v>45293</v>
      </c>
      <c r="J1997" s="147">
        <v>1.8</v>
      </c>
      <c r="K1997" s="147">
        <v>1.59</v>
      </c>
      <c r="L1997" s="147">
        <v>1.621</v>
      </c>
      <c r="M1997" s="59" cm="1">
        <f t="array" ref="M1997">INDEX($BV$29:$BV$1449,MATCH($D1997,$BR$29:$BR$1449,0),)</f>
        <v>1.8</v>
      </c>
      <c r="N1997" s="150">
        <f t="shared" si="603"/>
        <v>0.00495970241785493</v>
      </c>
      <c r="O1997" s="150">
        <f t="shared" si="604"/>
        <v>0.00683229813664599</v>
      </c>
      <c r="P1997" s="150">
        <f t="shared" si="590"/>
        <v>0.0112289457267623</v>
      </c>
      <c r="Q1997" s="89">
        <f t="shared" si="593"/>
        <v>-0.0994444444444444</v>
      </c>
      <c r="S1997" s="82">
        <f t="shared" si="594"/>
        <v>45293</v>
      </c>
      <c r="T1997" s="83">
        <f t="shared" si="610"/>
        <v>0.265625</v>
      </c>
      <c r="U1997" s="83">
        <f t="shared" si="610"/>
        <v>0.25625</v>
      </c>
      <c r="W1997" s="146">
        <v>45293</v>
      </c>
      <c r="X1997" s="147">
        <v>4.57</v>
      </c>
      <c r="Y1997" s="147">
        <v>3.81</v>
      </c>
      <c r="Z1997" s="147">
        <v>4.25</v>
      </c>
      <c r="AA1997" s="59" cm="1">
        <f t="array" ref="AA1997">INDEX($BX$29:$BX$1449,MATCH($D1997,$BR$29:$BR$1449,0),)</f>
        <v>4.1</v>
      </c>
      <c r="AB1997" s="150">
        <f t="shared" si="595"/>
        <v>0.000706380974805798</v>
      </c>
      <c r="AC1997" s="150">
        <f t="shared" si="597"/>
        <v>0.00496571293449977</v>
      </c>
      <c r="AD1997" s="150">
        <f t="shared" si="600"/>
        <v>0.00401606425702816</v>
      </c>
      <c r="AE1997" s="89">
        <f t="shared" si="596"/>
        <v>0.0365853658536586</v>
      </c>
      <c r="AF1997" s="36"/>
      <c r="GF1997" s="104">
        <f t="shared" si="606"/>
        <v>2020</v>
      </c>
      <c r="GG1997" s="104">
        <f t="shared" si="607"/>
        <v>47</v>
      </c>
      <c r="GH1997" s="35">
        <v>44152</v>
      </c>
      <c r="GI1997" s="26">
        <v>1.487</v>
      </c>
      <c r="GJ1997" s="94">
        <f t="shared" si="608"/>
        <v>2.974</v>
      </c>
      <c r="GK1997" s="104"/>
      <c r="GL1997" s="104"/>
    </row>
    <row r="1998" spans="3:194">
      <c r="C1998" s="80" t="str" cm="1">
        <f t="array" ref="C1998">_xlfn.IFS(MONTH(D1998)&lt;4,1,MONTH(D1998)&lt;7,2,MONTH(D1998)&lt;10,3,MONTH(D1998)&gt;9,4)&amp;"Q"&amp;RIGHT(YEAR(D1998),2)</f>
        <v>1Q24</v>
      </c>
      <c r="D1998" s="81">
        <f t="shared" si="599"/>
        <v>45322</v>
      </c>
      <c r="E1998" s="82">
        <f t="shared" si="592"/>
        <v>45294</v>
      </c>
      <c r="F1998" s="83">
        <f t="shared" si="611"/>
        <v>0.20325</v>
      </c>
      <c r="G1998" s="83">
        <f t="shared" si="611"/>
        <v>0.225</v>
      </c>
      <c r="H1998" s="81"/>
      <c r="I1998" s="146">
        <v>45294</v>
      </c>
      <c r="J1998" s="147">
        <v>1.83</v>
      </c>
      <c r="K1998" s="147">
        <v>1.6</v>
      </c>
      <c r="L1998" s="147">
        <v>1.626</v>
      </c>
      <c r="M1998" s="59" cm="1">
        <f t="array" ref="M1998">INDEX($BV$29:$BV$1449,MATCH($D1998,$BR$29:$BR$1449,0),)</f>
        <v>1.8</v>
      </c>
      <c r="N1998" s="150">
        <f t="shared" si="603"/>
        <v>0.00308451573103019</v>
      </c>
      <c r="O1998" s="150">
        <f t="shared" si="604"/>
        <v>0.00993788819875774</v>
      </c>
      <c r="P1998" s="150">
        <f t="shared" si="590"/>
        <v>0.0156152404747032</v>
      </c>
      <c r="Q1998" s="89">
        <f t="shared" si="593"/>
        <v>-0.0966666666666668</v>
      </c>
      <c r="S1998" s="82">
        <f t="shared" si="594"/>
        <v>45294</v>
      </c>
      <c r="T1998" s="83">
        <f t="shared" si="610"/>
        <v>0.2658125</v>
      </c>
      <c r="U1998" s="83">
        <f t="shared" si="610"/>
        <v>0.25625</v>
      </c>
      <c r="W1998" s="146">
        <v>45294</v>
      </c>
      <c r="X1998" s="147">
        <v>4.57</v>
      </c>
      <c r="Y1998" s="147">
        <v>3.81</v>
      </c>
      <c r="Z1998" s="147">
        <v>4.253</v>
      </c>
      <c r="AA1998" s="59" cm="1">
        <f t="array" ref="AA1998">INDEX($BX$29:$BX$1449,MATCH($D1998,$BR$29:$BR$1449,0),)</f>
        <v>4.1</v>
      </c>
      <c r="AB1998" s="150">
        <f t="shared" si="595"/>
        <v>0.000705882352941112</v>
      </c>
      <c r="AC1998" s="150">
        <f t="shared" si="597"/>
        <v>0.00567510049657138</v>
      </c>
      <c r="AD1998" s="150">
        <f t="shared" si="600"/>
        <v>0.00758114190950021</v>
      </c>
      <c r="AE1998" s="89">
        <f t="shared" si="596"/>
        <v>0.0373170731707317</v>
      </c>
      <c r="AF1998" s="36"/>
      <c r="GF1998" s="104">
        <f t="shared" si="606"/>
        <v>2020</v>
      </c>
      <c r="GG1998" s="104">
        <f t="shared" si="607"/>
        <v>47</v>
      </c>
      <c r="GH1998" s="35">
        <v>44153</v>
      </c>
      <c r="GI1998" s="26">
        <v>1.484</v>
      </c>
      <c r="GJ1998" s="94">
        <f t="shared" si="608"/>
        <v>2.968</v>
      </c>
      <c r="GK1998" s="104"/>
      <c r="GL1998" s="104"/>
    </row>
    <row r="1999" spans="3:194">
      <c r="C1999" s="80" t="str" cm="1">
        <f t="array" ref="C1999">_xlfn.IFS(MONTH(D1999)&lt;4,1,MONTH(D1999)&lt;7,2,MONTH(D1999)&lt;10,3,MONTH(D1999)&gt;9,4)&amp;"Q"&amp;RIGHT(YEAR(D1999),2)</f>
        <v>1Q24</v>
      </c>
      <c r="D1999" s="81">
        <f t="shared" si="599"/>
        <v>45322</v>
      </c>
      <c r="E1999" s="82">
        <f t="shared" si="592"/>
        <v>45295</v>
      </c>
      <c r="F1999" s="83">
        <f t="shared" si="611"/>
        <v>0.203875</v>
      </c>
      <c r="G1999" s="83">
        <f t="shared" si="611"/>
        <v>0.225</v>
      </c>
      <c r="H1999" s="81"/>
      <c r="I1999" s="146">
        <v>45295</v>
      </c>
      <c r="J1999" s="147">
        <v>1.83</v>
      </c>
      <c r="K1999" s="147">
        <v>1.6</v>
      </c>
      <c r="L1999" s="147">
        <v>1.631</v>
      </c>
      <c r="M1999" s="59" cm="1">
        <f t="array" ref="M1999">INDEX($BV$29:$BV$1449,MATCH($D1999,$BR$29:$BR$1449,0),)</f>
        <v>1.8</v>
      </c>
      <c r="N1999" s="150">
        <f t="shared" si="603"/>
        <v>0.00307503075030757</v>
      </c>
      <c r="O1999" s="150">
        <f t="shared" si="604"/>
        <v>0.0111593304401736</v>
      </c>
      <c r="P1999" s="150">
        <f t="shared" ref="P1999:P2062" si="612">L1999/L1989-1</f>
        <v>0.0187382885696439</v>
      </c>
      <c r="Q1999" s="89">
        <f t="shared" si="593"/>
        <v>-0.0938888888888889</v>
      </c>
      <c r="S1999" s="82">
        <f t="shared" si="594"/>
        <v>45295</v>
      </c>
      <c r="T1999" s="83">
        <f t="shared" si="610"/>
        <v>0.2658125</v>
      </c>
      <c r="U1999" s="83">
        <f t="shared" si="610"/>
        <v>0.25625</v>
      </c>
      <c r="W1999" s="146">
        <v>45295</v>
      </c>
      <c r="X1999" s="147">
        <v>4.57</v>
      </c>
      <c r="Y1999" s="147">
        <v>3.81</v>
      </c>
      <c r="Z1999" s="147">
        <v>4.253</v>
      </c>
      <c r="AA1999" s="59" cm="1">
        <f t="array" ref="AA1999">INDEX($BX$29:$BX$1449,MATCH($D1999,$BR$29:$BR$1449,0),)</f>
        <v>4.1</v>
      </c>
      <c r="AB1999" s="150">
        <f t="shared" si="595"/>
        <v>0</v>
      </c>
      <c r="AC1999" s="150">
        <f t="shared" si="597"/>
        <v>0.00306603773584913</v>
      </c>
      <c r="AD1999" s="150">
        <f t="shared" si="600"/>
        <v>0.00758114190950021</v>
      </c>
      <c r="AE1999" s="89">
        <f t="shared" si="596"/>
        <v>0.0373170731707317</v>
      </c>
      <c r="AF1999" s="36"/>
      <c r="GF1999" s="104">
        <f t="shared" si="606"/>
        <v>2020</v>
      </c>
      <c r="GG1999" s="104">
        <f t="shared" si="607"/>
        <v>47</v>
      </c>
      <c r="GH1999" s="35">
        <v>44154</v>
      </c>
      <c r="GI1999" s="26">
        <v>1.483</v>
      </c>
      <c r="GJ1999" s="94">
        <f t="shared" si="608"/>
        <v>2.966</v>
      </c>
      <c r="GK1999" s="104"/>
      <c r="GL1999" s="104"/>
    </row>
    <row r="2000" spans="3:194">
      <c r="C2000" s="80" t="str" cm="1">
        <f t="array" ref="C2000">_xlfn.IFS(MONTH(D2000)&lt;4,1,MONTH(D2000)&lt;7,2,MONTH(D2000)&lt;10,3,MONTH(D2000)&gt;9,4)&amp;"Q"&amp;RIGHT(YEAR(D2000),2)</f>
        <v>1Q24</v>
      </c>
      <c r="D2000" s="81">
        <f t="shared" si="599"/>
        <v>45322</v>
      </c>
      <c r="E2000" s="82">
        <f t="shared" si="592"/>
        <v>45296</v>
      </c>
      <c r="F2000" s="83">
        <f t="shared" si="611"/>
        <v>0.20575</v>
      </c>
      <c r="G2000" s="83">
        <f t="shared" si="611"/>
        <v>0.225</v>
      </c>
      <c r="H2000" s="81"/>
      <c r="I2000" s="146">
        <v>45296</v>
      </c>
      <c r="J2000" s="147">
        <v>1.83</v>
      </c>
      <c r="K2000" s="147">
        <v>1.6</v>
      </c>
      <c r="L2000" s="147">
        <v>1.646</v>
      </c>
      <c r="M2000" s="59" cm="1">
        <f t="array" ref="M2000">INDEX($BV$29:$BV$1449,MATCH($D2000,$BR$29:$BR$1449,0),)</f>
        <v>1.8</v>
      </c>
      <c r="N2000" s="150">
        <f t="shared" si="603"/>
        <v>0.009196811771919</v>
      </c>
      <c r="O2000" s="150">
        <f t="shared" si="604"/>
        <v>0.0204587724736516</v>
      </c>
      <c r="P2000" s="150">
        <f t="shared" si="612"/>
        <v>0.0268247036805989</v>
      </c>
      <c r="Q2000" s="89">
        <f t="shared" si="593"/>
        <v>-0.0855555555555556</v>
      </c>
      <c r="S2000" s="82">
        <f t="shared" si="594"/>
        <v>45296</v>
      </c>
      <c r="T2000" s="83">
        <f t="shared" ref="T2000:U2015" si="613">+Z2000/16</f>
        <v>0.26625</v>
      </c>
      <c r="U2000" s="83">
        <f t="shared" si="613"/>
        <v>0.25625</v>
      </c>
      <c r="W2000" s="146">
        <v>45296</v>
      </c>
      <c r="X2000" s="147">
        <v>4.6</v>
      </c>
      <c r="Y2000" s="147">
        <v>3.82</v>
      </c>
      <c r="Z2000" s="147">
        <v>4.26</v>
      </c>
      <c r="AA2000" s="59" cm="1">
        <f t="array" ref="AA2000">INDEX($BX$29:$BX$1449,MATCH($D2000,$BR$29:$BR$1449,0),)</f>
        <v>4.1</v>
      </c>
      <c r="AB2000" s="150">
        <f t="shared" si="595"/>
        <v>0.00164589701387241</v>
      </c>
      <c r="AC2000" s="150">
        <f t="shared" si="597"/>
        <v>0.00400659910440715</v>
      </c>
      <c r="AD2000" s="150">
        <f t="shared" si="600"/>
        <v>0.00923951670220324</v>
      </c>
      <c r="AE2000" s="89">
        <f t="shared" si="596"/>
        <v>0.0390243902439025</v>
      </c>
      <c r="AF2000" s="36"/>
      <c r="GF2000" s="104">
        <f t="shared" si="606"/>
        <v>2020</v>
      </c>
      <c r="GG2000" s="104">
        <f t="shared" si="607"/>
        <v>47</v>
      </c>
      <c r="GH2000" s="35">
        <v>44155</v>
      </c>
      <c r="GI2000" s="26">
        <v>1.48</v>
      </c>
      <c r="GJ2000" s="94">
        <f t="shared" si="608"/>
        <v>2.96</v>
      </c>
      <c r="GK2000" s="104"/>
      <c r="GL2000" s="104"/>
    </row>
    <row r="2001" spans="3:194">
      <c r="C2001" s="80" t="str" cm="1">
        <f t="array" ref="C2001">_xlfn.IFS(MONTH(D2001)&lt;4,1,MONTH(D2001)&lt;7,2,MONTH(D2001)&lt;10,3,MONTH(D2001)&gt;9,4)&amp;"Q"&amp;RIGHT(YEAR(D2001),2)</f>
        <v>1Q24</v>
      </c>
      <c r="D2001" s="81">
        <f t="shared" si="599"/>
        <v>45322</v>
      </c>
      <c r="E2001" s="82">
        <f t="shared" ref="E2001:E2064" si="614">I2001</f>
        <v>45299</v>
      </c>
      <c r="F2001" s="83">
        <f t="shared" si="611"/>
        <v>0.207125</v>
      </c>
      <c r="G2001" s="83">
        <f t="shared" si="611"/>
        <v>0.225</v>
      </c>
      <c r="H2001" s="81"/>
      <c r="I2001" s="146">
        <v>45299</v>
      </c>
      <c r="J2001" s="147">
        <v>1.87</v>
      </c>
      <c r="K2001" s="147">
        <v>1.62</v>
      </c>
      <c r="L2001" s="147">
        <v>1.657</v>
      </c>
      <c r="M2001" s="59" cm="1">
        <f t="array" ref="M2001">INDEX($BV$29:$BV$1449,MATCH($D2001,$BR$29:$BR$1449,0),)</f>
        <v>1.8</v>
      </c>
      <c r="N2001" s="150">
        <f t="shared" si="603"/>
        <v>0.00668286755771574</v>
      </c>
      <c r="O2001" s="150">
        <f t="shared" si="604"/>
        <v>0.0272783632982021</v>
      </c>
      <c r="P2001" s="150">
        <f t="shared" si="612"/>
        <v>0.0298321939092605</v>
      </c>
      <c r="Q2001" s="89">
        <f t="shared" ref="Q2001:Q2064" si="615">L2001/M2001-1</f>
        <v>-0.0794444444444444</v>
      </c>
      <c r="S2001" s="82">
        <f t="shared" si="594"/>
        <v>45299</v>
      </c>
      <c r="T2001" s="83">
        <f t="shared" si="613"/>
        <v>0.2675625</v>
      </c>
      <c r="U2001" s="83">
        <f t="shared" si="613"/>
        <v>0.25625</v>
      </c>
      <c r="W2001" s="146">
        <v>45299</v>
      </c>
      <c r="X2001" s="147">
        <v>4.6</v>
      </c>
      <c r="Y2001" s="147">
        <v>3.85</v>
      </c>
      <c r="Z2001" s="147">
        <v>4.281</v>
      </c>
      <c r="AA2001" s="59" cm="1">
        <f t="array" ref="AA2001">INDEX($BX$29:$BX$1449,MATCH($D2001,$BR$29:$BR$1449,0),)</f>
        <v>4.1</v>
      </c>
      <c r="AB2001" s="150">
        <f t="shared" si="595"/>
        <v>0.00492957746478861</v>
      </c>
      <c r="AC2001" s="150">
        <f t="shared" si="597"/>
        <v>0.00800565104779838</v>
      </c>
      <c r="AD2001" s="150">
        <f t="shared" si="600"/>
        <v>0.0132544378698225</v>
      </c>
      <c r="AE2001" s="89">
        <f t="shared" si="596"/>
        <v>0.0441463414634147</v>
      </c>
      <c r="AF2001" s="36"/>
      <c r="GF2001" s="104">
        <f t="shared" si="606"/>
        <v>2020</v>
      </c>
      <c r="GG2001" s="104">
        <f t="shared" si="607"/>
        <v>48</v>
      </c>
      <c r="GH2001" s="35">
        <v>44158</v>
      </c>
      <c r="GI2001" s="26">
        <v>1.483</v>
      </c>
      <c r="GJ2001" s="94">
        <f t="shared" si="608"/>
        <v>2.966</v>
      </c>
      <c r="GK2001" s="104"/>
      <c r="GL2001" s="104"/>
    </row>
    <row r="2002" spans="3:194">
      <c r="C2002" s="80" t="str" cm="1">
        <f t="array" ref="C2002">_xlfn.IFS(MONTH(D2002)&lt;4,1,MONTH(D2002)&lt;7,2,MONTH(D2002)&lt;10,3,MONTH(D2002)&gt;9,4)&amp;"Q"&amp;RIGHT(YEAR(D2002),2)</f>
        <v>1Q24</v>
      </c>
      <c r="D2002" s="81">
        <f t="shared" si="599"/>
        <v>45322</v>
      </c>
      <c r="E2002" s="82">
        <f t="shared" si="614"/>
        <v>45300</v>
      </c>
      <c r="F2002" s="83">
        <f t="shared" si="611"/>
        <v>0.208</v>
      </c>
      <c r="G2002" s="83">
        <f t="shared" si="611"/>
        <v>0.225</v>
      </c>
      <c r="H2002" s="81"/>
      <c r="I2002" s="146">
        <v>45300</v>
      </c>
      <c r="J2002" s="147">
        <v>1.88</v>
      </c>
      <c r="K2002" s="147">
        <v>1.63</v>
      </c>
      <c r="L2002" s="147">
        <v>1.664</v>
      </c>
      <c r="M2002" s="59" cm="1">
        <f t="array" ref="M2002">INDEX($BV$29:$BV$1449,MATCH($D2002,$BR$29:$BR$1449,0),)</f>
        <v>1.8</v>
      </c>
      <c r="N2002" s="150">
        <f t="shared" si="603"/>
        <v>0.00422450211225089</v>
      </c>
      <c r="O2002" s="150">
        <f t="shared" si="604"/>
        <v>0.02652683528686</v>
      </c>
      <c r="P2002" s="150">
        <f t="shared" si="612"/>
        <v>0.0335403726708075</v>
      </c>
      <c r="Q2002" s="89">
        <f t="shared" si="615"/>
        <v>-0.0755555555555556</v>
      </c>
      <c r="S2002" s="82">
        <f t="shared" si="594"/>
        <v>45300</v>
      </c>
      <c r="T2002" s="83">
        <f t="shared" si="613"/>
        <v>0.26775</v>
      </c>
      <c r="U2002" s="83">
        <f t="shared" si="613"/>
        <v>0.25625</v>
      </c>
      <c r="W2002" s="146">
        <v>45300</v>
      </c>
      <c r="X2002" s="147">
        <v>4.6</v>
      </c>
      <c r="Y2002" s="147">
        <v>3.85</v>
      </c>
      <c r="Z2002" s="147">
        <v>4.284</v>
      </c>
      <c r="AA2002" s="59" cm="1">
        <f t="array" ref="AA2002">INDEX($BX$29:$BX$1449,MATCH($D2002,$BR$29:$BR$1449,0),)</f>
        <v>4.1</v>
      </c>
      <c r="AB2002" s="150">
        <f t="shared" si="595"/>
        <v>0.000700770847932741</v>
      </c>
      <c r="AC2002" s="150">
        <f t="shared" si="597"/>
        <v>0.00800000000000001</v>
      </c>
      <c r="AD2002" s="150">
        <f t="shared" si="600"/>
        <v>0.0130054386379759</v>
      </c>
      <c r="AE2002" s="89">
        <f t="shared" si="596"/>
        <v>0.0448780487804878</v>
      </c>
      <c r="AF2002" s="36"/>
      <c r="GF2002" s="104">
        <f t="shared" si="606"/>
        <v>2020</v>
      </c>
      <c r="GG2002" s="104">
        <f t="shared" si="607"/>
        <v>48</v>
      </c>
      <c r="GH2002" s="35">
        <v>44159</v>
      </c>
      <c r="GI2002" s="26">
        <v>1.483</v>
      </c>
      <c r="GJ2002" s="94">
        <f t="shared" si="608"/>
        <v>2.966</v>
      </c>
      <c r="GK2002" s="104"/>
      <c r="GL2002" s="104"/>
    </row>
    <row r="2003" spans="3:194">
      <c r="C2003" s="80" t="str" cm="1">
        <f t="array" ref="C2003">_xlfn.IFS(MONTH(D2003)&lt;4,1,MONTH(D2003)&lt;7,2,MONTH(D2003)&lt;10,3,MONTH(D2003)&gt;9,4)&amp;"Q"&amp;RIGHT(YEAR(D2003),2)</f>
        <v>1Q24</v>
      </c>
      <c r="D2003" s="81">
        <f t="shared" si="599"/>
        <v>45322</v>
      </c>
      <c r="E2003" s="82">
        <f t="shared" si="614"/>
        <v>45301</v>
      </c>
      <c r="F2003" s="83">
        <f t="shared" si="611"/>
        <v>0.20975</v>
      </c>
      <c r="G2003" s="83">
        <f t="shared" si="611"/>
        <v>0.225</v>
      </c>
      <c r="H2003" s="81"/>
      <c r="I2003" s="146">
        <v>45301</v>
      </c>
      <c r="J2003" s="147">
        <v>1.88</v>
      </c>
      <c r="K2003" s="147">
        <v>1.63</v>
      </c>
      <c r="L2003" s="147">
        <v>1.678</v>
      </c>
      <c r="M2003" s="59" cm="1">
        <f t="array" ref="M2003">INDEX($BV$29:$BV$1449,MATCH($D2003,$BR$29:$BR$1449,0),)</f>
        <v>1.8</v>
      </c>
      <c r="N2003" s="150">
        <f t="shared" si="603"/>
        <v>0.00841346153846145</v>
      </c>
      <c r="O2003" s="150">
        <f t="shared" si="604"/>
        <v>0.031980319803198</v>
      </c>
      <c r="P2003" s="150">
        <f t="shared" si="612"/>
        <v>0.0422360248447204</v>
      </c>
      <c r="Q2003" s="89">
        <f t="shared" si="615"/>
        <v>-0.0677777777777778</v>
      </c>
      <c r="S2003" s="82">
        <f t="shared" si="594"/>
        <v>45301</v>
      </c>
      <c r="T2003" s="83">
        <f t="shared" si="613"/>
        <v>0.268</v>
      </c>
      <c r="U2003" s="83">
        <f t="shared" si="613"/>
        <v>0.25625</v>
      </c>
      <c r="W2003" s="146">
        <v>45301</v>
      </c>
      <c r="X2003" s="147">
        <v>4.6</v>
      </c>
      <c r="Y2003" s="147">
        <v>3.85</v>
      </c>
      <c r="Z2003" s="147">
        <v>4.288</v>
      </c>
      <c r="AA2003" s="59" cm="1">
        <f t="array" ref="AA2003">INDEX($BX$29:$BX$1449,MATCH($D2003,$BR$29:$BR$1449,0),)</f>
        <v>4.1</v>
      </c>
      <c r="AB2003" s="150">
        <f t="shared" si="595"/>
        <v>0.000933706816059754</v>
      </c>
      <c r="AC2003" s="150">
        <f t="shared" si="597"/>
        <v>0.00822948506936294</v>
      </c>
      <c r="AD2003" s="150">
        <f t="shared" si="600"/>
        <v>0.0139512887207378</v>
      </c>
      <c r="AE2003" s="89">
        <f t="shared" si="596"/>
        <v>0.0458536585365856</v>
      </c>
      <c r="AF2003" s="36"/>
      <c r="GF2003" s="104">
        <f t="shared" si="606"/>
        <v>2020</v>
      </c>
      <c r="GG2003" s="104">
        <f t="shared" si="607"/>
        <v>48</v>
      </c>
      <c r="GH2003" s="35">
        <v>44160</v>
      </c>
      <c r="GI2003" s="26">
        <v>1.481</v>
      </c>
      <c r="GJ2003" s="94">
        <f t="shared" si="608"/>
        <v>2.962</v>
      </c>
      <c r="GK2003" s="104"/>
      <c r="GL2003" s="104"/>
    </row>
    <row r="2004" spans="3:194">
      <c r="C2004" s="80" t="str" cm="1">
        <f t="array" ref="C2004">_xlfn.IFS(MONTH(D2004)&lt;4,1,MONTH(D2004)&lt;7,2,MONTH(D2004)&lt;10,3,MONTH(D2004)&gt;9,4)&amp;"Q"&amp;RIGHT(YEAR(D2004),2)</f>
        <v>1Q24</v>
      </c>
      <c r="D2004" s="81">
        <f t="shared" si="599"/>
        <v>45322</v>
      </c>
      <c r="E2004" s="82">
        <f t="shared" si="614"/>
        <v>45302</v>
      </c>
      <c r="F2004" s="83">
        <f t="shared" si="611"/>
        <v>0.210375</v>
      </c>
      <c r="G2004" s="83">
        <f t="shared" si="611"/>
        <v>0.225</v>
      </c>
      <c r="H2004" s="81"/>
      <c r="I2004" s="146">
        <v>45302</v>
      </c>
      <c r="J2004" s="147">
        <v>1.88</v>
      </c>
      <c r="K2004" s="147">
        <v>1.63</v>
      </c>
      <c r="L2004" s="147">
        <v>1.683</v>
      </c>
      <c r="M2004" s="59" cm="1">
        <f t="array" ref="M2004">INDEX($BV$29:$BV$1449,MATCH($D2004,$BR$29:$BR$1449,0),)</f>
        <v>1.8</v>
      </c>
      <c r="N2004" s="150">
        <f t="shared" si="603"/>
        <v>0.00297973778307514</v>
      </c>
      <c r="O2004" s="150">
        <f t="shared" si="604"/>
        <v>0.0318822808093195</v>
      </c>
      <c r="P2004" s="150">
        <f t="shared" si="612"/>
        <v>0.0433973961562306</v>
      </c>
      <c r="Q2004" s="89">
        <f t="shared" si="615"/>
        <v>-0.0649999999999999</v>
      </c>
      <c r="S2004" s="82">
        <f t="shared" ref="S2004:S2067" si="616">W2004</f>
        <v>45302</v>
      </c>
      <c r="T2004" s="83">
        <f t="shared" si="613"/>
        <v>0.268</v>
      </c>
      <c r="U2004" s="83">
        <f t="shared" si="613"/>
        <v>0.25625</v>
      </c>
      <c r="W2004" s="146">
        <v>45302</v>
      </c>
      <c r="X2004" s="147">
        <v>4.6</v>
      </c>
      <c r="Y2004" s="147">
        <v>3.85</v>
      </c>
      <c r="Z2004" s="147">
        <v>4.288</v>
      </c>
      <c r="AA2004" s="59" cm="1">
        <f t="array" ref="AA2004">INDEX($BX$29:$BX$1449,MATCH($D2004,$BR$29:$BR$1449,0),)</f>
        <v>4.1</v>
      </c>
      <c r="AB2004" s="150">
        <f t="shared" si="595"/>
        <v>0</v>
      </c>
      <c r="AC2004" s="150">
        <f t="shared" si="597"/>
        <v>0.00822948506936294</v>
      </c>
      <c r="AD2004" s="150">
        <f t="shared" si="600"/>
        <v>0.0113207547169811</v>
      </c>
      <c r="AE2004" s="89">
        <f t="shared" si="596"/>
        <v>0.0458536585365856</v>
      </c>
      <c r="AF2004" s="36"/>
      <c r="GF2004" s="104">
        <f t="shared" si="606"/>
        <v>2020</v>
      </c>
      <c r="GG2004" s="104">
        <f t="shared" si="607"/>
        <v>48</v>
      </c>
      <c r="GH2004" s="35">
        <v>44161</v>
      </c>
      <c r="GI2004" s="26">
        <v>1.478</v>
      </c>
      <c r="GJ2004" s="94">
        <f t="shared" si="608"/>
        <v>2.956</v>
      </c>
      <c r="GK2004" s="104"/>
      <c r="GL2004" s="104"/>
    </row>
    <row r="2005" spans="3:194">
      <c r="C2005" s="80" t="str" cm="1">
        <f t="array" ref="C2005">_xlfn.IFS(MONTH(D2005)&lt;4,1,MONTH(D2005)&lt;7,2,MONTH(D2005)&lt;10,3,MONTH(D2005)&gt;9,4)&amp;"Q"&amp;RIGHT(YEAR(D2005),2)</f>
        <v>1Q24</v>
      </c>
      <c r="D2005" s="81">
        <f t="shared" si="599"/>
        <v>45322</v>
      </c>
      <c r="E2005" s="82">
        <f t="shared" si="614"/>
        <v>45303</v>
      </c>
      <c r="F2005" s="83">
        <f t="shared" si="611"/>
        <v>0.210625</v>
      </c>
      <c r="G2005" s="83">
        <f t="shared" si="611"/>
        <v>0.225</v>
      </c>
      <c r="H2005" s="81"/>
      <c r="I2005" s="146">
        <v>45303</v>
      </c>
      <c r="J2005" s="147">
        <v>1.88</v>
      </c>
      <c r="K2005" s="147">
        <v>1.63</v>
      </c>
      <c r="L2005" s="147">
        <v>1.685</v>
      </c>
      <c r="M2005" s="59" cm="1">
        <f t="array" ref="M2005">INDEX($BV$29:$BV$1449,MATCH($D2005,$BR$29:$BR$1449,0),)</f>
        <v>1.8</v>
      </c>
      <c r="N2005" s="150">
        <f t="shared" si="603"/>
        <v>0.00118835412953056</v>
      </c>
      <c r="O2005" s="150">
        <f t="shared" si="604"/>
        <v>0.0236938031591738</v>
      </c>
      <c r="P2005" s="150">
        <f t="shared" si="612"/>
        <v>0.0446373217606943</v>
      </c>
      <c r="Q2005" s="89">
        <f t="shared" si="615"/>
        <v>-0.0638888888888889</v>
      </c>
      <c r="S2005" s="82">
        <f t="shared" si="616"/>
        <v>45303</v>
      </c>
      <c r="T2005" s="83">
        <f t="shared" si="613"/>
        <v>0.2681875</v>
      </c>
      <c r="U2005" s="83">
        <f t="shared" si="613"/>
        <v>0.25625</v>
      </c>
      <c r="W2005" s="146">
        <v>45303</v>
      </c>
      <c r="X2005" s="147">
        <v>4.6</v>
      </c>
      <c r="Y2005" s="147">
        <v>3.85</v>
      </c>
      <c r="Z2005" s="147">
        <v>4.291</v>
      </c>
      <c r="AA2005" s="59" cm="1">
        <f t="array" ref="AA2005">INDEX($BX$29:$BX$1449,MATCH($D2005,$BR$29:$BR$1449,0),)</f>
        <v>4.1</v>
      </c>
      <c r="AB2005" s="150">
        <f t="shared" ref="AB2005:AB2068" si="617">Z2005/Z2004-1</f>
        <v>0.000699626865671599</v>
      </c>
      <c r="AC2005" s="150">
        <f t="shared" si="597"/>
        <v>0.00727699530516435</v>
      </c>
      <c r="AD2005" s="150">
        <f t="shared" si="600"/>
        <v>0.011312750412444</v>
      </c>
      <c r="AE2005" s="89">
        <f t="shared" si="596"/>
        <v>0.0465853658536588</v>
      </c>
      <c r="AF2005" s="36"/>
      <c r="GF2005" s="104">
        <f t="shared" si="606"/>
        <v>2020</v>
      </c>
      <c r="GG2005" s="104">
        <f t="shared" si="607"/>
        <v>48</v>
      </c>
      <c r="GH2005" s="35">
        <v>44162</v>
      </c>
      <c r="GI2005" s="26">
        <v>1.48</v>
      </c>
      <c r="GJ2005" s="94">
        <f t="shared" si="608"/>
        <v>2.96</v>
      </c>
      <c r="GK2005" s="104"/>
      <c r="GL2005" s="104"/>
    </row>
    <row r="2006" spans="3:194">
      <c r="C2006" s="80" t="str" cm="1">
        <f t="array" ref="C2006">_xlfn.IFS(MONTH(D2006)&lt;4,1,MONTH(D2006)&lt;7,2,MONTH(D2006)&lt;10,3,MONTH(D2006)&gt;9,4)&amp;"Q"&amp;RIGHT(YEAR(D2006),2)</f>
        <v>1Q24</v>
      </c>
      <c r="D2006" s="81">
        <f t="shared" si="599"/>
        <v>45322</v>
      </c>
      <c r="E2006" s="82">
        <f t="shared" si="614"/>
        <v>45306</v>
      </c>
      <c r="F2006" s="83">
        <f t="shared" si="611"/>
        <v>0.210625</v>
      </c>
      <c r="G2006" s="83">
        <f t="shared" si="611"/>
        <v>0.225</v>
      </c>
      <c r="H2006" s="81"/>
      <c r="I2006" s="146">
        <v>45306</v>
      </c>
      <c r="J2006" s="147">
        <v>1.87</v>
      </c>
      <c r="K2006" s="147">
        <v>1.63</v>
      </c>
      <c r="L2006" s="147">
        <v>1.685</v>
      </c>
      <c r="M2006" s="59" cm="1">
        <f t="array" ref="M2006">INDEX($BV$29:$BV$1449,MATCH($D2006,$BR$29:$BR$1449,0),)</f>
        <v>1.8</v>
      </c>
      <c r="N2006" s="150">
        <f t="shared" si="603"/>
        <v>0</v>
      </c>
      <c r="O2006" s="150">
        <f t="shared" si="604"/>
        <v>0.0168980084490042</v>
      </c>
      <c r="P2006" s="150">
        <f t="shared" si="612"/>
        <v>0.0446373217606943</v>
      </c>
      <c r="Q2006" s="89">
        <f t="shared" si="615"/>
        <v>-0.0638888888888889</v>
      </c>
      <c r="S2006" s="82">
        <f t="shared" si="616"/>
        <v>45306</v>
      </c>
      <c r="T2006" s="83">
        <f t="shared" si="613"/>
        <v>0.2681875</v>
      </c>
      <c r="U2006" s="83">
        <f t="shared" si="613"/>
        <v>0.25625</v>
      </c>
      <c r="W2006" s="146">
        <v>45306</v>
      </c>
      <c r="X2006" s="147">
        <v>4.58</v>
      </c>
      <c r="Y2006" s="147">
        <v>3.84</v>
      </c>
      <c r="Z2006" s="147">
        <v>4.291</v>
      </c>
      <c r="AA2006" s="59" cm="1">
        <f t="array" ref="AA2006">INDEX($BX$29:$BX$1449,MATCH($D2006,$BR$29:$BR$1449,0),)</f>
        <v>4.1</v>
      </c>
      <c r="AB2006" s="150">
        <f t="shared" si="617"/>
        <v>0</v>
      </c>
      <c r="AC2006" s="150">
        <f t="shared" si="597"/>
        <v>0.00233590282644247</v>
      </c>
      <c r="AD2006" s="150">
        <f t="shared" si="600"/>
        <v>0.010360254297151</v>
      </c>
      <c r="AE2006" s="89">
        <f t="shared" ref="AE2006:AE2069" si="618">Z2006/AA2006-1</f>
        <v>0.0465853658536588</v>
      </c>
      <c r="AF2006" s="36"/>
      <c r="GF2006" s="104">
        <f t="shared" si="606"/>
        <v>2020</v>
      </c>
      <c r="GG2006" s="104">
        <f t="shared" si="607"/>
        <v>49</v>
      </c>
      <c r="GH2006" s="35">
        <v>44165</v>
      </c>
      <c r="GI2006" s="26">
        <v>1.49</v>
      </c>
      <c r="GJ2006" s="94">
        <f t="shared" si="608"/>
        <v>2.98</v>
      </c>
      <c r="GK2006" s="104"/>
      <c r="GL2006" s="104"/>
    </row>
    <row r="2007" spans="3:194">
      <c r="C2007" s="80" t="str" cm="1">
        <f t="array" ref="C2007">_xlfn.IFS(MONTH(D2007)&lt;4,1,MONTH(D2007)&lt;7,2,MONTH(D2007)&lt;10,3,MONTH(D2007)&gt;9,4)&amp;"Q"&amp;RIGHT(YEAR(D2007),2)</f>
        <v>1Q24</v>
      </c>
      <c r="D2007" s="81">
        <f t="shared" si="599"/>
        <v>45322</v>
      </c>
      <c r="E2007" s="82">
        <f t="shared" si="614"/>
        <v>45307</v>
      </c>
      <c r="F2007" s="83">
        <f t="shared" si="611"/>
        <v>0.2135</v>
      </c>
      <c r="G2007" s="83">
        <f t="shared" si="611"/>
        <v>0.225</v>
      </c>
      <c r="H2007" s="81"/>
      <c r="I2007" s="146">
        <v>45307</v>
      </c>
      <c r="J2007" s="147">
        <v>1.95</v>
      </c>
      <c r="K2007" s="147">
        <v>1.63</v>
      </c>
      <c r="L2007" s="147">
        <v>1.708</v>
      </c>
      <c r="M2007" s="59" cm="1">
        <f t="array" ref="M2007">INDEX($BV$29:$BV$1449,MATCH($D2007,$BR$29:$BR$1449,0),)</f>
        <v>1.8</v>
      </c>
      <c r="N2007" s="150">
        <f t="shared" si="603"/>
        <v>0.0136498516320473</v>
      </c>
      <c r="O2007" s="150">
        <f t="shared" si="604"/>
        <v>0.0264423076923077</v>
      </c>
      <c r="P2007" s="150">
        <f t="shared" si="612"/>
        <v>0.0536705737199259</v>
      </c>
      <c r="Q2007" s="89">
        <f t="shared" si="615"/>
        <v>-0.0511111111111111</v>
      </c>
      <c r="S2007" s="82">
        <f t="shared" si="616"/>
        <v>45307</v>
      </c>
      <c r="T2007" s="83">
        <f t="shared" si="613"/>
        <v>0.2690625</v>
      </c>
      <c r="U2007" s="83">
        <f t="shared" si="613"/>
        <v>0.25625</v>
      </c>
      <c r="W2007" s="146">
        <v>45307</v>
      </c>
      <c r="X2007" s="147">
        <v>4.58</v>
      </c>
      <c r="Y2007" s="147">
        <v>3.84</v>
      </c>
      <c r="Z2007" s="147">
        <v>4.305</v>
      </c>
      <c r="AA2007" s="59" cm="1">
        <f t="array" ref="AA2007">INDEX($BX$29:$BX$1449,MATCH($D2007,$BR$29:$BR$1449,0),)</f>
        <v>4.1</v>
      </c>
      <c r="AB2007" s="150">
        <f t="shared" si="617"/>
        <v>0.00326264274061971</v>
      </c>
      <c r="AC2007" s="150">
        <f t="shared" si="597"/>
        <v>0.00490196078431371</v>
      </c>
      <c r="AD2007" s="150">
        <f t="shared" si="600"/>
        <v>0.0129411764705882</v>
      </c>
      <c r="AE2007" s="89">
        <f t="shared" si="618"/>
        <v>0.05</v>
      </c>
      <c r="AF2007" s="36"/>
      <c r="GF2007" s="104">
        <f t="shared" si="606"/>
        <v>2020</v>
      </c>
      <c r="GG2007" s="104">
        <f t="shared" si="607"/>
        <v>49</v>
      </c>
      <c r="GH2007" s="35">
        <v>44166</v>
      </c>
      <c r="GI2007" s="26">
        <v>1.506</v>
      </c>
      <c r="GJ2007" s="94">
        <f t="shared" si="608"/>
        <v>3.012</v>
      </c>
      <c r="GK2007" s="104"/>
      <c r="GL2007" s="104"/>
    </row>
    <row r="2008" spans="3:194">
      <c r="C2008" s="80" t="str" cm="1">
        <f t="array" ref="C2008">_xlfn.IFS(MONTH(D2008)&lt;4,1,MONTH(D2008)&lt;7,2,MONTH(D2008)&lt;10,3,MONTH(D2008)&gt;9,4)&amp;"Q"&amp;RIGHT(YEAR(D2008),2)</f>
        <v>1Q24</v>
      </c>
      <c r="D2008" s="81">
        <f t="shared" si="599"/>
        <v>45322</v>
      </c>
      <c r="E2008" s="82">
        <f t="shared" si="614"/>
        <v>45308</v>
      </c>
      <c r="F2008" s="83">
        <f t="shared" si="611"/>
        <v>0.217375</v>
      </c>
      <c r="G2008" s="83">
        <f t="shared" si="611"/>
        <v>0.225</v>
      </c>
      <c r="H2008" s="81"/>
      <c r="I2008" s="146">
        <v>45308</v>
      </c>
      <c r="J2008" s="147">
        <v>2</v>
      </c>
      <c r="K2008" s="147">
        <v>1.67</v>
      </c>
      <c r="L2008" s="147">
        <v>1.739</v>
      </c>
      <c r="M2008" s="59" cm="1">
        <f t="array" ref="M2008">INDEX($BV$29:$BV$1449,MATCH($D2008,$BR$29:$BR$1449,0),)</f>
        <v>1.8</v>
      </c>
      <c r="N2008" s="150">
        <f t="shared" si="603"/>
        <v>0.0181498829039815</v>
      </c>
      <c r="O2008" s="150">
        <f t="shared" si="604"/>
        <v>0.0363528009535161</v>
      </c>
      <c r="P2008" s="150">
        <f t="shared" si="612"/>
        <v>0.0694956949569496</v>
      </c>
      <c r="Q2008" s="89">
        <f t="shared" si="615"/>
        <v>-0.0338888888888889</v>
      </c>
      <c r="S2008" s="82">
        <f t="shared" si="616"/>
        <v>45308</v>
      </c>
      <c r="T2008" s="83">
        <f t="shared" si="613"/>
        <v>0.27275</v>
      </c>
      <c r="U2008" s="83">
        <f t="shared" si="613"/>
        <v>0.25625</v>
      </c>
      <c r="W2008" s="146">
        <v>45308</v>
      </c>
      <c r="X2008" s="147">
        <v>4.65</v>
      </c>
      <c r="Y2008" s="147">
        <v>3.95</v>
      </c>
      <c r="Z2008" s="147">
        <v>4.364</v>
      </c>
      <c r="AA2008" s="59" cm="1">
        <f t="array" ref="AA2008">INDEX($BX$29:$BX$1449,MATCH($D2008,$BR$29:$BR$1449,0),)</f>
        <v>4.1</v>
      </c>
      <c r="AB2008" s="150">
        <f t="shared" si="617"/>
        <v>0.0137049941927991</v>
      </c>
      <c r="AC2008" s="150">
        <f t="shared" si="597"/>
        <v>0.0177238805970148</v>
      </c>
      <c r="AD2008" s="150">
        <f t="shared" si="600"/>
        <v>0.0260992240771221</v>
      </c>
      <c r="AE2008" s="89">
        <f t="shared" si="618"/>
        <v>0.0643902439024391</v>
      </c>
      <c r="AF2008" s="36"/>
      <c r="GF2008" s="104">
        <f t="shared" si="606"/>
        <v>2020</v>
      </c>
      <c r="GG2008" s="104">
        <f t="shared" si="607"/>
        <v>49</v>
      </c>
      <c r="GH2008" s="35">
        <v>44167</v>
      </c>
      <c r="GI2008" s="26">
        <v>1.519</v>
      </c>
      <c r="GJ2008" s="94">
        <f t="shared" si="608"/>
        <v>3.038</v>
      </c>
      <c r="GK2008" s="104"/>
      <c r="GL2008" s="104"/>
    </row>
    <row r="2009" spans="3:194">
      <c r="C2009" s="80" t="str" cm="1">
        <f t="array" ref="C2009">_xlfn.IFS(MONTH(D2009)&lt;4,1,MONTH(D2009)&lt;7,2,MONTH(D2009)&lt;10,3,MONTH(D2009)&gt;9,4)&amp;"Q"&amp;RIGHT(YEAR(D2009),2)</f>
        <v>1Q24</v>
      </c>
      <c r="D2009" s="81">
        <f t="shared" si="599"/>
        <v>45322</v>
      </c>
      <c r="E2009" s="82">
        <f t="shared" si="614"/>
        <v>45309</v>
      </c>
      <c r="F2009" s="83">
        <f t="shared" si="611"/>
        <v>0.2195</v>
      </c>
      <c r="G2009" s="83">
        <f t="shared" si="611"/>
        <v>0.225</v>
      </c>
      <c r="H2009" s="81"/>
      <c r="I2009" s="146">
        <v>45309</v>
      </c>
      <c r="J2009" s="147">
        <v>2.05</v>
      </c>
      <c r="K2009" s="147">
        <v>1.67</v>
      </c>
      <c r="L2009" s="147">
        <v>1.756</v>
      </c>
      <c r="M2009" s="59" cm="1">
        <f t="array" ref="M2009">INDEX($BV$29:$BV$1449,MATCH($D2009,$BR$29:$BR$1449,0),)</f>
        <v>1.8</v>
      </c>
      <c r="N2009" s="150">
        <f t="shared" si="603"/>
        <v>0.00977573317998837</v>
      </c>
      <c r="O2009" s="150">
        <f t="shared" si="604"/>
        <v>0.0433749257278668</v>
      </c>
      <c r="P2009" s="150">
        <f t="shared" si="612"/>
        <v>0.0766400980993256</v>
      </c>
      <c r="Q2009" s="89">
        <f t="shared" si="615"/>
        <v>-0.0244444444444445</v>
      </c>
      <c r="S2009" s="82">
        <f t="shared" si="616"/>
        <v>45309</v>
      </c>
      <c r="T2009" s="83">
        <f t="shared" si="613"/>
        <v>0.275</v>
      </c>
      <c r="U2009" s="83">
        <f t="shared" si="613"/>
        <v>0.25625</v>
      </c>
      <c r="W2009" s="146">
        <v>45309</v>
      </c>
      <c r="X2009" s="147">
        <v>4.7</v>
      </c>
      <c r="Y2009" s="147">
        <v>3.95</v>
      </c>
      <c r="Z2009" s="147">
        <v>4.4</v>
      </c>
      <c r="AA2009" s="59" cm="1">
        <f t="array" ref="AA2009">INDEX($BX$29:$BX$1449,MATCH($D2009,$BR$29:$BR$1449,0),)</f>
        <v>4.1</v>
      </c>
      <c r="AB2009" s="150">
        <f t="shared" si="617"/>
        <v>0.00824931255728689</v>
      </c>
      <c r="AC2009" s="150">
        <f t="shared" ref="AC2009:AC2072" si="619">Z2009/Z2004-1</f>
        <v>0.0261194029850746</v>
      </c>
      <c r="AD2009" s="150">
        <f t="shared" si="600"/>
        <v>0.0345638372913237</v>
      </c>
      <c r="AE2009" s="89">
        <f t="shared" si="618"/>
        <v>0.0731707317073174</v>
      </c>
      <c r="AF2009" s="36"/>
      <c r="GF2009" s="104">
        <f t="shared" si="606"/>
        <v>2020</v>
      </c>
      <c r="GG2009" s="104">
        <f t="shared" si="607"/>
        <v>49</v>
      </c>
      <c r="GH2009" s="35">
        <v>44168</v>
      </c>
      <c r="GI2009" s="26">
        <v>1.539</v>
      </c>
      <c r="GJ2009" s="94">
        <f t="shared" si="608"/>
        <v>3.078</v>
      </c>
      <c r="GK2009" s="104"/>
      <c r="GL2009" s="104"/>
    </row>
    <row r="2010" spans="3:194">
      <c r="C2010" s="80" t="str" cm="1">
        <f t="array" ref="C2010">_xlfn.IFS(MONTH(D2010)&lt;4,1,MONTH(D2010)&lt;7,2,MONTH(D2010)&lt;10,3,MONTH(D2010)&gt;9,4)&amp;"Q"&amp;RIGHT(YEAR(D2010),2)</f>
        <v>1Q24</v>
      </c>
      <c r="D2010" s="81">
        <f t="shared" si="599"/>
        <v>45322</v>
      </c>
      <c r="E2010" s="82">
        <f t="shared" si="614"/>
        <v>45310</v>
      </c>
      <c r="F2010" s="83">
        <f t="shared" ref="F2010:G2025" si="620">+L2010/8</f>
        <v>0.222625</v>
      </c>
      <c r="G2010" s="83">
        <f t="shared" si="620"/>
        <v>0.225</v>
      </c>
      <c r="H2010" s="81"/>
      <c r="I2010" s="146">
        <v>45310</v>
      </c>
      <c r="J2010" s="147">
        <v>2.05</v>
      </c>
      <c r="K2010" s="147">
        <v>1.67</v>
      </c>
      <c r="L2010" s="147">
        <v>1.781</v>
      </c>
      <c r="M2010" s="59" cm="1">
        <f t="array" ref="M2010">INDEX($BV$29:$BV$1449,MATCH($D2010,$BR$29:$BR$1449,0),)</f>
        <v>1.8</v>
      </c>
      <c r="N2010" s="150">
        <f t="shared" si="603"/>
        <v>0.0142369020501139</v>
      </c>
      <c r="O2010" s="150">
        <f t="shared" si="604"/>
        <v>0.0569732937685459</v>
      </c>
      <c r="P2010" s="150">
        <f t="shared" si="612"/>
        <v>0.0820170109356015</v>
      </c>
      <c r="Q2010" s="89">
        <f t="shared" si="615"/>
        <v>-0.0105555555555557</v>
      </c>
      <c r="S2010" s="82">
        <f t="shared" si="616"/>
        <v>45310</v>
      </c>
      <c r="T2010" s="83">
        <f t="shared" si="613"/>
        <v>0.2770625</v>
      </c>
      <c r="U2010" s="83">
        <f t="shared" si="613"/>
        <v>0.25625</v>
      </c>
      <c r="W2010" s="146">
        <v>45310</v>
      </c>
      <c r="X2010" s="147">
        <v>4.75</v>
      </c>
      <c r="Y2010" s="147">
        <v>3.95</v>
      </c>
      <c r="Z2010" s="147">
        <v>4.433</v>
      </c>
      <c r="AA2010" s="59" cm="1">
        <f t="array" ref="AA2010">INDEX($BX$29:$BX$1449,MATCH($D2010,$BR$29:$BR$1449,0),)</f>
        <v>4.1</v>
      </c>
      <c r="AB2010" s="150">
        <f t="shared" si="617"/>
        <v>0.00749999999999984</v>
      </c>
      <c r="AC2010" s="150">
        <f t="shared" si="619"/>
        <v>0.0330925192262874</v>
      </c>
      <c r="AD2010" s="150">
        <f t="shared" si="600"/>
        <v>0.0406103286384976</v>
      </c>
      <c r="AE2010" s="89">
        <f t="shared" si="618"/>
        <v>0.081219512195122</v>
      </c>
      <c r="AF2010" s="36"/>
      <c r="GF2010" s="104">
        <f t="shared" si="606"/>
        <v>2020</v>
      </c>
      <c r="GG2010" s="104">
        <f t="shared" si="607"/>
        <v>49</v>
      </c>
      <c r="GH2010" s="35">
        <v>44169</v>
      </c>
      <c r="GI2010" s="26">
        <v>1.654</v>
      </c>
      <c r="GJ2010" s="94">
        <f t="shared" si="608"/>
        <v>3.308</v>
      </c>
      <c r="GK2010" s="104"/>
      <c r="GL2010" s="104"/>
    </row>
    <row r="2011" spans="3:194">
      <c r="C2011" s="80" t="str" cm="1">
        <f t="array" ref="C2011">_xlfn.IFS(MONTH(D2011)&lt;4,1,MONTH(D2011)&lt;7,2,MONTH(D2011)&lt;10,3,MONTH(D2011)&gt;9,4)&amp;"Q"&amp;RIGHT(YEAR(D2011),2)</f>
        <v>1Q24</v>
      </c>
      <c r="D2011" s="81">
        <f t="shared" si="599"/>
        <v>45322</v>
      </c>
      <c r="E2011" s="82">
        <f t="shared" si="614"/>
        <v>45313</v>
      </c>
      <c r="F2011" s="83">
        <f t="shared" si="620"/>
        <v>0.22325</v>
      </c>
      <c r="G2011" s="83">
        <f t="shared" si="620"/>
        <v>0.225</v>
      </c>
      <c r="H2011" s="81"/>
      <c r="I2011" s="146">
        <v>45313</v>
      </c>
      <c r="J2011" s="147">
        <v>2.05</v>
      </c>
      <c r="K2011" s="147">
        <v>1.68</v>
      </c>
      <c r="L2011" s="147">
        <v>1.786</v>
      </c>
      <c r="M2011" s="59" cm="1">
        <f t="array" ref="M2011">INDEX($BV$29:$BV$1449,MATCH($D2011,$BR$29:$BR$1449,0),)</f>
        <v>1.8</v>
      </c>
      <c r="N2011" s="150">
        <f t="shared" si="603"/>
        <v>0.00280741156653574</v>
      </c>
      <c r="O2011" s="150">
        <f t="shared" si="604"/>
        <v>0.0599406528189912</v>
      </c>
      <c r="P2011" s="150">
        <f t="shared" si="612"/>
        <v>0.0778515389257695</v>
      </c>
      <c r="Q2011" s="89">
        <f t="shared" si="615"/>
        <v>-0.00777777777777777</v>
      </c>
      <c r="S2011" s="82">
        <f t="shared" si="616"/>
        <v>45313</v>
      </c>
      <c r="T2011" s="83">
        <f t="shared" si="613"/>
        <v>0.278125</v>
      </c>
      <c r="U2011" s="83">
        <f t="shared" si="613"/>
        <v>0.25625</v>
      </c>
      <c r="W2011" s="146">
        <v>45313</v>
      </c>
      <c r="X2011" s="147">
        <v>4.85</v>
      </c>
      <c r="Y2011" s="147">
        <v>3.92</v>
      </c>
      <c r="Z2011" s="147">
        <v>4.45</v>
      </c>
      <c r="AA2011" s="59" cm="1">
        <f t="array" ref="AA2011">INDEX($BX$29:$BX$1449,MATCH($D2011,$BR$29:$BR$1449,0),)</f>
        <v>4.1</v>
      </c>
      <c r="AB2011" s="150">
        <f t="shared" si="617"/>
        <v>0.00383487480261691</v>
      </c>
      <c r="AC2011" s="150">
        <f t="shared" si="619"/>
        <v>0.0370542996970402</v>
      </c>
      <c r="AD2011" s="150">
        <f t="shared" si="600"/>
        <v>0.0394767577668771</v>
      </c>
      <c r="AE2011" s="89">
        <f t="shared" si="618"/>
        <v>0.0853658536585367</v>
      </c>
      <c r="AF2011" s="36"/>
      <c r="GF2011" s="104">
        <f t="shared" si="606"/>
        <v>2020</v>
      </c>
      <c r="GG2011" s="104">
        <f t="shared" si="607"/>
        <v>50</v>
      </c>
      <c r="GH2011" s="35">
        <v>44172</v>
      </c>
      <c r="GI2011" s="26">
        <v>1.664</v>
      </c>
      <c r="GJ2011" s="94">
        <f t="shared" si="608"/>
        <v>3.328</v>
      </c>
      <c r="GK2011" s="104"/>
      <c r="GL2011" s="104"/>
    </row>
    <row r="2012" spans="3:194">
      <c r="C2012" s="80" t="str" cm="1">
        <f t="array" ref="C2012">_xlfn.IFS(MONTH(D2012)&lt;4,1,MONTH(D2012)&lt;7,2,MONTH(D2012)&lt;10,3,MONTH(D2012)&gt;9,4)&amp;"Q"&amp;RIGHT(YEAR(D2012),2)</f>
        <v>1Q24</v>
      </c>
      <c r="D2012" s="81">
        <f t="shared" si="599"/>
        <v>45322</v>
      </c>
      <c r="E2012" s="82">
        <f t="shared" si="614"/>
        <v>45314</v>
      </c>
      <c r="F2012" s="83">
        <f t="shared" si="620"/>
        <v>0.22325</v>
      </c>
      <c r="G2012" s="83">
        <f t="shared" si="620"/>
        <v>0.225</v>
      </c>
      <c r="H2012" s="81"/>
      <c r="I2012" s="146">
        <v>45314</v>
      </c>
      <c r="J2012" s="147">
        <v>2.05</v>
      </c>
      <c r="K2012" s="147">
        <v>1.68</v>
      </c>
      <c r="L2012" s="147">
        <v>1.786</v>
      </c>
      <c r="M2012" s="59" cm="1">
        <f t="array" ref="M2012">INDEX($BV$29:$BV$1449,MATCH($D2012,$BR$29:$BR$1449,0),)</f>
        <v>1.8</v>
      </c>
      <c r="N2012" s="150">
        <f t="shared" si="603"/>
        <v>0</v>
      </c>
      <c r="O2012" s="150">
        <f t="shared" si="604"/>
        <v>0.0456674473067915</v>
      </c>
      <c r="P2012" s="150">
        <f t="shared" si="612"/>
        <v>0.0733173076923077</v>
      </c>
      <c r="Q2012" s="89">
        <f t="shared" si="615"/>
        <v>-0.00777777777777777</v>
      </c>
      <c r="S2012" s="82">
        <f t="shared" si="616"/>
        <v>45314</v>
      </c>
      <c r="T2012" s="83">
        <f t="shared" si="613"/>
        <v>0.2791875</v>
      </c>
      <c r="U2012" s="83">
        <f t="shared" si="613"/>
        <v>0.25625</v>
      </c>
      <c r="W2012" s="146">
        <v>45314</v>
      </c>
      <c r="X2012" s="147">
        <v>4.85</v>
      </c>
      <c r="Y2012" s="147">
        <v>3.9</v>
      </c>
      <c r="Z2012" s="147">
        <v>4.467</v>
      </c>
      <c r="AA2012" s="59" cm="1">
        <f t="array" ref="AA2012">INDEX($BX$29:$BX$1449,MATCH($D2012,$BR$29:$BR$1449,0),)</f>
        <v>4.1</v>
      </c>
      <c r="AB2012" s="150">
        <f t="shared" si="617"/>
        <v>0.00382022471910104</v>
      </c>
      <c r="AC2012" s="150">
        <f t="shared" si="619"/>
        <v>0.0376306620209059</v>
      </c>
      <c r="AD2012" s="150">
        <f t="shared" si="600"/>
        <v>0.042717086834734</v>
      </c>
      <c r="AE2012" s="89">
        <f t="shared" si="618"/>
        <v>0.0895121951219513</v>
      </c>
      <c r="AF2012" s="36"/>
      <c r="GF2012" s="104">
        <f t="shared" si="606"/>
        <v>2020</v>
      </c>
      <c r="GG2012" s="104">
        <f t="shared" si="607"/>
        <v>50</v>
      </c>
      <c r="GH2012" s="35">
        <v>44173</v>
      </c>
      <c r="GI2012" s="26">
        <v>1.69</v>
      </c>
      <c r="GJ2012" s="94">
        <f t="shared" si="608"/>
        <v>3.38</v>
      </c>
      <c r="GK2012" s="104"/>
      <c r="GL2012" s="104"/>
    </row>
    <row r="2013" spans="3:194">
      <c r="C2013" s="80" t="str" cm="1">
        <f t="array" ref="C2013">_xlfn.IFS(MONTH(D2013)&lt;4,1,MONTH(D2013)&lt;7,2,MONTH(D2013)&lt;10,3,MONTH(D2013)&gt;9,4)&amp;"Q"&amp;RIGHT(YEAR(D2013),2)</f>
        <v>1Q24</v>
      </c>
      <c r="D2013" s="81">
        <f t="shared" si="599"/>
        <v>45322</v>
      </c>
      <c r="E2013" s="82">
        <f t="shared" si="614"/>
        <v>45315</v>
      </c>
      <c r="F2013" s="83">
        <f t="shared" si="620"/>
        <v>0.22325</v>
      </c>
      <c r="G2013" s="83">
        <f t="shared" si="620"/>
        <v>0.225</v>
      </c>
      <c r="H2013" s="81"/>
      <c r="I2013" s="146">
        <v>45315</v>
      </c>
      <c r="J2013" s="147">
        <v>2.05</v>
      </c>
      <c r="K2013" s="147">
        <v>1.68</v>
      </c>
      <c r="L2013" s="147">
        <v>1.786</v>
      </c>
      <c r="M2013" s="59" cm="1">
        <f t="array" ref="M2013">INDEX($BV$29:$BV$1449,MATCH($D2013,$BR$29:$BR$1449,0),)</f>
        <v>1.8</v>
      </c>
      <c r="N2013" s="150">
        <f t="shared" si="603"/>
        <v>0</v>
      </c>
      <c r="O2013" s="150">
        <f t="shared" si="604"/>
        <v>0.027027027027027</v>
      </c>
      <c r="P2013" s="150">
        <f t="shared" si="612"/>
        <v>0.0643623361144219</v>
      </c>
      <c r="Q2013" s="89">
        <f t="shared" si="615"/>
        <v>-0.00777777777777777</v>
      </c>
      <c r="S2013" s="82">
        <f t="shared" si="616"/>
        <v>45315</v>
      </c>
      <c r="T2013" s="83">
        <f t="shared" si="613"/>
        <v>0.2808125</v>
      </c>
      <c r="U2013" s="83">
        <f t="shared" si="613"/>
        <v>0.25625</v>
      </c>
      <c r="W2013" s="146">
        <v>45315</v>
      </c>
      <c r="X2013" s="147">
        <v>4.9</v>
      </c>
      <c r="Y2013" s="147">
        <v>3.9</v>
      </c>
      <c r="Z2013" s="147">
        <v>4.493</v>
      </c>
      <c r="AA2013" s="59" cm="1">
        <f t="array" ref="AA2013">INDEX($BX$29:$BX$1449,MATCH($D2013,$BR$29:$BR$1449,0),)</f>
        <v>4.1</v>
      </c>
      <c r="AB2013" s="150">
        <f t="shared" si="617"/>
        <v>0.0058204611596151</v>
      </c>
      <c r="AC2013" s="150">
        <f t="shared" si="619"/>
        <v>0.0295600366636115</v>
      </c>
      <c r="AD2013" s="150">
        <f t="shared" si="600"/>
        <v>0.0478078358208955</v>
      </c>
      <c r="AE2013" s="89">
        <f t="shared" si="618"/>
        <v>0.0958536585365855</v>
      </c>
      <c r="AF2013" s="36"/>
      <c r="GF2013" s="104">
        <f t="shared" si="606"/>
        <v>2020</v>
      </c>
      <c r="GG2013" s="104">
        <f t="shared" si="607"/>
        <v>50</v>
      </c>
      <c r="GH2013" s="35">
        <v>44174</v>
      </c>
      <c r="GI2013" s="26">
        <v>1.685</v>
      </c>
      <c r="GJ2013" s="94">
        <f t="shared" si="608"/>
        <v>3.37</v>
      </c>
      <c r="GK2013" s="104"/>
      <c r="GL2013" s="104"/>
    </row>
    <row r="2014" spans="3:194">
      <c r="C2014" s="80" t="str" cm="1">
        <f t="array" ref="C2014">_xlfn.IFS(MONTH(D2014)&lt;4,1,MONTH(D2014)&lt;7,2,MONTH(D2014)&lt;10,3,MONTH(D2014)&gt;9,4)&amp;"Q"&amp;RIGHT(YEAR(D2014),2)</f>
        <v>1Q24</v>
      </c>
      <c r="D2014" s="81">
        <f t="shared" ref="D2014:D2077" si="621">EOMONTH(E2014,0)</f>
        <v>45322</v>
      </c>
      <c r="E2014" s="82">
        <f t="shared" si="614"/>
        <v>45316</v>
      </c>
      <c r="F2014" s="83">
        <f t="shared" si="620"/>
        <v>0.223625</v>
      </c>
      <c r="G2014" s="83">
        <f t="shared" si="620"/>
        <v>0.225</v>
      </c>
      <c r="H2014" s="81"/>
      <c r="I2014" s="146">
        <v>45316</v>
      </c>
      <c r="J2014" s="147">
        <v>2.05</v>
      </c>
      <c r="K2014" s="147">
        <v>1.68</v>
      </c>
      <c r="L2014" s="147">
        <v>1.789</v>
      </c>
      <c r="M2014" s="59" cm="1">
        <f t="array" ref="M2014">INDEX($BV$29:$BV$1449,MATCH($D2014,$BR$29:$BR$1449,0),)</f>
        <v>1.8</v>
      </c>
      <c r="N2014" s="150">
        <f t="shared" si="603"/>
        <v>0.00167973124300103</v>
      </c>
      <c r="O2014" s="150">
        <f t="shared" si="604"/>
        <v>0.0187927107061503</v>
      </c>
      <c r="P2014" s="150">
        <f t="shared" si="612"/>
        <v>0.0629827688651217</v>
      </c>
      <c r="Q2014" s="89">
        <f t="shared" si="615"/>
        <v>-0.00611111111111118</v>
      </c>
      <c r="S2014" s="82">
        <f t="shared" si="616"/>
        <v>45316</v>
      </c>
      <c r="T2014" s="83">
        <f t="shared" si="613"/>
        <v>0.2823125</v>
      </c>
      <c r="U2014" s="83">
        <f t="shared" si="613"/>
        <v>0.25625</v>
      </c>
      <c r="W2014" s="146">
        <v>45316</v>
      </c>
      <c r="X2014" s="147">
        <v>4.95</v>
      </c>
      <c r="Y2014" s="147">
        <v>3.9</v>
      </c>
      <c r="Z2014" s="147">
        <v>4.517</v>
      </c>
      <c r="AA2014" s="59" cm="1">
        <f t="array" ref="AA2014">INDEX($BX$29:$BX$1449,MATCH($D2014,$BR$29:$BR$1449,0),)</f>
        <v>4.1</v>
      </c>
      <c r="AB2014" s="150">
        <f t="shared" si="617"/>
        <v>0.00534164255508562</v>
      </c>
      <c r="AC2014" s="150">
        <f t="shared" si="619"/>
        <v>0.0265909090909091</v>
      </c>
      <c r="AD2014" s="150">
        <f t="shared" ref="AD2014:AD2077" si="622">Z2014/Z2004-1</f>
        <v>0.0534048507462688</v>
      </c>
      <c r="AE2014" s="89">
        <f t="shared" si="618"/>
        <v>0.101707317073171</v>
      </c>
      <c r="AF2014" s="36"/>
      <c r="GF2014" s="104">
        <f t="shared" si="606"/>
        <v>2020</v>
      </c>
      <c r="GG2014" s="104">
        <f t="shared" si="607"/>
        <v>50</v>
      </c>
      <c r="GH2014" s="35">
        <v>44175</v>
      </c>
      <c r="GI2014" s="26">
        <v>1.66</v>
      </c>
      <c r="GJ2014" s="94">
        <f t="shared" si="608"/>
        <v>3.32</v>
      </c>
      <c r="GK2014" s="104"/>
      <c r="GL2014" s="104"/>
    </row>
    <row r="2015" spans="3:194">
      <c r="C2015" s="80" t="str" cm="1">
        <f t="array" ref="C2015">_xlfn.IFS(MONTH(D2015)&lt;4,1,MONTH(D2015)&lt;7,2,MONTH(D2015)&lt;10,3,MONTH(D2015)&gt;9,4)&amp;"Q"&amp;RIGHT(YEAR(D2015),2)</f>
        <v>1Q24</v>
      </c>
      <c r="D2015" s="81">
        <f t="shared" si="621"/>
        <v>45322</v>
      </c>
      <c r="E2015" s="82">
        <f t="shared" si="614"/>
        <v>45317</v>
      </c>
      <c r="F2015" s="83">
        <f t="shared" si="620"/>
        <v>0.224375</v>
      </c>
      <c r="G2015" s="83">
        <f t="shared" si="620"/>
        <v>0.225</v>
      </c>
      <c r="H2015" s="81"/>
      <c r="I2015" s="146">
        <v>45317</v>
      </c>
      <c r="J2015" s="147">
        <v>2.05</v>
      </c>
      <c r="K2015" s="147">
        <v>1.68</v>
      </c>
      <c r="L2015" s="147">
        <v>1.795</v>
      </c>
      <c r="M2015" s="59" cm="1">
        <f t="array" ref="M2015">INDEX($BV$29:$BV$1449,MATCH($D2015,$BR$29:$BR$1449,0),)</f>
        <v>1.8</v>
      </c>
      <c r="N2015" s="150">
        <f t="shared" si="603"/>
        <v>0.00335382895472325</v>
      </c>
      <c r="O2015" s="150">
        <f t="shared" si="604"/>
        <v>0.00786075238629991</v>
      </c>
      <c r="P2015" s="150">
        <f t="shared" si="612"/>
        <v>0.0652818991097923</v>
      </c>
      <c r="Q2015" s="89">
        <f t="shared" si="615"/>
        <v>-0.00277777777777788</v>
      </c>
      <c r="S2015" s="82">
        <f t="shared" si="616"/>
        <v>45317</v>
      </c>
      <c r="T2015" s="83">
        <f t="shared" si="613"/>
        <v>0.2833125</v>
      </c>
      <c r="U2015" s="83">
        <f t="shared" si="613"/>
        <v>0.25625</v>
      </c>
      <c r="W2015" s="146">
        <v>45317</v>
      </c>
      <c r="X2015" s="147">
        <v>4.95</v>
      </c>
      <c r="Y2015" s="147">
        <v>3.9</v>
      </c>
      <c r="Z2015" s="147">
        <v>4.533</v>
      </c>
      <c r="AA2015" s="59" cm="1">
        <f t="array" ref="AA2015">INDEX($BX$29:$BX$1449,MATCH($D2015,$BR$29:$BR$1449,0),)</f>
        <v>4.1</v>
      </c>
      <c r="AB2015" s="150">
        <f t="shared" si="617"/>
        <v>0.00354217400929824</v>
      </c>
      <c r="AC2015" s="150">
        <f t="shared" si="619"/>
        <v>0.0225580870742161</v>
      </c>
      <c r="AD2015" s="150">
        <f t="shared" si="622"/>
        <v>0.0563971102307155</v>
      </c>
      <c r="AE2015" s="89">
        <f t="shared" si="618"/>
        <v>0.105609756097561</v>
      </c>
      <c r="AF2015" s="36"/>
      <c r="GF2015" s="104">
        <f t="shared" si="606"/>
        <v>2020</v>
      </c>
      <c r="GG2015" s="104">
        <f t="shared" si="607"/>
        <v>50</v>
      </c>
      <c r="GH2015" s="35">
        <v>44176</v>
      </c>
      <c r="GI2015" s="26">
        <v>1.645</v>
      </c>
      <c r="GJ2015" s="94">
        <f t="shared" si="608"/>
        <v>3.29</v>
      </c>
      <c r="GK2015" s="104"/>
      <c r="GL2015" s="104"/>
    </row>
    <row r="2016" spans="3:194">
      <c r="C2016" s="80" t="str" cm="1">
        <f t="array" ref="C2016">_xlfn.IFS(MONTH(D2016)&lt;4,1,MONTH(D2016)&lt;7,2,MONTH(D2016)&lt;10,3,MONTH(D2016)&gt;9,4)&amp;"Q"&amp;RIGHT(YEAR(D2016),2)</f>
        <v>1Q24</v>
      </c>
      <c r="D2016" s="81">
        <f t="shared" si="621"/>
        <v>45322</v>
      </c>
      <c r="E2016" s="82">
        <f t="shared" si="614"/>
        <v>45320</v>
      </c>
      <c r="F2016" s="83">
        <f t="shared" si="620"/>
        <v>0.224375</v>
      </c>
      <c r="G2016" s="83">
        <f t="shared" si="620"/>
        <v>0.225</v>
      </c>
      <c r="H2016" s="81"/>
      <c r="I2016" s="146">
        <v>45320</v>
      </c>
      <c r="J2016" s="147">
        <v>2.05</v>
      </c>
      <c r="K2016" s="147">
        <v>1.68</v>
      </c>
      <c r="L2016" s="147">
        <v>1.795</v>
      </c>
      <c r="M2016" s="59" cm="1">
        <f t="array" ref="M2016">INDEX($BV$29:$BV$1449,MATCH($D2016,$BR$29:$BR$1449,0),)</f>
        <v>1.8</v>
      </c>
      <c r="N2016" s="150">
        <f t="shared" si="603"/>
        <v>0</v>
      </c>
      <c r="O2016" s="150">
        <f t="shared" si="604"/>
        <v>0.0050391937290033</v>
      </c>
      <c r="P2016" s="150">
        <f t="shared" si="612"/>
        <v>0.0652818991097923</v>
      </c>
      <c r="Q2016" s="89">
        <f t="shared" si="615"/>
        <v>-0.00277777777777788</v>
      </c>
      <c r="S2016" s="82">
        <f t="shared" si="616"/>
        <v>45320</v>
      </c>
      <c r="T2016" s="83">
        <f t="shared" ref="T2016:U2031" si="623">+Z2016/16</f>
        <v>0.284375</v>
      </c>
      <c r="U2016" s="83">
        <f t="shared" si="623"/>
        <v>0.25625</v>
      </c>
      <c r="W2016" s="146">
        <v>45320</v>
      </c>
      <c r="X2016" s="147">
        <v>4.95</v>
      </c>
      <c r="Y2016" s="147">
        <v>3.9</v>
      </c>
      <c r="Z2016" s="147">
        <v>4.55</v>
      </c>
      <c r="AA2016" s="59" cm="1">
        <f t="array" ref="AA2016">INDEX($BX$29:$BX$1449,MATCH($D2016,$BR$29:$BR$1449,0),)</f>
        <v>4.1</v>
      </c>
      <c r="AB2016" s="150">
        <f t="shared" si="617"/>
        <v>0.00375027575557008</v>
      </c>
      <c r="AC2016" s="150">
        <f t="shared" si="619"/>
        <v>0.0224719101123594</v>
      </c>
      <c r="AD2016" s="150">
        <f t="shared" si="622"/>
        <v>0.060358890701468</v>
      </c>
      <c r="AE2016" s="89">
        <f t="shared" si="618"/>
        <v>0.109756097560976</v>
      </c>
      <c r="AF2016" s="36"/>
      <c r="GF2016" s="104">
        <f t="shared" si="606"/>
        <v>2020</v>
      </c>
      <c r="GG2016" s="104">
        <f t="shared" si="607"/>
        <v>51</v>
      </c>
      <c r="GH2016" s="35">
        <v>44179</v>
      </c>
      <c r="GI2016" s="26">
        <v>1.643</v>
      </c>
      <c r="GJ2016" s="94">
        <f t="shared" si="608"/>
        <v>3.286</v>
      </c>
      <c r="GK2016" s="104"/>
      <c r="GL2016" s="104"/>
    </row>
    <row r="2017" spans="3:194">
      <c r="C2017" s="80" t="str" cm="1">
        <f t="array" ref="C2017">_xlfn.IFS(MONTH(D2017)&lt;4,1,MONTH(D2017)&lt;7,2,MONTH(D2017)&lt;10,3,MONTH(D2017)&gt;9,4)&amp;"Q"&amp;RIGHT(YEAR(D2017),2)</f>
        <v>1Q24</v>
      </c>
      <c r="D2017" s="81">
        <f t="shared" si="621"/>
        <v>45322</v>
      </c>
      <c r="E2017" s="82">
        <f t="shared" si="614"/>
        <v>45321</v>
      </c>
      <c r="F2017" s="83">
        <f t="shared" si="620"/>
        <v>0.224375</v>
      </c>
      <c r="G2017" s="83">
        <f t="shared" si="620"/>
        <v>0.225</v>
      </c>
      <c r="H2017" s="81"/>
      <c r="I2017" s="146">
        <v>45321</v>
      </c>
      <c r="J2017" s="147">
        <v>2.05</v>
      </c>
      <c r="K2017" s="147">
        <v>1.68</v>
      </c>
      <c r="L2017" s="147">
        <v>1.795</v>
      </c>
      <c r="M2017" s="59" cm="1">
        <f t="array" ref="M2017">INDEX($BV$29:$BV$1449,MATCH($D2017,$BR$29:$BR$1449,0),)</f>
        <v>1.8</v>
      </c>
      <c r="N2017" s="150">
        <f t="shared" si="603"/>
        <v>0</v>
      </c>
      <c r="O2017" s="150">
        <f t="shared" si="604"/>
        <v>0.0050391937290033</v>
      </c>
      <c r="P2017" s="150">
        <f t="shared" si="612"/>
        <v>0.0509367681498829</v>
      </c>
      <c r="Q2017" s="89">
        <f t="shared" si="615"/>
        <v>-0.00277777777777788</v>
      </c>
      <c r="S2017" s="82">
        <f t="shared" si="616"/>
        <v>45321</v>
      </c>
      <c r="T2017" s="83">
        <f t="shared" si="623"/>
        <v>0.2854375</v>
      </c>
      <c r="U2017" s="83">
        <f t="shared" si="623"/>
        <v>0.25625</v>
      </c>
      <c r="W2017" s="146">
        <v>45321</v>
      </c>
      <c r="X2017" s="147">
        <v>5</v>
      </c>
      <c r="Y2017" s="147">
        <v>3.9</v>
      </c>
      <c r="Z2017" s="147">
        <v>4.567</v>
      </c>
      <c r="AA2017" s="59" cm="1">
        <f t="array" ref="AA2017">INDEX($BX$29:$BX$1449,MATCH($D2017,$BR$29:$BR$1449,0),)</f>
        <v>4.1</v>
      </c>
      <c r="AB2017" s="150">
        <f t="shared" si="617"/>
        <v>0.0037362637362639</v>
      </c>
      <c r="AC2017" s="150">
        <f t="shared" si="619"/>
        <v>0.0223863890754423</v>
      </c>
      <c r="AD2017" s="150">
        <f t="shared" si="622"/>
        <v>0.0608594657375146</v>
      </c>
      <c r="AE2017" s="89">
        <f t="shared" si="618"/>
        <v>0.11390243902439</v>
      </c>
      <c r="AF2017" s="36"/>
      <c r="GF2017" s="104">
        <f t="shared" si="606"/>
        <v>2020</v>
      </c>
      <c r="GG2017" s="104">
        <f t="shared" si="607"/>
        <v>51</v>
      </c>
      <c r="GH2017" s="35">
        <v>44180</v>
      </c>
      <c r="GI2017" s="26">
        <v>1.64</v>
      </c>
      <c r="GJ2017" s="94">
        <f t="shared" si="608"/>
        <v>3.28</v>
      </c>
      <c r="GK2017" s="104"/>
      <c r="GL2017" s="104"/>
    </row>
    <row r="2018" spans="3:194">
      <c r="C2018" s="80" t="str" cm="1">
        <f t="array" ref="C2018">_xlfn.IFS(MONTH(D2018)&lt;4,1,MONTH(D2018)&lt;7,2,MONTH(D2018)&lt;10,3,MONTH(D2018)&gt;9,4)&amp;"Q"&amp;RIGHT(YEAR(D2018),2)</f>
        <v>1Q24</v>
      </c>
      <c r="D2018" s="81">
        <f t="shared" si="621"/>
        <v>45322</v>
      </c>
      <c r="E2018" s="82">
        <f t="shared" si="614"/>
        <v>45322</v>
      </c>
      <c r="F2018" s="83">
        <f t="shared" si="620"/>
        <v>0.224375</v>
      </c>
      <c r="G2018" s="83">
        <f t="shared" si="620"/>
        <v>0.225</v>
      </c>
      <c r="H2018" s="81"/>
      <c r="I2018" s="146">
        <v>45322</v>
      </c>
      <c r="J2018" s="147">
        <v>2.05</v>
      </c>
      <c r="K2018" s="147">
        <v>1.7</v>
      </c>
      <c r="L2018" s="147">
        <v>1.795</v>
      </c>
      <c r="M2018" s="59" cm="1">
        <f t="array" ref="M2018">INDEX($BV$29:$BV$1449,MATCH($D2018,$BR$29:$BR$1449,0),)</f>
        <v>1.8</v>
      </c>
      <c r="N2018" s="150">
        <f t="shared" si="603"/>
        <v>0</v>
      </c>
      <c r="O2018" s="150">
        <f t="shared" si="604"/>
        <v>0.0050391937290033</v>
      </c>
      <c r="P2018" s="150">
        <f t="shared" si="612"/>
        <v>0.0322024151811384</v>
      </c>
      <c r="Q2018" s="89">
        <f t="shared" si="615"/>
        <v>-0.00277777777777788</v>
      </c>
      <c r="S2018" s="82">
        <f t="shared" si="616"/>
        <v>45322</v>
      </c>
      <c r="T2018" s="83">
        <f t="shared" si="623"/>
        <v>0.2873125</v>
      </c>
      <c r="U2018" s="83">
        <f t="shared" si="623"/>
        <v>0.25625</v>
      </c>
      <c r="W2018" s="146">
        <v>45322</v>
      </c>
      <c r="X2018" s="147">
        <v>5.05</v>
      </c>
      <c r="Y2018" s="147">
        <v>3.95</v>
      </c>
      <c r="Z2018" s="147">
        <v>4.597</v>
      </c>
      <c r="AA2018" s="59" cm="1">
        <f t="array" ref="AA2018">INDEX($BX$29:$BX$1449,MATCH($D2018,$BR$29:$BR$1449,0),)</f>
        <v>4.1</v>
      </c>
      <c r="AB2018" s="150">
        <f t="shared" si="617"/>
        <v>0.00656886358659947</v>
      </c>
      <c r="AC2018" s="150">
        <f t="shared" si="619"/>
        <v>0.0231471177387046</v>
      </c>
      <c r="AD2018" s="150">
        <f t="shared" si="622"/>
        <v>0.0533913840513291</v>
      </c>
      <c r="AE2018" s="89">
        <f t="shared" si="618"/>
        <v>0.121219512195122</v>
      </c>
      <c r="AF2018" s="36"/>
      <c r="GF2018" s="104">
        <f t="shared" si="606"/>
        <v>2020</v>
      </c>
      <c r="GG2018" s="104">
        <f t="shared" si="607"/>
        <v>51</v>
      </c>
      <c r="GH2018" s="35">
        <v>44181</v>
      </c>
      <c r="GI2018" s="26">
        <v>1.655</v>
      </c>
      <c r="GJ2018" s="94">
        <f t="shared" si="608"/>
        <v>3.31</v>
      </c>
      <c r="GK2018" s="104"/>
      <c r="GL2018" s="104"/>
    </row>
    <row r="2019" spans="3:194">
      <c r="C2019" s="80" t="str" cm="1">
        <f t="array" ref="C2019">_xlfn.IFS(MONTH(D2019)&lt;4,1,MONTH(D2019)&lt;7,2,MONTH(D2019)&lt;10,3,MONTH(D2019)&gt;9,4)&amp;"Q"&amp;RIGHT(YEAR(D2019),2)</f>
        <v>1Q24</v>
      </c>
      <c r="D2019" s="81">
        <f t="shared" si="621"/>
        <v>45351</v>
      </c>
      <c r="E2019" s="82">
        <f t="shared" si="614"/>
        <v>45323</v>
      </c>
      <c r="F2019" s="83">
        <f t="shared" si="620"/>
        <v>0.22475</v>
      </c>
      <c r="G2019" s="83">
        <f t="shared" si="620"/>
        <v>0.225</v>
      </c>
      <c r="H2019" s="81"/>
      <c r="I2019" s="146">
        <v>45323</v>
      </c>
      <c r="J2019" s="147">
        <v>2.05</v>
      </c>
      <c r="K2019" s="147">
        <v>1.7</v>
      </c>
      <c r="L2019" s="147">
        <v>1.798</v>
      </c>
      <c r="M2019" s="59" cm="1">
        <f t="array" ref="M2019">INDEX($BV$29:$BV$1449,MATCH($D2019,$BR$29:$BR$1449,0),)</f>
        <v>1.8</v>
      </c>
      <c r="N2019" s="150">
        <f t="shared" si="603"/>
        <v>0.00167130919220071</v>
      </c>
      <c r="O2019" s="150">
        <f t="shared" si="604"/>
        <v>0.00503074343208509</v>
      </c>
      <c r="P2019" s="150">
        <f t="shared" si="612"/>
        <v>0.0239179954441913</v>
      </c>
      <c r="Q2019" s="89">
        <f t="shared" si="615"/>
        <v>-0.00111111111111106</v>
      </c>
      <c r="S2019" s="82">
        <f t="shared" si="616"/>
        <v>45323</v>
      </c>
      <c r="T2019" s="83">
        <f t="shared" si="623"/>
        <v>0.2879375</v>
      </c>
      <c r="U2019" s="83">
        <f t="shared" si="623"/>
        <v>0.25625</v>
      </c>
      <c r="W2019" s="146">
        <v>45323</v>
      </c>
      <c r="X2019" s="147">
        <v>5.05</v>
      </c>
      <c r="Y2019" s="147">
        <v>3.95</v>
      </c>
      <c r="Z2019" s="147">
        <v>4.607</v>
      </c>
      <c r="AA2019" s="59" cm="1">
        <f t="array" ref="AA2019">INDEX($BX$29:$BX$1449,MATCH($D2019,$BR$29:$BR$1449,0),)</f>
        <v>4.1</v>
      </c>
      <c r="AB2019" s="150">
        <f t="shared" si="617"/>
        <v>0.00217533173808993</v>
      </c>
      <c r="AC2019" s="150">
        <f t="shared" si="619"/>
        <v>0.0199247288023023</v>
      </c>
      <c r="AD2019" s="150">
        <f t="shared" si="622"/>
        <v>0.0470454545454546</v>
      </c>
      <c r="AE2019" s="89">
        <f t="shared" si="618"/>
        <v>0.123658536585366</v>
      </c>
      <c r="AF2019" s="36"/>
      <c r="GF2019" s="104">
        <f t="shared" si="606"/>
        <v>2020</v>
      </c>
      <c r="GG2019" s="104">
        <f t="shared" si="607"/>
        <v>51</v>
      </c>
      <c r="GH2019" s="35">
        <v>44182</v>
      </c>
      <c r="GI2019" s="26">
        <v>1.706</v>
      </c>
      <c r="GJ2019" s="94">
        <f t="shared" si="608"/>
        <v>3.412</v>
      </c>
      <c r="GK2019" s="104"/>
      <c r="GL2019" s="104"/>
    </row>
    <row r="2020" spans="3:194">
      <c r="C2020" s="80" t="str" cm="1">
        <f t="array" ref="C2020">_xlfn.IFS(MONTH(D2020)&lt;4,1,MONTH(D2020)&lt;7,2,MONTH(D2020)&lt;10,3,MONTH(D2020)&gt;9,4)&amp;"Q"&amp;RIGHT(YEAR(D2020),2)</f>
        <v>1Q24</v>
      </c>
      <c r="D2020" s="81">
        <f t="shared" si="621"/>
        <v>45351</v>
      </c>
      <c r="E2020" s="82">
        <f t="shared" si="614"/>
        <v>45324</v>
      </c>
      <c r="F2020" s="83">
        <f t="shared" si="620"/>
        <v>0.22575</v>
      </c>
      <c r="G2020" s="83">
        <f t="shared" si="620"/>
        <v>0.225</v>
      </c>
      <c r="H2020" s="81"/>
      <c r="I2020" s="146">
        <v>45324</v>
      </c>
      <c r="J2020" s="147">
        <v>2.05</v>
      </c>
      <c r="K2020" s="147">
        <v>1.73</v>
      </c>
      <c r="L2020" s="147">
        <v>1.806</v>
      </c>
      <c r="M2020" s="59" cm="1">
        <f t="array" ref="M2020">INDEX($BV$29:$BV$1449,MATCH($D2020,$BR$29:$BR$1449,0),)</f>
        <v>1.8</v>
      </c>
      <c r="N2020" s="150">
        <f t="shared" si="603"/>
        <v>0.00444938820912122</v>
      </c>
      <c r="O2020" s="150">
        <f t="shared" si="604"/>
        <v>0.00612813370473542</v>
      </c>
      <c r="P2020" s="150">
        <f t="shared" si="612"/>
        <v>0.0140370578326783</v>
      </c>
      <c r="Q2020" s="89">
        <f t="shared" si="615"/>
        <v>0.00333333333333341</v>
      </c>
      <c r="S2020" s="82">
        <f t="shared" si="616"/>
        <v>45324</v>
      </c>
      <c r="T2020" s="83">
        <f t="shared" si="623"/>
        <v>0.2889375</v>
      </c>
      <c r="U2020" s="83">
        <f t="shared" si="623"/>
        <v>0.25625</v>
      </c>
      <c r="W2020" s="146">
        <v>45324</v>
      </c>
      <c r="X2020" s="147">
        <v>5.1</v>
      </c>
      <c r="Y2020" s="147">
        <v>3.95</v>
      </c>
      <c r="Z2020" s="147">
        <v>4.623</v>
      </c>
      <c r="AA2020" s="59" cm="1">
        <f t="array" ref="AA2020">INDEX($BX$29:$BX$1449,MATCH($D2020,$BR$29:$BR$1449,0),)</f>
        <v>4.1</v>
      </c>
      <c r="AB2020" s="150">
        <f t="shared" si="617"/>
        <v>0.00347297590622975</v>
      </c>
      <c r="AC2020" s="150">
        <f t="shared" si="619"/>
        <v>0.0198544010589015</v>
      </c>
      <c r="AD2020" s="150">
        <f t="shared" si="622"/>
        <v>0.0428603654410107</v>
      </c>
      <c r="AE2020" s="89">
        <f t="shared" si="618"/>
        <v>0.127560975609756</v>
      </c>
      <c r="AF2020" s="36"/>
      <c r="GF2020" s="104">
        <f t="shared" si="606"/>
        <v>2020</v>
      </c>
      <c r="GG2020" s="104">
        <f t="shared" si="607"/>
        <v>51</v>
      </c>
      <c r="GH2020" s="35">
        <v>44183</v>
      </c>
      <c r="GI2020" s="26">
        <v>1.72</v>
      </c>
      <c r="GJ2020" s="94">
        <f t="shared" si="608"/>
        <v>3.44</v>
      </c>
      <c r="GK2020" s="104"/>
      <c r="GL2020" s="104"/>
    </row>
    <row r="2021" spans="3:194">
      <c r="C2021" s="80" t="str" cm="1">
        <f t="array" ref="C2021">_xlfn.IFS(MONTH(D2021)&lt;4,1,MONTH(D2021)&lt;7,2,MONTH(D2021)&lt;10,3,MONTH(D2021)&gt;9,4)&amp;"Q"&amp;RIGHT(YEAR(D2021),2)</f>
        <v>1Q24</v>
      </c>
      <c r="D2021" s="81">
        <f t="shared" si="621"/>
        <v>45351</v>
      </c>
      <c r="E2021" s="82">
        <f t="shared" si="614"/>
        <v>45327</v>
      </c>
      <c r="F2021" s="83">
        <f t="shared" si="620"/>
        <v>0.22675</v>
      </c>
      <c r="G2021" s="83">
        <f t="shared" si="620"/>
        <v>0.225</v>
      </c>
      <c r="H2021" s="81"/>
      <c r="I2021" s="146">
        <v>45327</v>
      </c>
      <c r="J2021" s="147">
        <v>2.06</v>
      </c>
      <c r="K2021" s="147">
        <v>1.75</v>
      </c>
      <c r="L2021" s="147">
        <v>1.814</v>
      </c>
      <c r="M2021" s="59" cm="1">
        <f t="array" ref="M2021">INDEX($BV$29:$BV$1449,MATCH($D2021,$BR$29:$BR$1449,0),)</f>
        <v>1.8</v>
      </c>
      <c r="N2021" s="150">
        <f t="shared" si="603"/>
        <v>0.0044296788482836</v>
      </c>
      <c r="O2021" s="150">
        <f t="shared" si="604"/>
        <v>0.0105849582172703</v>
      </c>
      <c r="P2021" s="150">
        <f t="shared" si="612"/>
        <v>0.0156774916013438</v>
      </c>
      <c r="Q2021" s="89">
        <f t="shared" si="615"/>
        <v>0.00777777777777788</v>
      </c>
      <c r="S2021" s="82">
        <f t="shared" si="616"/>
        <v>45327</v>
      </c>
      <c r="T2021" s="83">
        <f t="shared" si="623"/>
        <v>0.289375</v>
      </c>
      <c r="U2021" s="83">
        <f t="shared" si="623"/>
        <v>0.25625</v>
      </c>
      <c r="W2021" s="146">
        <v>45327</v>
      </c>
      <c r="X2021" s="147">
        <v>5.15</v>
      </c>
      <c r="Y2021" s="147">
        <v>3.96</v>
      </c>
      <c r="Z2021" s="147">
        <v>4.63</v>
      </c>
      <c r="AA2021" s="59" cm="1">
        <f t="array" ref="AA2021">INDEX($BX$29:$BX$1449,MATCH($D2021,$BR$29:$BR$1449,0),)</f>
        <v>4.1</v>
      </c>
      <c r="AB2021" s="150">
        <f t="shared" si="617"/>
        <v>0.00151416828898987</v>
      </c>
      <c r="AC2021" s="150">
        <f t="shared" si="619"/>
        <v>0.0175824175824175</v>
      </c>
      <c r="AD2021" s="150">
        <f t="shared" si="622"/>
        <v>0.0404494382022471</v>
      </c>
      <c r="AE2021" s="89">
        <f t="shared" si="618"/>
        <v>0.129268292682927</v>
      </c>
      <c r="AF2021" s="36"/>
      <c r="GF2021" s="104">
        <f t="shared" si="606"/>
        <v>2020</v>
      </c>
      <c r="GG2021" s="104">
        <f t="shared" si="607"/>
        <v>52</v>
      </c>
      <c r="GH2021" s="35">
        <v>44186</v>
      </c>
      <c r="GI2021" s="26">
        <v>1.744</v>
      </c>
      <c r="GJ2021" s="94">
        <f t="shared" si="608"/>
        <v>3.488</v>
      </c>
      <c r="GK2021" s="104"/>
      <c r="GL2021" s="104"/>
    </row>
    <row r="2022" spans="3:194">
      <c r="C2022" s="80" t="str" cm="1">
        <f t="array" ref="C2022">_xlfn.IFS(MONTH(D2022)&lt;4,1,MONTH(D2022)&lt;7,2,MONTH(D2022)&lt;10,3,MONTH(D2022)&gt;9,4)&amp;"Q"&amp;RIGHT(YEAR(D2022),2)</f>
        <v>1Q24</v>
      </c>
      <c r="D2022" s="81">
        <f t="shared" si="621"/>
        <v>45351</v>
      </c>
      <c r="E2022" s="82">
        <f t="shared" si="614"/>
        <v>45328</v>
      </c>
      <c r="F2022" s="83">
        <f t="shared" si="620"/>
        <v>0.227625</v>
      </c>
      <c r="G2022" s="83">
        <f t="shared" si="620"/>
        <v>0.225</v>
      </c>
      <c r="H2022" s="81"/>
      <c r="I2022" s="146">
        <v>45328</v>
      </c>
      <c r="J2022" s="147">
        <v>2.06</v>
      </c>
      <c r="K2022" s="147">
        <v>1.75</v>
      </c>
      <c r="L2022" s="147">
        <v>1.821</v>
      </c>
      <c r="M2022" s="59" cm="1">
        <f t="array" ref="M2022">INDEX($BV$29:$BV$1449,MATCH($D2022,$BR$29:$BR$1449,0),)</f>
        <v>1.8</v>
      </c>
      <c r="N2022" s="150">
        <f t="shared" si="603"/>
        <v>0.00385887541345098</v>
      </c>
      <c r="O2022" s="150">
        <f t="shared" si="604"/>
        <v>0.0144846796657381</v>
      </c>
      <c r="P2022" s="150">
        <f t="shared" si="612"/>
        <v>0.0195968645016797</v>
      </c>
      <c r="Q2022" s="89">
        <f t="shared" si="615"/>
        <v>0.0116666666666667</v>
      </c>
      <c r="S2022" s="82">
        <f t="shared" si="616"/>
        <v>45328</v>
      </c>
      <c r="T2022" s="83">
        <f t="shared" si="623"/>
        <v>0.29</v>
      </c>
      <c r="U2022" s="83">
        <f t="shared" si="623"/>
        <v>0.25625</v>
      </c>
      <c r="W2022" s="146">
        <v>45328</v>
      </c>
      <c r="X2022" s="147">
        <v>5.15</v>
      </c>
      <c r="Y2022" s="147">
        <v>3.96</v>
      </c>
      <c r="Z2022" s="147">
        <v>4.64</v>
      </c>
      <c r="AA2022" s="59" cm="1">
        <f t="array" ref="AA2022">INDEX($BX$29:$BX$1449,MATCH($D2022,$BR$29:$BR$1449,0),)</f>
        <v>4.1</v>
      </c>
      <c r="AB2022" s="150">
        <f t="shared" si="617"/>
        <v>0.0021598272138228</v>
      </c>
      <c r="AC2022" s="150">
        <f t="shared" si="619"/>
        <v>0.015984234727392</v>
      </c>
      <c r="AD2022" s="150">
        <f t="shared" si="622"/>
        <v>0.038728453100515</v>
      </c>
      <c r="AE2022" s="89">
        <f t="shared" si="618"/>
        <v>0.131707317073171</v>
      </c>
      <c r="AF2022" s="36"/>
      <c r="GF2022" s="104">
        <f t="shared" si="606"/>
        <v>2020</v>
      </c>
      <c r="GG2022" s="104">
        <f t="shared" si="607"/>
        <v>52</v>
      </c>
      <c r="GH2022" s="35">
        <v>44187</v>
      </c>
      <c r="GI2022" s="26">
        <v>1.762</v>
      </c>
      <c r="GJ2022" s="94">
        <f t="shared" si="608"/>
        <v>3.524</v>
      </c>
      <c r="GK2022" s="104"/>
      <c r="GL2022" s="104"/>
    </row>
    <row r="2023" spans="3:194">
      <c r="C2023" s="80" t="str" cm="1">
        <f t="array" ref="C2023">_xlfn.IFS(MONTH(D2023)&lt;4,1,MONTH(D2023)&lt;7,2,MONTH(D2023)&lt;10,3,MONTH(D2023)&gt;9,4)&amp;"Q"&amp;RIGHT(YEAR(D2023),2)</f>
        <v>1Q24</v>
      </c>
      <c r="D2023" s="81">
        <f t="shared" si="621"/>
        <v>45351</v>
      </c>
      <c r="E2023" s="82">
        <f t="shared" si="614"/>
        <v>45329</v>
      </c>
      <c r="F2023" s="83">
        <f t="shared" si="620"/>
        <v>0.228</v>
      </c>
      <c r="G2023" s="83">
        <f t="shared" si="620"/>
        <v>0.225</v>
      </c>
      <c r="H2023" s="81"/>
      <c r="I2023" s="146">
        <v>45329</v>
      </c>
      <c r="J2023" s="147">
        <v>2.06</v>
      </c>
      <c r="K2023" s="147">
        <v>1.75</v>
      </c>
      <c r="L2023" s="147">
        <v>1.824</v>
      </c>
      <c r="M2023" s="59" cm="1">
        <f t="array" ref="M2023">INDEX($BV$29:$BV$1449,MATCH($D2023,$BR$29:$BR$1449,0),)</f>
        <v>1.8</v>
      </c>
      <c r="N2023" s="150">
        <f t="shared" si="603"/>
        <v>0.00164744645799009</v>
      </c>
      <c r="O2023" s="150">
        <f t="shared" si="604"/>
        <v>0.0161559888579388</v>
      </c>
      <c r="P2023" s="150">
        <f t="shared" si="612"/>
        <v>0.0212765957446808</v>
      </c>
      <c r="Q2023" s="89">
        <f t="shared" si="615"/>
        <v>0.0133333333333334</v>
      </c>
      <c r="S2023" s="82">
        <f t="shared" si="616"/>
        <v>45329</v>
      </c>
      <c r="T2023" s="83">
        <f t="shared" si="623"/>
        <v>0.2901875</v>
      </c>
      <c r="U2023" s="83">
        <f t="shared" si="623"/>
        <v>0.25625</v>
      </c>
      <c r="W2023" s="146">
        <v>45329</v>
      </c>
      <c r="X2023" s="147">
        <v>5.15</v>
      </c>
      <c r="Y2023" s="147">
        <v>3.96</v>
      </c>
      <c r="Z2023" s="147">
        <v>4.643</v>
      </c>
      <c r="AA2023" s="59" cm="1">
        <f t="array" ref="AA2023">INDEX($BX$29:$BX$1449,MATCH($D2023,$BR$29:$BR$1449,0),)</f>
        <v>4.1</v>
      </c>
      <c r="AB2023" s="150">
        <f t="shared" si="617"/>
        <v>0.000646551724137856</v>
      </c>
      <c r="AC2023" s="150">
        <f t="shared" si="619"/>
        <v>0.0100065259952142</v>
      </c>
      <c r="AD2023" s="150">
        <f t="shared" si="622"/>
        <v>0.0333852659692855</v>
      </c>
      <c r="AE2023" s="89">
        <f t="shared" si="618"/>
        <v>0.132439024390244</v>
      </c>
      <c r="AF2023" s="36"/>
      <c r="GF2023" s="104">
        <f t="shared" si="606"/>
        <v>2020</v>
      </c>
      <c r="GG2023" s="104">
        <f t="shared" si="607"/>
        <v>52</v>
      </c>
      <c r="GH2023" s="35">
        <v>44188</v>
      </c>
      <c r="GI2023" s="26">
        <v>1.768</v>
      </c>
      <c r="GJ2023" s="94">
        <f t="shared" si="608"/>
        <v>3.536</v>
      </c>
      <c r="GK2023" s="104"/>
      <c r="GL2023" s="104"/>
    </row>
    <row r="2024" spans="3:194">
      <c r="C2024" s="80" t="str" cm="1">
        <f t="array" ref="C2024">_xlfn.IFS(MONTH(D2024)&lt;4,1,MONTH(D2024)&lt;7,2,MONTH(D2024)&lt;10,3,MONTH(D2024)&gt;9,4)&amp;"Q"&amp;RIGHT(YEAR(D2024),2)</f>
        <v>1Q24</v>
      </c>
      <c r="D2024" s="81">
        <f t="shared" si="621"/>
        <v>45351</v>
      </c>
      <c r="E2024" s="82">
        <f t="shared" si="614"/>
        <v>45330</v>
      </c>
      <c r="F2024" s="83">
        <f t="shared" si="620"/>
        <v>0.228</v>
      </c>
      <c r="G2024" s="83">
        <f t="shared" si="620"/>
        <v>0.225</v>
      </c>
      <c r="H2024" s="81"/>
      <c r="I2024" s="146">
        <v>45330</v>
      </c>
      <c r="J2024" s="147">
        <v>2.06</v>
      </c>
      <c r="K2024" s="147">
        <v>1.75</v>
      </c>
      <c r="L2024" s="147">
        <v>1.824</v>
      </c>
      <c r="M2024" s="59" cm="1">
        <f t="array" ref="M2024">INDEX($BV$29:$BV$1449,MATCH($D2024,$BR$29:$BR$1449,0),)</f>
        <v>1.8</v>
      </c>
      <c r="N2024" s="150">
        <f t="shared" si="603"/>
        <v>0</v>
      </c>
      <c r="O2024" s="150">
        <f t="shared" si="604"/>
        <v>0.0144605116796441</v>
      </c>
      <c r="P2024" s="150">
        <f t="shared" si="612"/>
        <v>0.0195640022358861</v>
      </c>
      <c r="Q2024" s="89">
        <f t="shared" si="615"/>
        <v>0.0133333333333334</v>
      </c>
      <c r="S2024" s="82">
        <f t="shared" si="616"/>
        <v>45330</v>
      </c>
      <c r="T2024" s="83">
        <f t="shared" si="623"/>
        <v>0.2904375</v>
      </c>
      <c r="U2024" s="83">
        <f t="shared" si="623"/>
        <v>0.25625</v>
      </c>
      <c r="W2024" s="146">
        <v>45330</v>
      </c>
      <c r="X2024" s="147">
        <v>5.15</v>
      </c>
      <c r="Y2024" s="147">
        <v>3.96</v>
      </c>
      <c r="Z2024" s="147">
        <v>4.647</v>
      </c>
      <c r="AA2024" s="59" cm="1">
        <f t="array" ref="AA2024">INDEX($BX$29:$BX$1449,MATCH($D2024,$BR$29:$BR$1449,0),)</f>
        <v>4.1</v>
      </c>
      <c r="AB2024" s="150">
        <f t="shared" si="617"/>
        <v>0.0008615119534785</v>
      </c>
      <c r="AC2024" s="150">
        <f t="shared" si="619"/>
        <v>0.00868243976557403</v>
      </c>
      <c r="AD2024" s="150">
        <f t="shared" si="622"/>
        <v>0.0287801638255478</v>
      </c>
      <c r="AE2024" s="89">
        <f t="shared" si="618"/>
        <v>0.133414634146342</v>
      </c>
      <c r="AF2024" s="36"/>
      <c r="GF2024" s="104">
        <f t="shared" si="606"/>
        <v>2020</v>
      </c>
      <c r="GG2024" s="104">
        <f t="shared" si="607"/>
        <v>52</v>
      </c>
      <c r="GH2024" s="35">
        <v>44189</v>
      </c>
      <c r="GI2024" s="26">
        <v>1.77</v>
      </c>
      <c r="GJ2024" s="94">
        <f t="shared" si="608"/>
        <v>3.54</v>
      </c>
      <c r="GK2024" s="104"/>
      <c r="GL2024" s="104"/>
    </row>
    <row r="2025" spans="3:194">
      <c r="C2025" s="80" t="str" cm="1">
        <f t="array" ref="C2025">_xlfn.IFS(MONTH(D2025)&lt;4,1,MONTH(D2025)&lt;7,2,MONTH(D2025)&lt;10,3,MONTH(D2025)&gt;9,4)&amp;"Q"&amp;RIGHT(YEAR(D2025),2)</f>
        <v>1Q24</v>
      </c>
      <c r="D2025" s="81">
        <f t="shared" si="621"/>
        <v>45351</v>
      </c>
      <c r="E2025" s="82">
        <f t="shared" si="614"/>
        <v>45337</v>
      </c>
      <c r="F2025" s="83">
        <f t="shared" si="620"/>
        <v>0.228</v>
      </c>
      <c r="G2025" s="83">
        <f t="shared" si="620"/>
        <v>0.225</v>
      </c>
      <c r="H2025" s="81"/>
      <c r="I2025" s="146">
        <v>45337</v>
      </c>
      <c r="J2025" s="147">
        <v>2.07</v>
      </c>
      <c r="K2025" s="147">
        <v>1.74</v>
      </c>
      <c r="L2025" s="147">
        <v>1.824</v>
      </c>
      <c r="M2025" s="59" cm="1">
        <f t="array" ref="M2025">INDEX($BV$29:$BV$1449,MATCH($D2025,$BR$29:$BR$1449,0),)</f>
        <v>1.8</v>
      </c>
      <c r="N2025" s="150">
        <f t="shared" si="603"/>
        <v>0</v>
      </c>
      <c r="O2025" s="150">
        <f t="shared" si="604"/>
        <v>0.00996677740863783</v>
      </c>
      <c r="P2025" s="150">
        <f t="shared" si="612"/>
        <v>0.0161559888579388</v>
      </c>
      <c r="Q2025" s="89">
        <f t="shared" si="615"/>
        <v>0.0133333333333334</v>
      </c>
      <c r="S2025" s="82">
        <f t="shared" si="616"/>
        <v>45337</v>
      </c>
      <c r="T2025" s="83">
        <f t="shared" si="623"/>
        <v>0.2908125</v>
      </c>
      <c r="U2025" s="83">
        <f t="shared" si="623"/>
        <v>0.25625</v>
      </c>
      <c r="W2025" s="146">
        <v>45337</v>
      </c>
      <c r="X2025" s="147">
        <v>5.16</v>
      </c>
      <c r="Y2025" s="147">
        <v>3.97</v>
      </c>
      <c r="Z2025" s="147">
        <v>4.653</v>
      </c>
      <c r="AA2025" s="59" cm="1">
        <f t="array" ref="AA2025">INDEX($BX$29:$BX$1449,MATCH($D2025,$BR$29:$BR$1449,0),)</f>
        <v>4.1</v>
      </c>
      <c r="AB2025" s="150">
        <f t="shared" si="617"/>
        <v>0.00129115558424786</v>
      </c>
      <c r="AC2025" s="150">
        <f t="shared" si="619"/>
        <v>0.00648929266709919</v>
      </c>
      <c r="AD2025" s="150">
        <f t="shared" si="622"/>
        <v>0.0264725347452017</v>
      </c>
      <c r="AE2025" s="89">
        <f t="shared" si="618"/>
        <v>0.134878048780488</v>
      </c>
      <c r="AF2025" s="36"/>
      <c r="GF2025" s="104">
        <f t="shared" si="606"/>
        <v>2020</v>
      </c>
      <c r="GG2025" s="104">
        <f t="shared" si="607"/>
        <v>52</v>
      </c>
      <c r="GH2025" s="35">
        <v>44190</v>
      </c>
      <c r="GI2025" s="26">
        <v>1.775</v>
      </c>
      <c r="GJ2025" s="94">
        <f t="shared" si="608"/>
        <v>3.55</v>
      </c>
      <c r="GK2025" s="104"/>
      <c r="GL2025" s="104"/>
    </row>
    <row r="2026" spans="3:194">
      <c r="C2026" s="80" t="str" cm="1">
        <f t="array" ref="C2026">_xlfn.IFS(MONTH(D2026)&lt;4,1,MONTH(D2026)&lt;7,2,MONTH(D2026)&lt;10,3,MONTH(D2026)&gt;9,4)&amp;"Q"&amp;RIGHT(YEAR(D2026),2)</f>
        <v>1Q24</v>
      </c>
      <c r="D2026" s="81">
        <f t="shared" si="621"/>
        <v>45351</v>
      </c>
      <c r="E2026" s="82">
        <f t="shared" si="614"/>
        <v>45338</v>
      </c>
      <c r="F2026" s="83">
        <f t="shared" ref="F2026:G2041" si="624">+L2026/8</f>
        <v>0.228625</v>
      </c>
      <c r="G2026" s="83">
        <f t="shared" si="624"/>
        <v>0.225</v>
      </c>
      <c r="H2026" s="81"/>
      <c r="I2026" s="146">
        <v>45338</v>
      </c>
      <c r="J2026" s="147">
        <v>2.07</v>
      </c>
      <c r="K2026" s="147">
        <v>1.74</v>
      </c>
      <c r="L2026" s="147">
        <v>1.829</v>
      </c>
      <c r="M2026" s="59" cm="1">
        <f t="array" ref="M2026">INDEX($BV$29:$BV$1449,MATCH($D2026,$BR$29:$BR$1449,0),)</f>
        <v>1.8</v>
      </c>
      <c r="N2026" s="150">
        <f t="shared" si="603"/>
        <v>0.00274122807017529</v>
      </c>
      <c r="O2026" s="150">
        <f t="shared" si="604"/>
        <v>0.00826901874310915</v>
      </c>
      <c r="P2026" s="150">
        <f t="shared" si="612"/>
        <v>0.018941504178273</v>
      </c>
      <c r="Q2026" s="89">
        <f t="shared" si="615"/>
        <v>0.016111111111111</v>
      </c>
      <c r="S2026" s="82">
        <f t="shared" si="616"/>
        <v>45338</v>
      </c>
      <c r="T2026" s="83">
        <f t="shared" si="623"/>
        <v>0.29125</v>
      </c>
      <c r="U2026" s="83">
        <f t="shared" si="623"/>
        <v>0.25625</v>
      </c>
      <c r="W2026" s="146">
        <v>45338</v>
      </c>
      <c r="X2026" s="147">
        <v>5.16</v>
      </c>
      <c r="Y2026" s="147">
        <v>3.97</v>
      </c>
      <c r="Z2026" s="147">
        <v>4.66</v>
      </c>
      <c r="AA2026" s="59" cm="1">
        <f t="array" ref="AA2026">INDEX($BX$29:$BX$1449,MATCH($D2026,$BR$29:$BR$1449,0),)</f>
        <v>4.1</v>
      </c>
      <c r="AB2026" s="150">
        <f t="shared" si="617"/>
        <v>0.0015044057597251</v>
      </c>
      <c r="AC2026" s="150">
        <f t="shared" si="619"/>
        <v>0.00647948164146883</v>
      </c>
      <c r="AD2026" s="150">
        <f t="shared" si="622"/>
        <v>0.0241758241758243</v>
      </c>
      <c r="AE2026" s="89">
        <f t="shared" si="618"/>
        <v>0.136585365853659</v>
      </c>
      <c r="AF2026" s="36"/>
      <c r="GF2026" s="104">
        <f t="shared" si="606"/>
        <v>2020</v>
      </c>
      <c r="GG2026" s="104">
        <f t="shared" si="607"/>
        <v>53</v>
      </c>
      <c r="GH2026" s="35">
        <v>44193</v>
      </c>
      <c r="GI2026" s="26">
        <v>1.8</v>
      </c>
      <c r="GJ2026" s="94">
        <f t="shared" si="608"/>
        <v>3.6</v>
      </c>
      <c r="GK2026" s="104"/>
      <c r="GL2026" s="104"/>
    </row>
    <row r="2027" spans="3:194">
      <c r="C2027" s="80" t="str" cm="1">
        <f t="array" ref="C2027">_xlfn.IFS(MONTH(D2027)&lt;4,1,MONTH(D2027)&lt;7,2,MONTH(D2027)&lt;10,3,MONTH(D2027)&gt;9,4)&amp;"Q"&amp;RIGHT(YEAR(D2027),2)</f>
        <v>1Q24</v>
      </c>
      <c r="D2027" s="81">
        <f t="shared" si="621"/>
        <v>45351</v>
      </c>
      <c r="E2027" s="82">
        <f t="shared" si="614"/>
        <v>45341</v>
      </c>
      <c r="F2027" s="83">
        <f t="shared" si="624"/>
        <v>0.228625</v>
      </c>
      <c r="G2027" s="83">
        <f t="shared" si="624"/>
        <v>0.225</v>
      </c>
      <c r="H2027" s="81"/>
      <c r="I2027" s="146">
        <v>45341</v>
      </c>
      <c r="J2027" s="147">
        <v>2.07</v>
      </c>
      <c r="K2027" s="147">
        <v>1.74</v>
      </c>
      <c r="L2027" s="147">
        <v>1.829</v>
      </c>
      <c r="M2027" s="59" cm="1">
        <f t="array" ref="M2027">INDEX($BV$29:$BV$1449,MATCH($D2027,$BR$29:$BR$1449,0),)</f>
        <v>1.8</v>
      </c>
      <c r="N2027" s="150">
        <f t="shared" si="603"/>
        <v>0</v>
      </c>
      <c r="O2027" s="150">
        <f t="shared" si="604"/>
        <v>0.00439319055464038</v>
      </c>
      <c r="P2027" s="150">
        <f t="shared" si="612"/>
        <v>0.018941504178273</v>
      </c>
      <c r="Q2027" s="89">
        <f t="shared" si="615"/>
        <v>0.016111111111111</v>
      </c>
      <c r="S2027" s="82">
        <f t="shared" si="616"/>
        <v>45341</v>
      </c>
      <c r="T2027" s="83">
        <f t="shared" si="623"/>
        <v>0.2916875</v>
      </c>
      <c r="U2027" s="83">
        <f t="shared" si="623"/>
        <v>0.25625</v>
      </c>
      <c r="W2027" s="146">
        <v>45341</v>
      </c>
      <c r="X2027" s="147">
        <v>5.16</v>
      </c>
      <c r="Y2027" s="147">
        <v>3.97</v>
      </c>
      <c r="Z2027" s="147">
        <v>4.667</v>
      </c>
      <c r="AA2027" s="59" cm="1">
        <f t="array" ref="AA2027">INDEX($BX$29:$BX$1449,MATCH($D2027,$BR$29:$BR$1449,0),)</f>
        <v>4.1</v>
      </c>
      <c r="AB2027" s="150">
        <f t="shared" si="617"/>
        <v>0.00150214592274667</v>
      </c>
      <c r="AC2027" s="150">
        <f t="shared" si="619"/>
        <v>0.00581896551724137</v>
      </c>
      <c r="AD2027" s="150">
        <f t="shared" si="622"/>
        <v>0.0218962119553316</v>
      </c>
      <c r="AE2027" s="89">
        <f t="shared" si="618"/>
        <v>0.138292682926829</v>
      </c>
      <c r="AF2027" s="36"/>
      <c r="GF2027" s="104">
        <f t="shared" si="606"/>
        <v>2020</v>
      </c>
      <c r="GG2027" s="104">
        <f t="shared" si="607"/>
        <v>53</v>
      </c>
      <c r="GH2027" s="35">
        <v>44194</v>
      </c>
      <c r="GI2027" s="26">
        <v>1.803</v>
      </c>
      <c r="GJ2027" s="94">
        <f t="shared" si="608"/>
        <v>3.606</v>
      </c>
      <c r="GK2027" s="104"/>
      <c r="GL2027" s="104"/>
    </row>
    <row r="2028" spans="3:194">
      <c r="C2028" s="80" t="str" cm="1">
        <f t="array" ref="C2028">_xlfn.IFS(MONTH(D2028)&lt;4,1,MONTH(D2028)&lt;7,2,MONTH(D2028)&lt;10,3,MONTH(D2028)&gt;9,4)&amp;"Q"&amp;RIGHT(YEAR(D2028),2)</f>
        <v>1Q24</v>
      </c>
      <c r="D2028" s="81">
        <f t="shared" si="621"/>
        <v>45351</v>
      </c>
      <c r="E2028" s="82">
        <f t="shared" si="614"/>
        <v>45342</v>
      </c>
      <c r="F2028" s="83">
        <f t="shared" si="624"/>
        <v>0.228875</v>
      </c>
      <c r="G2028" s="83">
        <f t="shared" si="624"/>
        <v>0.225</v>
      </c>
      <c r="H2028" s="81"/>
      <c r="I2028" s="146">
        <v>45342</v>
      </c>
      <c r="J2028" s="147">
        <v>2.07</v>
      </c>
      <c r="K2028" s="147">
        <v>1.75</v>
      </c>
      <c r="L2028" s="147">
        <v>1.831</v>
      </c>
      <c r="M2028" s="59" cm="1">
        <f t="array" ref="M2028">INDEX($BV$29:$BV$1449,MATCH($D2028,$BR$29:$BR$1449,0),)</f>
        <v>1.8</v>
      </c>
      <c r="N2028" s="150">
        <f t="shared" ref="N2028:N2091" si="625">L2028/L2027-1</f>
        <v>0.00109349371241119</v>
      </c>
      <c r="O2028" s="150">
        <f t="shared" ref="O2028:O2091" si="626">L2028/L2023-1</f>
        <v>0.0038377192982455</v>
      </c>
      <c r="P2028" s="150">
        <f t="shared" si="612"/>
        <v>0.0200557103064067</v>
      </c>
      <c r="Q2028" s="89">
        <f t="shared" si="615"/>
        <v>0.0172222222222222</v>
      </c>
      <c r="S2028" s="82">
        <f t="shared" si="616"/>
        <v>45342</v>
      </c>
      <c r="T2028" s="83">
        <f t="shared" si="623"/>
        <v>0.2933125</v>
      </c>
      <c r="U2028" s="83">
        <f t="shared" si="623"/>
        <v>0.25625</v>
      </c>
      <c r="W2028" s="146">
        <v>45342</v>
      </c>
      <c r="X2028" s="147">
        <v>5.16</v>
      </c>
      <c r="Y2028" s="147">
        <v>4</v>
      </c>
      <c r="Z2028" s="147">
        <v>4.693</v>
      </c>
      <c r="AA2028" s="59" cm="1">
        <f t="array" ref="AA2028">INDEX($BX$29:$BX$1449,MATCH($D2028,$BR$29:$BR$1449,0),)</f>
        <v>4.1</v>
      </c>
      <c r="AB2028" s="150">
        <f t="shared" si="617"/>
        <v>0.00557103064066844</v>
      </c>
      <c r="AC2028" s="150">
        <f t="shared" si="619"/>
        <v>0.0107688994184794</v>
      </c>
      <c r="AD2028" s="150">
        <f t="shared" si="622"/>
        <v>0.0208831846856643</v>
      </c>
      <c r="AE2028" s="89">
        <f t="shared" si="618"/>
        <v>0.144634146341463</v>
      </c>
      <c r="AF2028" s="36"/>
      <c r="GF2028" s="104">
        <f t="shared" si="606"/>
        <v>2020</v>
      </c>
      <c r="GG2028" s="104">
        <f t="shared" si="607"/>
        <v>53</v>
      </c>
      <c r="GH2028" s="35">
        <v>44195</v>
      </c>
      <c r="GI2028" s="26">
        <v>1.808</v>
      </c>
      <c r="GJ2028" s="94">
        <f t="shared" si="608"/>
        <v>3.616</v>
      </c>
      <c r="GK2028" s="104"/>
      <c r="GL2028" s="104"/>
    </row>
    <row r="2029" spans="3:194">
      <c r="C2029" s="80" t="str" cm="1">
        <f t="array" ref="C2029">_xlfn.IFS(MONTH(D2029)&lt;4,1,MONTH(D2029)&lt;7,2,MONTH(D2029)&lt;10,3,MONTH(D2029)&gt;9,4)&amp;"Q"&amp;RIGHT(YEAR(D2029),2)</f>
        <v>1Q24</v>
      </c>
      <c r="D2029" s="81">
        <f t="shared" si="621"/>
        <v>45351</v>
      </c>
      <c r="E2029" s="82">
        <f t="shared" si="614"/>
        <v>45343</v>
      </c>
      <c r="F2029" s="83">
        <f t="shared" si="624"/>
        <v>0.2285</v>
      </c>
      <c r="G2029" s="83">
        <f t="shared" si="624"/>
        <v>0.225</v>
      </c>
      <c r="H2029" s="81"/>
      <c r="I2029" s="146">
        <v>45343</v>
      </c>
      <c r="J2029" s="147">
        <v>2.05</v>
      </c>
      <c r="K2029" s="147">
        <v>1.75</v>
      </c>
      <c r="L2029" s="147">
        <v>1.828</v>
      </c>
      <c r="M2029" s="59" cm="1">
        <f t="array" ref="M2029">INDEX($BV$29:$BV$1449,MATCH($D2029,$BR$29:$BR$1449,0),)</f>
        <v>1.8</v>
      </c>
      <c r="N2029" s="150">
        <f t="shared" si="625"/>
        <v>-0.00163844893500809</v>
      </c>
      <c r="O2029" s="150">
        <f t="shared" si="626"/>
        <v>0.00219298245614041</v>
      </c>
      <c r="P2029" s="150">
        <f t="shared" si="612"/>
        <v>0.0166852057842046</v>
      </c>
      <c r="Q2029" s="89">
        <f t="shared" si="615"/>
        <v>0.0155555555555555</v>
      </c>
      <c r="S2029" s="82">
        <f t="shared" si="616"/>
        <v>45343</v>
      </c>
      <c r="T2029" s="83">
        <f t="shared" si="623"/>
        <v>0.2941875</v>
      </c>
      <c r="U2029" s="83">
        <f t="shared" si="623"/>
        <v>0.25625</v>
      </c>
      <c r="W2029" s="146">
        <v>45343</v>
      </c>
      <c r="X2029" s="147">
        <v>5.17</v>
      </c>
      <c r="Y2029" s="147">
        <v>4.05</v>
      </c>
      <c r="Z2029" s="147">
        <v>4.707</v>
      </c>
      <c r="AA2029" s="59" cm="1">
        <f t="array" ref="AA2029">INDEX($BX$29:$BX$1449,MATCH($D2029,$BR$29:$BR$1449,0),)</f>
        <v>4.1</v>
      </c>
      <c r="AB2029" s="150">
        <f t="shared" si="617"/>
        <v>0.00298316641806951</v>
      </c>
      <c r="AC2029" s="150">
        <f t="shared" si="619"/>
        <v>0.0129115558424788</v>
      </c>
      <c r="AD2029" s="150">
        <f t="shared" si="622"/>
        <v>0.0217060994139353</v>
      </c>
      <c r="AE2029" s="89">
        <f t="shared" si="618"/>
        <v>0.148048780487805</v>
      </c>
      <c r="AF2029" s="36"/>
      <c r="GF2029" s="104">
        <f t="shared" si="606"/>
        <v>2020</v>
      </c>
      <c r="GG2029" s="104">
        <f t="shared" si="607"/>
        <v>53</v>
      </c>
      <c r="GH2029" s="35">
        <v>44196</v>
      </c>
      <c r="GI2029" s="26">
        <v>1.813</v>
      </c>
      <c r="GJ2029" s="94">
        <f t="shared" si="608"/>
        <v>3.626</v>
      </c>
      <c r="GK2029" s="104"/>
      <c r="GL2029" s="104"/>
    </row>
    <row r="2030" spans="3:194">
      <c r="C2030" s="80" t="str" cm="1">
        <f t="array" ref="C2030">_xlfn.IFS(MONTH(D2030)&lt;4,1,MONTH(D2030)&lt;7,2,MONTH(D2030)&lt;10,3,MONTH(D2030)&gt;9,4)&amp;"Q"&amp;RIGHT(YEAR(D2030),2)</f>
        <v>1Q24</v>
      </c>
      <c r="D2030" s="81">
        <f t="shared" si="621"/>
        <v>45351</v>
      </c>
      <c r="E2030" s="82">
        <f t="shared" si="614"/>
        <v>45344</v>
      </c>
      <c r="F2030" s="83">
        <f t="shared" si="624"/>
        <v>0.2285</v>
      </c>
      <c r="G2030" s="83">
        <f t="shared" si="624"/>
        <v>0.225</v>
      </c>
      <c r="H2030" s="81"/>
      <c r="I2030" s="146">
        <v>45344</v>
      </c>
      <c r="J2030" s="147">
        <v>2.05</v>
      </c>
      <c r="K2030" s="147">
        <v>1.75</v>
      </c>
      <c r="L2030" s="147">
        <v>1.828</v>
      </c>
      <c r="M2030" s="59" cm="1">
        <f t="array" ref="M2030">INDEX($BV$29:$BV$1449,MATCH($D2030,$BR$29:$BR$1449,0),)</f>
        <v>1.8</v>
      </c>
      <c r="N2030" s="150">
        <f t="shared" si="625"/>
        <v>0</v>
      </c>
      <c r="O2030" s="150">
        <f t="shared" si="626"/>
        <v>0.00219298245614041</v>
      </c>
      <c r="P2030" s="150">
        <f t="shared" si="612"/>
        <v>0.0121816168327797</v>
      </c>
      <c r="Q2030" s="89">
        <f t="shared" si="615"/>
        <v>0.0155555555555555</v>
      </c>
      <c r="S2030" s="82">
        <f t="shared" si="616"/>
        <v>45344</v>
      </c>
      <c r="T2030" s="83">
        <f t="shared" si="623"/>
        <v>0.2945625</v>
      </c>
      <c r="U2030" s="83">
        <f t="shared" si="623"/>
        <v>0.25625</v>
      </c>
      <c r="W2030" s="146">
        <v>45344</v>
      </c>
      <c r="X2030" s="147">
        <v>5.17</v>
      </c>
      <c r="Y2030" s="147">
        <v>4.05</v>
      </c>
      <c r="Z2030" s="147">
        <v>4.713</v>
      </c>
      <c r="AA2030" s="59" cm="1">
        <f t="array" ref="AA2030">INDEX($BX$29:$BX$1449,MATCH($D2030,$BR$29:$BR$1449,0),)</f>
        <v>4.1</v>
      </c>
      <c r="AB2030" s="150">
        <f t="shared" si="617"/>
        <v>0.00127469725940088</v>
      </c>
      <c r="AC2030" s="150">
        <f t="shared" si="619"/>
        <v>0.0128949065119279</v>
      </c>
      <c r="AD2030" s="150">
        <f t="shared" si="622"/>
        <v>0.0194678780012978</v>
      </c>
      <c r="AE2030" s="89">
        <f t="shared" si="618"/>
        <v>0.149512195121951</v>
      </c>
      <c r="AF2030" s="36"/>
      <c r="GF2030" s="104">
        <f t="shared" si="606"/>
        <v>2021</v>
      </c>
      <c r="GG2030" s="104">
        <f t="shared" si="607"/>
        <v>2</v>
      </c>
      <c r="GH2030" s="35">
        <v>44200</v>
      </c>
      <c r="GI2030" s="26">
        <v>1.838</v>
      </c>
      <c r="GJ2030" s="94">
        <f t="shared" si="608"/>
        <v>3.676</v>
      </c>
      <c r="GK2030" s="104"/>
      <c r="GL2030" s="104"/>
    </row>
    <row r="2031" spans="3:194">
      <c r="C2031" s="80" t="str" cm="1">
        <f t="array" ref="C2031">_xlfn.IFS(MONTH(D2031)&lt;4,1,MONTH(D2031)&lt;7,2,MONTH(D2031)&lt;10,3,MONTH(D2031)&gt;9,4)&amp;"Q"&amp;RIGHT(YEAR(D2031),2)</f>
        <v>1Q24</v>
      </c>
      <c r="D2031" s="81">
        <f t="shared" si="621"/>
        <v>45351</v>
      </c>
      <c r="E2031" s="82">
        <f t="shared" si="614"/>
        <v>45345</v>
      </c>
      <c r="F2031" s="83">
        <f t="shared" si="624"/>
        <v>0.2285</v>
      </c>
      <c r="G2031" s="83">
        <f t="shared" si="624"/>
        <v>0.225</v>
      </c>
      <c r="H2031" s="81"/>
      <c r="I2031" s="146">
        <v>45345</v>
      </c>
      <c r="J2031" s="147">
        <v>2.05</v>
      </c>
      <c r="K2031" s="147">
        <v>1.76</v>
      </c>
      <c r="L2031" s="147">
        <v>1.828</v>
      </c>
      <c r="M2031" s="59" cm="1">
        <f t="array" ref="M2031">INDEX($BV$29:$BV$1449,MATCH($D2031,$BR$29:$BR$1449,0),)</f>
        <v>1.8</v>
      </c>
      <c r="N2031" s="150">
        <f t="shared" si="625"/>
        <v>0</v>
      </c>
      <c r="O2031" s="150">
        <f t="shared" si="626"/>
        <v>-0.000546746856205482</v>
      </c>
      <c r="P2031" s="150">
        <f t="shared" si="612"/>
        <v>0.00771775082690196</v>
      </c>
      <c r="Q2031" s="89">
        <f t="shared" si="615"/>
        <v>0.0155555555555555</v>
      </c>
      <c r="S2031" s="82">
        <f t="shared" si="616"/>
        <v>45345</v>
      </c>
      <c r="T2031" s="83">
        <f t="shared" si="623"/>
        <v>0.2948125</v>
      </c>
      <c r="U2031" s="83">
        <f t="shared" si="623"/>
        <v>0.25625</v>
      </c>
      <c r="W2031" s="146">
        <v>45345</v>
      </c>
      <c r="X2031" s="147">
        <v>5.2</v>
      </c>
      <c r="Y2031" s="147">
        <v>4.07</v>
      </c>
      <c r="Z2031" s="147">
        <v>4.717</v>
      </c>
      <c r="AA2031" s="59" cm="1">
        <f t="array" ref="AA2031">INDEX($BX$29:$BX$1449,MATCH($D2031,$BR$29:$BR$1449,0),)</f>
        <v>4.1</v>
      </c>
      <c r="AB2031" s="150">
        <f t="shared" si="617"/>
        <v>0.00084871631657113</v>
      </c>
      <c r="AC2031" s="150">
        <f t="shared" si="619"/>
        <v>0.0122317596566524</v>
      </c>
      <c r="AD2031" s="150">
        <f t="shared" si="622"/>
        <v>0.0187904967602592</v>
      </c>
      <c r="AE2031" s="89">
        <f t="shared" si="618"/>
        <v>0.150487804878049</v>
      </c>
      <c r="AF2031" s="36"/>
      <c r="GF2031" s="104">
        <f t="shared" si="606"/>
        <v>2021</v>
      </c>
      <c r="GG2031" s="104">
        <f t="shared" si="607"/>
        <v>2</v>
      </c>
      <c r="GH2031" s="35">
        <v>44201</v>
      </c>
      <c r="GI2031" s="26">
        <v>1.858</v>
      </c>
      <c r="GJ2031" s="94">
        <f t="shared" si="608"/>
        <v>3.716</v>
      </c>
      <c r="GK2031" s="104"/>
      <c r="GL2031" s="104"/>
    </row>
    <row r="2032" spans="3:194">
      <c r="C2032" s="80" t="str" cm="1">
        <f t="array" ref="C2032">_xlfn.IFS(MONTH(D2032)&lt;4,1,MONTH(D2032)&lt;7,2,MONTH(D2032)&lt;10,3,MONTH(D2032)&gt;9,4)&amp;"Q"&amp;RIGHT(YEAR(D2032),2)</f>
        <v>1Q24</v>
      </c>
      <c r="D2032" s="81">
        <f t="shared" si="621"/>
        <v>45351</v>
      </c>
      <c r="E2032" s="82">
        <f t="shared" si="614"/>
        <v>45348</v>
      </c>
      <c r="F2032" s="83">
        <f t="shared" si="624"/>
        <v>0.228875</v>
      </c>
      <c r="G2032" s="83">
        <f t="shared" si="624"/>
        <v>0.225</v>
      </c>
      <c r="H2032" s="81"/>
      <c r="I2032" s="146">
        <v>45348</v>
      </c>
      <c r="J2032" s="147">
        <v>2.05</v>
      </c>
      <c r="K2032" s="147">
        <v>1.76</v>
      </c>
      <c r="L2032" s="147">
        <v>1.831</v>
      </c>
      <c r="M2032" s="59" cm="1">
        <f t="array" ref="M2032">INDEX($BV$29:$BV$1449,MATCH($D2032,$BR$29:$BR$1449,0),)</f>
        <v>1.8</v>
      </c>
      <c r="N2032" s="150">
        <f t="shared" si="625"/>
        <v>0.00164113785557984</v>
      </c>
      <c r="O2032" s="150">
        <f t="shared" si="626"/>
        <v>0.00109349371241119</v>
      </c>
      <c r="P2032" s="150">
        <f t="shared" si="612"/>
        <v>0.00549148819330036</v>
      </c>
      <c r="Q2032" s="89">
        <f t="shared" si="615"/>
        <v>0.0172222222222222</v>
      </c>
      <c r="S2032" s="82">
        <f t="shared" si="616"/>
        <v>45348</v>
      </c>
      <c r="T2032" s="83">
        <f t="shared" ref="T2032:U2047" si="627">+Z2032/16</f>
        <v>0.2948125</v>
      </c>
      <c r="U2032" s="83">
        <f t="shared" si="627"/>
        <v>0.25625</v>
      </c>
      <c r="W2032" s="146">
        <v>45348</v>
      </c>
      <c r="X2032" s="147">
        <v>5.2</v>
      </c>
      <c r="Y2032" s="147">
        <v>4.07</v>
      </c>
      <c r="Z2032" s="147">
        <v>4.717</v>
      </c>
      <c r="AA2032" s="59" cm="1">
        <f t="array" ref="AA2032">INDEX($BX$29:$BX$1449,MATCH($D2032,$BR$29:$BR$1449,0),)</f>
        <v>4.1</v>
      </c>
      <c r="AB2032" s="150">
        <f t="shared" si="617"/>
        <v>0</v>
      </c>
      <c r="AC2032" s="150">
        <f t="shared" si="619"/>
        <v>0.0107135204628241</v>
      </c>
      <c r="AD2032" s="150">
        <f t="shared" si="622"/>
        <v>0.0165948275862069</v>
      </c>
      <c r="AE2032" s="89">
        <f t="shared" si="618"/>
        <v>0.150487804878049</v>
      </c>
      <c r="AF2032" s="36"/>
      <c r="GF2032" s="104">
        <f t="shared" si="606"/>
        <v>2021</v>
      </c>
      <c r="GG2032" s="104">
        <f t="shared" si="607"/>
        <v>2</v>
      </c>
      <c r="GH2032" s="35">
        <v>44202</v>
      </c>
      <c r="GI2032" s="26">
        <v>1.868</v>
      </c>
      <c r="GJ2032" s="94">
        <f t="shared" si="608"/>
        <v>3.736</v>
      </c>
      <c r="GK2032" s="104"/>
      <c r="GL2032" s="104"/>
    </row>
    <row r="2033" spans="3:194">
      <c r="C2033" s="80" t="str" cm="1">
        <f t="array" ref="C2033">_xlfn.IFS(MONTH(D2033)&lt;4,1,MONTH(D2033)&lt;7,2,MONTH(D2033)&lt;10,3,MONTH(D2033)&gt;9,4)&amp;"Q"&amp;RIGHT(YEAR(D2033),2)</f>
        <v>1Q24</v>
      </c>
      <c r="D2033" s="81">
        <f t="shared" si="621"/>
        <v>45351</v>
      </c>
      <c r="E2033" s="82">
        <f t="shared" si="614"/>
        <v>45349</v>
      </c>
      <c r="F2033" s="83">
        <f t="shared" si="624"/>
        <v>0.2285</v>
      </c>
      <c r="G2033" s="83">
        <f t="shared" si="624"/>
        <v>0.225</v>
      </c>
      <c r="H2033" s="81"/>
      <c r="I2033" s="146">
        <v>45349</v>
      </c>
      <c r="J2033" s="147">
        <v>2.04</v>
      </c>
      <c r="K2033" s="147">
        <v>1.77</v>
      </c>
      <c r="L2033" s="147">
        <v>1.828</v>
      </c>
      <c r="M2033" s="59" cm="1">
        <f t="array" ref="M2033">INDEX($BV$29:$BV$1449,MATCH($D2033,$BR$29:$BR$1449,0),)</f>
        <v>1.8</v>
      </c>
      <c r="N2033" s="150">
        <f t="shared" si="625"/>
        <v>-0.00163844893500809</v>
      </c>
      <c r="O2033" s="150">
        <f t="shared" si="626"/>
        <v>-0.00163844893500809</v>
      </c>
      <c r="P2033" s="150">
        <f t="shared" si="612"/>
        <v>0.00219298245614041</v>
      </c>
      <c r="Q2033" s="89">
        <f t="shared" si="615"/>
        <v>0.0155555555555555</v>
      </c>
      <c r="S2033" s="82">
        <f t="shared" si="616"/>
        <v>45349</v>
      </c>
      <c r="T2033" s="83">
        <f t="shared" si="627"/>
        <v>0.2948125</v>
      </c>
      <c r="U2033" s="83">
        <f t="shared" si="627"/>
        <v>0.25625</v>
      </c>
      <c r="W2033" s="146">
        <v>45349</v>
      </c>
      <c r="X2033" s="147">
        <v>5.22</v>
      </c>
      <c r="Y2033" s="147">
        <v>4.05</v>
      </c>
      <c r="Z2033" s="147">
        <v>4.717</v>
      </c>
      <c r="AA2033" s="59" cm="1">
        <f t="array" ref="AA2033">INDEX($BX$29:$BX$1449,MATCH($D2033,$BR$29:$BR$1449,0),)</f>
        <v>4.1</v>
      </c>
      <c r="AB2033" s="150">
        <f t="shared" si="617"/>
        <v>0</v>
      </c>
      <c r="AC2033" s="150">
        <f t="shared" si="619"/>
        <v>0.00511399957383341</v>
      </c>
      <c r="AD2033" s="150">
        <f t="shared" si="622"/>
        <v>0.0159379711393495</v>
      </c>
      <c r="AE2033" s="89">
        <f t="shared" si="618"/>
        <v>0.150487804878049</v>
      </c>
      <c r="AF2033" s="36"/>
      <c r="GF2033" s="104">
        <f t="shared" si="606"/>
        <v>2021</v>
      </c>
      <c r="GG2033" s="104">
        <f t="shared" si="607"/>
        <v>2</v>
      </c>
      <c r="GH2033" s="35">
        <v>44203</v>
      </c>
      <c r="GI2033" s="26">
        <v>1.87</v>
      </c>
      <c r="GJ2033" s="94">
        <f t="shared" si="608"/>
        <v>3.74</v>
      </c>
      <c r="GK2033" s="104"/>
      <c r="GL2033" s="104"/>
    </row>
    <row r="2034" spans="3:194">
      <c r="C2034" s="80" t="str" cm="1">
        <f t="array" ref="C2034">_xlfn.IFS(MONTH(D2034)&lt;4,1,MONTH(D2034)&lt;7,2,MONTH(D2034)&lt;10,3,MONTH(D2034)&gt;9,4)&amp;"Q"&amp;RIGHT(YEAR(D2034),2)</f>
        <v>1Q24</v>
      </c>
      <c r="D2034" s="81">
        <f t="shared" si="621"/>
        <v>45351</v>
      </c>
      <c r="E2034" s="82">
        <f t="shared" si="614"/>
        <v>45350</v>
      </c>
      <c r="F2034" s="83">
        <f t="shared" si="624"/>
        <v>0.228375</v>
      </c>
      <c r="G2034" s="83">
        <f t="shared" si="624"/>
        <v>0.225</v>
      </c>
      <c r="H2034" s="81"/>
      <c r="I2034" s="146">
        <v>45350</v>
      </c>
      <c r="J2034" s="147">
        <v>2.04</v>
      </c>
      <c r="K2034" s="147">
        <v>1.76</v>
      </c>
      <c r="L2034" s="147">
        <v>1.827</v>
      </c>
      <c r="M2034" s="59" cm="1">
        <f t="array" ref="M2034">INDEX($BV$29:$BV$1449,MATCH($D2034,$BR$29:$BR$1449,0),)</f>
        <v>1.8</v>
      </c>
      <c r="N2034" s="150">
        <f t="shared" si="625"/>
        <v>-0.000547045951860059</v>
      </c>
      <c r="O2034" s="150">
        <f t="shared" si="626"/>
        <v>-0.000547045951860059</v>
      </c>
      <c r="P2034" s="150">
        <f t="shared" si="612"/>
        <v>0.00164473684210531</v>
      </c>
      <c r="Q2034" s="89">
        <f t="shared" si="615"/>
        <v>0.0149999999999999</v>
      </c>
      <c r="S2034" s="82">
        <f t="shared" si="616"/>
        <v>45350</v>
      </c>
      <c r="T2034" s="83">
        <f t="shared" si="627"/>
        <v>0.2945625</v>
      </c>
      <c r="U2034" s="83">
        <f t="shared" si="627"/>
        <v>0.25625</v>
      </c>
      <c r="W2034" s="146">
        <v>45350</v>
      </c>
      <c r="X2034" s="147">
        <v>5.22</v>
      </c>
      <c r="Y2034" s="147">
        <v>4.05</v>
      </c>
      <c r="Z2034" s="147">
        <v>4.713</v>
      </c>
      <c r="AA2034" s="59" cm="1">
        <f t="array" ref="AA2034">INDEX($BX$29:$BX$1449,MATCH($D2034,$BR$29:$BR$1449,0),)</f>
        <v>4.1</v>
      </c>
      <c r="AB2034" s="150">
        <f t="shared" si="617"/>
        <v>-0.00084799660801349</v>
      </c>
      <c r="AC2034" s="150">
        <f t="shared" si="619"/>
        <v>0.00127469725940088</v>
      </c>
      <c r="AD2034" s="150">
        <f t="shared" si="622"/>
        <v>0.0142027114267269</v>
      </c>
      <c r="AE2034" s="89">
        <f t="shared" si="618"/>
        <v>0.149512195121951</v>
      </c>
      <c r="AF2034" s="36"/>
      <c r="GF2034" s="104">
        <f t="shared" si="606"/>
        <v>2021</v>
      </c>
      <c r="GG2034" s="104">
        <f t="shared" si="607"/>
        <v>2</v>
      </c>
      <c r="GH2034" s="35">
        <v>44204</v>
      </c>
      <c r="GI2034" s="26">
        <v>1.873</v>
      </c>
      <c r="GJ2034" s="94">
        <f t="shared" si="608"/>
        <v>3.746</v>
      </c>
      <c r="GK2034" s="104"/>
      <c r="GL2034" s="104"/>
    </row>
    <row r="2035" spans="3:194">
      <c r="C2035" s="80" t="str" cm="1">
        <f t="array" ref="C2035">_xlfn.IFS(MONTH(D2035)&lt;4,1,MONTH(D2035)&lt;7,2,MONTH(D2035)&lt;10,3,MONTH(D2035)&gt;9,4)&amp;"Q"&amp;RIGHT(YEAR(D2035),2)</f>
        <v>1Q24</v>
      </c>
      <c r="D2035" s="81">
        <f t="shared" si="621"/>
        <v>45351</v>
      </c>
      <c r="E2035" s="82">
        <f t="shared" si="614"/>
        <v>45351</v>
      </c>
      <c r="F2035" s="83">
        <f t="shared" si="624"/>
        <v>0.228375</v>
      </c>
      <c r="G2035" s="83">
        <f t="shared" si="624"/>
        <v>0.225</v>
      </c>
      <c r="H2035" s="81"/>
      <c r="I2035" s="146">
        <v>45351</v>
      </c>
      <c r="J2035" s="147">
        <v>2.04</v>
      </c>
      <c r="K2035" s="147">
        <v>1.76</v>
      </c>
      <c r="L2035" s="147">
        <v>1.827</v>
      </c>
      <c r="M2035" s="59" cm="1">
        <f t="array" ref="M2035">INDEX($BV$29:$BV$1449,MATCH($D2035,$BR$29:$BR$1449,0),)</f>
        <v>1.8</v>
      </c>
      <c r="N2035" s="150">
        <f t="shared" si="625"/>
        <v>0</v>
      </c>
      <c r="O2035" s="150">
        <f t="shared" si="626"/>
        <v>-0.000547045951860059</v>
      </c>
      <c r="P2035" s="150">
        <f t="shared" si="612"/>
        <v>0.00164473684210531</v>
      </c>
      <c r="Q2035" s="89">
        <f t="shared" si="615"/>
        <v>0.0149999999999999</v>
      </c>
      <c r="S2035" s="82">
        <f t="shared" si="616"/>
        <v>45351</v>
      </c>
      <c r="T2035" s="83">
        <f t="shared" si="627"/>
        <v>0.2945625</v>
      </c>
      <c r="U2035" s="83">
        <f t="shared" si="627"/>
        <v>0.25625</v>
      </c>
      <c r="W2035" s="146">
        <v>45351</v>
      </c>
      <c r="X2035" s="147">
        <v>5.2</v>
      </c>
      <c r="Y2035" s="147">
        <v>4.03</v>
      </c>
      <c r="Z2035" s="147">
        <v>4.713</v>
      </c>
      <c r="AA2035" s="59" cm="1">
        <f t="array" ref="AA2035">INDEX($BX$29:$BX$1449,MATCH($D2035,$BR$29:$BR$1449,0),)</f>
        <v>4.1</v>
      </c>
      <c r="AB2035" s="150">
        <f t="shared" si="617"/>
        <v>0</v>
      </c>
      <c r="AC2035" s="150">
        <f t="shared" si="619"/>
        <v>0</v>
      </c>
      <c r="AD2035" s="150">
        <f t="shared" si="622"/>
        <v>0.0128949065119279</v>
      </c>
      <c r="AE2035" s="89">
        <f t="shared" si="618"/>
        <v>0.149512195121951</v>
      </c>
      <c r="AF2035" s="36"/>
      <c r="GF2035" s="104">
        <f t="shared" si="606"/>
        <v>2021</v>
      </c>
      <c r="GG2035" s="104">
        <f t="shared" si="607"/>
        <v>3</v>
      </c>
      <c r="GH2035" s="35">
        <v>44207</v>
      </c>
      <c r="GI2035" s="26">
        <v>1.878</v>
      </c>
      <c r="GJ2035" s="94">
        <f t="shared" si="608"/>
        <v>3.756</v>
      </c>
      <c r="GK2035" s="104"/>
      <c r="GL2035" s="104"/>
    </row>
    <row r="2036" spans="3:194">
      <c r="C2036" s="80" t="str" cm="1">
        <f t="array" ref="C2036">_xlfn.IFS(MONTH(D2036)&lt;4,1,MONTH(D2036)&lt;7,2,MONTH(D2036)&lt;10,3,MONTH(D2036)&gt;9,4)&amp;"Q"&amp;RIGHT(YEAR(D2036),2)</f>
        <v>1Q24</v>
      </c>
      <c r="D2036" s="81">
        <f t="shared" si="621"/>
        <v>45382</v>
      </c>
      <c r="E2036" s="82">
        <f t="shared" si="614"/>
        <v>45352</v>
      </c>
      <c r="F2036" s="83">
        <f t="shared" si="624"/>
        <v>0.22725</v>
      </c>
      <c r="G2036" s="83">
        <f t="shared" si="624"/>
        <v>0.225</v>
      </c>
      <c r="H2036" s="81"/>
      <c r="I2036" s="146">
        <v>45352</v>
      </c>
      <c r="J2036" s="147">
        <v>2.04</v>
      </c>
      <c r="K2036" s="147">
        <v>1.75</v>
      </c>
      <c r="L2036" s="147">
        <v>1.818</v>
      </c>
      <c r="M2036" s="59" cm="1">
        <f t="array" ref="M2036">INDEX($BV$29:$BV$1449,MATCH($D2036,$BR$29:$BR$1449,0),)</f>
        <v>1.8</v>
      </c>
      <c r="N2036" s="150">
        <f t="shared" si="625"/>
        <v>-0.00492610837438423</v>
      </c>
      <c r="O2036" s="150">
        <f t="shared" si="626"/>
        <v>-0.00547045951859959</v>
      </c>
      <c r="P2036" s="150">
        <f t="shared" si="612"/>
        <v>-0.0060142154182613</v>
      </c>
      <c r="Q2036" s="89">
        <f t="shared" si="615"/>
        <v>0.01</v>
      </c>
      <c r="S2036" s="82">
        <f t="shared" si="616"/>
        <v>45352</v>
      </c>
      <c r="T2036" s="83">
        <f t="shared" si="627"/>
        <v>0.2945625</v>
      </c>
      <c r="U2036" s="83">
        <f t="shared" si="627"/>
        <v>0.25625</v>
      </c>
      <c r="W2036" s="146">
        <v>45352</v>
      </c>
      <c r="X2036" s="147">
        <v>5.2</v>
      </c>
      <c r="Y2036" s="147">
        <v>4.03</v>
      </c>
      <c r="Z2036" s="147">
        <v>4.713</v>
      </c>
      <c r="AA2036" s="59" cm="1">
        <f t="array" ref="AA2036">INDEX($BX$29:$BX$1449,MATCH($D2036,$BR$29:$BR$1449,0),)</f>
        <v>4.1</v>
      </c>
      <c r="AB2036" s="150">
        <f t="shared" si="617"/>
        <v>0</v>
      </c>
      <c r="AC2036" s="150">
        <f t="shared" si="619"/>
        <v>-0.00084799660801349</v>
      </c>
      <c r="AD2036" s="150">
        <f t="shared" si="622"/>
        <v>0.0113733905579398</v>
      </c>
      <c r="AE2036" s="89">
        <f t="shared" si="618"/>
        <v>0.149512195121951</v>
      </c>
      <c r="AF2036" s="36"/>
      <c r="GF2036" s="104">
        <f t="shared" ref="GF2036:GF2084" si="628">YEAR(GH2036)</f>
        <v>2021</v>
      </c>
      <c r="GG2036" s="104">
        <f t="shared" ref="GG2036:GG2084" si="629">WEEKNUM(GH2036)</f>
        <v>3</v>
      </c>
      <c r="GH2036" s="35">
        <v>44208</v>
      </c>
      <c r="GI2036" s="26">
        <v>1.878</v>
      </c>
      <c r="GJ2036" s="94">
        <f t="shared" ref="GJ2036:GJ2084" si="630">GI2036*2</f>
        <v>3.756</v>
      </c>
      <c r="GK2036" s="104"/>
      <c r="GL2036" s="104"/>
    </row>
    <row r="2037" spans="3:194">
      <c r="C2037" s="80" t="str" cm="1">
        <f t="array" ref="C2037">_xlfn.IFS(MONTH(D2037)&lt;4,1,MONTH(D2037)&lt;7,2,MONTH(D2037)&lt;10,3,MONTH(D2037)&gt;9,4)&amp;"Q"&amp;RIGHT(YEAR(D2037),2)</f>
        <v>1Q24</v>
      </c>
      <c r="D2037" s="81">
        <f t="shared" si="621"/>
        <v>45382</v>
      </c>
      <c r="E2037" s="82">
        <f t="shared" si="614"/>
        <v>45355</v>
      </c>
      <c r="F2037" s="83">
        <f t="shared" si="624"/>
        <v>0.226875</v>
      </c>
      <c r="G2037" s="83">
        <f t="shared" si="624"/>
        <v>0.225</v>
      </c>
      <c r="H2037" s="81"/>
      <c r="I2037" s="146">
        <v>45355</v>
      </c>
      <c r="J2037" s="147">
        <v>2.02</v>
      </c>
      <c r="K2037" s="147">
        <v>1.74</v>
      </c>
      <c r="L2037" s="147">
        <v>1.815</v>
      </c>
      <c r="M2037" s="59" cm="1">
        <f t="array" ref="M2037">INDEX($BV$29:$BV$1449,MATCH($D2037,$BR$29:$BR$1449,0),)</f>
        <v>1.8</v>
      </c>
      <c r="N2037" s="150">
        <f t="shared" si="625"/>
        <v>-0.00165016501650173</v>
      </c>
      <c r="O2037" s="150">
        <f t="shared" si="626"/>
        <v>-0.00873839432004375</v>
      </c>
      <c r="P2037" s="150">
        <f t="shared" si="612"/>
        <v>-0.00765445598687808</v>
      </c>
      <c r="Q2037" s="89">
        <f t="shared" si="615"/>
        <v>0.0083333333333333</v>
      </c>
      <c r="S2037" s="82">
        <f t="shared" si="616"/>
        <v>45355</v>
      </c>
      <c r="T2037" s="83">
        <f t="shared" si="627"/>
        <v>0.2945625</v>
      </c>
      <c r="U2037" s="83">
        <f t="shared" si="627"/>
        <v>0.25625</v>
      </c>
      <c r="W2037" s="146">
        <v>45355</v>
      </c>
      <c r="X2037" s="147">
        <v>5.22</v>
      </c>
      <c r="Y2037" s="147">
        <v>4.05</v>
      </c>
      <c r="Z2037" s="147">
        <v>4.713</v>
      </c>
      <c r="AA2037" s="59" cm="1">
        <f t="array" ref="AA2037">INDEX($BX$29:$BX$1449,MATCH($D2037,$BR$29:$BR$1449,0),)</f>
        <v>4.1</v>
      </c>
      <c r="AB2037" s="150">
        <f t="shared" si="617"/>
        <v>0</v>
      </c>
      <c r="AC2037" s="150">
        <f t="shared" si="619"/>
        <v>-0.00084799660801349</v>
      </c>
      <c r="AD2037" s="150">
        <f t="shared" si="622"/>
        <v>0.00985643882579823</v>
      </c>
      <c r="AE2037" s="89">
        <f t="shared" si="618"/>
        <v>0.149512195121951</v>
      </c>
      <c r="AF2037" s="36"/>
      <c r="GF2037" s="104">
        <f t="shared" si="628"/>
        <v>2021</v>
      </c>
      <c r="GG2037" s="104">
        <f t="shared" si="629"/>
        <v>3</v>
      </c>
      <c r="GH2037" s="35">
        <v>44209</v>
      </c>
      <c r="GI2037" s="26">
        <v>1.903</v>
      </c>
      <c r="GJ2037" s="94">
        <f t="shared" si="630"/>
        <v>3.806</v>
      </c>
      <c r="GK2037" s="104"/>
      <c r="GL2037" s="104"/>
    </row>
    <row r="2038" spans="3:194">
      <c r="C2038" s="80" t="str" cm="1">
        <f t="array" ref="C2038">_xlfn.IFS(MONTH(D2038)&lt;4,1,MONTH(D2038)&lt;7,2,MONTH(D2038)&lt;10,3,MONTH(D2038)&gt;9,4)&amp;"Q"&amp;RIGHT(YEAR(D2038),2)</f>
        <v>1Q24</v>
      </c>
      <c r="D2038" s="81">
        <f t="shared" si="621"/>
        <v>45382</v>
      </c>
      <c r="E2038" s="82">
        <f t="shared" si="614"/>
        <v>45356</v>
      </c>
      <c r="F2038" s="83">
        <f t="shared" si="624"/>
        <v>0.226375</v>
      </c>
      <c r="G2038" s="83">
        <f t="shared" si="624"/>
        <v>0.225</v>
      </c>
      <c r="H2038" s="81"/>
      <c r="I2038" s="146">
        <v>45356</v>
      </c>
      <c r="J2038" s="147">
        <v>2</v>
      </c>
      <c r="K2038" s="147">
        <v>1.74</v>
      </c>
      <c r="L2038" s="147">
        <v>1.811</v>
      </c>
      <c r="M2038" s="59" cm="1">
        <f t="array" ref="M2038">INDEX($BV$29:$BV$1449,MATCH($D2038,$BR$29:$BR$1449,0),)</f>
        <v>1.8</v>
      </c>
      <c r="N2038" s="150">
        <f t="shared" si="625"/>
        <v>-0.00220385674931134</v>
      </c>
      <c r="O2038" s="150">
        <f t="shared" si="626"/>
        <v>-0.00929978118161934</v>
      </c>
      <c r="P2038" s="150">
        <f t="shared" si="612"/>
        <v>-0.0109229929000546</v>
      </c>
      <c r="Q2038" s="89">
        <f t="shared" si="615"/>
        <v>0.00611111111111096</v>
      </c>
      <c r="S2038" s="82">
        <f t="shared" si="616"/>
        <v>45356</v>
      </c>
      <c r="T2038" s="83">
        <f t="shared" si="627"/>
        <v>0.2945625</v>
      </c>
      <c r="U2038" s="83">
        <f t="shared" si="627"/>
        <v>0.25625</v>
      </c>
      <c r="W2038" s="146">
        <v>45356</v>
      </c>
      <c r="X2038" s="147">
        <v>5.25</v>
      </c>
      <c r="Y2038" s="147">
        <v>4.05</v>
      </c>
      <c r="Z2038" s="147">
        <v>4.713</v>
      </c>
      <c r="AA2038" s="59" cm="1">
        <f t="array" ref="AA2038">INDEX($BX$29:$BX$1449,MATCH($D2038,$BR$29:$BR$1449,0),)</f>
        <v>4.1</v>
      </c>
      <c r="AB2038" s="150">
        <f t="shared" si="617"/>
        <v>0</v>
      </c>
      <c r="AC2038" s="150">
        <f t="shared" si="619"/>
        <v>-0.00084799660801349</v>
      </c>
      <c r="AD2038" s="150">
        <f t="shared" si="622"/>
        <v>0.0042616663115278</v>
      </c>
      <c r="AE2038" s="89">
        <f t="shared" si="618"/>
        <v>0.149512195121951</v>
      </c>
      <c r="AF2038" s="36"/>
      <c r="GF2038" s="104">
        <f t="shared" si="628"/>
        <v>2021</v>
      </c>
      <c r="GG2038" s="104">
        <f t="shared" si="629"/>
        <v>3</v>
      </c>
      <c r="GH2038" s="35">
        <v>44210</v>
      </c>
      <c r="GI2038" s="26">
        <v>1.92</v>
      </c>
      <c r="GJ2038" s="94">
        <f t="shared" si="630"/>
        <v>3.84</v>
      </c>
      <c r="GK2038" s="104"/>
      <c r="GL2038" s="104"/>
    </row>
    <row r="2039" spans="3:194">
      <c r="C2039" s="80" t="str" cm="1">
        <f t="array" ref="C2039">_xlfn.IFS(MONTH(D2039)&lt;4,1,MONTH(D2039)&lt;7,2,MONTH(D2039)&lt;10,3,MONTH(D2039)&gt;9,4)&amp;"Q"&amp;RIGHT(YEAR(D2039),2)</f>
        <v>1Q24</v>
      </c>
      <c r="D2039" s="81">
        <f t="shared" si="621"/>
        <v>45382</v>
      </c>
      <c r="E2039" s="82">
        <f t="shared" si="614"/>
        <v>45357</v>
      </c>
      <c r="F2039" s="83">
        <f t="shared" si="624"/>
        <v>0.226125</v>
      </c>
      <c r="G2039" s="83">
        <f t="shared" si="624"/>
        <v>0.225</v>
      </c>
      <c r="H2039" s="81"/>
      <c r="I2039" s="146">
        <v>45357</v>
      </c>
      <c r="J2039" s="147">
        <v>2</v>
      </c>
      <c r="K2039" s="147">
        <v>1.74</v>
      </c>
      <c r="L2039" s="147">
        <v>1.809</v>
      </c>
      <c r="M2039" s="59" cm="1">
        <f t="array" ref="M2039">INDEX($BV$29:$BV$1449,MATCH($D2039,$BR$29:$BR$1449,0),)</f>
        <v>1.8</v>
      </c>
      <c r="N2039" s="150">
        <f t="shared" si="625"/>
        <v>-0.00110436223081167</v>
      </c>
      <c r="O2039" s="150">
        <f t="shared" si="626"/>
        <v>-0.00985221674876846</v>
      </c>
      <c r="P2039" s="150">
        <f t="shared" si="612"/>
        <v>-0.0103938730853392</v>
      </c>
      <c r="Q2039" s="89">
        <f t="shared" si="615"/>
        <v>0.00499999999999989</v>
      </c>
      <c r="S2039" s="82">
        <f t="shared" si="616"/>
        <v>45357</v>
      </c>
      <c r="T2039" s="83">
        <f t="shared" si="627"/>
        <v>0.294375</v>
      </c>
      <c r="U2039" s="83">
        <f t="shared" si="627"/>
        <v>0.25625</v>
      </c>
      <c r="W2039" s="146">
        <v>45357</v>
      </c>
      <c r="X2039" s="147">
        <v>5.25</v>
      </c>
      <c r="Y2039" s="147">
        <v>4.07</v>
      </c>
      <c r="Z2039" s="147">
        <v>4.71</v>
      </c>
      <c r="AA2039" s="59" cm="1">
        <f t="array" ref="AA2039">INDEX($BX$29:$BX$1449,MATCH($D2039,$BR$29:$BR$1449,0),)</f>
        <v>4.1</v>
      </c>
      <c r="AB2039" s="150">
        <f t="shared" si="617"/>
        <v>-0.000636537237428403</v>
      </c>
      <c r="AC2039" s="150">
        <f t="shared" si="619"/>
        <v>-0.000636537237428403</v>
      </c>
      <c r="AD2039" s="150">
        <f t="shared" si="622"/>
        <v>0.00063734862970044</v>
      </c>
      <c r="AE2039" s="89">
        <f t="shared" si="618"/>
        <v>0.148780487804878</v>
      </c>
      <c r="AF2039" s="36"/>
      <c r="GF2039" s="104">
        <f t="shared" si="628"/>
        <v>2021</v>
      </c>
      <c r="GG2039" s="104">
        <f t="shared" si="629"/>
        <v>3</v>
      </c>
      <c r="GH2039" s="35">
        <v>44211</v>
      </c>
      <c r="GI2039" s="26">
        <v>2.013</v>
      </c>
      <c r="GJ2039" s="94">
        <f t="shared" si="630"/>
        <v>4.026</v>
      </c>
      <c r="GK2039" s="104"/>
      <c r="GL2039" s="104"/>
    </row>
    <row r="2040" spans="3:194">
      <c r="C2040" s="80" t="str" cm="1">
        <f t="array" ref="C2040">_xlfn.IFS(MONTH(D2040)&lt;4,1,MONTH(D2040)&lt;7,2,MONTH(D2040)&lt;10,3,MONTH(D2040)&gt;9,4)&amp;"Q"&amp;RIGHT(YEAR(D2040),2)</f>
        <v>1Q24</v>
      </c>
      <c r="D2040" s="81">
        <f t="shared" si="621"/>
        <v>45382</v>
      </c>
      <c r="E2040" s="82">
        <f t="shared" si="614"/>
        <v>45358</v>
      </c>
      <c r="F2040" s="83">
        <f t="shared" si="624"/>
        <v>0.225875</v>
      </c>
      <c r="G2040" s="83">
        <f t="shared" si="624"/>
        <v>0.225</v>
      </c>
      <c r="H2040" s="81"/>
      <c r="I2040" s="146">
        <v>45358</v>
      </c>
      <c r="J2040" s="147">
        <v>2</v>
      </c>
      <c r="K2040" s="147">
        <v>1.71</v>
      </c>
      <c r="L2040" s="147">
        <v>1.807</v>
      </c>
      <c r="M2040" s="59" cm="1">
        <f t="array" ref="M2040">INDEX($BV$29:$BV$1449,MATCH($D2040,$BR$29:$BR$1449,0),)</f>
        <v>1.8</v>
      </c>
      <c r="N2040" s="150">
        <f t="shared" si="625"/>
        <v>-0.00110558319513543</v>
      </c>
      <c r="O2040" s="150">
        <f t="shared" si="626"/>
        <v>-0.0109469074986317</v>
      </c>
      <c r="P2040" s="150">
        <f t="shared" si="612"/>
        <v>-0.0114879649890591</v>
      </c>
      <c r="Q2040" s="89">
        <f t="shared" si="615"/>
        <v>0.00388888888888883</v>
      </c>
      <c r="S2040" s="82">
        <f t="shared" si="616"/>
        <v>45358</v>
      </c>
      <c r="T2040" s="83">
        <f t="shared" si="627"/>
        <v>0.294375</v>
      </c>
      <c r="U2040" s="83">
        <f t="shared" si="627"/>
        <v>0.25625</v>
      </c>
      <c r="W2040" s="146">
        <v>45358</v>
      </c>
      <c r="X2040" s="147">
        <v>5.25</v>
      </c>
      <c r="Y2040" s="147">
        <v>4.07</v>
      </c>
      <c r="Z2040" s="147">
        <v>4.71</v>
      </c>
      <c r="AA2040" s="59" cm="1">
        <f t="array" ref="AA2040">INDEX($BX$29:$BX$1449,MATCH($D2040,$BR$29:$BR$1449,0),)</f>
        <v>4.1</v>
      </c>
      <c r="AB2040" s="150">
        <f t="shared" si="617"/>
        <v>0</v>
      </c>
      <c r="AC2040" s="150">
        <f t="shared" si="619"/>
        <v>-0.000636537237428403</v>
      </c>
      <c r="AD2040" s="150">
        <f t="shared" si="622"/>
        <v>-0.000636537237428403</v>
      </c>
      <c r="AE2040" s="89">
        <f t="shared" si="618"/>
        <v>0.148780487804878</v>
      </c>
      <c r="AF2040" s="36"/>
      <c r="GF2040" s="104">
        <f t="shared" si="628"/>
        <v>2021</v>
      </c>
      <c r="GG2040" s="104">
        <f t="shared" si="629"/>
        <v>4</v>
      </c>
      <c r="GH2040" s="35">
        <v>44214</v>
      </c>
      <c r="GI2040" s="26">
        <v>2.083</v>
      </c>
      <c r="GJ2040" s="94">
        <f t="shared" si="630"/>
        <v>4.166</v>
      </c>
      <c r="GK2040" s="104"/>
      <c r="GL2040" s="104"/>
    </row>
    <row r="2041" spans="3:194">
      <c r="C2041" s="80" t="str" cm="1">
        <f t="array" ref="C2041">_xlfn.IFS(MONTH(D2041)&lt;4,1,MONTH(D2041)&lt;7,2,MONTH(D2041)&lt;10,3,MONTH(D2041)&gt;9,4)&amp;"Q"&amp;RIGHT(YEAR(D2041),2)</f>
        <v>1Q24</v>
      </c>
      <c r="D2041" s="81">
        <f t="shared" si="621"/>
        <v>45382</v>
      </c>
      <c r="E2041" s="82">
        <f t="shared" si="614"/>
        <v>45359</v>
      </c>
      <c r="F2041" s="83">
        <f t="shared" si="624"/>
        <v>0.225875</v>
      </c>
      <c r="G2041" s="83">
        <f t="shared" si="624"/>
        <v>0.225</v>
      </c>
      <c r="H2041" s="81"/>
      <c r="I2041" s="146">
        <v>45359</v>
      </c>
      <c r="J2041" s="147">
        <v>2</v>
      </c>
      <c r="K2041" s="147">
        <v>1.71</v>
      </c>
      <c r="L2041" s="147">
        <v>1.807</v>
      </c>
      <c r="M2041" s="59" cm="1">
        <f t="array" ref="M2041">INDEX($BV$29:$BV$1449,MATCH($D2041,$BR$29:$BR$1449,0),)</f>
        <v>1.8</v>
      </c>
      <c r="N2041" s="150">
        <f t="shared" si="625"/>
        <v>0</v>
      </c>
      <c r="O2041" s="150">
        <f t="shared" si="626"/>
        <v>-0.00605060506050614</v>
      </c>
      <c r="P2041" s="150">
        <f t="shared" si="612"/>
        <v>-0.0114879649890591</v>
      </c>
      <c r="Q2041" s="89">
        <f t="shared" si="615"/>
        <v>0.00388888888888883</v>
      </c>
      <c r="S2041" s="82">
        <f t="shared" si="616"/>
        <v>45359</v>
      </c>
      <c r="T2041" s="83">
        <f t="shared" si="627"/>
        <v>0.294375</v>
      </c>
      <c r="U2041" s="83">
        <f t="shared" si="627"/>
        <v>0.25625</v>
      </c>
      <c r="W2041" s="146">
        <v>45359</v>
      </c>
      <c r="X2041" s="147">
        <v>5.25</v>
      </c>
      <c r="Y2041" s="147">
        <v>4.07</v>
      </c>
      <c r="Z2041" s="147">
        <v>4.71</v>
      </c>
      <c r="AA2041" s="59" cm="1">
        <f t="array" ref="AA2041">INDEX($BX$29:$BX$1449,MATCH($D2041,$BR$29:$BR$1449,0),)</f>
        <v>4.1</v>
      </c>
      <c r="AB2041" s="150">
        <f t="shared" si="617"/>
        <v>0</v>
      </c>
      <c r="AC2041" s="150">
        <f t="shared" si="619"/>
        <v>-0.000636537237428403</v>
      </c>
      <c r="AD2041" s="150">
        <f t="shared" si="622"/>
        <v>-0.00148399406402366</v>
      </c>
      <c r="AE2041" s="89">
        <f t="shared" si="618"/>
        <v>0.148780487804878</v>
      </c>
      <c r="AF2041" s="36"/>
      <c r="GF2041" s="104">
        <f t="shared" si="628"/>
        <v>2021</v>
      </c>
      <c r="GG2041" s="104">
        <f t="shared" si="629"/>
        <v>4</v>
      </c>
      <c r="GH2041" s="35">
        <v>44215</v>
      </c>
      <c r="GI2041" s="26">
        <v>2.118</v>
      </c>
      <c r="GJ2041" s="94">
        <f t="shared" si="630"/>
        <v>4.236</v>
      </c>
      <c r="GK2041" s="104"/>
      <c r="GL2041" s="104"/>
    </row>
    <row r="2042" spans="3:194">
      <c r="C2042" s="80" t="str" cm="1">
        <f t="array" ref="C2042">_xlfn.IFS(MONTH(D2042)&lt;4,1,MONTH(D2042)&lt;7,2,MONTH(D2042)&lt;10,3,MONTH(D2042)&gt;9,4)&amp;"Q"&amp;RIGHT(YEAR(D2042),2)</f>
        <v>1Q24</v>
      </c>
      <c r="D2042" s="81">
        <f t="shared" si="621"/>
        <v>45382</v>
      </c>
      <c r="E2042" s="82">
        <f t="shared" si="614"/>
        <v>45362</v>
      </c>
      <c r="F2042" s="83">
        <f t="shared" ref="F2042:G2057" si="631">+L2042/8</f>
        <v>0.22575</v>
      </c>
      <c r="G2042" s="83">
        <f t="shared" si="631"/>
        <v>0.225</v>
      </c>
      <c r="H2042" s="81"/>
      <c r="I2042" s="146">
        <v>45362</v>
      </c>
      <c r="J2042" s="147">
        <v>2</v>
      </c>
      <c r="K2042" s="147">
        <v>1.72</v>
      </c>
      <c r="L2042" s="147">
        <v>1.806</v>
      </c>
      <c r="M2042" s="59" cm="1">
        <f t="array" ref="M2042">INDEX($BV$29:$BV$1449,MATCH($D2042,$BR$29:$BR$1449,0),)</f>
        <v>1.8</v>
      </c>
      <c r="N2042" s="150">
        <f t="shared" si="625"/>
        <v>-0.000553403431101218</v>
      </c>
      <c r="O2042" s="150">
        <f t="shared" si="626"/>
        <v>-0.00495867768595037</v>
      </c>
      <c r="P2042" s="150">
        <f t="shared" si="612"/>
        <v>-0.0136537411250682</v>
      </c>
      <c r="Q2042" s="89">
        <f t="shared" si="615"/>
        <v>0.00333333333333341</v>
      </c>
      <c r="S2042" s="82">
        <f t="shared" si="616"/>
        <v>45362</v>
      </c>
      <c r="T2042" s="83">
        <f t="shared" si="627"/>
        <v>0.2941875</v>
      </c>
      <c r="U2042" s="83">
        <f t="shared" si="627"/>
        <v>0.25625</v>
      </c>
      <c r="W2042" s="146">
        <v>45362</v>
      </c>
      <c r="X2042" s="147">
        <v>5.24</v>
      </c>
      <c r="Y2042" s="147">
        <v>4.06</v>
      </c>
      <c r="Z2042" s="147">
        <v>4.707</v>
      </c>
      <c r="AA2042" s="59" cm="1">
        <f t="array" ref="AA2042">INDEX($BX$29:$BX$1449,MATCH($D2042,$BR$29:$BR$1449,0),)</f>
        <v>4.1</v>
      </c>
      <c r="AB2042" s="150">
        <f t="shared" si="617"/>
        <v>-0.000636942675159236</v>
      </c>
      <c r="AC2042" s="150">
        <f t="shared" si="619"/>
        <v>-0.00127307447485681</v>
      </c>
      <c r="AD2042" s="150">
        <f t="shared" si="622"/>
        <v>-0.00211999152003384</v>
      </c>
      <c r="AE2042" s="89">
        <f t="shared" si="618"/>
        <v>0.148048780487805</v>
      </c>
      <c r="AF2042" s="36"/>
      <c r="GF2042" s="104">
        <f t="shared" si="628"/>
        <v>2021</v>
      </c>
      <c r="GG2042" s="104">
        <f t="shared" si="629"/>
        <v>4</v>
      </c>
      <c r="GH2042" s="35">
        <v>44216</v>
      </c>
      <c r="GI2042" s="26">
        <v>2.135</v>
      </c>
      <c r="GJ2042" s="94">
        <f t="shared" si="630"/>
        <v>4.27</v>
      </c>
      <c r="GK2042" s="104"/>
      <c r="GL2042" s="104"/>
    </row>
    <row r="2043" spans="3:194">
      <c r="C2043" s="80" t="str" cm="1">
        <f t="array" ref="C2043">_xlfn.IFS(MONTH(D2043)&lt;4,1,MONTH(D2043)&lt;7,2,MONTH(D2043)&lt;10,3,MONTH(D2043)&gt;9,4)&amp;"Q"&amp;RIGHT(YEAR(D2043),2)</f>
        <v>1Q24</v>
      </c>
      <c r="D2043" s="81">
        <f t="shared" si="621"/>
        <v>45382</v>
      </c>
      <c r="E2043" s="82">
        <f t="shared" si="614"/>
        <v>45363</v>
      </c>
      <c r="F2043" s="83">
        <f t="shared" si="631"/>
        <v>0.2255</v>
      </c>
      <c r="G2043" s="83">
        <f t="shared" si="631"/>
        <v>0.225</v>
      </c>
      <c r="H2043" s="81"/>
      <c r="I2043" s="146">
        <v>45363</v>
      </c>
      <c r="J2043" s="147">
        <v>2</v>
      </c>
      <c r="K2043" s="147">
        <v>1.72</v>
      </c>
      <c r="L2043" s="147">
        <v>1.804</v>
      </c>
      <c r="M2043" s="59" cm="1">
        <f t="array" ref="M2043">INDEX($BV$29:$BV$1449,MATCH($D2043,$BR$29:$BR$1449,0),)</f>
        <v>1.8</v>
      </c>
      <c r="N2043" s="150">
        <f t="shared" si="625"/>
        <v>-0.00110741971207085</v>
      </c>
      <c r="O2043" s="150">
        <f t="shared" si="626"/>
        <v>-0.00386526780784091</v>
      </c>
      <c r="P2043" s="150">
        <f t="shared" si="612"/>
        <v>-0.013129102844639</v>
      </c>
      <c r="Q2043" s="89">
        <f t="shared" si="615"/>
        <v>0.00222222222222213</v>
      </c>
      <c r="S2043" s="82">
        <f t="shared" si="616"/>
        <v>45363</v>
      </c>
      <c r="T2043" s="83">
        <f t="shared" si="627"/>
        <v>0.2941875</v>
      </c>
      <c r="U2043" s="83">
        <f t="shared" si="627"/>
        <v>0.25625</v>
      </c>
      <c r="W2043" s="146">
        <v>45363</v>
      </c>
      <c r="X2043" s="147">
        <v>5.24</v>
      </c>
      <c r="Y2043" s="147">
        <v>4.06</v>
      </c>
      <c r="Z2043" s="147">
        <v>4.707</v>
      </c>
      <c r="AA2043" s="59" cm="1">
        <f t="array" ref="AA2043">INDEX($BX$29:$BX$1449,MATCH($D2043,$BR$29:$BR$1449,0),)</f>
        <v>4.1</v>
      </c>
      <c r="AB2043" s="150">
        <f t="shared" si="617"/>
        <v>0</v>
      </c>
      <c r="AC2043" s="150">
        <f t="shared" si="619"/>
        <v>-0.00127307447485681</v>
      </c>
      <c r="AD2043" s="150">
        <f t="shared" si="622"/>
        <v>-0.00211999152003384</v>
      </c>
      <c r="AE2043" s="89">
        <f t="shared" si="618"/>
        <v>0.148048780487805</v>
      </c>
      <c r="AF2043" s="36"/>
      <c r="GF2043" s="104">
        <f t="shared" si="628"/>
        <v>2021</v>
      </c>
      <c r="GG2043" s="104">
        <f t="shared" si="629"/>
        <v>4</v>
      </c>
      <c r="GH2043" s="35">
        <v>44217</v>
      </c>
      <c r="GI2043" s="26">
        <v>2.14</v>
      </c>
      <c r="GJ2043" s="94">
        <f t="shared" si="630"/>
        <v>4.28</v>
      </c>
      <c r="GK2043" s="104"/>
      <c r="GL2043" s="104"/>
    </row>
    <row r="2044" spans="3:194">
      <c r="C2044" s="80" t="str" cm="1">
        <f t="array" ref="C2044">_xlfn.IFS(MONTH(D2044)&lt;4,1,MONTH(D2044)&lt;7,2,MONTH(D2044)&lt;10,3,MONTH(D2044)&gt;9,4)&amp;"Q"&amp;RIGHT(YEAR(D2044),2)</f>
        <v>1Q24</v>
      </c>
      <c r="D2044" s="81">
        <f t="shared" si="621"/>
        <v>45382</v>
      </c>
      <c r="E2044" s="82">
        <f t="shared" si="614"/>
        <v>45364</v>
      </c>
      <c r="F2044" s="83">
        <f t="shared" si="631"/>
        <v>0.2245</v>
      </c>
      <c r="G2044" s="83">
        <f t="shared" si="631"/>
        <v>0.225</v>
      </c>
      <c r="H2044" s="81"/>
      <c r="I2044" s="146">
        <v>45364</v>
      </c>
      <c r="J2044" s="147">
        <v>2</v>
      </c>
      <c r="K2044" s="147">
        <v>1.69</v>
      </c>
      <c r="L2044" s="147">
        <v>1.796</v>
      </c>
      <c r="M2044" s="59" cm="1">
        <f t="array" ref="M2044">INDEX($BV$29:$BV$1449,MATCH($D2044,$BR$29:$BR$1449,0),)</f>
        <v>1.8</v>
      </c>
      <c r="N2044" s="150">
        <f t="shared" si="625"/>
        <v>-0.00443458980044342</v>
      </c>
      <c r="O2044" s="150">
        <f t="shared" si="626"/>
        <v>-0.00718629076838029</v>
      </c>
      <c r="P2044" s="150">
        <f t="shared" si="612"/>
        <v>-0.0169677066228789</v>
      </c>
      <c r="Q2044" s="89">
        <f t="shared" si="615"/>
        <v>-0.00222222222222224</v>
      </c>
      <c r="S2044" s="82">
        <f t="shared" si="616"/>
        <v>45364</v>
      </c>
      <c r="T2044" s="83">
        <f t="shared" si="627"/>
        <v>0.2939375</v>
      </c>
      <c r="U2044" s="83">
        <f t="shared" si="627"/>
        <v>0.25625</v>
      </c>
      <c r="W2044" s="146">
        <v>45364</v>
      </c>
      <c r="X2044" s="147">
        <v>5.22</v>
      </c>
      <c r="Y2044" s="147">
        <v>4.06</v>
      </c>
      <c r="Z2044" s="147">
        <v>4.703</v>
      </c>
      <c r="AA2044" s="59" cm="1">
        <f t="array" ref="AA2044">INDEX($BX$29:$BX$1449,MATCH($D2044,$BR$29:$BR$1449,0),)</f>
        <v>4.1</v>
      </c>
      <c r="AB2044" s="150">
        <f t="shared" si="617"/>
        <v>-0.000849798172933847</v>
      </c>
      <c r="AC2044" s="150">
        <f t="shared" si="619"/>
        <v>-0.00148619957537144</v>
      </c>
      <c r="AD2044" s="150">
        <f t="shared" si="622"/>
        <v>-0.00212179079142794</v>
      </c>
      <c r="AE2044" s="89">
        <f t="shared" si="618"/>
        <v>0.147073170731707</v>
      </c>
      <c r="AF2044" s="36"/>
      <c r="GF2044" s="104">
        <f t="shared" si="628"/>
        <v>2021</v>
      </c>
      <c r="GG2044" s="104">
        <f t="shared" si="629"/>
        <v>4</v>
      </c>
      <c r="GH2044" s="35">
        <v>44218</v>
      </c>
      <c r="GI2044" s="26">
        <v>2.148</v>
      </c>
      <c r="GJ2044" s="94">
        <f t="shared" si="630"/>
        <v>4.296</v>
      </c>
      <c r="GK2044" s="104"/>
      <c r="GL2044" s="104"/>
    </row>
    <row r="2045" spans="3:194">
      <c r="C2045" s="80" t="str" cm="1">
        <f t="array" ref="C2045">_xlfn.IFS(MONTH(D2045)&lt;4,1,MONTH(D2045)&lt;7,2,MONTH(D2045)&lt;10,3,MONTH(D2045)&gt;9,4)&amp;"Q"&amp;RIGHT(YEAR(D2045),2)</f>
        <v>1Q24</v>
      </c>
      <c r="D2045" s="81">
        <f t="shared" si="621"/>
        <v>45382</v>
      </c>
      <c r="E2045" s="82">
        <f t="shared" si="614"/>
        <v>45365</v>
      </c>
      <c r="F2045" s="83">
        <f t="shared" si="631"/>
        <v>0.22425</v>
      </c>
      <c r="G2045" s="83">
        <f t="shared" si="631"/>
        <v>0.225</v>
      </c>
      <c r="H2045" s="81"/>
      <c r="I2045" s="146">
        <v>45365</v>
      </c>
      <c r="J2045" s="147">
        <v>2</v>
      </c>
      <c r="K2045" s="147">
        <v>1.69</v>
      </c>
      <c r="L2045" s="147">
        <v>1.794</v>
      </c>
      <c r="M2045" s="59" cm="1">
        <f t="array" ref="M2045">INDEX($BV$29:$BV$1449,MATCH($D2045,$BR$29:$BR$1449,0),)</f>
        <v>1.8</v>
      </c>
      <c r="N2045" s="150">
        <f t="shared" si="625"/>
        <v>-0.00111358574610243</v>
      </c>
      <c r="O2045" s="150">
        <f t="shared" si="626"/>
        <v>-0.0071942446043165</v>
      </c>
      <c r="P2045" s="150">
        <f t="shared" si="612"/>
        <v>-0.0180623973727422</v>
      </c>
      <c r="Q2045" s="89">
        <f t="shared" si="615"/>
        <v>-0.0033333333333333</v>
      </c>
      <c r="S2045" s="82">
        <f t="shared" si="616"/>
        <v>45365</v>
      </c>
      <c r="T2045" s="83">
        <f t="shared" si="627"/>
        <v>0.2939375</v>
      </c>
      <c r="U2045" s="83">
        <f t="shared" si="627"/>
        <v>0.25625</v>
      </c>
      <c r="W2045" s="146">
        <v>45365</v>
      </c>
      <c r="X2045" s="147">
        <v>5.2</v>
      </c>
      <c r="Y2045" s="147">
        <v>4.07</v>
      </c>
      <c r="Z2045" s="147">
        <v>4.703</v>
      </c>
      <c r="AA2045" s="59" cm="1">
        <f t="array" ref="AA2045">INDEX($BX$29:$BX$1449,MATCH($D2045,$BR$29:$BR$1449,0),)</f>
        <v>4.1</v>
      </c>
      <c r="AB2045" s="150">
        <f t="shared" si="617"/>
        <v>0</v>
      </c>
      <c r="AC2045" s="150">
        <f t="shared" si="619"/>
        <v>-0.00148619957537144</v>
      </c>
      <c r="AD2045" s="150">
        <f t="shared" si="622"/>
        <v>-0.00212179079142794</v>
      </c>
      <c r="AE2045" s="89">
        <f t="shared" si="618"/>
        <v>0.147073170731707</v>
      </c>
      <c r="AF2045" s="36"/>
      <c r="GF2045" s="104">
        <f t="shared" si="628"/>
        <v>2021</v>
      </c>
      <c r="GG2045" s="104">
        <f t="shared" si="629"/>
        <v>5</v>
      </c>
      <c r="GH2045" s="35">
        <v>44221</v>
      </c>
      <c r="GI2045" s="26">
        <v>2.188</v>
      </c>
      <c r="GJ2045" s="94">
        <f t="shared" si="630"/>
        <v>4.376</v>
      </c>
      <c r="GK2045" s="104"/>
      <c r="GL2045" s="104"/>
    </row>
    <row r="2046" spans="3:194">
      <c r="C2046" s="80" t="str" cm="1">
        <f t="array" ref="C2046">_xlfn.IFS(MONTH(D2046)&lt;4,1,MONTH(D2046)&lt;7,2,MONTH(D2046)&lt;10,3,MONTH(D2046)&gt;9,4)&amp;"Q"&amp;RIGHT(YEAR(D2046),2)</f>
        <v>1Q24</v>
      </c>
      <c r="D2046" s="81">
        <f t="shared" si="621"/>
        <v>45382</v>
      </c>
      <c r="E2046" s="82">
        <f t="shared" si="614"/>
        <v>45366</v>
      </c>
      <c r="F2046" s="83">
        <f t="shared" si="631"/>
        <v>0.223625</v>
      </c>
      <c r="G2046" s="83">
        <f t="shared" si="631"/>
        <v>0.225</v>
      </c>
      <c r="H2046" s="81"/>
      <c r="I2046" s="146">
        <v>45366</v>
      </c>
      <c r="J2046" s="147">
        <v>1.99</v>
      </c>
      <c r="K2046" s="147">
        <v>1.68</v>
      </c>
      <c r="L2046" s="147">
        <v>1.789</v>
      </c>
      <c r="M2046" s="59" cm="1">
        <f t="array" ref="M2046">INDEX($BV$29:$BV$1449,MATCH($D2046,$BR$29:$BR$1449,0),)</f>
        <v>1.8</v>
      </c>
      <c r="N2046" s="150">
        <f t="shared" si="625"/>
        <v>-0.00278706800445938</v>
      </c>
      <c r="O2046" s="150">
        <f t="shared" si="626"/>
        <v>-0.00996126175982293</v>
      </c>
      <c r="P2046" s="150">
        <f t="shared" si="612"/>
        <v>-0.0159515951595161</v>
      </c>
      <c r="Q2046" s="89">
        <f t="shared" si="615"/>
        <v>-0.00611111111111118</v>
      </c>
      <c r="S2046" s="82">
        <f t="shared" si="616"/>
        <v>45366</v>
      </c>
      <c r="T2046" s="83">
        <f t="shared" si="627"/>
        <v>0.2939375</v>
      </c>
      <c r="U2046" s="83">
        <f t="shared" si="627"/>
        <v>0.25625</v>
      </c>
      <c r="W2046" s="146">
        <v>45366</v>
      </c>
      <c r="X2046" s="147">
        <v>5.2</v>
      </c>
      <c r="Y2046" s="147">
        <v>4.08</v>
      </c>
      <c r="Z2046" s="147">
        <v>4.703</v>
      </c>
      <c r="AA2046" s="59" cm="1">
        <f t="array" ref="AA2046">INDEX($BX$29:$BX$1449,MATCH($D2046,$BR$29:$BR$1449,0),)</f>
        <v>4.1</v>
      </c>
      <c r="AB2046" s="150">
        <f t="shared" si="617"/>
        <v>0</v>
      </c>
      <c r="AC2046" s="150">
        <f t="shared" si="619"/>
        <v>-0.00148619957537144</v>
      </c>
      <c r="AD2046" s="150">
        <f t="shared" si="622"/>
        <v>-0.00212179079142794</v>
      </c>
      <c r="AE2046" s="89">
        <f t="shared" si="618"/>
        <v>0.147073170731707</v>
      </c>
      <c r="AF2046" s="36"/>
      <c r="GF2046" s="104">
        <f t="shared" si="628"/>
        <v>2021</v>
      </c>
      <c r="GG2046" s="104">
        <f t="shared" si="629"/>
        <v>5</v>
      </c>
      <c r="GH2046" s="35">
        <v>44222</v>
      </c>
      <c r="GI2046" s="26">
        <v>2.263</v>
      </c>
      <c r="GJ2046" s="94">
        <f t="shared" si="630"/>
        <v>4.526</v>
      </c>
      <c r="GK2046" s="104"/>
      <c r="GL2046" s="104"/>
    </row>
    <row r="2047" spans="3:194">
      <c r="C2047" s="80" t="str" cm="1">
        <f t="array" ref="C2047">_xlfn.IFS(MONTH(D2047)&lt;4,1,MONTH(D2047)&lt;7,2,MONTH(D2047)&lt;10,3,MONTH(D2047)&gt;9,4)&amp;"Q"&amp;RIGHT(YEAR(D2047),2)</f>
        <v>1Q24</v>
      </c>
      <c r="D2047" s="81">
        <f t="shared" si="621"/>
        <v>45382</v>
      </c>
      <c r="E2047" s="82">
        <f t="shared" si="614"/>
        <v>45369</v>
      </c>
      <c r="F2047" s="83">
        <f t="shared" si="631"/>
        <v>0.223</v>
      </c>
      <c r="G2047" s="83">
        <f t="shared" si="631"/>
        <v>0.225</v>
      </c>
      <c r="H2047" s="81"/>
      <c r="I2047" s="146">
        <v>45369</v>
      </c>
      <c r="J2047" s="147">
        <v>1.98</v>
      </c>
      <c r="K2047" s="147">
        <v>1.67</v>
      </c>
      <c r="L2047" s="147">
        <v>1.784</v>
      </c>
      <c r="M2047" s="59" cm="1">
        <f t="array" ref="M2047">INDEX($BV$29:$BV$1449,MATCH($D2047,$BR$29:$BR$1449,0),)</f>
        <v>1.8</v>
      </c>
      <c r="N2047" s="150">
        <f t="shared" si="625"/>
        <v>-0.00279485746226937</v>
      </c>
      <c r="O2047" s="150">
        <f t="shared" si="626"/>
        <v>-0.0121816168327796</v>
      </c>
      <c r="P2047" s="150">
        <f t="shared" si="612"/>
        <v>-0.0170798898071625</v>
      </c>
      <c r="Q2047" s="89">
        <f t="shared" si="615"/>
        <v>-0.00888888888888895</v>
      </c>
      <c r="S2047" s="82">
        <f t="shared" si="616"/>
        <v>45369</v>
      </c>
      <c r="T2047" s="83">
        <f t="shared" si="627"/>
        <v>0.2939375</v>
      </c>
      <c r="U2047" s="83">
        <f t="shared" si="627"/>
        <v>0.25625</v>
      </c>
      <c r="W2047" s="146">
        <v>45369</v>
      </c>
      <c r="X2047" s="147">
        <v>5.2</v>
      </c>
      <c r="Y2047" s="147">
        <v>4.07</v>
      </c>
      <c r="Z2047" s="147">
        <v>4.703</v>
      </c>
      <c r="AA2047" s="59" cm="1">
        <f t="array" ref="AA2047">INDEX($BX$29:$BX$1449,MATCH($D2047,$BR$29:$BR$1449,0),)</f>
        <v>4.1</v>
      </c>
      <c r="AB2047" s="150">
        <f t="shared" si="617"/>
        <v>0</v>
      </c>
      <c r="AC2047" s="150">
        <f t="shared" si="619"/>
        <v>-0.000849798172933847</v>
      </c>
      <c r="AD2047" s="150">
        <f t="shared" si="622"/>
        <v>-0.00212179079142794</v>
      </c>
      <c r="AE2047" s="89">
        <f t="shared" si="618"/>
        <v>0.147073170731707</v>
      </c>
      <c r="AF2047" s="36"/>
      <c r="GF2047" s="104">
        <f t="shared" si="628"/>
        <v>2021</v>
      </c>
      <c r="GG2047" s="104">
        <f t="shared" si="629"/>
        <v>5</v>
      </c>
      <c r="GH2047" s="35">
        <v>44223</v>
      </c>
      <c r="GI2047" s="26">
        <v>2.32</v>
      </c>
      <c r="GJ2047" s="94">
        <f t="shared" si="630"/>
        <v>4.64</v>
      </c>
      <c r="GK2047" s="104"/>
      <c r="GL2047" s="104"/>
    </row>
    <row r="2048" spans="3:194">
      <c r="C2048" s="80" t="str" cm="1">
        <f t="array" ref="C2048">_xlfn.IFS(MONTH(D2048)&lt;4,1,MONTH(D2048)&lt;7,2,MONTH(D2048)&lt;10,3,MONTH(D2048)&gt;9,4)&amp;"Q"&amp;RIGHT(YEAR(D2048),2)</f>
        <v>1Q24</v>
      </c>
      <c r="D2048" s="81">
        <f t="shared" si="621"/>
        <v>45382</v>
      </c>
      <c r="E2048" s="82">
        <f t="shared" si="614"/>
        <v>45370</v>
      </c>
      <c r="F2048" s="83">
        <f t="shared" si="631"/>
        <v>0.22275</v>
      </c>
      <c r="G2048" s="83">
        <f t="shared" si="631"/>
        <v>0.225</v>
      </c>
      <c r="H2048" s="81"/>
      <c r="I2048" s="146">
        <v>45370</v>
      </c>
      <c r="J2048" s="147">
        <v>1.98</v>
      </c>
      <c r="K2048" s="147">
        <v>1.67</v>
      </c>
      <c r="L2048" s="147">
        <v>1.782</v>
      </c>
      <c r="M2048" s="59" cm="1">
        <f t="array" ref="M2048">INDEX($BV$29:$BV$1449,MATCH($D2048,$BR$29:$BR$1449,0),)</f>
        <v>1.8</v>
      </c>
      <c r="N2048" s="150">
        <f t="shared" si="625"/>
        <v>-0.0011210762331838</v>
      </c>
      <c r="O2048" s="150">
        <f t="shared" si="626"/>
        <v>-0.0121951219512195</v>
      </c>
      <c r="P2048" s="150">
        <f t="shared" si="612"/>
        <v>-0.0160132523467696</v>
      </c>
      <c r="Q2048" s="89">
        <f t="shared" si="615"/>
        <v>-0.01</v>
      </c>
      <c r="S2048" s="82">
        <f t="shared" si="616"/>
        <v>45370</v>
      </c>
      <c r="T2048" s="83">
        <f t="shared" ref="T2048:U2063" si="632">+Z2048/16</f>
        <v>0.2935625</v>
      </c>
      <c r="U2048" s="83">
        <f t="shared" si="632"/>
        <v>0.25625</v>
      </c>
      <c r="W2048" s="146">
        <v>45370</v>
      </c>
      <c r="X2048" s="147">
        <v>5.2</v>
      </c>
      <c r="Y2048" s="147">
        <v>4.07</v>
      </c>
      <c r="Z2048" s="147">
        <v>4.697</v>
      </c>
      <c r="AA2048" s="59" cm="1">
        <f t="array" ref="AA2048">INDEX($BX$29:$BX$1449,MATCH($D2048,$BR$29:$BR$1449,0),)</f>
        <v>4.1</v>
      </c>
      <c r="AB2048" s="150">
        <f t="shared" si="617"/>
        <v>-0.00127578141611739</v>
      </c>
      <c r="AC2048" s="150">
        <f t="shared" si="619"/>
        <v>-0.00212449543233473</v>
      </c>
      <c r="AD2048" s="150">
        <f t="shared" si="622"/>
        <v>-0.00339486526628474</v>
      </c>
      <c r="AE2048" s="89">
        <f t="shared" si="618"/>
        <v>0.145609756097561</v>
      </c>
      <c r="AF2048" s="36"/>
      <c r="GF2048" s="104">
        <f t="shared" si="628"/>
        <v>2021</v>
      </c>
      <c r="GG2048" s="104">
        <f t="shared" si="629"/>
        <v>5</v>
      </c>
      <c r="GH2048" s="35">
        <v>44224</v>
      </c>
      <c r="GI2048" s="26">
        <v>2.363</v>
      </c>
      <c r="GJ2048" s="94">
        <f t="shared" si="630"/>
        <v>4.726</v>
      </c>
      <c r="GK2048" s="104"/>
      <c r="GL2048" s="104"/>
    </row>
    <row r="2049" spans="3:194">
      <c r="C2049" s="80" t="str" cm="1">
        <f t="array" ref="C2049">_xlfn.IFS(MONTH(D2049)&lt;4,1,MONTH(D2049)&lt;7,2,MONTH(D2049)&lt;10,3,MONTH(D2049)&gt;9,4)&amp;"Q"&amp;RIGHT(YEAR(D2049),2)</f>
        <v>1Q24</v>
      </c>
      <c r="D2049" s="81">
        <f t="shared" si="621"/>
        <v>45382</v>
      </c>
      <c r="E2049" s="82">
        <f t="shared" si="614"/>
        <v>45371</v>
      </c>
      <c r="F2049" s="83">
        <f t="shared" si="631"/>
        <v>0.222125</v>
      </c>
      <c r="G2049" s="83">
        <f t="shared" si="631"/>
        <v>0.225</v>
      </c>
      <c r="H2049" s="81"/>
      <c r="I2049" s="146">
        <v>45371</v>
      </c>
      <c r="J2049" s="147">
        <v>1.98</v>
      </c>
      <c r="K2049" s="147">
        <v>1.67</v>
      </c>
      <c r="L2049" s="147">
        <v>1.777</v>
      </c>
      <c r="M2049" s="59" cm="1">
        <f t="array" ref="M2049">INDEX($BV$29:$BV$1449,MATCH($D2049,$BR$29:$BR$1449,0),)</f>
        <v>1.8</v>
      </c>
      <c r="N2049" s="150">
        <f t="shared" si="625"/>
        <v>-0.00280583613916952</v>
      </c>
      <c r="O2049" s="150">
        <f t="shared" si="626"/>
        <v>-0.0105790645879733</v>
      </c>
      <c r="P2049" s="150">
        <f t="shared" si="612"/>
        <v>-0.017689331122167</v>
      </c>
      <c r="Q2049" s="89">
        <f t="shared" si="615"/>
        <v>-0.0127777777777779</v>
      </c>
      <c r="S2049" s="82">
        <f t="shared" si="616"/>
        <v>45371</v>
      </c>
      <c r="T2049" s="83">
        <f t="shared" si="632"/>
        <v>0.2933125</v>
      </c>
      <c r="U2049" s="83">
        <f t="shared" si="632"/>
        <v>0.25625</v>
      </c>
      <c r="W2049" s="146">
        <v>45371</v>
      </c>
      <c r="X2049" s="147">
        <v>5.2</v>
      </c>
      <c r="Y2049" s="147">
        <v>4.06</v>
      </c>
      <c r="Z2049" s="147">
        <v>4.693</v>
      </c>
      <c r="AA2049" s="59" cm="1">
        <f t="array" ref="AA2049">INDEX($BX$29:$BX$1449,MATCH($D2049,$BR$29:$BR$1449,0),)</f>
        <v>4.1</v>
      </c>
      <c r="AB2049" s="150">
        <f t="shared" si="617"/>
        <v>-0.0008516074089846</v>
      </c>
      <c r="AC2049" s="150">
        <f t="shared" si="619"/>
        <v>-0.00212630236019573</v>
      </c>
      <c r="AD2049" s="150">
        <f t="shared" si="622"/>
        <v>-0.00360934182590245</v>
      </c>
      <c r="AE2049" s="89">
        <f t="shared" si="618"/>
        <v>0.144634146341463</v>
      </c>
      <c r="AF2049" s="36"/>
      <c r="GF2049" s="104">
        <f t="shared" si="628"/>
        <v>2021</v>
      </c>
      <c r="GG2049" s="104">
        <f t="shared" si="629"/>
        <v>5</v>
      </c>
      <c r="GH2049" s="35">
        <v>44225</v>
      </c>
      <c r="GI2049" s="26">
        <v>2.4</v>
      </c>
      <c r="GJ2049" s="94">
        <f t="shared" si="630"/>
        <v>4.8</v>
      </c>
      <c r="GK2049" s="104"/>
      <c r="GL2049" s="104"/>
    </row>
    <row r="2050" spans="3:194">
      <c r="C2050" s="80" t="str" cm="1">
        <f t="array" ref="C2050">_xlfn.IFS(MONTH(D2050)&lt;4,1,MONTH(D2050)&lt;7,2,MONTH(D2050)&lt;10,3,MONTH(D2050)&gt;9,4)&amp;"Q"&amp;RIGHT(YEAR(D2050),2)</f>
        <v>1Q24</v>
      </c>
      <c r="D2050" s="81">
        <f t="shared" si="621"/>
        <v>45382</v>
      </c>
      <c r="E2050" s="82">
        <f t="shared" si="614"/>
        <v>45372</v>
      </c>
      <c r="F2050" s="83">
        <f t="shared" si="631"/>
        <v>0.221625</v>
      </c>
      <c r="G2050" s="83">
        <f t="shared" si="631"/>
        <v>0.225</v>
      </c>
      <c r="H2050" s="81"/>
      <c r="I2050" s="146">
        <v>45372</v>
      </c>
      <c r="J2050" s="147">
        <v>1.95</v>
      </c>
      <c r="K2050" s="147">
        <v>1.67</v>
      </c>
      <c r="L2050" s="147">
        <v>1.773</v>
      </c>
      <c r="M2050" s="59" cm="1">
        <f t="array" ref="M2050">INDEX($BV$29:$BV$1449,MATCH($D2050,$BR$29:$BR$1449,0),)</f>
        <v>1.8</v>
      </c>
      <c r="N2050" s="150">
        <f t="shared" si="625"/>
        <v>-0.00225098480585251</v>
      </c>
      <c r="O2050" s="150">
        <f t="shared" si="626"/>
        <v>-0.0117056856187292</v>
      </c>
      <c r="P2050" s="150">
        <f t="shared" si="612"/>
        <v>-0.0188157166574433</v>
      </c>
      <c r="Q2050" s="89">
        <f t="shared" si="615"/>
        <v>-0.0150000000000001</v>
      </c>
      <c r="S2050" s="82">
        <f t="shared" si="616"/>
        <v>45372</v>
      </c>
      <c r="T2050" s="83">
        <f t="shared" si="632"/>
        <v>0.2933125</v>
      </c>
      <c r="U2050" s="83">
        <f t="shared" si="632"/>
        <v>0.25625</v>
      </c>
      <c r="W2050" s="146">
        <v>45372</v>
      </c>
      <c r="X2050" s="147">
        <v>5.2</v>
      </c>
      <c r="Y2050" s="147">
        <v>4.07</v>
      </c>
      <c r="Z2050" s="147">
        <v>4.693</v>
      </c>
      <c r="AA2050" s="59" cm="1">
        <f t="array" ref="AA2050">INDEX($BX$29:$BX$1449,MATCH($D2050,$BR$29:$BR$1449,0),)</f>
        <v>4.1</v>
      </c>
      <c r="AB2050" s="150">
        <f t="shared" si="617"/>
        <v>0</v>
      </c>
      <c r="AC2050" s="150">
        <f t="shared" si="619"/>
        <v>-0.00212630236019573</v>
      </c>
      <c r="AD2050" s="150">
        <f t="shared" si="622"/>
        <v>-0.00360934182590245</v>
      </c>
      <c r="AE2050" s="89">
        <f t="shared" si="618"/>
        <v>0.144634146341463</v>
      </c>
      <c r="AF2050" s="36"/>
      <c r="GF2050" s="104">
        <f t="shared" si="628"/>
        <v>2021</v>
      </c>
      <c r="GG2050" s="104">
        <f t="shared" si="629"/>
        <v>6</v>
      </c>
      <c r="GH2050" s="35">
        <v>44228</v>
      </c>
      <c r="GI2050" s="26">
        <v>2.43</v>
      </c>
      <c r="GJ2050" s="94">
        <f t="shared" si="630"/>
        <v>4.86</v>
      </c>
      <c r="GK2050" s="104"/>
      <c r="GL2050" s="104"/>
    </row>
    <row r="2051" spans="3:194">
      <c r="C2051" s="80" t="str" cm="1">
        <f t="array" ref="C2051">_xlfn.IFS(MONTH(D2051)&lt;4,1,MONTH(D2051)&lt;7,2,MONTH(D2051)&lt;10,3,MONTH(D2051)&gt;9,4)&amp;"Q"&amp;RIGHT(YEAR(D2051),2)</f>
        <v>1Q24</v>
      </c>
      <c r="D2051" s="81">
        <f t="shared" si="621"/>
        <v>45382</v>
      </c>
      <c r="E2051" s="82">
        <f t="shared" si="614"/>
        <v>45373</v>
      </c>
      <c r="F2051" s="83">
        <f t="shared" si="631"/>
        <v>0.22125</v>
      </c>
      <c r="G2051" s="83">
        <f t="shared" si="631"/>
        <v>0.225</v>
      </c>
      <c r="H2051" s="81"/>
      <c r="I2051" s="146">
        <v>45373</v>
      </c>
      <c r="J2051" s="147">
        <v>1.95</v>
      </c>
      <c r="K2051" s="147">
        <v>1.67</v>
      </c>
      <c r="L2051" s="147">
        <v>1.77</v>
      </c>
      <c r="M2051" s="59" cm="1">
        <f t="array" ref="M2051">INDEX($BV$29:$BV$1449,MATCH($D2051,$BR$29:$BR$1449,0),)</f>
        <v>1.8</v>
      </c>
      <c r="N2051" s="150">
        <f t="shared" si="625"/>
        <v>-0.00169204737732653</v>
      </c>
      <c r="O2051" s="150">
        <f t="shared" si="626"/>
        <v>-0.0106204583566237</v>
      </c>
      <c r="P2051" s="150">
        <f t="shared" si="612"/>
        <v>-0.0204759269507471</v>
      </c>
      <c r="Q2051" s="89">
        <f t="shared" si="615"/>
        <v>-0.0166666666666667</v>
      </c>
      <c r="S2051" s="82">
        <f t="shared" si="616"/>
        <v>45373</v>
      </c>
      <c r="T2051" s="83">
        <f t="shared" si="632"/>
        <v>0.2933125</v>
      </c>
      <c r="U2051" s="83">
        <f t="shared" si="632"/>
        <v>0.25625</v>
      </c>
      <c r="W2051" s="146">
        <v>45373</v>
      </c>
      <c r="X2051" s="147">
        <v>5.2</v>
      </c>
      <c r="Y2051" s="147">
        <v>4.07</v>
      </c>
      <c r="Z2051" s="147">
        <v>4.693</v>
      </c>
      <c r="AA2051" s="59" cm="1">
        <f t="array" ref="AA2051">INDEX($BX$29:$BX$1449,MATCH($D2051,$BR$29:$BR$1449,0),)</f>
        <v>4.1</v>
      </c>
      <c r="AB2051" s="150">
        <f t="shared" si="617"/>
        <v>0</v>
      </c>
      <c r="AC2051" s="150">
        <f t="shared" si="619"/>
        <v>-0.00212630236019573</v>
      </c>
      <c r="AD2051" s="150">
        <f t="shared" si="622"/>
        <v>-0.00360934182590245</v>
      </c>
      <c r="AE2051" s="89">
        <f t="shared" si="618"/>
        <v>0.144634146341463</v>
      </c>
      <c r="AF2051" s="36"/>
      <c r="GF2051" s="104">
        <f t="shared" si="628"/>
        <v>2021</v>
      </c>
      <c r="GG2051" s="104">
        <f t="shared" si="629"/>
        <v>6</v>
      </c>
      <c r="GH2051" s="35">
        <v>44229</v>
      </c>
      <c r="GI2051" s="26">
        <v>2.438</v>
      </c>
      <c r="GJ2051" s="94">
        <f t="shared" si="630"/>
        <v>4.876</v>
      </c>
      <c r="GK2051" s="104"/>
      <c r="GL2051" s="104"/>
    </row>
    <row r="2052" spans="3:194">
      <c r="C2052" s="80" t="str" cm="1">
        <f t="array" ref="C2052">_xlfn.IFS(MONTH(D2052)&lt;4,1,MONTH(D2052)&lt;7,2,MONTH(D2052)&lt;10,3,MONTH(D2052)&gt;9,4)&amp;"Q"&amp;RIGHT(YEAR(D2052),2)</f>
        <v>1Q24</v>
      </c>
      <c r="D2052" s="81">
        <f t="shared" si="621"/>
        <v>45382</v>
      </c>
      <c r="E2052" s="82">
        <f t="shared" si="614"/>
        <v>45376</v>
      </c>
      <c r="F2052" s="83">
        <f t="shared" si="631"/>
        <v>0.221125</v>
      </c>
      <c r="G2052" s="83">
        <f t="shared" si="631"/>
        <v>0.225</v>
      </c>
      <c r="H2052" s="81"/>
      <c r="I2052" s="146">
        <v>45376</v>
      </c>
      <c r="J2052" s="147">
        <v>1.94</v>
      </c>
      <c r="K2052" s="147">
        <v>1.66</v>
      </c>
      <c r="L2052" s="147">
        <v>1.769</v>
      </c>
      <c r="M2052" s="59" cm="1">
        <f t="array" ref="M2052">INDEX($BV$29:$BV$1449,MATCH($D2052,$BR$29:$BR$1449,0),)</f>
        <v>1.8</v>
      </c>
      <c r="N2052" s="150">
        <f t="shared" si="625"/>
        <v>-0.000564971751412457</v>
      </c>
      <c r="O2052" s="150">
        <f t="shared" si="626"/>
        <v>-0.00840807174887903</v>
      </c>
      <c r="P2052" s="150">
        <f t="shared" si="612"/>
        <v>-0.0204872646733113</v>
      </c>
      <c r="Q2052" s="89">
        <f t="shared" si="615"/>
        <v>-0.0172222222222222</v>
      </c>
      <c r="S2052" s="82">
        <f t="shared" si="616"/>
        <v>45376</v>
      </c>
      <c r="T2052" s="83">
        <f t="shared" si="632"/>
        <v>0.2933125</v>
      </c>
      <c r="U2052" s="83">
        <f t="shared" si="632"/>
        <v>0.25625</v>
      </c>
      <c r="W2052" s="146">
        <v>45376</v>
      </c>
      <c r="X2052" s="147">
        <v>5.22</v>
      </c>
      <c r="Y2052" s="147">
        <v>4.09</v>
      </c>
      <c r="Z2052" s="147">
        <v>4.693</v>
      </c>
      <c r="AA2052" s="59" cm="1">
        <f t="array" ref="AA2052">INDEX($BX$29:$BX$1449,MATCH($D2052,$BR$29:$BR$1449,0),)</f>
        <v>4.1</v>
      </c>
      <c r="AB2052" s="150">
        <f t="shared" si="617"/>
        <v>0</v>
      </c>
      <c r="AC2052" s="150">
        <f t="shared" si="619"/>
        <v>-0.00212630236019573</v>
      </c>
      <c r="AD2052" s="150">
        <f t="shared" si="622"/>
        <v>-0.0029742936052688</v>
      </c>
      <c r="AE2052" s="89">
        <f t="shared" si="618"/>
        <v>0.144634146341463</v>
      </c>
      <c r="AF2052" s="36"/>
      <c r="GF2052" s="104">
        <f t="shared" si="628"/>
        <v>2021</v>
      </c>
      <c r="GG2052" s="104">
        <f t="shared" si="629"/>
        <v>6</v>
      </c>
      <c r="GH2052" s="35">
        <v>44230</v>
      </c>
      <c r="GI2052" s="26">
        <v>2.498</v>
      </c>
      <c r="GJ2052" s="94">
        <f t="shared" si="630"/>
        <v>4.996</v>
      </c>
      <c r="GK2052" s="104"/>
      <c r="GL2052" s="104"/>
    </row>
    <row r="2053" spans="3:194">
      <c r="C2053" s="80" t="str" cm="1">
        <f t="array" ref="C2053">_xlfn.IFS(MONTH(D2053)&lt;4,1,MONTH(D2053)&lt;7,2,MONTH(D2053)&lt;10,3,MONTH(D2053)&gt;9,4)&amp;"Q"&amp;RIGHT(YEAR(D2053),2)</f>
        <v>1Q24</v>
      </c>
      <c r="D2053" s="81">
        <f t="shared" si="621"/>
        <v>45382</v>
      </c>
      <c r="E2053" s="82">
        <f t="shared" si="614"/>
        <v>45377</v>
      </c>
      <c r="F2053" s="83">
        <f t="shared" si="631"/>
        <v>0.221125</v>
      </c>
      <c r="G2053" s="83">
        <f t="shared" si="631"/>
        <v>0.225</v>
      </c>
      <c r="H2053" s="81"/>
      <c r="I2053" s="146">
        <v>45377</v>
      </c>
      <c r="J2053" s="147">
        <v>1.95</v>
      </c>
      <c r="K2053" s="147">
        <v>1.66</v>
      </c>
      <c r="L2053" s="147">
        <v>1.769</v>
      </c>
      <c r="M2053" s="59" cm="1">
        <f t="array" ref="M2053">INDEX($BV$29:$BV$1449,MATCH($D2053,$BR$29:$BR$1449,0),)</f>
        <v>1.8</v>
      </c>
      <c r="N2053" s="150">
        <f t="shared" si="625"/>
        <v>0</v>
      </c>
      <c r="O2053" s="150">
        <f t="shared" si="626"/>
        <v>-0.00729517396184065</v>
      </c>
      <c r="P2053" s="150">
        <f t="shared" si="612"/>
        <v>-0.0194013303769403</v>
      </c>
      <c r="Q2053" s="89">
        <f t="shared" si="615"/>
        <v>-0.0172222222222222</v>
      </c>
      <c r="S2053" s="82">
        <f t="shared" si="616"/>
        <v>45377</v>
      </c>
      <c r="T2053" s="83">
        <f t="shared" si="632"/>
        <v>0.2933125</v>
      </c>
      <c r="U2053" s="83">
        <f t="shared" si="632"/>
        <v>0.25625</v>
      </c>
      <c r="W2053" s="146">
        <v>45377</v>
      </c>
      <c r="X2053" s="147">
        <v>5.25</v>
      </c>
      <c r="Y2053" s="147">
        <v>4.1</v>
      </c>
      <c r="Z2053" s="147">
        <v>4.693</v>
      </c>
      <c r="AA2053" s="59" cm="1">
        <f t="array" ref="AA2053">INDEX($BX$29:$BX$1449,MATCH($D2053,$BR$29:$BR$1449,0),)</f>
        <v>4.1</v>
      </c>
      <c r="AB2053" s="150">
        <f t="shared" si="617"/>
        <v>0</v>
      </c>
      <c r="AC2053" s="150">
        <f t="shared" si="619"/>
        <v>-0.0008516074089846</v>
      </c>
      <c r="AD2053" s="150">
        <f t="shared" si="622"/>
        <v>-0.0029742936052688</v>
      </c>
      <c r="AE2053" s="89">
        <f t="shared" si="618"/>
        <v>0.144634146341463</v>
      </c>
      <c r="AF2053" s="36"/>
      <c r="GF2053" s="104">
        <f t="shared" si="628"/>
        <v>2021</v>
      </c>
      <c r="GG2053" s="104">
        <f t="shared" si="629"/>
        <v>6</v>
      </c>
      <c r="GH2053" s="35">
        <v>44231</v>
      </c>
      <c r="GI2053" s="26">
        <v>2.503</v>
      </c>
      <c r="GJ2053" s="94">
        <f t="shared" si="630"/>
        <v>5.006</v>
      </c>
      <c r="GK2053" s="104"/>
      <c r="GL2053" s="104"/>
    </row>
    <row r="2054" spans="3:194">
      <c r="C2054" s="80" t="str" cm="1">
        <f t="array" ref="C2054">_xlfn.IFS(MONTH(D2054)&lt;4,1,MONTH(D2054)&lt;7,2,MONTH(D2054)&lt;10,3,MONTH(D2054)&gt;9,4)&amp;"Q"&amp;RIGHT(YEAR(D2054),2)</f>
        <v>1Q24</v>
      </c>
      <c r="D2054" s="81">
        <f t="shared" si="621"/>
        <v>45382</v>
      </c>
      <c r="E2054" s="82">
        <f t="shared" si="614"/>
        <v>45378</v>
      </c>
      <c r="F2054" s="83">
        <f t="shared" si="631"/>
        <v>0.221125</v>
      </c>
      <c r="G2054" s="83">
        <f t="shared" si="631"/>
        <v>0.225</v>
      </c>
      <c r="H2054" s="81"/>
      <c r="I2054" s="146">
        <v>45378</v>
      </c>
      <c r="J2054" s="147">
        <v>1.95</v>
      </c>
      <c r="K2054" s="147">
        <v>1.66</v>
      </c>
      <c r="L2054" s="147">
        <v>1.769</v>
      </c>
      <c r="M2054" s="59" cm="1">
        <f t="array" ref="M2054">INDEX($BV$29:$BV$1449,MATCH($D2054,$BR$29:$BR$1449,0),)</f>
        <v>1.8</v>
      </c>
      <c r="N2054" s="150">
        <f t="shared" si="625"/>
        <v>0</v>
      </c>
      <c r="O2054" s="150">
        <f t="shared" si="626"/>
        <v>-0.00450196961170513</v>
      </c>
      <c r="P2054" s="150">
        <f t="shared" si="612"/>
        <v>-0.0150334075723831</v>
      </c>
      <c r="Q2054" s="89">
        <f t="shared" si="615"/>
        <v>-0.0172222222222222</v>
      </c>
      <c r="S2054" s="82">
        <f t="shared" si="616"/>
        <v>45378</v>
      </c>
      <c r="T2054" s="83">
        <f t="shared" si="632"/>
        <v>0.29325</v>
      </c>
      <c r="U2054" s="83">
        <f t="shared" si="632"/>
        <v>0.25625</v>
      </c>
      <c r="W2054" s="146">
        <v>45378</v>
      </c>
      <c r="X2054" s="147">
        <v>5.25</v>
      </c>
      <c r="Y2054" s="147">
        <v>4.1</v>
      </c>
      <c r="Z2054" s="147">
        <v>4.692</v>
      </c>
      <c r="AA2054" s="59" cm="1">
        <f t="array" ref="AA2054">INDEX($BX$29:$BX$1449,MATCH($D2054,$BR$29:$BR$1449,0),)</f>
        <v>4.1</v>
      </c>
      <c r="AB2054" s="150">
        <f t="shared" si="617"/>
        <v>-0.000213083315576235</v>
      </c>
      <c r="AC2054" s="150">
        <f t="shared" si="619"/>
        <v>-0.000213083315576235</v>
      </c>
      <c r="AD2054" s="150">
        <f t="shared" si="622"/>
        <v>-0.0023389325962152</v>
      </c>
      <c r="AE2054" s="89">
        <f t="shared" si="618"/>
        <v>0.144390243902439</v>
      </c>
      <c r="AF2054" s="36"/>
      <c r="GF2054" s="104">
        <f t="shared" si="628"/>
        <v>2021</v>
      </c>
      <c r="GG2054" s="104">
        <f t="shared" si="629"/>
        <v>6</v>
      </c>
      <c r="GH2054" s="35">
        <v>44232</v>
      </c>
      <c r="GI2054" s="26">
        <v>2.583</v>
      </c>
      <c r="GJ2054" s="94">
        <f t="shared" si="630"/>
        <v>5.166</v>
      </c>
      <c r="GK2054" s="104"/>
      <c r="GL2054" s="104"/>
    </row>
    <row r="2055" spans="3:194">
      <c r="C2055" s="80" t="str" cm="1">
        <f t="array" ref="C2055">_xlfn.IFS(MONTH(D2055)&lt;4,1,MONTH(D2055)&lt;7,2,MONTH(D2055)&lt;10,3,MONTH(D2055)&gt;9,4)&amp;"Q"&amp;RIGHT(YEAR(D2055),2)</f>
        <v>1Q24</v>
      </c>
      <c r="D2055" s="81">
        <f t="shared" si="621"/>
        <v>45382</v>
      </c>
      <c r="E2055" s="82">
        <f t="shared" si="614"/>
        <v>45379</v>
      </c>
      <c r="F2055" s="83">
        <f t="shared" si="631"/>
        <v>0.221125</v>
      </c>
      <c r="G2055" s="83">
        <f t="shared" si="631"/>
        <v>0.225</v>
      </c>
      <c r="H2055" s="81"/>
      <c r="I2055" s="146">
        <v>45379</v>
      </c>
      <c r="J2055" s="147">
        <v>1.95</v>
      </c>
      <c r="K2055" s="147">
        <v>1.66</v>
      </c>
      <c r="L2055" s="147">
        <v>1.769</v>
      </c>
      <c r="M2055" s="59" cm="1">
        <f t="array" ref="M2055">INDEX($BV$29:$BV$1449,MATCH($D2055,$BR$29:$BR$1449,0),)</f>
        <v>1.8</v>
      </c>
      <c r="N2055" s="150">
        <f t="shared" si="625"/>
        <v>0</v>
      </c>
      <c r="O2055" s="150">
        <f t="shared" si="626"/>
        <v>-0.00225606316976878</v>
      </c>
      <c r="P2055" s="150">
        <f t="shared" si="612"/>
        <v>-0.0139353400222966</v>
      </c>
      <c r="Q2055" s="89">
        <f t="shared" si="615"/>
        <v>-0.0172222222222222</v>
      </c>
      <c r="S2055" s="82">
        <f t="shared" si="616"/>
        <v>45379</v>
      </c>
      <c r="T2055" s="83">
        <f t="shared" si="632"/>
        <v>0.29325</v>
      </c>
      <c r="U2055" s="83">
        <f t="shared" si="632"/>
        <v>0.25625</v>
      </c>
      <c r="W2055" s="146">
        <v>45379</v>
      </c>
      <c r="X2055" s="147">
        <v>5.25</v>
      </c>
      <c r="Y2055" s="147">
        <v>4.1</v>
      </c>
      <c r="Z2055" s="147">
        <v>4.692</v>
      </c>
      <c r="AA2055" s="59" cm="1">
        <f t="array" ref="AA2055">INDEX($BX$29:$BX$1449,MATCH($D2055,$BR$29:$BR$1449,0),)</f>
        <v>4.1</v>
      </c>
      <c r="AB2055" s="150">
        <f t="shared" si="617"/>
        <v>0</v>
      </c>
      <c r="AC2055" s="150">
        <f t="shared" si="619"/>
        <v>-0.000213083315576235</v>
      </c>
      <c r="AD2055" s="150">
        <f t="shared" si="622"/>
        <v>-0.0023389325962152</v>
      </c>
      <c r="AE2055" s="89">
        <f t="shared" si="618"/>
        <v>0.144390243902439</v>
      </c>
      <c r="AF2055" s="36"/>
      <c r="GF2055" s="104">
        <f t="shared" si="628"/>
        <v>2021</v>
      </c>
      <c r="GG2055" s="104">
        <f t="shared" si="629"/>
        <v>7</v>
      </c>
      <c r="GH2055" s="35">
        <v>44235</v>
      </c>
      <c r="GI2055" s="26">
        <v>2.613</v>
      </c>
      <c r="GJ2055" s="94">
        <f t="shared" si="630"/>
        <v>5.226</v>
      </c>
      <c r="GK2055" s="104"/>
      <c r="GL2055" s="104"/>
    </row>
    <row r="2056" spans="3:194">
      <c r="C2056" s="80" t="str" cm="1">
        <f t="array" ref="C2056">_xlfn.IFS(MONTH(D2056)&lt;4,1,MONTH(D2056)&lt;7,2,MONTH(D2056)&lt;10,3,MONTH(D2056)&gt;9,4)&amp;"Q"&amp;RIGHT(YEAR(D2056),2)</f>
        <v>1Q24</v>
      </c>
      <c r="D2056" s="81">
        <f t="shared" si="621"/>
        <v>45382</v>
      </c>
      <c r="E2056" s="82">
        <f t="shared" si="614"/>
        <v>45380</v>
      </c>
      <c r="F2056" s="83">
        <f t="shared" si="631"/>
        <v>0.220875</v>
      </c>
      <c r="G2056" s="83">
        <f t="shared" si="631"/>
        <v>0.225</v>
      </c>
      <c r="H2056" s="81"/>
      <c r="I2056" s="146">
        <v>45380</v>
      </c>
      <c r="J2056" s="147">
        <v>1.95</v>
      </c>
      <c r="K2056" s="147">
        <v>1.66</v>
      </c>
      <c r="L2056" s="147">
        <v>1.767</v>
      </c>
      <c r="M2056" s="59" cm="1">
        <f t="array" ref="M2056">INDEX($BV$29:$BV$1449,MATCH($D2056,$BR$29:$BR$1449,0),)</f>
        <v>1.8</v>
      </c>
      <c r="N2056" s="150">
        <f t="shared" si="625"/>
        <v>-0.00113058224985862</v>
      </c>
      <c r="O2056" s="150">
        <f t="shared" si="626"/>
        <v>-0.00169491525423737</v>
      </c>
      <c r="P2056" s="150">
        <f t="shared" si="612"/>
        <v>-0.0122973728339855</v>
      </c>
      <c r="Q2056" s="89">
        <f t="shared" si="615"/>
        <v>-0.0183333333333334</v>
      </c>
      <c r="S2056" s="82">
        <f t="shared" si="616"/>
        <v>45380</v>
      </c>
      <c r="T2056" s="83">
        <f t="shared" si="632"/>
        <v>0.29325</v>
      </c>
      <c r="U2056" s="83">
        <f t="shared" si="632"/>
        <v>0.25625</v>
      </c>
      <c r="W2056" s="146">
        <v>45380</v>
      </c>
      <c r="X2056" s="147">
        <v>5.25</v>
      </c>
      <c r="Y2056" s="147">
        <v>4.1</v>
      </c>
      <c r="Z2056" s="147">
        <v>4.692</v>
      </c>
      <c r="AA2056" s="59" cm="1">
        <f t="array" ref="AA2056">INDEX($BX$29:$BX$1449,MATCH($D2056,$BR$29:$BR$1449,0),)</f>
        <v>4.1</v>
      </c>
      <c r="AB2056" s="150">
        <f t="shared" si="617"/>
        <v>0</v>
      </c>
      <c r="AC2056" s="150">
        <f t="shared" si="619"/>
        <v>-0.000213083315576235</v>
      </c>
      <c r="AD2056" s="150">
        <f t="shared" si="622"/>
        <v>-0.0023389325962152</v>
      </c>
      <c r="AE2056" s="89">
        <f t="shared" si="618"/>
        <v>0.144390243902439</v>
      </c>
      <c r="AF2056" s="36"/>
      <c r="GF2056" s="104">
        <f t="shared" si="628"/>
        <v>2021</v>
      </c>
      <c r="GG2056" s="104">
        <f t="shared" si="629"/>
        <v>7</v>
      </c>
      <c r="GH2056" s="35">
        <v>44236</v>
      </c>
      <c r="GI2056" s="26">
        <v>2.638</v>
      </c>
      <c r="GJ2056" s="94">
        <f t="shared" si="630"/>
        <v>5.276</v>
      </c>
      <c r="GK2056" s="104"/>
      <c r="GL2056" s="104"/>
    </row>
    <row r="2057" spans="3:194">
      <c r="C2057" s="80" t="str" cm="1">
        <f t="array" ref="C2057">_xlfn.IFS(MONTH(D2057)&lt;4,1,MONTH(D2057)&lt;7,2,MONTH(D2057)&lt;10,3,MONTH(D2057)&gt;9,4)&amp;"Q"&amp;RIGHT(YEAR(D2057),2)</f>
        <v>2Q24</v>
      </c>
      <c r="D2057" s="81">
        <f t="shared" si="621"/>
        <v>45412</v>
      </c>
      <c r="E2057" s="82">
        <f t="shared" si="614"/>
        <v>45383</v>
      </c>
      <c r="F2057" s="83">
        <f t="shared" si="631"/>
        <v>0.220875</v>
      </c>
      <c r="G2057" s="83">
        <f t="shared" si="631"/>
        <v>0.2625</v>
      </c>
      <c r="H2057" s="81"/>
      <c r="I2057" s="146">
        <v>45383</v>
      </c>
      <c r="J2057" s="147">
        <v>1.94</v>
      </c>
      <c r="K2057" s="147">
        <v>1.67</v>
      </c>
      <c r="L2057" s="147">
        <v>1.767</v>
      </c>
      <c r="M2057" s="59" cm="1">
        <f t="array" ref="M2057">INDEX($BV$29:$BV$1449,MATCH($D2057,$BR$29:$BR$1449,0),)</f>
        <v>2.1</v>
      </c>
      <c r="N2057" s="150">
        <f t="shared" si="625"/>
        <v>0</v>
      </c>
      <c r="O2057" s="150">
        <f t="shared" si="626"/>
        <v>-0.00113058224985862</v>
      </c>
      <c r="P2057" s="150">
        <f t="shared" si="612"/>
        <v>-0.00952914798206284</v>
      </c>
      <c r="Q2057" s="89">
        <f t="shared" si="615"/>
        <v>-0.158571428571429</v>
      </c>
      <c r="S2057" s="82">
        <f t="shared" si="616"/>
        <v>45383</v>
      </c>
      <c r="T2057" s="83">
        <f t="shared" si="632"/>
        <v>0.29325</v>
      </c>
      <c r="U2057" s="83">
        <f t="shared" si="632"/>
        <v>0.290625</v>
      </c>
      <c r="W2057" s="146">
        <v>45383</v>
      </c>
      <c r="X2057" s="147">
        <v>5.23</v>
      </c>
      <c r="Y2057" s="147">
        <v>4.12</v>
      </c>
      <c r="Z2057" s="147">
        <v>4.692</v>
      </c>
      <c r="AA2057" s="59" cm="1">
        <f t="array" ref="AA2057">INDEX($BX$29:$BX$1449,MATCH($D2057,$BR$29:$BR$1449,0),)</f>
        <v>4.65</v>
      </c>
      <c r="AB2057" s="150">
        <f t="shared" si="617"/>
        <v>0</v>
      </c>
      <c r="AC2057" s="150">
        <f t="shared" si="619"/>
        <v>-0.000213083315576235</v>
      </c>
      <c r="AD2057" s="150">
        <f t="shared" si="622"/>
        <v>-0.0023389325962152</v>
      </c>
      <c r="AE2057" s="89">
        <f t="shared" si="618"/>
        <v>0.00903225806451613</v>
      </c>
      <c r="AF2057" s="36"/>
      <c r="GF2057" s="104">
        <f t="shared" si="628"/>
        <v>2021</v>
      </c>
      <c r="GG2057" s="104">
        <f t="shared" si="629"/>
        <v>7</v>
      </c>
      <c r="GH2057" s="35">
        <v>44237</v>
      </c>
      <c r="GI2057" s="26">
        <v>2.655</v>
      </c>
      <c r="GJ2057" s="94">
        <f t="shared" si="630"/>
        <v>5.31</v>
      </c>
      <c r="GK2057" s="104"/>
      <c r="GL2057" s="104"/>
    </row>
    <row r="2058" spans="3:194">
      <c r="C2058" s="80" t="str" cm="1">
        <f t="array" ref="C2058">_xlfn.IFS(MONTH(D2058)&lt;4,1,MONTH(D2058)&lt;7,2,MONTH(D2058)&lt;10,3,MONTH(D2058)&gt;9,4)&amp;"Q"&amp;RIGHT(YEAR(D2058),2)</f>
        <v>2Q24</v>
      </c>
      <c r="D2058" s="81">
        <f t="shared" si="621"/>
        <v>45412</v>
      </c>
      <c r="E2058" s="82">
        <f t="shared" si="614"/>
        <v>45384</v>
      </c>
      <c r="F2058" s="83">
        <f t="shared" ref="F2058:G2073" si="633">+L2058/8</f>
        <v>0.220875</v>
      </c>
      <c r="G2058" s="83">
        <f t="shared" si="633"/>
        <v>0.2625</v>
      </c>
      <c r="H2058" s="81"/>
      <c r="I2058" s="146">
        <v>45384</v>
      </c>
      <c r="J2058" s="147">
        <v>1.96</v>
      </c>
      <c r="K2058" s="147">
        <v>1.67</v>
      </c>
      <c r="L2058" s="147">
        <v>1.767</v>
      </c>
      <c r="M2058" s="59" cm="1">
        <f t="array" ref="M2058">INDEX($BV$29:$BV$1449,MATCH($D2058,$BR$29:$BR$1449,0),)</f>
        <v>2.1</v>
      </c>
      <c r="N2058" s="150">
        <f t="shared" si="625"/>
        <v>0</v>
      </c>
      <c r="O2058" s="150">
        <f t="shared" si="626"/>
        <v>-0.00113058224985862</v>
      </c>
      <c r="P2058" s="150">
        <f t="shared" si="612"/>
        <v>-0.00841750841750843</v>
      </c>
      <c r="Q2058" s="89">
        <f t="shared" si="615"/>
        <v>-0.158571428571429</v>
      </c>
      <c r="S2058" s="82">
        <f t="shared" si="616"/>
        <v>45384</v>
      </c>
      <c r="T2058" s="83">
        <f t="shared" si="632"/>
        <v>0.293125</v>
      </c>
      <c r="U2058" s="83">
        <f t="shared" si="632"/>
        <v>0.290625</v>
      </c>
      <c r="W2058" s="146">
        <v>45384</v>
      </c>
      <c r="X2058" s="147">
        <v>5.23</v>
      </c>
      <c r="Y2058" s="147">
        <v>4.12</v>
      </c>
      <c r="Z2058" s="147">
        <v>4.69</v>
      </c>
      <c r="AA2058" s="59" cm="1">
        <f t="array" ref="AA2058">INDEX($BX$29:$BX$1449,MATCH($D2058,$BR$29:$BR$1449,0),)</f>
        <v>4.65</v>
      </c>
      <c r="AB2058" s="150">
        <f t="shared" si="617"/>
        <v>-0.00042625745950553</v>
      </c>
      <c r="AC2058" s="150">
        <f t="shared" si="619"/>
        <v>-0.000639249946729037</v>
      </c>
      <c r="AD2058" s="150">
        <f t="shared" si="622"/>
        <v>-0.00149031296572277</v>
      </c>
      <c r="AE2058" s="89">
        <f t="shared" si="618"/>
        <v>0.00860215053763436</v>
      </c>
      <c r="AF2058" s="36"/>
      <c r="GF2058" s="104">
        <f t="shared" si="628"/>
        <v>2021</v>
      </c>
      <c r="GG2058" s="104">
        <f t="shared" si="629"/>
        <v>8</v>
      </c>
      <c r="GH2058" s="35">
        <v>44244</v>
      </c>
      <c r="GI2058" s="26">
        <v>2.683</v>
      </c>
      <c r="GJ2058" s="94">
        <f t="shared" si="630"/>
        <v>5.366</v>
      </c>
      <c r="GK2058" s="104"/>
      <c r="GL2058" s="104"/>
    </row>
    <row r="2059" spans="3:194">
      <c r="C2059" s="80" t="str" cm="1">
        <f t="array" ref="C2059">_xlfn.IFS(MONTH(D2059)&lt;4,1,MONTH(D2059)&lt;7,2,MONTH(D2059)&lt;10,3,MONTH(D2059)&gt;9,4)&amp;"Q"&amp;RIGHT(YEAR(D2059),2)</f>
        <v>2Q24</v>
      </c>
      <c r="D2059" s="81">
        <f t="shared" si="621"/>
        <v>45412</v>
      </c>
      <c r="E2059" s="82">
        <f t="shared" si="614"/>
        <v>45385</v>
      </c>
      <c r="F2059" s="83">
        <f t="shared" si="633"/>
        <v>0.221375</v>
      </c>
      <c r="G2059" s="83">
        <f t="shared" si="633"/>
        <v>0.2625</v>
      </c>
      <c r="H2059" s="81"/>
      <c r="I2059" s="146">
        <v>45385</v>
      </c>
      <c r="J2059" s="147">
        <v>1.98</v>
      </c>
      <c r="K2059" s="147">
        <v>1.67</v>
      </c>
      <c r="L2059" s="147">
        <v>1.771</v>
      </c>
      <c r="M2059" s="59" cm="1">
        <f t="array" ref="M2059">INDEX($BV$29:$BV$1449,MATCH($D2059,$BR$29:$BR$1449,0),)</f>
        <v>2.1</v>
      </c>
      <c r="N2059" s="150">
        <f t="shared" si="625"/>
        <v>0.00226372382569329</v>
      </c>
      <c r="O2059" s="150">
        <f t="shared" si="626"/>
        <v>0.00113058224985862</v>
      </c>
      <c r="P2059" s="150">
        <f t="shared" si="612"/>
        <v>-0.00337647720877887</v>
      </c>
      <c r="Q2059" s="89">
        <f t="shared" si="615"/>
        <v>-0.156666666666667</v>
      </c>
      <c r="S2059" s="82">
        <f t="shared" si="616"/>
        <v>45385</v>
      </c>
      <c r="T2059" s="83">
        <f t="shared" si="632"/>
        <v>0.293625</v>
      </c>
      <c r="U2059" s="83">
        <f t="shared" si="632"/>
        <v>0.290625</v>
      </c>
      <c r="W2059" s="146">
        <v>45385</v>
      </c>
      <c r="X2059" s="147">
        <v>5.23</v>
      </c>
      <c r="Y2059" s="147">
        <v>4.15</v>
      </c>
      <c r="Z2059" s="147">
        <v>4.698</v>
      </c>
      <c r="AA2059" s="59" cm="1">
        <f t="array" ref="AA2059">INDEX($BX$29:$BX$1449,MATCH($D2059,$BR$29:$BR$1449,0),)</f>
        <v>4.65</v>
      </c>
      <c r="AB2059" s="150">
        <f t="shared" si="617"/>
        <v>0.00170575692963748</v>
      </c>
      <c r="AC2059" s="150">
        <f t="shared" si="619"/>
        <v>0.00127877237851659</v>
      </c>
      <c r="AD2059" s="150">
        <f t="shared" si="622"/>
        <v>0.00106541657788206</v>
      </c>
      <c r="AE2059" s="89">
        <f t="shared" si="618"/>
        <v>0.0103225806451612</v>
      </c>
      <c r="AF2059" s="36"/>
      <c r="GF2059" s="104">
        <f t="shared" si="628"/>
        <v>2021</v>
      </c>
      <c r="GG2059" s="104">
        <f t="shared" si="629"/>
        <v>8</v>
      </c>
      <c r="GH2059" s="35">
        <v>44245</v>
      </c>
      <c r="GI2059" s="26">
        <v>2.708</v>
      </c>
      <c r="GJ2059" s="94">
        <f t="shared" si="630"/>
        <v>5.416</v>
      </c>
      <c r="GK2059" s="104"/>
      <c r="GL2059" s="104"/>
    </row>
    <row r="2060" spans="3:194">
      <c r="C2060" s="80" t="str" cm="1">
        <f t="array" ref="C2060">_xlfn.IFS(MONTH(D2060)&lt;4,1,MONTH(D2060)&lt;7,2,MONTH(D2060)&lt;10,3,MONTH(D2060)&gt;9,4)&amp;"Q"&amp;RIGHT(YEAR(D2060),2)</f>
        <v>2Q24</v>
      </c>
      <c r="D2060" s="81">
        <f t="shared" si="621"/>
        <v>45412</v>
      </c>
      <c r="E2060" s="82">
        <f t="shared" si="614"/>
        <v>45390</v>
      </c>
      <c r="F2060" s="83">
        <f t="shared" si="633"/>
        <v>0.221375</v>
      </c>
      <c r="G2060" s="83">
        <f t="shared" si="633"/>
        <v>0.2625</v>
      </c>
      <c r="H2060" s="81"/>
      <c r="I2060" s="146">
        <v>45390</v>
      </c>
      <c r="J2060" s="147">
        <v>2</v>
      </c>
      <c r="K2060" s="147">
        <v>1.68</v>
      </c>
      <c r="L2060" s="147">
        <v>1.771</v>
      </c>
      <c r="M2060" s="59" cm="1">
        <f t="array" ref="M2060">INDEX($BV$29:$BV$1449,MATCH($D2060,$BR$29:$BR$1449,0),)</f>
        <v>2.1</v>
      </c>
      <c r="N2060" s="150">
        <f t="shared" si="625"/>
        <v>0</v>
      </c>
      <c r="O2060" s="150">
        <f t="shared" si="626"/>
        <v>0.00113058224985862</v>
      </c>
      <c r="P2060" s="150">
        <f t="shared" si="612"/>
        <v>-0.00112803158488439</v>
      </c>
      <c r="Q2060" s="89">
        <f t="shared" si="615"/>
        <v>-0.156666666666667</v>
      </c>
      <c r="S2060" s="82">
        <f t="shared" si="616"/>
        <v>45390</v>
      </c>
      <c r="T2060" s="83">
        <f t="shared" si="632"/>
        <v>0.2940625</v>
      </c>
      <c r="U2060" s="83">
        <f t="shared" si="632"/>
        <v>0.290625</v>
      </c>
      <c r="W2060" s="146">
        <v>45390</v>
      </c>
      <c r="X2060" s="147">
        <v>5.25</v>
      </c>
      <c r="Y2060" s="147">
        <v>4.17</v>
      </c>
      <c r="Z2060" s="147">
        <v>4.705</v>
      </c>
      <c r="AA2060" s="59" cm="1">
        <f t="array" ref="AA2060">INDEX($BX$29:$BX$1449,MATCH($D2060,$BR$29:$BR$1449,0),)</f>
        <v>4.65</v>
      </c>
      <c r="AB2060" s="150">
        <f t="shared" si="617"/>
        <v>0.00148999574286934</v>
      </c>
      <c r="AC2060" s="150">
        <f t="shared" si="619"/>
        <v>0.00277067348678606</v>
      </c>
      <c r="AD2060" s="150">
        <f t="shared" si="622"/>
        <v>0.00255699978691681</v>
      </c>
      <c r="AE2060" s="89">
        <f t="shared" si="618"/>
        <v>0.0118279569892472</v>
      </c>
      <c r="AF2060" s="36"/>
      <c r="GF2060" s="104">
        <f t="shared" si="628"/>
        <v>2021</v>
      </c>
      <c r="GG2060" s="104">
        <f t="shared" si="629"/>
        <v>8</v>
      </c>
      <c r="GH2060" s="35">
        <v>44246</v>
      </c>
      <c r="GI2060" s="26">
        <v>2.806</v>
      </c>
      <c r="GJ2060" s="94">
        <f t="shared" si="630"/>
        <v>5.612</v>
      </c>
      <c r="GK2060" s="104"/>
      <c r="GL2060" s="104"/>
    </row>
    <row r="2061" spans="3:194">
      <c r="C2061" s="80" t="str" cm="1">
        <f t="array" ref="C2061">_xlfn.IFS(MONTH(D2061)&lt;4,1,MONTH(D2061)&lt;7,2,MONTH(D2061)&lt;10,3,MONTH(D2061)&gt;9,4)&amp;"Q"&amp;RIGHT(YEAR(D2061),2)</f>
        <v>2Q24</v>
      </c>
      <c r="D2061" s="81">
        <f t="shared" si="621"/>
        <v>45412</v>
      </c>
      <c r="E2061" s="82">
        <f t="shared" si="614"/>
        <v>45391</v>
      </c>
      <c r="F2061" s="83">
        <f t="shared" si="633"/>
        <v>0.222625</v>
      </c>
      <c r="G2061" s="83">
        <f t="shared" si="633"/>
        <v>0.2625</v>
      </c>
      <c r="H2061" s="81"/>
      <c r="I2061" s="146">
        <v>45391</v>
      </c>
      <c r="J2061" s="147">
        <v>2</v>
      </c>
      <c r="K2061" s="147">
        <v>1.7</v>
      </c>
      <c r="L2061" s="147">
        <v>1.781</v>
      </c>
      <c r="M2061" s="59" cm="1">
        <f t="array" ref="M2061">INDEX($BV$29:$BV$1449,MATCH($D2061,$BR$29:$BR$1449,0),)</f>
        <v>2.1</v>
      </c>
      <c r="N2061" s="150">
        <f t="shared" si="625"/>
        <v>0.00564652738565785</v>
      </c>
      <c r="O2061" s="150">
        <f t="shared" si="626"/>
        <v>0.0079230333899265</v>
      </c>
      <c r="P2061" s="150">
        <f t="shared" si="612"/>
        <v>0.00621468926553659</v>
      </c>
      <c r="Q2061" s="89">
        <f t="shared" si="615"/>
        <v>-0.151904761904762</v>
      </c>
      <c r="S2061" s="82">
        <f t="shared" si="616"/>
        <v>45391</v>
      </c>
      <c r="T2061" s="83">
        <f t="shared" si="632"/>
        <v>0.295125</v>
      </c>
      <c r="U2061" s="83">
        <f t="shared" si="632"/>
        <v>0.290625</v>
      </c>
      <c r="W2061" s="146">
        <v>45391</v>
      </c>
      <c r="X2061" s="147">
        <v>5.25</v>
      </c>
      <c r="Y2061" s="147">
        <v>4.18</v>
      </c>
      <c r="Z2061" s="147">
        <v>4.722</v>
      </c>
      <c r="AA2061" s="59" cm="1">
        <f t="array" ref="AA2061">INDEX($BX$29:$BX$1449,MATCH($D2061,$BR$29:$BR$1449,0),)</f>
        <v>4.65</v>
      </c>
      <c r="AB2061" s="150">
        <f t="shared" si="617"/>
        <v>0.00361317747077594</v>
      </c>
      <c r="AC2061" s="150">
        <f t="shared" si="619"/>
        <v>0.00639386189258317</v>
      </c>
      <c r="AD2061" s="150">
        <f t="shared" si="622"/>
        <v>0.00617941615171547</v>
      </c>
      <c r="AE2061" s="89">
        <f t="shared" si="618"/>
        <v>0.0154838709677418</v>
      </c>
      <c r="AF2061" s="36"/>
      <c r="GF2061" s="104">
        <f t="shared" si="628"/>
        <v>2021</v>
      </c>
      <c r="GG2061" s="104">
        <f t="shared" si="629"/>
        <v>9</v>
      </c>
      <c r="GH2061" s="35">
        <v>44249</v>
      </c>
      <c r="GI2061" s="26">
        <v>2.956</v>
      </c>
      <c r="GJ2061" s="94">
        <f t="shared" si="630"/>
        <v>5.912</v>
      </c>
      <c r="GK2061" s="104"/>
      <c r="GL2061" s="104"/>
    </row>
    <row r="2062" spans="3:194">
      <c r="C2062" s="80" t="str" cm="1">
        <f t="array" ref="C2062">_xlfn.IFS(MONTH(D2062)&lt;4,1,MONTH(D2062)&lt;7,2,MONTH(D2062)&lt;10,3,MONTH(D2062)&gt;9,4)&amp;"Q"&amp;RIGHT(YEAR(D2062),2)</f>
        <v>2Q24</v>
      </c>
      <c r="D2062" s="81">
        <f t="shared" si="621"/>
        <v>45412</v>
      </c>
      <c r="E2062" s="82">
        <f t="shared" si="614"/>
        <v>45392</v>
      </c>
      <c r="F2062" s="83">
        <f t="shared" si="633"/>
        <v>0.22325</v>
      </c>
      <c r="G2062" s="83">
        <f t="shared" si="633"/>
        <v>0.2625</v>
      </c>
      <c r="H2062" s="81"/>
      <c r="I2062" s="146">
        <v>45392</v>
      </c>
      <c r="J2062" s="147">
        <v>2</v>
      </c>
      <c r="K2062" s="147">
        <v>1.7</v>
      </c>
      <c r="L2062" s="147">
        <v>1.786</v>
      </c>
      <c r="M2062" s="59" cm="1">
        <f t="array" ref="M2062">INDEX($BV$29:$BV$1449,MATCH($D2062,$BR$29:$BR$1449,0),)</f>
        <v>2.1</v>
      </c>
      <c r="N2062" s="150">
        <f t="shared" si="625"/>
        <v>0.00280741156653574</v>
      </c>
      <c r="O2062" s="150">
        <f t="shared" si="626"/>
        <v>0.010752688172043</v>
      </c>
      <c r="P2062" s="150">
        <f t="shared" si="612"/>
        <v>0.00960994912379887</v>
      </c>
      <c r="Q2062" s="89">
        <f t="shared" si="615"/>
        <v>-0.14952380952381</v>
      </c>
      <c r="S2062" s="82">
        <f t="shared" si="616"/>
        <v>45392</v>
      </c>
      <c r="T2062" s="83">
        <f t="shared" si="632"/>
        <v>0.2958125</v>
      </c>
      <c r="U2062" s="83">
        <f t="shared" si="632"/>
        <v>0.290625</v>
      </c>
      <c r="W2062" s="146">
        <v>45392</v>
      </c>
      <c r="X2062" s="147">
        <v>5.25</v>
      </c>
      <c r="Y2062" s="147">
        <v>4.18</v>
      </c>
      <c r="Z2062" s="147">
        <v>4.733</v>
      </c>
      <c r="AA2062" s="59" cm="1">
        <f t="array" ref="AA2062">INDEX($BX$29:$BX$1449,MATCH($D2062,$BR$29:$BR$1449,0),)</f>
        <v>4.65</v>
      </c>
      <c r="AB2062" s="150">
        <f t="shared" si="617"/>
        <v>0.00232952138924158</v>
      </c>
      <c r="AC2062" s="150">
        <f t="shared" si="619"/>
        <v>0.00873827791986348</v>
      </c>
      <c r="AD2062" s="150">
        <f t="shared" si="622"/>
        <v>0.0085233326230556</v>
      </c>
      <c r="AE2062" s="89">
        <f t="shared" si="618"/>
        <v>0.0178494623655912</v>
      </c>
      <c r="AF2062" s="36"/>
      <c r="GF2062" s="104">
        <f t="shared" si="628"/>
        <v>2021</v>
      </c>
      <c r="GG2062" s="104">
        <f t="shared" si="629"/>
        <v>9</v>
      </c>
      <c r="GH2062" s="35">
        <v>44250</v>
      </c>
      <c r="GI2062" s="26">
        <v>3.088</v>
      </c>
      <c r="GJ2062" s="94">
        <f t="shared" si="630"/>
        <v>6.176</v>
      </c>
      <c r="GK2062" s="104"/>
      <c r="GL2062" s="104"/>
    </row>
    <row r="2063" spans="3:194">
      <c r="C2063" s="80" t="str" cm="1">
        <f t="array" ref="C2063">_xlfn.IFS(MONTH(D2063)&lt;4,1,MONTH(D2063)&lt;7,2,MONTH(D2063)&lt;10,3,MONTH(D2063)&gt;9,4)&amp;"Q"&amp;RIGHT(YEAR(D2063),2)</f>
        <v>2Q24</v>
      </c>
      <c r="D2063" s="81">
        <f t="shared" si="621"/>
        <v>45412</v>
      </c>
      <c r="E2063" s="82">
        <f t="shared" si="614"/>
        <v>45393</v>
      </c>
      <c r="F2063" s="83">
        <f t="shared" si="633"/>
        <v>0.225</v>
      </c>
      <c r="G2063" s="83">
        <f t="shared" si="633"/>
        <v>0.2625</v>
      </c>
      <c r="H2063" s="81"/>
      <c r="I2063" s="146">
        <v>45393</v>
      </c>
      <c r="J2063" s="147">
        <v>2.05</v>
      </c>
      <c r="K2063" s="147">
        <v>1.72</v>
      </c>
      <c r="L2063" s="147">
        <v>1.8</v>
      </c>
      <c r="M2063" s="59" cm="1">
        <f t="array" ref="M2063">INDEX($BV$29:$BV$1449,MATCH($D2063,$BR$29:$BR$1449,0),)</f>
        <v>2.1</v>
      </c>
      <c r="N2063" s="150">
        <f t="shared" si="625"/>
        <v>0.0078387458006719</v>
      </c>
      <c r="O2063" s="150">
        <f t="shared" si="626"/>
        <v>0.0186757215619695</v>
      </c>
      <c r="P2063" s="150">
        <f t="shared" ref="P2063:P2126" si="634">L2063/L2053-1</f>
        <v>0.0175240248728097</v>
      </c>
      <c r="Q2063" s="89">
        <f t="shared" si="615"/>
        <v>-0.142857142857143</v>
      </c>
      <c r="S2063" s="82">
        <f t="shared" si="616"/>
        <v>45393</v>
      </c>
      <c r="T2063" s="83">
        <f t="shared" si="632"/>
        <v>0.2964375</v>
      </c>
      <c r="U2063" s="83">
        <f t="shared" si="632"/>
        <v>0.290625</v>
      </c>
      <c r="W2063" s="146">
        <v>45393</v>
      </c>
      <c r="X2063" s="147">
        <v>5.28</v>
      </c>
      <c r="Y2063" s="147">
        <v>4.2</v>
      </c>
      <c r="Z2063" s="147">
        <v>4.743</v>
      </c>
      <c r="AA2063" s="59" cm="1">
        <f t="array" ref="AA2063">INDEX($BX$29:$BX$1449,MATCH($D2063,$BR$29:$BR$1449,0),)</f>
        <v>4.65</v>
      </c>
      <c r="AB2063" s="150">
        <f t="shared" si="617"/>
        <v>0.00211282484682029</v>
      </c>
      <c r="AC2063" s="150">
        <f t="shared" si="619"/>
        <v>0.0113006396588486</v>
      </c>
      <c r="AD2063" s="150">
        <f t="shared" si="622"/>
        <v>0.0106541657788197</v>
      </c>
      <c r="AE2063" s="89">
        <f t="shared" si="618"/>
        <v>0.02</v>
      </c>
      <c r="AF2063" s="36"/>
      <c r="GF2063" s="104">
        <f t="shared" si="628"/>
        <v>2021</v>
      </c>
      <c r="GG2063" s="104">
        <f t="shared" si="629"/>
        <v>9</v>
      </c>
      <c r="GH2063" s="35">
        <v>44251</v>
      </c>
      <c r="GI2063" s="26">
        <v>3.2</v>
      </c>
      <c r="GJ2063" s="94">
        <f t="shared" si="630"/>
        <v>6.4</v>
      </c>
      <c r="GK2063" s="104"/>
      <c r="GL2063" s="104"/>
    </row>
    <row r="2064" spans="3:194">
      <c r="C2064" s="80" t="str" cm="1">
        <f t="array" ref="C2064">_xlfn.IFS(MONTH(D2064)&lt;4,1,MONTH(D2064)&lt;7,2,MONTH(D2064)&lt;10,3,MONTH(D2064)&gt;9,4)&amp;"Q"&amp;RIGHT(YEAR(D2064),2)</f>
        <v>2Q24</v>
      </c>
      <c r="D2064" s="81">
        <f t="shared" si="621"/>
        <v>45412</v>
      </c>
      <c r="E2064" s="82">
        <f t="shared" si="614"/>
        <v>45394</v>
      </c>
      <c r="F2064" s="83">
        <f t="shared" si="633"/>
        <v>0.225625</v>
      </c>
      <c r="G2064" s="83">
        <f t="shared" si="633"/>
        <v>0.2625</v>
      </c>
      <c r="H2064" s="81"/>
      <c r="I2064" s="146">
        <v>45394</v>
      </c>
      <c r="J2064" s="147">
        <v>2.05</v>
      </c>
      <c r="K2064" s="147">
        <v>1.72</v>
      </c>
      <c r="L2064" s="147">
        <v>1.805</v>
      </c>
      <c r="M2064" s="59" cm="1">
        <f t="array" ref="M2064">INDEX($BV$29:$BV$1449,MATCH($D2064,$BR$29:$BR$1449,0),)</f>
        <v>2.1</v>
      </c>
      <c r="N2064" s="150">
        <f t="shared" si="625"/>
        <v>0.00277777777777777</v>
      </c>
      <c r="O2064" s="150">
        <f t="shared" si="626"/>
        <v>0.0191981931112366</v>
      </c>
      <c r="P2064" s="150">
        <f t="shared" si="634"/>
        <v>0.0203504804974561</v>
      </c>
      <c r="Q2064" s="89">
        <f t="shared" si="615"/>
        <v>-0.140476190476191</v>
      </c>
      <c r="S2064" s="82">
        <f t="shared" si="616"/>
        <v>45394</v>
      </c>
      <c r="T2064" s="83">
        <f t="shared" ref="T2064:U2079" si="635">+Z2064/16</f>
        <v>0.2964375</v>
      </c>
      <c r="U2064" s="83">
        <f t="shared" si="635"/>
        <v>0.290625</v>
      </c>
      <c r="W2064" s="146">
        <v>45394</v>
      </c>
      <c r="X2064" s="147">
        <v>5.28</v>
      </c>
      <c r="Y2064" s="147">
        <v>4.2</v>
      </c>
      <c r="Z2064" s="147">
        <v>4.743</v>
      </c>
      <c r="AA2064" s="59" cm="1">
        <f t="array" ref="AA2064">INDEX($BX$29:$BX$1449,MATCH($D2064,$BR$29:$BR$1449,0),)</f>
        <v>4.65</v>
      </c>
      <c r="AB2064" s="150">
        <f t="shared" si="617"/>
        <v>0</v>
      </c>
      <c r="AC2064" s="150">
        <f t="shared" si="619"/>
        <v>0.00957854406130276</v>
      </c>
      <c r="AD2064" s="150">
        <f t="shared" si="622"/>
        <v>0.0108695652173914</v>
      </c>
      <c r="AE2064" s="89">
        <f t="shared" si="618"/>
        <v>0.02</v>
      </c>
      <c r="AF2064" s="36"/>
      <c r="GF2064" s="104">
        <f t="shared" si="628"/>
        <v>2021</v>
      </c>
      <c r="GG2064" s="104">
        <f t="shared" si="629"/>
        <v>9</v>
      </c>
      <c r="GH2064" s="35">
        <v>44252</v>
      </c>
      <c r="GI2064" s="26">
        <v>3.3</v>
      </c>
      <c r="GJ2064" s="94">
        <f t="shared" si="630"/>
        <v>6.6</v>
      </c>
      <c r="GK2064" s="104"/>
      <c r="GL2064" s="104"/>
    </row>
    <row r="2065" spans="3:194">
      <c r="C2065" s="80" t="str" cm="1">
        <f t="array" ref="C2065">_xlfn.IFS(MONTH(D2065)&lt;4,1,MONTH(D2065)&lt;7,2,MONTH(D2065)&lt;10,3,MONTH(D2065)&gt;9,4)&amp;"Q"&amp;RIGHT(YEAR(D2065),2)</f>
        <v>2Q24</v>
      </c>
      <c r="D2065" s="81">
        <f t="shared" si="621"/>
        <v>45412</v>
      </c>
      <c r="E2065" s="82">
        <f t="shared" ref="E2065:E2128" si="636">I2065</f>
        <v>45397</v>
      </c>
      <c r="F2065" s="83">
        <f t="shared" si="633"/>
        <v>0.225625</v>
      </c>
      <c r="G2065" s="83">
        <f t="shared" si="633"/>
        <v>0.2625</v>
      </c>
      <c r="H2065" s="81"/>
      <c r="I2065" s="146">
        <v>45397</v>
      </c>
      <c r="J2065" s="147">
        <v>2.06</v>
      </c>
      <c r="K2065" s="147">
        <v>1.74</v>
      </c>
      <c r="L2065" s="147">
        <v>1.805</v>
      </c>
      <c r="M2065" s="59" cm="1">
        <f t="array" ref="M2065">INDEX($BV$29:$BV$1449,MATCH($D2065,$BR$29:$BR$1449,0),)</f>
        <v>2.1</v>
      </c>
      <c r="N2065" s="150">
        <f t="shared" si="625"/>
        <v>0</v>
      </c>
      <c r="O2065" s="150">
        <f t="shared" si="626"/>
        <v>0.0191981931112366</v>
      </c>
      <c r="P2065" s="150">
        <f t="shared" si="634"/>
        <v>0.0203504804974561</v>
      </c>
      <c r="Q2065" s="89">
        <f t="shared" ref="Q2065:Q2128" si="637">L2065/M2065-1</f>
        <v>-0.140476190476191</v>
      </c>
      <c r="S2065" s="82">
        <f t="shared" si="616"/>
        <v>45397</v>
      </c>
      <c r="T2065" s="83">
        <f t="shared" si="635"/>
        <v>0.2964375</v>
      </c>
      <c r="U2065" s="83">
        <f t="shared" si="635"/>
        <v>0.290625</v>
      </c>
      <c r="W2065" s="146">
        <v>45397</v>
      </c>
      <c r="X2065" s="147">
        <v>5.3</v>
      </c>
      <c r="Y2065" s="147">
        <v>4.22</v>
      </c>
      <c r="Z2065" s="147">
        <v>4.743</v>
      </c>
      <c r="AA2065" s="59" cm="1">
        <f t="array" ref="AA2065">INDEX($BX$29:$BX$1449,MATCH($D2065,$BR$29:$BR$1449,0),)</f>
        <v>4.65</v>
      </c>
      <c r="AB2065" s="150">
        <f t="shared" si="617"/>
        <v>0</v>
      </c>
      <c r="AC2065" s="150">
        <f t="shared" si="619"/>
        <v>0.00807651434644008</v>
      </c>
      <c r="AD2065" s="150">
        <f t="shared" si="622"/>
        <v>0.0108695652173914</v>
      </c>
      <c r="AE2065" s="89">
        <f t="shared" si="618"/>
        <v>0.02</v>
      </c>
      <c r="AF2065" s="36"/>
      <c r="GF2065" s="104">
        <f t="shared" si="628"/>
        <v>2021</v>
      </c>
      <c r="GG2065" s="104">
        <f t="shared" si="629"/>
        <v>9</v>
      </c>
      <c r="GH2065" s="35">
        <v>44253</v>
      </c>
      <c r="GI2065" s="26">
        <v>3.344</v>
      </c>
      <c r="GJ2065" s="94">
        <f t="shared" si="630"/>
        <v>6.688</v>
      </c>
      <c r="GK2065" s="104"/>
      <c r="GL2065" s="104"/>
    </row>
    <row r="2066" spans="3:194">
      <c r="C2066" s="80" t="str" cm="1">
        <f t="array" ref="C2066">_xlfn.IFS(MONTH(D2066)&lt;4,1,MONTH(D2066)&lt;7,2,MONTH(D2066)&lt;10,3,MONTH(D2066)&gt;9,4)&amp;"Q"&amp;RIGHT(YEAR(D2066),2)</f>
        <v>2Q24</v>
      </c>
      <c r="D2066" s="81">
        <f t="shared" si="621"/>
        <v>45412</v>
      </c>
      <c r="E2066" s="82">
        <f t="shared" si="636"/>
        <v>45398</v>
      </c>
      <c r="F2066" s="83">
        <f t="shared" si="633"/>
        <v>0.2255</v>
      </c>
      <c r="G2066" s="83">
        <f t="shared" si="633"/>
        <v>0.2625</v>
      </c>
      <c r="H2066" s="81"/>
      <c r="I2066" s="146">
        <v>45398</v>
      </c>
      <c r="J2066" s="147">
        <v>2.03</v>
      </c>
      <c r="K2066" s="147">
        <v>1.74</v>
      </c>
      <c r="L2066" s="147">
        <v>1.804</v>
      </c>
      <c r="M2066" s="59" cm="1">
        <f t="array" ref="M2066">INDEX($BV$29:$BV$1449,MATCH($D2066,$BR$29:$BR$1449,0),)</f>
        <v>2.1</v>
      </c>
      <c r="N2066" s="150">
        <f t="shared" si="625"/>
        <v>-0.000554016620498587</v>
      </c>
      <c r="O2066" s="150">
        <f t="shared" si="626"/>
        <v>0.0129140932060641</v>
      </c>
      <c r="P2066" s="150">
        <f t="shared" si="634"/>
        <v>0.0209394453876628</v>
      </c>
      <c r="Q2066" s="89">
        <f t="shared" si="637"/>
        <v>-0.140952380952381</v>
      </c>
      <c r="S2066" s="82">
        <f t="shared" si="616"/>
        <v>45398</v>
      </c>
      <c r="T2066" s="83">
        <f t="shared" si="635"/>
        <v>0.2964375</v>
      </c>
      <c r="U2066" s="83">
        <f t="shared" si="635"/>
        <v>0.290625</v>
      </c>
      <c r="W2066" s="146">
        <v>45398</v>
      </c>
      <c r="X2066" s="147">
        <v>5.3</v>
      </c>
      <c r="Y2066" s="147">
        <v>4.22</v>
      </c>
      <c r="Z2066" s="147">
        <v>4.743</v>
      </c>
      <c r="AA2066" s="59" cm="1">
        <f t="array" ref="AA2066">INDEX($BX$29:$BX$1449,MATCH($D2066,$BR$29:$BR$1449,0),)</f>
        <v>4.65</v>
      </c>
      <c r="AB2066" s="150">
        <f t="shared" si="617"/>
        <v>0</v>
      </c>
      <c r="AC2066" s="150">
        <f t="shared" si="619"/>
        <v>0.00444726810673446</v>
      </c>
      <c r="AD2066" s="150">
        <f t="shared" si="622"/>
        <v>0.0108695652173914</v>
      </c>
      <c r="AE2066" s="89">
        <f t="shared" si="618"/>
        <v>0.02</v>
      </c>
      <c r="AF2066" s="36"/>
      <c r="GF2066" s="104">
        <f t="shared" si="628"/>
        <v>2021</v>
      </c>
      <c r="GG2066" s="104">
        <f t="shared" si="629"/>
        <v>10</v>
      </c>
      <c r="GH2066" s="35">
        <v>44256</v>
      </c>
      <c r="GI2066" s="26">
        <v>3.376</v>
      </c>
      <c r="GJ2066" s="94">
        <f t="shared" si="630"/>
        <v>6.752</v>
      </c>
      <c r="GK2066" s="104"/>
      <c r="GL2066" s="104"/>
    </row>
    <row r="2067" spans="3:194">
      <c r="C2067" s="80" t="str" cm="1">
        <f t="array" ref="C2067">_xlfn.IFS(MONTH(D2067)&lt;4,1,MONTH(D2067)&lt;7,2,MONTH(D2067)&lt;10,3,MONTH(D2067)&gt;9,4)&amp;"Q"&amp;RIGHT(YEAR(D2067),2)</f>
        <v>2Q24</v>
      </c>
      <c r="D2067" s="81">
        <f t="shared" si="621"/>
        <v>45412</v>
      </c>
      <c r="E2067" s="82">
        <f t="shared" si="636"/>
        <v>45399</v>
      </c>
      <c r="F2067" s="83">
        <f t="shared" si="633"/>
        <v>0.225625</v>
      </c>
      <c r="G2067" s="83">
        <f t="shared" si="633"/>
        <v>0.2625</v>
      </c>
      <c r="H2067" s="81"/>
      <c r="I2067" s="146">
        <v>45399</v>
      </c>
      <c r="J2067" s="147">
        <v>2.03</v>
      </c>
      <c r="K2067" s="147">
        <v>1.74</v>
      </c>
      <c r="L2067" s="147">
        <v>1.805</v>
      </c>
      <c r="M2067" s="59" cm="1">
        <f t="array" ref="M2067">INDEX($BV$29:$BV$1449,MATCH($D2067,$BR$29:$BR$1449,0),)</f>
        <v>2.1</v>
      </c>
      <c r="N2067" s="150">
        <f t="shared" si="625"/>
        <v>0.000554323725055372</v>
      </c>
      <c r="O2067" s="150">
        <f t="shared" si="626"/>
        <v>0.0106382978723403</v>
      </c>
      <c r="P2067" s="150">
        <f t="shared" si="634"/>
        <v>0.021505376344086</v>
      </c>
      <c r="Q2067" s="89">
        <f t="shared" si="637"/>
        <v>-0.140476190476191</v>
      </c>
      <c r="S2067" s="82">
        <f t="shared" si="616"/>
        <v>45399</v>
      </c>
      <c r="T2067" s="83">
        <f t="shared" si="635"/>
        <v>0.2964375</v>
      </c>
      <c r="U2067" s="83">
        <f t="shared" si="635"/>
        <v>0.290625</v>
      </c>
      <c r="W2067" s="146">
        <v>45399</v>
      </c>
      <c r="X2067" s="147">
        <v>5.3</v>
      </c>
      <c r="Y2067" s="147">
        <v>4.22</v>
      </c>
      <c r="Z2067" s="147">
        <v>4.743</v>
      </c>
      <c r="AA2067" s="59" cm="1">
        <f t="array" ref="AA2067">INDEX($BX$29:$BX$1449,MATCH($D2067,$BR$29:$BR$1449,0),)</f>
        <v>4.65</v>
      </c>
      <c r="AB2067" s="150">
        <f t="shared" si="617"/>
        <v>0</v>
      </c>
      <c r="AC2067" s="150">
        <f t="shared" si="619"/>
        <v>0.00211282484682029</v>
      </c>
      <c r="AD2067" s="150">
        <f t="shared" si="622"/>
        <v>0.0108695652173914</v>
      </c>
      <c r="AE2067" s="89">
        <f t="shared" si="618"/>
        <v>0.02</v>
      </c>
      <c r="AF2067" s="36"/>
      <c r="GF2067" s="104">
        <f t="shared" si="628"/>
        <v>2021</v>
      </c>
      <c r="GG2067" s="104">
        <f t="shared" si="629"/>
        <v>10</v>
      </c>
      <c r="GH2067" s="35">
        <v>44257</v>
      </c>
      <c r="GI2067" s="26">
        <v>3.425</v>
      </c>
      <c r="GJ2067" s="94">
        <f t="shared" si="630"/>
        <v>6.85</v>
      </c>
      <c r="GK2067" s="104"/>
      <c r="GL2067" s="104"/>
    </row>
    <row r="2068" spans="3:194">
      <c r="C2068" s="80" t="str" cm="1">
        <f t="array" ref="C2068">_xlfn.IFS(MONTH(D2068)&lt;4,1,MONTH(D2068)&lt;7,2,MONTH(D2068)&lt;10,3,MONTH(D2068)&gt;9,4)&amp;"Q"&amp;RIGHT(YEAR(D2068),2)</f>
        <v>2Q24</v>
      </c>
      <c r="D2068" s="81">
        <f t="shared" si="621"/>
        <v>45412</v>
      </c>
      <c r="E2068" s="82">
        <f t="shared" si="636"/>
        <v>45400</v>
      </c>
      <c r="F2068" s="83">
        <f t="shared" si="633"/>
        <v>0.225625</v>
      </c>
      <c r="G2068" s="83">
        <f t="shared" si="633"/>
        <v>0.2625</v>
      </c>
      <c r="H2068" s="81"/>
      <c r="I2068" s="146">
        <v>45400</v>
      </c>
      <c r="J2068" s="147">
        <v>2.03</v>
      </c>
      <c r="K2068" s="147">
        <v>1.74</v>
      </c>
      <c r="L2068" s="147">
        <v>1.805</v>
      </c>
      <c r="M2068" s="59" cm="1">
        <f t="array" ref="M2068">INDEX($BV$29:$BV$1449,MATCH($D2068,$BR$29:$BR$1449,0),)</f>
        <v>2.1</v>
      </c>
      <c r="N2068" s="150">
        <f t="shared" si="625"/>
        <v>0</v>
      </c>
      <c r="O2068" s="150">
        <f t="shared" si="626"/>
        <v>0.00277777777777777</v>
      </c>
      <c r="P2068" s="150">
        <f t="shared" si="634"/>
        <v>0.021505376344086</v>
      </c>
      <c r="Q2068" s="89">
        <f t="shared" si="637"/>
        <v>-0.140476190476191</v>
      </c>
      <c r="S2068" s="82">
        <f t="shared" ref="S2068:S2131" si="638">W2068</f>
        <v>45400</v>
      </c>
      <c r="T2068" s="83">
        <f t="shared" si="635"/>
        <v>0.2983125</v>
      </c>
      <c r="U2068" s="83">
        <f t="shared" si="635"/>
        <v>0.290625</v>
      </c>
      <c r="W2068" s="146">
        <v>45400</v>
      </c>
      <c r="X2068" s="147">
        <v>5.35</v>
      </c>
      <c r="Y2068" s="147">
        <v>4.22</v>
      </c>
      <c r="Z2068" s="147">
        <v>4.773</v>
      </c>
      <c r="AA2068" s="59" cm="1">
        <f t="array" ref="AA2068">INDEX($BX$29:$BX$1449,MATCH($D2068,$BR$29:$BR$1449,0),)</f>
        <v>4.65</v>
      </c>
      <c r="AB2068" s="150">
        <f t="shared" si="617"/>
        <v>0.00632511068943686</v>
      </c>
      <c r="AC2068" s="150">
        <f t="shared" si="619"/>
        <v>0.00632511068943686</v>
      </c>
      <c r="AD2068" s="150">
        <f t="shared" si="622"/>
        <v>0.0176972281449892</v>
      </c>
      <c r="AE2068" s="89">
        <f t="shared" si="618"/>
        <v>0.0264516129032257</v>
      </c>
      <c r="AF2068" s="36"/>
      <c r="GF2068" s="104">
        <f t="shared" si="628"/>
        <v>2021</v>
      </c>
      <c r="GG2068" s="104">
        <f t="shared" si="629"/>
        <v>10</v>
      </c>
      <c r="GH2068" s="35">
        <v>44258</v>
      </c>
      <c r="GI2068" s="26">
        <v>3.446</v>
      </c>
      <c r="GJ2068" s="94">
        <f t="shared" si="630"/>
        <v>6.892</v>
      </c>
      <c r="GK2068" s="104"/>
      <c r="GL2068" s="104"/>
    </row>
    <row r="2069" spans="3:194">
      <c r="C2069" s="80" t="str" cm="1">
        <f t="array" ref="C2069">_xlfn.IFS(MONTH(D2069)&lt;4,1,MONTH(D2069)&lt;7,2,MONTH(D2069)&lt;10,3,MONTH(D2069)&gt;9,4)&amp;"Q"&amp;RIGHT(YEAR(D2069),2)</f>
        <v>2Q24</v>
      </c>
      <c r="D2069" s="81">
        <f t="shared" si="621"/>
        <v>45412</v>
      </c>
      <c r="E2069" s="82">
        <f t="shared" si="636"/>
        <v>45401</v>
      </c>
      <c r="F2069" s="83">
        <f t="shared" si="633"/>
        <v>0.22525</v>
      </c>
      <c r="G2069" s="83">
        <f t="shared" si="633"/>
        <v>0.2625</v>
      </c>
      <c r="H2069" s="81"/>
      <c r="I2069" s="146">
        <v>45401</v>
      </c>
      <c r="J2069" s="147">
        <v>2.02</v>
      </c>
      <c r="K2069" s="147">
        <v>1.74</v>
      </c>
      <c r="L2069" s="147">
        <v>1.802</v>
      </c>
      <c r="M2069" s="59" cm="1">
        <f t="array" ref="M2069">INDEX($BV$29:$BV$1449,MATCH($D2069,$BR$29:$BR$1449,0),)</f>
        <v>2.1</v>
      </c>
      <c r="N2069" s="150">
        <f t="shared" si="625"/>
        <v>-0.00166204986149576</v>
      </c>
      <c r="O2069" s="150">
        <f t="shared" si="626"/>
        <v>-0.00166204986149576</v>
      </c>
      <c r="P2069" s="150">
        <f t="shared" si="634"/>
        <v>0.0175042348955394</v>
      </c>
      <c r="Q2069" s="89">
        <f t="shared" si="637"/>
        <v>-0.141904761904762</v>
      </c>
      <c r="S2069" s="82">
        <f t="shared" si="638"/>
        <v>45401</v>
      </c>
      <c r="T2069" s="83">
        <f t="shared" si="635"/>
        <v>0.299375</v>
      </c>
      <c r="U2069" s="83">
        <f t="shared" si="635"/>
        <v>0.290625</v>
      </c>
      <c r="W2069" s="146">
        <v>45401</v>
      </c>
      <c r="X2069" s="147">
        <v>5.35</v>
      </c>
      <c r="Y2069" s="147">
        <v>4.25</v>
      </c>
      <c r="Z2069" s="147">
        <v>4.79</v>
      </c>
      <c r="AA2069" s="59" cm="1">
        <f t="array" ref="AA2069">INDEX($BX$29:$BX$1449,MATCH($D2069,$BR$29:$BR$1449,0),)</f>
        <v>4.65</v>
      </c>
      <c r="AB2069" s="150">
        <f t="shared" ref="AB2069:AB2132" si="639">Z2069/Z2068-1</f>
        <v>0.00356170123611999</v>
      </c>
      <c r="AC2069" s="150">
        <f t="shared" si="619"/>
        <v>0.00990934008011801</v>
      </c>
      <c r="AD2069" s="150">
        <f t="shared" si="622"/>
        <v>0.0195828011919965</v>
      </c>
      <c r="AE2069" s="89">
        <f t="shared" si="618"/>
        <v>0.0301075268817204</v>
      </c>
      <c r="AF2069" s="36"/>
      <c r="GF2069" s="104">
        <f t="shared" si="628"/>
        <v>2021</v>
      </c>
      <c r="GG2069" s="104">
        <f t="shared" si="629"/>
        <v>10</v>
      </c>
      <c r="GH2069" s="35">
        <v>44259</v>
      </c>
      <c r="GI2069" s="26">
        <v>3.455</v>
      </c>
      <c r="GJ2069" s="94">
        <f t="shared" si="630"/>
        <v>6.91</v>
      </c>
      <c r="GK2069" s="104"/>
      <c r="GL2069" s="104"/>
    </row>
    <row r="2070" spans="3:194">
      <c r="C2070" s="80" t="str" cm="1">
        <f t="array" ref="C2070">_xlfn.IFS(MONTH(D2070)&lt;4,1,MONTH(D2070)&lt;7,2,MONTH(D2070)&lt;10,3,MONTH(D2070)&gt;9,4)&amp;"Q"&amp;RIGHT(YEAR(D2070),2)</f>
        <v>2Q24</v>
      </c>
      <c r="D2070" s="81">
        <f t="shared" si="621"/>
        <v>45412</v>
      </c>
      <c r="E2070" s="82">
        <f t="shared" si="636"/>
        <v>45404</v>
      </c>
      <c r="F2070" s="83">
        <f t="shared" si="633"/>
        <v>0.225</v>
      </c>
      <c r="G2070" s="83">
        <f t="shared" si="633"/>
        <v>0.2625</v>
      </c>
      <c r="H2070" s="81"/>
      <c r="I2070" s="146">
        <v>45404</v>
      </c>
      <c r="J2070" s="147">
        <v>2</v>
      </c>
      <c r="K2070" s="147">
        <v>1.74</v>
      </c>
      <c r="L2070" s="147">
        <v>1.8</v>
      </c>
      <c r="M2070" s="59" cm="1">
        <f t="array" ref="M2070">INDEX($BV$29:$BV$1449,MATCH($D2070,$BR$29:$BR$1449,0),)</f>
        <v>2.1</v>
      </c>
      <c r="N2070" s="150">
        <f t="shared" si="625"/>
        <v>-0.00110987791342954</v>
      </c>
      <c r="O2070" s="150">
        <f t="shared" si="626"/>
        <v>-0.00277008310249305</v>
      </c>
      <c r="P2070" s="150">
        <f t="shared" si="634"/>
        <v>0.0163749294184077</v>
      </c>
      <c r="Q2070" s="89">
        <f t="shared" si="637"/>
        <v>-0.142857142857143</v>
      </c>
      <c r="S2070" s="82">
        <f t="shared" si="638"/>
        <v>45404</v>
      </c>
      <c r="T2070" s="83">
        <f t="shared" si="635"/>
        <v>0.3014375</v>
      </c>
      <c r="U2070" s="83">
        <f t="shared" si="635"/>
        <v>0.290625</v>
      </c>
      <c r="W2070" s="146">
        <v>45404</v>
      </c>
      <c r="X2070" s="147">
        <v>5.4</v>
      </c>
      <c r="Y2070" s="147">
        <v>4.26</v>
      </c>
      <c r="Z2070" s="147">
        <v>4.823</v>
      </c>
      <c r="AA2070" s="59" cm="1">
        <f t="array" ref="AA2070">INDEX($BX$29:$BX$1449,MATCH($D2070,$BR$29:$BR$1449,0),)</f>
        <v>4.65</v>
      </c>
      <c r="AB2070" s="150">
        <f t="shared" si="639"/>
        <v>0.00688935281837177</v>
      </c>
      <c r="AC2070" s="150">
        <f t="shared" si="619"/>
        <v>0.0168669618384989</v>
      </c>
      <c r="AD2070" s="150">
        <f t="shared" si="622"/>
        <v>0.0250797024442084</v>
      </c>
      <c r="AE2070" s="89">
        <f t="shared" ref="AE2070:AE2133" si="640">Z2070/AA2070-1</f>
        <v>0.0372043010752687</v>
      </c>
      <c r="AF2070" s="36"/>
      <c r="GF2070" s="104">
        <f t="shared" si="628"/>
        <v>2021</v>
      </c>
      <c r="GG2070" s="104">
        <f t="shared" si="629"/>
        <v>10</v>
      </c>
      <c r="GH2070" s="35">
        <v>44260</v>
      </c>
      <c r="GI2070" s="26">
        <v>3.47</v>
      </c>
      <c r="GJ2070" s="94">
        <f t="shared" si="630"/>
        <v>6.94</v>
      </c>
      <c r="GK2070" s="104"/>
      <c r="GL2070" s="104"/>
    </row>
    <row r="2071" spans="3:194">
      <c r="C2071" s="80" t="str" cm="1">
        <f t="array" ref="C2071">_xlfn.IFS(MONTH(D2071)&lt;4,1,MONTH(D2071)&lt;7,2,MONTH(D2071)&lt;10,3,MONTH(D2071)&gt;9,4)&amp;"Q"&amp;RIGHT(YEAR(D2071),2)</f>
        <v>2Q24</v>
      </c>
      <c r="D2071" s="81">
        <f t="shared" si="621"/>
        <v>45412</v>
      </c>
      <c r="E2071" s="82">
        <f t="shared" si="636"/>
        <v>45405</v>
      </c>
      <c r="F2071" s="83">
        <f t="shared" si="633"/>
        <v>0.22425</v>
      </c>
      <c r="G2071" s="83">
        <f t="shared" si="633"/>
        <v>0.2625</v>
      </c>
      <c r="H2071" s="81"/>
      <c r="I2071" s="146">
        <v>45405</v>
      </c>
      <c r="J2071" s="147">
        <v>2</v>
      </c>
      <c r="K2071" s="147">
        <v>1.74</v>
      </c>
      <c r="L2071" s="147">
        <v>1.794</v>
      </c>
      <c r="M2071" s="59" cm="1">
        <f t="array" ref="M2071">INDEX($BV$29:$BV$1449,MATCH($D2071,$BR$29:$BR$1449,0),)</f>
        <v>2.1</v>
      </c>
      <c r="N2071" s="150">
        <f t="shared" si="625"/>
        <v>-0.0033333333333333</v>
      </c>
      <c r="O2071" s="150">
        <f t="shared" si="626"/>
        <v>-0.00554323725055428</v>
      </c>
      <c r="P2071" s="150">
        <f t="shared" si="634"/>
        <v>0.0072992700729928</v>
      </c>
      <c r="Q2071" s="89">
        <f t="shared" si="637"/>
        <v>-0.145714285714286</v>
      </c>
      <c r="S2071" s="82">
        <f t="shared" si="638"/>
        <v>45405</v>
      </c>
      <c r="T2071" s="83">
        <f t="shared" si="635"/>
        <v>0.303125</v>
      </c>
      <c r="U2071" s="83">
        <f t="shared" si="635"/>
        <v>0.290625</v>
      </c>
      <c r="W2071" s="146">
        <v>45405</v>
      </c>
      <c r="X2071" s="147">
        <v>5.4</v>
      </c>
      <c r="Y2071" s="147">
        <v>4.27</v>
      </c>
      <c r="Z2071" s="147">
        <v>4.85</v>
      </c>
      <c r="AA2071" s="59" cm="1">
        <f t="array" ref="AA2071">INDEX($BX$29:$BX$1449,MATCH($D2071,$BR$29:$BR$1449,0),)</f>
        <v>4.65</v>
      </c>
      <c r="AB2071" s="150">
        <f t="shared" si="639"/>
        <v>0.00559817540949603</v>
      </c>
      <c r="AC2071" s="150">
        <f t="shared" si="619"/>
        <v>0.022559561458992</v>
      </c>
      <c r="AD2071" s="150">
        <f t="shared" si="622"/>
        <v>0.0271071579839051</v>
      </c>
      <c r="AE2071" s="89">
        <f t="shared" si="640"/>
        <v>0.0430107526881718</v>
      </c>
      <c r="AF2071" s="36"/>
      <c r="GF2071" s="104">
        <f t="shared" si="628"/>
        <v>2021</v>
      </c>
      <c r="GG2071" s="104">
        <f t="shared" si="629"/>
        <v>11</v>
      </c>
      <c r="GH2071" s="35">
        <v>44263</v>
      </c>
      <c r="GI2071" s="26">
        <v>3.47</v>
      </c>
      <c r="GJ2071" s="94">
        <f t="shared" si="630"/>
        <v>6.94</v>
      </c>
      <c r="GK2071" s="104"/>
      <c r="GL2071" s="104"/>
    </row>
    <row r="2072" spans="3:194">
      <c r="C2072" s="80" t="str" cm="1">
        <f t="array" ref="C2072">_xlfn.IFS(MONTH(D2072)&lt;4,1,MONTH(D2072)&lt;7,2,MONTH(D2072)&lt;10,3,MONTH(D2072)&gt;9,4)&amp;"Q"&amp;RIGHT(YEAR(D2072),2)</f>
        <v>2Q24</v>
      </c>
      <c r="D2072" s="81">
        <f t="shared" si="621"/>
        <v>45412</v>
      </c>
      <c r="E2072" s="82">
        <f t="shared" si="636"/>
        <v>45406</v>
      </c>
      <c r="F2072" s="83">
        <f t="shared" si="633"/>
        <v>0.224</v>
      </c>
      <c r="G2072" s="83">
        <f t="shared" si="633"/>
        <v>0.2625</v>
      </c>
      <c r="H2072" s="81"/>
      <c r="I2072" s="146">
        <v>45406</v>
      </c>
      <c r="J2072" s="147">
        <v>2</v>
      </c>
      <c r="K2072" s="147">
        <v>1.74</v>
      </c>
      <c r="L2072" s="147">
        <v>1.792</v>
      </c>
      <c r="M2072" s="59" cm="1">
        <f t="array" ref="M2072">INDEX($BV$29:$BV$1449,MATCH($D2072,$BR$29:$BR$1449,0),)</f>
        <v>2.1</v>
      </c>
      <c r="N2072" s="150">
        <f t="shared" si="625"/>
        <v>-0.00111482720178369</v>
      </c>
      <c r="O2072" s="150">
        <f t="shared" si="626"/>
        <v>-0.00720221606648197</v>
      </c>
      <c r="P2072" s="150">
        <f t="shared" si="634"/>
        <v>0.00335946248600227</v>
      </c>
      <c r="Q2072" s="89">
        <f t="shared" si="637"/>
        <v>-0.146666666666667</v>
      </c>
      <c r="S2072" s="82">
        <f t="shared" si="638"/>
        <v>45406</v>
      </c>
      <c r="T2072" s="83">
        <f t="shared" si="635"/>
        <v>0.303125</v>
      </c>
      <c r="U2072" s="83">
        <f t="shared" si="635"/>
        <v>0.290625</v>
      </c>
      <c r="W2072" s="146">
        <v>45406</v>
      </c>
      <c r="X2072" s="147">
        <v>5.4</v>
      </c>
      <c r="Y2072" s="147">
        <v>4.27</v>
      </c>
      <c r="Z2072" s="147">
        <v>4.85</v>
      </c>
      <c r="AA2072" s="59" cm="1">
        <f t="array" ref="AA2072">INDEX($BX$29:$BX$1449,MATCH($D2072,$BR$29:$BR$1449,0),)</f>
        <v>4.65</v>
      </c>
      <c r="AB2072" s="150">
        <f t="shared" si="639"/>
        <v>0</v>
      </c>
      <c r="AC2072" s="150">
        <f t="shared" si="619"/>
        <v>0.022559561458992</v>
      </c>
      <c r="AD2072" s="150">
        <f t="shared" si="622"/>
        <v>0.0247200507077963</v>
      </c>
      <c r="AE2072" s="89">
        <f t="shared" si="640"/>
        <v>0.0430107526881718</v>
      </c>
      <c r="AF2072" s="36"/>
      <c r="GF2072" s="104">
        <f t="shared" si="628"/>
        <v>2021</v>
      </c>
      <c r="GG2072" s="104">
        <f t="shared" si="629"/>
        <v>11</v>
      </c>
      <c r="GH2072" s="35">
        <v>44264</v>
      </c>
      <c r="GI2072" s="26">
        <v>3.47</v>
      </c>
      <c r="GJ2072" s="94">
        <f t="shared" si="630"/>
        <v>6.94</v>
      </c>
      <c r="GK2072" s="104"/>
      <c r="GL2072" s="104"/>
    </row>
    <row r="2073" spans="3:194">
      <c r="C2073" s="80" t="str" cm="1">
        <f t="array" ref="C2073">_xlfn.IFS(MONTH(D2073)&lt;4,1,MONTH(D2073)&lt;7,2,MONTH(D2073)&lt;10,3,MONTH(D2073)&gt;9,4)&amp;"Q"&amp;RIGHT(YEAR(D2073),2)</f>
        <v>2Q24</v>
      </c>
      <c r="D2073" s="81">
        <f t="shared" si="621"/>
        <v>45412</v>
      </c>
      <c r="E2073" s="82">
        <f t="shared" si="636"/>
        <v>45407</v>
      </c>
      <c r="F2073" s="83">
        <f t="shared" si="633"/>
        <v>0.223875</v>
      </c>
      <c r="G2073" s="83">
        <f t="shared" si="633"/>
        <v>0.2625</v>
      </c>
      <c r="H2073" s="81"/>
      <c r="I2073" s="146">
        <v>45407</v>
      </c>
      <c r="J2073" s="147">
        <v>1.98</v>
      </c>
      <c r="K2073" s="147">
        <v>1.74</v>
      </c>
      <c r="L2073" s="147">
        <v>1.791</v>
      </c>
      <c r="M2073" s="59" cm="1">
        <f t="array" ref="M2073">INDEX($BV$29:$BV$1449,MATCH($D2073,$BR$29:$BR$1449,0),)</f>
        <v>2.1</v>
      </c>
      <c r="N2073" s="150">
        <f t="shared" si="625"/>
        <v>-0.000558035714285809</v>
      </c>
      <c r="O2073" s="150">
        <f t="shared" si="626"/>
        <v>-0.00775623268698067</v>
      </c>
      <c r="P2073" s="150">
        <f t="shared" si="634"/>
        <v>-0.00500000000000012</v>
      </c>
      <c r="Q2073" s="89">
        <f t="shared" si="637"/>
        <v>-0.147142857142857</v>
      </c>
      <c r="S2073" s="82">
        <f t="shared" si="638"/>
        <v>45407</v>
      </c>
      <c r="T2073" s="83">
        <f t="shared" si="635"/>
        <v>0.3051875</v>
      </c>
      <c r="U2073" s="83">
        <f t="shared" si="635"/>
        <v>0.290625</v>
      </c>
      <c r="W2073" s="146">
        <v>45407</v>
      </c>
      <c r="X2073" s="147">
        <v>5.4</v>
      </c>
      <c r="Y2073" s="147">
        <v>4.3</v>
      </c>
      <c r="Z2073" s="147">
        <v>4.883</v>
      </c>
      <c r="AA2073" s="59" cm="1">
        <f t="array" ref="AA2073">INDEX($BX$29:$BX$1449,MATCH($D2073,$BR$29:$BR$1449,0),)</f>
        <v>4.65</v>
      </c>
      <c r="AB2073" s="150">
        <f t="shared" si="639"/>
        <v>0.00680412371134032</v>
      </c>
      <c r="AC2073" s="150">
        <f t="shared" ref="AC2073:AC2136" si="641">Z2073/Z2068-1</f>
        <v>0.0230463021160696</v>
      </c>
      <c r="AD2073" s="150">
        <f t="shared" si="622"/>
        <v>0.0295171832173728</v>
      </c>
      <c r="AE2073" s="89">
        <f t="shared" si="640"/>
        <v>0.0501075268817204</v>
      </c>
      <c r="AF2073" s="36"/>
      <c r="GF2073" s="104">
        <f t="shared" si="628"/>
        <v>2021</v>
      </c>
      <c r="GG2073" s="104">
        <f t="shared" si="629"/>
        <v>11</v>
      </c>
      <c r="GH2073" s="35">
        <v>44265</v>
      </c>
      <c r="GI2073" s="26">
        <v>3.474</v>
      </c>
      <c r="GJ2073" s="94">
        <f t="shared" si="630"/>
        <v>6.948</v>
      </c>
      <c r="GK2073" s="104"/>
      <c r="GL2073" s="104"/>
    </row>
    <row r="2074" spans="3:194">
      <c r="C2074" s="80" t="str" cm="1">
        <f t="array" ref="C2074">_xlfn.IFS(MONTH(D2074)&lt;4,1,MONTH(D2074)&lt;7,2,MONTH(D2074)&lt;10,3,MONTH(D2074)&gt;9,4)&amp;"Q"&amp;RIGHT(YEAR(D2074),2)</f>
        <v>2Q24</v>
      </c>
      <c r="D2074" s="81">
        <f t="shared" si="621"/>
        <v>45412</v>
      </c>
      <c r="E2074" s="82">
        <f t="shared" si="636"/>
        <v>45408</v>
      </c>
      <c r="F2074" s="83">
        <f t="shared" ref="F2074:G2089" si="642">+L2074/8</f>
        <v>0.2235</v>
      </c>
      <c r="G2074" s="83">
        <f t="shared" si="642"/>
        <v>0.2625</v>
      </c>
      <c r="H2074" s="81"/>
      <c r="I2074" s="146">
        <v>45408</v>
      </c>
      <c r="J2074" s="147">
        <v>1.98</v>
      </c>
      <c r="K2074" s="147">
        <v>1.72</v>
      </c>
      <c r="L2074" s="147">
        <v>1.788</v>
      </c>
      <c r="M2074" s="59" cm="1">
        <f t="array" ref="M2074">INDEX($BV$29:$BV$1449,MATCH($D2074,$BR$29:$BR$1449,0),)</f>
        <v>2.1</v>
      </c>
      <c r="N2074" s="150">
        <f t="shared" si="625"/>
        <v>-0.00167504187604683</v>
      </c>
      <c r="O2074" s="150">
        <f t="shared" si="626"/>
        <v>-0.00776914539400664</v>
      </c>
      <c r="P2074" s="150">
        <f t="shared" si="634"/>
        <v>-0.00941828254847643</v>
      </c>
      <c r="Q2074" s="89">
        <f t="shared" si="637"/>
        <v>-0.148571428571429</v>
      </c>
      <c r="S2074" s="82">
        <f t="shared" si="638"/>
        <v>45408</v>
      </c>
      <c r="T2074" s="83">
        <f t="shared" si="635"/>
        <v>0.3051875</v>
      </c>
      <c r="U2074" s="83">
        <f t="shared" si="635"/>
        <v>0.290625</v>
      </c>
      <c r="W2074" s="146">
        <v>45408</v>
      </c>
      <c r="X2074" s="147">
        <v>5.4</v>
      </c>
      <c r="Y2074" s="147">
        <v>4.27</v>
      </c>
      <c r="Z2074" s="147">
        <v>4.883</v>
      </c>
      <c r="AA2074" s="59" cm="1">
        <f t="array" ref="AA2074">INDEX($BX$29:$BX$1449,MATCH($D2074,$BR$29:$BR$1449,0),)</f>
        <v>4.65</v>
      </c>
      <c r="AB2074" s="150">
        <f t="shared" si="639"/>
        <v>0</v>
      </c>
      <c r="AC2074" s="150">
        <f t="shared" si="641"/>
        <v>0.0194154488517746</v>
      </c>
      <c r="AD2074" s="150">
        <f t="shared" si="622"/>
        <v>0.0295171832173728</v>
      </c>
      <c r="AE2074" s="89">
        <f t="shared" si="640"/>
        <v>0.0501075268817204</v>
      </c>
      <c r="AF2074" s="36"/>
      <c r="GF2074" s="104">
        <f t="shared" si="628"/>
        <v>2021</v>
      </c>
      <c r="GG2074" s="104">
        <f t="shared" si="629"/>
        <v>11</v>
      </c>
      <c r="GH2074" s="35">
        <v>44266</v>
      </c>
      <c r="GI2074" s="26">
        <v>3.5</v>
      </c>
      <c r="GJ2074" s="94">
        <f t="shared" si="630"/>
        <v>7</v>
      </c>
      <c r="GK2074" s="104"/>
      <c r="GL2074" s="104"/>
    </row>
    <row r="2075" spans="3:194">
      <c r="C2075" s="80" t="str" cm="1">
        <f t="array" ref="C2075">_xlfn.IFS(MONTH(D2075)&lt;4,1,MONTH(D2075)&lt;7,2,MONTH(D2075)&lt;10,3,MONTH(D2075)&gt;9,4)&amp;"Q"&amp;RIGHT(YEAR(D2075),2)</f>
        <v>2Q24</v>
      </c>
      <c r="D2075" s="81">
        <f t="shared" si="621"/>
        <v>45412</v>
      </c>
      <c r="E2075" s="82">
        <f t="shared" si="636"/>
        <v>45411</v>
      </c>
      <c r="F2075" s="83">
        <f t="shared" si="642"/>
        <v>0.223125</v>
      </c>
      <c r="G2075" s="83">
        <f t="shared" si="642"/>
        <v>0.2625</v>
      </c>
      <c r="H2075" s="81"/>
      <c r="I2075" s="146">
        <v>45411</v>
      </c>
      <c r="J2075" s="147">
        <v>1.97</v>
      </c>
      <c r="K2075" s="147">
        <v>1.72</v>
      </c>
      <c r="L2075" s="147">
        <v>1.785</v>
      </c>
      <c r="M2075" s="59" cm="1">
        <f t="array" ref="M2075">INDEX($BV$29:$BV$1449,MATCH($D2075,$BR$29:$BR$1449,0),)</f>
        <v>2.1</v>
      </c>
      <c r="N2075" s="150">
        <f t="shared" si="625"/>
        <v>-0.00167785234899331</v>
      </c>
      <c r="O2075" s="150">
        <f t="shared" si="626"/>
        <v>-0.00833333333333341</v>
      </c>
      <c r="P2075" s="150">
        <f t="shared" si="634"/>
        <v>-0.0110803324099723</v>
      </c>
      <c r="Q2075" s="89">
        <f t="shared" si="637"/>
        <v>-0.15</v>
      </c>
      <c r="S2075" s="82">
        <f t="shared" si="638"/>
        <v>45411</v>
      </c>
      <c r="T2075" s="83">
        <f t="shared" si="635"/>
        <v>0.3058125</v>
      </c>
      <c r="U2075" s="83">
        <f t="shared" si="635"/>
        <v>0.290625</v>
      </c>
      <c r="W2075" s="146">
        <v>45411</v>
      </c>
      <c r="X2075" s="147">
        <v>5.45</v>
      </c>
      <c r="Y2075" s="147">
        <v>4.25</v>
      </c>
      <c r="Z2075" s="147">
        <v>4.893</v>
      </c>
      <c r="AA2075" s="59" cm="1">
        <f t="array" ref="AA2075">INDEX($BX$29:$BX$1449,MATCH($D2075,$BR$29:$BR$1449,0),)</f>
        <v>4.65</v>
      </c>
      <c r="AB2075" s="150">
        <f t="shared" si="639"/>
        <v>0.00204792135981968</v>
      </c>
      <c r="AC2075" s="150">
        <f t="shared" si="641"/>
        <v>0.0145137880986936</v>
      </c>
      <c r="AD2075" s="150">
        <f t="shared" si="622"/>
        <v>0.0316255534471852</v>
      </c>
      <c r="AE2075" s="89">
        <f t="shared" si="640"/>
        <v>0.0522580645161288</v>
      </c>
      <c r="AF2075" s="36"/>
      <c r="GF2075" s="104">
        <f t="shared" si="628"/>
        <v>2021</v>
      </c>
      <c r="GG2075" s="104">
        <f t="shared" si="629"/>
        <v>11</v>
      </c>
      <c r="GH2075" s="35">
        <v>44267</v>
      </c>
      <c r="GI2075" s="26">
        <v>3.5</v>
      </c>
      <c r="GJ2075" s="94">
        <f t="shared" si="630"/>
        <v>7</v>
      </c>
      <c r="GK2075" s="104"/>
      <c r="GL2075" s="104"/>
    </row>
    <row r="2076" spans="3:194">
      <c r="C2076" s="80" t="str" cm="1">
        <f t="array" ref="C2076">_xlfn.IFS(MONTH(D2076)&lt;4,1,MONTH(D2076)&lt;7,2,MONTH(D2076)&lt;10,3,MONTH(D2076)&gt;9,4)&amp;"Q"&amp;RIGHT(YEAR(D2076),2)</f>
        <v>2Q24</v>
      </c>
      <c r="D2076" s="81">
        <f t="shared" si="621"/>
        <v>45412</v>
      </c>
      <c r="E2076" s="82">
        <f t="shared" si="636"/>
        <v>45412</v>
      </c>
      <c r="F2076" s="83">
        <f t="shared" si="642"/>
        <v>0.222875</v>
      </c>
      <c r="G2076" s="83">
        <f t="shared" si="642"/>
        <v>0.2625</v>
      </c>
      <c r="H2076" s="81"/>
      <c r="I2076" s="146">
        <v>45412</v>
      </c>
      <c r="J2076" s="147">
        <v>1.96</v>
      </c>
      <c r="K2076" s="147">
        <v>1.72</v>
      </c>
      <c r="L2076" s="147">
        <v>1.783</v>
      </c>
      <c r="M2076" s="59" cm="1">
        <f t="array" ref="M2076">INDEX($BV$29:$BV$1449,MATCH($D2076,$BR$29:$BR$1449,0),)</f>
        <v>2.1</v>
      </c>
      <c r="N2076" s="150">
        <f t="shared" si="625"/>
        <v>-0.0011204481792717</v>
      </c>
      <c r="O2076" s="150">
        <f t="shared" si="626"/>
        <v>-0.00613154960981055</v>
      </c>
      <c r="P2076" s="150">
        <f t="shared" si="634"/>
        <v>-0.0116407982261642</v>
      </c>
      <c r="Q2076" s="89">
        <f t="shared" si="637"/>
        <v>-0.150952380952381</v>
      </c>
      <c r="S2076" s="82">
        <f t="shared" si="638"/>
        <v>45412</v>
      </c>
      <c r="T2076" s="83">
        <f t="shared" si="635"/>
        <v>0.30625</v>
      </c>
      <c r="U2076" s="83">
        <f t="shared" si="635"/>
        <v>0.290625</v>
      </c>
      <c r="W2076" s="146">
        <v>45412</v>
      </c>
      <c r="X2076" s="147">
        <v>5.45</v>
      </c>
      <c r="Y2076" s="147">
        <v>4.25</v>
      </c>
      <c r="Z2076" s="147">
        <v>4.9</v>
      </c>
      <c r="AA2076" s="59" cm="1">
        <f t="array" ref="AA2076">INDEX($BX$29:$BX$1449,MATCH($D2076,$BR$29:$BR$1449,0),)</f>
        <v>4.65</v>
      </c>
      <c r="AB2076" s="150">
        <f t="shared" si="639"/>
        <v>0.00143061516452092</v>
      </c>
      <c r="AC2076" s="150">
        <f t="shared" si="641"/>
        <v>0.0103092783505156</v>
      </c>
      <c r="AD2076" s="150">
        <f t="shared" si="622"/>
        <v>0.033101412608054</v>
      </c>
      <c r="AE2076" s="89">
        <f t="shared" si="640"/>
        <v>0.053763440860215</v>
      </c>
      <c r="AF2076" s="36"/>
      <c r="GF2076" s="104">
        <f t="shared" si="628"/>
        <v>2021</v>
      </c>
      <c r="GG2076" s="104">
        <f t="shared" si="629"/>
        <v>12</v>
      </c>
      <c r="GH2076" s="35">
        <v>44270</v>
      </c>
      <c r="GI2076" s="26">
        <v>3.503</v>
      </c>
      <c r="GJ2076" s="94">
        <f t="shared" si="630"/>
        <v>7.006</v>
      </c>
      <c r="GK2076" s="104"/>
      <c r="GL2076" s="104"/>
    </row>
    <row r="2077" spans="3:194">
      <c r="C2077" s="80" t="str" cm="1">
        <f t="array" ref="C2077">_xlfn.IFS(MONTH(D2077)&lt;4,1,MONTH(D2077)&lt;7,2,MONTH(D2077)&lt;10,3,MONTH(D2077)&gt;9,4)&amp;"Q"&amp;RIGHT(YEAR(D2077),2)</f>
        <v>2Q24</v>
      </c>
      <c r="D2077" s="81">
        <f t="shared" si="621"/>
        <v>45443</v>
      </c>
      <c r="E2077" s="82">
        <f t="shared" si="636"/>
        <v>45414</v>
      </c>
      <c r="F2077" s="83">
        <f t="shared" si="642"/>
        <v>0.222625</v>
      </c>
      <c r="G2077" s="83">
        <f t="shared" si="642"/>
        <v>0.2625</v>
      </c>
      <c r="H2077" s="81"/>
      <c r="I2077" s="146">
        <v>45414</v>
      </c>
      <c r="J2077" s="147">
        <v>1.96</v>
      </c>
      <c r="K2077" s="147">
        <v>1.72</v>
      </c>
      <c r="L2077" s="147">
        <v>1.781</v>
      </c>
      <c r="M2077" s="59" cm="1">
        <f t="array" ref="M2077">INDEX($BV$29:$BV$1449,MATCH($D2077,$BR$29:$BR$1449,0),)</f>
        <v>2.1</v>
      </c>
      <c r="N2077" s="150">
        <f t="shared" si="625"/>
        <v>-0.00112170499158726</v>
      </c>
      <c r="O2077" s="150">
        <f t="shared" si="626"/>
        <v>-0.0061383928571429</v>
      </c>
      <c r="P2077" s="150">
        <f t="shared" si="634"/>
        <v>-0.0132963988919668</v>
      </c>
      <c r="Q2077" s="89">
        <f t="shared" si="637"/>
        <v>-0.151904761904762</v>
      </c>
      <c r="S2077" s="82">
        <f t="shared" si="638"/>
        <v>45414</v>
      </c>
      <c r="T2077" s="83">
        <f t="shared" si="635"/>
        <v>0.3064375</v>
      </c>
      <c r="U2077" s="83">
        <f t="shared" si="635"/>
        <v>0.290625</v>
      </c>
      <c r="W2077" s="146">
        <v>45414</v>
      </c>
      <c r="X2077" s="147">
        <v>5.5</v>
      </c>
      <c r="Y2077" s="147">
        <v>4.24</v>
      </c>
      <c r="Z2077" s="147">
        <v>4.903</v>
      </c>
      <c r="AA2077" s="59" cm="1">
        <f t="array" ref="AA2077">INDEX($BX$29:$BX$1449,MATCH($D2077,$BR$29:$BR$1449,0),)</f>
        <v>4.65</v>
      </c>
      <c r="AB2077" s="150">
        <f t="shared" si="639"/>
        <v>0.00061224489795908</v>
      </c>
      <c r="AC2077" s="150">
        <f t="shared" si="641"/>
        <v>0.0109278350515465</v>
      </c>
      <c r="AD2077" s="150">
        <f t="shared" si="622"/>
        <v>0.0337339236769976</v>
      </c>
      <c r="AE2077" s="89">
        <f t="shared" si="640"/>
        <v>0.0544086021505374</v>
      </c>
      <c r="AF2077" s="36"/>
      <c r="AI2077" s="3"/>
      <c r="GF2077" s="104">
        <f t="shared" si="628"/>
        <v>2021</v>
      </c>
      <c r="GG2077" s="104">
        <f t="shared" si="629"/>
        <v>12</v>
      </c>
      <c r="GH2077" s="35">
        <v>44271</v>
      </c>
      <c r="GI2077" s="26">
        <v>3.486</v>
      </c>
      <c r="GJ2077" s="94">
        <f t="shared" si="630"/>
        <v>6.972</v>
      </c>
      <c r="GK2077" s="104"/>
      <c r="GL2077" s="104"/>
    </row>
    <row r="2078" spans="3:194">
      <c r="C2078" s="80" t="str" cm="1">
        <f t="array" ref="C2078">_xlfn.IFS(MONTH(D2078)&lt;4,1,MONTH(D2078)&lt;7,2,MONTH(D2078)&lt;10,3,MONTH(D2078)&gt;9,4)&amp;"Q"&amp;RIGHT(YEAR(D2078),2)</f>
        <v>2Q24</v>
      </c>
      <c r="D2078" s="81">
        <f t="shared" ref="D2078:D2141" si="643">EOMONTH(E2078,0)</f>
        <v>45443</v>
      </c>
      <c r="E2078" s="82">
        <f t="shared" si="636"/>
        <v>45415</v>
      </c>
      <c r="F2078" s="83">
        <f t="shared" si="642"/>
        <v>0.2225</v>
      </c>
      <c r="G2078" s="83">
        <f t="shared" si="642"/>
        <v>0.2625</v>
      </c>
      <c r="H2078" s="81"/>
      <c r="I2078" s="146">
        <v>45415</v>
      </c>
      <c r="J2078" s="147">
        <v>1.96</v>
      </c>
      <c r="K2078" s="147">
        <v>1.72</v>
      </c>
      <c r="L2078" s="147">
        <v>1.78</v>
      </c>
      <c r="M2078" s="59" cm="1">
        <f t="array" ref="M2078">INDEX($BV$29:$BV$1449,MATCH($D2078,$BR$29:$BR$1449,0),)</f>
        <v>2.1</v>
      </c>
      <c r="N2078" s="150">
        <f t="shared" si="625"/>
        <v>-0.000561482313307105</v>
      </c>
      <c r="O2078" s="150">
        <f t="shared" si="626"/>
        <v>-0.00614182021217191</v>
      </c>
      <c r="P2078" s="150">
        <f t="shared" si="634"/>
        <v>-0.0138504155124654</v>
      </c>
      <c r="Q2078" s="89">
        <f t="shared" si="637"/>
        <v>-0.152380952380952</v>
      </c>
      <c r="S2078" s="82">
        <f t="shared" si="638"/>
        <v>45415</v>
      </c>
      <c r="T2078" s="83">
        <f t="shared" si="635"/>
        <v>0.3064375</v>
      </c>
      <c r="U2078" s="83">
        <f t="shared" si="635"/>
        <v>0.290625</v>
      </c>
      <c r="W2078" s="146">
        <v>45415</v>
      </c>
      <c r="X2078" s="147">
        <v>5.5</v>
      </c>
      <c r="Y2078" s="147">
        <v>4.24</v>
      </c>
      <c r="Z2078" s="147">
        <v>4.903</v>
      </c>
      <c r="AA2078" s="59" cm="1">
        <f t="array" ref="AA2078">INDEX($BX$29:$BX$1449,MATCH($D2078,$BR$29:$BR$1449,0),)</f>
        <v>4.65</v>
      </c>
      <c r="AB2078" s="150">
        <f t="shared" si="639"/>
        <v>0</v>
      </c>
      <c r="AC2078" s="150">
        <f t="shared" si="641"/>
        <v>0.00409584271963959</v>
      </c>
      <c r="AD2078" s="150">
        <f t="shared" ref="AD2078:AD2141" si="644">Z2078/Z2068-1</f>
        <v>0.0272365388644458</v>
      </c>
      <c r="AE2078" s="89">
        <f t="shared" si="640"/>
        <v>0.0544086021505374</v>
      </c>
      <c r="AF2078" s="36"/>
      <c r="AI2078" s="3"/>
      <c r="GF2078" s="104">
        <f t="shared" si="628"/>
        <v>2021</v>
      </c>
      <c r="GG2078" s="104">
        <f t="shared" si="629"/>
        <v>12</v>
      </c>
      <c r="GH2078" s="35">
        <v>44272</v>
      </c>
      <c r="GI2078" s="26">
        <v>3.486</v>
      </c>
      <c r="GJ2078" s="94">
        <f t="shared" si="630"/>
        <v>6.972</v>
      </c>
      <c r="GK2078" s="104"/>
      <c r="GL2078" s="104"/>
    </row>
    <row r="2079" spans="3:194">
      <c r="C2079" s="80" t="str" cm="1">
        <f t="array" ref="C2079">_xlfn.IFS(MONTH(D2079)&lt;4,1,MONTH(D2079)&lt;7,2,MONTH(D2079)&lt;10,3,MONTH(D2079)&gt;9,4)&amp;"Q"&amp;RIGHT(YEAR(D2079),2)</f>
        <v>2Q24</v>
      </c>
      <c r="D2079" s="81">
        <f t="shared" si="643"/>
        <v>45443</v>
      </c>
      <c r="E2079" s="82">
        <f t="shared" si="636"/>
        <v>45418</v>
      </c>
      <c r="F2079" s="83">
        <f t="shared" si="642"/>
        <v>0.2225</v>
      </c>
      <c r="G2079" s="83">
        <f t="shared" si="642"/>
        <v>0.2625</v>
      </c>
      <c r="H2079" s="81"/>
      <c r="I2079" s="146">
        <v>45418</v>
      </c>
      <c r="J2079" s="147">
        <v>1.97</v>
      </c>
      <c r="K2079" s="147">
        <v>1.71</v>
      </c>
      <c r="L2079" s="147">
        <v>1.78</v>
      </c>
      <c r="M2079" s="59" cm="1">
        <f t="array" ref="M2079">INDEX($BV$29:$BV$1449,MATCH($D2079,$BR$29:$BR$1449,0),)</f>
        <v>2.1</v>
      </c>
      <c r="N2079" s="150">
        <f t="shared" si="625"/>
        <v>0</v>
      </c>
      <c r="O2079" s="150">
        <f t="shared" si="626"/>
        <v>-0.00447427293064873</v>
      </c>
      <c r="P2079" s="150">
        <f t="shared" si="634"/>
        <v>-0.0122086570477248</v>
      </c>
      <c r="Q2079" s="89">
        <f t="shared" si="637"/>
        <v>-0.152380952380952</v>
      </c>
      <c r="S2079" s="82">
        <f t="shared" si="638"/>
        <v>45418</v>
      </c>
      <c r="T2079" s="83">
        <f t="shared" si="635"/>
        <v>0.3073125</v>
      </c>
      <c r="U2079" s="83">
        <f t="shared" si="635"/>
        <v>0.290625</v>
      </c>
      <c r="W2079" s="146">
        <v>45418</v>
      </c>
      <c r="X2079" s="147">
        <v>5.55</v>
      </c>
      <c r="Y2079" s="147">
        <v>4.23</v>
      </c>
      <c r="Z2079" s="147">
        <v>4.917</v>
      </c>
      <c r="AA2079" s="59" cm="1">
        <f t="array" ref="AA2079">INDEX($BX$29:$BX$1449,MATCH($D2079,$BR$29:$BR$1449,0),)</f>
        <v>4.65</v>
      </c>
      <c r="AB2079" s="150">
        <f t="shared" si="639"/>
        <v>0.002855394656333</v>
      </c>
      <c r="AC2079" s="150">
        <f t="shared" si="641"/>
        <v>0.00696293262338732</v>
      </c>
      <c r="AD2079" s="150">
        <f t="shared" si="644"/>
        <v>0.0265135699373695</v>
      </c>
      <c r="AE2079" s="89">
        <f t="shared" si="640"/>
        <v>0.0574193548387096</v>
      </c>
      <c r="AF2079" s="36"/>
      <c r="GF2079" s="104">
        <f t="shared" si="628"/>
        <v>2021</v>
      </c>
      <c r="GG2079" s="104">
        <f t="shared" si="629"/>
        <v>12</v>
      </c>
      <c r="GH2079" s="35">
        <v>44273</v>
      </c>
      <c r="GI2079" s="26">
        <v>3.419</v>
      </c>
      <c r="GJ2079" s="94">
        <f t="shared" si="630"/>
        <v>6.838</v>
      </c>
      <c r="GK2079" s="104"/>
      <c r="GL2079" s="104"/>
    </row>
    <row r="2080" spans="3:194">
      <c r="C2080" s="80" t="str" cm="1">
        <f t="array" ref="C2080">_xlfn.IFS(MONTH(D2080)&lt;4,1,MONTH(D2080)&lt;7,2,MONTH(D2080)&lt;10,3,MONTH(D2080)&gt;9,4)&amp;"Q"&amp;RIGHT(YEAR(D2080),2)</f>
        <v>2Q24</v>
      </c>
      <c r="D2080" s="81">
        <f t="shared" si="643"/>
        <v>45443</v>
      </c>
      <c r="E2080" s="82">
        <f t="shared" si="636"/>
        <v>45419</v>
      </c>
      <c r="F2080" s="83">
        <f t="shared" si="642"/>
        <v>0.222125</v>
      </c>
      <c r="G2080" s="83">
        <f t="shared" si="642"/>
        <v>0.2625</v>
      </c>
      <c r="H2080" s="81"/>
      <c r="I2080" s="146">
        <v>45419</v>
      </c>
      <c r="J2080" s="147">
        <v>1.97</v>
      </c>
      <c r="K2080" s="147">
        <v>1.71</v>
      </c>
      <c r="L2080" s="147">
        <v>1.777</v>
      </c>
      <c r="M2080" s="59" cm="1">
        <f t="array" ref="M2080">INDEX($BV$29:$BV$1449,MATCH($D2080,$BR$29:$BR$1449,0),)</f>
        <v>2.1</v>
      </c>
      <c r="N2080" s="150">
        <f t="shared" si="625"/>
        <v>-0.00168539325842698</v>
      </c>
      <c r="O2080" s="150">
        <f t="shared" si="626"/>
        <v>-0.00448179271708682</v>
      </c>
      <c r="P2080" s="150">
        <f t="shared" si="634"/>
        <v>-0.0127777777777779</v>
      </c>
      <c r="Q2080" s="89">
        <f t="shared" si="637"/>
        <v>-0.153809523809524</v>
      </c>
      <c r="S2080" s="82">
        <f t="shared" si="638"/>
        <v>45419</v>
      </c>
      <c r="T2080" s="83">
        <f t="shared" ref="T2080:U2095" si="645">+Z2080/16</f>
        <v>0.3076875</v>
      </c>
      <c r="U2080" s="83">
        <f t="shared" si="645"/>
        <v>0.290625</v>
      </c>
      <c r="W2080" s="146">
        <v>45419</v>
      </c>
      <c r="X2080" s="147">
        <v>5.55</v>
      </c>
      <c r="Y2080" s="147">
        <v>4.23</v>
      </c>
      <c r="Z2080" s="147">
        <v>4.923</v>
      </c>
      <c r="AA2080" s="59" cm="1">
        <f t="array" ref="AA2080">INDEX($BX$29:$BX$1449,MATCH($D2080,$BR$29:$BR$1449,0),)</f>
        <v>4.65</v>
      </c>
      <c r="AB2080" s="150">
        <f t="shared" si="639"/>
        <v>0.00122025625381328</v>
      </c>
      <c r="AC2080" s="150">
        <f t="shared" si="641"/>
        <v>0.00613120784794607</v>
      </c>
      <c r="AD2080" s="150">
        <f t="shared" si="644"/>
        <v>0.0207339829981339</v>
      </c>
      <c r="AE2080" s="89">
        <f t="shared" si="640"/>
        <v>0.0587096774193547</v>
      </c>
      <c r="AF2080" s="36"/>
      <c r="GF2080" s="104">
        <f t="shared" si="628"/>
        <v>2021</v>
      </c>
      <c r="GG2080" s="104">
        <f t="shared" si="629"/>
        <v>12</v>
      </c>
      <c r="GH2080" s="35">
        <v>44274</v>
      </c>
      <c r="GI2080" s="26">
        <v>3.383</v>
      </c>
      <c r="GJ2080" s="94">
        <f t="shared" si="630"/>
        <v>6.766</v>
      </c>
      <c r="GK2080" s="104"/>
      <c r="GL2080" s="104"/>
    </row>
    <row r="2081" spans="3:194">
      <c r="C2081" s="80" t="str" cm="1">
        <f t="array" ref="C2081">_xlfn.IFS(MONTH(D2081)&lt;4,1,MONTH(D2081)&lt;7,2,MONTH(D2081)&lt;10,3,MONTH(D2081)&gt;9,4)&amp;"Q"&amp;RIGHT(YEAR(D2081),2)</f>
        <v>2Q24</v>
      </c>
      <c r="D2081" s="81">
        <f t="shared" si="643"/>
        <v>45443</v>
      </c>
      <c r="E2081" s="82">
        <f t="shared" si="636"/>
        <v>45420</v>
      </c>
      <c r="F2081" s="83">
        <f t="shared" si="642"/>
        <v>0.222</v>
      </c>
      <c r="G2081" s="83">
        <f t="shared" si="642"/>
        <v>0.2625</v>
      </c>
      <c r="H2081" s="81"/>
      <c r="I2081" s="146">
        <v>45420</v>
      </c>
      <c r="J2081" s="147">
        <v>1.97</v>
      </c>
      <c r="K2081" s="147">
        <v>1.71</v>
      </c>
      <c r="L2081" s="147">
        <v>1.776</v>
      </c>
      <c r="M2081" s="59" cm="1">
        <f t="array" ref="M2081">INDEX($BV$29:$BV$1449,MATCH($D2081,$BR$29:$BR$1449,0),)</f>
        <v>2.1</v>
      </c>
      <c r="N2081" s="150">
        <f t="shared" si="625"/>
        <v>-0.000562746201463127</v>
      </c>
      <c r="O2081" s="150">
        <f t="shared" si="626"/>
        <v>-0.00392596747055518</v>
      </c>
      <c r="P2081" s="150">
        <f t="shared" si="634"/>
        <v>-0.0100334448160535</v>
      </c>
      <c r="Q2081" s="89">
        <f t="shared" si="637"/>
        <v>-0.154285714285714</v>
      </c>
      <c r="S2081" s="82">
        <f t="shared" si="638"/>
        <v>45420</v>
      </c>
      <c r="T2081" s="83">
        <f t="shared" si="645"/>
        <v>0.3079375</v>
      </c>
      <c r="U2081" s="83">
        <f t="shared" si="645"/>
        <v>0.290625</v>
      </c>
      <c r="W2081" s="146">
        <v>45420</v>
      </c>
      <c r="X2081" s="147">
        <v>5.55</v>
      </c>
      <c r="Y2081" s="147">
        <v>4.23</v>
      </c>
      <c r="Z2081" s="147">
        <v>4.927</v>
      </c>
      <c r="AA2081" s="59" cm="1">
        <f t="array" ref="AA2081">INDEX($BX$29:$BX$1449,MATCH($D2081,$BR$29:$BR$1449,0),)</f>
        <v>4.65</v>
      </c>
      <c r="AB2081" s="150">
        <f t="shared" si="639"/>
        <v>0.000812512695510748</v>
      </c>
      <c r="AC2081" s="150">
        <f t="shared" si="641"/>
        <v>0.00551020408163261</v>
      </c>
      <c r="AD2081" s="150">
        <f t="shared" si="644"/>
        <v>0.0158762886597938</v>
      </c>
      <c r="AE2081" s="89">
        <f t="shared" si="640"/>
        <v>0.0595698924731181</v>
      </c>
      <c r="AF2081" s="36"/>
      <c r="GF2081" s="104">
        <f t="shared" si="628"/>
        <v>2021</v>
      </c>
      <c r="GG2081" s="104">
        <f t="shared" si="629"/>
        <v>13</v>
      </c>
      <c r="GH2081" s="35">
        <v>44277</v>
      </c>
      <c r="GI2081" s="26">
        <v>3.342</v>
      </c>
      <c r="GJ2081" s="94">
        <f t="shared" si="630"/>
        <v>6.684</v>
      </c>
      <c r="GK2081" s="104"/>
      <c r="GL2081" s="104"/>
    </row>
    <row r="2082" spans="3:194">
      <c r="C2082" s="80" t="str" cm="1">
        <f t="array" ref="C2082">_xlfn.IFS(MONTH(D2082)&lt;4,1,MONTH(D2082)&lt;7,2,MONTH(D2082)&lt;10,3,MONTH(D2082)&gt;9,4)&amp;"Q"&amp;RIGHT(YEAR(D2082),2)</f>
        <v>2Q24</v>
      </c>
      <c r="D2082" s="81">
        <f t="shared" si="643"/>
        <v>45443</v>
      </c>
      <c r="E2082" s="82">
        <f t="shared" si="636"/>
        <v>45421</v>
      </c>
      <c r="F2082" s="83">
        <f t="shared" si="642"/>
        <v>0.221625</v>
      </c>
      <c r="G2082" s="83">
        <f t="shared" si="642"/>
        <v>0.2625</v>
      </c>
      <c r="H2082" s="81"/>
      <c r="I2082" s="146">
        <v>45421</v>
      </c>
      <c r="J2082" s="147">
        <v>1.95</v>
      </c>
      <c r="K2082" s="147">
        <v>1.7</v>
      </c>
      <c r="L2082" s="147">
        <v>1.773</v>
      </c>
      <c r="M2082" s="59" cm="1">
        <f t="array" ref="M2082">INDEX($BV$29:$BV$1449,MATCH($D2082,$BR$29:$BR$1449,0),)</f>
        <v>2.1</v>
      </c>
      <c r="N2082" s="150">
        <f t="shared" si="625"/>
        <v>-0.00168918918918926</v>
      </c>
      <c r="O2082" s="150">
        <f t="shared" si="626"/>
        <v>-0.00449185850645706</v>
      </c>
      <c r="P2082" s="150">
        <f t="shared" si="634"/>
        <v>-0.0106026785714286</v>
      </c>
      <c r="Q2082" s="89">
        <f t="shared" si="637"/>
        <v>-0.155714285714286</v>
      </c>
      <c r="S2082" s="82">
        <f t="shared" si="638"/>
        <v>45421</v>
      </c>
      <c r="T2082" s="83">
        <f t="shared" si="645"/>
        <v>0.3079375</v>
      </c>
      <c r="U2082" s="83">
        <f t="shared" si="645"/>
        <v>0.290625</v>
      </c>
      <c r="W2082" s="146">
        <v>45421</v>
      </c>
      <c r="X2082" s="147">
        <v>5.56</v>
      </c>
      <c r="Y2082" s="147">
        <v>4.22</v>
      </c>
      <c r="Z2082" s="147">
        <v>4.927</v>
      </c>
      <c r="AA2082" s="59" cm="1">
        <f t="array" ref="AA2082">INDEX($BX$29:$BX$1449,MATCH($D2082,$BR$29:$BR$1449,0),)</f>
        <v>4.65</v>
      </c>
      <c r="AB2082" s="150">
        <f t="shared" si="639"/>
        <v>0</v>
      </c>
      <c r="AC2082" s="150">
        <f t="shared" si="641"/>
        <v>0.00489496226799924</v>
      </c>
      <c r="AD2082" s="150">
        <f t="shared" si="644"/>
        <v>0.0158762886597938</v>
      </c>
      <c r="AE2082" s="89">
        <f t="shared" si="640"/>
        <v>0.0595698924731181</v>
      </c>
      <c r="AF2082" s="36"/>
      <c r="GF2082" s="104">
        <f t="shared" si="628"/>
        <v>2021</v>
      </c>
      <c r="GG2082" s="104">
        <f t="shared" si="629"/>
        <v>13</v>
      </c>
      <c r="GH2082" s="35">
        <v>44278</v>
      </c>
      <c r="GI2082" s="26">
        <v>3.342</v>
      </c>
      <c r="GJ2082" s="94">
        <f t="shared" si="630"/>
        <v>6.684</v>
      </c>
      <c r="GK2082" s="104"/>
      <c r="GL2082" s="104"/>
    </row>
    <row r="2083" spans="3:194">
      <c r="C2083" s="80" t="str" cm="1">
        <f t="array" ref="C2083">_xlfn.IFS(MONTH(D2083)&lt;4,1,MONTH(D2083)&lt;7,2,MONTH(D2083)&lt;10,3,MONTH(D2083)&gt;9,4)&amp;"Q"&amp;RIGHT(YEAR(D2083),2)</f>
        <v>2Q24</v>
      </c>
      <c r="D2083" s="81">
        <f t="shared" si="643"/>
        <v>45443</v>
      </c>
      <c r="E2083" s="82">
        <f t="shared" si="636"/>
        <v>45422</v>
      </c>
      <c r="F2083" s="83">
        <f t="shared" si="642"/>
        <v>0.221125</v>
      </c>
      <c r="G2083" s="83">
        <f t="shared" si="642"/>
        <v>0.2625</v>
      </c>
      <c r="H2083" s="81"/>
      <c r="I2083" s="146">
        <v>45422</v>
      </c>
      <c r="J2083" s="147">
        <v>1.95</v>
      </c>
      <c r="K2083" s="147">
        <v>1.68</v>
      </c>
      <c r="L2083" s="147">
        <v>1.769</v>
      </c>
      <c r="M2083" s="59" cm="1">
        <f t="array" ref="M2083">INDEX($BV$29:$BV$1449,MATCH($D2083,$BR$29:$BR$1449,0),)</f>
        <v>2.1</v>
      </c>
      <c r="N2083" s="150">
        <f t="shared" si="625"/>
        <v>-0.00225606316976878</v>
      </c>
      <c r="O2083" s="150">
        <f t="shared" si="626"/>
        <v>-0.00617977528089897</v>
      </c>
      <c r="P2083" s="150">
        <f t="shared" si="634"/>
        <v>-0.0122836404243439</v>
      </c>
      <c r="Q2083" s="89">
        <f t="shared" si="637"/>
        <v>-0.157619047619048</v>
      </c>
      <c r="S2083" s="82">
        <f t="shared" si="638"/>
        <v>45422</v>
      </c>
      <c r="T2083" s="83">
        <f t="shared" si="645"/>
        <v>0.3079375</v>
      </c>
      <c r="U2083" s="83">
        <f t="shared" si="645"/>
        <v>0.290625</v>
      </c>
      <c r="W2083" s="146">
        <v>45422</v>
      </c>
      <c r="X2083" s="147">
        <v>5.56</v>
      </c>
      <c r="Y2083" s="147">
        <v>4.22</v>
      </c>
      <c r="Z2083" s="147">
        <v>4.927</v>
      </c>
      <c r="AA2083" s="59" cm="1">
        <f t="array" ref="AA2083">INDEX($BX$29:$BX$1449,MATCH($D2083,$BR$29:$BR$1449,0),)</f>
        <v>4.65</v>
      </c>
      <c r="AB2083" s="150">
        <f t="shared" si="639"/>
        <v>0</v>
      </c>
      <c r="AC2083" s="150">
        <f t="shared" si="641"/>
        <v>0.00489496226799924</v>
      </c>
      <c r="AD2083" s="150">
        <f t="shared" si="644"/>
        <v>0.009010853983207</v>
      </c>
      <c r="AE2083" s="89">
        <f t="shared" si="640"/>
        <v>0.0595698924731181</v>
      </c>
      <c r="AF2083" s="36"/>
      <c r="GF2083" s="104">
        <f t="shared" si="628"/>
        <v>2021</v>
      </c>
      <c r="GG2083" s="104">
        <f t="shared" si="629"/>
        <v>13</v>
      </c>
      <c r="GH2083" s="35">
        <v>44279</v>
      </c>
      <c r="GI2083" s="26">
        <v>3.328</v>
      </c>
      <c r="GJ2083" s="94">
        <f t="shared" si="630"/>
        <v>6.656</v>
      </c>
      <c r="GK2083" s="104"/>
      <c r="GL2083" s="104"/>
    </row>
    <row r="2084" spans="3:194">
      <c r="C2084" s="80" t="str" cm="1">
        <f t="array" ref="C2084">_xlfn.IFS(MONTH(D2084)&lt;4,1,MONTH(D2084)&lt;7,2,MONTH(D2084)&lt;10,3,MONTH(D2084)&gt;9,4)&amp;"Q"&amp;RIGHT(YEAR(D2084),2)</f>
        <v>2Q24</v>
      </c>
      <c r="D2084" s="81">
        <f t="shared" si="643"/>
        <v>45443</v>
      </c>
      <c r="E2084" s="82">
        <f t="shared" si="636"/>
        <v>45425</v>
      </c>
      <c r="F2084" s="83">
        <f t="shared" si="642"/>
        <v>0.22075</v>
      </c>
      <c r="G2084" s="83">
        <f t="shared" si="642"/>
        <v>0.2625</v>
      </c>
      <c r="H2084" s="81"/>
      <c r="I2084" s="146">
        <v>45425</v>
      </c>
      <c r="J2084" s="147">
        <v>1.95</v>
      </c>
      <c r="K2084" s="147">
        <v>1.68</v>
      </c>
      <c r="L2084" s="147">
        <v>1.766</v>
      </c>
      <c r="M2084" s="59" cm="1">
        <f t="array" ref="M2084">INDEX($BV$29:$BV$1449,MATCH($D2084,$BR$29:$BR$1449,0),)</f>
        <v>2.1</v>
      </c>
      <c r="N2084" s="150">
        <f t="shared" si="625"/>
        <v>-0.00169587337478794</v>
      </c>
      <c r="O2084" s="150">
        <f t="shared" si="626"/>
        <v>-0.00786516853932584</v>
      </c>
      <c r="P2084" s="150">
        <f t="shared" si="634"/>
        <v>-0.0123042505592841</v>
      </c>
      <c r="Q2084" s="89">
        <f t="shared" si="637"/>
        <v>-0.159047619047619</v>
      </c>
      <c r="S2084" s="82">
        <f t="shared" si="638"/>
        <v>45425</v>
      </c>
      <c r="T2084" s="83">
        <f t="shared" si="645"/>
        <v>0.3083125</v>
      </c>
      <c r="U2084" s="83">
        <f t="shared" si="645"/>
        <v>0.290625</v>
      </c>
      <c r="W2084" s="146">
        <v>45425</v>
      </c>
      <c r="X2084" s="147">
        <v>5.56</v>
      </c>
      <c r="Y2084" s="147">
        <v>4.22</v>
      </c>
      <c r="Z2084" s="147">
        <v>4.933</v>
      </c>
      <c r="AA2084" s="59" cm="1">
        <f t="array" ref="AA2084">INDEX($BX$29:$BX$1449,MATCH($D2084,$BR$29:$BR$1449,0),)</f>
        <v>4.65</v>
      </c>
      <c r="AB2084" s="150">
        <f t="shared" si="639"/>
        <v>0.00121777958189573</v>
      </c>
      <c r="AC2084" s="150">
        <f t="shared" si="641"/>
        <v>0.00325401667683556</v>
      </c>
      <c r="AD2084" s="150">
        <f t="shared" si="644"/>
        <v>0.0102396067990989</v>
      </c>
      <c r="AE2084" s="89">
        <f t="shared" si="640"/>
        <v>0.0608602150537634</v>
      </c>
      <c r="AF2084" s="36"/>
      <c r="GF2084" s="104">
        <f t="shared" si="628"/>
        <v>2021</v>
      </c>
      <c r="GG2084" s="104">
        <f t="shared" si="629"/>
        <v>13</v>
      </c>
      <c r="GH2084" s="35">
        <v>44280</v>
      </c>
      <c r="GI2084" s="26">
        <v>3.3</v>
      </c>
      <c r="GJ2084" s="94">
        <f t="shared" si="630"/>
        <v>6.6</v>
      </c>
      <c r="GK2084" s="104"/>
      <c r="GL2084" s="104"/>
    </row>
    <row r="2085" spans="3:194">
      <c r="C2085" s="80" t="str" cm="1">
        <f t="array" ref="C2085">_xlfn.IFS(MONTH(D2085)&lt;4,1,MONTH(D2085)&lt;7,2,MONTH(D2085)&lt;10,3,MONTH(D2085)&gt;9,4)&amp;"Q"&amp;RIGHT(YEAR(D2085),2)</f>
        <v>2Q24</v>
      </c>
      <c r="D2085" s="81">
        <f t="shared" si="643"/>
        <v>45443</v>
      </c>
      <c r="E2085" s="82">
        <f t="shared" si="636"/>
        <v>45426</v>
      </c>
      <c r="F2085" s="83">
        <f t="shared" si="642"/>
        <v>0.220375</v>
      </c>
      <c r="G2085" s="83">
        <f t="shared" si="642"/>
        <v>0.2625</v>
      </c>
      <c r="H2085" s="81"/>
      <c r="I2085" s="146">
        <v>45426</v>
      </c>
      <c r="J2085" s="147">
        <v>1.94</v>
      </c>
      <c r="K2085" s="147">
        <v>1.67</v>
      </c>
      <c r="L2085" s="147">
        <v>1.763</v>
      </c>
      <c r="M2085" s="59" cm="1">
        <f t="array" ref="M2085">INDEX($BV$29:$BV$1449,MATCH($D2085,$BR$29:$BR$1449,0),)</f>
        <v>2.1</v>
      </c>
      <c r="N2085" s="150">
        <f t="shared" si="625"/>
        <v>-0.0016987542468857</v>
      </c>
      <c r="O2085" s="150">
        <f t="shared" si="626"/>
        <v>-0.007878446820484</v>
      </c>
      <c r="P2085" s="150">
        <f t="shared" si="634"/>
        <v>-0.0123249299719888</v>
      </c>
      <c r="Q2085" s="89">
        <f t="shared" si="637"/>
        <v>-0.160476190476191</v>
      </c>
      <c r="S2085" s="82">
        <f t="shared" si="638"/>
        <v>45426</v>
      </c>
      <c r="T2085" s="83">
        <f t="shared" si="645"/>
        <v>0.3079375</v>
      </c>
      <c r="U2085" s="83">
        <f t="shared" si="645"/>
        <v>0.290625</v>
      </c>
      <c r="W2085" s="146">
        <v>45426</v>
      </c>
      <c r="X2085" s="147">
        <v>5.6</v>
      </c>
      <c r="Y2085" s="147">
        <v>4.23</v>
      </c>
      <c r="Z2085" s="147">
        <v>4.927</v>
      </c>
      <c r="AA2085" s="59" cm="1">
        <f t="array" ref="AA2085">INDEX($BX$29:$BX$1449,MATCH($D2085,$BR$29:$BR$1449,0),)</f>
        <v>4.65</v>
      </c>
      <c r="AB2085" s="150">
        <f t="shared" si="639"/>
        <v>-0.00121629839854054</v>
      </c>
      <c r="AC2085" s="150">
        <f t="shared" si="641"/>
        <v>0.000812512695510748</v>
      </c>
      <c r="AD2085" s="150">
        <f t="shared" si="644"/>
        <v>0.00694870222767219</v>
      </c>
      <c r="AE2085" s="89">
        <f t="shared" si="640"/>
        <v>0.0595698924731181</v>
      </c>
      <c r="AF2085" s="36"/>
    </row>
    <row r="2086" spans="3:194">
      <c r="C2086" s="80" t="str" cm="1">
        <f t="array" ref="C2086">_xlfn.IFS(MONTH(D2086)&lt;4,1,MONTH(D2086)&lt;7,2,MONTH(D2086)&lt;10,3,MONTH(D2086)&gt;9,4)&amp;"Q"&amp;RIGHT(YEAR(D2086),2)</f>
        <v>2Q24</v>
      </c>
      <c r="D2086" s="81">
        <f t="shared" si="643"/>
        <v>45443</v>
      </c>
      <c r="E2086" s="82">
        <f t="shared" si="636"/>
        <v>45427</v>
      </c>
      <c r="F2086" s="83">
        <f t="shared" si="642"/>
        <v>0.220125</v>
      </c>
      <c r="G2086" s="83">
        <f t="shared" si="642"/>
        <v>0.2625</v>
      </c>
      <c r="H2086" s="81"/>
      <c r="I2086" s="146">
        <v>45427</v>
      </c>
      <c r="J2086" s="147">
        <v>1.94</v>
      </c>
      <c r="K2086" s="147">
        <v>1.67</v>
      </c>
      <c r="L2086" s="147">
        <v>1.761</v>
      </c>
      <c r="M2086" s="59" cm="1">
        <f t="array" ref="M2086">INDEX($BV$29:$BV$1449,MATCH($D2086,$BR$29:$BR$1449,0),)</f>
        <v>2.1</v>
      </c>
      <c r="N2086" s="150">
        <f t="shared" si="625"/>
        <v>-0.00113442994895063</v>
      </c>
      <c r="O2086" s="150">
        <f t="shared" si="626"/>
        <v>-0.00844594594594605</v>
      </c>
      <c r="P2086" s="150">
        <f t="shared" si="634"/>
        <v>-0.0123387549074594</v>
      </c>
      <c r="Q2086" s="89">
        <f t="shared" si="637"/>
        <v>-0.161428571428571</v>
      </c>
      <c r="S2086" s="82">
        <f t="shared" si="638"/>
        <v>45427</v>
      </c>
      <c r="T2086" s="83">
        <f t="shared" si="645"/>
        <v>0.3076875</v>
      </c>
      <c r="U2086" s="83">
        <f t="shared" si="645"/>
        <v>0.290625</v>
      </c>
      <c r="W2086" s="146">
        <v>45427</v>
      </c>
      <c r="X2086" s="147">
        <v>5.6</v>
      </c>
      <c r="Y2086" s="147">
        <v>4.23</v>
      </c>
      <c r="Z2086" s="147">
        <v>4.923</v>
      </c>
      <c r="AA2086" s="59" cm="1">
        <f t="array" ref="AA2086">INDEX($BX$29:$BX$1449,MATCH($D2086,$BR$29:$BR$1449,0),)</f>
        <v>4.65</v>
      </c>
      <c r="AB2086" s="150">
        <f t="shared" si="639"/>
        <v>-0.000811853054597078</v>
      </c>
      <c r="AC2086" s="150">
        <f t="shared" si="641"/>
        <v>-0.000811853054597078</v>
      </c>
      <c r="AD2086" s="150">
        <f t="shared" si="644"/>
        <v>0.00469387755102035</v>
      </c>
      <c r="AE2086" s="89">
        <f t="shared" si="640"/>
        <v>0.0587096774193547</v>
      </c>
      <c r="AF2086" s="36"/>
    </row>
    <row r="2087" spans="3:194">
      <c r="C2087" s="80" t="str" cm="1">
        <f t="array" ref="C2087">_xlfn.IFS(MONTH(D2087)&lt;4,1,MONTH(D2087)&lt;7,2,MONTH(D2087)&lt;10,3,MONTH(D2087)&gt;9,4)&amp;"Q"&amp;RIGHT(YEAR(D2087),2)</f>
        <v>2Q24</v>
      </c>
      <c r="D2087" s="81">
        <f t="shared" si="643"/>
        <v>45443</v>
      </c>
      <c r="E2087" s="82">
        <f t="shared" si="636"/>
        <v>45428</v>
      </c>
      <c r="F2087" s="83">
        <f t="shared" si="642"/>
        <v>0.21975</v>
      </c>
      <c r="G2087" s="83">
        <f t="shared" si="642"/>
        <v>0.2625</v>
      </c>
      <c r="H2087" s="81"/>
      <c r="I2087" s="146">
        <v>45428</v>
      </c>
      <c r="J2087" s="147">
        <v>1.95</v>
      </c>
      <c r="K2087" s="147">
        <v>1.66</v>
      </c>
      <c r="L2087" s="147">
        <v>1.758</v>
      </c>
      <c r="M2087" s="59" cm="1">
        <f t="array" ref="M2087">INDEX($BV$29:$BV$1449,MATCH($D2087,$BR$29:$BR$1449,0),)</f>
        <v>2.1</v>
      </c>
      <c r="N2087" s="150">
        <f t="shared" si="625"/>
        <v>-0.00170357751277672</v>
      </c>
      <c r="O2087" s="150">
        <f t="shared" si="626"/>
        <v>-0.00846023688663278</v>
      </c>
      <c r="P2087" s="150">
        <f t="shared" si="634"/>
        <v>-0.012914093206064</v>
      </c>
      <c r="Q2087" s="89">
        <f t="shared" si="637"/>
        <v>-0.162857142857143</v>
      </c>
      <c r="S2087" s="82">
        <f t="shared" si="638"/>
        <v>45428</v>
      </c>
      <c r="T2087" s="83">
        <f t="shared" si="645"/>
        <v>0.3073125</v>
      </c>
      <c r="U2087" s="83">
        <f t="shared" si="645"/>
        <v>0.290625</v>
      </c>
      <c r="W2087" s="146">
        <v>45428</v>
      </c>
      <c r="X2087" s="147">
        <v>5.6</v>
      </c>
      <c r="Y2087" s="147">
        <v>4.22</v>
      </c>
      <c r="Z2087" s="147">
        <v>4.917</v>
      </c>
      <c r="AA2087" s="59" cm="1">
        <f t="array" ref="AA2087">INDEX($BX$29:$BX$1449,MATCH($D2087,$BR$29:$BR$1449,0),)</f>
        <v>4.65</v>
      </c>
      <c r="AB2087" s="150">
        <f t="shared" si="639"/>
        <v>-0.00121876904326634</v>
      </c>
      <c r="AC2087" s="150">
        <f t="shared" si="641"/>
        <v>-0.00202963263649281</v>
      </c>
      <c r="AD2087" s="150">
        <f t="shared" si="644"/>
        <v>0.002855394656333</v>
      </c>
      <c r="AE2087" s="89">
        <f t="shared" si="640"/>
        <v>0.0574193548387096</v>
      </c>
      <c r="AF2087" s="36"/>
    </row>
    <row r="2088" spans="3:194">
      <c r="C2088" s="80" t="str" cm="1">
        <f t="array" ref="C2088">_xlfn.IFS(MONTH(D2088)&lt;4,1,MONTH(D2088)&lt;7,2,MONTH(D2088)&lt;10,3,MONTH(D2088)&gt;9,4)&amp;"Q"&amp;RIGHT(YEAR(D2088),2)</f>
        <v>2Q24</v>
      </c>
      <c r="D2088" s="81">
        <f t="shared" si="643"/>
        <v>45443</v>
      </c>
      <c r="E2088" s="82">
        <f t="shared" si="636"/>
        <v>45429</v>
      </c>
      <c r="F2088" s="83">
        <f t="shared" si="642"/>
        <v>0.21875</v>
      </c>
      <c r="G2088" s="83">
        <f t="shared" si="642"/>
        <v>0.2625</v>
      </c>
      <c r="H2088" s="81"/>
      <c r="I2088" s="146">
        <v>45429</v>
      </c>
      <c r="J2088" s="147">
        <v>1.9</v>
      </c>
      <c r="K2088" s="147">
        <v>1.66</v>
      </c>
      <c r="L2088" s="147">
        <v>1.75</v>
      </c>
      <c r="M2088" s="59" cm="1">
        <f t="array" ref="M2088">INDEX($BV$29:$BV$1449,MATCH($D2088,$BR$29:$BR$1449,0),)</f>
        <v>2.1</v>
      </c>
      <c r="N2088" s="150">
        <f t="shared" si="625"/>
        <v>-0.00455062571103526</v>
      </c>
      <c r="O2088" s="150">
        <f t="shared" si="626"/>
        <v>-0.0107405313736574</v>
      </c>
      <c r="P2088" s="150">
        <f t="shared" si="634"/>
        <v>-0.0168539325842697</v>
      </c>
      <c r="Q2088" s="89">
        <f t="shared" si="637"/>
        <v>-0.166666666666667</v>
      </c>
      <c r="S2088" s="82">
        <f t="shared" si="638"/>
        <v>45429</v>
      </c>
      <c r="T2088" s="83">
        <f t="shared" si="645"/>
        <v>0.3058125</v>
      </c>
      <c r="U2088" s="83">
        <f t="shared" si="645"/>
        <v>0.290625</v>
      </c>
      <c r="W2088" s="146">
        <v>45429</v>
      </c>
      <c r="X2088" s="147">
        <v>5.6</v>
      </c>
      <c r="Y2088" s="147">
        <v>4.22</v>
      </c>
      <c r="Z2088" s="147">
        <v>4.893</v>
      </c>
      <c r="AA2088" s="59" cm="1">
        <f t="array" ref="AA2088">INDEX($BX$29:$BX$1449,MATCH($D2088,$BR$29:$BR$1449,0),)</f>
        <v>4.65</v>
      </c>
      <c r="AB2088" s="150">
        <f t="shared" si="639"/>
        <v>-0.00488102501525323</v>
      </c>
      <c r="AC2088" s="150">
        <f t="shared" si="641"/>
        <v>-0.0069007509640755</v>
      </c>
      <c r="AD2088" s="150">
        <f t="shared" si="644"/>
        <v>-0.00203956761166624</v>
      </c>
      <c r="AE2088" s="89">
        <f t="shared" si="640"/>
        <v>0.0522580645161288</v>
      </c>
      <c r="AF2088" s="36"/>
    </row>
    <row r="2089" spans="3:194">
      <c r="C2089" s="80" t="str" cm="1">
        <f t="array" ref="C2089">_xlfn.IFS(MONTH(D2089)&lt;4,1,MONTH(D2089)&lt;7,2,MONTH(D2089)&lt;10,3,MONTH(D2089)&gt;9,4)&amp;"Q"&amp;RIGHT(YEAR(D2089),2)</f>
        <v>2Q24</v>
      </c>
      <c r="D2089" s="81">
        <f t="shared" si="643"/>
        <v>45443</v>
      </c>
      <c r="E2089" s="82">
        <f t="shared" si="636"/>
        <v>45432</v>
      </c>
      <c r="F2089" s="83">
        <f t="shared" si="642"/>
        <v>0.2185</v>
      </c>
      <c r="G2089" s="83">
        <f t="shared" si="642"/>
        <v>0.2625</v>
      </c>
      <c r="H2089" s="81"/>
      <c r="I2089" s="146">
        <v>45432</v>
      </c>
      <c r="J2089" s="147">
        <v>1.88</v>
      </c>
      <c r="K2089" s="147">
        <v>1.65</v>
      </c>
      <c r="L2089" s="147">
        <v>1.748</v>
      </c>
      <c r="M2089" s="59" cm="1">
        <f t="array" ref="M2089">INDEX($BV$29:$BV$1449,MATCH($D2089,$BR$29:$BR$1449,0),)</f>
        <v>2.1</v>
      </c>
      <c r="N2089" s="150">
        <f t="shared" si="625"/>
        <v>-0.00114285714285711</v>
      </c>
      <c r="O2089" s="150">
        <f t="shared" si="626"/>
        <v>-0.0101925254813137</v>
      </c>
      <c r="P2089" s="150">
        <f t="shared" si="634"/>
        <v>-0.0179775280898876</v>
      </c>
      <c r="Q2089" s="89">
        <f t="shared" si="637"/>
        <v>-0.167619047619048</v>
      </c>
      <c r="S2089" s="82">
        <f t="shared" si="638"/>
        <v>45432</v>
      </c>
      <c r="T2089" s="83">
        <f t="shared" si="645"/>
        <v>0.305</v>
      </c>
      <c r="U2089" s="83">
        <f t="shared" si="645"/>
        <v>0.290625</v>
      </c>
      <c r="W2089" s="146">
        <v>45432</v>
      </c>
      <c r="X2089" s="147">
        <v>5.65</v>
      </c>
      <c r="Y2089" s="147">
        <v>4.2</v>
      </c>
      <c r="Z2089" s="147">
        <v>4.88</v>
      </c>
      <c r="AA2089" s="59" cm="1">
        <f t="array" ref="AA2089">INDEX($BX$29:$BX$1449,MATCH($D2089,$BR$29:$BR$1449,0),)</f>
        <v>4.65</v>
      </c>
      <c r="AB2089" s="150">
        <f t="shared" si="639"/>
        <v>-0.00265685673410998</v>
      </c>
      <c r="AC2089" s="150">
        <f t="shared" si="641"/>
        <v>-0.0107439691871072</v>
      </c>
      <c r="AD2089" s="150">
        <f t="shared" si="644"/>
        <v>-0.00752491356518203</v>
      </c>
      <c r="AE2089" s="89">
        <f t="shared" si="640"/>
        <v>0.0494623655913977</v>
      </c>
      <c r="AF2089" s="36"/>
    </row>
    <row r="2090" spans="3:194">
      <c r="C2090" s="80" t="str" cm="1">
        <f t="array" ref="C2090">_xlfn.IFS(MONTH(D2090)&lt;4,1,MONTH(D2090)&lt;7,2,MONTH(D2090)&lt;10,3,MONTH(D2090)&gt;9,4)&amp;"Q"&amp;RIGHT(YEAR(D2090),2)</f>
        <v>2Q24</v>
      </c>
      <c r="D2090" s="81">
        <f t="shared" si="643"/>
        <v>45443</v>
      </c>
      <c r="E2090" s="82">
        <f t="shared" si="636"/>
        <v>45433</v>
      </c>
      <c r="F2090" s="83">
        <f t="shared" ref="F2090:G2105" si="646">+L2090/8</f>
        <v>0.218</v>
      </c>
      <c r="G2090" s="83">
        <f t="shared" si="646"/>
        <v>0.2625</v>
      </c>
      <c r="H2090" s="81"/>
      <c r="I2090" s="146">
        <v>45433</v>
      </c>
      <c r="J2090" s="147">
        <v>1.88</v>
      </c>
      <c r="K2090" s="147">
        <v>1.65</v>
      </c>
      <c r="L2090" s="147">
        <v>1.744</v>
      </c>
      <c r="M2090" s="59" cm="1">
        <f t="array" ref="M2090">INDEX($BV$29:$BV$1449,MATCH($D2090,$BR$29:$BR$1449,0),)</f>
        <v>2.1</v>
      </c>
      <c r="N2090" s="150">
        <f t="shared" si="625"/>
        <v>-0.00228832951945079</v>
      </c>
      <c r="O2090" s="150">
        <f t="shared" si="626"/>
        <v>-0.0107770845150311</v>
      </c>
      <c r="P2090" s="150">
        <f t="shared" si="634"/>
        <v>-0.0185706246482836</v>
      </c>
      <c r="Q2090" s="89">
        <f t="shared" si="637"/>
        <v>-0.16952380952381</v>
      </c>
      <c r="S2090" s="82">
        <f t="shared" si="638"/>
        <v>45433</v>
      </c>
      <c r="T2090" s="83">
        <f t="shared" si="645"/>
        <v>0.3041875</v>
      </c>
      <c r="U2090" s="83">
        <f t="shared" si="645"/>
        <v>0.290625</v>
      </c>
      <c r="W2090" s="146">
        <v>45433</v>
      </c>
      <c r="X2090" s="147">
        <v>5.65</v>
      </c>
      <c r="Y2090" s="147">
        <v>4.2</v>
      </c>
      <c r="Z2090" s="147">
        <v>4.867</v>
      </c>
      <c r="AA2090" s="59" cm="1">
        <f t="array" ref="AA2090">INDEX($BX$29:$BX$1449,MATCH($D2090,$BR$29:$BR$1449,0),)</f>
        <v>4.65</v>
      </c>
      <c r="AB2090" s="150">
        <f t="shared" si="639"/>
        <v>-0.00266393442622948</v>
      </c>
      <c r="AC2090" s="150">
        <f t="shared" si="641"/>
        <v>-0.0121777958189567</v>
      </c>
      <c r="AD2090" s="150">
        <f t="shared" si="644"/>
        <v>-0.0113751777371521</v>
      </c>
      <c r="AE2090" s="89">
        <f t="shared" si="640"/>
        <v>0.0466666666666666</v>
      </c>
    </row>
    <row r="2091" spans="3:194">
      <c r="C2091" s="80" t="str" cm="1">
        <f t="array" ref="C2091">_xlfn.IFS(MONTH(D2091)&lt;4,1,MONTH(D2091)&lt;7,2,MONTH(D2091)&lt;10,3,MONTH(D2091)&gt;9,4)&amp;"Q"&amp;RIGHT(YEAR(D2091),2)</f>
        <v>2Q24</v>
      </c>
      <c r="D2091" s="81">
        <f t="shared" si="643"/>
        <v>45443</v>
      </c>
      <c r="E2091" s="82">
        <f t="shared" si="636"/>
        <v>45434</v>
      </c>
      <c r="F2091" s="83">
        <f t="shared" si="646"/>
        <v>0.21725</v>
      </c>
      <c r="G2091" s="83">
        <f t="shared" si="646"/>
        <v>0.2625</v>
      </c>
      <c r="H2091" s="81"/>
      <c r="I2091" s="146">
        <v>45434</v>
      </c>
      <c r="J2091" s="147">
        <v>1.88</v>
      </c>
      <c r="K2091" s="147">
        <v>1.65</v>
      </c>
      <c r="L2091" s="147">
        <v>1.738</v>
      </c>
      <c r="M2091" s="59" cm="1">
        <f t="array" ref="M2091">INDEX($BV$29:$BV$1449,MATCH($D2091,$BR$29:$BR$1449,0),)</f>
        <v>2.1</v>
      </c>
      <c r="N2091" s="150">
        <f t="shared" si="625"/>
        <v>-0.00344036697247707</v>
      </c>
      <c r="O2091" s="150">
        <f t="shared" si="626"/>
        <v>-0.0130607609312889</v>
      </c>
      <c r="P2091" s="150">
        <f t="shared" si="634"/>
        <v>-0.0213963963963965</v>
      </c>
      <c r="Q2091" s="89">
        <f t="shared" si="637"/>
        <v>-0.172380952380952</v>
      </c>
      <c r="S2091" s="82">
        <f t="shared" si="638"/>
        <v>45434</v>
      </c>
      <c r="T2091" s="83">
        <f t="shared" si="645"/>
        <v>0.3035625</v>
      </c>
      <c r="U2091" s="83">
        <f t="shared" si="645"/>
        <v>0.290625</v>
      </c>
      <c r="W2091" s="146">
        <v>45434</v>
      </c>
      <c r="X2091" s="147">
        <v>5.65</v>
      </c>
      <c r="Y2091" s="147">
        <v>4.2</v>
      </c>
      <c r="Z2091" s="147">
        <v>4.857</v>
      </c>
      <c r="AA2091" s="59" cm="1">
        <f t="array" ref="AA2091">INDEX($BX$29:$BX$1449,MATCH($D2091,$BR$29:$BR$1449,0),)</f>
        <v>4.65</v>
      </c>
      <c r="AB2091" s="150">
        <f t="shared" si="639"/>
        <v>-0.00205465379083625</v>
      </c>
      <c r="AC2091" s="150">
        <f t="shared" si="641"/>
        <v>-0.0134064594759293</v>
      </c>
      <c r="AD2091" s="150">
        <f t="shared" si="644"/>
        <v>-0.0142074284554494</v>
      </c>
      <c r="AE2091" s="89">
        <f t="shared" si="640"/>
        <v>0.044516129032258</v>
      </c>
    </row>
    <row r="2092" spans="3:194">
      <c r="C2092" s="80" t="str" cm="1">
        <f t="array" ref="C2092">_xlfn.IFS(MONTH(D2092)&lt;4,1,MONTH(D2092)&lt;7,2,MONTH(D2092)&lt;10,3,MONTH(D2092)&gt;9,4)&amp;"Q"&amp;RIGHT(YEAR(D2092),2)</f>
        <v>2Q24</v>
      </c>
      <c r="D2092" s="81">
        <f t="shared" si="643"/>
        <v>45443</v>
      </c>
      <c r="E2092" s="82">
        <f t="shared" si="636"/>
        <v>45435</v>
      </c>
      <c r="F2092" s="83">
        <f t="shared" si="646"/>
        <v>0.21625</v>
      </c>
      <c r="G2092" s="83">
        <f t="shared" si="646"/>
        <v>0.2625</v>
      </c>
      <c r="H2092" s="81"/>
      <c r="I2092" s="146">
        <v>45435</v>
      </c>
      <c r="J2092" s="147">
        <v>1.87</v>
      </c>
      <c r="K2092" s="147">
        <v>1.65</v>
      </c>
      <c r="L2092" s="147">
        <v>1.73</v>
      </c>
      <c r="M2092" s="59" cm="1">
        <f t="array" ref="M2092">INDEX($BV$29:$BV$1449,MATCH($D2092,$BR$29:$BR$1449,0),)</f>
        <v>2.1</v>
      </c>
      <c r="N2092" s="150">
        <f t="shared" ref="N2092:N2155" si="647">L2092/L2091-1</f>
        <v>-0.0046029919447641</v>
      </c>
      <c r="O2092" s="150">
        <f t="shared" ref="O2092:O2155" si="648">L2092/L2087-1</f>
        <v>-0.0159271899886234</v>
      </c>
      <c r="P2092" s="150">
        <f t="shared" si="634"/>
        <v>-0.024252679075014</v>
      </c>
      <c r="Q2092" s="89">
        <f t="shared" si="637"/>
        <v>-0.176190476190476</v>
      </c>
      <c r="S2092" s="82">
        <f t="shared" si="638"/>
        <v>45435</v>
      </c>
      <c r="T2092" s="83">
        <f t="shared" si="645"/>
        <v>0.3033125</v>
      </c>
      <c r="U2092" s="83">
        <f t="shared" si="645"/>
        <v>0.290625</v>
      </c>
      <c r="W2092" s="146">
        <v>45435</v>
      </c>
      <c r="X2092" s="147">
        <v>5.68</v>
      </c>
      <c r="Y2092" s="147">
        <v>4.19</v>
      </c>
      <c r="Z2092" s="147">
        <v>4.853</v>
      </c>
      <c r="AA2092" s="59" cm="1">
        <f t="array" ref="AA2092">INDEX($BX$29:$BX$1449,MATCH($D2092,$BR$29:$BR$1449,0),)</f>
        <v>4.65</v>
      </c>
      <c r="AB2092" s="150">
        <f t="shared" si="639"/>
        <v>-0.000823553633930496</v>
      </c>
      <c r="AC2092" s="150">
        <f t="shared" si="641"/>
        <v>-0.0130160667073419</v>
      </c>
      <c r="AD2092" s="150">
        <f t="shared" si="644"/>
        <v>-0.0150192815100466</v>
      </c>
      <c r="AE2092" s="89">
        <f t="shared" si="640"/>
        <v>0.0436559139784944</v>
      </c>
    </row>
    <row r="2093" spans="3:194">
      <c r="C2093" s="80" t="str" cm="1">
        <f t="array" ref="C2093">_xlfn.IFS(MONTH(D2093)&lt;4,1,MONTH(D2093)&lt;7,2,MONTH(D2093)&lt;10,3,MONTH(D2093)&gt;9,4)&amp;"Q"&amp;RIGHT(YEAR(D2093),2)</f>
        <v>2Q24</v>
      </c>
      <c r="D2093" s="81">
        <f t="shared" si="643"/>
        <v>45443</v>
      </c>
      <c r="E2093" s="82">
        <f t="shared" si="636"/>
        <v>45436</v>
      </c>
      <c r="F2093" s="83">
        <f t="shared" si="646"/>
        <v>0.216125</v>
      </c>
      <c r="G2093" s="83">
        <f t="shared" si="646"/>
        <v>0.2625</v>
      </c>
      <c r="H2093" s="81"/>
      <c r="I2093" s="146">
        <v>45436</v>
      </c>
      <c r="J2093" s="147">
        <v>1.87</v>
      </c>
      <c r="K2093" s="147">
        <v>1.65</v>
      </c>
      <c r="L2093" s="147">
        <v>1.729</v>
      </c>
      <c r="M2093" s="59" cm="1">
        <f t="array" ref="M2093">INDEX($BV$29:$BV$1449,MATCH($D2093,$BR$29:$BR$1449,0),)</f>
        <v>2.1</v>
      </c>
      <c r="N2093" s="150">
        <f t="shared" si="647"/>
        <v>-0.000578034682080841</v>
      </c>
      <c r="O2093" s="150">
        <f t="shared" si="648"/>
        <v>-0.0119999999999999</v>
      </c>
      <c r="P2093" s="150">
        <f t="shared" si="634"/>
        <v>-0.0226116449971734</v>
      </c>
      <c r="Q2093" s="89">
        <f t="shared" si="637"/>
        <v>-0.176666666666667</v>
      </c>
      <c r="S2093" s="82">
        <f t="shared" si="638"/>
        <v>45436</v>
      </c>
      <c r="T2093" s="83">
        <f t="shared" si="645"/>
        <v>0.303125</v>
      </c>
      <c r="U2093" s="83">
        <f t="shared" si="645"/>
        <v>0.290625</v>
      </c>
      <c r="W2093" s="146">
        <v>45436</v>
      </c>
      <c r="X2093" s="147">
        <v>5.68</v>
      </c>
      <c r="Y2093" s="147">
        <v>4.19</v>
      </c>
      <c r="Z2093" s="147">
        <v>4.85</v>
      </c>
      <c r="AA2093" s="59" cm="1">
        <f t="array" ref="AA2093">INDEX($BX$29:$BX$1449,MATCH($D2093,$BR$29:$BR$1449,0),)</f>
        <v>4.65</v>
      </c>
      <c r="AB2093" s="150">
        <f t="shared" si="639"/>
        <v>-0.000618174325159759</v>
      </c>
      <c r="AC2093" s="150">
        <f t="shared" si="641"/>
        <v>-0.00878806458205605</v>
      </c>
      <c r="AD2093" s="150">
        <f t="shared" si="644"/>
        <v>-0.0156281713009945</v>
      </c>
      <c r="AE2093" s="89">
        <f t="shared" si="640"/>
        <v>0.0430107526881718</v>
      </c>
    </row>
    <row r="2094" spans="3:194">
      <c r="C2094" s="80" t="str" cm="1">
        <f t="array" ref="C2094">_xlfn.IFS(MONTH(D2094)&lt;4,1,MONTH(D2094)&lt;7,2,MONTH(D2094)&lt;10,3,MONTH(D2094)&gt;9,4)&amp;"Q"&amp;RIGHT(YEAR(D2094),2)</f>
        <v>2Q24</v>
      </c>
      <c r="D2094" s="81">
        <f t="shared" si="643"/>
        <v>45443</v>
      </c>
      <c r="E2094" s="82">
        <f t="shared" si="636"/>
        <v>45439</v>
      </c>
      <c r="F2094" s="83">
        <f t="shared" si="646"/>
        <v>0.21575</v>
      </c>
      <c r="G2094" s="83">
        <f t="shared" si="646"/>
        <v>0.2625</v>
      </c>
      <c r="H2094" s="81"/>
      <c r="I2094" s="146">
        <v>45439</v>
      </c>
      <c r="J2094" s="147">
        <v>1.86</v>
      </c>
      <c r="K2094" s="147">
        <v>1.64</v>
      </c>
      <c r="L2094" s="147">
        <v>1.726</v>
      </c>
      <c r="M2094" s="59" cm="1">
        <f t="array" ref="M2094">INDEX($BV$29:$BV$1449,MATCH($D2094,$BR$29:$BR$1449,0),)</f>
        <v>2.1</v>
      </c>
      <c r="N2094" s="150">
        <f t="shared" si="647"/>
        <v>-0.00173510699826496</v>
      </c>
      <c r="O2094" s="150">
        <f t="shared" si="648"/>
        <v>-0.0125858123569794</v>
      </c>
      <c r="P2094" s="150">
        <f t="shared" si="634"/>
        <v>-0.0226500566251416</v>
      </c>
      <c r="Q2094" s="89">
        <f t="shared" si="637"/>
        <v>-0.178095238095238</v>
      </c>
      <c r="S2094" s="82">
        <f t="shared" si="638"/>
        <v>45439</v>
      </c>
      <c r="T2094" s="83">
        <f t="shared" si="645"/>
        <v>0.303125</v>
      </c>
      <c r="U2094" s="83">
        <f t="shared" si="645"/>
        <v>0.290625</v>
      </c>
      <c r="W2094" s="146">
        <v>45439</v>
      </c>
      <c r="X2094" s="147">
        <v>5.68</v>
      </c>
      <c r="Y2094" s="147">
        <v>4.18</v>
      </c>
      <c r="Z2094" s="147">
        <v>4.85</v>
      </c>
      <c r="AA2094" s="59" cm="1">
        <f t="array" ref="AA2094">INDEX($BX$29:$BX$1449,MATCH($D2094,$BR$29:$BR$1449,0),)</f>
        <v>4.65</v>
      </c>
      <c r="AB2094" s="150">
        <f t="shared" si="639"/>
        <v>0</v>
      </c>
      <c r="AC2094" s="150">
        <f t="shared" si="641"/>
        <v>-0.00614754098360659</v>
      </c>
      <c r="AD2094" s="150">
        <f t="shared" si="644"/>
        <v>-0.0168254611798094</v>
      </c>
      <c r="AE2094" s="89">
        <f t="shared" si="640"/>
        <v>0.0430107526881718</v>
      </c>
    </row>
    <row r="2095" spans="3:194">
      <c r="C2095" s="80" t="str" cm="1">
        <f t="array" ref="C2095">_xlfn.IFS(MONTH(D2095)&lt;4,1,MONTH(D2095)&lt;7,2,MONTH(D2095)&lt;10,3,MONTH(D2095)&gt;9,4)&amp;"Q"&amp;RIGHT(YEAR(D2095),2)</f>
        <v>2Q24</v>
      </c>
      <c r="D2095" s="81">
        <f t="shared" si="643"/>
        <v>45443</v>
      </c>
      <c r="E2095" s="82">
        <f t="shared" si="636"/>
        <v>45440</v>
      </c>
      <c r="F2095" s="83">
        <f t="shared" si="646"/>
        <v>0.21575</v>
      </c>
      <c r="G2095" s="83">
        <f t="shared" si="646"/>
        <v>0.2625</v>
      </c>
      <c r="H2095" s="81"/>
      <c r="I2095" s="146">
        <v>45440</v>
      </c>
      <c r="J2095" s="147">
        <v>1.86</v>
      </c>
      <c r="K2095" s="147">
        <v>1.64</v>
      </c>
      <c r="L2095" s="158">
        <v>1.726</v>
      </c>
      <c r="M2095" s="59" cm="1">
        <f t="array" ref="M2095">INDEX($BV$29:$BV$1449,MATCH($D2095,$BR$29:$BR$1449,0),)</f>
        <v>2.1</v>
      </c>
      <c r="N2095" s="150">
        <f t="shared" si="647"/>
        <v>0</v>
      </c>
      <c r="O2095" s="150">
        <f t="shared" si="648"/>
        <v>-0.0103211009174312</v>
      </c>
      <c r="P2095" s="150">
        <f t="shared" si="634"/>
        <v>-0.020986954055587</v>
      </c>
      <c r="Q2095" s="89">
        <f t="shared" si="637"/>
        <v>-0.178095238095238</v>
      </c>
      <c r="S2095" s="82">
        <f t="shared" si="638"/>
        <v>45440</v>
      </c>
      <c r="T2095" s="83">
        <f t="shared" si="645"/>
        <v>0.3029375</v>
      </c>
      <c r="U2095" s="83">
        <f t="shared" si="645"/>
        <v>0.290625</v>
      </c>
      <c r="W2095" s="146">
        <v>45440</v>
      </c>
      <c r="X2095" s="147">
        <v>5.68</v>
      </c>
      <c r="Y2095" s="147">
        <v>4.18</v>
      </c>
      <c r="Z2095" s="158">
        <v>4.847</v>
      </c>
      <c r="AA2095" s="59" cm="1">
        <f t="array" ref="AA2095">INDEX($BX$29:$BX$1449,MATCH($D2095,$BR$29:$BR$1449,0),)</f>
        <v>4.65</v>
      </c>
      <c r="AB2095" s="150">
        <f t="shared" si="639"/>
        <v>-0.000618556701030726</v>
      </c>
      <c r="AC2095" s="150">
        <f t="shared" si="641"/>
        <v>-0.00410930758167238</v>
      </c>
      <c r="AD2095" s="150">
        <f t="shared" si="644"/>
        <v>-0.0162370610919422</v>
      </c>
      <c r="AE2095" s="89">
        <f t="shared" si="640"/>
        <v>0.0423655913978496</v>
      </c>
    </row>
    <row r="2096" spans="3:194">
      <c r="C2096" s="80" t="str" cm="1">
        <f t="array" ref="C2096">_xlfn.IFS(MONTH(D2096)&lt;4,1,MONTH(D2096)&lt;7,2,MONTH(D2096)&lt;10,3,MONTH(D2096)&gt;9,4)&amp;"Q"&amp;RIGHT(YEAR(D2096),2)</f>
        <v>2Q24</v>
      </c>
      <c r="D2096" s="81">
        <f t="shared" si="643"/>
        <v>45443</v>
      </c>
      <c r="E2096" s="82">
        <f t="shared" si="636"/>
        <v>45441</v>
      </c>
      <c r="F2096" s="83">
        <f t="shared" si="646"/>
        <v>0.2155</v>
      </c>
      <c r="G2096" s="83">
        <f t="shared" si="646"/>
        <v>0.2625</v>
      </c>
      <c r="H2096" s="81"/>
      <c r="I2096" s="146">
        <v>45441</v>
      </c>
      <c r="J2096" s="147">
        <v>1.85</v>
      </c>
      <c r="K2096" s="147">
        <v>1.63</v>
      </c>
      <c r="L2096" s="158">
        <v>1.724</v>
      </c>
      <c r="M2096" s="59" cm="1">
        <f t="array" ref="M2096">INDEX($BV$29:$BV$1449,MATCH($D2096,$BR$29:$BR$1449,0),)</f>
        <v>2.1</v>
      </c>
      <c r="N2096" s="150">
        <f t="shared" si="647"/>
        <v>-0.00115874855156428</v>
      </c>
      <c r="O2096" s="150">
        <f t="shared" si="648"/>
        <v>-0.00805523590333712</v>
      </c>
      <c r="P2096" s="150">
        <f t="shared" si="634"/>
        <v>-0.0210107893242475</v>
      </c>
      <c r="Q2096" s="89">
        <f t="shared" si="637"/>
        <v>-0.179047619047619</v>
      </c>
      <c r="S2096" s="82">
        <f t="shared" si="638"/>
        <v>45441</v>
      </c>
      <c r="T2096" s="83">
        <f t="shared" ref="T2096:U2111" si="649">+Z2096/16</f>
        <v>0.3029375</v>
      </c>
      <c r="U2096" s="83">
        <f t="shared" si="649"/>
        <v>0.290625</v>
      </c>
      <c r="W2096" s="146">
        <v>45441</v>
      </c>
      <c r="X2096" s="147">
        <v>5.68</v>
      </c>
      <c r="Y2096" s="147">
        <v>4.18</v>
      </c>
      <c r="Z2096" s="158">
        <v>4.847</v>
      </c>
      <c r="AA2096" s="59" cm="1">
        <f t="array" ref="AA2096">INDEX($BX$29:$BX$1449,MATCH($D2096,$BR$29:$BR$1449,0),)</f>
        <v>4.65</v>
      </c>
      <c r="AB2096" s="150">
        <f t="shared" si="639"/>
        <v>0</v>
      </c>
      <c r="AC2096" s="150">
        <f t="shared" si="641"/>
        <v>-0.00205888408482602</v>
      </c>
      <c r="AD2096" s="150">
        <f t="shared" si="644"/>
        <v>-0.0154377412147064</v>
      </c>
      <c r="AE2096" s="89">
        <f t="shared" si="640"/>
        <v>0.0423655913978496</v>
      </c>
    </row>
    <row r="2097" spans="3:31">
      <c r="C2097" s="80" t="str" cm="1">
        <f t="array" ref="C2097">_xlfn.IFS(MONTH(D2097)&lt;4,1,MONTH(D2097)&lt;7,2,MONTH(D2097)&lt;10,3,MONTH(D2097)&gt;9,4)&amp;"Q"&amp;RIGHT(YEAR(D2097),2)</f>
        <v>2Q24</v>
      </c>
      <c r="D2097" s="81">
        <f t="shared" si="643"/>
        <v>45443</v>
      </c>
      <c r="E2097" s="82">
        <f t="shared" si="636"/>
        <v>45442</v>
      </c>
      <c r="F2097" s="83">
        <f t="shared" si="646"/>
        <v>0.215</v>
      </c>
      <c r="G2097" s="83">
        <f t="shared" si="646"/>
        <v>0.2625</v>
      </c>
      <c r="H2097" s="81"/>
      <c r="I2097" s="146">
        <v>45442</v>
      </c>
      <c r="J2097" s="147">
        <v>1.84</v>
      </c>
      <c r="K2097" s="147">
        <v>1.63</v>
      </c>
      <c r="L2097" s="158">
        <v>1.72</v>
      </c>
      <c r="M2097" s="59" cm="1">
        <f t="array" ref="M2097">INDEX($BV$29:$BV$1449,MATCH($D2097,$BR$29:$BR$1449,0),)</f>
        <v>2.1</v>
      </c>
      <c r="N2097" s="150">
        <f t="shared" si="647"/>
        <v>-0.00232018561484915</v>
      </c>
      <c r="O2097" s="150">
        <f t="shared" si="648"/>
        <v>-0.0057803468208093</v>
      </c>
      <c r="P2097" s="150">
        <f t="shared" si="634"/>
        <v>-0.0216154721274175</v>
      </c>
      <c r="Q2097" s="89">
        <f t="shared" si="637"/>
        <v>-0.180952380952381</v>
      </c>
      <c r="S2097" s="82">
        <f t="shared" si="638"/>
        <v>45442</v>
      </c>
      <c r="T2097" s="83">
        <f t="shared" si="649"/>
        <v>0.3029375</v>
      </c>
      <c r="U2097" s="83">
        <f t="shared" si="649"/>
        <v>0.290625</v>
      </c>
      <c r="W2097" s="146">
        <v>45442</v>
      </c>
      <c r="X2097" s="147">
        <v>5.68</v>
      </c>
      <c r="Y2097" s="147">
        <v>4.18</v>
      </c>
      <c r="Z2097" s="158">
        <v>4.847</v>
      </c>
      <c r="AA2097" s="59" cm="1">
        <f t="array" ref="AA2097">INDEX($BX$29:$BX$1449,MATCH($D2097,$BR$29:$BR$1449,0),)</f>
        <v>4.65</v>
      </c>
      <c r="AB2097" s="150">
        <f t="shared" si="639"/>
        <v>0</v>
      </c>
      <c r="AC2097" s="150">
        <f t="shared" si="641"/>
        <v>-0.0012363486503193</v>
      </c>
      <c r="AD2097" s="150">
        <f t="shared" si="644"/>
        <v>-0.0142363229611551</v>
      </c>
      <c r="AE2097" s="89">
        <f t="shared" si="640"/>
        <v>0.0423655913978496</v>
      </c>
    </row>
    <row r="2098" spans="3:31">
      <c r="C2098" s="80" t="str" cm="1">
        <f t="array" ref="C2098">_xlfn.IFS(MONTH(D2098)&lt;4,1,MONTH(D2098)&lt;7,2,MONTH(D2098)&lt;10,3,MONTH(D2098)&gt;9,4)&amp;"Q"&amp;RIGHT(YEAR(D2098),2)</f>
        <v>2Q24</v>
      </c>
      <c r="D2098" s="81">
        <f t="shared" si="643"/>
        <v>45443</v>
      </c>
      <c r="E2098" s="82">
        <f t="shared" si="636"/>
        <v>45443</v>
      </c>
      <c r="F2098" s="83">
        <f t="shared" si="646"/>
        <v>0.215</v>
      </c>
      <c r="G2098" s="83">
        <f t="shared" si="646"/>
        <v>0.2625</v>
      </c>
      <c r="H2098" s="81"/>
      <c r="I2098" s="146">
        <v>45443</v>
      </c>
      <c r="J2098" s="147">
        <v>1.84</v>
      </c>
      <c r="K2098" s="147">
        <v>1.63</v>
      </c>
      <c r="L2098" s="158">
        <v>1.72</v>
      </c>
      <c r="M2098" s="59" cm="1">
        <f t="array" ref="M2098">INDEX($BV$29:$BV$1449,MATCH($D2098,$BR$29:$BR$1449,0),)</f>
        <v>2.1</v>
      </c>
      <c r="N2098" s="150">
        <f t="shared" si="647"/>
        <v>0</v>
      </c>
      <c r="O2098" s="150">
        <f t="shared" si="648"/>
        <v>-0.00520532099479476</v>
      </c>
      <c r="P2098" s="150">
        <f t="shared" si="634"/>
        <v>-0.0171428571428571</v>
      </c>
      <c r="Q2098" s="89">
        <f t="shared" si="637"/>
        <v>-0.180952380952381</v>
      </c>
      <c r="S2098" s="82">
        <f t="shared" si="638"/>
        <v>45443</v>
      </c>
      <c r="T2098" s="83">
        <f t="shared" si="649"/>
        <v>0.3025</v>
      </c>
      <c r="U2098" s="83">
        <f t="shared" si="649"/>
        <v>0.290625</v>
      </c>
      <c r="W2098" s="146">
        <v>45443</v>
      </c>
      <c r="X2098" s="147">
        <v>5.68</v>
      </c>
      <c r="Y2098" s="147">
        <v>4.18</v>
      </c>
      <c r="Z2098" s="158">
        <v>4.84</v>
      </c>
      <c r="AA2098" s="59" cm="1">
        <f t="array" ref="AA2098">INDEX($BX$29:$BX$1449,MATCH($D2098,$BR$29:$BR$1449,0),)</f>
        <v>4.65</v>
      </c>
      <c r="AB2098" s="150">
        <f t="shared" si="639"/>
        <v>-0.00144419228388704</v>
      </c>
      <c r="AC2098" s="150">
        <f t="shared" si="641"/>
        <v>-0.00206185567010309</v>
      </c>
      <c r="AD2098" s="150">
        <f t="shared" si="644"/>
        <v>-0.0108318005313713</v>
      </c>
      <c r="AE2098" s="89">
        <f t="shared" si="640"/>
        <v>0.0408602150537634</v>
      </c>
    </row>
    <row r="2099" spans="3:31">
      <c r="C2099" s="80" t="str" cm="1">
        <f t="array" ref="C2099">_xlfn.IFS(MONTH(D2099)&lt;4,1,MONTH(D2099)&lt;7,2,MONTH(D2099)&lt;10,3,MONTH(D2099)&gt;9,4)&amp;"Q"&amp;RIGHT(YEAR(D2099),2)</f>
        <v>2Q24</v>
      </c>
      <c r="D2099" s="81">
        <f t="shared" si="643"/>
        <v>45473</v>
      </c>
      <c r="E2099" s="82">
        <f t="shared" si="636"/>
        <v>45446</v>
      </c>
      <c r="F2099" s="83">
        <f t="shared" si="646"/>
        <v>0.214375</v>
      </c>
      <c r="G2099" s="83">
        <f t="shared" si="646"/>
        <v>0.2625</v>
      </c>
      <c r="H2099" s="81"/>
      <c r="I2099" s="146">
        <v>45446</v>
      </c>
      <c r="J2099" s="147">
        <v>1.84</v>
      </c>
      <c r="K2099" s="147">
        <v>1.65</v>
      </c>
      <c r="L2099" s="158">
        <v>1.715</v>
      </c>
      <c r="M2099" s="59" cm="1">
        <f t="array" ref="M2099">INDEX($BV$29:$BV$1449,MATCH($D2099,$BR$29:$BR$1449,0),)</f>
        <v>2.1</v>
      </c>
      <c r="N2099" s="150">
        <f t="shared" si="647"/>
        <v>-0.00290697674418594</v>
      </c>
      <c r="O2099" s="150">
        <f t="shared" si="648"/>
        <v>-0.00637311703360366</v>
      </c>
      <c r="P2099" s="150">
        <f t="shared" si="634"/>
        <v>-0.0188787185354691</v>
      </c>
      <c r="Q2099" s="89">
        <f t="shared" si="637"/>
        <v>-0.183333333333333</v>
      </c>
      <c r="S2099" s="82">
        <f t="shared" si="638"/>
        <v>45446</v>
      </c>
      <c r="T2099" s="83">
        <f t="shared" si="649"/>
        <v>0.3025</v>
      </c>
      <c r="U2099" s="83">
        <f t="shared" si="649"/>
        <v>0.290625</v>
      </c>
      <c r="W2099" s="146">
        <v>45446</v>
      </c>
      <c r="X2099" s="147">
        <v>5.7</v>
      </c>
      <c r="Y2099" s="147">
        <v>4.2</v>
      </c>
      <c r="Z2099" s="158">
        <v>4.84</v>
      </c>
      <c r="AA2099" s="59" cm="1">
        <f t="array" ref="AA2099">INDEX($BX$29:$BX$1449,MATCH($D2099,$BR$29:$BR$1449,0),)</f>
        <v>4.65</v>
      </c>
      <c r="AB2099" s="150">
        <f t="shared" si="639"/>
        <v>0</v>
      </c>
      <c r="AC2099" s="150">
        <f t="shared" si="641"/>
        <v>-0.00206185567010309</v>
      </c>
      <c r="AD2099" s="150">
        <f t="shared" si="644"/>
        <v>-0.00819672131147542</v>
      </c>
      <c r="AE2099" s="89">
        <f t="shared" si="640"/>
        <v>0.0408602150537634</v>
      </c>
    </row>
    <row r="2100" spans="3:31">
      <c r="C2100" s="80" t="str" cm="1">
        <f t="array" ref="C2100">_xlfn.IFS(MONTH(D2100)&lt;4,1,MONTH(D2100)&lt;7,2,MONTH(D2100)&lt;10,3,MONTH(D2100)&gt;9,4)&amp;"Q"&amp;RIGHT(YEAR(D2100),2)</f>
        <v>2Q24</v>
      </c>
      <c r="D2100" s="81">
        <f t="shared" si="643"/>
        <v>45473</v>
      </c>
      <c r="E2100" s="82">
        <f t="shared" si="636"/>
        <v>45447</v>
      </c>
      <c r="F2100" s="83">
        <f t="shared" si="646"/>
        <v>0.21425</v>
      </c>
      <c r="G2100" s="83">
        <f t="shared" si="646"/>
        <v>0.2625</v>
      </c>
      <c r="H2100" s="81"/>
      <c r="I2100" s="146">
        <v>45447</v>
      </c>
      <c r="J2100" s="147">
        <v>1.84</v>
      </c>
      <c r="K2100" s="147">
        <v>1.65</v>
      </c>
      <c r="L2100" s="158">
        <v>1.714</v>
      </c>
      <c r="M2100" s="59" cm="1">
        <f t="array" ref="M2100">INDEX($BV$29:$BV$1449,MATCH($D2100,$BR$29:$BR$1449,0),)</f>
        <v>2.1</v>
      </c>
      <c r="N2100" s="150">
        <f t="shared" si="647"/>
        <v>-0.000583090379008833</v>
      </c>
      <c r="O2100" s="150">
        <f t="shared" si="648"/>
        <v>-0.00695249130938591</v>
      </c>
      <c r="P2100" s="150">
        <f t="shared" si="634"/>
        <v>-0.0172018348623854</v>
      </c>
      <c r="Q2100" s="89">
        <f t="shared" si="637"/>
        <v>-0.183809523809524</v>
      </c>
      <c r="S2100" s="82">
        <f t="shared" si="638"/>
        <v>45447</v>
      </c>
      <c r="T2100" s="83">
        <f t="shared" si="649"/>
        <v>0.3025</v>
      </c>
      <c r="U2100" s="83">
        <f t="shared" si="649"/>
        <v>0.290625</v>
      </c>
      <c r="W2100" s="146">
        <v>45447</v>
      </c>
      <c r="X2100" s="147">
        <v>5.7</v>
      </c>
      <c r="Y2100" s="147">
        <v>4.2</v>
      </c>
      <c r="Z2100" s="158">
        <v>4.84</v>
      </c>
      <c r="AA2100" s="59" cm="1">
        <f t="array" ref="AA2100">INDEX($BX$29:$BX$1449,MATCH($D2100,$BR$29:$BR$1449,0),)</f>
        <v>4.65</v>
      </c>
      <c r="AB2100" s="150">
        <f t="shared" si="639"/>
        <v>0</v>
      </c>
      <c r="AC2100" s="150">
        <f t="shared" si="641"/>
        <v>-0.00144419228388704</v>
      </c>
      <c r="AD2100" s="150">
        <f t="shared" si="644"/>
        <v>-0.0055475652352579</v>
      </c>
      <c r="AE2100" s="89">
        <f t="shared" si="640"/>
        <v>0.0408602150537634</v>
      </c>
    </row>
    <row r="2101" spans="3:31">
      <c r="C2101" s="80" t="str" cm="1">
        <f t="array" ref="C2101">_xlfn.IFS(MONTH(D2101)&lt;4,1,MONTH(D2101)&lt;7,2,MONTH(D2101)&lt;10,3,MONTH(D2101)&gt;9,4)&amp;"Q"&amp;RIGHT(YEAR(D2101),2)</f>
        <v>2Q24</v>
      </c>
      <c r="D2101" s="81">
        <f t="shared" si="643"/>
        <v>45473</v>
      </c>
      <c r="E2101" s="82">
        <f t="shared" si="636"/>
        <v>45448</v>
      </c>
      <c r="F2101" s="83">
        <f t="shared" si="646"/>
        <v>0.21425</v>
      </c>
      <c r="G2101" s="83">
        <f t="shared" si="646"/>
        <v>0.2625</v>
      </c>
      <c r="H2101" s="81"/>
      <c r="I2101" s="146">
        <v>45448</v>
      </c>
      <c r="J2101" s="147">
        <v>1.84</v>
      </c>
      <c r="K2101" s="147">
        <v>1.65</v>
      </c>
      <c r="L2101" s="158">
        <v>1.714</v>
      </c>
      <c r="M2101" s="59" cm="1">
        <f t="array" ref="M2101">INDEX($BV$29:$BV$1449,MATCH($D2101,$BR$29:$BR$1449,0),)</f>
        <v>2.1</v>
      </c>
      <c r="N2101" s="150">
        <f t="shared" si="647"/>
        <v>0</v>
      </c>
      <c r="O2101" s="150">
        <f t="shared" si="648"/>
        <v>-0.00580046403712298</v>
      </c>
      <c r="P2101" s="150">
        <f t="shared" si="634"/>
        <v>-0.0138089758342923</v>
      </c>
      <c r="Q2101" s="89">
        <f t="shared" si="637"/>
        <v>-0.183809523809524</v>
      </c>
      <c r="S2101" s="82">
        <f t="shared" si="638"/>
        <v>45448</v>
      </c>
      <c r="T2101" s="83">
        <f t="shared" si="649"/>
        <v>0.3025</v>
      </c>
      <c r="U2101" s="83">
        <f t="shared" si="649"/>
        <v>0.290625</v>
      </c>
      <c r="W2101" s="146">
        <v>45448</v>
      </c>
      <c r="X2101" s="147">
        <v>5.7</v>
      </c>
      <c r="Y2101" s="147">
        <v>4.2</v>
      </c>
      <c r="Z2101" s="158">
        <v>4.84</v>
      </c>
      <c r="AA2101" s="59" cm="1">
        <f t="array" ref="AA2101">INDEX($BX$29:$BX$1449,MATCH($D2101,$BR$29:$BR$1449,0),)</f>
        <v>4.65</v>
      </c>
      <c r="AB2101" s="150">
        <f t="shared" si="639"/>
        <v>0</v>
      </c>
      <c r="AC2101" s="150">
        <f t="shared" si="641"/>
        <v>-0.00144419228388704</v>
      </c>
      <c r="AD2101" s="150">
        <f t="shared" si="644"/>
        <v>-0.00350010294420433</v>
      </c>
      <c r="AE2101" s="89">
        <f t="shared" si="640"/>
        <v>0.0408602150537634</v>
      </c>
    </row>
    <row r="2102" spans="3:31">
      <c r="C2102" s="80" t="str" cm="1">
        <f t="array" ref="C2102">_xlfn.IFS(MONTH(D2102)&lt;4,1,MONTH(D2102)&lt;7,2,MONTH(D2102)&lt;10,3,MONTH(D2102)&gt;9,4)&amp;"Q"&amp;RIGHT(YEAR(D2102),2)</f>
        <v>2Q24</v>
      </c>
      <c r="D2102" s="81">
        <f t="shared" si="643"/>
        <v>45473</v>
      </c>
      <c r="E2102" s="82">
        <f t="shared" si="636"/>
        <v>45449</v>
      </c>
      <c r="F2102" s="83">
        <f t="shared" si="646"/>
        <v>0.21425</v>
      </c>
      <c r="G2102" s="83">
        <f t="shared" si="646"/>
        <v>0.2625</v>
      </c>
      <c r="H2102" s="81"/>
      <c r="I2102" s="146">
        <v>45449</v>
      </c>
      <c r="J2102" s="147">
        <v>1.84</v>
      </c>
      <c r="K2102" s="147">
        <v>1.65</v>
      </c>
      <c r="L2102" s="158">
        <v>1.714</v>
      </c>
      <c r="M2102" s="59" cm="1">
        <f t="array" ref="M2102">INDEX($BV$29:$BV$1449,MATCH($D2102,$BR$29:$BR$1449,0),)</f>
        <v>2.1</v>
      </c>
      <c r="N2102" s="150">
        <f t="shared" si="647"/>
        <v>0</v>
      </c>
      <c r="O2102" s="150">
        <f t="shared" si="648"/>
        <v>-0.00348837209302322</v>
      </c>
      <c r="P2102" s="150">
        <f t="shared" si="634"/>
        <v>-0.00924855491329479</v>
      </c>
      <c r="Q2102" s="89">
        <f t="shared" si="637"/>
        <v>-0.183809523809524</v>
      </c>
      <c r="S2102" s="82">
        <f t="shared" si="638"/>
        <v>45449</v>
      </c>
      <c r="T2102" s="83">
        <f t="shared" si="649"/>
        <v>0.3025</v>
      </c>
      <c r="U2102" s="83">
        <f t="shared" si="649"/>
        <v>0.290625</v>
      </c>
      <c r="W2102" s="146">
        <v>45449</v>
      </c>
      <c r="X2102" s="147">
        <v>5.7</v>
      </c>
      <c r="Y2102" s="147">
        <v>4.2</v>
      </c>
      <c r="Z2102" s="158">
        <v>4.84</v>
      </c>
      <c r="AA2102" s="59" cm="1">
        <f t="array" ref="AA2102">INDEX($BX$29:$BX$1449,MATCH($D2102,$BR$29:$BR$1449,0),)</f>
        <v>4.65</v>
      </c>
      <c r="AB2102" s="150">
        <f t="shared" si="639"/>
        <v>0</v>
      </c>
      <c r="AC2102" s="150">
        <f t="shared" si="641"/>
        <v>-0.00144419228388704</v>
      </c>
      <c r="AD2102" s="150">
        <f t="shared" si="644"/>
        <v>-0.00267875540902529</v>
      </c>
      <c r="AE2102" s="89">
        <f t="shared" si="640"/>
        <v>0.0408602150537634</v>
      </c>
    </row>
    <row r="2103" spans="3:31">
      <c r="C2103" s="80" t="str" cm="1">
        <f t="array" ref="C2103">_xlfn.IFS(MONTH(D2103)&lt;4,1,MONTH(D2103)&lt;7,2,MONTH(D2103)&lt;10,3,MONTH(D2103)&gt;9,4)&amp;"Q"&amp;RIGHT(YEAR(D2103),2)</f>
        <v>2Q24</v>
      </c>
      <c r="D2103" s="81">
        <f t="shared" si="643"/>
        <v>45473</v>
      </c>
      <c r="E2103" s="82">
        <f t="shared" si="636"/>
        <v>45450</v>
      </c>
      <c r="F2103" s="83">
        <f t="shared" si="646"/>
        <v>0.214125</v>
      </c>
      <c r="G2103" s="83">
        <f t="shared" si="646"/>
        <v>0.2625</v>
      </c>
      <c r="H2103" s="81"/>
      <c r="I2103" s="146">
        <v>45450</v>
      </c>
      <c r="J2103" s="147">
        <v>1.84</v>
      </c>
      <c r="K2103" s="147">
        <v>1.65</v>
      </c>
      <c r="L2103" s="158">
        <v>1.713</v>
      </c>
      <c r="M2103" s="59" cm="1">
        <f t="array" ref="M2103">INDEX($BV$29:$BV$1449,MATCH($D2103,$BR$29:$BR$1449,0),)</f>
        <v>2.1</v>
      </c>
      <c r="N2103" s="150">
        <f t="shared" si="647"/>
        <v>-0.000583430571761911</v>
      </c>
      <c r="O2103" s="150">
        <f t="shared" si="648"/>
        <v>-0.00406976744186038</v>
      </c>
      <c r="P2103" s="150">
        <f t="shared" si="634"/>
        <v>-0.0092539039907461</v>
      </c>
      <c r="Q2103" s="89">
        <f t="shared" si="637"/>
        <v>-0.184285714285714</v>
      </c>
      <c r="S2103" s="82">
        <f t="shared" si="638"/>
        <v>45450</v>
      </c>
      <c r="T2103" s="83">
        <f t="shared" si="649"/>
        <v>0.3025</v>
      </c>
      <c r="U2103" s="83">
        <f t="shared" si="649"/>
        <v>0.290625</v>
      </c>
      <c r="W2103" s="146">
        <v>45450</v>
      </c>
      <c r="X2103" s="147">
        <v>5.7</v>
      </c>
      <c r="Y2103" s="147">
        <v>4.2</v>
      </c>
      <c r="Z2103" s="158">
        <v>4.84</v>
      </c>
      <c r="AA2103" s="59" cm="1">
        <f t="array" ref="AA2103">INDEX($BX$29:$BX$1449,MATCH($D2103,$BR$29:$BR$1449,0),)</f>
        <v>4.65</v>
      </c>
      <c r="AB2103" s="150">
        <f t="shared" si="639"/>
        <v>0</v>
      </c>
      <c r="AC2103" s="150">
        <f t="shared" si="641"/>
        <v>0</v>
      </c>
      <c r="AD2103" s="150">
        <f t="shared" si="644"/>
        <v>-0.00206185567010309</v>
      </c>
      <c r="AE2103" s="89">
        <f t="shared" si="640"/>
        <v>0.0408602150537634</v>
      </c>
    </row>
    <row r="2104" spans="3:31">
      <c r="C2104" s="80" t="str" cm="1">
        <f t="array" ref="C2104">_xlfn.IFS(MONTH(D2104)&lt;4,1,MONTH(D2104)&lt;7,2,MONTH(D2104)&lt;10,3,MONTH(D2104)&gt;9,4)&amp;"Q"&amp;RIGHT(YEAR(D2104),2)</f>
        <v>2Q24</v>
      </c>
      <c r="D2104" s="81">
        <f t="shared" si="643"/>
        <v>45473</v>
      </c>
      <c r="E2104" s="82">
        <f t="shared" si="636"/>
        <v>45454</v>
      </c>
      <c r="F2104" s="83">
        <f t="shared" si="646"/>
        <v>0.213875</v>
      </c>
      <c r="G2104" s="83">
        <f t="shared" si="646"/>
        <v>0.2625</v>
      </c>
      <c r="H2104" s="81"/>
      <c r="I2104" s="146">
        <v>45454</v>
      </c>
      <c r="J2104" s="147">
        <v>1.83</v>
      </c>
      <c r="K2104" s="147">
        <v>1.64</v>
      </c>
      <c r="L2104" s="158">
        <v>1.711</v>
      </c>
      <c r="M2104" s="59" cm="1">
        <f t="array" ref="M2104">INDEX($BV$29:$BV$1449,MATCH($D2104,$BR$29:$BR$1449,0),)</f>
        <v>2.1</v>
      </c>
      <c r="N2104" s="150">
        <f t="shared" si="647"/>
        <v>-0.00116754232340921</v>
      </c>
      <c r="O2104" s="150">
        <f t="shared" si="648"/>
        <v>-0.002332361516035</v>
      </c>
      <c r="P2104" s="150">
        <f t="shared" si="634"/>
        <v>-0.00869061413673222</v>
      </c>
      <c r="Q2104" s="89">
        <f t="shared" si="637"/>
        <v>-0.185238095238095</v>
      </c>
      <c r="S2104" s="82">
        <f t="shared" si="638"/>
        <v>45454</v>
      </c>
      <c r="T2104" s="83">
        <f t="shared" si="649"/>
        <v>0.3025</v>
      </c>
      <c r="U2104" s="83">
        <f t="shared" si="649"/>
        <v>0.290625</v>
      </c>
      <c r="W2104" s="146">
        <v>45454</v>
      </c>
      <c r="X2104" s="147">
        <v>5.7</v>
      </c>
      <c r="Y2104" s="147">
        <v>4.2</v>
      </c>
      <c r="Z2104" s="158">
        <v>4.84</v>
      </c>
      <c r="AA2104" s="59" cm="1">
        <f t="array" ref="AA2104">INDEX($BX$29:$BX$1449,MATCH($D2104,$BR$29:$BR$1449,0),)</f>
        <v>4.65</v>
      </c>
      <c r="AB2104" s="150">
        <f t="shared" si="639"/>
        <v>0</v>
      </c>
      <c r="AC2104" s="150">
        <f t="shared" si="641"/>
        <v>0</v>
      </c>
      <c r="AD2104" s="150">
        <f t="shared" si="644"/>
        <v>-0.00206185567010309</v>
      </c>
      <c r="AE2104" s="89">
        <f t="shared" si="640"/>
        <v>0.0408602150537634</v>
      </c>
    </row>
    <row r="2105" spans="3:31">
      <c r="C2105" s="80" t="str" cm="1">
        <f t="array" ref="C2105">_xlfn.IFS(MONTH(D2105)&lt;4,1,MONTH(D2105)&lt;7,2,MONTH(D2105)&lt;10,3,MONTH(D2105)&gt;9,4)&amp;"Q"&amp;RIGHT(YEAR(D2105),2)</f>
        <v>2Q24</v>
      </c>
      <c r="D2105" s="81">
        <f t="shared" si="643"/>
        <v>45473</v>
      </c>
      <c r="E2105" s="82">
        <f t="shared" si="636"/>
        <v>45455</v>
      </c>
      <c r="F2105" s="83">
        <f t="shared" si="646"/>
        <v>0.213375</v>
      </c>
      <c r="G2105" s="83">
        <f t="shared" si="646"/>
        <v>0.2625</v>
      </c>
      <c r="H2105" s="81"/>
      <c r="I2105" s="146">
        <v>45455</v>
      </c>
      <c r="J2105" s="147">
        <v>1.8</v>
      </c>
      <c r="K2105" s="147">
        <v>1.64</v>
      </c>
      <c r="L2105" s="158">
        <v>1.707</v>
      </c>
      <c r="M2105" s="59" cm="1">
        <f t="array" ref="M2105">INDEX($BV$29:$BV$1449,MATCH($D2105,$BR$29:$BR$1449,0),)</f>
        <v>2.1</v>
      </c>
      <c r="N2105" s="150">
        <f t="shared" si="647"/>
        <v>-0.00233781414377554</v>
      </c>
      <c r="O2105" s="150">
        <f t="shared" si="648"/>
        <v>-0.00408401400233371</v>
      </c>
      <c r="P2105" s="150">
        <f t="shared" si="634"/>
        <v>-0.0110081112398609</v>
      </c>
      <c r="Q2105" s="89">
        <f t="shared" si="637"/>
        <v>-0.187142857142857</v>
      </c>
      <c r="S2105" s="82">
        <f t="shared" si="638"/>
        <v>45455</v>
      </c>
      <c r="T2105" s="83">
        <f t="shared" si="649"/>
        <v>0.3025</v>
      </c>
      <c r="U2105" s="83">
        <f t="shared" si="649"/>
        <v>0.290625</v>
      </c>
      <c r="W2105" s="146">
        <v>45455</v>
      </c>
      <c r="X2105" s="147">
        <v>5.7</v>
      </c>
      <c r="Y2105" s="147">
        <v>4.2</v>
      </c>
      <c r="Z2105" s="158">
        <v>4.84</v>
      </c>
      <c r="AA2105" s="59" cm="1">
        <f t="array" ref="AA2105">INDEX($BX$29:$BX$1449,MATCH($D2105,$BR$29:$BR$1449,0),)</f>
        <v>4.65</v>
      </c>
      <c r="AB2105" s="150">
        <f t="shared" si="639"/>
        <v>0</v>
      </c>
      <c r="AC2105" s="150">
        <f t="shared" si="641"/>
        <v>0</v>
      </c>
      <c r="AD2105" s="150">
        <f t="shared" si="644"/>
        <v>-0.00144419228388704</v>
      </c>
      <c r="AE2105" s="89">
        <f t="shared" si="640"/>
        <v>0.0408602150537634</v>
      </c>
    </row>
    <row r="2106" spans="3:31">
      <c r="C2106" s="80" t="str" cm="1">
        <f t="array" ref="C2106">_xlfn.IFS(MONTH(D2106)&lt;4,1,MONTH(D2106)&lt;7,2,MONTH(D2106)&lt;10,3,MONTH(D2106)&gt;9,4)&amp;"Q"&amp;RIGHT(YEAR(D2106),2)</f>
        <v>2Q24</v>
      </c>
      <c r="D2106" s="81">
        <f t="shared" si="643"/>
        <v>45473</v>
      </c>
      <c r="E2106" s="82">
        <f t="shared" si="636"/>
        <v>45456</v>
      </c>
      <c r="F2106" s="83">
        <f t="shared" ref="F2106:G2121" si="650">+L2106/8</f>
        <v>0.212875</v>
      </c>
      <c r="G2106" s="83">
        <f t="shared" si="650"/>
        <v>0.2625</v>
      </c>
      <c r="H2106" s="81"/>
      <c r="I2106" s="146">
        <v>45456</v>
      </c>
      <c r="J2106" s="147">
        <v>1.78</v>
      </c>
      <c r="K2106" s="147">
        <v>1.64</v>
      </c>
      <c r="L2106" s="158">
        <v>1.703</v>
      </c>
      <c r="M2106" s="59" cm="1">
        <f t="array" ref="M2106">INDEX($BV$29:$BV$1449,MATCH($D2106,$BR$29:$BR$1449,0),)</f>
        <v>2.1</v>
      </c>
      <c r="N2106" s="150">
        <f t="shared" si="647"/>
        <v>-0.00234329232571762</v>
      </c>
      <c r="O2106" s="150">
        <f t="shared" si="648"/>
        <v>-0.00641773628938147</v>
      </c>
      <c r="P2106" s="150">
        <f t="shared" si="634"/>
        <v>-0.0121809744779582</v>
      </c>
      <c r="Q2106" s="89">
        <f t="shared" si="637"/>
        <v>-0.189047619047619</v>
      </c>
      <c r="S2106" s="82">
        <f t="shared" si="638"/>
        <v>45456</v>
      </c>
      <c r="T2106" s="83">
        <f t="shared" si="649"/>
        <v>0.3020625</v>
      </c>
      <c r="U2106" s="83">
        <f t="shared" si="649"/>
        <v>0.290625</v>
      </c>
      <c r="W2106" s="146">
        <v>45456</v>
      </c>
      <c r="X2106" s="147">
        <v>5.7</v>
      </c>
      <c r="Y2106" s="147">
        <v>4.2</v>
      </c>
      <c r="Z2106" s="158">
        <v>4.833</v>
      </c>
      <c r="AA2106" s="59" cm="1">
        <f t="array" ref="AA2106">INDEX($BX$29:$BX$1449,MATCH($D2106,$BR$29:$BR$1449,0),)</f>
        <v>4.65</v>
      </c>
      <c r="AB2106" s="150">
        <f t="shared" si="639"/>
        <v>-0.00144628099173549</v>
      </c>
      <c r="AC2106" s="150">
        <f t="shared" si="641"/>
        <v>-0.00144628099173549</v>
      </c>
      <c r="AD2106" s="150">
        <f t="shared" si="644"/>
        <v>-0.00288838456777396</v>
      </c>
      <c r="AE2106" s="89">
        <f t="shared" si="640"/>
        <v>0.0393548387096774</v>
      </c>
    </row>
    <row r="2107" spans="3:31">
      <c r="C2107" s="80" t="str" cm="1">
        <f t="array" ref="C2107">_xlfn.IFS(MONTH(D2107)&lt;4,1,MONTH(D2107)&lt;7,2,MONTH(D2107)&lt;10,3,MONTH(D2107)&gt;9,4)&amp;"Q"&amp;RIGHT(YEAR(D2107),2)</f>
        <v>2Q24</v>
      </c>
      <c r="D2107" s="81">
        <f t="shared" si="643"/>
        <v>45473</v>
      </c>
      <c r="E2107" s="82">
        <f t="shared" si="636"/>
        <v>45457</v>
      </c>
      <c r="F2107" s="83">
        <f t="shared" si="650"/>
        <v>0.212875</v>
      </c>
      <c r="G2107" s="83">
        <f t="shared" si="650"/>
        <v>0.2625</v>
      </c>
      <c r="H2107" s="81"/>
      <c r="I2107" s="146">
        <v>45457</v>
      </c>
      <c r="J2107" s="147">
        <v>1.78</v>
      </c>
      <c r="K2107" s="147">
        <v>1.64</v>
      </c>
      <c r="L2107" s="158">
        <v>1.703</v>
      </c>
      <c r="M2107" s="59" cm="1">
        <f t="array" ref="M2107">INDEX($BV$29:$BV$1449,MATCH($D2107,$BR$29:$BR$1449,0),)</f>
        <v>2.1</v>
      </c>
      <c r="N2107" s="150">
        <f t="shared" si="647"/>
        <v>0</v>
      </c>
      <c r="O2107" s="150">
        <f t="shared" si="648"/>
        <v>-0.00641773628938147</v>
      </c>
      <c r="P2107" s="150">
        <f t="shared" si="634"/>
        <v>-0.00988372093023249</v>
      </c>
      <c r="Q2107" s="89">
        <f t="shared" si="637"/>
        <v>-0.189047619047619</v>
      </c>
      <c r="S2107" s="82">
        <f t="shared" si="638"/>
        <v>45457</v>
      </c>
      <c r="T2107" s="83">
        <f t="shared" si="649"/>
        <v>0.3020625</v>
      </c>
      <c r="U2107" s="83">
        <f t="shared" si="649"/>
        <v>0.290625</v>
      </c>
      <c r="W2107" s="146">
        <v>45457</v>
      </c>
      <c r="X2107" s="147">
        <v>5.7</v>
      </c>
      <c r="Y2107" s="147">
        <v>4.2</v>
      </c>
      <c r="Z2107" s="158">
        <v>4.833</v>
      </c>
      <c r="AA2107" s="59" cm="1">
        <f t="array" ref="AA2107">INDEX($BX$29:$BX$1449,MATCH($D2107,$BR$29:$BR$1449,0),)</f>
        <v>4.65</v>
      </c>
      <c r="AB2107" s="150">
        <f t="shared" si="639"/>
        <v>0</v>
      </c>
      <c r="AC2107" s="150">
        <f t="shared" si="641"/>
        <v>-0.00144628099173549</v>
      </c>
      <c r="AD2107" s="150">
        <f t="shared" si="644"/>
        <v>-0.00288838456777396</v>
      </c>
      <c r="AE2107" s="89">
        <f t="shared" si="640"/>
        <v>0.0393548387096774</v>
      </c>
    </row>
    <row r="2108" spans="3:31">
      <c r="C2108" s="80" t="str" cm="1">
        <f t="array" ref="C2108">_xlfn.IFS(MONTH(D2108)&lt;4,1,MONTH(D2108)&lt;7,2,MONTH(D2108)&lt;10,3,MONTH(D2108)&gt;9,4)&amp;"Q"&amp;RIGHT(YEAR(D2108),2)</f>
        <v>2Q24</v>
      </c>
      <c r="D2108" s="81">
        <f t="shared" si="643"/>
        <v>45473</v>
      </c>
      <c r="E2108" s="82">
        <f t="shared" si="636"/>
        <v>45460</v>
      </c>
      <c r="F2108" s="83">
        <f t="shared" si="650"/>
        <v>0.212875</v>
      </c>
      <c r="G2108" s="83">
        <f t="shared" si="650"/>
        <v>0.2625</v>
      </c>
      <c r="H2108" s="81"/>
      <c r="I2108" s="146">
        <v>45460</v>
      </c>
      <c r="J2108" s="147">
        <v>1.78</v>
      </c>
      <c r="K2108" s="147">
        <v>1.65</v>
      </c>
      <c r="L2108" s="158">
        <v>1.703</v>
      </c>
      <c r="M2108" s="59" cm="1">
        <f t="array" ref="M2108">INDEX($BV$29:$BV$1449,MATCH($D2108,$BR$29:$BR$1449,0),)</f>
        <v>2.1</v>
      </c>
      <c r="N2108" s="150">
        <f t="shared" si="647"/>
        <v>0</v>
      </c>
      <c r="O2108" s="150">
        <f t="shared" si="648"/>
        <v>-0.00583771161704616</v>
      </c>
      <c r="P2108" s="150">
        <f t="shared" si="634"/>
        <v>-0.00988372093023249</v>
      </c>
      <c r="Q2108" s="89">
        <f t="shared" si="637"/>
        <v>-0.189047619047619</v>
      </c>
      <c r="S2108" s="82">
        <f t="shared" si="638"/>
        <v>45460</v>
      </c>
      <c r="T2108" s="83">
        <f t="shared" si="649"/>
        <v>0.3020625</v>
      </c>
      <c r="U2108" s="83">
        <f t="shared" si="649"/>
        <v>0.290625</v>
      </c>
      <c r="W2108" s="146">
        <v>45460</v>
      </c>
      <c r="X2108" s="147">
        <v>5.7</v>
      </c>
      <c r="Y2108" s="147">
        <v>4.18</v>
      </c>
      <c r="Z2108" s="158">
        <v>4.833</v>
      </c>
      <c r="AA2108" s="59" cm="1">
        <f t="array" ref="AA2108">INDEX($BX$29:$BX$1449,MATCH($D2108,$BR$29:$BR$1449,0),)</f>
        <v>4.65</v>
      </c>
      <c r="AB2108" s="150">
        <f t="shared" si="639"/>
        <v>0</v>
      </c>
      <c r="AC2108" s="150">
        <f t="shared" si="641"/>
        <v>-0.00144628099173549</v>
      </c>
      <c r="AD2108" s="150">
        <f t="shared" si="644"/>
        <v>-0.00144628099173549</v>
      </c>
      <c r="AE2108" s="89">
        <f t="shared" si="640"/>
        <v>0.0393548387096774</v>
      </c>
    </row>
    <row r="2109" spans="3:31">
      <c r="C2109" s="80" t="str" cm="1">
        <f t="array" ref="C2109">_xlfn.IFS(MONTH(D2109)&lt;4,1,MONTH(D2109)&lt;7,2,MONTH(D2109)&lt;10,3,MONTH(D2109)&gt;9,4)&amp;"Q"&amp;RIGHT(YEAR(D2109),2)</f>
        <v>2Q24</v>
      </c>
      <c r="D2109" s="81">
        <f t="shared" si="643"/>
        <v>45473</v>
      </c>
      <c r="E2109" s="82">
        <f t="shared" si="636"/>
        <v>45461</v>
      </c>
      <c r="F2109" s="83">
        <f t="shared" si="650"/>
        <v>0.213625</v>
      </c>
      <c r="G2109" s="83">
        <f t="shared" si="650"/>
        <v>0.2625</v>
      </c>
      <c r="H2109" s="81"/>
      <c r="I2109" s="146">
        <v>45461</v>
      </c>
      <c r="J2109" s="147">
        <v>1.81</v>
      </c>
      <c r="K2109" s="147">
        <v>1.65</v>
      </c>
      <c r="L2109" s="158">
        <v>1.709</v>
      </c>
      <c r="M2109" s="59" cm="1">
        <f t="array" ref="M2109">INDEX($BV$29:$BV$1449,MATCH($D2109,$BR$29:$BR$1449,0),)</f>
        <v>2.1</v>
      </c>
      <c r="N2109" s="150">
        <f t="shared" si="647"/>
        <v>0.00352319436288906</v>
      </c>
      <c r="O2109" s="150">
        <f t="shared" si="648"/>
        <v>-0.00116890707188777</v>
      </c>
      <c r="P2109" s="150">
        <f t="shared" si="634"/>
        <v>-0.00349854227405244</v>
      </c>
      <c r="Q2109" s="89">
        <f t="shared" si="637"/>
        <v>-0.186190476190476</v>
      </c>
      <c r="S2109" s="82">
        <f t="shared" si="638"/>
        <v>45461</v>
      </c>
      <c r="T2109" s="83">
        <f t="shared" si="649"/>
        <v>0.301875</v>
      </c>
      <c r="U2109" s="83">
        <f t="shared" si="649"/>
        <v>0.290625</v>
      </c>
      <c r="W2109" s="146">
        <v>45461</v>
      </c>
      <c r="X2109" s="147">
        <v>5.7</v>
      </c>
      <c r="Y2109" s="147">
        <v>4.17</v>
      </c>
      <c r="Z2109" s="158">
        <v>4.83</v>
      </c>
      <c r="AA2109" s="59" cm="1">
        <f t="array" ref="AA2109">INDEX($BX$29:$BX$1449,MATCH($D2109,$BR$29:$BR$1449,0),)</f>
        <v>4.65</v>
      </c>
      <c r="AB2109" s="150">
        <f t="shared" si="639"/>
        <v>-0.000620732464307938</v>
      </c>
      <c r="AC2109" s="150">
        <f t="shared" si="641"/>
        <v>-0.00206611570247928</v>
      </c>
      <c r="AD2109" s="150">
        <f t="shared" si="644"/>
        <v>-0.00206611570247928</v>
      </c>
      <c r="AE2109" s="89">
        <f t="shared" si="640"/>
        <v>0.0387096774193547</v>
      </c>
    </row>
    <row r="2110" spans="3:31">
      <c r="C2110" s="80" t="str" cm="1">
        <f t="array" ref="C2110">_xlfn.IFS(MONTH(D2110)&lt;4,1,MONTH(D2110)&lt;7,2,MONTH(D2110)&lt;10,3,MONTH(D2110)&gt;9,4)&amp;"Q"&amp;RIGHT(YEAR(D2110),2)</f>
        <v>2Q24</v>
      </c>
      <c r="D2110" s="81">
        <f t="shared" si="643"/>
        <v>45473</v>
      </c>
      <c r="E2110" s="82">
        <f t="shared" si="636"/>
        <v>45462</v>
      </c>
      <c r="F2110" s="83">
        <f t="shared" si="650"/>
        <v>0.213625</v>
      </c>
      <c r="G2110" s="83">
        <f t="shared" si="650"/>
        <v>0.2625</v>
      </c>
      <c r="H2110" s="81"/>
      <c r="I2110" s="146">
        <v>45462</v>
      </c>
      <c r="J2110" s="147">
        <v>1.81</v>
      </c>
      <c r="K2110" s="147">
        <v>1.65</v>
      </c>
      <c r="L2110" s="158">
        <v>1.709</v>
      </c>
      <c r="M2110" s="59" cm="1">
        <f t="array" ref="M2110">INDEX($BV$29:$BV$1449,MATCH($D2110,$BR$29:$BR$1449,0),)</f>
        <v>2.1</v>
      </c>
      <c r="N2110" s="150">
        <f t="shared" si="647"/>
        <v>0</v>
      </c>
      <c r="O2110" s="150">
        <f t="shared" si="648"/>
        <v>0.00117164616285881</v>
      </c>
      <c r="P2110" s="150">
        <f t="shared" si="634"/>
        <v>-0.00291715285880978</v>
      </c>
      <c r="Q2110" s="89">
        <f t="shared" si="637"/>
        <v>-0.186190476190476</v>
      </c>
      <c r="S2110" s="82">
        <f t="shared" si="638"/>
        <v>45462</v>
      </c>
      <c r="T2110" s="83">
        <f t="shared" si="649"/>
        <v>0.3016875</v>
      </c>
      <c r="U2110" s="83">
        <f t="shared" si="649"/>
        <v>0.290625</v>
      </c>
      <c r="W2110" s="146">
        <v>45462</v>
      </c>
      <c r="X2110" s="147">
        <v>5.7</v>
      </c>
      <c r="Y2110" s="147">
        <v>4.17</v>
      </c>
      <c r="Z2110" s="158">
        <v>4.827</v>
      </c>
      <c r="AA2110" s="59" cm="1">
        <f t="array" ref="AA2110">INDEX($BX$29:$BX$1449,MATCH($D2110,$BR$29:$BR$1449,0),)</f>
        <v>4.65</v>
      </c>
      <c r="AB2110" s="150">
        <f t="shared" si="639"/>
        <v>-0.000621118012422373</v>
      </c>
      <c r="AC2110" s="150">
        <f t="shared" si="641"/>
        <v>-0.00268595041322317</v>
      </c>
      <c r="AD2110" s="150">
        <f t="shared" si="644"/>
        <v>-0.00268595041322317</v>
      </c>
      <c r="AE2110" s="89">
        <f t="shared" si="640"/>
        <v>0.0380645161290323</v>
      </c>
    </row>
    <row r="2111" spans="3:31">
      <c r="C2111" s="80" t="str" cm="1">
        <f t="array" ref="C2111">_xlfn.IFS(MONTH(D2111)&lt;4,1,MONTH(D2111)&lt;7,2,MONTH(D2111)&lt;10,3,MONTH(D2111)&gt;9,4)&amp;"Q"&amp;RIGHT(YEAR(D2111),2)</f>
        <v>2Q24</v>
      </c>
      <c r="D2111" s="81">
        <f t="shared" si="643"/>
        <v>45473</v>
      </c>
      <c r="E2111" s="82">
        <f t="shared" si="636"/>
        <v>45463</v>
      </c>
      <c r="F2111" s="83">
        <f t="shared" si="650"/>
        <v>0.21325</v>
      </c>
      <c r="G2111" s="83">
        <f t="shared" si="650"/>
        <v>0.2625</v>
      </c>
      <c r="H2111" s="81"/>
      <c r="I2111" s="146">
        <v>45463</v>
      </c>
      <c r="J2111" s="147">
        <v>1.81</v>
      </c>
      <c r="K2111" s="147">
        <v>1.65</v>
      </c>
      <c r="L2111" s="158">
        <v>1.706</v>
      </c>
      <c r="M2111" s="59" cm="1">
        <f t="array" ref="M2111">INDEX($BV$29:$BV$1449,MATCH($D2111,$BR$29:$BR$1449,0),)</f>
        <v>2.1</v>
      </c>
      <c r="N2111" s="150">
        <f t="shared" si="647"/>
        <v>-0.00175541252194267</v>
      </c>
      <c r="O2111" s="150">
        <f t="shared" si="648"/>
        <v>0.00176159718144442</v>
      </c>
      <c r="P2111" s="150">
        <f t="shared" si="634"/>
        <v>-0.00466744457409574</v>
      </c>
      <c r="Q2111" s="89">
        <f t="shared" si="637"/>
        <v>-0.187619047619048</v>
      </c>
      <c r="S2111" s="82">
        <f t="shared" si="638"/>
        <v>45463</v>
      </c>
      <c r="T2111" s="83">
        <f t="shared" si="649"/>
        <v>0.3016875</v>
      </c>
      <c r="U2111" s="83">
        <f t="shared" si="649"/>
        <v>0.290625</v>
      </c>
      <c r="W2111" s="146">
        <v>45463</v>
      </c>
      <c r="X2111" s="147">
        <v>5.7</v>
      </c>
      <c r="Y2111" s="147">
        <v>4.16</v>
      </c>
      <c r="Z2111" s="158">
        <v>4.827</v>
      </c>
      <c r="AA2111" s="59" cm="1">
        <f t="array" ref="AA2111">INDEX($BX$29:$BX$1449,MATCH($D2111,$BR$29:$BR$1449,0),)</f>
        <v>4.65</v>
      </c>
      <c r="AB2111" s="150">
        <f t="shared" si="639"/>
        <v>0</v>
      </c>
      <c r="AC2111" s="150">
        <f t="shared" si="641"/>
        <v>-0.00124146492861577</v>
      </c>
      <c r="AD2111" s="150">
        <f t="shared" si="644"/>
        <v>-0.00268595041322317</v>
      </c>
      <c r="AE2111" s="89">
        <f t="shared" si="640"/>
        <v>0.0380645161290323</v>
      </c>
    </row>
    <row r="2112" spans="3:31">
      <c r="C2112" s="80" t="str" cm="1">
        <f t="array" ref="C2112">_xlfn.IFS(MONTH(D2112)&lt;4,1,MONTH(D2112)&lt;7,2,MONTH(D2112)&lt;10,3,MONTH(D2112)&gt;9,4)&amp;"Q"&amp;RIGHT(YEAR(D2112),2)</f>
        <v>2Q24</v>
      </c>
      <c r="D2112" s="81">
        <f t="shared" si="643"/>
        <v>45473</v>
      </c>
      <c r="E2112" s="82">
        <f t="shared" si="636"/>
        <v>45464</v>
      </c>
      <c r="F2112" s="83">
        <f t="shared" si="650"/>
        <v>0.215125</v>
      </c>
      <c r="G2112" s="83">
        <f t="shared" si="650"/>
        <v>0.2625</v>
      </c>
      <c r="H2112" s="81"/>
      <c r="I2112" s="146">
        <v>45464</v>
      </c>
      <c r="J2112" s="147">
        <v>1.88</v>
      </c>
      <c r="K2112" s="147">
        <v>1.65</v>
      </c>
      <c r="L2112" s="158">
        <v>1.721</v>
      </c>
      <c r="M2112" s="59" cm="1">
        <f t="array" ref="M2112">INDEX($BV$29:$BV$1449,MATCH($D2112,$BR$29:$BR$1449,0),)</f>
        <v>2.1</v>
      </c>
      <c r="N2112" s="150">
        <f t="shared" si="647"/>
        <v>0.00879249706916774</v>
      </c>
      <c r="O2112" s="150">
        <f t="shared" si="648"/>
        <v>0.010569583088667</v>
      </c>
      <c r="P2112" s="150">
        <f t="shared" si="634"/>
        <v>0.00408401400233371</v>
      </c>
      <c r="Q2112" s="89">
        <f t="shared" si="637"/>
        <v>-0.18047619047619</v>
      </c>
      <c r="S2112" s="82">
        <f t="shared" si="638"/>
        <v>45464</v>
      </c>
      <c r="T2112" s="83">
        <f t="shared" ref="T2112:U2127" si="651">+Z2112/16</f>
        <v>0.303125</v>
      </c>
      <c r="U2112" s="83">
        <f t="shared" si="651"/>
        <v>0.290625</v>
      </c>
      <c r="W2112" s="146">
        <v>45464</v>
      </c>
      <c r="X2112" s="147">
        <v>5.7</v>
      </c>
      <c r="Y2112" s="147">
        <v>4.15</v>
      </c>
      <c r="Z2112" s="158">
        <v>4.85</v>
      </c>
      <c r="AA2112" s="59" cm="1">
        <f t="array" ref="AA2112">INDEX($BX$29:$BX$1449,MATCH($D2112,$BR$29:$BR$1449,0),)</f>
        <v>4.65</v>
      </c>
      <c r="AB2112" s="150">
        <f t="shared" si="639"/>
        <v>0.00476486430495116</v>
      </c>
      <c r="AC2112" s="150">
        <f t="shared" si="641"/>
        <v>0.00351748396441121</v>
      </c>
      <c r="AD2112" s="150">
        <f t="shared" si="644"/>
        <v>0.00206611570247928</v>
      </c>
      <c r="AE2112" s="89">
        <f t="shared" si="640"/>
        <v>0.0430107526881718</v>
      </c>
    </row>
    <row r="2113" spans="3:31">
      <c r="C2113" s="80" t="str" cm="1">
        <f t="array" ref="C2113">_xlfn.IFS(MONTH(D2113)&lt;4,1,MONTH(D2113)&lt;7,2,MONTH(D2113)&lt;10,3,MONTH(D2113)&gt;9,4)&amp;"Q"&amp;RIGHT(YEAR(D2113),2)</f>
        <v>2Q24</v>
      </c>
      <c r="D2113" s="81">
        <f t="shared" si="643"/>
        <v>45473</v>
      </c>
      <c r="E2113" s="82">
        <f t="shared" si="636"/>
        <v>45467</v>
      </c>
      <c r="F2113" s="83">
        <f t="shared" si="650"/>
        <v>0.2165</v>
      </c>
      <c r="G2113" s="83">
        <f t="shared" si="650"/>
        <v>0.2625</v>
      </c>
      <c r="H2113" s="81"/>
      <c r="I2113" s="146">
        <v>45467</v>
      </c>
      <c r="J2113" s="147">
        <v>1.95</v>
      </c>
      <c r="K2113" s="147">
        <v>1.65</v>
      </c>
      <c r="L2113" s="158">
        <v>1.732</v>
      </c>
      <c r="M2113" s="59" cm="1">
        <f t="array" ref="M2113">INDEX($BV$29:$BV$1449,MATCH($D2113,$BR$29:$BR$1449,0),)</f>
        <v>2.1</v>
      </c>
      <c r="N2113" s="150">
        <f t="shared" si="647"/>
        <v>0.00639163277164423</v>
      </c>
      <c r="O2113" s="150">
        <f t="shared" si="648"/>
        <v>0.0170287727539635</v>
      </c>
      <c r="P2113" s="150">
        <f t="shared" si="634"/>
        <v>0.0110916520723876</v>
      </c>
      <c r="Q2113" s="89">
        <f t="shared" si="637"/>
        <v>-0.175238095238095</v>
      </c>
      <c r="S2113" s="82">
        <f t="shared" si="638"/>
        <v>45467</v>
      </c>
      <c r="T2113" s="83">
        <f t="shared" si="651"/>
        <v>0.303125</v>
      </c>
      <c r="U2113" s="83">
        <f t="shared" si="651"/>
        <v>0.290625</v>
      </c>
      <c r="W2113" s="146">
        <v>45467</v>
      </c>
      <c r="X2113" s="147">
        <v>5.68</v>
      </c>
      <c r="Y2113" s="147">
        <v>4.17</v>
      </c>
      <c r="Z2113" s="158">
        <v>4.85</v>
      </c>
      <c r="AA2113" s="59" cm="1">
        <f t="array" ref="AA2113">INDEX($BX$29:$BX$1449,MATCH($D2113,$BR$29:$BR$1449,0),)</f>
        <v>4.65</v>
      </c>
      <c r="AB2113" s="150">
        <f t="shared" si="639"/>
        <v>0</v>
      </c>
      <c r="AC2113" s="150">
        <f t="shared" si="641"/>
        <v>0.00351748396441121</v>
      </c>
      <c r="AD2113" s="150">
        <f t="shared" si="644"/>
        <v>0.00206611570247928</v>
      </c>
      <c r="AE2113" s="89">
        <f t="shared" si="640"/>
        <v>0.0430107526881718</v>
      </c>
    </row>
    <row r="2114" spans="3:31">
      <c r="C2114" s="80" t="str" cm="1">
        <f t="array" ref="C2114">_xlfn.IFS(MONTH(D2114)&lt;4,1,MONTH(D2114)&lt;7,2,MONTH(D2114)&lt;10,3,MONTH(D2114)&gt;9,4)&amp;"Q"&amp;RIGHT(YEAR(D2114),2)</f>
        <v>2Q24</v>
      </c>
      <c r="D2114" s="81">
        <f t="shared" si="643"/>
        <v>45473</v>
      </c>
      <c r="E2114" s="82">
        <f t="shared" si="636"/>
        <v>45468</v>
      </c>
      <c r="F2114" s="83">
        <f t="shared" si="650"/>
        <v>0.217</v>
      </c>
      <c r="G2114" s="83">
        <f t="shared" si="650"/>
        <v>0.2625</v>
      </c>
      <c r="H2114" s="81"/>
      <c r="I2114" s="146">
        <v>45468</v>
      </c>
      <c r="J2114" s="147">
        <v>1.95</v>
      </c>
      <c r="K2114" s="147">
        <v>1.65</v>
      </c>
      <c r="L2114" s="158">
        <v>1.736</v>
      </c>
      <c r="M2114" s="59" cm="1">
        <f t="array" ref="M2114">INDEX($BV$29:$BV$1449,MATCH($D2114,$BR$29:$BR$1449,0),)</f>
        <v>2.1</v>
      </c>
      <c r="N2114" s="150">
        <f t="shared" si="647"/>
        <v>0.00230946882217098</v>
      </c>
      <c r="O2114" s="150">
        <f t="shared" si="648"/>
        <v>0.0157987126974839</v>
      </c>
      <c r="P2114" s="150">
        <f t="shared" si="634"/>
        <v>0.0146113383985973</v>
      </c>
      <c r="Q2114" s="89">
        <f t="shared" si="637"/>
        <v>-0.173333333333333</v>
      </c>
      <c r="S2114" s="82">
        <f t="shared" si="638"/>
        <v>45468</v>
      </c>
      <c r="T2114" s="83">
        <f t="shared" si="651"/>
        <v>0.3041875</v>
      </c>
      <c r="U2114" s="83">
        <f t="shared" si="651"/>
        <v>0.290625</v>
      </c>
      <c r="W2114" s="146">
        <v>45468</v>
      </c>
      <c r="X2114" s="147">
        <v>5.68</v>
      </c>
      <c r="Y2114" s="147">
        <v>4.17</v>
      </c>
      <c r="Z2114" s="158">
        <v>4.867</v>
      </c>
      <c r="AA2114" s="59" cm="1">
        <f t="array" ref="AA2114">INDEX($BX$29:$BX$1449,MATCH($D2114,$BR$29:$BR$1449,0),)</f>
        <v>4.65</v>
      </c>
      <c r="AB2114" s="150">
        <f t="shared" si="639"/>
        <v>0.00350515463917533</v>
      </c>
      <c r="AC2114" s="150">
        <f t="shared" si="641"/>
        <v>0.00766045548654248</v>
      </c>
      <c r="AD2114" s="150">
        <f t="shared" si="644"/>
        <v>0.00557851239669427</v>
      </c>
      <c r="AE2114" s="89">
        <f t="shared" si="640"/>
        <v>0.0466666666666666</v>
      </c>
    </row>
    <row r="2115" spans="3:31">
      <c r="C2115" s="80" t="str" cm="1">
        <f t="array" ref="C2115">_xlfn.IFS(MONTH(D2115)&lt;4,1,MONTH(D2115)&lt;7,2,MONTH(D2115)&lt;10,3,MONTH(D2115)&gt;9,4)&amp;"Q"&amp;RIGHT(YEAR(D2115),2)</f>
        <v>2Q24</v>
      </c>
      <c r="D2115" s="81">
        <f t="shared" si="643"/>
        <v>45473</v>
      </c>
      <c r="E2115" s="82">
        <f t="shared" si="636"/>
        <v>45469</v>
      </c>
      <c r="F2115" s="83">
        <f t="shared" si="650"/>
        <v>0.218</v>
      </c>
      <c r="G2115" s="83">
        <f t="shared" si="650"/>
        <v>0.2625</v>
      </c>
      <c r="H2115" s="81"/>
      <c r="I2115" s="146">
        <v>45469</v>
      </c>
      <c r="J2115" s="147">
        <v>1.98</v>
      </c>
      <c r="K2115" s="147">
        <v>1.65</v>
      </c>
      <c r="L2115" s="158">
        <v>1.744</v>
      </c>
      <c r="M2115" s="59" cm="1">
        <f t="array" ref="M2115">INDEX($BV$29:$BV$1449,MATCH($D2115,$BR$29:$BR$1449,0),)</f>
        <v>2.1</v>
      </c>
      <c r="N2115" s="150">
        <f t="shared" si="647"/>
        <v>0.00460829493087567</v>
      </c>
      <c r="O2115" s="150">
        <f t="shared" si="648"/>
        <v>0.0204798127559975</v>
      </c>
      <c r="P2115" s="150">
        <f t="shared" si="634"/>
        <v>0.0216754540128881</v>
      </c>
      <c r="Q2115" s="89">
        <f t="shared" si="637"/>
        <v>-0.16952380952381</v>
      </c>
      <c r="S2115" s="82">
        <f t="shared" si="638"/>
        <v>45469</v>
      </c>
      <c r="T2115" s="83">
        <f t="shared" si="651"/>
        <v>0.3048125</v>
      </c>
      <c r="U2115" s="83">
        <f t="shared" si="651"/>
        <v>0.290625</v>
      </c>
      <c r="W2115" s="146">
        <v>45469</v>
      </c>
      <c r="X2115" s="147">
        <v>5.68</v>
      </c>
      <c r="Y2115" s="147">
        <v>4.18</v>
      </c>
      <c r="Z2115" s="158">
        <v>4.877</v>
      </c>
      <c r="AA2115" s="59" cm="1">
        <f t="array" ref="AA2115">INDEX($BX$29:$BX$1449,MATCH($D2115,$BR$29:$BR$1449,0),)</f>
        <v>4.65</v>
      </c>
      <c r="AB2115" s="150">
        <f t="shared" si="639"/>
        <v>0.00205465379083614</v>
      </c>
      <c r="AC2115" s="150">
        <f t="shared" si="641"/>
        <v>0.0103584006629376</v>
      </c>
      <c r="AD2115" s="150">
        <f t="shared" si="644"/>
        <v>0.00764462809917354</v>
      </c>
      <c r="AE2115" s="89">
        <f t="shared" si="640"/>
        <v>0.0488172043010751</v>
      </c>
    </row>
    <row r="2116" spans="3:31">
      <c r="C2116" s="80" t="str" cm="1">
        <f t="array" ref="C2116">_xlfn.IFS(MONTH(D2116)&lt;4,1,MONTH(D2116)&lt;7,2,MONTH(D2116)&lt;10,3,MONTH(D2116)&gt;9,4)&amp;"Q"&amp;RIGHT(YEAR(D2116),2)</f>
        <v>2Q24</v>
      </c>
      <c r="D2116" s="81">
        <f t="shared" si="643"/>
        <v>45473</v>
      </c>
      <c r="E2116" s="82">
        <f t="shared" si="636"/>
        <v>45470</v>
      </c>
      <c r="F2116" s="83">
        <f t="shared" si="650"/>
        <v>0.21825</v>
      </c>
      <c r="G2116" s="83">
        <f t="shared" si="650"/>
        <v>0.2625</v>
      </c>
      <c r="H2116" s="81"/>
      <c r="I2116" s="146">
        <v>45470</v>
      </c>
      <c r="J2116" s="147">
        <v>1.98</v>
      </c>
      <c r="K2116" s="147">
        <v>1.65</v>
      </c>
      <c r="L2116" s="158">
        <v>1.746</v>
      </c>
      <c r="M2116" s="59" cm="1">
        <f t="array" ref="M2116">INDEX($BV$29:$BV$1449,MATCH($D2116,$BR$29:$BR$1449,0),)</f>
        <v>2.1</v>
      </c>
      <c r="N2116" s="150">
        <f t="shared" si="647"/>
        <v>0.00114678899082565</v>
      </c>
      <c r="O2116" s="150">
        <f t="shared" si="648"/>
        <v>0.0234466588511137</v>
      </c>
      <c r="P2116" s="150">
        <f t="shared" si="634"/>
        <v>0.0252495596007045</v>
      </c>
      <c r="Q2116" s="89">
        <f t="shared" si="637"/>
        <v>-0.168571428571429</v>
      </c>
      <c r="S2116" s="82">
        <f t="shared" si="638"/>
        <v>45470</v>
      </c>
      <c r="T2116" s="83">
        <f t="shared" si="651"/>
        <v>0.3048125</v>
      </c>
      <c r="U2116" s="83">
        <f t="shared" si="651"/>
        <v>0.290625</v>
      </c>
      <c r="W2116" s="146">
        <v>45470</v>
      </c>
      <c r="X2116" s="147">
        <v>5.68</v>
      </c>
      <c r="Y2116" s="147">
        <v>4.18</v>
      </c>
      <c r="Z2116" s="158">
        <v>4.877</v>
      </c>
      <c r="AA2116" s="59" cm="1">
        <f t="array" ref="AA2116">INDEX($BX$29:$BX$1449,MATCH($D2116,$BR$29:$BR$1449,0),)</f>
        <v>4.65</v>
      </c>
      <c r="AB2116" s="150">
        <f t="shared" si="639"/>
        <v>0</v>
      </c>
      <c r="AC2116" s="150">
        <f t="shared" si="641"/>
        <v>0.0103584006629376</v>
      </c>
      <c r="AD2116" s="150">
        <f t="shared" si="644"/>
        <v>0.0091040761431822</v>
      </c>
      <c r="AE2116" s="89">
        <f t="shared" si="640"/>
        <v>0.0488172043010751</v>
      </c>
    </row>
    <row r="2117" spans="3:31">
      <c r="C2117" s="80" t="str" cm="1">
        <f t="array" ref="C2117">_xlfn.IFS(MONTH(D2117)&lt;4,1,MONTH(D2117)&lt;7,2,MONTH(D2117)&lt;10,3,MONTH(D2117)&gt;9,4)&amp;"Q"&amp;RIGHT(YEAR(D2117),2)</f>
        <v>2Q24</v>
      </c>
      <c r="D2117" s="81">
        <f t="shared" si="643"/>
        <v>45473</v>
      </c>
      <c r="E2117" s="82">
        <f t="shared" si="636"/>
        <v>45471</v>
      </c>
      <c r="F2117" s="83">
        <f t="shared" si="650"/>
        <v>0.2185</v>
      </c>
      <c r="G2117" s="83">
        <f t="shared" si="650"/>
        <v>0.2625</v>
      </c>
      <c r="H2117" s="81"/>
      <c r="I2117" s="146">
        <v>45471</v>
      </c>
      <c r="J2117" s="147">
        <v>2</v>
      </c>
      <c r="K2117" s="147">
        <v>1.65</v>
      </c>
      <c r="L2117" s="158">
        <v>1.748</v>
      </c>
      <c r="M2117" s="59" cm="1">
        <f t="array" ref="M2117">INDEX($BV$29:$BV$1449,MATCH($D2117,$BR$29:$BR$1449,0),)</f>
        <v>2.1</v>
      </c>
      <c r="N2117" s="150">
        <f t="shared" si="647"/>
        <v>0.00114547537227949</v>
      </c>
      <c r="O2117" s="150">
        <f t="shared" si="648"/>
        <v>0.0156885531667634</v>
      </c>
      <c r="P2117" s="150">
        <f t="shared" si="634"/>
        <v>0.0264239577216676</v>
      </c>
      <c r="Q2117" s="89">
        <f t="shared" si="637"/>
        <v>-0.167619047619048</v>
      </c>
      <c r="S2117" s="82">
        <f t="shared" si="638"/>
        <v>45471</v>
      </c>
      <c r="T2117" s="83">
        <f t="shared" si="651"/>
        <v>0.3048125</v>
      </c>
      <c r="U2117" s="83">
        <f t="shared" si="651"/>
        <v>0.290625</v>
      </c>
      <c r="W2117" s="146">
        <v>45471</v>
      </c>
      <c r="X2117" s="147">
        <v>5.68</v>
      </c>
      <c r="Y2117" s="147">
        <v>4.18</v>
      </c>
      <c r="Z2117" s="158">
        <v>4.877</v>
      </c>
      <c r="AA2117" s="59" cm="1">
        <f t="array" ref="AA2117">INDEX($BX$29:$BX$1449,MATCH($D2117,$BR$29:$BR$1449,0),)</f>
        <v>4.65</v>
      </c>
      <c r="AB2117" s="150">
        <f t="shared" si="639"/>
        <v>0</v>
      </c>
      <c r="AC2117" s="150">
        <f t="shared" si="641"/>
        <v>0.00556701030927842</v>
      </c>
      <c r="AD2117" s="150">
        <f t="shared" si="644"/>
        <v>0.0091040761431822</v>
      </c>
      <c r="AE2117" s="89">
        <f t="shared" si="640"/>
        <v>0.0488172043010751</v>
      </c>
    </row>
    <row r="2118" spans="3:31">
      <c r="C2118" s="80" t="str" cm="1">
        <f t="array" ref="C2118">_xlfn.IFS(MONTH(D2118)&lt;4,1,MONTH(D2118)&lt;7,2,MONTH(D2118)&lt;10,3,MONTH(D2118)&gt;9,4)&amp;"Q"&amp;RIGHT(YEAR(D2118),2)</f>
        <v>3Q24</v>
      </c>
      <c r="D2118" s="81">
        <f t="shared" si="643"/>
        <v>45504</v>
      </c>
      <c r="E2118" s="82">
        <f t="shared" si="636"/>
        <v>45474</v>
      </c>
      <c r="F2118" s="83">
        <f t="shared" si="650"/>
        <v>0.21925</v>
      </c>
      <c r="G2118" s="83">
        <f t="shared" si="650"/>
        <v>0.2625</v>
      </c>
      <c r="H2118" s="81"/>
      <c r="I2118" s="146">
        <v>45474</v>
      </c>
      <c r="J2118" s="147">
        <v>2.05</v>
      </c>
      <c r="K2118" s="147">
        <v>1.65</v>
      </c>
      <c r="L2118" s="158">
        <v>1.754</v>
      </c>
      <c r="M2118" s="59" cm="1">
        <f t="array" ref="M2118">INDEX($BV$29:$BV$1449,MATCH($D2118,$BR$29:$BR$1449,0),)</f>
        <v>2.1</v>
      </c>
      <c r="N2118" s="150">
        <f t="shared" si="647"/>
        <v>0.00343249427917613</v>
      </c>
      <c r="O2118" s="150">
        <f t="shared" si="648"/>
        <v>0.0127020785219401</v>
      </c>
      <c r="P2118" s="150">
        <f t="shared" si="634"/>
        <v>0.0299471520845567</v>
      </c>
      <c r="Q2118" s="89">
        <f t="shared" si="637"/>
        <v>-0.164761904761905</v>
      </c>
      <c r="S2118" s="82">
        <f t="shared" si="638"/>
        <v>45474</v>
      </c>
      <c r="T2118" s="83">
        <f t="shared" si="651"/>
        <v>0.3051875</v>
      </c>
      <c r="U2118" s="83">
        <f t="shared" si="651"/>
        <v>0.290625</v>
      </c>
      <c r="W2118" s="146">
        <v>45474</v>
      </c>
      <c r="X2118" s="147">
        <v>5.68</v>
      </c>
      <c r="Y2118" s="147">
        <v>4.17</v>
      </c>
      <c r="Z2118" s="158">
        <v>4.883</v>
      </c>
      <c r="AA2118" s="59" cm="1">
        <f t="array" ref="AA2118">INDEX($BX$29:$BX$1449,MATCH($D2118,$BR$29:$BR$1449,0),)</f>
        <v>4.65</v>
      </c>
      <c r="AB2118" s="150">
        <f t="shared" si="639"/>
        <v>0.00123026450686892</v>
      </c>
      <c r="AC2118" s="150">
        <f t="shared" si="641"/>
        <v>0.00680412371134032</v>
      </c>
      <c r="AD2118" s="150">
        <f t="shared" si="644"/>
        <v>0.0103455410717981</v>
      </c>
      <c r="AE2118" s="89">
        <f t="shared" si="640"/>
        <v>0.0501075268817204</v>
      </c>
    </row>
    <row r="2119" spans="3:31">
      <c r="C2119" s="80" t="str" cm="1">
        <f t="array" ref="C2119">_xlfn.IFS(MONTH(D2119)&lt;4,1,MONTH(D2119)&lt;7,2,MONTH(D2119)&lt;10,3,MONTH(D2119)&gt;9,4)&amp;"Q"&amp;RIGHT(YEAR(D2119),2)</f>
        <v>3Q24</v>
      </c>
      <c r="D2119" s="81">
        <f t="shared" si="643"/>
        <v>45504</v>
      </c>
      <c r="E2119" s="82">
        <f t="shared" si="636"/>
        <v>45475</v>
      </c>
      <c r="F2119" s="83">
        <f t="shared" si="650"/>
        <v>0.219625</v>
      </c>
      <c r="G2119" s="83">
        <f t="shared" si="650"/>
        <v>0.2625</v>
      </c>
      <c r="H2119" s="81"/>
      <c r="I2119" s="146">
        <v>45475</v>
      </c>
      <c r="J2119" s="147">
        <v>2.05</v>
      </c>
      <c r="K2119" s="147">
        <v>1.65</v>
      </c>
      <c r="L2119" s="158">
        <v>1.757</v>
      </c>
      <c r="M2119" s="59" cm="1">
        <f t="array" ref="M2119">INDEX($BV$29:$BV$1449,MATCH($D2119,$BR$29:$BR$1449,0),)</f>
        <v>2.1</v>
      </c>
      <c r="N2119" s="150">
        <f t="shared" si="647"/>
        <v>0.00171037628278214</v>
      </c>
      <c r="O2119" s="150">
        <f t="shared" si="648"/>
        <v>0.0120967741935483</v>
      </c>
      <c r="P2119" s="150">
        <f t="shared" si="634"/>
        <v>0.0280866003510825</v>
      </c>
      <c r="Q2119" s="89">
        <f t="shared" si="637"/>
        <v>-0.163333333333333</v>
      </c>
      <c r="S2119" s="82">
        <f t="shared" si="638"/>
        <v>45475</v>
      </c>
      <c r="T2119" s="83">
        <f t="shared" si="651"/>
        <v>0.3051875</v>
      </c>
      <c r="U2119" s="83">
        <f t="shared" si="651"/>
        <v>0.290625</v>
      </c>
      <c r="W2119" s="146">
        <v>45475</v>
      </c>
      <c r="X2119" s="147">
        <v>5.68</v>
      </c>
      <c r="Y2119" s="147">
        <v>4.17</v>
      </c>
      <c r="Z2119" s="158">
        <v>4.883</v>
      </c>
      <c r="AA2119" s="59" cm="1">
        <f t="array" ref="AA2119">INDEX($BX$29:$BX$1449,MATCH($D2119,$BR$29:$BR$1449,0),)</f>
        <v>4.65</v>
      </c>
      <c r="AB2119" s="150">
        <f t="shared" si="639"/>
        <v>0</v>
      </c>
      <c r="AC2119" s="150">
        <f t="shared" si="641"/>
        <v>0.00328744606533804</v>
      </c>
      <c r="AD2119" s="150">
        <f t="shared" si="644"/>
        <v>0.0109730848861282</v>
      </c>
      <c r="AE2119" s="89">
        <f t="shared" si="640"/>
        <v>0.0501075268817204</v>
      </c>
    </row>
    <row r="2120" spans="3:31">
      <c r="C2120" s="80" t="str" cm="1">
        <f t="array" ref="C2120">_xlfn.IFS(MONTH(D2120)&lt;4,1,MONTH(D2120)&lt;7,2,MONTH(D2120)&lt;10,3,MONTH(D2120)&gt;9,4)&amp;"Q"&amp;RIGHT(YEAR(D2120),2)</f>
        <v>3Q24</v>
      </c>
      <c r="D2120" s="81">
        <f t="shared" si="643"/>
        <v>45504</v>
      </c>
      <c r="E2120" s="82">
        <f t="shared" si="636"/>
        <v>45476</v>
      </c>
      <c r="F2120" s="83">
        <f t="shared" si="650"/>
        <v>0.222125</v>
      </c>
      <c r="G2120" s="83">
        <f t="shared" si="650"/>
        <v>0.2625</v>
      </c>
      <c r="H2120" s="81"/>
      <c r="I2120" s="146">
        <v>45476</v>
      </c>
      <c r="J2120" s="147">
        <v>2.1</v>
      </c>
      <c r="K2120" s="147">
        <v>1.68</v>
      </c>
      <c r="L2120" s="158">
        <v>1.777</v>
      </c>
      <c r="M2120" s="59" cm="1">
        <f t="array" ref="M2120">INDEX($BV$29:$BV$1449,MATCH($D2120,$BR$29:$BR$1449,0),)</f>
        <v>2.1</v>
      </c>
      <c r="N2120" s="150">
        <f t="shared" si="647"/>
        <v>0.0113830392714855</v>
      </c>
      <c r="O2120" s="150">
        <f t="shared" si="648"/>
        <v>0.0189220183486238</v>
      </c>
      <c r="P2120" s="150">
        <f t="shared" si="634"/>
        <v>0.0397893504973668</v>
      </c>
      <c r="Q2120" s="89">
        <f t="shared" si="637"/>
        <v>-0.153809523809524</v>
      </c>
      <c r="S2120" s="82">
        <f t="shared" si="638"/>
        <v>45476</v>
      </c>
      <c r="T2120" s="83">
        <f t="shared" si="651"/>
        <v>0.306875</v>
      </c>
      <c r="U2120" s="83">
        <f t="shared" si="651"/>
        <v>0.290625</v>
      </c>
      <c r="W2120" s="146">
        <v>45476</v>
      </c>
      <c r="X2120" s="147">
        <v>5.7</v>
      </c>
      <c r="Y2120" s="147">
        <v>4.2</v>
      </c>
      <c r="Z2120" s="158">
        <v>4.91</v>
      </c>
      <c r="AA2120" s="59" cm="1">
        <f t="array" ref="AA2120">INDEX($BX$29:$BX$1449,MATCH($D2120,$BR$29:$BR$1449,0),)</f>
        <v>4.65</v>
      </c>
      <c r="AB2120" s="150">
        <f t="shared" si="639"/>
        <v>0.00552938767151345</v>
      </c>
      <c r="AC2120" s="150">
        <f t="shared" si="641"/>
        <v>0.00676645478777949</v>
      </c>
      <c r="AD2120" s="150">
        <f t="shared" si="644"/>
        <v>0.0171949451004765</v>
      </c>
      <c r="AE2120" s="89">
        <f t="shared" si="640"/>
        <v>0.0559139784946237</v>
      </c>
    </row>
    <row r="2121" spans="3:31">
      <c r="C2121" s="80" t="str" cm="1">
        <f t="array" ref="C2121">_xlfn.IFS(MONTH(D2121)&lt;4,1,MONTH(D2121)&lt;7,2,MONTH(D2121)&lt;10,3,MONTH(D2121)&gt;9,4)&amp;"Q"&amp;RIGHT(YEAR(D2121),2)</f>
        <v>3Q24</v>
      </c>
      <c r="D2121" s="81">
        <f t="shared" si="643"/>
        <v>45504</v>
      </c>
      <c r="E2121" s="82">
        <f t="shared" si="636"/>
        <v>45477</v>
      </c>
      <c r="F2121" s="83">
        <f t="shared" si="650"/>
        <v>0.224875</v>
      </c>
      <c r="G2121" s="83">
        <f t="shared" si="650"/>
        <v>0.2625</v>
      </c>
      <c r="H2121" s="81"/>
      <c r="I2121" s="146">
        <v>45477</v>
      </c>
      <c r="J2121" s="147">
        <v>2.1</v>
      </c>
      <c r="K2121" s="147">
        <v>1.68</v>
      </c>
      <c r="L2121" s="158">
        <v>1.799</v>
      </c>
      <c r="M2121" s="59" cm="1">
        <f t="array" ref="M2121">INDEX($BV$29:$BV$1449,MATCH($D2121,$BR$29:$BR$1449,0),)</f>
        <v>2.1</v>
      </c>
      <c r="N2121" s="150">
        <f t="shared" si="647"/>
        <v>0.012380416432189</v>
      </c>
      <c r="O2121" s="150">
        <f t="shared" si="648"/>
        <v>0.0303550973654065</v>
      </c>
      <c r="P2121" s="150">
        <f t="shared" si="634"/>
        <v>0.0545134818288393</v>
      </c>
      <c r="Q2121" s="89">
        <f t="shared" si="637"/>
        <v>-0.143333333333333</v>
      </c>
      <c r="S2121" s="82">
        <f t="shared" si="638"/>
        <v>45477</v>
      </c>
      <c r="T2121" s="83">
        <f t="shared" si="651"/>
        <v>0.3073125</v>
      </c>
      <c r="U2121" s="83">
        <f t="shared" si="651"/>
        <v>0.290625</v>
      </c>
      <c r="W2121" s="146">
        <v>45477</v>
      </c>
      <c r="X2121" s="147">
        <v>5.75</v>
      </c>
      <c r="Y2121" s="147">
        <v>4.2</v>
      </c>
      <c r="Z2121" s="158">
        <v>4.917</v>
      </c>
      <c r="AA2121" s="59" cm="1">
        <f t="array" ref="AA2121">INDEX($BX$29:$BX$1449,MATCH($D2121,$BR$29:$BR$1449,0),)</f>
        <v>4.65</v>
      </c>
      <c r="AB2121" s="150">
        <f t="shared" si="639"/>
        <v>0.00142566191446014</v>
      </c>
      <c r="AC2121" s="150">
        <f t="shared" si="641"/>
        <v>0.00820176337912648</v>
      </c>
      <c r="AD2121" s="150">
        <f t="shared" si="644"/>
        <v>0.0186451211932877</v>
      </c>
      <c r="AE2121" s="89">
        <f t="shared" si="640"/>
        <v>0.0574193548387096</v>
      </c>
    </row>
    <row r="2122" spans="3:31">
      <c r="C2122" s="80" t="str" cm="1">
        <f t="array" ref="C2122">_xlfn.IFS(MONTH(D2122)&lt;4,1,MONTH(D2122)&lt;7,2,MONTH(D2122)&lt;10,3,MONTH(D2122)&gt;9,4)&amp;"Q"&amp;RIGHT(YEAR(D2122),2)</f>
        <v>3Q24</v>
      </c>
      <c r="D2122" s="81">
        <f t="shared" si="643"/>
        <v>45504</v>
      </c>
      <c r="E2122" s="82">
        <f t="shared" si="636"/>
        <v>45478</v>
      </c>
      <c r="F2122" s="83">
        <f t="shared" ref="F2122:G2137" si="652">+L2122/8</f>
        <v>0.22625</v>
      </c>
      <c r="G2122" s="83">
        <f t="shared" si="652"/>
        <v>0.2625</v>
      </c>
      <c r="H2122" s="81"/>
      <c r="I2122" s="146">
        <v>45478</v>
      </c>
      <c r="J2122" s="147">
        <v>2.12</v>
      </c>
      <c r="K2122" s="147">
        <v>1.7</v>
      </c>
      <c r="L2122" s="158">
        <v>1.81</v>
      </c>
      <c r="M2122" s="59" cm="1">
        <f t="array" ref="M2122">INDEX($BV$29:$BV$1449,MATCH($D2122,$BR$29:$BR$1449,0),)</f>
        <v>2.1</v>
      </c>
      <c r="N2122" s="150">
        <f t="shared" si="647"/>
        <v>0.00611450806003333</v>
      </c>
      <c r="O2122" s="150">
        <f t="shared" si="648"/>
        <v>0.0354691075514875</v>
      </c>
      <c r="P2122" s="150">
        <f t="shared" si="634"/>
        <v>0.0517141196978501</v>
      </c>
      <c r="Q2122" s="89">
        <f t="shared" si="637"/>
        <v>-0.138095238095238</v>
      </c>
      <c r="S2122" s="82">
        <f t="shared" si="638"/>
        <v>45478</v>
      </c>
      <c r="T2122" s="83">
        <f t="shared" si="651"/>
        <v>0.3073125</v>
      </c>
      <c r="U2122" s="83">
        <f t="shared" si="651"/>
        <v>0.290625</v>
      </c>
      <c r="W2122" s="146">
        <v>45478</v>
      </c>
      <c r="X2122" s="147">
        <v>5.75</v>
      </c>
      <c r="Y2122" s="147">
        <v>4.2</v>
      </c>
      <c r="Z2122" s="158">
        <v>4.917</v>
      </c>
      <c r="AA2122" s="59" cm="1">
        <f t="array" ref="AA2122">INDEX($BX$29:$BX$1449,MATCH($D2122,$BR$29:$BR$1449,0),)</f>
        <v>4.65</v>
      </c>
      <c r="AB2122" s="150">
        <f t="shared" si="639"/>
        <v>0</v>
      </c>
      <c r="AC2122" s="150">
        <f t="shared" si="641"/>
        <v>0.00820176337912648</v>
      </c>
      <c r="AD2122" s="150">
        <f t="shared" si="644"/>
        <v>0.0138144329896908</v>
      </c>
      <c r="AE2122" s="89">
        <f t="shared" si="640"/>
        <v>0.0574193548387096</v>
      </c>
    </row>
    <row r="2123" spans="3:31">
      <c r="C2123" s="80" t="str" cm="1">
        <f t="array" ref="C2123">_xlfn.IFS(MONTH(D2123)&lt;4,1,MONTH(D2123)&lt;7,2,MONTH(D2123)&lt;10,3,MONTH(D2123)&gt;9,4)&amp;"Q"&amp;RIGHT(YEAR(D2123),2)</f>
        <v>3Q24</v>
      </c>
      <c r="D2123" s="81">
        <f t="shared" si="643"/>
        <v>45504</v>
      </c>
      <c r="E2123" s="82">
        <f t="shared" si="636"/>
        <v>45481</v>
      </c>
      <c r="F2123" s="83">
        <f t="shared" si="652"/>
        <v>0.22725</v>
      </c>
      <c r="G2123" s="83">
        <f t="shared" si="652"/>
        <v>0.2625</v>
      </c>
      <c r="H2123" s="81"/>
      <c r="I2123" s="146">
        <v>45481</v>
      </c>
      <c r="J2123" s="147">
        <v>2.12</v>
      </c>
      <c r="K2123" s="147">
        <v>1.7</v>
      </c>
      <c r="L2123" s="158">
        <v>1.818</v>
      </c>
      <c r="M2123" s="59" cm="1">
        <f t="array" ref="M2123">INDEX($BV$29:$BV$1449,MATCH($D2123,$BR$29:$BR$1449,0),)</f>
        <v>2.1</v>
      </c>
      <c r="N2123" s="150">
        <f t="shared" si="647"/>
        <v>0.00441988950276251</v>
      </c>
      <c r="O2123" s="150">
        <f t="shared" si="648"/>
        <v>0.0364880273660206</v>
      </c>
      <c r="P2123" s="150">
        <f t="shared" si="634"/>
        <v>0.0496535796766744</v>
      </c>
      <c r="Q2123" s="89">
        <f t="shared" si="637"/>
        <v>-0.134285714285714</v>
      </c>
      <c r="S2123" s="82">
        <f t="shared" si="638"/>
        <v>45481</v>
      </c>
      <c r="T2123" s="83">
        <f t="shared" si="651"/>
        <v>0.3073125</v>
      </c>
      <c r="U2123" s="83">
        <f t="shared" si="651"/>
        <v>0.290625</v>
      </c>
      <c r="W2123" s="146">
        <v>45481</v>
      </c>
      <c r="X2123" s="147">
        <v>5.75</v>
      </c>
      <c r="Y2123" s="147">
        <v>4.2</v>
      </c>
      <c r="Z2123" s="158">
        <v>4.917</v>
      </c>
      <c r="AA2123" s="59" cm="1">
        <f t="array" ref="AA2123">INDEX($BX$29:$BX$1449,MATCH($D2123,$BR$29:$BR$1449,0),)</f>
        <v>4.65</v>
      </c>
      <c r="AB2123" s="150">
        <f t="shared" si="639"/>
        <v>0</v>
      </c>
      <c r="AC2123" s="150">
        <f t="shared" si="641"/>
        <v>0.00696293262338732</v>
      </c>
      <c r="AD2123" s="150">
        <f t="shared" si="644"/>
        <v>0.0138144329896908</v>
      </c>
      <c r="AE2123" s="89">
        <f t="shared" si="640"/>
        <v>0.0574193548387096</v>
      </c>
    </row>
    <row r="2124" spans="3:31">
      <c r="C2124" s="80" t="str" cm="1">
        <f t="array" ref="C2124">_xlfn.IFS(MONTH(D2124)&lt;4,1,MONTH(D2124)&lt;7,2,MONTH(D2124)&lt;10,3,MONTH(D2124)&gt;9,4)&amp;"Q"&amp;RIGHT(YEAR(D2124),2)</f>
        <v>3Q24</v>
      </c>
      <c r="D2124" s="81">
        <f t="shared" si="643"/>
        <v>45504</v>
      </c>
      <c r="E2124" s="82">
        <f t="shared" si="636"/>
        <v>45482</v>
      </c>
      <c r="F2124" s="83">
        <f t="shared" si="652"/>
        <v>0.22725</v>
      </c>
      <c r="G2124" s="83">
        <f t="shared" si="652"/>
        <v>0.2625</v>
      </c>
      <c r="H2124" s="81"/>
      <c r="I2124" s="146">
        <v>45482</v>
      </c>
      <c r="J2124" s="147">
        <v>2.14</v>
      </c>
      <c r="K2124" s="147">
        <v>1.71</v>
      </c>
      <c r="L2124" s="158">
        <v>1.818</v>
      </c>
      <c r="M2124" s="59" cm="1">
        <f t="array" ref="M2124">INDEX($BV$29:$BV$1449,MATCH($D2124,$BR$29:$BR$1449,0),)</f>
        <v>2.1</v>
      </c>
      <c r="N2124" s="150">
        <f t="shared" si="647"/>
        <v>0</v>
      </c>
      <c r="O2124" s="150">
        <f t="shared" si="648"/>
        <v>0.0347182697780308</v>
      </c>
      <c r="P2124" s="150">
        <f t="shared" si="634"/>
        <v>0.0472350230414746</v>
      </c>
      <c r="Q2124" s="89">
        <f t="shared" si="637"/>
        <v>-0.134285714285714</v>
      </c>
      <c r="S2124" s="82">
        <f t="shared" si="638"/>
        <v>45482</v>
      </c>
      <c r="T2124" s="83">
        <f t="shared" si="651"/>
        <v>0.30875</v>
      </c>
      <c r="U2124" s="83">
        <f t="shared" si="651"/>
        <v>0.290625</v>
      </c>
      <c r="W2124" s="146">
        <v>45482</v>
      </c>
      <c r="X2124" s="147">
        <v>5.8</v>
      </c>
      <c r="Y2124" s="147">
        <v>4.22</v>
      </c>
      <c r="Z2124" s="158">
        <v>4.94</v>
      </c>
      <c r="AA2124" s="59" cm="1">
        <f t="array" ref="AA2124">INDEX($BX$29:$BX$1449,MATCH($D2124,$BR$29:$BR$1449,0),)</f>
        <v>4.65</v>
      </c>
      <c r="AB2124" s="150">
        <f t="shared" si="639"/>
        <v>0.0046776489729512</v>
      </c>
      <c r="AC2124" s="150">
        <f t="shared" si="641"/>
        <v>0.0116731517509729</v>
      </c>
      <c r="AD2124" s="150">
        <f t="shared" si="644"/>
        <v>0.0149989726731046</v>
      </c>
      <c r="AE2124" s="89">
        <f t="shared" si="640"/>
        <v>0.0623655913978494</v>
      </c>
    </row>
    <row r="2125" spans="3:31">
      <c r="C2125" s="80" t="str" cm="1">
        <f t="array" ref="C2125">_xlfn.IFS(MONTH(D2125)&lt;4,1,MONTH(D2125)&lt;7,2,MONTH(D2125)&lt;10,3,MONTH(D2125)&gt;9,4)&amp;"Q"&amp;RIGHT(YEAR(D2125),2)</f>
        <v>3Q24</v>
      </c>
      <c r="D2125" s="81">
        <f t="shared" si="643"/>
        <v>45504</v>
      </c>
      <c r="E2125" s="82">
        <f t="shared" si="636"/>
        <v>45483</v>
      </c>
      <c r="F2125" s="83">
        <f t="shared" si="652"/>
        <v>0.227875</v>
      </c>
      <c r="G2125" s="83">
        <f t="shared" si="652"/>
        <v>0.2625</v>
      </c>
      <c r="H2125" s="81"/>
      <c r="I2125" s="146">
        <v>45483</v>
      </c>
      <c r="J2125" s="147">
        <v>2.2</v>
      </c>
      <c r="K2125" s="147">
        <v>1.71</v>
      </c>
      <c r="L2125" s="158">
        <v>1.823</v>
      </c>
      <c r="M2125" s="59" cm="1">
        <f t="array" ref="M2125">INDEX($BV$29:$BV$1449,MATCH($D2125,$BR$29:$BR$1449,0),)</f>
        <v>2.1</v>
      </c>
      <c r="N2125" s="150">
        <f t="shared" si="647"/>
        <v>0.0027502750275028</v>
      </c>
      <c r="O2125" s="150">
        <f t="shared" si="648"/>
        <v>0.0258863252673045</v>
      </c>
      <c r="P2125" s="150">
        <f t="shared" si="634"/>
        <v>0.0452981651376148</v>
      </c>
      <c r="Q2125" s="89">
        <f t="shared" si="637"/>
        <v>-0.131904761904762</v>
      </c>
      <c r="S2125" s="82">
        <f t="shared" si="638"/>
        <v>45483</v>
      </c>
      <c r="T2125" s="83">
        <f t="shared" si="651"/>
        <v>0.3101875</v>
      </c>
      <c r="U2125" s="83">
        <f t="shared" si="651"/>
        <v>0.290625</v>
      </c>
      <c r="W2125" s="146">
        <v>45483</v>
      </c>
      <c r="X2125" s="147">
        <v>5.8</v>
      </c>
      <c r="Y2125" s="147">
        <v>4.25</v>
      </c>
      <c r="Z2125" s="158">
        <v>4.963</v>
      </c>
      <c r="AA2125" s="59" cm="1">
        <f t="array" ref="AA2125">INDEX($BX$29:$BX$1449,MATCH($D2125,$BR$29:$BR$1449,0),)</f>
        <v>4.65</v>
      </c>
      <c r="AB2125" s="150">
        <f t="shared" si="639"/>
        <v>0.0046558704453441</v>
      </c>
      <c r="AC2125" s="150">
        <f t="shared" si="641"/>
        <v>0.0107942973523421</v>
      </c>
      <c r="AD2125" s="150">
        <f t="shared" si="644"/>
        <v>0.0176337912651221</v>
      </c>
      <c r="AE2125" s="89">
        <f t="shared" si="640"/>
        <v>0.0673118279569891</v>
      </c>
    </row>
    <row r="2126" spans="3:31">
      <c r="C2126" s="80" t="str" cm="1">
        <f t="array" ref="C2126">_xlfn.IFS(MONTH(D2126)&lt;4,1,MONTH(D2126)&lt;7,2,MONTH(D2126)&lt;10,3,MONTH(D2126)&gt;9,4)&amp;"Q"&amp;RIGHT(YEAR(D2126),2)</f>
        <v>3Q24</v>
      </c>
      <c r="D2126" s="81">
        <f t="shared" si="643"/>
        <v>45504</v>
      </c>
      <c r="E2126" s="82">
        <f t="shared" si="636"/>
        <v>45484</v>
      </c>
      <c r="F2126" s="83">
        <f t="shared" si="652"/>
        <v>0.22875</v>
      </c>
      <c r="G2126" s="83">
        <f t="shared" si="652"/>
        <v>0.2625</v>
      </c>
      <c r="H2126" s="81"/>
      <c r="I2126" s="146">
        <v>45484</v>
      </c>
      <c r="J2126" s="147">
        <v>2.2</v>
      </c>
      <c r="K2126" s="147">
        <v>1.7</v>
      </c>
      <c r="L2126" s="158">
        <v>1.83</v>
      </c>
      <c r="M2126" s="59" cm="1">
        <f t="array" ref="M2126">INDEX($BV$29:$BV$1449,MATCH($D2126,$BR$29:$BR$1449,0),)</f>
        <v>2.1</v>
      </c>
      <c r="N2126" s="150">
        <f t="shared" si="647"/>
        <v>0.0038398244651674</v>
      </c>
      <c r="O2126" s="150">
        <f t="shared" si="648"/>
        <v>0.0172317954419123</v>
      </c>
      <c r="P2126" s="150">
        <f t="shared" si="634"/>
        <v>0.0481099656357389</v>
      </c>
      <c r="Q2126" s="89">
        <f t="shared" si="637"/>
        <v>-0.128571428571429</v>
      </c>
      <c r="S2126" s="82">
        <f t="shared" si="638"/>
        <v>45484</v>
      </c>
      <c r="T2126" s="83">
        <f t="shared" si="651"/>
        <v>0.3104375</v>
      </c>
      <c r="U2126" s="83">
        <f t="shared" si="651"/>
        <v>0.290625</v>
      </c>
      <c r="W2126" s="146">
        <v>45484</v>
      </c>
      <c r="X2126" s="147">
        <v>5.8</v>
      </c>
      <c r="Y2126" s="147">
        <v>4.25</v>
      </c>
      <c r="Z2126" s="158">
        <v>4.967</v>
      </c>
      <c r="AA2126" s="59" cm="1">
        <f t="array" ref="AA2126">INDEX($BX$29:$BX$1449,MATCH($D2126,$BR$29:$BR$1449,0),)</f>
        <v>4.65</v>
      </c>
      <c r="AB2126" s="150">
        <f t="shared" si="639"/>
        <v>0.000805964134595882</v>
      </c>
      <c r="AC2126" s="150">
        <f t="shared" si="641"/>
        <v>0.0101688021151107</v>
      </c>
      <c r="AD2126" s="150">
        <f t="shared" si="644"/>
        <v>0.0184539676030346</v>
      </c>
      <c r="AE2126" s="89">
        <f t="shared" si="640"/>
        <v>0.0681720430107526</v>
      </c>
    </row>
    <row r="2127" spans="3:31">
      <c r="C2127" s="80" t="str" cm="1">
        <f t="array" ref="C2127">_xlfn.IFS(MONTH(D2127)&lt;4,1,MONTH(D2127)&lt;7,2,MONTH(D2127)&lt;10,3,MONTH(D2127)&gt;9,4)&amp;"Q"&amp;RIGHT(YEAR(D2127),2)</f>
        <v>3Q24</v>
      </c>
      <c r="D2127" s="81">
        <f t="shared" si="643"/>
        <v>45504</v>
      </c>
      <c r="E2127" s="82">
        <f t="shared" si="636"/>
        <v>45485</v>
      </c>
      <c r="F2127" s="83">
        <f t="shared" si="652"/>
        <v>0.22875</v>
      </c>
      <c r="G2127" s="83">
        <f t="shared" si="652"/>
        <v>0.2625</v>
      </c>
      <c r="H2127" s="81"/>
      <c r="I2127" s="146">
        <v>45485</v>
      </c>
      <c r="J2127" s="147">
        <v>2.2</v>
      </c>
      <c r="K2127" s="147">
        <v>1.7</v>
      </c>
      <c r="L2127" s="158">
        <v>1.83</v>
      </c>
      <c r="M2127" s="59" cm="1">
        <f t="array" ref="M2127">INDEX($BV$29:$BV$1449,MATCH($D2127,$BR$29:$BR$1449,0),)</f>
        <v>2.1</v>
      </c>
      <c r="N2127" s="150">
        <f t="shared" si="647"/>
        <v>0</v>
      </c>
      <c r="O2127" s="150">
        <f t="shared" si="648"/>
        <v>0.011049723756906</v>
      </c>
      <c r="P2127" s="150">
        <f t="shared" ref="P2127:P2190" si="653">L2127/L2117-1</f>
        <v>0.0469107551487415</v>
      </c>
      <c r="Q2127" s="89">
        <f t="shared" si="637"/>
        <v>-0.128571428571429</v>
      </c>
      <c r="S2127" s="82">
        <f t="shared" si="638"/>
        <v>45485</v>
      </c>
      <c r="T2127" s="83">
        <f t="shared" si="651"/>
        <v>0.310625</v>
      </c>
      <c r="U2127" s="83">
        <f t="shared" si="651"/>
        <v>0.290625</v>
      </c>
      <c r="W2127" s="146">
        <v>45485</v>
      </c>
      <c r="X2127" s="147">
        <v>5.8</v>
      </c>
      <c r="Y2127" s="147">
        <v>4.25</v>
      </c>
      <c r="Z2127" s="158">
        <v>4.97</v>
      </c>
      <c r="AA2127" s="59" cm="1">
        <f t="array" ref="AA2127">INDEX($BX$29:$BX$1449,MATCH($D2127,$BR$29:$BR$1449,0),)</f>
        <v>4.65</v>
      </c>
      <c r="AB2127" s="150">
        <f t="shared" si="639"/>
        <v>0.000603986309643645</v>
      </c>
      <c r="AC2127" s="150">
        <f t="shared" si="641"/>
        <v>0.0107789302420174</v>
      </c>
      <c r="AD2127" s="150">
        <f t="shared" si="644"/>
        <v>0.0190690998564691</v>
      </c>
      <c r="AE2127" s="89">
        <f t="shared" si="640"/>
        <v>0.0688172043010751</v>
      </c>
    </row>
    <row r="2128" spans="3:31">
      <c r="C2128" s="80" t="str" cm="1">
        <f t="array" ref="C2128">_xlfn.IFS(MONTH(D2128)&lt;4,1,MONTH(D2128)&lt;7,2,MONTH(D2128)&lt;10,3,MONTH(D2128)&gt;9,4)&amp;"Q"&amp;RIGHT(YEAR(D2128),2)</f>
        <v>3Q24</v>
      </c>
      <c r="D2128" s="81">
        <f t="shared" si="643"/>
        <v>45504</v>
      </c>
      <c r="E2128" s="82">
        <f t="shared" si="636"/>
        <v>45488</v>
      </c>
      <c r="F2128" s="83">
        <f t="shared" si="652"/>
        <v>0.22875</v>
      </c>
      <c r="G2128" s="83">
        <f t="shared" si="652"/>
        <v>0.2625</v>
      </c>
      <c r="H2128" s="81"/>
      <c r="I2128" s="146">
        <v>45488</v>
      </c>
      <c r="J2128" s="147">
        <v>2.2</v>
      </c>
      <c r="K2128" s="147">
        <v>1.71</v>
      </c>
      <c r="L2128" s="158">
        <v>1.83</v>
      </c>
      <c r="M2128" s="59" cm="1">
        <f t="array" ref="M2128">INDEX($BV$29:$BV$1449,MATCH($D2128,$BR$29:$BR$1449,0),)</f>
        <v>2.1</v>
      </c>
      <c r="N2128" s="150">
        <f t="shared" si="647"/>
        <v>0</v>
      </c>
      <c r="O2128" s="150">
        <f t="shared" si="648"/>
        <v>0.00660066006600668</v>
      </c>
      <c r="P2128" s="150">
        <f t="shared" si="653"/>
        <v>0.0433295324971494</v>
      </c>
      <c r="Q2128" s="89">
        <f t="shared" si="637"/>
        <v>-0.128571428571429</v>
      </c>
      <c r="S2128" s="82">
        <f t="shared" si="638"/>
        <v>45488</v>
      </c>
      <c r="T2128" s="83">
        <f t="shared" ref="T2128:U2143" si="654">+Z2128/16</f>
        <v>0.3114375</v>
      </c>
      <c r="U2128" s="83">
        <f t="shared" si="654"/>
        <v>0.290625</v>
      </c>
      <c r="W2128" s="146">
        <v>45488</v>
      </c>
      <c r="X2128" s="147">
        <v>5.85</v>
      </c>
      <c r="Y2128" s="147">
        <v>4.24</v>
      </c>
      <c r="Z2128" s="158">
        <v>4.983</v>
      </c>
      <c r="AA2128" s="59" cm="1">
        <f t="array" ref="AA2128">INDEX($BX$29:$BX$1449,MATCH($D2128,$BR$29:$BR$1449,0),)</f>
        <v>4.65</v>
      </c>
      <c r="AB2128" s="150">
        <f t="shared" si="639"/>
        <v>0.00261569416498997</v>
      </c>
      <c r="AC2128" s="150">
        <f t="shared" si="641"/>
        <v>0.0134228187919463</v>
      </c>
      <c r="AD2128" s="150">
        <f t="shared" si="644"/>
        <v>0.0204792135981977</v>
      </c>
      <c r="AE2128" s="89">
        <f t="shared" si="640"/>
        <v>0.0716129032258064</v>
      </c>
    </row>
    <row r="2129" spans="3:31">
      <c r="C2129" s="80" t="str" cm="1">
        <f t="array" ref="C2129">_xlfn.IFS(MONTH(D2129)&lt;4,1,MONTH(D2129)&lt;7,2,MONTH(D2129)&lt;10,3,MONTH(D2129)&gt;9,4)&amp;"Q"&amp;RIGHT(YEAR(D2129),2)</f>
        <v>3Q24</v>
      </c>
      <c r="D2129" s="81">
        <f t="shared" si="643"/>
        <v>45504</v>
      </c>
      <c r="E2129" s="82">
        <f t="shared" ref="E2129:E2192" si="655">I2129</f>
        <v>45489</v>
      </c>
      <c r="F2129" s="83">
        <f t="shared" si="652"/>
        <v>0.22875</v>
      </c>
      <c r="G2129" s="83">
        <f t="shared" si="652"/>
        <v>0.2625</v>
      </c>
      <c r="H2129" s="81"/>
      <c r="I2129" s="146">
        <v>45489</v>
      </c>
      <c r="J2129" s="147">
        <v>2.2</v>
      </c>
      <c r="K2129" s="147">
        <v>1.71</v>
      </c>
      <c r="L2129" s="158">
        <v>1.83</v>
      </c>
      <c r="M2129" s="59" cm="1">
        <f t="array" ref="M2129">INDEX($BV$29:$BV$1449,MATCH($D2129,$BR$29:$BR$1449,0),)</f>
        <v>2.1</v>
      </c>
      <c r="N2129" s="150">
        <f t="shared" si="647"/>
        <v>0</v>
      </c>
      <c r="O2129" s="150">
        <f t="shared" si="648"/>
        <v>0.00660066006600668</v>
      </c>
      <c r="P2129" s="150">
        <f t="shared" si="653"/>
        <v>0.041548093340922</v>
      </c>
      <c r="Q2129" s="89">
        <f t="shared" ref="Q2129:Q2192" si="656">L2129/M2129-1</f>
        <v>-0.128571428571429</v>
      </c>
      <c r="S2129" s="82">
        <f t="shared" si="638"/>
        <v>45489</v>
      </c>
      <c r="T2129" s="83">
        <f t="shared" si="654"/>
        <v>0.311875</v>
      </c>
      <c r="U2129" s="83">
        <f t="shared" si="654"/>
        <v>0.290625</v>
      </c>
      <c r="W2129" s="146">
        <v>45489</v>
      </c>
      <c r="X2129" s="147">
        <v>5.85</v>
      </c>
      <c r="Y2129" s="147">
        <v>4.24</v>
      </c>
      <c r="Z2129" s="158">
        <v>4.99</v>
      </c>
      <c r="AA2129" s="59" cm="1">
        <f t="array" ref="AA2129">INDEX($BX$29:$BX$1449,MATCH($D2129,$BR$29:$BR$1449,0),)</f>
        <v>4.65</v>
      </c>
      <c r="AB2129" s="150">
        <f t="shared" si="639"/>
        <v>0.00140477623921353</v>
      </c>
      <c r="AC2129" s="150">
        <f t="shared" si="641"/>
        <v>0.0101214574898785</v>
      </c>
      <c r="AD2129" s="150">
        <f t="shared" si="644"/>
        <v>0.0219127585500718</v>
      </c>
      <c r="AE2129" s="89">
        <f t="shared" si="640"/>
        <v>0.0731182795698924</v>
      </c>
    </row>
    <row r="2130" spans="3:31">
      <c r="C2130" s="80" t="str" cm="1">
        <f t="array" ref="C2130">_xlfn.IFS(MONTH(D2130)&lt;4,1,MONTH(D2130)&lt;7,2,MONTH(D2130)&lt;10,3,MONTH(D2130)&gt;9,4)&amp;"Q"&amp;RIGHT(YEAR(D2130),2)</f>
        <v>3Q24</v>
      </c>
      <c r="D2130" s="81">
        <f t="shared" si="643"/>
        <v>45504</v>
      </c>
      <c r="E2130" s="82">
        <f t="shared" si="655"/>
        <v>45490</v>
      </c>
      <c r="F2130" s="83">
        <f t="shared" si="652"/>
        <v>0.228875</v>
      </c>
      <c r="G2130" s="83">
        <f t="shared" si="652"/>
        <v>0.2625</v>
      </c>
      <c r="H2130" s="81"/>
      <c r="I2130" s="146">
        <v>45490</v>
      </c>
      <c r="J2130" s="147">
        <v>2.2</v>
      </c>
      <c r="K2130" s="147">
        <v>1.71</v>
      </c>
      <c r="L2130" s="158">
        <v>1.831</v>
      </c>
      <c r="M2130" s="59" cm="1">
        <f t="array" ref="M2130">INDEX($BV$29:$BV$1449,MATCH($D2130,$BR$29:$BR$1449,0),)</f>
        <v>2.1</v>
      </c>
      <c r="N2130" s="150">
        <f t="shared" si="647"/>
        <v>0.000546448087431539</v>
      </c>
      <c r="O2130" s="150">
        <f t="shared" si="648"/>
        <v>0.00438837081733401</v>
      </c>
      <c r="P2130" s="150">
        <f t="shared" si="653"/>
        <v>0.0303882948790095</v>
      </c>
      <c r="Q2130" s="89">
        <f t="shared" si="656"/>
        <v>-0.128095238095238</v>
      </c>
      <c r="S2130" s="82">
        <f t="shared" si="638"/>
        <v>45490</v>
      </c>
      <c r="T2130" s="83">
        <f t="shared" si="654"/>
        <v>0.311875</v>
      </c>
      <c r="U2130" s="83">
        <f t="shared" si="654"/>
        <v>0.290625</v>
      </c>
      <c r="W2130" s="146">
        <v>45490</v>
      </c>
      <c r="X2130" s="147">
        <v>5.85</v>
      </c>
      <c r="Y2130" s="147">
        <v>4.24</v>
      </c>
      <c r="Z2130" s="158">
        <v>4.99</v>
      </c>
      <c r="AA2130" s="59" cm="1">
        <f t="array" ref="AA2130">INDEX($BX$29:$BX$1449,MATCH($D2130,$BR$29:$BR$1449,0),)</f>
        <v>4.65</v>
      </c>
      <c r="AB2130" s="150">
        <f t="shared" si="639"/>
        <v>0</v>
      </c>
      <c r="AC2130" s="150">
        <f t="shared" si="641"/>
        <v>0.00544025790852309</v>
      </c>
      <c r="AD2130" s="150">
        <f t="shared" si="644"/>
        <v>0.0162932790224033</v>
      </c>
      <c r="AE2130" s="89">
        <f t="shared" si="640"/>
        <v>0.0731182795698924</v>
      </c>
    </row>
    <row r="2131" spans="3:31">
      <c r="C2131" s="80" t="str" cm="1">
        <f t="array" ref="C2131">_xlfn.IFS(MONTH(D2131)&lt;4,1,MONTH(D2131)&lt;7,2,MONTH(D2131)&lt;10,3,MONTH(D2131)&gt;9,4)&amp;"Q"&amp;RIGHT(YEAR(D2131),2)</f>
        <v>3Q24</v>
      </c>
      <c r="D2131" s="81">
        <f t="shared" si="643"/>
        <v>45504</v>
      </c>
      <c r="E2131" s="82">
        <f t="shared" si="655"/>
        <v>45491</v>
      </c>
      <c r="F2131" s="83">
        <f t="shared" si="652"/>
        <v>0.228875</v>
      </c>
      <c r="G2131" s="83">
        <f t="shared" si="652"/>
        <v>0.2625</v>
      </c>
      <c r="H2131" s="81"/>
      <c r="I2131" s="146">
        <v>45491</v>
      </c>
      <c r="J2131" s="147">
        <v>2.2</v>
      </c>
      <c r="K2131" s="147">
        <v>1.72</v>
      </c>
      <c r="L2131" s="158">
        <v>1.831</v>
      </c>
      <c r="M2131" s="59" cm="1">
        <f t="array" ref="M2131">INDEX($BV$29:$BV$1449,MATCH($D2131,$BR$29:$BR$1449,0),)</f>
        <v>2.1</v>
      </c>
      <c r="N2131" s="150">
        <f t="shared" si="647"/>
        <v>0</v>
      </c>
      <c r="O2131" s="150">
        <f t="shared" si="648"/>
        <v>0.000546448087431539</v>
      </c>
      <c r="P2131" s="150">
        <f t="shared" si="653"/>
        <v>0.0177876598110061</v>
      </c>
      <c r="Q2131" s="89">
        <f t="shared" si="656"/>
        <v>-0.128095238095238</v>
      </c>
      <c r="S2131" s="82">
        <f t="shared" si="638"/>
        <v>45491</v>
      </c>
      <c r="T2131" s="83">
        <f t="shared" si="654"/>
        <v>0.313125</v>
      </c>
      <c r="U2131" s="83">
        <f t="shared" si="654"/>
        <v>0.290625</v>
      </c>
      <c r="W2131" s="146">
        <v>45491</v>
      </c>
      <c r="X2131" s="147">
        <v>5.9</v>
      </c>
      <c r="Y2131" s="147">
        <v>4.26</v>
      </c>
      <c r="Z2131" s="158">
        <v>5.01</v>
      </c>
      <c r="AA2131" s="59" cm="1">
        <f t="array" ref="AA2131">INDEX($BX$29:$BX$1449,MATCH($D2131,$BR$29:$BR$1449,0),)</f>
        <v>4.65</v>
      </c>
      <c r="AB2131" s="150">
        <f t="shared" si="639"/>
        <v>0.00400801603206413</v>
      </c>
      <c r="AC2131" s="150">
        <f t="shared" si="641"/>
        <v>0.00865713710489224</v>
      </c>
      <c r="AD2131" s="150">
        <f t="shared" si="644"/>
        <v>0.0189139719341063</v>
      </c>
      <c r="AE2131" s="89">
        <f t="shared" si="640"/>
        <v>0.0774193548387097</v>
      </c>
    </row>
    <row r="2132" spans="3:31">
      <c r="C2132" s="80" t="str" cm="1">
        <f t="array" ref="C2132">_xlfn.IFS(MONTH(D2132)&lt;4,1,MONTH(D2132)&lt;7,2,MONTH(D2132)&lt;10,3,MONTH(D2132)&gt;9,4)&amp;"Q"&amp;RIGHT(YEAR(D2132),2)</f>
        <v>3Q24</v>
      </c>
      <c r="D2132" s="81">
        <f t="shared" si="643"/>
        <v>45504</v>
      </c>
      <c r="E2132" s="82">
        <f t="shared" si="655"/>
        <v>45492</v>
      </c>
      <c r="F2132" s="83">
        <f t="shared" si="652"/>
        <v>0.229125</v>
      </c>
      <c r="G2132" s="83">
        <f t="shared" si="652"/>
        <v>0.2625</v>
      </c>
      <c r="H2132" s="81"/>
      <c r="I2132" s="146">
        <v>45492</v>
      </c>
      <c r="J2132" s="147">
        <v>2.2</v>
      </c>
      <c r="K2132" s="147">
        <v>1.72</v>
      </c>
      <c r="L2132" s="158">
        <v>1.833</v>
      </c>
      <c r="M2132" s="59" cm="1">
        <f t="array" ref="M2132">INDEX($BV$29:$BV$1449,MATCH($D2132,$BR$29:$BR$1449,0),)</f>
        <v>2.1</v>
      </c>
      <c r="N2132" s="150">
        <f t="shared" si="647"/>
        <v>0.00109229929000554</v>
      </c>
      <c r="O2132" s="150">
        <f t="shared" si="648"/>
        <v>0.00163934426229506</v>
      </c>
      <c r="P2132" s="150">
        <f t="shared" si="653"/>
        <v>0.0127071823204419</v>
      </c>
      <c r="Q2132" s="89">
        <f t="shared" si="656"/>
        <v>-0.127142857142857</v>
      </c>
      <c r="S2132" s="82">
        <f t="shared" ref="S2132:S2195" si="657">W2132</f>
        <v>45492</v>
      </c>
      <c r="T2132" s="83">
        <f t="shared" si="654"/>
        <v>0.3145625</v>
      </c>
      <c r="U2132" s="83">
        <f t="shared" si="654"/>
        <v>0.290625</v>
      </c>
      <c r="W2132" s="146">
        <v>45492</v>
      </c>
      <c r="X2132" s="147">
        <v>5.95</v>
      </c>
      <c r="Y2132" s="147">
        <v>4.26</v>
      </c>
      <c r="Z2132" s="158">
        <v>5.033</v>
      </c>
      <c r="AA2132" s="59" cm="1">
        <f t="array" ref="AA2132">INDEX($BX$29:$BX$1449,MATCH($D2132,$BR$29:$BR$1449,0),)</f>
        <v>4.65</v>
      </c>
      <c r="AB2132" s="150">
        <f t="shared" si="639"/>
        <v>0.00459081836327346</v>
      </c>
      <c r="AC2132" s="150">
        <f t="shared" si="641"/>
        <v>0.0126760563380284</v>
      </c>
      <c r="AD2132" s="150">
        <f t="shared" si="644"/>
        <v>0.0235916209070572</v>
      </c>
      <c r="AE2132" s="89">
        <f t="shared" si="640"/>
        <v>0.0823655913978494</v>
      </c>
    </row>
    <row r="2133" spans="3:31">
      <c r="C2133" s="80" t="str" cm="1">
        <f t="array" ref="C2133">_xlfn.IFS(MONTH(D2133)&lt;4,1,MONTH(D2133)&lt;7,2,MONTH(D2133)&lt;10,3,MONTH(D2133)&gt;9,4)&amp;"Q"&amp;RIGHT(YEAR(D2133),2)</f>
        <v>3Q24</v>
      </c>
      <c r="D2133" s="81">
        <f t="shared" si="643"/>
        <v>45504</v>
      </c>
      <c r="E2133" s="82">
        <f t="shared" si="655"/>
        <v>45495</v>
      </c>
      <c r="F2133" s="83">
        <f t="shared" si="652"/>
        <v>0.229125</v>
      </c>
      <c r="G2133" s="83">
        <f t="shared" si="652"/>
        <v>0.2625</v>
      </c>
      <c r="H2133" s="81"/>
      <c r="I2133" s="146">
        <v>45495</v>
      </c>
      <c r="J2133" s="147">
        <v>2.2</v>
      </c>
      <c r="K2133" s="147">
        <v>1.71</v>
      </c>
      <c r="L2133" s="158">
        <v>1.833</v>
      </c>
      <c r="M2133" s="59" cm="1">
        <f t="array" ref="M2133">INDEX($BV$29:$BV$1449,MATCH($D2133,$BR$29:$BR$1449,0),)</f>
        <v>2.1</v>
      </c>
      <c r="N2133" s="150">
        <f t="shared" si="647"/>
        <v>0</v>
      </c>
      <c r="O2133" s="150">
        <f t="shared" si="648"/>
        <v>0.00163934426229506</v>
      </c>
      <c r="P2133" s="150">
        <f t="shared" si="653"/>
        <v>0.00825082508250818</v>
      </c>
      <c r="Q2133" s="89">
        <f t="shared" si="656"/>
        <v>-0.127142857142857</v>
      </c>
      <c r="S2133" s="82">
        <f t="shared" si="657"/>
        <v>45495</v>
      </c>
      <c r="T2133" s="83">
        <f t="shared" si="654"/>
        <v>0.315625</v>
      </c>
      <c r="U2133" s="83">
        <f t="shared" si="654"/>
        <v>0.290625</v>
      </c>
      <c r="W2133" s="146">
        <v>45495</v>
      </c>
      <c r="X2133" s="147">
        <v>6</v>
      </c>
      <c r="Y2133" s="147">
        <v>4.27</v>
      </c>
      <c r="Z2133" s="158">
        <v>5.05</v>
      </c>
      <c r="AA2133" s="59" cm="1">
        <f t="array" ref="AA2133">INDEX($BX$29:$BX$1449,MATCH($D2133,$BR$29:$BR$1449,0),)</f>
        <v>4.65</v>
      </c>
      <c r="AB2133" s="150">
        <f t="shared" ref="AB2133:AB2196" si="658">Z2133/Z2132-1</f>
        <v>0.00337770713292262</v>
      </c>
      <c r="AC2133" s="150">
        <f t="shared" si="641"/>
        <v>0.0134457154324705</v>
      </c>
      <c r="AD2133" s="150">
        <f t="shared" si="644"/>
        <v>0.0270490136261949</v>
      </c>
      <c r="AE2133" s="89">
        <f t="shared" si="640"/>
        <v>0.086021505376344</v>
      </c>
    </row>
    <row r="2134" spans="3:31">
      <c r="C2134" s="80" t="str" cm="1">
        <f t="array" ref="C2134">_xlfn.IFS(MONTH(D2134)&lt;4,1,MONTH(D2134)&lt;7,2,MONTH(D2134)&lt;10,3,MONTH(D2134)&gt;9,4)&amp;"Q"&amp;RIGHT(YEAR(D2134),2)</f>
        <v>3Q24</v>
      </c>
      <c r="D2134" s="81">
        <f t="shared" si="643"/>
        <v>45504</v>
      </c>
      <c r="E2134" s="82">
        <f t="shared" si="655"/>
        <v>45496</v>
      </c>
      <c r="F2134" s="83">
        <f t="shared" si="652"/>
        <v>0.229375</v>
      </c>
      <c r="G2134" s="83">
        <f t="shared" si="652"/>
        <v>0.2625</v>
      </c>
      <c r="H2134" s="81"/>
      <c r="I2134" s="146">
        <v>45496</v>
      </c>
      <c r="J2134" s="147">
        <v>2.2</v>
      </c>
      <c r="K2134" s="147">
        <v>1.71</v>
      </c>
      <c r="L2134" s="158">
        <v>1.835</v>
      </c>
      <c r="M2134" s="59" cm="1">
        <f t="array" ref="M2134">INDEX($BV$29:$BV$1449,MATCH($D2134,$BR$29:$BR$1449,0),)</f>
        <v>2.1</v>
      </c>
      <c r="N2134" s="150">
        <f t="shared" si="647"/>
        <v>0.00109110747408625</v>
      </c>
      <c r="O2134" s="150">
        <f t="shared" si="648"/>
        <v>0.00273224043715836</v>
      </c>
      <c r="P2134" s="150">
        <f t="shared" si="653"/>
        <v>0.00935093509350926</v>
      </c>
      <c r="Q2134" s="89">
        <f t="shared" si="656"/>
        <v>-0.126190476190476</v>
      </c>
      <c r="S2134" s="82">
        <f t="shared" si="657"/>
        <v>45496</v>
      </c>
      <c r="T2134" s="83">
        <f t="shared" si="654"/>
        <v>0.31625</v>
      </c>
      <c r="U2134" s="83">
        <f t="shared" si="654"/>
        <v>0.290625</v>
      </c>
      <c r="W2134" s="146">
        <v>45496</v>
      </c>
      <c r="X2134" s="147">
        <v>6</v>
      </c>
      <c r="Y2134" s="147">
        <v>4.25</v>
      </c>
      <c r="Z2134" s="158">
        <v>5.06</v>
      </c>
      <c r="AA2134" s="59" cm="1">
        <f t="array" ref="AA2134">INDEX($BX$29:$BX$1449,MATCH($D2134,$BR$29:$BR$1449,0),)</f>
        <v>4.65</v>
      </c>
      <c r="AB2134" s="150">
        <f t="shared" si="658"/>
        <v>0.00198019801980198</v>
      </c>
      <c r="AC2134" s="150">
        <f t="shared" si="641"/>
        <v>0.0140280561122244</v>
      </c>
      <c r="AD2134" s="150">
        <f t="shared" si="644"/>
        <v>0.0242914979757083</v>
      </c>
      <c r="AE2134" s="89">
        <f t="shared" ref="AE2134:AE2197" si="659">Z2134/AA2134-1</f>
        <v>0.0881720430107524</v>
      </c>
    </row>
    <row r="2135" spans="3:31">
      <c r="C2135" s="80" t="str" cm="1">
        <f t="array" ref="C2135">_xlfn.IFS(MONTH(D2135)&lt;4,1,MONTH(D2135)&lt;7,2,MONTH(D2135)&lt;10,3,MONTH(D2135)&gt;9,4)&amp;"Q"&amp;RIGHT(YEAR(D2135),2)</f>
        <v>3Q24</v>
      </c>
      <c r="D2135" s="81">
        <f t="shared" si="643"/>
        <v>45504</v>
      </c>
      <c r="E2135" s="82">
        <f t="shared" si="655"/>
        <v>45497</v>
      </c>
      <c r="F2135" s="83">
        <f t="shared" si="652"/>
        <v>0.229375</v>
      </c>
      <c r="G2135" s="83">
        <f t="shared" si="652"/>
        <v>0.2625</v>
      </c>
      <c r="H2135" s="81"/>
      <c r="I2135" s="146">
        <v>45497</v>
      </c>
      <c r="J2135" s="147">
        <v>2.2</v>
      </c>
      <c r="K2135" s="147">
        <v>1.71</v>
      </c>
      <c r="L2135" s="158">
        <v>1.835</v>
      </c>
      <c r="M2135" s="59" cm="1">
        <f t="array" ref="M2135">INDEX($BV$29:$BV$1449,MATCH($D2135,$BR$29:$BR$1449,0),)</f>
        <v>2.1</v>
      </c>
      <c r="N2135" s="150">
        <f t="shared" si="647"/>
        <v>0</v>
      </c>
      <c r="O2135" s="150">
        <f t="shared" si="648"/>
        <v>0.00218459858001085</v>
      </c>
      <c r="P2135" s="150">
        <f t="shared" si="653"/>
        <v>0.00658255622600112</v>
      </c>
      <c r="Q2135" s="89">
        <f t="shared" si="656"/>
        <v>-0.126190476190476</v>
      </c>
      <c r="S2135" s="82">
        <f t="shared" si="657"/>
        <v>45497</v>
      </c>
      <c r="T2135" s="83">
        <f t="shared" si="654"/>
        <v>0.3166875</v>
      </c>
      <c r="U2135" s="83">
        <f t="shared" si="654"/>
        <v>0.290625</v>
      </c>
      <c r="W2135" s="146">
        <v>45497</v>
      </c>
      <c r="X2135" s="147">
        <v>6.05</v>
      </c>
      <c r="Y2135" s="147">
        <v>4.25</v>
      </c>
      <c r="Z2135" s="158">
        <v>5.067</v>
      </c>
      <c r="AA2135" s="59" cm="1">
        <f t="array" ref="AA2135">INDEX($BX$29:$BX$1449,MATCH($D2135,$BR$29:$BR$1449,0),)</f>
        <v>4.65</v>
      </c>
      <c r="AB2135" s="150">
        <f t="shared" si="658"/>
        <v>0.00138339920948627</v>
      </c>
      <c r="AC2135" s="150">
        <f t="shared" si="641"/>
        <v>0.0154308617234469</v>
      </c>
      <c r="AD2135" s="150">
        <f t="shared" si="644"/>
        <v>0.0209550674994963</v>
      </c>
      <c r="AE2135" s="89">
        <f t="shared" si="659"/>
        <v>0.0896774193548386</v>
      </c>
    </row>
    <row r="2136" spans="3:31">
      <c r="C2136" s="80" t="str" cm="1">
        <f t="array" ref="C2136">_xlfn.IFS(MONTH(D2136)&lt;4,1,MONTH(D2136)&lt;7,2,MONTH(D2136)&lt;10,3,MONTH(D2136)&gt;9,4)&amp;"Q"&amp;RIGHT(YEAR(D2136),2)</f>
        <v>3Q24</v>
      </c>
      <c r="D2136" s="81">
        <f t="shared" si="643"/>
        <v>45504</v>
      </c>
      <c r="E2136" s="82">
        <f t="shared" si="655"/>
        <v>45498</v>
      </c>
      <c r="F2136" s="83">
        <f t="shared" si="652"/>
        <v>0.2295</v>
      </c>
      <c r="G2136" s="83">
        <f t="shared" si="652"/>
        <v>0.2625</v>
      </c>
      <c r="H2136" s="81"/>
      <c r="I2136" s="146">
        <v>45498</v>
      </c>
      <c r="J2136" s="147">
        <v>2.2</v>
      </c>
      <c r="K2136" s="147">
        <v>1.71</v>
      </c>
      <c r="L2136" s="158">
        <v>1.836</v>
      </c>
      <c r="M2136" s="59" cm="1">
        <f t="array" ref="M2136">INDEX($BV$29:$BV$1449,MATCH($D2136,$BR$29:$BR$1449,0),)</f>
        <v>2.1</v>
      </c>
      <c r="N2136" s="150">
        <f t="shared" si="647"/>
        <v>0.000544959128065514</v>
      </c>
      <c r="O2136" s="150">
        <f t="shared" si="648"/>
        <v>0.00273074822501362</v>
      </c>
      <c r="P2136" s="150">
        <f t="shared" si="653"/>
        <v>0.00327868852459012</v>
      </c>
      <c r="Q2136" s="89">
        <f t="shared" si="656"/>
        <v>-0.125714285714286</v>
      </c>
      <c r="S2136" s="82">
        <f t="shared" si="657"/>
        <v>45498</v>
      </c>
      <c r="T2136" s="83">
        <f t="shared" si="654"/>
        <v>0.3176875</v>
      </c>
      <c r="U2136" s="83">
        <f t="shared" si="654"/>
        <v>0.290625</v>
      </c>
      <c r="W2136" s="146">
        <v>45498</v>
      </c>
      <c r="X2136" s="147">
        <v>6.05</v>
      </c>
      <c r="Y2136" s="147">
        <v>4.25</v>
      </c>
      <c r="Z2136" s="158">
        <v>5.083</v>
      </c>
      <c r="AA2136" s="59" cm="1">
        <f t="array" ref="AA2136">INDEX($BX$29:$BX$1449,MATCH($D2136,$BR$29:$BR$1449,0),)</f>
        <v>4.65</v>
      </c>
      <c r="AB2136" s="150">
        <f t="shared" si="658"/>
        <v>0.00315768699427665</v>
      </c>
      <c r="AC2136" s="150">
        <f t="shared" si="641"/>
        <v>0.0145708582834332</v>
      </c>
      <c r="AD2136" s="150">
        <f t="shared" si="644"/>
        <v>0.0233541373062212</v>
      </c>
      <c r="AE2136" s="89">
        <f t="shared" si="659"/>
        <v>0.0931182795698924</v>
      </c>
    </row>
    <row r="2137" spans="3:31">
      <c r="C2137" s="80" t="str" cm="1">
        <f t="array" ref="C2137">_xlfn.IFS(MONTH(D2137)&lt;4,1,MONTH(D2137)&lt;7,2,MONTH(D2137)&lt;10,3,MONTH(D2137)&gt;9,4)&amp;"Q"&amp;RIGHT(YEAR(D2137),2)</f>
        <v>3Q24</v>
      </c>
      <c r="D2137" s="81">
        <f t="shared" si="643"/>
        <v>45504</v>
      </c>
      <c r="E2137" s="82">
        <f t="shared" si="655"/>
        <v>45499</v>
      </c>
      <c r="F2137" s="83">
        <f t="shared" si="652"/>
        <v>0.229125</v>
      </c>
      <c r="G2137" s="83">
        <f t="shared" si="652"/>
        <v>0.2625</v>
      </c>
      <c r="H2137" s="81"/>
      <c r="I2137" s="146">
        <v>45499</v>
      </c>
      <c r="J2137" s="147">
        <v>2.18</v>
      </c>
      <c r="K2137" s="147">
        <v>1.68</v>
      </c>
      <c r="L2137" s="158">
        <v>1.833</v>
      </c>
      <c r="M2137" s="59" cm="1">
        <f t="array" ref="M2137">INDEX($BV$29:$BV$1449,MATCH($D2137,$BR$29:$BR$1449,0),)</f>
        <v>2.1</v>
      </c>
      <c r="N2137" s="150">
        <f t="shared" si="647"/>
        <v>-0.00163398692810468</v>
      </c>
      <c r="O2137" s="150">
        <f t="shared" si="648"/>
        <v>0</v>
      </c>
      <c r="P2137" s="150">
        <f t="shared" si="653"/>
        <v>0.00163934426229506</v>
      </c>
      <c r="Q2137" s="89">
        <f t="shared" si="656"/>
        <v>-0.127142857142857</v>
      </c>
      <c r="S2137" s="82">
        <f t="shared" si="657"/>
        <v>45499</v>
      </c>
      <c r="T2137" s="83">
        <f t="shared" si="654"/>
        <v>0.31875</v>
      </c>
      <c r="U2137" s="83">
        <f t="shared" si="654"/>
        <v>0.290625</v>
      </c>
      <c r="W2137" s="146">
        <v>45499</v>
      </c>
      <c r="X2137" s="147">
        <v>6.1</v>
      </c>
      <c r="Y2137" s="147">
        <v>4.25</v>
      </c>
      <c r="Z2137" s="158">
        <v>5.1</v>
      </c>
      <c r="AA2137" s="59" cm="1">
        <f t="array" ref="AA2137">INDEX($BX$29:$BX$1449,MATCH($D2137,$BR$29:$BR$1449,0),)</f>
        <v>4.65</v>
      </c>
      <c r="AB2137" s="150">
        <f t="shared" si="658"/>
        <v>0.00334448160535117</v>
      </c>
      <c r="AC2137" s="150">
        <f t="shared" ref="AC2137:AC2200" si="660">Z2137/Z2132-1</f>
        <v>0.0133121398768128</v>
      </c>
      <c r="AD2137" s="150">
        <f t="shared" si="644"/>
        <v>0.0261569416498995</v>
      </c>
      <c r="AE2137" s="89">
        <f t="shared" si="659"/>
        <v>0.096774193548387</v>
      </c>
    </row>
    <row r="2138" spans="3:31">
      <c r="C2138" s="80" t="str" cm="1">
        <f t="array" ref="C2138">_xlfn.IFS(MONTH(D2138)&lt;4,1,MONTH(D2138)&lt;7,2,MONTH(D2138)&lt;10,3,MONTH(D2138)&gt;9,4)&amp;"Q"&amp;RIGHT(YEAR(D2138),2)</f>
        <v>3Q24</v>
      </c>
      <c r="D2138" s="81">
        <f t="shared" si="643"/>
        <v>45504</v>
      </c>
      <c r="E2138" s="82">
        <f t="shared" si="655"/>
        <v>45502</v>
      </c>
      <c r="F2138" s="83">
        <f t="shared" ref="F2138:G2153" si="661">+L2138/8</f>
        <v>0.22875</v>
      </c>
      <c r="G2138" s="83">
        <f t="shared" si="661"/>
        <v>0.2625</v>
      </c>
      <c r="H2138" s="81"/>
      <c r="I2138" s="146">
        <v>45502</v>
      </c>
      <c r="J2138" s="147">
        <v>2.17</v>
      </c>
      <c r="K2138" s="147">
        <v>1.68</v>
      </c>
      <c r="L2138" s="158">
        <v>1.83</v>
      </c>
      <c r="M2138" s="59" cm="1">
        <f t="array" ref="M2138">INDEX($BV$29:$BV$1449,MATCH($D2138,$BR$29:$BR$1449,0),)</f>
        <v>2.1</v>
      </c>
      <c r="N2138" s="150">
        <f t="shared" si="647"/>
        <v>-0.00163666121112926</v>
      </c>
      <c r="O2138" s="150">
        <f t="shared" si="648"/>
        <v>-0.00163666121112926</v>
      </c>
      <c r="P2138" s="150">
        <f t="shared" si="653"/>
        <v>0</v>
      </c>
      <c r="Q2138" s="89">
        <f t="shared" si="656"/>
        <v>-0.128571428571429</v>
      </c>
      <c r="S2138" s="82">
        <f t="shared" si="657"/>
        <v>45502</v>
      </c>
      <c r="T2138" s="83">
        <f t="shared" si="654"/>
        <v>0.3189375</v>
      </c>
      <c r="U2138" s="83">
        <f t="shared" si="654"/>
        <v>0.290625</v>
      </c>
      <c r="W2138" s="146">
        <v>45502</v>
      </c>
      <c r="X2138" s="147">
        <v>6.2</v>
      </c>
      <c r="Y2138" s="147">
        <v>4.25</v>
      </c>
      <c r="Z2138" s="158">
        <v>5.103</v>
      </c>
      <c r="AA2138" s="59" cm="1">
        <f t="array" ref="AA2138">INDEX($BX$29:$BX$1449,MATCH($D2138,$BR$29:$BR$1449,0),)</f>
        <v>4.65</v>
      </c>
      <c r="AB2138" s="150">
        <f t="shared" si="658"/>
        <v>0.000588235294117778</v>
      </c>
      <c r="AC2138" s="150">
        <f t="shared" si="660"/>
        <v>0.0104950495049505</v>
      </c>
      <c r="AD2138" s="150">
        <f t="shared" si="644"/>
        <v>0.0240818783865142</v>
      </c>
      <c r="AE2138" s="89">
        <f t="shared" si="659"/>
        <v>0.0974193548387094</v>
      </c>
    </row>
    <row r="2139" spans="3:31">
      <c r="C2139" s="80" t="str" cm="1">
        <f t="array" ref="C2139">_xlfn.IFS(MONTH(D2139)&lt;4,1,MONTH(D2139)&lt;7,2,MONTH(D2139)&lt;10,3,MONTH(D2139)&gt;9,4)&amp;"Q"&amp;RIGHT(YEAR(D2139),2)</f>
        <v>3Q24</v>
      </c>
      <c r="D2139" s="81">
        <f t="shared" si="643"/>
        <v>45504</v>
      </c>
      <c r="E2139" s="82">
        <f t="shared" si="655"/>
        <v>45503</v>
      </c>
      <c r="F2139" s="83">
        <f t="shared" si="661"/>
        <v>0.22875</v>
      </c>
      <c r="G2139" s="83">
        <f t="shared" si="661"/>
        <v>0.2625</v>
      </c>
      <c r="H2139" s="81"/>
      <c r="I2139" s="146">
        <v>45503</v>
      </c>
      <c r="J2139" s="147">
        <v>2.17</v>
      </c>
      <c r="K2139" s="147">
        <v>1.68</v>
      </c>
      <c r="L2139" s="158">
        <v>1.83</v>
      </c>
      <c r="M2139" s="59" cm="1">
        <f t="array" ref="M2139">INDEX($BV$29:$BV$1449,MATCH($D2139,$BR$29:$BR$1449,0),)</f>
        <v>2.1</v>
      </c>
      <c r="N2139" s="150">
        <f t="shared" si="647"/>
        <v>0</v>
      </c>
      <c r="O2139" s="150">
        <f t="shared" si="648"/>
        <v>-0.0027247956403269</v>
      </c>
      <c r="P2139" s="150">
        <f t="shared" si="653"/>
        <v>0</v>
      </c>
      <c r="Q2139" s="89">
        <f t="shared" si="656"/>
        <v>-0.128571428571429</v>
      </c>
      <c r="S2139" s="82">
        <f t="shared" si="657"/>
        <v>45503</v>
      </c>
      <c r="T2139" s="83">
        <f t="shared" si="654"/>
        <v>0.32</v>
      </c>
      <c r="U2139" s="83">
        <f t="shared" si="654"/>
        <v>0.290625</v>
      </c>
      <c r="W2139" s="146">
        <v>45503</v>
      </c>
      <c r="X2139" s="147">
        <v>6.2</v>
      </c>
      <c r="Y2139" s="147">
        <v>4.25</v>
      </c>
      <c r="Z2139" s="158">
        <v>5.12</v>
      </c>
      <c r="AA2139" s="59" cm="1">
        <f t="array" ref="AA2139">INDEX($BX$29:$BX$1449,MATCH($D2139,$BR$29:$BR$1449,0),)</f>
        <v>4.65</v>
      </c>
      <c r="AB2139" s="150">
        <f t="shared" si="658"/>
        <v>0.00333137370174419</v>
      </c>
      <c r="AC2139" s="150">
        <f t="shared" si="660"/>
        <v>0.0118577075098816</v>
      </c>
      <c r="AD2139" s="150">
        <f t="shared" si="644"/>
        <v>0.0260521042084167</v>
      </c>
      <c r="AE2139" s="89">
        <f t="shared" si="659"/>
        <v>0.101075268817204</v>
      </c>
    </row>
    <row r="2140" spans="3:31">
      <c r="C2140" s="80" t="str" cm="1">
        <f t="array" ref="C2140">_xlfn.IFS(MONTH(D2140)&lt;4,1,MONTH(D2140)&lt;7,2,MONTH(D2140)&lt;10,3,MONTH(D2140)&gt;9,4)&amp;"Q"&amp;RIGHT(YEAR(D2140),2)</f>
        <v>3Q24</v>
      </c>
      <c r="D2140" s="81">
        <f t="shared" si="643"/>
        <v>45504</v>
      </c>
      <c r="E2140" s="82">
        <f t="shared" si="655"/>
        <v>45504</v>
      </c>
      <c r="F2140" s="83">
        <f t="shared" si="661"/>
        <v>0.22875</v>
      </c>
      <c r="G2140" s="83">
        <f t="shared" si="661"/>
        <v>0.2625</v>
      </c>
      <c r="H2140" s="81"/>
      <c r="I2140" s="146">
        <v>45504</v>
      </c>
      <c r="J2140" s="147">
        <v>2.17</v>
      </c>
      <c r="K2140" s="147">
        <v>1.68</v>
      </c>
      <c r="L2140" s="158">
        <v>1.83</v>
      </c>
      <c r="M2140" s="59" cm="1">
        <f t="array" ref="M2140">INDEX($BV$29:$BV$1449,MATCH($D2140,$BR$29:$BR$1449,0),)</f>
        <v>2.1</v>
      </c>
      <c r="N2140" s="150">
        <f t="shared" si="647"/>
        <v>0</v>
      </c>
      <c r="O2140" s="150">
        <f t="shared" si="648"/>
        <v>-0.0027247956403269</v>
      </c>
      <c r="P2140" s="150">
        <f t="shared" si="653"/>
        <v>-0.000546149645002658</v>
      </c>
      <c r="Q2140" s="89">
        <f t="shared" si="656"/>
        <v>-0.128571428571429</v>
      </c>
      <c r="S2140" s="82">
        <f t="shared" si="657"/>
        <v>45504</v>
      </c>
      <c r="T2140" s="83">
        <f t="shared" si="654"/>
        <v>0.3210625</v>
      </c>
      <c r="U2140" s="83">
        <f t="shared" si="654"/>
        <v>0.290625</v>
      </c>
      <c r="W2140" s="146">
        <v>45504</v>
      </c>
      <c r="X2140" s="147">
        <v>6.2</v>
      </c>
      <c r="Y2140" s="147">
        <v>4.25</v>
      </c>
      <c r="Z2140" s="158">
        <v>5.137</v>
      </c>
      <c r="AA2140" s="59" cm="1">
        <f t="array" ref="AA2140">INDEX($BX$29:$BX$1449,MATCH($D2140,$BR$29:$BR$1449,0),)</f>
        <v>4.65</v>
      </c>
      <c r="AB2140" s="150">
        <f t="shared" si="658"/>
        <v>0.00332031249999987</v>
      </c>
      <c r="AC2140" s="150">
        <f t="shared" si="660"/>
        <v>0.0138148805999605</v>
      </c>
      <c r="AD2140" s="150">
        <f t="shared" si="644"/>
        <v>0.0294589178356712</v>
      </c>
      <c r="AE2140" s="89">
        <f t="shared" si="659"/>
        <v>0.104731182795699</v>
      </c>
    </row>
    <row r="2141" spans="3:31">
      <c r="C2141" s="80" t="str" cm="1">
        <f t="array" ref="C2141">_xlfn.IFS(MONTH(D2141)&lt;4,1,MONTH(D2141)&lt;7,2,MONTH(D2141)&lt;10,3,MONTH(D2141)&gt;9,4)&amp;"Q"&amp;RIGHT(YEAR(D2141),2)</f>
        <v>3Q24</v>
      </c>
      <c r="D2141" s="81">
        <f t="shared" si="643"/>
        <v>45535</v>
      </c>
      <c r="E2141" s="82">
        <f t="shared" si="655"/>
        <v>45505</v>
      </c>
      <c r="F2141" s="83">
        <f t="shared" si="661"/>
        <v>0.22875</v>
      </c>
      <c r="G2141" s="83">
        <f t="shared" si="661"/>
        <v>0.25625</v>
      </c>
      <c r="H2141" s="81"/>
      <c r="I2141" s="146">
        <v>45505</v>
      </c>
      <c r="J2141" s="147">
        <v>2.17</v>
      </c>
      <c r="K2141" s="147">
        <v>1.68</v>
      </c>
      <c r="L2141" s="158">
        <v>1.83</v>
      </c>
      <c r="M2141" s="59" cm="1">
        <f t="array" ref="M2141">INDEX($BV$29:$BV$1449,MATCH($D2141,$BR$29:$BR$1449,0),)</f>
        <v>2.05</v>
      </c>
      <c r="N2141" s="150">
        <f t="shared" si="647"/>
        <v>0</v>
      </c>
      <c r="O2141" s="150">
        <f t="shared" si="648"/>
        <v>-0.00326797385620914</v>
      </c>
      <c r="P2141" s="150">
        <f t="shared" si="653"/>
        <v>-0.000546149645002658</v>
      </c>
      <c r="Q2141" s="89">
        <f t="shared" si="656"/>
        <v>-0.107317073170732</v>
      </c>
      <c r="S2141" s="82">
        <f t="shared" si="657"/>
        <v>45505</v>
      </c>
      <c r="T2141" s="83">
        <f t="shared" si="654"/>
        <v>0.3214375</v>
      </c>
      <c r="U2141" s="83">
        <f t="shared" si="654"/>
        <v>0.28125</v>
      </c>
      <c r="W2141" s="146">
        <v>45505</v>
      </c>
      <c r="X2141" s="147">
        <v>6.25</v>
      </c>
      <c r="Y2141" s="147">
        <v>4.25</v>
      </c>
      <c r="Z2141" s="158">
        <v>5.143</v>
      </c>
      <c r="AA2141" s="59" cm="1">
        <f t="array" ref="AA2141">INDEX($BX$29:$BX$1449,MATCH($D2141,$BR$29:$BR$1449,0),)</f>
        <v>4.5</v>
      </c>
      <c r="AB2141" s="150">
        <f t="shared" si="658"/>
        <v>0.00116799688534175</v>
      </c>
      <c r="AC2141" s="150">
        <f t="shared" si="660"/>
        <v>0.0118040527247687</v>
      </c>
      <c r="AD2141" s="150">
        <f t="shared" si="644"/>
        <v>0.0265469061876247</v>
      </c>
      <c r="AE2141" s="89">
        <f t="shared" si="659"/>
        <v>0.142888888888889</v>
      </c>
    </row>
    <row r="2142" spans="3:31">
      <c r="C2142" s="80" t="str" cm="1">
        <f t="array" ref="C2142">_xlfn.IFS(MONTH(D2142)&lt;4,1,MONTH(D2142)&lt;7,2,MONTH(D2142)&lt;10,3,MONTH(D2142)&gt;9,4)&amp;"Q"&amp;RIGHT(YEAR(D2142),2)</f>
        <v>3Q24</v>
      </c>
      <c r="D2142" s="81">
        <f t="shared" ref="D2142:D2205" si="662">EOMONTH(E2142,0)</f>
        <v>45535</v>
      </c>
      <c r="E2142" s="82">
        <f t="shared" si="655"/>
        <v>45506</v>
      </c>
      <c r="F2142" s="83">
        <f t="shared" si="661"/>
        <v>0.22875</v>
      </c>
      <c r="G2142" s="83">
        <f t="shared" si="661"/>
        <v>0.25625</v>
      </c>
      <c r="H2142" s="81"/>
      <c r="I2142" s="146">
        <v>45506</v>
      </c>
      <c r="J2142" s="147">
        <v>2.18</v>
      </c>
      <c r="K2142" s="147">
        <v>1.67</v>
      </c>
      <c r="L2142" s="158">
        <v>1.83</v>
      </c>
      <c r="M2142" s="59" cm="1">
        <f t="array" ref="M2142">INDEX($BV$29:$BV$1449,MATCH($D2142,$BR$29:$BR$1449,0),)</f>
        <v>2.05</v>
      </c>
      <c r="N2142" s="150">
        <f t="shared" si="647"/>
        <v>0</v>
      </c>
      <c r="O2142" s="150">
        <f t="shared" si="648"/>
        <v>-0.00163666121112926</v>
      </c>
      <c r="P2142" s="150">
        <f t="shared" si="653"/>
        <v>-0.00163666121112926</v>
      </c>
      <c r="Q2142" s="89">
        <f t="shared" si="656"/>
        <v>-0.107317073170732</v>
      </c>
      <c r="S2142" s="82">
        <f t="shared" si="657"/>
        <v>45506</v>
      </c>
      <c r="T2142" s="83">
        <f t="shared" si="654"/>
        <v>0.321875</v>
      </c>
      <c r="U2142" s="83">
        <f t="shared" si="654"/>
        <v>0.28125</v>
      </c>
      <c r="W2142" s="146">
        <v>45506</v>
      </c>
      <c r="X2142" s="147">
        <v>6.3</v>
      </c>
      <c r="Y2142" s="147">
        <v>4.26</v>
      </c>
      <c r="Z2142" s="158">
        <v>5.15</v>
      </c>
      <c r="AA2142" s="59" cm="1">
        <f t="array" ref="AA2142">INDEX($BX$29:$BX$1449,MATCH($D2142,$BR$29:$BR$1449,0),)</f>
        <v>4.5</v>
      </c>
      <c r="AB2142" s="150">
        <f t="shared" si="658"/>
        <v>0.00136107330351942</v>
      </c>
      <c r="AC2142" s="150">
        <f t="shared" si="660"/>
        <v>0.00980392156862764</v>
      </c>
      <c r="AD2142" s="150">
        <f t="shared" ref="AD2142:AD2205" si="663">Z2142/Z2132-1</f>
        <v>0.0232465726207034</v>
      </c>
      <c r="AE2142" s="89">
        <f t="shared" si="659"/>
        <v>0.144444444444445</v>
      </c>
    </row>
    <row r="2143" spans="3:31">
      <c r="C2143" s="80" t="str" cm="1">
        <f t="array" ref="C2143">_xlfn.IFS(MONTH(D2143)&lt;4,1,MONTH(D2143)&lt;7,2,MONTH(D2143)&lt;10,3,MONTH(D2143)&gt;9,4)&amp;"Q"&amp;RIGHT(YEAR(D2143),2)</f>
        <v>3Q24</v>
      </c>
      <c r="D2143" s="81">
        <f t="shared" si="662"/>
        <v>45535</v>
      </c>
      <c r="E2143" s="82">
        <f t="shared" si="655"/>
        <v>45509</v>
      </c>
      <c r="F2143" s="83">
        <f t="shared" si="661"/>
        <v>0.22875</v>
      </c>
      <c r="G2143" s="83">
        <f t="shared" si="661"/>
        <v>0.25625</v>
      </c>
      <c r="H2143" s="81"/>
      <c r="I2143" s="146">
        <v>45509</v>
      </c>
      <c r="J2143" s="147">
        <v>2.18</v>
      </c>
      <c r="K2143" s="147">
        <v>1.67</v>
      </c>
      <c r="L2143" s="158">
        <v>1.83</v>
      </c>
      <c r="M2143" s="59" cm="1">
        <f t="array" ref="M2143">INDEX($BV$29:$BV$1449,MATCH($D2143,$BR$29:$BR$1449,0),)</f>
        <v>2.05</v>
      </c>
      <c r="N2143" s="150">
        <f t="shared" si="647"/>
        <v>0</v>
      </c>
      <c r="O2143" s="150">
        <f t="shared" si="648"/>
        <v>0</v>
      </c>
      <c r="P2143" s="150">
        <f t="shared" si="653"/>
        <v>-0.00163666121112926</v>
      </c>
      <c r="Q2143" s="89">
        <f t="shared" si="656"/>
        <v>-0.107317073170732</v>
      </c>
      <c r="S2143" s="82">
        <f t="shared" si="657"/>
        <v>45509</v>
      </c>
      <c r="T2143" s="83">
        <f t="shared" si="654"/>
        <v>0.3220625</v>
      </c>
      <c r="U2143" s="83">
        <f t="shared" si="654"/>
        <v>0.28125</v>
      </c>
      <c r="W2143" s="146">
        <v>45509</v>
      </c>
      <c r="X2143" s="147">
        <v>6.3</v>
      </c>
      <c r="Y2143" s="147">
        <v>4.26</v>
      </c>
      <c r="Z2143" s="158">
        <v>5.153</v>
      </c>
      <c r="AA2143" s="59" cm="1">
        <f t="array" ref="AA2143">INDEX($BX$29:$BX$1449,MATCH($D2143,$BR$29:$BR$1449,0),)</f>
        <v>4.5</v>
      </c>
      <c r="AB2143" s="150">
        <f t="shared" si="658"/>
        <v>0.000582524271844465</v>
      </c>
      <c r="AC2143" s="150">
        <f t="shared" si="660"/>
        <v>0.00979815794630601</v>
      </c>
      <c r="AD2143" s="150">
        <f t="shared" si="663"/>
        <v>0.0203960396039604</v>
      </c>
      <c r="AE2143" s="89">
        <f t="shared" si="659"/>
        <v>0.145111111111111</v>
      </c>
    </row>
    <row r="2144" spans="3:31">
      <c r="C2144" s="80" t="str" cm="1">
        <f t="array" ref="C2144">_xlfn.IFS(MONTH(D2144)&lt;4,1,MONTH(D2144)&lt;7,2,MONTH(D2144)&lt;10,3,MONTH(D2144)&gt;9,4)&amp;"Q"&amp;RIGHT(YEAR(D2144),2)</f>
        <v>3Q24</v>
      </c>
      <c r="D2144" s="81">
        <f t="shared" si="662"/>
        <v>45535</v>
      </c>
      <c r="E2144" s="82">
        <f t="shared" si="655"/>
        <v>45510</v>
      </c>
      <c r="F2144" s="83">
        <f t="shared" si="661"/>
        <v>0.228625</v>
      </c>
      <c r="G2144" s="83">
        <f t="shared" si="661"/>
        <v>0.25625</v>
      </c>
      <c r="I2144" s="146">
        <v>45510</v>
      </c>
      <c r="J2144" s="147">
        <v>2.17</v>
      </c>
      <c r="K2144" s="147">
        <v>1.66</v>
      </c>
      <c r="L2144" s="158">
        <v>1.829</v>
      </c>
      <c r="M2144" s="59" cm="1">
        <f t="array" ref="M2144">INDEX($BV$29:$BV$1449,MATCH($D2144,$BR$29:$BR$1449,0),)</f>
        <v>2.05</v>
      </c>
      <c r="N2144" s="150">
        <f t="shared" si="647"/>
        <v>-0.000546448087431761</v>
      </c>
      <c r="O2144" s="150">
        <f t="shared" si="648"/>
        <v>-0.000546448087431761</v>
      </c>
      <c r="P2144" s="150">
        <f t="shared" si="653"/>
        <v>-0.00326975476839242</v>
      </c>
      <c r="Q2144" s="89">
        <f t="shared" si="656"/>
        <v>-0.10780487804878</v>
      </c>
      <c r="S2144" s="82">
        <f t="shared" si="657"/>
        <v>45510</v>
      </c>
      <c r="T2144" s="83">
        <f t="shared" ref="T2144:U2159" si="664">+Z2144/16</f>
        <v>0.3229375</v>
      </c>
      <c r="U2144" s="83">
        <f t="shared" si="664"/>
        <v>0.28125</v>
      </c>
      <c r="W2144" s="146">
        <v>45510</v>
      </c>
      <c r="X2144" s="147">
        <v>6.35</v>
      </c>
      <c r="Y2144" s="147">
        <v>4.25</v>
      </c>
      <c r="Z2144" s="158">
        <v>5.167</v>
      </c>
      <c r="AA2144" s="59" cm="1">
        <f t="array" ref="AA2144">INDEX($BX$29:$BX$1449,MATCH($D2144,$BR$29:$BR$1449,0),)</f>
        <v>4.5</v>
      </c>
      <c r="AB2144" s="150">
        <f t="shared" si="658"/>
        <v>0.00271686396274018</v>
      </c>
      <c r="AC2144" s="150">
        <f t="shared" si="660"/>
        <v>0.00917968749999987</v>
      </c>
      <c r="AD2144" s="150">
        <f t="shared" si="663"/>
        <v>0.0211462450592885</v>
      </c>
      <c r="AE2144" s="89">
        <f t="shared" si="659"/>
        <v>0.148222222222222</v>
      </c>
    </row>
    <row r="2145" spans="3:31">
      <c r="C2145" s="80" t="str" cm="1">
        <f t="array" ref="C2145">_xlfn.IFS(MONTH(D2145)&lt;4,1,MONTH(D2145)&lt;7,2,MONTH(D2145)&lt;10,3,MONTH(D2145)&gt;9,4)&amp;"Q"&amp;RIGHT(YEAR(D2145),2)</f>
        <v>3Q24</v>
      </c>
      <c r="D2145" s="81">
        <f t="shared" si="662"/>
        <v>45535</v>
      </c>
      <c r="E2145" s="82">
        <f t="shared" si="655"/>
        <v>45511</v>
      </c>
      <c r="F2145" s="83">
        <f t="shared" si="661"/>
        <v>0.228625</v>
      </c>
      <c r="G2145" s="83">
        <f t="shared" si="661"/>
        <v>0.25625</v>
      </c>
      <c r="I2145" s="146">
        <v>45511</v>
      </c>
      <c r="J2145" s="147">
        <v>2.17</v>
      </c>
      <c r="K2145" s="147">
        <v>1.66</v>
      </c>
      <c r="L2145" s="158">
        <v>1.829</v>
      </c>
      <c r="M2145" s="59" cm="1">
        <f t="array" ref="M2145">INDEX($BV$29:$BV$1449,MATCH($D2145,$BR$29:$BR$1449,0),)</f>
        <v>2.05</v>
      </c>
      <c r="N2145" s="150">
        <f t="shared" si="647"/>
        <v>0</v>
      </c>
      <c r="O2145" s="150">
        <f t="shared" si="648"/>
        <v>-0.000546448087431761</v>
      </c>
      <c r="P2145" s="150">
        <f t="shared" si="653"/>
        <v>-0.00326975476839242</v>
      </c>
      <c r="Q2145" s="89">
        <f t="shared" si="656"/>
        <v>-0.10780487804878</v>
      </c>
      <c r="S2145" s="82">
        <f t="shared" si="657"/>
        <v>45511</v>
      </c>
      <c r="T2145" s="83">
        <f t="shared" si="664"/>
        <v>0.3229375</v>
      </c>
      <c r="U2145" s="83">
        <f t="shared" si="664"/>
        <v>0.28125</v>
      </c>
      <c r="W2145" s="146">
        <v>45511</v>
      </c>
      <c r="X2145" s="147">
        <v>6.35</v>
      </c>
      <c r="Y2145" s="147">
        <v>4.25</v>
      </c>
      <c r="Z2145" s="158">
        <v>5.167</v>
      </c>
      <c r="AA2145" s="59" cm="1">
        <f t="array" ref="AA2145">INDEX($BX$29:$BX$1449,MATCH($D2145,$BR$29:$BR$1449,0),)</f>
        <v>4.5</v>
      </c>
      <c r="AB2145" s="150">
        <f t="shared" si="658"/>
        <v>0</v>
      </c>
      <c r="AC2145" s="150">
        <f t="shared" si="660"/>
        <v>0.0058399844267083</v>
      </c>
      <c r="AD2145" s="150">
        <f t="shared" si="663"/>
        <v>0.0197355437142293</v>
      </c>
      <c r="AE2145" s="89">
        <f t="shared" si="659"/>
        <v>0.148222222222222</v>
      </c>
    </row>
    <row r="2146" spans="3:31">
      <c r="C2146" s="80" t="str" cm="1">
        <f t="array" ref="C2146">_xlfn.IFS(MONTH(D2146)&lt;4,1,MONTH(D2146)&lt;7,2,MONTH(D2146)&lt;10,3,MONTH(D2146)&gt;9,4)&amp;"Q"&amp;RIGHT(YEAR(D2146),2)</f>
        <v>3Q24</v>
      </c>
      <c r="D2146" s="81">
        <f t="shared" si="662"/>
        <v>45535</v>
      </c>
      <c r="E2146" s="82">
        <f t="shared" si="655"/>
        <v>45512</v>
      </c>
      <c r="F2146" s="83">
        <f t="shared" si="661"/>
        <v>0.228625</v>
      </c>
      <c r="G2146" s="83">
        <f t="shared" si="661"/>
        <v>0.25625</v>
      </c>
      <c r="I2146" s="146">
        <v>45512</v>
      </c>
      <c r="J2146" s="147">
        <v>2.17</v>
      </c>
      <c r="K2146" s="147">
        <v>1.66</v>
      </c>
      <c r="L2146" s="158">
        <v>1.829</v>
      </c>
      <c r="M2146" s="59" cm="1">
        <f t="array" ref="M2146">INDEX($BV$29:$BV$1449,MATCH($D2146,$BR$29:$BR$1449,0),)</f>
        <v>2.05</v>
      </c>
      <c r="N2146" s="150">
        <f t="shared" si="647"/>
        <v>0</v>
      </c>
      <c r="O2146" s="150">
        <f t="shared" si="648"/>
        <v>-0.000546448087431761</v>
      </c>
      <c r="P2146" s="150">
        <f t="shared" si="653"/>
        <v>-0.00381263616557737</v>
      </c>
      <c r="Q2146" s="89">
        <f t="shared" si="656"/>
        <v>-0.10780487804878</v>
      </c>
      <c r="S2146" s="82">
        <f t="shared" si="657"/>
        <v>45512</v>
      </c>
      <c r="T2146" s="83">
        <f t="shared" si="664"/>
        <v>0.3229375</v>
      </c>
      <c r="U2146" s="83">
        <f t="shared" si="664"/>
        <v>0.28125</v>
      </c>
      <c r="W2146" s="146">
        <v>45512</v>
      </c>
      <c r="X2146" s="147">
        <v>6.35</v>
      </c>
      <c r="Y2146" s="147">
        <v>4.25</v>
      </c>
      <c r="Z2146" s="158">
        <v>5.167</v>
      </c>
      <c r="AA2146" s="59" cm="1">
        <f t="array" ref="AA2146">INDEX($BX$29:$BX$1449,MATCH($D2146,$BR$29:$BR$1449,0),)</f>
        <v>4.5</v>
      </c>
      <c r="AB2146" s="150">
        <f t="shared" si="658"/>
        <v>0</v>
      </c>
      <c r="AC2146" s="150">
        <f t="shared" si="660"/>
        <v>0.0046665370406378</v>
      </c>
      <c r="AD2146" s="150">
        <f t="shared" si="663"/>
        <v>0.0165256738146764</v>
      </c>
      <c r="AE2146" s="89">
        <f t="shared" si="659"/>
        <v>0.148222222222222</v>
      </c>
    </row>
    <row r="2147" spans="3:31">
      <c r="C2147" s="80" t="str" cm="1">
        <f t="array" ref="C2147">_xlfn.IFS(MONTH(D2147)&lt;4,1,MONTH(D2147)&lt;7,2,MONTH(D2147)&lt;10,3,MONTH(D2147)&gt;9,4)&amp;"Q"&amp;RIGHT(YEAR(D2147),2)</f>
        <v>3Q24</v>
      </c>
      <c r="D2147" s="81">
        <f t="shared" si="662"/>
        <v>45535</v>
      </c>
      <c r="E2147" s="82">
        <f t="shared" si="655"/>
        <v>45513</v>
      </c>
      <c r="F2147" s="83">
        <f t="shared" si="661"/>
        <v>0.228625</v>
      </c>
      <c r="G2147" s="83">
        <f t="shared" si="661"/>
        <v>0.25625</v>
      </c>
      <c r="I2147" s="146">
        <v>45513</v>
      </c>
      <c r="J2147" s="147">
        <v>2.18</v>
      </c>
      <c r="K2147" s="147">
        <v>1.68</v>
      </c>
      <c r="L2147" s="158">
        <v>1.829</v>
      </c>
      <c r="M2147" s="59" cm="1">
        <f t="array" ref="M2147">INDEX($BV$29:$BV$1449,MATCH($D2147,$BR$29:$BR$1449,0),)</f>
        <v>2.05</v>
      </c>
      <c r="N2147" s="150">
        <f t="shared" si="647"/>
        <v>0</v>
      </c>
      <c r="O2147" s="150">
        <f t="shared" si="648"/>
        <v>-0.000546448087431761</v>
      </c>
      <c r="P2147" s="150">
        <f t="shared" si="653"/>
        <v>-0.00218221494817239</v>
      </c>
      <c r="Q2147" s="89">
        <f t="shared" si="656"/>
        <v>-0.10780487804878</v>
      </c>
      <c r="S2147" s="82">
        <f t="shared" si="657"/>
        <v>45513</v>
      </c>
      <c r="T2147" s="83">
        <f t="shared" si="664"/>
        <v>0.3229375</v>
      </c>
      <c r="U2147" s="83">
        <f t="shared" si="664"/>
        <v>0.28125</v>
      </c>
      <c r="W2147" s="146">
        <v>45513</v>
      </c>
      <c r="X2147" s="147">
        <v>6.4</v>
      </c>
      <c r="Y2147" s="147">
        <v>4.24</v>
      </c>
      <c r="Z2147" s="158">
        <v>5.167</v>
      </c>
      <c r="AA2147" s="59" cm="1">
        <f t="array" ref="AA2147">INDEX($BX$29:$BX$1449,MATCH($D2147,$BR$29:$BR$1449,0),)</f>
        <v>4.5</v>
      </c>
      <c r="AB2147" s="150">
        <f t="shared" si="658"/>
        <v>0</v>
      </c>
      <c r="AC2147" s="150">
        <f t="shared" si="660"/>
        <v>0.00330097087378634</v>
      </c>
      <c r="AD2147" s="150">
        <f t="shared" si="663"/>
        <v>0.0131372549019608</v>
      </c>
      <c r="AE2147" s="89">
        <f t="shared" si="659"/>
        <v>0.148222222222222</v>
      </c>
    </row>
    <row r="2148" spans="3:31">
      <c r="C2148" s="80" t="str" cm="1">
        <f t="array" ref="C2148">_xlfn.IFS(MONTH(D2148)&lt;4,1,MONTH(D2148)&lt;7,2,MONTH(D2148)&lt;10,3,MONTH(D2148)&gt;9,4)&amp;"Q"&amp;RIGHT(YEAR(D2148),2)</f>
        <v>3Q24</v>
      </c>
      <c r="D2148" s="81">
        <f t="shared" si="662"/>
        <v>45535</v>
      </c>
      <c r="E2148" s="82">
        <f t="shared" si="655"/>
        <v>45516</v>
      </c>
      <c r="F2148" s="83">
        <f t="shared" si="661"/>
        <v>0.22825</v>
      </c>
      <c r="G2148" s="83">
        <f t="shared" si="661"/>
        <v>0.25625</v>
      </c>
      <c r="I2148" s="146">
        <v>45516</v>
      </c>
      <c r="J2148" s="147">
        <v>2.17</v>
      </c>
      <c r="K2148" s="147">
        <v>1.67</v>
      </c>
      <c r="L2148" s="158">
        <v>1.826</v>
      </c>
      <c r="M2148" s="59" cm="1">
        <f t="array" ref="M2148">INDEX($BV$29:$BV$1449,MATCH($D2148,$BR$29:$BR$1449,0),)</f>
        <v>2.05</v>
      </c>
      <c r="N2148" s="150">
        <f t="shared" si="647"/>
        <v>-0.00164024056861667</v>
      </c>
      <c r="O2148" s="150">
        <f t="shared" si="648"/>
        <v>-0.00218579234972682</v>
      </c>
      <c r="P2148" s="150">
        <f t="shared" si="653"/>
        <v>-0.00218579234972682</v>
      </c>
      <c r="Q2148" s="89">
        <f t="shared" si="656"/>
        <v>-0.109268292682927</v>
      </c>
      <c r="S2148" s="82">
        <f t="shared" si="657"/>
        <v>45516</v>
      </c>
      <c r="T2148" s="83">
        <f t="shared" si="664"/>
        <v>0.3229375</v>
      </c>
      <c r="U2148" s="83">
        <f t="shared" si="664"/>
        <v>0.28125</v>
      </c>
      <c r="W2148" s="146">
        <v>45516</v>
      </c>
      <c r="X2148" s="147">
        <v>6.4</v>
      </c>
      <c r="Y2148" s="147">
        <v>4.25</v>
      </c>
      <c r="Z2148" s="158">
        <v>5.167</v>
      </c>
      <c r="AA2148" s="59" cm="1">
        <f t="array" ref="AA2148">INDEX($BX$29:$BX$1449,MATCH($D2148,$BR$29:$BR$1449,0),)</f>
        <v>4.5</v>
      </c>
      <c r="AB2148" s="150">
        <f t="shared" si="658"/>
        <v>0</v>
      </c>
      <c r="AC2148" s="150">
        <f t="shared" si="660"/>
        <v>0.00271686396274018</v>
      </c>
      <c r="AD2148" s="150">
        <f t="shared" si="663"/>
        <v>0.0125416421712718</v>
      </c>
      <c r="AE2148" s="89">
        <f t="shared" si="659"/>
        <v>0.148222222222222</v>
      </c>
    </row>
    <row r="2149" spans="3:31">
      <c r="C2149" s="80" t="str" cm="1">
        <f t="array" ref="C2149">_xlfn.IFS(MONTH(D2149)&lt;4,1,MONTH(D2149)&lt;7,2,MONTH(D2149)&lt;10,3,MONTH(D2149)&gt;9,4)&amp;"Q"&amp;RIGHT(YEAR(D2149),2)</f>
        <v>3Q24</v>
      </c>
      <c r="D2149" s="81">
        <f t="shared" si="662"/>
        <v>45535</v>
      </c>
      <c r="E2149" s="82">
        <f t="shared" si="655"/>
        <v>45517</v>
      </c>
      <c r="F2149" s="83">
        <f t="shared" si="661"/>
        <v>0.228125</v>
      </c>
      <c r="G2149" s="83">
        <f t="shared" si="661"/>
        <v>0.25625</v>
      </c>
      <c r="I2149" s="146">
        <v>45517</v>
      </c>
      <c r="J2149" s="147">
        <v>2.17</v>
      </c>
      <c r="K2149" s="147">
        <v>1.67</v>
      </c>
      <c r="L2149" s="158">
        <v>1.825</v>
      </c>
      <c r="M2149" s="59" cm="1">
        <f t="array" ref="M2149">INDEX($BV$29:$BV$1449,MATCH($D2149,$BR$29:$BR$1449,0),)</f>
        <v>2.05</v>
      </c>
      <c r="N2149" s="150">
        <f t="shared" si="647"/>
        <v>-0.000547645125958396</v>
      </c>
      <c r="O2149" s="150">
        <f t="shared" si="648"/>
        <v>-0.00218698742482226</v>
      </c>
      <c r="P2149" s="150">
        <f t="shared" si="653"/>
        <v>-0.00273224043715858</v>
      </c>
      <c r="Q2149" s="89">
        <f t="shared" si="656"/>
        <v>-0.109756097560976</v>
      </c>
      <c r="S2149" s="82">
        <f t="shared" si="657"/>
        <v>45517</v>
      </c>
      <c r="T2149" s="83">
        <f t="shared" si="664"/>
        <v>0.3223125</v>
      </c>
      <c r="U2149" s="83">
        <f t="shared" si="664"/>
        <v>0.28125</v>
      </c>
      <c r="W2149" s="146">
        <v>45517</v>
      </c>
      <c r="X2149" s="147">
        <v>6.4</v>
      </c>
      <c r="Y2149" s="147">
        <v>4.22</v>
      </c>
      <c r="Z2149" s="158">
        <v>5.157</v>
      </c>
      <c r="AA2149" s="59" cm="1">
        <f t="array" ref="AA2149">INDEX($BX$29:$BX$1449,MATCH($D2149,$BR$29:$BR$1449,0),)</f>
        <v>4.5</v>
      </c>
      <c r="AB2149" s="150">
        <f t="shared" si="658"/>
        <v>-0.00193535900909614</v>
      </c>
      <c r="AC2149" s="150">
        <f t="shared" si="660"/>
        <v>-0.00193535900909614</v>
      </c>
      <c r="AD2149" s="150">
        <f t="shared" si="663"/>
        <v>0.00722656250000009</v>
      </c>
      <c r="AE2149" s="89">
        <f t="shared" si="659"/>
        <v>0.146</v>
      </c>
    </row>
    <row r="2150" spans="3:31">
      <c r="C2150" s="80" t="str" cm="1">
        <f t="array" ref="C2150">_xlfn.IFS(MONTH(D2150)&lt;4,1,MONTH(D2150)&lt;7,2,MONTH(D2150)&lt;10,3,MONTH(D2150)&gt;9,4)&amp;"Q"&amp;RIGHT(YEAR(D2150),2)</f>
        <v>3Q24</v>
      </c>
      <c r="D2150" s="81">
        <f t="shared" si="662"/>
        <v>45535</v>
      </c>
      <c r="E2150" s="82">
        <f t="shared" si="655"/>
        <v>45518</v>
      </c>
      <c r="F2150" s="83">
        <f t="shared" si="661"/>
        <v>0.228125</v>
      </c>
      <c r="G2150" s="83">
        <f t="shared" si="661"/>
        <v>0.25625</v>
      </c>
      <c r="I2150" s="146">
        <v>45518</v>
      </c>
      <c r="J2150" s="147">
        <v>2.17</v>
      </c>
      <c r="K2150" s="147">
        <v>1.67</v>
      </c>
      <c r="L2150" s="158">
        <v>1.825</v>
      </c>
      <c r="M2150" s="59" cm="1">
        <f t="array" ref="M2150">INDEX($BV$29:$BV$1449,MATCH($D2150,$BR$29:$BR$1449,0),)</f>
        <v>2.05</v>
      </c>
      <c r="N2150" s="150">
        <f t="shared" si="647"/>
        <v>0</v>
      </c>
      <c r="O2150" s="150">
        <f t="shared" si="648"/>
        <v>-0.00218698742482226</v>
      </c>
      <c r="P2150" s="150">
        <f t="shared" si="653"/>
        <v>-0.00273224043715858</v>
      </c>
      <c r="Q2150" s="89">
        <f t="shared" si="656"/>
        <v>-0.109756097560976</v>
      </c>
      <c r="S2150" s="82">
        <f t="shared" si="657"/>
        <v>45518</v>
      </c>
      <c r="T2150" s="83">
        <f t="shared" si="664"/>
        <v>0.321875</v>
      </c>
      <c r="U2150" s="83">
        <f t="shared" si="664"/>
        <v>0.28125</v>
      </c>
      <c r="W2150" s="146">
        <v>45518</v>
      </c>
      <c r="X2150" s="147">
        <v>6.42</v>
      </c>
      <c r="Y2150" s="147">
        <v>4.2</v>
      </c>
      <c r="Z2150" s="158">
        <v>5.15</v>
      </c>
      <c r="AA2150" s="59" cm="1">
        <f t="array" ref="AA2150">INDEX($BX$29:$BX$1449,MATCH($D2150,$BR$29:$BR$1449,0),)</f>
        <v>4.5</v>
      </c>
      <c r="AB2150" s="150">
        <f t="shared" si="658"/>
        <v>-0.00135737832072902</v>
      </c>
      <c r="AC2150" s="150">
        <f t="shared" si="660"/>
        <v>-0.00329011031546345</v>
      </c>
      <c r="AD2150" s="150">
        <f t="shared" si="663"/>
        <v>0.00253065991824042</v>
      </c>
      <c r="AE2150" s="89">
        <f t="shared" si="659"/>
        <v>0.144444444444445</v>
      </c>
    </row>
    <row r="2151" spans="3:31">
      <c r="C2151" s="80" t="str" cm="1">
        <f t="array" ref="C2151">_xlfn.IFS(MONTH(D2151)&lt;4,1,MONTH(D2151)&lt;7,2,MONTH(D2151)&lt;10,3,MONTH(D2151)&gt;9,4)&amp;"Q"&amp;RIGHT(YEAR(D2151),2)</f>
        <v>3Q24</v>
      </c>
      <c r="D2151" s="81">
        <f t="shared" si="662"/>
        <v>45535</v>
      </c>
      <c r="E2151" s="82">
        <f t="shared" si="655"/>
        <v>45519</v>
      </c>
      <c r="F2151" s="83">
        <f t="shared" si="661"/>
        <v>0.228</v>
      </c>
      <c r="G2151" s="83">
        <f t="shared" si="661"/>
        <v>0.25625</v>
      </c>
      <c r="I2151" s="146">
        <v>45519</v>
      </c>
      <c r="J2151" s="147">
        <v>2.17</v>
      </c>
      <c r="K2151" s="147">
        <v>1.67</v>
      </c>
      <c r="L2151" s="158">
        <v>1.824</v>
      </c>
      <c r="M2151" s="59" cm="1">
        <f t="array" ref="M2151">INDEX($BV$29:$BV$1449,MATCH($D2151,$BR$29:$BR$1449,0),)</f>
        <v>2.05</v>
      </c>
      <c r="N2151" s="150">
        <f t="shared" si="647"/>
        <v>-0.000547945205479405</v>
      </c>
      <c r="O2151" s="150">
        <f t="shared" si="648"/>
        <v>-0.00273373428102786</v>
      </c>
      <c r="P2151" s="150">
        <f t="shared" si="653"/>
        <v>-0.00327868852459012</v>
      </c>
      <c r="Q2151" s="89">
        <f t="shared" si="656"/>
        <v>-0.110243902439024</v>
      </c>
      <c r="S2151" s="82">
        <f t="shared" si="657"/>
        <v>45519</v>
      </c>
      <c r="T2151" s="83">
        <f t="shared" si="664"/>
        <v>0.3216875</v>
      </c>
      <c r="U2151" s="83">
        <f t="shared" si="664"/>
        <v>0.28125</v>
      </c>
      <c r="W2151" s="146">
        <v>45519</v>
      </c>
      <c r="X2151" s="147">
        <v>6.42</v>
      </c>
      <c r="Y2151" s="147">
        <v>4.2</v>
      </c>
      <c r="Z2151" s="158">
        <v>5.147</v>
      </c>
      <c r="AA2151" s="59" cm="1">
        <f t="array" ref="AA2151">INDEX($BX$29:$BX$1449,MATCH($D2151,$BR$29:$BR$1449,0),)</f>
        <v>4.5</v>
      </c>
      <c r="AB2151" s="150">
        <f t="shared" si="658"/>
        <v>-0.000582524271844687</v>
      </c>
      <c r="AC2151" s="150">
        <f t="shared" si="660"/>
        <v>-0.00387071801819228</v>
      </c>
      <c r="AD2151" s="150">
        <f t="shared" si="663"/>
        <v>0.00077775617343967</v>
      </c>
      <c r="AE2151" s="89">
        <f t="shared" si="659"/>
        <v>0.143777777777778</v>
      </c>
    </row>
    <row r="2152" spans="3:31">
      <c r="C2152" s="80" t="str" cm="1">
        <f t="array" ref="C2152">_xlfn.IFS(MONTH(D2152)&lt;4,1,MONTH(D2152)&lt;7,2,MONTH(D2152)&lt;10,3,MONTH(D2152)&gt;9,4)&amp;"Q"&amp;RIGHT(YEAR(D2152),2)</f>
        <v>3Q24</v>
      </c>
      <c r="D2152" s="81">
        <f t="shared" si="662"/>
        <v>45535</v>
      </c>
      <c r="E2152" s="82">
        <f t="shared" si="655"/>
        <v>45520</v>
      </c>
      <c r="F2152" s="83">
        <f t="shared" si="661"/>
        <v>0.227875</v>
      </c>
      <c r="G2152" s="83">
        <f t="shared" si="661"/>
        <v>0.25625</v>
      </c>
      <c r="I2152" s="146">
        <v>45520</v>
      </c>
      <c r="J2152" s="147">
        <v>2.17</v>
      </c>
      <c r="K2152" s="147">
        <v>1.67</v>
      </c>
      <c r="L2152" s="158">
        <v>1.823</v>
      </c>
      <c r="M2152" s="59" cm="1">
        <f t="array" ref="M2152">INDEX($BV$29:$BV$1449,MATCH($D2152,$BR$29:$BR$1449,0),)</f>
        <v>2.05</v>
      </c>
      <c r="N2152" s="150">
        <f t="shared" si="647"/>
        <v>-0.000548245614035103</v>
      </c>
      <c r="O2152" s="150">
        <f t="shared" si="648"/>
        <v>-0.00328048113723345</v>
      </c>
      <c r="P2152" s="150">
        <f t="shared" si="653"/>
        <v>-0.00382513661202188</v>
      </c>
      <c r="Q2152" s="89">
        <f t="shared" si="656"/>
        <v>-0.110731707317073</v>
      </c>
      <c r="S2152" s="82">
        <f t="shared" si="657"/>
        <v>45520</v>
      </c>
      <c r="T2152" s="83">
        <f t="shared" si="664"/>
        <v>0.3214375</v>
      </c>
      <c r="U2152" s="83">
        <f t="shared" si="664"/>
        <v>0.28125</v>
      </c>
      <c r="W2152" s="146">
        <v>45520</v>
      </c>
      <c r="X2152" s="147">
        <v>6.42</v>
      </c>
      <c r="Y2152" s="147">
        <v>4.19</v>
      </c>
      <c r="Z2152" s="158">
        <v>5.143</v>
      </c>
      <c r="AA2152" s="59" cm="1">
        <f t="array" ref="AA2152">INDEX($BX$29:$BX$1449,MATCH($D2152,$BR$29:$BR$1449,0),)</f>
        <v>4.5</v>
      </c>
      <c r="AB2152" s="150">
        <f t="shared" si="658"/>
        <v>-0.000777151738877158</v>
      </c>
      <c r="AC2152" s="150">
        <f t="shared" si="660"/>
        <v>-0.00464486162183086</v>
      </c>
      <c r="AD2152" s="150">
        <f t="shared" si="663"/>
        <v>-0.00135922330097094</v>
      </c>
      <c r="AE2152" s="89">
        <f t="shared" si="659"/>
        <v>0.142888888888889</v>
      </c>
    </row>
    <row r="2153" spans="3:31">
      <c r="C2153" s="80" t="str" cm="1">
        <f t="array" ref="C2153">_xlfn.IFS(MONTH(D2153)&lt;4,1,MONTH(D2153)&lt;7,2,MONTH(D2153)&lt;10,3,MONTH(D2153)&gt;9,4)&amp;"Q"&amp;RIGHT(YEAR(D2153),2)</f>
        <v>3Q24</v>
      </c>
      <c r="D2153" s="81">
        <f t="shared" si="662"/>
        <v>45535</v>
      </c>
      <c r="E2153" s="82">
        <f t="shared" si="655"/>
        <v>45523</v>
      </c>
      <c r="F2153" s="83">
        <f t="shared" si="661"/>
        <v>0.2275</v>
      </c>
      <c r="G2153" s="83">
        <f t="shared" si="661"/>
        <v>0.25625</v>
      </c>
      <c r="I2153" s="146">
        <v>45523</v>
      </c>
      <c r="J2153" s="147">
        <v>2.15</v>
      </c>
      <c r="K2153" s="147">
        <v>1.65</v>
      </c>
      <c r="L2153" s="158">
        <v>1.82</v>
      </c>
      <c r="M2153" s="59" cm="1">
        <f t="array" ref="M2153">INDEX($BV$29:$BV$1449,MATCH($D2153,$BR$29:$BR$1449,0),)</f>
        <v>2.05</v>
      </c>
      <c r="N2153" s="150">
        <f t="shared" si="647"/>
        <v>-0.00164563905650017</v>
      </c>
      <c r="O2153" s="150">
        <f t="shared" si="648"/>
        <v>-0.00328587075575026</v>
      </c>
      <c r="P2153" s="150">
        <f t="shared" si="653"/>
        <v>-0.00546448087431695</v>
      </c>
      <c r="Q2153" s="89">
        <f t="shared" si="656"/>
        <v>-0.112195121951219</v>
      </c>
      <c r="S2153" s="82">
        <f t="shared" si="657"/>
        <v>45523</v>
      </c>
      <c r="T2153" s="83">
        <f t="shared" si="664"/>
        <v>0.3214375</v>
      </c>
      <c r="U2153" s="83">
        <f t="shared" si="664"/>
        <v>0.28125</v>
      </c>
      <c r="W2153" s="146">
        <v>45523</v>
      </c>
      <c r="X2153" s="147">
        <v>6.4</v>
      </c>
      <c r="Y2153" s="147">
        <v>4.2</v>
      </c>
      <c r="Z2153" s="158">
        <v>5.143</v>
      </c>
      <c r="AA2153" s="59" cm="1">
        <f t="array" ref="AA2153">INDEX($BX$29:$BX$1449,MATCH($D2153,$BR$29:$BR$1449,0),)</f>
        <v>4.5</v>
      </c>
      <c r="AB2153" s="150">
        <f t="shared" si="658"/>
        <v>0</v>
      </c>
      <c r="AC2153" s="150">
        <f t="shared" si="660"/>
        <v>-0.00464486162183086</v>
      </c>
      <c r="AD2153" s="150">
        <f t="shared" si="663"/>
        <v>-0.00194061711624294</v>
      </c>
      <c r="AE2153" s="89">
        <f t="shared" si="659"/>
        <v>0.142888888888889</v>
      </c>
    </row>
    <row r="2154" spans="3:31">
      <c r="C2154" s="80" t="str" cm="1">
        <f t="array" ref="C2154">_xlfn.IFS(MONTH(D2154)&lt;4,1,MONTH(D2154)&lt;7,2,MONTH(D2154)&lt;10,3,MONTH(D2154)&gt;9,4)&amp;"Q"&amp;RIGHT(YEAR(D2154),2)</f>
        <v>3Q24</v>
      </c>
      <c r="D2154" s="81">
        <f t="shared" si="662"/>
        <v>45535</v>
      </c>
      <c r="E2154" s="82">
        <f t="shared" si="655"/>
        <v>45524</v>
      </c>
      <c r="F2154" s="83">
        <f t="shared" ref="F2154:G2169" si="665">+L2154/8</f>
        <v>0.226</v>
      </c>
      <c r="G2154" s="83">
        <f t="shared" si="665"/>
        <v>0.25625</v>
      </c>
      <c r="I2154" s="146">
        <v>45524</v>
      </c>
      <c r="J2154" s="147">
        <v>2.15</v>
      </c>
      <c r="K2154" s="147">
        <v>1.6</v>
      </c>
      <c r="L2154" s="158">
        <v>1.808</v>
      </c>
      <c r="M2154" s="59" cm="1">
        <f t="array" ref="M2154">INDEX($BV$29:$BV$1449,MATCH($D2154,$BR$29:$BR$1449,0),)</f>
        <v>2.05</v>
      </c>
      <c r="N2154" s="150">
        <f t="shared" si="647"/>
        <v>-0.00659340659340657</v>
      </c>
      <c r="O2154" s="150">
        <f t="shared" si="648"/>
        <v>-0.00931506849315067</v>
      </c>
      <c r="P2154" s="150">
        <f t="shared" si="653"/>
        <v>-0.011481683980317</v>
      </c>
      <c r="Q2154" s="89">
        <f t="shared" si="656"/>
        <v>-0.118048780487805</v>
      </c>
      <c r="S2154" s="82">
        <f t="shared" si="657"/>
        <v>45524</v>
      </c>
      <c r="T2154" s="83">
        <f t="shared" si="664"/>
        <v>0.32125</v>
      </c>
      <c r="U2154" s="83">
        <f t="shared" si="664"/>
        <v>0.28125</v>
      </c>
      <c r="W2154" s="146">
        <v>45524</v>
      </c>
      <c r="X2154" s="147">
        <v>6.4</v>
      </c>
      <c r="Y2154" s="147">
        <v>4.2</v>
      </c>
      <c r="Z2154" s="158">
        <v>5.14</v>
      </c>
      <c r="AA2154" s="59" cm="1">
        <f t="array" ref="AA2154">INDEX($BX$29:$BX$1449,MATCH($D2154,$BR$29:$BR$1449,0),)</f>
        <v>4.5</v>
      </c>
      <c r="AB2154" s="150">
        <f t="shared" si="658"/>
        <v>-0.000583317130079752</v>
      </c>
      <c r="AC2154" s="150">
        <f t="shared" si="660"/>
        <v>-0.00329649020748501</v>
      </c>
      <c r="AD2154" s="150">
        <f t="shared" si="663"/>
        <v>-0.0052254693245597</v>
      </c>
      <c r="AE2154" s="89">
        <f t="shared" si="659"/>
        <v>0.142222222222222</v>
      </c>
    </row>
    <row r="2155" spans="3:31">
      <c r="C2155" s="80" t="str" cm="1">
        <f t="array" ref="C2155">_xlfn.IFS(MONTH(D2155)&lt;4,1,MONTH(D2155)&lt;7,2,MONTH(D2155)&lt;10,3,MONTH(D2155)&gt;9,4)&amp;"Q"&amp;RIGHT(YEAR(D2155),2)</f>
        <v>3Q24</v>
      </c>
      <c r="D2155" s="81">
        <f t="shared" si="662"/>
        <v>45535</v>
      </c>
      <c r="E2155" s="82">
        <f t="shared" si="655"/>
        <v>45525</v>
      </c>
      <c r="F2155" s="83">
        <f t="shared" si="665"/>
        <v>0.22475</v>
      </c>
      <c r="G2155" s="83">
        <f t="shared" si="665"/>
        <v>0.25625</v>
      </c>
      <c r="I2155" s="146">
        <v>45525</v>
      </c>
      <c r="J2155" s="147">
        <v>2.15</v>
      </c>
      <c r="K2155" s="147">
        <v>1.6</v>
      </c>
      <c r="L2155" s="158">
        <v>1.798</v>
      </c>
      <c r="M2155" s="59" cm="1">
        <f t="array" ref="M2155">INDEX($BV$29:$BV$1449,MATCH($D2155,$BR$29:$BR$1449,0),)</f>
        <v>2.05</v>
      </c>
      <c r="N2155" s="150">
        <f t="shared" si="647"/>
        <v>-0.00553097345132747</v>
      </c>
      <c r="O2155" s="150">
        <f t="shared" si="648"/>
        <v>-0.0147945205479452</v>
      </c>
      <c r="P2155" s="150">
        <f t="shared" si="653"/>
        <v>-0.0169491525423728</v>
      </c>
      <c r="Q2155" s="89">
        <f t="shared" si="656"/>
        <v>-0.122926829268293</v>
      </c>
      <c r="S2155" s="82">
        <f t="shared" si="657"/>
        <v>45525</v>
      </c>
      <c r="T2155" s="83">
        <f t="shared" si="664"/>
        <v>0.32125</v>
      </c>
      <c r="U2155" s="83">
        <f t="shared" si="664"/>
        <v>0.28125</v>
      </c>
      <c r="W2155" s="146">
        <v>45525</v>
      </c>
      <c r="X2155" s="147">
        <v>6.4</v>
      </c>
      <c r="Y2155" s="147">
        <v>4.2</v>
      </c>
      <c r="Z2155" s="158">
        <v>5.14</v>
      </c>
      <c r="AA2155" s="59" cm="1">
        <f t="array" ref="AA2155">INDEX($BX$29:$BX$1449,MATCH($D2155,$BR$29:$BR$1449,0),)</f>
        <v>4.5</v>
      </c>
      <c r="AB2155" s="150">
        <f t="shared" si="658"/>
        <v>0</v>
      </c>
      <c r="AC2155" s="150">
        <f t="shared" si="660"/>
        <v>-0.00194174757281562</v>
      </c>
      <c r="AD2155" s="150">
        <f t="shared" si="663"/>
        <v>-0.0052254693245597</v>
      </c>
      <c r="AE2155" s="89">
        <f t="shared" si="659"/>
        <v>0.142222222222222</v>
      </c>
    </row>
    <row r="2156" spans="3:31">
      <c r="C2156" s="80" t="str" cm="1">
        <f t="array" ref="C2156">_xlfn.IFS(MONTH(D2156)&lt;4,1,MONTH(D2156)&lt;7,2,MONTH(D2156)&lt;10,3,MONTH(D2156)&gt;9,4)&amp;"Q"&amp;RIGHT(YEAR(D2156),2)</f>
        <v>3Q24</v>
      </c>
      <c r="D2156" s="81">
        <f t="shared" si="662"/>
        <v>45535</v>
      </c>
      <c r="E2156" s="82">
        <f t="shared" si="655"/>
        <v>45526</v>
      </c>
      <c r="F2156" s="83">
        <f t="shared" si="665"/>
        <v>0.224375</v>
      </c>
      <c r="G2156" s="83">
        <f t="shared" si="665"/>
        <v>0.25625</v>
      </c>
      <c r="I2156" s="146">
        <v>45526</v>
      </c>
      <c r="J2156" s="147">
        <v>2.15</v>
      </c>
      <c r="K2156" s="147">
        <v>1.6</v>
      </c>
      <c r="L2156" s="158">
        <v>1.795</v>
      </c>
      <c r="M2156" s="59" cm="1">
        <f t="array" ref="M2156">INDEX($BV$29:$BV$1449,MATCH($D2156,$BR$29:$BR$1449,0),)</f>
        <v>2.05</v>
      </c>
      <c r="N2156" s="150">
        <f t="shared" ref="N2156:N2219" si="666">L2156/L2155-1</f>
        <v>-0.00166852057842048</v>
      </c>
      <c r="O2156" s="150">
        <f t="shared" ref="O2156:O2219" si="667">L2156/L2151-1</f>
        <v>-0.0158991228070177</v>
      </c>
      <c r="P2156" s="150">
        <f t="shared" si="653"/>
        <v>-0.0185893931109896</v>
      </c>
      <c r="Q2156" s="89">
        <f t="shared" si="656"/>
        <v>-0.124390243902439</v>
      </c>
      <c r="S2156" s="82">
        <f t="shared" si="657"/>
        <v>45526</v>
      </c>
      <c r="T2156" s="83">
        <f t="shared" si="664"/>
        <v>0.3210625</v>
      </c>
      <c r="U2156" s="83">
        <f t="shared" si="664"/>
        <v>0.28125</v>
      </c>
      <c r="W2156" s="146">
        <v>45526</v>
      </c>
      <c r="X2156" s="147">
        <v>6.4</v>
      </c>
      <c r="Y2156" s="147">
        <v>4.2</v>
      </c>
      <c r="Z2156" s="158">
        <v>5.137</v>
      </c>
      <c r="AA2156" s="59" cm="1">
        <f t="array" ref="AA2156">INDEX($BX$29:$BX$1449,MATCH($D2156,$BR$29:$BR$1449,0),)</f>
        <v>4.5</v>
      </c>
      <c r="AB2156" s="150">
        <f t="shared" si="658"/>
        <v>-0.000583657587548636</v>
      </c>
      <c r="AC2156" s="150">
        <f t="shared" si="660"/>
        <v>-0.00194287934719262</v>
      </c>
      <c r="AD2156" s="150">
        <f t="shared" si="663"/>
        <v>-0.00580607702728864</v>
      </c>
      <c r="AE2156" s="89">
        <f t="shared" si="659"/>
        <v>0.141555555555555</v>
      </c>
    </row>
    <row r="2157" spans="3:31">
      <c r="C2157" s="80" t="str" cm="1">
        <f t="array" ref="C2157">_xlfn.IFS(MONTH(D2157)&lt;4,1,MONTH(D2157)&lt;7,2,MONTH(D2157)&lt;10,3,MONTH(D2157)&gt;9,4)&amp;"Q"&amp;RIGHT(YEAR(D2157),2)</f>
        <v>3Q24</v>
      </c>
      <c r="D2157" s="81">
        <f t="shared" si="662"/>
        <v>45535</v>
      </c>
      <c r="E2157" s="82">
        <f t="shared" si="655"/>
        <v>45527</v>
      </c>
      <c r="F2157" s="83">
        <f t="shared" si="665"/>
        <v>0.2235</v>
      </c>
      <c r="G2157" s="83">
        <f t="shared" si="665"/>
        <v>0.25625</v>
      </c>
      <c r="I2157" s="146">
        <v>45527</v>
      </c>
      <c r="J2157" s="147">
        <v>2.15</v>
      </c>
      <c r="K2157" s="147">
        <v>1.58</v>
      </c>
      <c r="L2157" s="158">
        <v>1.788</v>
      </c>
      <c r="M2157" s="59" cm="1">
        <f t="array" ref="M2157">INDEX($BV$29:$BV$1449,MATCH($D2157,$BR$29:$BR$1449,0),)</f>
        <v>2.05</v>
      </c>
      <c r="N2157" s="150">
        <f t="shared" si="666"/>
        <v>-0.00389972144846795</v>
      </c>
      <c r="O2157" s="150">
        <f t="shared" si="667"/>
        <v>-0.0191991223258365</v>
      </c>
      <c r="P2157" s="150">
        <f t="shared" si="653"/>
        <v>-0.0224166211044287</v>
      </c>
      <c r="Q2157" s="89">
        <f t="shared" si="656"/>
        <v>-0.12780487804878</v>
      </c>
      <c r="S2157" s="82">
        <f t="shared" si="657"/>
        <v>45527</v>
      </c>
      <c r="T2157" s="83">
        <f t="shared" si="664"/>
        <v>0.3210625</v>
      </c>
      <c r="U2157" s="83">
        <f t="shared" si="664"/>
        <v>0.28125</v>
      </c>
      <c r="W2157" s="146">
        <v>45527</v>
      </c>
      <c r="X2157" s="147">
        <v>6.4</v>
      </c>
      <c r="Y2157" s="147">
        <v>4.2</v>
      </c>
      <c r="Z2157" s="158">
        <v>5.137</v>
      </c>
      <c r="AA2157" s="59" cm="1">
        <f t="array" ref="AA2157">INDEX($BX$29:$BX$1449,MATCH($D2157,$BR$29:$BR$1449,0),)</f>
        <v>4.5</v>
      </c>
      <c r="AB2157" s="150">
        <f t="shared" si="658"/>
        <v>0</v>
      </c>
      <c r="AC2157" s="150">
        <f t="shared" si="660"/>
        <v>-0.0011666342601595</v>
      </c>
      <c r="AD2157" s="150">
        <f t="shared" si="663"/>
        <v>-0.00580607702728864</v>
      </c>
      <c r="AE2157" s="89">
        <f t="shared" si="659"/>
        <v>0.141555555555555</v>
      </c>
    </row>
    <row r="2158" spans="3:31">
      <c r="C2158" s="80" t="str" cm="1">
        <f t="array" ref="C2158">_xlfn.IFS(MONTH(D2158)&lt;4,1,MONTH(D2158)&lt;7,2,MONTH(D2158)&lt;10,3,MONTH(D2158)&gt;9,4)&amp;"Q"&amp;RIGHT(YEAR(D2158),2)</f>
        <v>3Q24</v>
      </c>
      <c r="D2158" s="81">
        <f t="shared" si="662"/>
        <v>45535</v>
      </c>
      <c r="E2158" s="82">
        <f t="shared" si="655"/>
        <v>45530</v>
      </c>
      <c r="F2158" s="83">
        <f t="shared" si="665"/>
        <v>0.2225</v>
      </c>
      <c r="G2158" s="83">
        <f t="shared" si="665"/>
        <v>0.25625</v>
      </c>
      <c r="I2158" s="146">
        <v>45530</v>
      </c>
      <c r="J2158" s="147">
        <v>2.14</v>
      </c>
      <c r="K2158" s="147">
        <v>1.55</v>
      </c>
      <c r="L2158" s="158">
        <v>1.78</v>
      </c>
      <c r="M2158" s="59" cm="1">
        <f t="array" ref="M2158">INDEX($BV$29:$BV$1449,MATCH($D2158,$BR$29:$BR$1449,0),)</f>
        <v>2.05</v>
      </c>
      <c r="N2158" s="150">
        <f t="shared" si="666"/>
        <v>-0.00447427293064873</v>
      </c>
      <c r="O2158" s="150">
        <f t="shared" si="667"/>
        <v>-0.021978021978022</v>
      </c>
      <c r="P2158" s="150">
        <f t="shared" si="653"/>
        <v>-0.0251916757940854</v>
      </c>
      <c r="Q2158" s="89">
        <f t="shared" si="656"/>
        <v>-0.131707317073171</v>
      </c>
      <c r="S2158" s="82">
        <f t="shared" si="657"/>
        <v>45530</v>
      </c>
      <c r="T2158" s="83">
        <f t="shared" si="664"/>
        <v>0.320625</v>
      </c>
      <c r="U2158" s="83">
        <f t="shared" si="664"/>
        <v>0.28125</v>
      </c>
      <c r="W2158" s="146">
        <v>45530</v>
      </c>
      <c r="X2158" s="147">
        <v>6.42</v>
      </c>
      <c r="Y2158" s="147">
        <v>4.19</v>
      </c>
      <c r="Z2158" s="158">
        <v>5.13</v>
      </c>
      <c r="AA2158" s="59" cm="1">
        <f t="array" ref="AA2158">INDEX($BX$29:$BX$1449,MATCH($D2158,$BR$29:$BR$1449,0),)</f>
        <v>4.5</v>
      </c>
      <c r="AB2158" s="150">
        <f t="shared" si="658"/>
        <v>-0.00136266303289856</v>
      </c>
      <c r="AC2158" s="150">
        <f t="shared" si="660"/>
        <v>-0.00252770756367882</v>
      </c>
      <c r="AD2158" s="150">
        <f t="shared" si="663"/>
        <v>-0.00716082833365583</v>
      </c>
      <c r="AE2158" s="89">
        <f t="shared" si="659"/>
        <v>0.14</v>
      </c>
    </row>
    <row r="2159" spans="3:31">
      <c r="C2159" s="80" t="str" cm="1">
        <f t="array" ref="C2159">_xlfn.IFS(MONTH(D2159)&lt;4,1,MONTH(D2159)&lt;7,2,MONTH(D2159)&lt;10,3,MONTH(D2159)&gt;9,4)&amp;"Q"&amp;RIGHT(YEAR(D2159),2)</f>
        <v>3Q24</v>
      </c>
      <c r="D2159" s="81">
        <f t="shared" si="662"/>
        <v>45535</v>
      </c>
      <c r="E2159" s="82">
        <f t="shared" si="655"/>
        <v>45531</v>
      </c>
      <c r="F2159" s="83">
        <f t="shared" si="665"/>
        <v>0.221625</v>
      </c>
      <c r="G2159" s="83">
        <f t="shared" si="665"/>
        <v>0.25625</v>
      </c>
      <c r="I2159" s="146">
        <v>45531</v>
      </c>
      <c r="J2159" s="147">
        <v>2.14</v>
      </c>
      <c r="K2159" s="147">
        <v>1.55</v>
      </c>
      <c r="L2159" s="158">
        <v>1.773</v>
      </c>
      <c r="M2159" s="59" cm="1">
        <f t="array" ref="M2159">INDEX($BV$29:$BV$1449,MATCH($D2159,$BR$29:$BR$1449,0),)</f>
        <v>2.05</v>
      </c>
      <c r="N2159" s="150">
        <f t="shared" si="666"/>
        <v>-0.00393258426966303</v>
      </c>
      <c r="O2159" s="150">
        <f t="shared" si="667"/>
        <v>-0.0193584070796461</v>
      </c>
      <c r="P2159" s="150">
        <f t="shared" si="653"/>
        <v>-0.0284931506849315</v>
      </c>
      <c r="Q2159" s="89">
        <f t="shared" si="656"/>
        <v>-0.135121951219512</v>
      </c>
      <c r="S2159" s="82">
        <f t="shared" si="657"/>
        <v>45531</v>
      </c>
      <c r="T2159" s="83">
        <f t="shared" si="664"/>
        <v>0.3204375</v>
      </c>
      <c r="U2159" s="83">
        <f t="shared" si="664"/>
        <v>0.28125</v>
      </c>
      <c r="W2159" s="146">
        <v>45531</v>
      </c>
      <c r="X2159" s="147">
        <v>6.42</v>
      </c>
      <c r="Y2159" s="147">
        <v>4.19</v>
      </c>
      <c r="Z2159" s="158">
        <v>5.127</v>
      </c>
      <c r="AA2159" s="59" cm="1">
        <f t="array" ref="AA2159">INDEX($BX$29:$BX$1449,MATCH($D2159,$BR$29:$BR$1449,0),)</f>
        <v>4.5</v>
      </c>
      <c r="AB2159" s="150">
        <f t="shared" si="658"/>
        <v>-0.000584795321637466</v>
      </c>
      <c r="AC2159" s="150">
        <f t="shared" si="660"/>
        <v>-0.00252918287937742</v>
      </c>
      <c r="AD2159" s="150">
        <f t="shared" si="663"/>
        <v>-0.00581733566026765</v>
      </c>
      <c r="AE2159" s="89">
        <f t="shared" si="659"/>
        <v>0.139333333333333</v>
      </c>
    </row>
    <row r="2160" spans="3:31">
      <c r="C2160" s="80" t="str" cm="1">
        <f t="array" ref="C2160">_xlfn.IFS(MONTH(D2160)&lt;4,1,MONTH(D2160)&lt;7,2,MONTH(D2160)&lt;10,3,MONTH(D2160)&gt;9,4)&amp;"Q"&amp;RIGHT(YEAR(D2160),2)</f>
        <v>3Q24</v>
      </c>
      <c r="D2160" s="81">
        <f t="shared" si="662"/>
        <v>45535</v>
      </c>
      <c r="E2160" s="82">
        <f t="shared" si="655"/>
        <v>45532</v>
      </c>
      <c r="F2160" s="83">
        <f t="shared" si="665"/>
        <v>0.22125</v>
      </c>
      <c r="G2160" s="83">
        <f t="shared" si="665"/>
        <v>0.25625</v>
      </c>
      <c r="I2160" s="146">
        <v>45532</v>
      </c>
      <c r="J2160" s="147">
        <v>2.14</v>
      </c>
      <c r="K2160" s="147">
        <v>1.55</v>
      </c>
      <c r="L2160" s="158">
        <v>1.77</v>
      </c>
      <c r="M2160" s="59" cm="1">
        <f t="array" ref="M2160">INDEX($BV$29:$BV$1449,MATCH($D2160,$BR$29:$BR$1449,0),)</f>
        <v>2.05</v>
      </c>
      <c r="N2160" s="150">
        <f t="shared" si="666"/>
        <v>-0.00169204737732653</v>
      </c>
      <c r="O2160" s="150">
        <f t="shared" si="667"/>
        <v>-0.0155728587319244</v>
      </c>
      <c r="P2160" s="150">
        <f t="shared" si="653"/>
        <v>-0.0301369863013699</v>
      </c>
      <c r="Q2160" s="89">
        <f t="shared" si="656"/>
        <v>-0.136585365853658</v>
      </c>
      <c r="S2160" s="82">
        <f t="shared" si="657"/>
        <v>45532</v>
      </c>
      <c r="T2160" s="83">
        <f t="shared" ref="T2160:U2175" si="668">+Z2160/16</f>
        <v>0.3195625</v>
      </c>
      <c r="U2160" s="83">
        <f t="shared" si="668"/>
        <v>0.28125</v>
      </c>
      <c r="W2160" s="146">
        <v>45532</v>
      </c>
      <c r="X2160" s="147">
        <v>6.42</v>
      </c>
      <c r="Y2160" s="147">
        <v>4.18</v>
      </c>
      <c r="Z2160" s="158">
        <v>5.113</v>
      </c>
      <c r="AA2160" s="59" cm="1">
        <f t="array" ref="AA2160">INDEX($BX$29:$BX$1449,MATCH($D2160,$BR$29:$BR$1449,0),)</f>
        <v>4.5</v>
      </c>
      <c r="AB2160" s="150">
        <f t="shared" si="658"/>
        <v>-0.00273064170079951</v>
      </c>
      <c r="AC2160" s="150">
        <f t="shared" si="660"/>
        <v>-0.00525291828793761</v>
      </c>
      <c r="AD2160" s="150">
        <f t="shared" si="663"/>
        <v>-0.00718446601941747</v>
      </c>
      <c r="AE2160" s="89">
        <f t="shared" si="659"/>
        <v>0.136222222222222</v>
      </c>
    </row>
    <row r="2161" spans="3:31">
      <c r="C2161" s="80" t="str" cm="1">
        <f t="array" ref="C2161">_xlfn.IFS(MONTH(D2161)&lt;4,1,MONTH(D2161)&lt;7,2,MONTH(D2161)&lt;10,3,MONTH(D2161)&gt;9,4)&amp;"Q"&amp;RIGHT(YEAR(D2161),2)</f>
        <v>3Q24</v>
      </c>
      <c r="D2161" s="81">
        <f t="shared" si="662"/>
        <v>45535</v>
      </c>
      <c r="E2161" s="82">
        <f t="shared" si="655"/>
        <v>45533</v>
      </c>
      <c r="F2161" s="83">
        <f t="shared" si="665"/>
        <v>0.221</v>
      </c>
      <c r="G2161" s="83">
        <f t="shared" si="665"/>
        <v>0.25625</v>
      </c>
      <c r="I2161" s="146">
        <v>45533</v>
      </c>
      <c r="J2161" s="147">
        <v>2.14</v>
      </c>
      <c r="K2161" s="147">
        <v>1.55</v>
      </c>
      <c r="L2161" s="158">
        <v>1.768</v>
      </c>
      <c r="M2161" s="59" cm="1">
        <f t="array" ref="M2161">INDEX($BV$29:$BV$1449,MATCH($D2161,$BR$29:$BR$1449,0),)</f>
        <v>2.05</v>
      </c>
      <c r="N2161" s="150">
        <f t="shared" si="666"/>
        <v>-0.00112994350282491</v>
      </c>
      <c r="O2161" s="150">
        <f t="shared" si="667"/>
        <v>-0.0150417827298049</v>
      </c>
      <c r="P2161" s="150">
        <f t="shared" si="653"/>
        <v>-0.0307017543859649</v>
      </c>
      <c r="Q2161" s="89">
        <f t="shared" si="656"/>
        <v>-0.137560975609756</v>
      </c>
      <c r="S2161" s="82">
        <f t="shared" si="657"/>
        <v>45533</v>
      </c>
      <c r="T2161" s="83">
        <f t="shared" si="668"/>
        <v>0.3193125</v>
      </c>
      <c r="U2161" s="83">
        <f t="shared" si="668"/>
        <v>0.28125</v>
      </c>
      <c r="W2161" s="146">
        <v>45533</v>
      </c>
      <c r="X2161" s="147">
        <v>6.42</v>
      </c>
      <c r="Y2161" s="147">
        <v>4.18</v>
      </c>
      <c r="Z2161" s="158">
        <v>5.109</v>
      </c>
      <c r="AA2161" s="59" cm="1">
        <f t="array" ref="AA2161">INDEX($BX$29:$BX$1449,MATCH($D2161,$BR$29:$BR$1449,0),)</f>
        <v>4.5</v>
      </c>
      <c r="AB2161" s="150">
        <f t="shared" si="658"/>
        <v>-0.000782319577547486</v>
      </c>
      <c r="AC2161" s="150">
        <f t="shared" si="660"/>
        <v>-0.00545065213159424</v>
      </c>
      <c r="AD2161" s="150">
        <f t="shared" si="663"/>
        <v>-0.00738294151933172</v>
      </c>
      <c r="AE2161" s="89">
        <f t="shared" si="659"/>
        <v>0.135333333333333</v>
      </c>
    </row>
    <row r="2162" spans="3:31">
      <c r="C2162" s="80" t="str" cm="1">
        <f t="array" ref="C2162">_xlfn.IFS(MONTH(D2162)&lt;4,1,MONTH(D2162)&lt;7,2,MONTH(D2162)&lt;10,3,MONTH(D2162)&gt;9,4)&amp;"Q"&amp;RIGHT(YEAR(D2162),2)</f>
        <v>3Q24</v>
      </c>
      <c r="D2162" s="81">
        <f t="shared" si="662"/>
        <v>45535</v>
      </c>
      <c r="E2162" s="82">
        <f t="shared" si="655"/>
        <v>45534</v>
      </c>
      <c r="F2162" s="83">
        <f t="shared" si="665"/>
        <v>0.220625</v>
      </c>
      <c r="G2162" s="83">
        <f t="shared" si="665"/>
        <v>0.25625</v>
      </c>
      <c r="I2162" s="146">
        <v>45534</v>
      </c>
      <c r="J2162" s="147">
        <v>2.15</v>
      </c>
      <c r="K2162" s="147">
        <v>1.55</v>
      </c>
      <c r="L2162" s="158">
        <v>1.765</v>
      </c>
      <c r="M2162" s="59" cm="1">
        <f t="array" ref="M2162">INDEX($BV$29:$BV$1449,MATCH($D2162,$BR$29:$BR$1449,0),)</f>
        <v>2.05</v>
      </c>
      <c r="N2162" s="150">
        <f t="shared" si="666"/>
        <v>-0.00169683257918563</v>
      </c>
      <c r="O2162" s="150">
        <f t="shared" si="667"/>
        <v>-0.0128635346756153</v>
      </c>
      <c r="P2162" s="150">
        <f t="shared" si="653"/>
        <v>-0.031815688425672</v>
      </c>
      <c r="Q2162" s="89">
        <f t="shared" si="656"/>
        <v>-0.139024390243902</v>
      </c>
      <c r="S2162" s="82">
        <f t="shared" si="657"/>
        <v>45534</v>
      </c>
      <c r="T2162" s="83">
        <f t="shared" si="668"/>
        <v>0.3193125</v>
      </c>
      <c r="U2162" s="83">
        <f t="shared" si="668"/>
        <v>0.28125</v>
      </c>
      <c r="W2162" s="146">
        <v>45534</v>
      </c>
      <c r="X2162" s="147">
        <v>6.42</v>
      </c>
      <c r="Y2162" s="147">
        <v>4.18</v>
      </c>
      <c r="Z2162" s="158">
        <v>5.109</v>
      </c>
      <c r="AA2162" s="59" cm="1">
        <f t="array" ref="AA2162">INDEX($BX$29:$BX$1449,MATCH($D2162,$BR$29:$BR$1449,0),)</f>
        <v>4.5</v>
      </c>
      <c r="AB2162" s="150">
        <f t="shared" si="658"/>
        <v>0</v>
      </c>
      <c r="AC2162" s="150">
        <f t="shared" si="660"/>
        <v>-0.00545065213159424</v>
      </c>
      <c r="AD2162" s="150">
        <f t="shared" si="663"/>
        <v>-0.00661092747423675</v>
      </c>
      <c r="AE2162" s="89">
        <f t="shared" si="659"/>
        <v>0.135333333333333</v>
      </c>
    </row>
    <row r="2163" spans="3:31">
      <c r="C2163" s="80" t="str" cm="1">
        <f t="array" ref="C2163">_xlfn.IFS(MONTH(D2163)&lt;4,1,MONTH(D2163)&lt;7,2,MONTH(D2163)&lt;10,3,MONTH(D2163)&gt;9,4)&amp;"Q"&amp;RIGHT(YEAR(D2163),2)</f>
        <v>3Q24</v>
      </c>
      <c r="D2163" s="81">
        <f t="shared" si="662"/>
        <v>45565</v>
      </c>
      <c r="E2163" s="82">
        <f t="shared" si="655"/>
        <v>45537</v>
      </c>
      <c r="F2163" s="83">
        <f t="shared" si="665"/>
        <v>0.220625</v>
      </c>
      <c r="G2163" s="83">
        <f t="shared" si="665"/>
        <v>0.2125</v>
      </c>
      <c r="I2163" s="146">
        <v>45537</v>
      </c>
      <c r="J2163" s="147">
        <v>2.15</v>
      </c>
      <c r="K2163" s="147">
        <v>1.55</v>
      </c>
      <c r="L2163" s="158">
        <v>1.765</v>
      </c>
      <c r="M2163" s="59" cm="1">
        <f t="array" ref="M2163">INDEX($BV$29:$BV$1449,MATCH($D2163,$BR$29:$BR$1449,0),)</f>
        <v>1.7</v>
      </c>
      <c r="N2163" s="150">
        <f t="shared" si="666"/>
        <v>0</v>
      </c>
      <c r="O2163" s="150">
        <f t="shared" si="667"/>
        <v>-0.00842696629213491</v>
      </c>
      <c r="P2163" s="150">
        <f t="shared" si="653"/>
        <v>-0.0302197802197803</v>
      </c>
      <c r="Q2163" s="89">
        <f t="shared" si="656"/>
        <v>0.0382352941176469</v>
      </c>
      <c r="S2163" s="82">
        <f t="shared" si="657"/>
        <v>45537</v>
      </c>
      <c r="T2163" s="83">
        <f t="shared" si="668"/>
        <v>0.3186875</v>
      </c>
      <c r="U2163" s="83">
        <f t="shared" si="668"/>
        <v>0.253125</v>
      </c>
      <c r="W2163" s="146">
        <v>45537</v>
      </c>
      <c r="X2163" s="147">
        <v>6.4</v>
      </c>
      <c r="Y2163" s="147">
        <v>4.15</v>
      </c>
      <c r="Z2163" s="158">
        <v>5.099</v>
      </c>
      <c r="AA2163" s="59" cm="1">
        <f t="array" ref="AA2163">INDEX($BX$29:$BX$1449,MATCH($D2163,$BR$29:$BR$1449,0),)</f>
        <v>4.05</v>
      </c>
      <c r="AB2163" s="150">
        <f t="shared" si="658"/>
        <v>-0.00195733020160493</v>
      </c>
      <c r="AC2163" s="150">
        <f t="shared" si="660"/>
        <v>-0.00604288499025341</v>
      </c>
      <c r="AD2163" s="150">
        <f t="shared" si="663"/>
        <v>-0.00855531790783581</v>
      </c>
      <c r="AE2163" s="89">
        <f t="shared" si="659"/>
        <v>0.259012345679013</v>
      </c>
    </row>
    <row r="2164" spans="3:31">
      <c r="C2164" s="80" t="str" cm="1">
        <f t="array" ref="C2164">_xlfn.IFS(MONTH(D2164)&lt;4,1,MONTH(D2164)&lt;7,2,MONTH(D2164)&lt;10,3,MONTH(D2164)&gt;9,4)&amp;"Q"&amp;RIGHT(YEAR(D2164),2)</f>
        <v>3Q24</v>
      </c>
      <c r="D2164" s="81">
        <f t="shared" si="662"/>
        <v>45565</v>
      </c>
      <c r="E2164" s="82">
        <f t="shared" si="655"/>
        <v>45538</v>
      </c>
      <c r="F2164" s="83">
        <f t="shared" si="665"/>
        <v>0.220625</v>
      </c>
      <c r="G2164" s="83">
        <f t="shared" si="665"/>
        <v>0.2125</v>
      </c>
      <c r="I2164" s="146">
        <v>45538</v>
      </c>
      <c r="J2164" s="147">
        <v>2.15</v>
      </c>
      <c r="K2164" s="147">
        <v>1.55</v>
      </c>
      <c r="L2164" s="158">
        <v>1.765</v>
      </c>
      <c r="M2164" s="59" cm="1">
        <f t="array" ref="M2164">INDEX($BV$29:$BV$1449,MATCH($D2164,$BR$29:$BR$1449,0),)</f>
        <v>1.7</v>
      </c>
      <c r="N2164" s="150">
        <f t="shared" si="666"/>
        <v>0</v>
      </c>
      <c r="O2164" s="150">
        <f t="shared" si="667"/>
        <v>-0.00451212633953746</v>
      </c>
      <c r="P2164" s="150">
        <f t="shared" si="653"/>
        <v>-0.023783185840708</v>
      </c>
      <c r="Q2164" s="89">
        <f t="shared" si="656"/>
        <v>0.0382352941176469</v>
      </c>
      <c r="S2164" s="82">
        <f t="shared" si="657"/>
        <v>45538</v>
      </c>
      <c r="T2164" s="83">
        <f t="shared" si="668"/>
        <v>0.3184375</v>
      </c>
      <c r="U2164" s="83">
        <f t="shared" si="668"/>
        <v>0.253125</v>
      </c>
      <c r="W2164" s="146">
        <v>45538</v>
      </c>
      <c r="X2164" s="147">
        <v>6.4</v>
      </c>
      <c r="Y2164" s="147">
        <v>4.15</v>
      </c>
      <c r="Z2164" s="158">
        <v>5.095</v>
      </c>
      <c r="AA2164" s="59" cm="1">
        <f t="array" ref="AA2164">INDEX($BX$29:$BX$1449,MATCH($D2164,$BR$29:$BR$1449,0),)</f>
        <v>4.05</v>
      </c>
      <c r="AB2164" s="150">
        <f t="shared" si="658"/>
        <v>-0.000784467542655487</v>
      </c>
      <c r="AC2164" s="150">
        <f t="shared" si="660"/>
        <v>-0.00624146674468495</v>
      </c>
      <c r="AD2164" s="150">
        <f t="shared" si="663"/>
        <v>-0.00875486381322954</v>
      </c>
      <c r="AE2164" s="89">
        <f t="shared" si="659"/>
        <v>0.258024691358025</v>
      </c>
    </row>
    <row r="2165" spans="3:31">
      <c r="C2165" s="80" t="str" cm="1">
        <f t="array" ref="C2165">_xlfn.IFS(MONTH(D2165)&lt;4,1,MONTH(D2165)&lt;7,2,MONTH(D2165)&lt;10,3,MONTH(D2165)&gt;9,4)&amp;"Q"&amp;RIGHT(YEAR(D2165),2)</f>
        <v>3Q24</v>
      </c>
      <c r="D2165" s="81">
        <f t="shared" si="662"/>
        <v>45565</v>
      </c>
      <c r="E2165" s="82">
        <f t="shared" si="655"/>
        <v>45539</v>
      </c>
      <c r="F2165" s="83">
        <f t="shared" si="665"/>
        <v>0.22</v>
      </c>
      <c r="G2165" s="83">
        <f t="shared" si="665"/>
        <v>0.2125</v>
      </c>
      <c r="I2165" s="146">
        <v>45539</v>
      </c>
      <c r="J2165" s="147">
        <v>2.15</v>
      </c>
      <c r="K2165" s="147">
        <v>1.56</v>
      </c>
      <c r="L2165" s="158">
        <v>1.76</v>
      </c>
      <c r="M2165" s="59" cm="1">
        <f t="array" ref="M2165">INDEX($BV$29:$BV$1449,MATCH($D2165,$BR$29:$BR$1449,0),)</f>
        <v>1.7</v>
      </c>
      <c r="N2165" s="150">
        <f t="shared" si="666"/>
        <v>-0.00283286118980164</v>
      </c>
      <c r="O2165" s="150">
        <f t="shared" si="667"/>
        <v>-0.00564971751412435</v>
      </c>
      <c r="P2165" s="150">
        <f t="shared" si="653"/>
        <v>-0.021134593993326</v>
      </c>
      <c r="Q2165" s="89">
        <f t="shared" si="656"/>
        <v>0.0352941176470589</v>
      </c>
      <c r="S2165" s="82">
        <f t="shared" si="657"/>
        <v>45539</v>
      </c>
      <c r="T2165" s="83">
        <f t="shared" si="668"/>
        <v>0.318</v>
      </c>
      <c r="U2165" s="83">
        <f t="shared" si="668"/>
        <v>0.253125</v>
      </c>
      <c r="W2165" s="146">
        <v>45539</v>
      </c>
      <c r="X2165" s="147">
        <v>6.38</v>
      </c>
      <c r="Y2165" s="147">
        <v>4.15</v>
      </c>
      <c r="Z2165" s="158">
        <v>5.088</v>
      </c>
      <c r="AA2165" s="59" cm="1">
        <f t="array" ref="AA2165">INDEX($BX$29:$BX$1449,MATCH($D2165,$BR$29:$BR$1449,0),)</f>
        <v>4.05</v>
      </c>
      <c r="AB2165" s="150">
        <f t="shared" si="658"/>
        <v>-0.00137389597644744</v>
      </c>
      <c r="AC2165" s="150">
        <f t="shared" si="660"/>
        <v>-0.00488949735967148</v>
      </c>
      <c r="AD2165" s="150">
        <f t="shared" si="663"/>
        <v>-0.0101167315175097</v>
      </c>
      <c r="AE2165" s="89">
        <f t="shared" si="659"/>
        <v>0.256296296296296</v>
      </c>
    </row>
    <row r="2166" spans="3:31">
      <c r="C2166" s="80" t="str" cm="1">
        <f t="array" ref="C2166">_xlfn.IFS(MONTH(D2166)&lt;4,1,MONTH(D2166)&lt;7,2,MONTH(D2166)&lt;10,3,MONTH(D2166)&gt;9,4)&amp;"Q"&amp;RIGHT(YEAR(D2166),2)</f>
        <v>3Q24</v>
      </c>
      <c r="D2166" s="81">
        <f t="shared" si="662"/>
        <v>45565</v>
      </c>
      <c r="E2166" s="82">
        <f t="shared" si="655"/>
        <v>45540</v>
      </c>
      <c r="F2166" s="83">
        <f t="shared" si="665"/>
        <v>0.219375</v>
      </c>
      <c r="G2166" s="83">
        <f t="shared" si="665"/>
        <v>0.2125</v>
      </c>
      <c r="I2166" s="146">
        <v>45540</v>
      </c>
      <c r="J2166" s="147">
        <v>2.15</v>
      </c>
      <c r="K2166" s="147">
        <v>1.56</v>
      </c>
      <c r="L2166" s="158">
        <v>1.755</v>
      </c>
      <c r="M2166" s="59" cm="1">
        <f t="array" ref="M2166">INDEX($BV$29:$BV$1449,MATCH($D2166,$BR$29:$BR$1449,0),)</f>
        <v>1.7</v>
      </c>
      <c r="N2166" s="150">
        <f t="shared" si="666"/>
        <v>-0.00284090909090917</v>
      </c>
      <c r="O2166" s="150">
        <f t="shared" si="667"/>
        <v>-0.00735294117647067</v>
      </c>
      <c r="P2166" s="150">
        <f t="shared" si="653"/>
        <v>-0.0222841225626741</v>
      </c>
      <c r="Q2166" s="89">
        <f t="shared" si="656"/>
        <v>0.0323529411764705</v>
      </c>
      <c r="S2166" s="82">
        <f t="shared" si="657"/>
        <v>45540</v>
      </c>
      <c r="T2166" s="83">
        <f t="shared" si="668"/>
        <v>0.3165</v>
      </c>
      <c r="U2166" s="83">
        <f t="shared" si="668"/>
        <v>0.253125</v>
      </c>
      <c r="W2166" s="146">
        <v>45540</v>
      </c>
      <c r="X2166" s="147">
        <v>6.35</v>
      </c>
      <c r="Y2166" s="147">
        <v>4.1</v>
      </c>
      <c r="Z2166" s="158">
        <v>5.064</v>
      </c>
      <c r="AA2166" s="59" cm="1">
        <f t="array" ref="AA2166">INDEX($BX$29:$BX$1449,MATCH($D2166,$BR$29:$BR$1449,0),)</f>
        <v>4.05</v>
      </c>
      <c r="AB2166" s="150">
        <f t="shared" si="658"/>
        <v>-0.00471698113207553</v>
      </c>
      <c r="AC2166" s="150">
        <f t="shared" si="660"/>
        <v>-0.00880798590722254</v>
      </c>
      <c r="AD2166" s="150">
        <f t="shared" si="663"/>
        <v>-0.0142106287716565</v>
      </c>
      <c r="AE2166" s="89">
        <f t="shared" si="659"/>
        <v>0.25037037037037</v>
      </c>
    </row>
    <row r="2167" spans="3:31">
      <c r="C2167" s="80" t="str" cm="1">
        <f t="array" ref="C2167">_xlfn.IFS(MONTH(D2167)&lt;4,1,MONTH(D2167)&lt;7,2,MONTH(D2167)&lt;10,3,MONTH(D2167)&gt;9,4)&amp;"Q"&amp;RIGHT(YEAR(D2167),2)</f>
        <v>3Q24</v>
      </c>
      <c r="D2167" s="81">
        <f t="shared" si="662"/>
        <v>45565</v>
      </c>
      <c r="E2167" s="82">
        <f t="shared" si="655"/>
        <v>45541</v>
      </c>
      <c r="F2167" s="83">
        <f t="shared" si="665"/>
        <v>0.219125</v>
      </c>
      <c r="G2167" s="83">
        <f t="shared" si="665"/>
        <v>0.2125</v>
      </c>
      <c r="I2167" s="146">
        <v>45541</v>
      </c>
      <c r="J2167" s="147">
        <v>2.15</v>
      </c>
      <c r="K2167" s="147">
        <v>1.55</v>
      </c>
      <c r="L2167" s="158">
        <v>1.753</v>
      </c>
      <c r="M2167" s="59" cm="1">
        <f t="array" ref="M2167">INDEX($BV$29:$BV$1449,MATCH($D2167,$BR$29:$BR$1449,0),)</f>
        <v>1.7</v>
      </c>
      <c r="N2167" s="150">
        <f t="shared" si="666"/>
        <v>-0.0011396011396011</v>
      </c>
      <c r="O2167" s="150">
        <f t="shared" si="667"/>
        <v>-0.00679886685552411</v>
      </c>
      <c r="P2167" s="150">
        <f t="shared" si="653"/>
        <v>-0.0195749440715884</v>
      </c>
      <c r="Q2167" s="89">
        <f t="shared" si="656"/>
        <v>0.0311764705882354</v>
      </c>
      <c r="S2167" s="82">
        <f t="shared" si="657"/>
        <v>45541</v>
      </c>
      <c r="T2167" s="83">
        <f t="shared" si="668"/>
        <v>0.316125</v>
      </c>
      <c r="U2167" s="83">
        <f t="shared" si="668"/>
        <v>0.253125</v>
      </c>
      <c r="W2167" s="146">
        <v>45541</v>
      </c>
      <c r="X2167" s="147">
        <v>6.35</v>
      </c>
      <c r="Y2167" s="147">
        <v>4.08</v>
      </c>
      <c r="Z2167" s="158">
        <v>5.058</v>
      </c>
      <c r="AA2167" s="59" cm="1">
        <f t="array" ref="AA2167">INDEX($BX$29:$BX$1449,MATCH($D2167,$BR$29:$BR$1449,0),)</f>
        <v>4.05</v>
      </c>
      <c r="AB2167" s="150">
        <f t="shared" si="658"/>
        <v>-0.00118483412322279</v>
      </c>
      <c r="AC2167" s="150">
        <f t="shared" si="660"/>
        <v>-0.00998238402818563</v>
      </c>
      <c r="AD2167" s="150">
        <f t="shared" si="663"/>
        <v>-0.0153786256569982</v>
      </c>
      <c r="AE2167" s="89">
        <f t="shared" si="659"/>
        <v>0.248888888888889</v>
      </c>
    </row>
    <row r="2168" spans="3:31">
      <c r="C2168" s="80" t="str" cm="1">
        <f t="array" ref="C2168">_xlfn.IFS(MONTH(D2168)&lt;4,1,MONTH(D2168)&lt;7,2,MONTH(D2168)&lt;10,3,MONTH(D2168)&gt;9,4)&amp;"Q"&amp;RIGHT(YEAR(D2168),2)</f>
        <v>3Q24</v>
      </c>
      <c r="D2168" s="81">
        <f t="shared" si="662"/>
        <v>45565</v>
      </c>
      <c r="E2168" s="82">
        <f t="shared" si="655"/>
        <v>45544</v>
      </c>
      <c r="F2168" s="83">
        <f t="shared" si="665"/>
        <v>0.2185</v>
      </c>
      <c r="G2168" s="83">
        <f t="shared" si="665"/>
        <v>0.2125</v>
      </c>
      <c r="I2168" s="146">
        <v>45544</v>
      </c>
      <c r="J2168" s="147">
        <v>2.14</v>
      </c>
      <c r="K2168" s="147">
        <v>1.54</v>
      </c>
      <c r="L2168" s="158">
        <v>1.748</v>
      </c>
      <c r="M2168" s="59" cm="1">
        <f t="array" ref="M2168">INDEX($BV$29:$BV$1449,MATCH($D2168,$BR$29:$BR$1449,0),)</f>
        <v>1.7</v>
      </c>
      <c r="N2168" s="150">
        <f t="shared" si="666"/>
        <v>-0.0028522532800912</v>
      </c>
      <c r="O2168" s="150">
        <f t="shared" si="667"/>
        <v>-0.00963172804532575</v>
      </c>
      <c r="P2168" s="150">
        <f t="shared" si="653"/>
        <v>-0.0179775280898876</v>
      </c>
      <c r="Q2168" s="89">
        <f t="shared" si="656"/>
        <v>0.0282352941176471</v>
      </c>
      <c r="S2168" s="82">
        <f t="shared" si="657"/>
        <v>45544</v>
      </c>
      <c r="T2168" s="83">
        <f t="shared" si="668"/>
        <v>0.315875</v>
      </c>
      <c r="U2168" s="83">
        <f t="shared" si="668"/>
        <v>0.253125</v>
      </c>
      <c r="W2168" s="146">
        <v>45544</v>
      </c>
      <c r="X2168" s="147">
        <v>6.35</v>
      </c>
      <c r="Y2168" s="147">
        <v>4.05</v>
      </c>
      <c r="Z2168" s="158">
        <v>5.054</v>
      </c>
      <c r="AA2168" s="59" cm="1">
        <f t="array" ref="AA2168">INDEX($BX$29:$BX$1449,MATCH($D2168,$BR$29:$BR$1449,0),)</f>
        <v>4.05</v>
      </c>
      <c r="AB2168" s="150">
        <f t="shared" si="658"/>
        <v>-0.000790826413602175</v>
      </c>
      <c r="AC2168" s="150">
        <f t="shared" si="660"/>
        <v>-0.00882525985487348</v>
      </c>
      <c r="AD2168" s="150">
        <f t="shared" si="663"/>
        <v>-0.0148148148148147</v>
      </c>
      <c r="AE2168" s="89">
        <f t="shared" si="659"/>
        <v>0.247901234567901</v>
      </c>
    </row>
    <row r="2169" spans="3:31">
      <c r="C2169" s="80" t="str" cm="1">
        <f t="array" ref="C2169">_xlfn.IFS(MONTH(D2169)&lt;4,1,MONTH(D2169)&lt;7,2,MONTH(D2169)&lt;10,3,MONTH(D2169)&gt;9,4)&amp;"Q"&amp;RIGHT(YEAR(D2169),2)</f>
        <v>3Q24</v>
      </c>
      <c r="D2169" s="81">
        <f t="shared" si="662"/>
        <v>45565</v>
      </c>
      <c r="E2169" s="82">
        <f t="shared" si="655"/>
        <v>45545</v>
      </c>
      <c r="F2169" s="83">
        <f t="shared" si="665"/>
        <v>0.218125</v>
      </c>
      <c r="G2169" s="83">
        <f t="shared" si="665"/>
        <v>0.2125</v>
      </c>
      <c r="I2169" s="146">
        <v>45545</v>
      </c>
      <c r="J2169" s="147">
        <v>2.14</v>
      </c>
      <c r="K2169" s="147">
        <v>1.54</v>
      </c>
      <c r="L2169" s="158">
        <v>1.745</v>
      </c>
      <c r="M2169" s="59" cm="1">
        <f t="array" ref="M2169">INDEX($BV$29:$BV$1449,MATCH($D2169,$BR$29:$BR$1449,0),)</f>
        <v>1.7</v>
      </c>
      <c r="N2169" s="150">
        <f t="shared" si="666"/>
        <v>-0.00171624713958807</v>
      </c>
      <c r="O2169" s="150">
        <f t="shared" si="667"/>
        <v>-0.0113314447592067</v>
      </c>
      <c r="P2169" s="150">
        <f t="shared" si="653"/>
        <v>-0.0157924421883812</v>
      </c>
      <c r="Q2169" s="89">
        <f t="shared" si="656"/>
        <v>0.0264705882352942</v>
      </c>
      <c r="S2169" s="82">
        <f t="shared" si="657"/>
        <v>45545</v>
      </c>
      <c r="T2169" s="83">
        <f t="shared" si="668"/>
        <v>0.31525</v>
      </c>
      <c r="U2169" s="83">
        <f t="shared" si="668"/>
        <v>0.253125</v>
      </c>
      <c r="W2169" s="146">
        <v>45545</v>
      </c>
      <c r="X2169" s="147">
        <v>6.35</v>
      </c>
      <c r="Y2169" s="147">
        <v>4.05</v>
      </c>
      <c r="Z2169" s="158">
        <v>5.044</v>
      </c>
      <c r="AA2169" s="59" cm="1">
        <f t="array" ref="AA2169">INDEX($BX$29:$BX$1449,MATCH($D2169,$BR$29:$BR$1449,0),)</f>
        <v>4.05</v>
      </c>
      <c r="AB2169" s="150">
        <f t="shared" si="658"/>
        <v>-0.00197863078749516</v>
      </c>
      <c r="AC2169" s="150">
        <f t="shared" si="660"/>
        <v>-0.0100098135426889</v>
      </c>
      <c r="AD2169" s="150">
        <f t="shared" si="663"/>
        <v>-0.0161888043690268</v>
      </c>
      <c r="AE2169" s="89">
        <f t="shared" si="659"/>
        <v>0.245432098765432</v>
      </c>
    </row>
    <row r="2170" spans="3:31">
      <c r="C2170" s="80" t="str" cm="1">
        <f t="array" ref="C2170">_xlfn.IFS(MONTH(D2170)&lt;4,1,MONTH(D2170)&lt;7,2,MONTH(D2170)&lt;10,3,MONTH(D2170)&gt;9,4)&amp;"Q"&amp;RIGHT(YEAR(D2170),2)</f>
        <v>3Q24</v>
      </c>
      <c r="D2170" s="81">
        <f t="shared" si="662"/>
        <v>45565</v>
      </c>
      <c r="E2170" s="82">
        <f t="shared" si="655"/>
        <v>45546</v>
      </c>
      <c r="F2170" s="83">
        <f t="shared" ref="F2170:G2185" si="669">+L2170/8</f>
        <v>0.2175</v>
      </c>
      <c r="G2170" s="83">
        <f t="shared" si="669"/>
        <v>0.2125</v>
      </c>
      <c r="I2170" s="146">
        <v>45546</v>
      </c>
      <c r="J2170" s="147">
        <v>2.14</v>
      </c>
      <c r="K2170" s="147">
        <v>1.5</v>
      </c>
      <c r="L2170" s="158">
        <v>1.74</v>
      </c>
      <c r="M2170" s="59" cm="1">
        <f t="array" ref="M2170">INDEX($BV$29:$BV$1449,MATCH($D2170,$BR$29:$BR$1449,0),)</f>
        <v>1.7</v>
      </c>
      <c r="N2170" s="150">
        <f t="shared" si="666"/>
        <v>-0.00286532951289409</v>
      </c>
      <c r="O2170" s="150">
        <f t="shared" si="667"/>
        <v>-0.0113636363636364</v>
      </c>
      <c r="P2170" s="150">
        <f t="shared" si="653"/>
        <v>-0.0169491525423729</v>
      </c>
      <c r="Q2170" s="89">
        <f t="shared" si="656"/>
        <v>0.0235294117647058</v>
      </c>
      <c r="S2170" s="82">
        <f t="shared" si="657"/>
        <v>45546</v>
      </c>
      <c r="T2170" s="83">
        <f t="shared" si="668"/>
        <v>0.3115625</v>
      </c>
      <c r="U2170" s="83">
        <f t="shared" si="668"/>
        <v>0.253125</v>
      </c>
      <c r="W2170" s="146">
        <v>45546</v>
      </c>
      <c r="X2170" s="147">
        <v>6.35</v>
      </c>
      <c r="Y2170" s="147">
        <v>4.03</v>
      </c>
      <c r="Z2170" s="158">
        <v>4.985</v>
      </c>
      <c r="AA2170" s="59" cm="1">
        <f t="array" ref="AA2170">INDEX($BX$29:$BX$1449,MATCH($D2170,$BR$29:$BR$1449,0),)</f>
        <v>4.05</v>
      </c>
      <c r="AB2170" s="150">
        <f t="shared" si="658"/>
        <v>-0.011697065820777</v>
      </c>
      <c r="AC2170" s="150">
        <f t="shared" si="660"/>
        <v>-0.0202437106918238</v>
      </c>
      <c r="AD2170" s="150">
        <f t="shared" si="663"/>
        <v>-0.0250342264815178</v>
      </c>
      <c r="AE2170" s="89">
        <f t="shared" si="659"/>
        <v>0.230864197530864</v>
      </c>
    </row>
    <row r="2171" spans="3:31">
      <c r="C2171" s="80" t="str" cm="1">
        <f t="array" ref="C2171">_xlfn.IFS(MONTH(D2171)&lt;4,1,MONTH(D2171)&lt;7,2,MONTH(D2171)&lt;10,3,MONTH(D2171)&gt;9,4)&amp;"Q"&amp;RIGHT(YEAR(D2171),2)</f>
        <v>3Q24</v>
      </c>
      <c r="D2171" s="81">
        <f t="shared" si="662"/>
        <v>45565</v>
      </c>
      <c r="E2171" s="82">
        <f t="shared" si="655"/>
        <v>45547</v>
      </c>
      <c r="F2171" s="83">
        <f t="shared" si="669"/>
        <v>0.21725</v>
      </c>
      <c r="G2171" s="83">
        <f t="shared" si="669"/>
        <v>0.2125</v>
      </c>
      <c r="I2171" s="146">
        <v>45547</v>
      </c>
      <c r="J2171" s="147">
        <v>2.1</v>
      </c>
      <c r="K2171" s="147">
        <v>1.5</v>
      </c>
      <c r="L2171" s="158">
        <v>1.738</v>
      </c>
      <c r="M2171" s="59" cm="1">
        <f t="array" ref="M2171">INDEX($BV$29:$BV$1449,MATCH($D2171,$BR$29:$BR$1449,0),)</f>
        <v>1.7</v>
      </c>
      <c r="N2171" s="150">
        <f t="shared" si="666"/>
        <v>-0.00114942528735629</v>
      </c>
      <c r="O2171" s="150">
        <f t="shared" si="667"/>
        <v>-0.00968660968660962</v>
      </c>
      <c r="P2171" s="150">
        <f t="shared" si="653"/>
        <v>-0.0169683257918553</v>
      </c>
      <c r="Q2171" s="89">
        <f t="shared" si="656"/>
        <v>0.0223529411764707</v>
      </c>
      <c r="S2171" s="82">
        <f t="shared" si="657"/>
        <v>45547</v>
      </c>
      <c r="T2171" s="83">
        <f t="shared" si="668"/>
        <v>0.3094375</v>
      </c>
      <c r="U2171" s="83">
        <f t="shared" si="668"/>
        <v>0.253125</v>
      </c>
      <c r="W2171" s="146">
        <v>45547</v>
      </c>
      <c r="X2171" s="147">
        <v>6.35</v>
      </c>
      <c r="Y2171" s="147">
        <v>4.03</v>
      </c>
      <c r="Z2171" s="158">
        <v>4.951</v>
      </c>
      <c r="AA2171" s="59" cm="1">
        <f t="array" ref="AA2171">INDEX($BX$29:$BX$1449,MATCH($D2171,$BR$29:$BR$1449,0),)</f>
        <v>4.05</v>
      </c>
      <c r="AB2171" s="150">
        <f t="shared" si="658"/>
        <v>-0.0068204613841526</v>
      </c>
      <c r="AC2171" s="150">
        <f t="shared" si="660"/>
        <v>-0.0223143759873619</v>
      </c>
      <c r="AD2171" s="150">
        <f t="shared" si="663"/>
        <v>-0.0309258171853593</v>
      </c>
      <c r="AE2171" s="89">
        <f t="shared" si="659"/>
        <v>0.222469135802469</v>
      </c>
    </row>
    <row r="2172" spans="3:31">
      <c r="C2172" s="80" t="str" cm="1">
        <f t="array" ref="C2172">_xlfn.IFS(MONTH(D2172)&lt;4,1,MONTH(D2172)&lt;7,2,MONTH(D2172)&lt;10,3,MONTH(D2172)&gt;9,4)&amp;"Q"&amp;RIGHT(YEAR(D2172),2)</f>
        <v>3Q24</v>
      </c>
      <c r="D2172" s="81">
        <f t="shared" si="662"/>
        <v>45565</v>
      </c>
      <c r="E2172" s="82">
        <f t="shared" si="655"/>
        <v>45548</v>
      </c>
      <c r="F2172" s="83">
        <f t="shared" si="669"/>
        <v>0.21625</v>
      </c>
      <c r="G2172" s="83">
        <f t="shared" si="669"/>
        <v>0.2125</v>
      </c>
      <c r="I2172" s="146">
        <v>45548</v>
      </c>
      <c r="J2172" s="147">
        <v>2.08</v>
      </c>
      <c r="K2172" s="147">
        <v>1.49</v>
      </c>
      <c r="L2172" s="158">
        <v>1.73</v>
      </c>
      <c r="M2172" s="59" cm="1">
        <f t="array" ref="M2172">INDEX($BV$29:$BV$1449,MATCH($D2172,$BR$29:$BR$1449,0),)</f>
        <v>1.7</v>
      </c>
      <c r="N2172" s="150">
        <f t="shared" si="666"/>
        <v>-0.0046029919447641</v>
      </c>
      <c r="O2172" s="150">
        <f t="shared" si="667"/>
        <v>-0.0131203650884198</v>
      </c>
      <c r="P2172" s="150">
        <f t="shared" si="653"/>
        <v>-0.0198300283286118</v>
      </c>
      <c r="Q2172" s="89">
        <f t="shared" si="656"/>
        <v>0.0176470588235293</v>
      </c>
      <c r="S2172" s="82">
        <f t="shared" si="657"/>
        <v>45548</v>
      </c>
      <c r="T2172" s="83">
        <f t="shared" si="668"/>
        <v>0.3085625</v>
      </c>
      <c r="U2172" s="83">
        <f t="shared" si="668"/>
        <v>0.253125</v>
      </c>
      <c r="W2172" s="146">
        <v>45548</v>
      </c>
      <c r="X2172" s="147">
        <v>6.35</v>
      </c>
      <c r="Y2172" s="147">
        <v>4.02</v>
      </c>
      <c r="Z2172" s="158">
        <v>4.937</v>
      </c>
      <c r="AA2172" s="59" cm="1">
        <f t="array" ref="AA2172">INDEX($BX$29:$BX$1449,MATCH($D2172,$BR$29:$BR$1449,0),)</f>
        <v>4.05</v>
      </c>
      <c r="AB2172" s="150">
        <f t="shared" si="658"/>
        <v>-0.00282771157341943</v>
      </c>
      <c r="AC2172" s="150">
        <f t="shared" si="660"/>
        <v>-0.0239224990114669</v>
      </c>
      <c r="AD2172" s="150">
        <f t="shared" si="663"/>
        <v>-0.0336660794676061</v>
      </c>
      <c r="AE2172" s="89">
        <f t="shared" si="659"/>
        <v>0.219012345679013</v>
      </c>
    </row>
    <row r="2173" spans="3:31">
      <c r="C2173" s="80" t="str" cm="1">
        <f t="array" ref="C2173">_xlfn.IFS(MONTH(D2173)&lt;4,1,MONTH(D2173)&lt;7,2,MONTH(D2173)&lt;10,3,MONTH(D2173)&gt;9,4)&amp;"Q"&amp;RIGHT(YEAR(D2173),2)</f>
        <v>3Q24</v>
      </c>
      <c r="D2173" s="81">
        <f t="shared" si="662"/>
        <v>45565</v>
      </c>
      <c r="E2173" s="82">
        <f t="shared" si="655"/>
        <v>45551</v>
      </c>
      <c r="F2173" s="83">
        <f t="shared" si="669"/>
        <v>0.215625</v>
      </c>
      <c r="G2173" s="83">
        <f t="shared" si="669"/>
        <v>0.2125</v>
      </c>
      <c r="I2173" s="146">
        <v>45551</v>
      </c>
      <c r="J2173" s="147">
        <v>2.08</v>
      </c>
      <c r="K2173" s="147">
        <v>1.49</v>
      </c>
      <c r="L2173" s="158">
        <v>1.725</v>
      </c>
      <c r="M2173" s="59" cm="1">
        <f t="array" ref="M2173">INDEX($BV$29:$BV$1449,MATCH($D2173,$BR$29:$BR$1449,0),)</f>
        <v>1.7</v>
      </c>
      <c r="N2173" s="150">
        <f t="shared" si="666"/>
        <v>-0.00289017341040454</v>
      </c>
      <c r="O2173" s="150">
        <f t="shared" si="667"/>
        <v>-0.013157894736842</v>
      </c>
      <c r="P2173" s="150">
        <f t="shared" si="653"/>
        <v>-0.0226628895184134</v>
      </c>
      <c r="Q2173" s="89">
        <f t="shared" si="656"/>
        <v>0.0147058823529413</v>
      </c>
      <c r="S2173" s="82">
        <f t="shared" si="657"/>
        <v>45551</v>
      </c>
      <c r="T2173" s="83">
        <f t="shared" si="668"/>
        <v>0.3083125</v>
      </c>
      <c r="U2173" s="83">
        <f t="shared" si="668"/>
        <v>0.253125</v>
      </c>
      <c r="W2173" s="146">
        <v>45551</v>
      </c>
      <c r="X2173" s="147">
        <v>6.35</v>
      </c>
      <c r="Y2173" s="147">
        <v>4.02</v>
      </c>
      <c r="Z2173" s="158">
        <v>4.933</v>
      </c>
      <c r="AA2173" s="59" cm="1">
        <f t="array" ref="AA2173">INDEX($BX$29:$BX$1449,MATCH($D2173,$BR$29:$BR$1449,0),)</f>
        <v>4.05</v>
      </c>
      <c r="AB2173" s="150">
        <f t="shared" si="658"/>
        <v>-0.000810208628721942</v>
      </c>
      <c r="AC2173" s="150">
        <f t="shared" si="660"/>
        <v>-0.0239414325286902</v>
      </c>
      <c r="AD2173" s="150">
        <f t="shared" si="663"/>
        <v>-0.0325554030202001</v>
      </c>
      <c r="AE2173" s="89">
        <f t="shared" si="659"/>
        <v>0.218024691358025</v>
      </c>
    </row>
    <row r="2174" spans="3:31">
      <c r="C2174" s="80" t="str" cm="1">
        <f t="array" ref="C2174">_xlfn.IFS(MONTH(D2174)&lt;4,1,MONTH(D2174)&lt;7,2,MONTH(D2174)&lt;10,3,MONTH(D2174)&gt;9,4)&amp;"Q"&amp;RIGHT(YEAR(D2174),2)</f>
        <v>3Q24</v>
      </c>
      <c r="D2174" s="81">
        <f t="shared" si="662"/>
        <v>45565</v>
      </c>
      <c r="E2174" s="82">
        <f t="shared" si="655"/>
        <v>45553</v>
      </c>
      <c r="F2174" s="83">
        <f t="shared" si="669"/>
        <v>0.215</v>
      </c>
      <c r="G2174" s="83">
        <f t="shared" si="669"/>
        <v>0.2125</v>
      </c>
      <c r="I2174" s="146">
        <v>45553</v>
      </c>
      <c r="J2174" s="147">
        <v>2.07</v>
      </c>
      <c r="K2174" s="147">
        <v>1.48</v>
      </c>
      <c r="L2174" s="158">
        <v>1.72</v>
      </c>
      <c r="M2174" s="59" cm="1">
        <f t="array" ref="M2174">INDEX($BV$29:$BV$1449,MATCH($D2174,$BR$29:$BR$1449,0),)</f>
        <v>1.7</v>
      </c>
      <c r="N2174" s="150">
        <f t="shared" si="666"/>
        <v>-0.00289855072463774</v>
      </c>
      <c r="O2174" s="150">
        <f t="shared" si="667"/>
        <v>-0.01432664756447</v>
      </c>
      <c r="P2174" s="150">
        <f t="shared" si="653"/>
        <v>-0.0254957507082153</v>
      </c>
      <c r="Q2174" s="89">
        <f t="shared" si="656"/>
        <v>0.0117647058823529</v>
      </c>
      <c r="S2174" s="82">
        <f t="shared" si="657"/>
        <v>45553</v>
      </c>
      <c r="T2174" s="83">
        <f t="shared" si="668"/>
        <v>0.308125</v>
      </c>
      <c r="U2174" s="83">
        <f t="shared" si="668"/>
        <v>0.253125</v>
      </c>
      <c r="W2174" s="146">
        <v>45553</v>
      </c>
      <c r="X2174" s="147">
        <v>6.34</v>
      </c>
      <c r="Y2174" s="147">
        <v>4.03</v>
      </c>
      <c r="Z2174" s="158">
        <v>4.93</v>
      </c>
      <c r="AA2174" s="59" cm="1">
        <f t="array" ref="AA2174">INDEX($BX$29:$BX$1449,MATCH($D2174,$BR$29:$BR$1449,0),)</f>
        <v>4.05</v>
      </c>
      <c r="AB2174" s="150">
        <f t="shared" si="658"/>
        <v>-0.000608149199270214</v>
      </c>
      <c r="AC2174" s="150">
        <f t="shared" si="660"/>
        <v>-0.0226011102299762</v>
      </c>
      <c r="AD2174" s="150">
        <f t="shared" si="663"/>
        <v>-0.0323846908734053</v>
      </c>
      <c r="AE2174" s="89">
        <f t="shared" si="659"/>
        <v>0.217283950617284</v>
      </c>
    </row>
    <row r="2175" spans="3:31">
      <c r="C2175" s="80" t="str" cm="1">
        <f t="array" ref="C2175">_xlfn.IFS(MONTH(D2175)&lt;4,1,MONTH(D2175)&lt;7,2,MONTH(D2175)&lt;10,3,MONTH(D2175)&gt;9,4)&amp;"Q"&amp;RIGHT(YEAR(D2175),2)</f>
        <v>3Q24</v>
      </c>
      <c r="D2175" s="81">
        <f t="shared" si="662"/>
        <v>45565</v>
      </c>
      <c r="E2175" s="82">
        <f t="shared" si="655"/>
        <v>45554</v>
      </c>
      <c r="F2175" s="83">
        <f t="shared" si="669"/>
        <v>0.215</v>
      </c>
      <c r="G2175" s="83">
        <f t="shared" si="669"/>
        <v>0.2125</v>
      </c>
      <c r="I2175" s="146">
        <v>45554</v>
      </c>
      <c r="J2175" s="147">
        <v>2.06</v>
      </c>
      <c r="K2175" s="147">
        <v>1.47</v>
      </c>
      <c r="L2175" s="158">
        <v>1.72</v>
      </c>
      <c r="M2175" s="59" cm="1">
        <f t="array" ref="M2175">INDEX($BV$29:$BV$1449,MATCH($D2175,$BR$29:$BR$1449,0),)</f>
        <v>1.7</v>
      </c>
      <c r="N2175" s="150">
        <f t="shared" si="666"/>
        <v>0</v>
      </c>
      <c r="O2175" s="150">
        <f t="shared" si="667"/>
        <v>-0.0114942528735632</v>
      </c>
      <c r="P2175" s="150">
        <f t="shared" si="653"/>
        <v>-0.0227272727272727</v>
      </c>
      <c r="Q2175" s="89">
        <f t="shared" si="656"/>
        <v>0.0117647058823529</v>
      </c>
      <c r="S2175" s="82">
        <f t="shared" si="657"/>
        <v>45554</v>
      </c>
      <c r="T2175" s="83">
        <f t="shared" si="668"/>
        <v>0.3079375</v>
      </c>
      <c r="U2175" s="83">
        <f t="shared" si="668"/>
        <v>0.253125</v>
      </c>
      <c r="W2175" s="146">
        <v>45554</v>
      </c>
      <c r="X2175" s="147">
        <v>6.32</v>
      </c>
      <c r="Y2175" s="147">
        <v>4.02</v>
      </c>
      <c r="Z2175" s="158">
        <v>4.927</v>
      </c>
      <c r="AA2175" s="59" cm="1">
        <f t="array" ref="AA2175">INDEX($BX$29:$BX$1449,MATCH($D2175,$BR$29:$BR$1449,0),)</f>
        <v>4.05</v>
      </c>
      <c r="AB2175" s="150">
        <f t="shared" si="658"/>
        <v>-0.000608519269776897</v>
      </c>
      <c r="AC2175" s="150">
        <f t="shared" si="660"/>
        <v>-0.0116349047141425</v>
      </c>
      <c r="AD2175" s="150">
        <f t="shared" si="663"/>
        <v>-0.0316430817610064</v>
      </c>
      <c r="AE2175" s="89">
        <f t="shared" si="659"/>
        <v>0.216543209876543</v>
      </c>
    </row>
    <row r="2176" spans="3:31">
      <c r="C2176" s="80" t="str" cm="1">
        <f t="array" ref="C2176">_xlfn.IFS(MONTH(D2176)&lt;4,1,MONTH(D2176)&lt;7,2,MONTH(D2176)&lt;10,3,MONTH(D2176)&gt;9,4)&amp;"Q"&amp;RIGHT(YEAR(D2176),2)</f>
        <v>3Q24</v>
      </c>
      <c r="D2176" s="81">
        <f t="shared" si="662"/>
        <v>45565</v>
      </c>
      <c r="E2176" s="82">
        <f t="shared" si="655"/>
        <v>45555</v>
      </c>
      <c r="F2176" s="83">
        <f t="shared" si="669"/>
        <v>0.21475</v>
      </c>
      <c r="G2176" s="83">
        <f t="shared" si="669"/>
        <v>0.2125</v>
      </c>
      <c r="I2176" s="146">
        <v>45555</v>
      </c>
      <c r="J2176" s="147">
        <v>2.06</v>
      </c>
      <c r="K2176" s="147">
        <v>1.47</v>
      </c>
      <c r="L2176" s="158">
        <v>1.718</v>
      </c>
      <c r="M2176" s="59" cm="1">
        <f t="array" ref="M2176">INDEX($BV$29:$BV$1449,MATCH($D2176,$BR$29:$BR$1449,0),)</f>
        <v>1.7</v>
      </c>
      <c r="N2176" s="150">
        <f t="shared" si="666"/>
        <v>-0.00116279069767444</v>
      </c>
      <c r="O2176" s="150">
        <f t="shared" si="667"/>
        <v>-0.0115074798619103</v>
      </c>
      <c r="P2176" s="150">
        <f t="shared" si="653"/>
        <v>-0.021082621082621</v>
      </c>
      <c r="Q2176" s="89">
        <f t="shared" si="656"/>
        <v>0.0105882352941176</v>
      </c>
      <c r="S2176" s="82">
        <f t="shared" si="657"/>
        <v>45555</v>
      </c>
      <c r="T2176" s="83">
        <f t="shared" ref="T2176:U2191" si="670">+Z2176/16</f>
        <v>0.3079375</v>
      </c>
      <c r="U2176" s="83">
        <f t="shared" si="670"/>
        <v>0.253125</v>
      </c>
      <c r="W2176" s="146">
        <v>45555</v>
      </c>
      <c r="X2176" s="147">
        <v>6.32</v>
      </c>
      <c r="Y2176" s="147">
        <v>4.02</v>
      </c>
      <c r="Z2176" s="158">
        <v>4.927</v>
      </c>
      <c r="AA2176" s="59" cm="1">
        <f t="array" ref="AA2176">INDEX($BX$29:$BX$1449,MATCH($D2176,$BR$29:$BR$1449,0),)</f>
        <v>4.05</v>
      </c>
      <c r="AB2176" s="150">
        <f t="shared" si="658"/>
        <v>0</v>
      </c>
      <c r="AC2176" s="150">
        <f t="shared" si="660"/>
        <v>-0.00484750555443347</v>
      </c>
      <c r="AD2176" s="150">
        <f t="shared" si="663"/>
        <v>-0.0270537124802529</v>
      </c>
      <c r="AE2176" s="89">
        <f t="shared" si="659"/>
        <v>0.216543209876543</v>
      </c>
    </row>
    <row r="2177" spans="3:31">
      <c r="C2177" s="80" t="str" cm="1">
        <f t="array" ref="C2177">_xlfn.IFS(MONTH(D2177)&lt;4,1,MONTH(D2177)&lt;7,2,MONTH(D2177)&lt;10,3,MONTH(D2177)&gt;9,4)&amp;"Q"&amp;RIGHT(YEAR(D2177),2)</f>
        <v>3Q24</v>
      </c>
      <c r="D2177" s="81">
        <f t="shared" si="662"/>
        <v>45565</v>
      </c>
      <c r="E2177" s="82">
        <f t="shared" si="655"/>
        <v>45558</v>
      </c>
      <c r="F2177" s="83">
        <f t="shared" si="669"/>
        <v>0.214375</v>
      </c>
      <c r="G2177" s="83">
        <f t="shared" si="669"/>
        <v>0.2125</v>
      </c>
      <c r="I2177" s="146">
        <v>45558</v>
      </c>
      <c r="J2177" s="147">
        <v>2.06</v>
      </c>
      <c r="K2177" s="147">
        <v>1.47</v>
      </c>
      <c r="L2177" s="158">
        <v>1.715</v>
      </c>
      <c r="M2177" s="59" cm="1">
        <f t="array" ref="M2177">INDEX($BV$29:$BV$1449,MATCH($D2177,$BR$29:$BR$1449,0),)</f>
        <v>1.7</v>
      </c>
      <c r="N2177" s="150">
        <f t="shared" si="666"/>
        <v>-0.00174621653084972</v>
      </c>
      <c r="O2177" s="150">
        <f t="shared" si="667"/>
        <v>-0.00867052023121384</v>
      </c>
      <c r="P2177" s="150">
        <f t="shared" si="653"/>
        <v>-0.0216771249286936</v>
      </c>
      <c r="Q2177" s="89">
        <f t="shared" si="656"/>
        <v>0.00882352941176467</v>
      </c>
      <c r="S2177" s="82">
        <f t="shared" si="657"/>
        <v>45558</v>
      </c>
      <c r="T2177" s="83">
        <f t="shared" si="670"/>
        <v>0.3108125</v>
      </c>
      <c r="U2177" s="83">
        <f t="shared" si="670"/>
        <v>0.253125</v>
      </c>
      <c r="W2177" s="146">
        <v>45558</v>
      </c>
      <c r="X2177" s="147">
        <v>6.35</v>
      </c>
      <c r="Y2177" s="147">
        <v>4.05</v>
      </c>
      <c r="Z2177" s="158">
        <v>4.973</v>
      </c>
      <c r="AA2177" s="59" cm="1">
        <f t="array" ref="AA2177">INDEX($BX$29:$BX$1449,MATCH($D2177,$BR$29:$BR$1449,0),)</f>
        <v>4.05</v>
      </c>
      <c r="AB2177" s="150">
        <f t="shared" si="658"/>
        <v>0.00933631012786695</v>
      </c>
      <c r="AC2177" s="150">
        <f t="shared" si="660"/>
        <v>0.00729187765849693</v>
      </c>
      <c r="AD2177" s="150">
        <f t="shared" si="663"/>
        <v>-0.016805061289047</v>
      </c>
      <c r="AE2177" s="89">
        <f t="shared" si="659"/>
        <v>0.227901234567901</v>
      </c>
    </row>
    <row r="2178" spans="3:31">
      <c r="C2178" s="80" t="str" cm="1">
        <f t="array" ref="C2178">_xlfn.IFS(MONTH(D2178)&lt;4,1,MONTH(D2178)&lt;7,2,MONTH(D2178)&lt;10,3,MONTH(D2178)&gt;9,4)&amp;"Q"&amp;RIGHT(YEAR(D2178),2)</f>
        <v>3Q24</v>
      </c>
      <c r="D2178" s="81">
        <f t="shared" si="662"/>
        <v>45565</v>
      </c>
      <c r="E2178" s="82">
        <f t="shared" si="655"/>
        <v>45559</v>
      </c>
      <c r="F2178" s="83">
        <f t="shared" si="669"/>
        <v>0.214375</v>
      </c>
      <c r="G2178" s="83">
        <f t="shared" si="669"/>
        <v>0.2125</v>
      </c>
      <c r="I2178" s="146">
        <v>45559</v>
      </c>
      <c r="J2178" s="147">
        <v>2.06</v>
      </c>
      <c r="K2178" s="147">
        <v>1.47</v>
      </c>
      <c r="L2178" s="158">
        <v>1.715</v>
      </c>
      <c r="M2178" s="59" cm="1">
        <f t="array" ref="M2178">INDEX($BV$29:$BV$1449,MATCH($D2178,$BR$29:$BR$1449,0),)</f>
        <v>1.7</v>
      </c>
      <c r="N2178" s="150">
        <f t="shared" si="666"/>
        <v>0</v>
      </c>
      <c r="O2178" s="150">
        <f t="shared" si="667"/>
        <v>-0.00579710144927537</v>
      </c>
      <c r="P2178" s="150">
        <f t="shared" si="653"/>
        <v>-0.0188787185354691</v>
      </c>
      <c r="Q2178" s="89">
        <f t="shared" si="656"/>
        <v>0.00882352941176467</v>
      </c>
      <c r="S2178" s="82">
        <f t="shared" si="657"/>
        <v>45559</v>
      </c>
      <c r="T2178" s="83">
        <f t="shared" si="670"/>
        <v>0.3115625</v>
      </c>
      <c r="U2178" s="83">
        <f t="shared" si="670"/>
        <v>0.253125</v>
      </c>
      <c r="W2178" s="146">
        <v>45559</v>
      </c>
      <c r="X2178" s="147">
        <v>6.35</v>
      </c>
      <c r="Y2178" s="147">
        <v>4.05</v>
      </c>
      <c r="Z2178" s="158">
        <v>4.985</v>
      </c>
      <c r="AA2178" s="59" cm="1">
        <f t="array" ref="AA2178">INDEX($BX$29:$BX$1449,MATCH($D2178,$BR$29:$BR$1449,0),)</f>
        <v>4.05</v>
      </c>
      <c r="AB2178" s="150">
        <f t="shared" si="658"/>
        <v>0.00241303036396556</v>
      </c>
      <c r="AC2178" s="150">
        <f t="shared" si="660"/>
        <v>0.0105412527873505</v>
      </c>
      <c r="AD2178" s="150">
        <f t="shared" si="663"/>
        <v>-0.0136525524337159</v>
      </c>
      <c r="AE2178" s="89">
        <f t="shared" si="659"/>
        <v>0.230864197530864</v>
      </c>
    </row>
    <row r="2179" spans="3:31">
      <c r="C2179" s="80" t="str" cm="1">
        <f t="array" ref="C2179">_xlfn.IFS(MONTH(D2179)&lt;4,1,MONTH(D2179)&lt;7,2,MONTH(D2179)&lt;10,3,MONTH(D2179)&gt;9,4)&amp;"Q"&amp;RIGHT(YEAR(D2179),2)</f>
        <v>3Q24</v>
      </c>
      <c r="D2179" s="81">
        <f t="shared" si="662"/>
        <v>45565</v>
      </c>
      <c r="E2179" s="82">
        <f t="shared" si="655"/>
        <v>45560</v>
      </c>
      <c r="F2179" s="83">
        <f t="shared" si="669"/>
        <v>0.214375</v>
      </c>
      <c r="G2179" s="83">
        <f t="shared" si="669"/>
        <v>0.2125</v>
      </c>
      <c r="I2179" s="146">
        <v>45560</v>
      </c>
      <c r="J2179" s="147">
        <v>2.05</v>
      </c>
      <c r="K2179" s="147">
        <v>1.45</v>
      </c>
      <c r="L2179" s="158">
        <v>1.715</v>
      </c>
      <c r="M2179" s="59" cm="1">
        <f t="array" ref="M2179">INDEX($BV$29:$BV$1449,MATCH($D2179,$BR$29:$BR$1449,0),)</f>
        <v>1.7</v>
      </c>
      <c r="N2179" s="150">
        <f t="shared" si="666"/>
        <v>0</v>
      </c>
      <c r="O2179" s="150">
        <f t="shared" si="667"/>
        <v>-0.00290697674418594</v>
      </c>
      <c r="P2179" s="150">
        <f t="shared" si="653"/>
        <v>-0.0171919770773639</v>
      </c>
      <c r="Q2179" s="89">
        <f t="shared" si="656"/>
        <v>0.00882352941176467</v>
      </c>
      <c r="S2179" s="82">
        <f t="shared" si="657"/>
        <v>45560</v>
      </c>
      <c r="T2179" s="83">
        <f t="shared" si="670"/>
        <v>0.3115625</v>
      </c>
      <c r="U2179" s="83">
        <f t="shared" si="670"/>
        <v>0.253125</v>
      </c>
      <c r="W2179" s="146">
        <v>45560</v>
      </c>
      <c r="X2179" s="147">
        <v>6.35</v>
      </c>
      <c r="Y2179" s="147">
        <v>4.07</v>
      </c>
      <c r="Z2179" s="158">
        <v>4.985</v>
      </c>
      <c r="AA2179" s="59" cm="1">
        <f t="array" ref="AA2179">INDEX($BX$29:$BX$1449,MATCH($D2179,$BR$29:$BR$1449,0),)</f>
        <v>4.05</v>
      </c>
      <c r="AB2179" s="150">
        <f t="shared" si="658"/>
        <v>0</v>
      </c>
      <c r="AC2179" s="150">
        <f t="shared" si="660"/>
        <v>0.0111561866125762</v>
      </c>
      <c r="AD2179" s="150">
        <f t="shared" si="663"/>
        <v>-0.011697065820777</v>
      </c>
      <c r="AE2179" s="89">
        <f t="shared" si="659"/>
        <v>0.230864197530864</v>
      </c>
    </row>
    <row r="2180" spans="3:31">
      <c r="C2180" s="80" t="str" cm="1">
        <f t="array" ref="C2180">_xlfn.IFS(MONTH(D2180)&lt;4,1,MONTH(D2180)&lt;7,2,MONTH(D2180)&lt;10,3,MONTH(D2180)&gt;9,4)&amp;"Q"&amp;RIGHT(YEAR(D2180),2)</f>
        <v>3Q24</v>
      </c>
      <c r="D2180" s="81">
        <f t="shared" si="662"/>
        <v>45565</v>
      </c>
      <c r="E2180" s="82">
        <f t="shared" si="655"/>
        <v>45561</v>
      </c>
      <c r="F2180" s="83">
        <f t="shared" si="669"/>
        <v>0.214125</v>
      </c>
      <c r="G2180" s="83">
        <f t="shared" si="669"/>
        <v>0.2125</v>
      </c>
      <c r="I2180" s="146">
        <v>45561</v>
      </c>
      <c r="J2180" s="147">
        <v>2.05</v>
      </c>
      <c r="K2180" s="147">
        <v>1.45</v>
      </c>
      <c r="L2180" s="158">
        <v>1.713</v>
      </c>
      <c r="M2180" s="59" cm="1">
        <f t="array" ref="M2180">INDEX($BV$29:$BV$1449,MATCH($D2180,$BR$29:$BR$1449,0),)</f>
        <v>1.7</v>
      </c>
      <c r="N2180" s="150">
        <f t="shared" si="666"/>
        <v>-0.00116618075801744</v>
      </c>
      <c r="O2180" s="150">
        <f t="shared" si="667"/>
        <v>-0.00406976744186038</v>
      </c>
      <c r="P2180" s="150">
        <f t="shared" si="653"/>
        <v>-0.0155172413793103</v>
      </c>
      <c r="Q2180" s="89">
        <f t="shared" si="656"/>
        <v>0.00764705882352956</v>
      </c>
      <c r="S2180" s="82">
        <f t="shared" si="657"/>
        <v>45561</v>
      </c>
      <c r="T2180" s="83">
        <f t="shared" si="670"/>
        <v>0.311125</v>
      </c>
      <c r="U2180" s="83">
        <f t="shared" si="670"/>
        <v>0.253125</v>
      </c>
      <c r="W2180" s="146">
        <v>45561</v>
      </c>
      <c r="X2180" s="147">
        <v>6.35</v>
      </c>
      <c r="Y2180" s="147">
        <v>4.07</v>
      </c>
      <c r="Z2180" s="158">
        <v>4.978</v>
      </c>
      <c r="AA2180" s="59" cm="1">
        <f t="array" ref="AA2180">INDEX($BX$29:$BX$1449,MATCH($D2180,$BR$29:$BR$1449,0),)</f>
        <v>4.05</v>
      </c>
      <c r="AB2180" s="150">
        <f t="shared" si="658"/>
        <v>-0.0014042126379139</v>
      </c>
      <c r="AC2180" s="150">
        <f t="shared" si="660"/>
        <v>0.0103511264461134</v>
      </c>
      <c r="AD2180" s="150">
        <f t="shared" si="663"/>
        <v>-0.0014042126379139</v>
      </c>
      <c r="AE2180" s="89">
        <f t="shared" si="659"/>
        <v>0.229135802469136</v>
      </c>
    </row>
    <row r="2181" spans="3:31">
      <c r="C2181" s="80" t="str" cm="1">
        <f t="array" ref="C2181">_xlfn.IFS(MONTH(D2181)&lt;4,1,MONTH(D2181)&lt;7,2,MONTH(D2181)&lt;10,3,MONTH(D2181)&gt;9,4)&amp;"Q"&amp;RIGHT(YEAR(D2181),2)</f>
        <v>3Q24</v>
      </c>
      <c r="D2181" s="81">
        <f t="shared" si="662"/>
        <v>45565</v>
      </c>
      <c r="E2181" s="82">
        <f t="shared" si="655"/>
        <v>45562</v>
      </c>
      <c r="F2181" s="83">
        <f t="shared" si="669"/>
        <v>0.2125</v>
      </c>
      <c r="G2181" s="83">
        <f t="shared" si="669"/>
        <v>0.2125</v>
      </c>
      <c r="I2181" s="146">
        <v>45562</v>
      </c>
      <c r="J2181" s="147">
        <v>2.05</v>
      </c>
      <c r="K2181" s="147">
        <v>1.45</v>
      </c>
      <c r="L2181" s="158">
        <v>1.7</v>
      </c>
      <c r="M2181" s="59" cm="1">
        <f t="array" ref="M2181">INDEX($BV$29:$BV$1449,MATCH($D2181,$BR$29:$BR$1449,0),)</f>
        <v>1.7</v>
      </c>
      <c r="N2181" s="150">
        <f t="shared" si="666"/>
        <v>-0.00758902510215997</v>
      </c>
      <c r="O2181" s="150">
        <f t="shared" si="667"/>
        <v>-0.010477299185099</v>
      </c>
      <c r="P2181" s="150">
        <f t="shared" si="653"/>
        <v>-0.0218642117376294</v>
      </c>
      <c r="Q2181" s="89">
        <f t="shared" si="656"/>
        <v>0</v>
      </c>
      <c r="S2181" s="82">
        <f t="shared" si="657"/>
        <v>45562</v>
      </c>
      <c r="T2181" s="83">
        <f t="shared" si="670"/>
        <v>0.3104375</v>
      </c>
      <c r="U2181" s="83">
        <f t="shared" si="670"/>
        <v>0.253125</v>
      </c>
      <c r="W2181" s="146">
        <v>45562</v>
      </c>
      <c r="X2181" s="147">
        <v>6.35</v>
      </c>
      <c r="Y2181" s="147">
        <v>4.05</v>
      </c>
      <c r="Z2181" s="158">
        <v>4.967</v>
      </c>
      <c r="AA2181" s="59" cm="1">
        <f t="array" ref="AA2181">INDEX($BX$29:$BX$1449,MATCH($D2181,$BR$29:$BR$1449,0),)</f>
        <v>4.05</v>
      </c>
      <c r="AB2181" s="150">
        <f t="shared" si="658"/>
        <v>-0.00220972278023301</v>
      </c>
      <c r="AC2181" s="150">
        <f t="shared" si="660"/>
        <v>0.00811853054597123</v>
      </c>
      <c r="AD2181" s="150">
        <f t="shared" si="663"/>
        <v>0.00323167036962224</v>
      </c>
      <c r="AE2181" s="89">
        <f t="shared" si="659"/>
        <v>0.22641975308642</v>
      </c>
    </row>
    <row r="2182" spans="3:31">
      <c r="C2182" s="80" t="str" cm="1">
        <f t="array" ref="C2182">_xlfn.IFS(MONTH(D2182)&lt;4,1,MONTH(D2182)&lt;7,2,MONTH(D2182)&lt;10,3,MONTH(D2182)&gt;9,4)&amp;"Q"&amp;RIGHT(YEAR(D2182),2)</f>
        <v>3Q24</v>
      </c>
      <c r="D2182" s="81">
        <f t="shared" si="662"/>
        <v>45565</v>
      </c>
      <c r="E2182" s="82">
        <f t="shared" si="655"/>
        <v>45565</v>
      </c>
      <c r="F2182" s="83">
        <f t="shared" si="669"/>
        <v>0.211875</v>
      </c>
      <c r="G2182" s="83">
        <f t="shared" si="669"/>
        <v>0.2125</v>
      </c>
      <c r="I2182" s="146">
        <v>45565</v>
      </c>
      <c r="J2182" s="147">
        <v>2.04</v>
      </c>
      <c r="K2182" s="147">
        <v>1.43</v>
      </c>
      <c r="L2182" s="158">
        <v>1.695</v>
      </c>
      <c r="M2182" s="59" cm="1">
        <f t="array" ref="M2182">INDEX($BV$29:$BV$1449,MATCH($D2182,$BR$29:$BR$1449,0),)</f>
        <v>1.7</v>
      </c>
      <c r="N2182" s="150">
        <f t="shared" si="666"/>
        <v>-0.00294117647058822</v>
      </c>
      <c r="O2182" s="150">
        <f t="shared" si="667"/>
        <v>-0.011661807580175</v>
      </c>
      <c r="P2182" s="150">
        <f t="shared" si="653"/>
        <v>-0.0202312138728323</v>
      </c>
      <c r="Q2182" s="89">
        <f t="shared" si="656"/>
        <v>-0.00294117647058822</v>
      </c>
      <c r="S2182" s="82">
        <f t="shared" si="657"/>
        <v>45565</v>
      </c>
      <c r="T2182" s="83">
        <f t="shared" si="670"/>
        <v>0.3104375</v>
      </c>
      <c r="U2182" s="83">
        <f t="shared" si="670"/>
        <v>0.253125</v>
      </c>
      <c r="W2182" s="146">
        <v>45565</v>
      </c>
      <c r="X2182" s="147">
        <v>6.4</v>
      </c>
      <c r="Y2182" s="147">
        <v>4.07</v>
      </c>
      <c r="Z2182" s="158">
        <v>4.967</v>
      </c>
      <c r="AA2182" s="59" cm="1">
        <f t="array" ref="AA2182">INDEX($BX$29:$BX$1449,MATCH($D2182,$BR$29:$BR$1449,0),)</f>
        <v>4.05</v>
      </c>
      <c r="AB2182" s="150">
        <f t="shared" si="658"/>
        <v>0</v>
      </c>
      <c r="AC2182" s="150">
        <f t="shared" si="660"/>
        <v>-0.00120651518198278</v>
      </c>
      <c r="AD2182" s="150">
        <f t="shared" si="663"/>
        <v>0.00607656471541418</v>
      </c>
      <c r="AE2182" s="89">
        <f t="shared" si="659"/>
        <v>0.22641975308642</v>
      </c>
    </row>
    <row r="2183" spans="3:31">
      <c r="C2183" s="80" t="str" cm="1">
        <f t="array" ref="C2183">_xlfn.IFS(MONTH(D2183)&lt;4,1,MONTH(D2183)&lt;7,2,MONTH(D2183)&lt;10,3,MONTH(D2183)&gt;9,4)&amp;"Q"&amp;RIGHT(YEAR(D2183),2)</f>
        <v>4Q24</v>
      </c>
      <c r="D2183" s="81">
        <f t="shared" si="662"/>
        <v>45596</v>
      </c>
      <c r="E2183" s="82">
        <f t="shared" si="655"/>
        <v>45566</v>
      </c>
      <c r="F2183" s="83">
        <f t="shared" si="669"/>
        <v>0.211875</v>
      </c>
      <c r="G2183" s="83">
        <f t="shared" si="669"/>
        <v>0.2125</v>
      </c>
      <c r="I2183" s="146">
        <v>45566</v>
      </c>
      <c r="J2183" s="147">
        <v>2.04</v>
      </c>
      <c r="K2183" s="147">
        <v>1.43</v>
      </c>
      <c r="L2183" s="158">
        <v>1.695</v>
      </c>
      <c r="M2183" s="59" cm="1">
        <f t="array" ref="M2183">INDEX($BV$29:$BV$1449,MATCH($D2183,$BR$29:$BR$1449,0),)</f>
        <v>1.7</v>
      </c>
      <c r="N2183" s="150">
        <f t="shared" si="666"/>
        <v>0</v>
      </c>
      <c r="O2183" s="150">
        <f t="shared" si="667"/>
        <v>-0.011661807580175</v>
      </c>
      <c r="P2183" s="150">
        <f t="shared" si="653"/>
        <v>-0.0173913043478261</v>
      </c>
      <c r="Q2183" s="89">
        <f t="shared" si="656"/>
        <v>-0.00294117647058822</v>
      </c>
      <c r="S2183" s="82">
        <f t="shared" si="657"/>
        <v>45566</v>
      </c>
      <c r="T2183" s="83">
        <f t="shared" si="670"/>
        <v>0.309625</v>
      </c>
      <c r="U2183" s="83">
        <f t="shared" si="670"/>
        <v>0.253125</v>
      </c>
      <c r="W2183" s="146">
        <v>45566</v>
      </c>
      <c r="X2183" s="147">
        <v>6.4</v>
      </c>
      <c r="Y2183" s="147">
        <v>4.07</v>
      </c>
      <c r="Z2183" s="158">
        <v>4.954</v>
      </c>
      <c r="AA2183" s="59" cm="1">
        <f t="array" ref="AA2183">INDEX($BX$29:$BX$1449,MATCH($D2183,$BR$29:$BR$1449,0),)</f>
        <v>4.05</v>
      </c>
      <c r="AB2183" s="150">
        <f t="shared" si="658"/>
        <v>-0.00261727400845579</v>
      </c>
      <c r="AC2183" s="150">
        <f t="shared" si="660"/>
        <v>-0.00621865596790383</v>
      </c>
      <c r="AD2183" s="150">
        <f t="shared" si="663"/>
        <v>0.0042570443948915</v>
      </c>
      <c r="AE2183" s="89">
        <f t="shared" si="659"/>
        <v>0.22320987654321</v>
      </c>
    </row>
    <row r="2184" spans="3:31">
      <c r="C2184" s="80" t="str" cm="1">
        <f t="array" ref="C2184">_xlfn.IFS(MONTH(D2184)&lt;4,1,MONTH(D2184)&lt;7,2,MONTH(D2184)&lt;10,3,MONTH(D2184)&gt;9,4)&amp;"Q"&amp;RIGHT(YEAR(D2184),2)</f>
        <v>4Q24</v>
      </c>
      <c r="D2184" s="81">
        <f t="shared" si="662"/>
        <v>45596</v>
      </c>
      <c r="E2184" s="82">
        <f t="shared" si="655"/>
        <v>45567</v>
      </c>
      <c r="F2184" s="83">
        <f t="shared" si="669"/>
        <v>0.211</v>
      </c>
      <c r="G2184" s="83">
        <f t="shared" si="669"/>
        <v>0.2125</v>
      </c>
      <c r="I2184" s="146">
        <v>45567</v>
      </c>
      <c r="J2184" s="147">
        <v>2.04</v>
      </c>
      <c r="K2184" s="147">
        <v>1.43</v>
      </c>
      <c r="L2184" s="158">
        <v>1.688</v>
      </c>
      <c r="M2184" s="59" cm="1">
        <f t="array" ref="M2184">INDEX($BV$29:$BV$1449,MATCH($D2184,$BR$29:$BR$1449,0),)</f>
        <v>1.7</v>
      </c>
      <c r="N2184" s="150">
        <f t="shared" si="666"/>
        <v>-0.0041297935103245</v>
      </c>
      <c r="O2184" s="150">
        <f t="shared" si="667"/>
        <v>-0.0157434402332363</v>
      </c>
      <c r="P2184" s="150">
        <f t="shared" si="653"/>
        <v>-0.0186046511627908</v>
      </c>
      <c r="Q2184" s="89">
        <f t="shared" si="656"/>
        <v>-0.00705882352941178</v>
      </c>
      <c r="S2184" s="82">
        <f t="shared" si="657"/>
        <v>45567</v>
      </c>
      <c r="T2184" s="83">
        <f t="shared" si="670"/>
        <v>0.3095</v>
      </c>
      <c r="U2184" s="83">
        <f t="shared" si="670"/>
        <v>0.253125</v>
      </c>
      <c r="W2184" s="146">
        <v>45567</v>
      </c>
      <c r="X2184" s="147">
        <v>6.4</v>
      </c>
      <c r="Y2184" s="147">
        <v>4.07</v>
      </c>
      <c r="Z2184" s="158">
        <v>4.952</v>
      </c>
      <c r="AA2184" s="59" cm="1">
        <f t="array" ref="AA2184">INDEX($BX$29:$BX$1449,MATCH($D2184,$BR$29:$BR$1449,0),)</f>
        <v>4.05</v>
      </c>
      <c r="AB2184" s="150">
        <f t="shared" si="658"/>
        <v>-0.000403714170367331</v>
      </c>
      <c r="AC2184" s="150">
        <f t="shared" si="660"/>
        <v>-0.00661985957873623</v>
      </c>
      <c r="AD2184" s="150">
        <f t="shared" si="663"/>
        <v>0.00446247464503058</v>
      </c>
      <c r="AE2184" s="89">
        <f t="shared" si="659"/>
        <v>0.222716049382716</v>
      </c>
    </row>
    <row r="2185" spans="3:31">
      <c r="C2185" s="80" t="str" cm="1">
        <f t="array" ref="C2185">_xlfn.IFS(MONTH(D2185)&lt;4,1,MONTH(D2185)&lt;7,2,MONTH(D2185)&lt;10,3,MONTH(D2185)&gt;9,4)&amp;"Q"&amp;RIGHT(YEAR(D2185),2)</f>
        <v>4Q24</v>
      </c>
      <c r="D2185" s="81">
        <f t="shared" si="662"/>
        <v>45596</v>
      </c>
      <c r="E2185" s="82">
        <f t="shared" si="655"/>
        <v>45568</v>
      </c>
      <c r="F2185" s="83">
        <f t="shared" si="669"/>
        <v>0.210625</v>
      </c>
      <c r="G2185" s="83">
        <f t="shared" si="669"/>
        <v>0.2125</v>
      </c>
      <c r="I2185" s="146">
        <v>45568</v>
      </c>
      <c r="J2185" s="147">
        <v>2.04</v>
      </c>
      <c r="K2185" s="147">
        <v>1.43</v>
      </c>
      <c r="L2185" s="158">
        <v>1.685</v>
      </c>
      <c r="M2185" s="59" cm="1">
        <f t="array" ref="M2185">INDEX($BV$29:$BV$1449,MATCH($D2185,$BR$29:$BR$1449,0),)</f>
        <v>1.7</v>
      </c>
      <c r="N2185" s="150">
        <f t="shared" si="666"/>
        <v>-0.00177725118483407</v>
      </c>
      <c r="O2185" s="150">
        <f t="shared" si="667"/>
        <v>-0.0163455925277292</v>
      </c>
      <c r="P2185" s="150">
        <f t="shared" si="653"/>
        <v>-0.0203488372093023</v>
      </c>
      <c r="Q2185" s="89">
        <f t="shared" si="656"/>
        <v>-0.00882352941176467</v>
      </c>
      <c r="S2185" s="82">
        <f t="shared" si="657"/>
        <v>45568</v>
      </c>
      <c r="T2185" s="83">
        <f t="shared" si="670"/>
        <v>0.3095</v>
      </c>
      <c r="U2185" s="83">
        <f t="shared" si="670"/>
        <v>0.253125</v>
      </c>
      <c r="W2185" s="146">
        <v>45568</v>
      </c>
      <c r="X2185" s="147">
        <v>6.4</v>
      </c>
      <c r="Y2185" s="147">
        <v>4.07</v>
      </c>
      <c r="Z2185" s="158">
        <v>4.952</v>
      </c>
      <c r="AA2185" s="59" cm="1">
        <f t="array" ref="AA2185">INDEX($BX$29:$BX$1449,MATCH($D2185,$BR$29:$BR$1449,0),)</f>
        <v>4.05</v>
      </c>
      <c r="AB2185" s="150">
        <f t="shared" si="658"/>
        <v>0</v>
      </c>
      <c r="AC2185" s="150">
        <f t="shared" si="660"/>
        <v>-0.00522298111691444</v>
      </c>
      <c r="AD2185" s="150">
        <f t="shared" si="663"/>
        <v>0.00507408159123202</v>
      </c>
      <c r="AE2185" s="89">
        <f t="shared" si="659"/>
        <v>0.222716049382716</v>
      </c>
    </row>
    <row r="2186" spans="3:31">
      <c r="C2186" s="80" t="str" cm="1">
        <f t="array" ref="C2186">_xlfn.IFS(MONTH(D2186)&lt;4,1,MONTH(D2186)&lt;7,2,MONTH(D2186)&lt;10,3,MONTH(D2186)&gt;9,4)&amp;"Q"&amp;RIGHT(YEAR(D2186),2)</f>
        <v>4Q24</v>
      </c>
      <c r="D2186" s="81">
        <f t="shared" si="662"/>
        <v>45596</v>
      </c>
      <c r="E2186" s="82">
        <f t="shared" si="655"/>
        <v>45569</v>
      </c>
      <c r="F2186" s="83">
        <f t="shared" ref="F2186:G2201" si="671">+L2186/8</f>
        <v>0.210375</v>
      </c>
      <c r="G2186" s="83">
        <f t="shared" si="671"/>
        <v>0.2125</v>
      </c>
      <c r="I2186" s="146">
        <v>45569</v>
      </c>
      <c r="J2186" s="147">
        <v>2.04</v>
      </c>
      <c r="K2186" s="147">
        <v>1.43</v>
      </c>
      <c r="L2186" s="158">
        <v>1.683</v>
      </c>
      <c r="M2186" s="59" cm="1">
        <f t="array" ref="M2186">INDEX($BV$29:$BV$1449,MATCH($D2186,$BR$29:$BR$1449,0),)</f>
        <v>1.7</v>
      </c>
      <c r="N2186" s="150">
        <f t="shared" si="666"/>
        <v>-0.00118694362017802</v>
      </c>
      <c r="O2186" s="150">
        <f t="shared" si="667"/>
        <v>-0.0099999999999999</v>
      </c>
      <c r="P2186" s="150">
        <f t="shared" si="653"/>
        <v>-0.0203725261932479</v>
      </c>
      <c r="Q2186" s="89">
        <f t="shared" si="656"/>
        <v>-0.0099999999999999</v>
      </c>
      <c r="S2186" s="82">
        <f t="shared" si="657"/>
        <v>45569</v>
      </c>
      <c r="T2186" s="83">
        <f t="shared" si="670"/>
        <v>0.309375</v>
      </c>
      <c r="U2186" s="83">
        <f t="shared" si="670"/>
        <v>0.253125</v>
      </c>
      <c r="W2186" s="146">
        <v>45569</v>
      </c>
      <c r="X2186" s="147">
        <v>6.4</v>
      </c>
      <c r="Y2186" s="147">
        <v>4.07</v>
      </c>
      <c r="Z2186" s="158">
        <v>4.95</v>
      </c>
      <c r="AA2186" s="59" cm="1">
        <f t="array" ref="AA2186">INDEX($BX$29:$BX$1449,MATCH($D2186,$BR$29:$BR$1449,0),)</f>
        <v>4.05</v>
      </c>
      <c r="AB2186" s="150">
        <f t="shared" si="658"/>
        <v>-0.000403877221324622</v>
      </c>
      <c r="AC2186" s="150">
        <f t="shared" si="660"/>
        <v>-0.00342258908798054</v>
      </c>
      <c r="AD2186" s="150">
        <f t="shared" si="663"/>
        <v>0.00466815506393359</v>
      </c>
      <c r="AE2186" s="89">
        <f t="shared" si="659"/>
        <v>0.222222222222222</v>
      </c>
    </row>
    <row r="2187" spans="3:31">
      <c r="C2187" s="80" t="str" cm="1">
        <f t="array" ref="C2187">_xlfn.IFS(MONTH(D2187)&lt;4,1,MONTH(D2187)&lt;7,2,MONTH(D2187)&lt;10,3,MONTH(D2187)&gt;9,4)&amp;"Q"&amp;RIGHT(YEAR(D2187),2)</f>
        <v>4Q24</v>
      </c>
      <c r="D2187" s="81">
        <f t="shared" si="662"/>
        <v>45596</v>
      </c>
      <c r="E2187" s="82">
        <f t="shared" si="655"/>
        <v>45572</v>
      </c>
      <c r="F2187" s="83">
        <f t="shared" si="671"/>
        <v>0.21</v>
      </c>
      <c r="G2187" s="83">
        <f t="shared" si="671"/>
        <v>0.2125</v>
      </c>
      <c r="I2187" s="146">
        <v>45572</v>
      </c>
      <c r="J2187" s="147">
        <v>2</v>
      </c>
      <c r="K2187" s="147">
        <v>1.42</v>
      </c>
      <c r="L2187" s="158">
        <v>1.68</v>
      </c>
      <c r="M2187" s="59" cm="1">
        <f t="array" ref="M2187">INDEX($BV$29:$BV$1449,MATCH($D2187,$BR$29:$BR$1449,0),)</f>
        <v>1.7</v>
      </c>
      <c r="N2187" s="150">
        <f t="shared" si="666"/>
        <v>-0.00178253119429594</v>
      </c>
      <c r="O2187" s="150">
        <f t="shared" si="667"/>
        <v>-0.00884955752212402</v>
      </c>
      <c r="P2187" s="150">
        <f t="shared" si="653"/>
        <v>-0.0204081632653063</v>
      </c>
      <c r="Q2187" s="89">
        <f t="shared" si="656"/>
        <v>-0.0117647058823529</v>
      </c>
      <c r="S2187" s="82">
        <f t="shared" si="657"/>
        <v>45572</v>
      </c>
      <c r="T2187" s="83">
        <f t="shared" si="670"/>
        <v>0.3093125</v>
      </c>
      <c r="U2187" s="83">
        <f t="shared" si="670"/>
        <v>0.253125</v>
      </c>
      <c r="W2187" s="146">
        <v>45572</v>
      </c>
      <c r="X2187" s="147">
        <v>6.38</v>
      </c>
      <c r="Y2187" s="147">
        <v>4.06</v>
      </c>
      <c r="Z2187" s="158">
        <v>4.949</v>
      </c>
      <c r="AA2187" s="59" cm="1">
        <f t="array" ref="AA2187">INDEX($BX$29:$BX$1449,MATCH($D2187,$BR$29:$BR$1449,0),)</f>
        <v>4.05</v>
      </c>
      <c r="AB2187" s="150">
        <f t="shared" si="658"/>
        <v>-0.000202020202020314</v>
      </c>
      <c r="AC2187" s="150">
        <f t="shared" si="660"/>
        <v>-0.00362391785786187</v>
      </c>
      <c r="AD2187" s="150">
        <f t="shared" si="663"/>
        <v>-0.00482606072793079</v>
      </c>
      <c r="AE2187" s="89">
        <f t="shared" si="659"/>
        <v>0.221975308641975</v>
      </c>
    </row>
    <row r="2188" spans="3:31">
      <c r="C2188" s="80" t="str" cm="1">
        <f t="array" ref="C2188">_xlfn.IFS(MONTH(D2188)&lt;4,1,MONTH(D2188)&lt;7,2,MONTH(D2188)&lt;10,3,MONTH(D2188)&gt;9,4)&amp;"Q"&amp;RIGHT(YEAR(D2188),2)</f>
        <v>4Q24</v>
      </c>
      <c r="D2188" s="81">
        <f t="shared" si="662"/>
        <v>45596</v>
      </c>
      <c r="E2188" s="82">
        <f t="shared" si="655"/>
        <v>45573</v>
      </c>
      <c r="F2188" s="83">
        <f t="shared" si="671"/>
        <v>0.21</v>
      </c>
      <c r="G2188" s="83">
        <f t="shared" si="671"/>
        <v>0.2125</v>
      </c>
      <c r="I2188" s="146">
        <v>45573</v>
      </c>
      <c r="J2188" s="147">
        <v>2</v>
      </c>
      <c r="K2188" s="147">
        <v>1.42</v>
      </c>
      <c r="L2188" s="158">
        <v>1.68</v>
      </c>
      <c r="M2188" s="59" cm="1">
        <f t="array" ref="M2188">INDEX($BV$29:$BV$1449,MATCH($D2188,$BR$29:$BR$1449,0),)</f>
        <v>1.7</v>
      </c>
      <c r="N2188" s="150">
        <f t="shared" si="666"/>
        <v>0</v>
      </c>
      <c r="O2188" s="150">
        <f t="shared" si="667"/>
        <v>-0.00884955752212402</v>
      </c>
      <c r="P2188" s="150">
        <f t="shared" si="653"/>
        <v>-0.0204081632653063</v>
      </c>
      <c r="Q2188" s="89">
        <f t="shared" si="656"/>
        <v>-0.0117647058823529</v>
      </c>
      <c r="S2188" s="82">
        <f t="shared" si="657"/>
        <v>45573</v>
      </c>
      <c r="T2188" s="83">
        <f t="shared" si="670"/>
        <v>0.30925</v>
      </c>
      <c r="U2188" s="83">
        <f t="shared" si="670"/>
        <v>0.253125</v>
      </c>
      <c r="W2188" s="146">
        <v>45573</v>
      </c>
      <c r="X2188" s="147">
        <v>6.38</v>
      </c>
      <c r="Y2188" s="147">
        <v>4.06</v>
      </c>
      <c r="Z2188" s="158">
        <v>4.948</v>
      </c>
      <c r="AA2188" s="59" cm="1">
        <f t="array" ref="AA2188">INDEX($BX$29:$BX$1449,MATCH($D2188,$BR$29:$BR$1449,0),)</f>
        <v>4.05</v>
      </c>
      <c r="AB2188" s="150">
        <f t="shared" si="658"/>
        <v>-0.000202061022428701</v>
      </c>
      <c r="AC2188" s="150">
        <f t="shared" si="660"/>
        <v>-0.00121114251110199</v>
      </c>
      <c r="AD2188" s="150">
        <f t="shared" si="663"/>
        <v>-0.00742226680040114</v>
      </c>
      <c r="AE2188" s="89">
        <f t="shared" si="659"/>
        <v>0.221728395061729</v>
      </c>
    </row>
    <row r="2189" spans="3:31">
      <c r="C2189" s="80" t="str" cm="1">
        <f t="array" ref="C2189">_xlfn.IFS(MONTH(D2189)&lt;4,1,MONTH(D2189)&lt;7,2,MONTH(D2189)&lt;10,3,MONTH(D2189)&gt;9,4)&amp;"Q"&amp;RIGHT(YEAR(D2189),2)</f>
        <v>4Q24</v>
      </c>
      <c r="D2189" s="81">
        <f t="shared" si="662"/>
        <v>45596</v>
      </c>
      <c r="E2189" s="82">
        <f t="shared" si="655"/>
        <v>45574</v>
      </c>
      <c r="F2189" s="83">
        <f t="shared" si="671"/>
        <v>0.20875</v>
      </c>
      <c r="G2189" s="83">
        <f t="shared" si="671"/>
        <v>0.2125</v>
      </c>
      <c r="I2189" s="146">
        <v>45574</v>
      </c>
      <c r="J2189" s="147">
        <v>2</v>
      </c>
      <c r="K2189" s="147">
        <v>1.45</v>
      </c>
      <c r="L2189" s="158">
        <v>1.67</v>
      </c>
      <c r="M2189" s="59" cm="1">
        <f t="array" ref="M2189">INDEX($BV$29:$BV$1449,MATCH($D2189,$BR$29:$BR$1449,0),)</f>
        <v>1.7</v>
      </c>
      <c r="N2189" s="150">
        <f t="shared" si="666"/>
        <v>-0.00595238095238093</v>
      </c>
      <c r="O2189" s="150">
        <f t="shared" si="667"/>
        <v>-0.0106635071090048</v>
      </c>
      <c r="P2189" s="150">
        <f t="shared" si="653"/>
        <v>-0.0262390670553937</v>
      </c>
      <c r="Q2189" s="89">
        <f t="shared" si="656"/>
        <v>-0.0176470588235295</v>
      </c>
      <c r="S2189" s="82">
        <f t="shared" si="657"/>
        <v>45574</v>
      </c>
      <c r="T2189" s="83">
        <f t="shared" si="670"/>
        <v>0.30925</v>
      </c>
      <c r="U2189" s="83">
        <f t="shared" si="670"/>
        <v>0.253125</v>
      </c>
      <c r="W2189" s="146">
        <v>45574</v>
      </c>
      <c r="X2189" s="147">
        <v>6.38</v>
      </c>
      <c r="Y2189" s="147">
        <v>4.05</v>
      </c>
      <c r="Z2189" s="158">
        <v>4.948</v>
      </c>
      <c r="AA2189" s="59" cm="1">
        <f t="array" ref="AA2189">INDEX($BX$29:$BX$1449,MATCH($D2189,$BR$29:$BR$1449,0),)</f>
        <v>4.05</v>
      </c>
      <c r="AB2189" s="150">
        <f t="shared" si="658"/>
        <v>0</v>
      </c>
      <c r="AC2189" s="150">
        <f t="shared" si="660"/>
        <v>-0.000807754442649355</v>
      </c>
      <c r="AD2189" s="150">
        <f t="shared" si="663"/>
        <v>-0.00742226680040114</v>
      </c>
      <c r="AE2189" s="89">
        <f t="shared" si="659"/>
        <v>0.221728395061729</v>
      </c>
    </row>
    <row r="2190" spans="3:31">
      <c r="C2190" s="80" t="str" cm="1">
        <f t="array" ref="C2190">_xlfn.IFS(MONTH(D2190)&lt;4,1,MONTH(D2190)&lt;7,2,MONTH(D2190)&lt;10,3,MONTH(D2190)&gt;9,4)&amp;"Q"&amp;RIGHT(YEAR(D2190),2)</f>
        <v>4Q24</v>
      </c>
      <c r="D2190" s="81">
        <f t="shared" si="662"/>
        <v>45596</v>
      </c>
      <c r="E2190" s="82">
        <f t="shared" si="655"/>
        <v>45575</v>
      </c>
      <c r="F2190" s="83">
        <f t="shared" si="671"/>
        <v>0.208125</v>
      </c>
      <c r="G2190" s="83">
        <f t="shared" si="671"/>
        <v>0.2125</v>
      </c>
      <c r="I2190" s="146">
        <v>45575</v>
      </c>
      <c r="J2190" s="147">
        <v>2</v>
      </c>
      <c r="K2190" s="147">
        <v>1.45</v>
      </c>
      <c r="L2190" s="158">
        <v>1.665</v>
      </c>
      <c r="M2190" s="59" cm="1">
        <f t="array" ref="M2190">INDEX($BV$29:$BV$1449,MATCH($D2190,$BR$29:$BR$1449,0),)</f>
        <v>1.7</v>
      </c>
      <c r="N2190" s="150">
        <f t="shared" si="666"/>
        <v>-0.00299401197604787</v>
      </c>
      <c r="O2190" s="150">
        <f t="shared" si="667"/>
        <v>-0.0118694362017804</v>
      </c>
      <c r="P2190" s="150">
        <f t="shared" si="653"/>
        <v>-0.0280210157618214</v>
      </c>
      <c r="Q2190" s="89">
        <f t="shared" si="656"/>
        <v>-0.0205882352941176</v>
      </c>
      <c r="S2190" s="82">
        <f t="shared" si="657"/>
        <v>45575</v>
      </c>
      <c r="T2190" s="83">
        <f t="shared" si="670"/>
        <v>0.30925</v>
      </c>
      <c r="U2190" s="83">
        <f t="shared" si="670"/>
        <v>0.253125</v>
      </c>
      <c r="W2190" s="146">
        <v>45575</v>
      </c>
      <c r="X2190" s="147">
        <v>6.38</v>
      </c>
      <c r="Y2190" s="147">
        <v>4.05</v>
      </c>
      <c r="Z2190" s="158">
        <v>4.948</v>
      </c>
      <c r="AA2190" s="59" cm="1">
        <f t="array" ref="AA2190">INDEX($BX$29:$BX$1449,MATCH($D2190,$BR$29:$BR$1449,0),)</f>
        <v>4.05</v>
      </c>
      <c r="AB2190" s="150">
        <f t="shared" si="658"/>
        <v>0</v>
      </c>
      <c r="AC2190" s="150">
        <f t="shared" si="660"/>
        <v>-0.000807754442649355</v>
      </c>
      <c r="AD2190" s="150">
        <f t="shared" si="663"/>
        <v>-0.00602651667336263</v>
      </c>
      <c r="AE2190" s="89">
        <f t="shared" si="659"/>
        <v>0.221728395061729</v>
      </c>
    </row>
    <row r="2191" spans="3:31">
      <c r="C2191" s="80" t="str" cm="1">
        <f t="array" ref="C2191">_xlfn.IFS(MONTH(D2191)&lt;4,1,MONTH(D2191)&lt;7,2,MONTH(D2191)&lt;10,3,MONTH(D2191)&gt;9,4)&amp;"Q"&amp;RIGHT(YEAR(D2191),2)</f>
        <v>4Q24</v>
      </c>
      <c r="D2191" s="81">
        <f t="shared" si="662"/>
        <v>45596</v>
      </c>
      <c r="E2191" s="82">
        <f t="shared" si="655"/>
        <v>45576</v>
      </c>
      <c r="F2191" s="83">
        <f t="shared" si="671"/>
        <v>0.206875</v>
      </c>
      <c r="G2191" s="83">
        <f t="shared" si="671"/>
        <v>0.2125</v>
      </c>
      <c r="I2191" s="146">
        <v>45576</v>
      </c>
      <c r="J2191" s="147">
        <v>2</v>
      </c>
      <c r="K2191" s="147">
        <v>1.45</v>
      </c>
      <c r="L2191" s="158">
        <v>1.655</v>
      </c>
      <c r="M2191" s="59" cm="1">
        <f t="array" ref="M2191">INDEX($BV$29:$BV$1449,MATCH($D2191,$BR$29:$BR$1449,0),)</f>
        <v>1.7</v>
      </c>
      <c r="N2191" s="150">
        <f t="shared" si="666"/>
        <v>-0.00600600600600598</v>
      </c>
      <c r="O2191" s="150">
        <f t="shared" si="667"/>
        <v>-0.0166369578134284</v>
      </c>
      <c r="P2191" s="150">
        <f t="shared" ref="P2191:P2254" si="672">L2191/L2181-1</f>
        <v>-0.026470588235294</v>
      </c>
      <c r="Q2191" s="89">
        <f t="shared" si="656"/>
        <v>-0.026470588235294</v>
      </c>
      <c r="S2191" s="82">
        <f t="shared" si="657"/>
        <v>45576</v>
      </c>
      <c r="T2191" s="83">
        <f t="shared" si="670"/>
        <v>0.307</v>
      </c>
      <c r="U2191" s="83">
        <f t="shared" si="670"/>
        <v>0.253125</v>
      </c>
      <c r="W2191" s="146">
        <v>45576</v>
      </c>
      <c r="X2191" s="147">
        <v>6.38</v>
      </c>
      <c r="Y2191" s="147">
        <v>3.98</v>
      </c>
      <c r="Z2191" s="158">
        <v>4.912</v>
      </c>
      <c r="AA2191" s="59" cm="1">
        <f t="array" ref="AA2191">INDEX($BX$29:$BX$1449,MATCH($D2191,$BR$29:$BR$1449,0),)</f>
        <v>4.05</v>
      </c>
      <c r="AB2191" s="150">
        <f t="shared" si="658"/>
        <v>-0.0072756669361359</v>
      </c>
      <c r="AC2191" s="150">
        <f t="shared" si="660"/>
        <v>-0.00767676767676773</v>
      </c>
      <c r="AD2191" s="150">
        <f t="shared" si="663"/>
        <v>-0.0110730823434668</v>
      </c>
      <c r="AE2191" s="89">
        <f t="shared" si="659"/>
        <v>0.21283950617284</v>
      </c>
    </row>
    <row r="2192" spans="3:31">
      <c r="C2192" s="80" t="str" cm="1">
        <f t="array" ref="C2192">_xlfn.IFS(MONTH(D2192)&lt;4,1,MONTH(D2192)&lt;7,2,MONTH(D2192)&lt;10,3,MONTH(D2192)&gt;9,4)&amp;"Q"&amp;RIGHT(YEAR(D2192),2)</f>
        <v>4Q24</v>
      </c>
      <c r="D2192" s="81">
        <f t="shared" si="662"/>
        <v>45596</v>
      </c>
      <c r="E2192" s="82">
        <f t="shared" si="655"/>
        <v>45579</v>
      </c>
      <c r="F2192" s="83">
        <f t="shared" si="671"/>
        <v>0.20625</v>
      </c>
      <c r="G2192" s="83">
        <f t="shared" si="671"/>
        <v>0.2125</v>
      </c>
      <c r="I2192" s="146">
        <v>45579</v>
      </c>
      <c r="J2192" s="147">
        <v>1.96</v>
      </c>
      <c r="K2192" s="147">
        <v>1.44</v>
      </c>
      <c r="L2192" s="158">
        <v>1.65</v>
      </c>
      <c r="M2192" s="59" cm="1">
        <f t="array" ref="M2192">INDEX($BV$29:$BV$1449,MATCH($D2192,$BR$29:$BR$1449,0),)</f>
        <v>1.7</v>
      </c>
      <c r="N2192" s="150">
        <f t="shared" si="666"/>
        <v>-0.00302114803625386</v>
      </c>
      <c r="O2192" s="150">
        <f t="shared" si="667"/>
        <v>-0.0178571428571429</v>
      </c>
      <c r="P2192" s="150">
        <f t="shared" si="672"/>
        <v>-0.0265486725663717</v>
      </c>
      <c r="Q2192" s="89">
        <f t="shared" si="656"/>
        <v>-0.0294117647058824</v>
      </c>
      <c r="S2192" s="82">
        <f t="shared" si="657"/>
        <v>45579</v>
      </c>
      <c r="T2192" s="83">
        <f t="shared" ref="T2192:U2207" si="673">+Z2192/16</f>
        <v>0.305875</v>
      </c>
      <c r="U2192" s="83">
        <f t="shared" si="673"/>
        <v>0.253125</v>
      </c>
      <c r="W2192" s="146">
        <v>45579</v>
      </c>
      <c r="X2192" s="147">
        <v>6.4</v>
      </c>
      <c r="Y2192" s="147">
        <v>3.9</v>
      </c>
      <c r="Z2192" s="158">
        <v>4.894</v>
      </c>
      <c r="AA2192" s="59" cm="1">
        <f t="array" ref="AA2192">INDEX($BX$29:$BX$1449,MATCH($D2192,$BR$29:$BR$1449,0),)</f>
        <v>4.05</v>
      </c>
      <c r="AB2192" s="150">
        <f t="shared" si="658"/>
        <v>-0.00366449511400646</v>
      </c>
      <c r="AC2192" s="150">
        <f t="shared" si="660"/>
        <v>-0.0111133562335824</v>
      </c>
      <c r="AD2192" s="150">
        <f t="shared" si="663"/>
        <v>-0.0146970002013287</v>
      </c>
      <c r="AE2192" s="89">
        <f t="shared" si="659"/>
        <v>0.208395061728395</v>
      </c>
    </row>
    <row r="2193" spans="3:31">
      <c r="C2193" s="80" t="str" cm="1">
        <f t="array" ref="C2193">_xlfn.IFS(MONTH(D2193)&lt;4,1,MONTH(D2193)&lt;7,2,MONTH(D2193)&lt;10,3,MONTH(D2193)&gt;9,4)&amp;"Q"&amp;RIGHT(YEAR(D2193),2)</f>
        <v>4Q24</v>
      </c>
      <c r="D2193" s="81">
        <f t="shared" si="662"/>
        <v>45596</v>
      </c>
      <c r="E2193" s="82">
        <f t="shared" ref="E2193:E2256" si="674">I2193</f>
        <v>45580</v>
      </c>
      <c r="F2193" s="83">
        <f t="shared" si="671"/>
        <v>0.20475</v>
      </c>
      <c r="G2193" s="83">
        <f t="shared" si="671"/>
        <v>0.2125</v>
      </c>
      <c r="I2193" s="146">
        <v>45580</v>
      </c>
      <c r="J2193" s="147">
        <v>1.96</v>
      </c>
      <c r="K2193" s="147">
        <v>1.44</v>
      </c>
      <c r="L2193" s="158">
        <v>1.638</v>
      </c>
      <c r="M2193" s="59" cm="1">
        <f t="array" ref="M2193">INDEX($BV$29:$BV$1449,MATCH($D2193,$BR$29:$BR$1449,0),)</f>
        <v>1.7</v>
      </c>
      <c r="N2193" s="150">
        <f t="shared" si="666"/>
        <v>-0.00727272727272732</v>
      </c>
      <c r="O2193" s="150">
        <f t="shared" si="667"/>
        <v>-0.025</v>
      </c>
      <c r="P2193" s="150">
        <f t="shared" si="672"/>
        <v>-0.0336283185840709</v>
      </c>
      <c r="Q2193" s="89">
        <f t="shared" ref="Q2193:Q2256" si="675">L2193/M2193-1</f>
        <v>-0.0364705882352941</v>
      </c>
      <c r="S2193" s="82">
        <f t="shared" si="657"/>
        <v>45580</v>
      </c>
      <c r="T2193" s="83">
        <f t="shared" si="673"/>
        <v>0.305875</v>
      </c>
      <c r="U2193" s="83">
        <f t="shared" si="673"/>
        <v>0.253125</v>
      </c>
      <c r="W2193" s="146">
        <v>45580</v>
      </c>
      <c r="X2193" s="147">
        <v>6.4</v>
      </c>
      <c r="Y2193" s="147">
        <v>3.93</v>
      </c>
      <c r="Z2193" s="158">
        <v>4.894</v>
      </c>
      <c r="AA2193" s="59" cm="1">
        <f t="array" ref="AA2193">INDEX($BX$29:$BX$1449,MATCH($D2193,$BR$29:$BR$1449,0),)</f>
        <v>4.05</v>
      </c>
      <c r="AB2193" s="150">
        <f t="shared" si="658"/>
        <v>0</v>
      </c>
      <c r="AC2193" s="150">
        <f t="shared" si="660"/>
        <v>-0.0109135004042038</v>
      </c>
      <c r="AD2193" s="150">
        <f t="shared" si="663"/>
        <v>-0.0121114251110214</v>
      </c>
      <c r="AE2193" s="89">
        <f t="shared" si="659"/>
        <v>0.208395061728395</v>
      </c>
    </row>
    <row r="2194" spans="3:31">
      <c r="C2194" s="80" t="str" cm="1">
        <f t="array" ref="C2194">_xlfn.IFS(MONTH(D2194)&lt;4,1,MONTH(D2194)&lt;7,2,MONTH(D2194)&lt;10,3,MONTH(D2194)&gt;9,4)&amp;"Q"&amp;RIGHT(YEAR(D2194),2)</f>
        <v>4Q24</v>
      </c>
      <c r="D2194" s="81">
        <f t="shared" si="662"/>
        <v>45596</v>
      </c>
      <c r="E2194" s="82">
        <f t="shared" si="674"/>
        <v>45581</v>
      </c>
      <c r="F2194" s="83">
        <f t="shared" si="671"/>
        <v>0.204375</v>
      </c>
      <c r="G2194" s="83">
        <f t="shared" si="671"/>
        <v>0.2125</v>
      </c>
      <c r="I2194" s="146">
        <v>45581</v>
      </c>
      <c r="J2194" s="147">
        <v>1.96</v>
      </c>
      <c r="K2194" s="147">
        <v>1.44</v>
      </c>
      <c r="L2194" s="158">
        <v>1.635</v>
      </c>
      <c r="M2194" s="59" cm="1">
        <f t="array" ref="M2194">INDEX($BV$29:$BV$1449,MATCH($D2194,$BR$29:$BR$1449,0),)</f>
        <v>1.7</v>
      </c>
      <c r="N2194" s="150">
        <f t="shared" si="666"/>
        <v>-0.00183150183150171</v>
      </c>
      <c r="O2194" s="150">
        <f t="shared" si="667"/>
        <v>-0.0209580838323353</v>
      </c>
      <c r="P2194" s="150">
        <f t="shared" si="672"/>
        <v>-0.0313981042654028</v>
      </c>
      <c r="Q2194" s="89">
        <f t="shared" si="675"/>
        <v>-0.038235294117647</v>
      </c>
      <c r="S2194" s="82">
        <f t="shared" si="657"/>
        <v>45581</v>
      </c>
      <c r="T2194" s="83">
        <f t="shared" si="673"/>
        <v>0.305875</v>
      </c>
      <c r="U2194" s="83">
        <f t="shared" si="673"/>
        <v>0.253125</v>
      </c>
      <c r="W2194" s="146">
        <v>45581</v>
      </c>
      <c r="X2194" s="147">
        <v>6.4</v>
      </c>
      <c r="Y2194" s="147">
        <v>3.93</v>
      </c>
      <c r="Z2194" s="158">
        <v>4.894</v>
      </c>
      <c r="AA2194" s="59" cm="1">
        <f t="array" ref="AA2194">INDEX($BX$29:$BX$1449,MATCH($D2194,$BR$29:$BR$1449,0),)</f>
        <v>4.05</v>
      </c>
      <c r="AB2194" s="150">
        <f t="shared" si="658"/>
        <v>0</v>
      </c>
      <c r="AC2194" s="150">
        <f t="shared" si="660"/>
        <v>-0.0109135004042038</v>
      </c>
      <c r="AD2194" s="150">
        <f t="shared" si="663"/>
        <v>-0.0117124394184168</v>
      </c>
      <c r="AE2194" s="89">
        <f t="shared" si="659"/>
        <v>0.208395061728395</v>
      </c>
    </row>
    <row r="2195" spans="3:31">
      <c r="C2195" s="80" t="str" cm="1">
        <f t="array" ref="C2195">_xlfn.IFS(MONTH(D2195)&lt;4,1,MONTH(D2195)&lt;7,2,MONTH(D2195)&lt;10,3,MONTH(D2195)&gt;9,4)&amp;"Q"&amp;RIGHT(YEAR(D2195),2)</f>
        <v>4Q24</v>
      </c>
      <c r="D2195" s="81">
        <f t="shared" si="662"/>
        <v>45596</v>
      </c>
      <c r="E2195" s="82">
        <f t="shared" si="674"/>
        <v>45582</v>
      </c>
      <c r="F2195" s="83">
        <f t="shared" si="671"/>
        <v>0.204125</v>
      </c>
      <c r="G2195" s="83">
        <f t="shared" si="671"/>
        <v>0.2125</v>
      </c>
      <c r="I2195" s="146">
        <v>45582</v>
      </c>
      <c r="J2195" s="147">
        <v>1.96</v>
      </c>
      <c r="K2195" s="147">
        <v>1.44</v>
      </c>
      <c r="L2195" s="158">
        <v>1.633</v>
      </c>
      <c r="M2195" s="59" cm="1">
        <f t="array" ref="M2195">INDEX($BV$29:$BV$1449,MATCH($D2195,$BR$29:$BR$1449,0),)</f>
        <v>1.7</v>
      </c>
      <c r="N2195" s="150">
        <f t="shared" si="666"/>
        <v>-0.00122324159021403</v>
      </c>
      <c r="O2195" s="150">
        <f t="shared" si="667"/>
        <v>-0.0192192192192192</v>
      </c>
      <c r="P2195" s="150">
        <f t="shared" si="672"/>
        <v>-0.0308605341246291</v>
      </c>
      <c r="Q2195" s="89">
        <f t="shared" si="675"/>
        <v>-0.0394117647058824</v>
      </c>
      <c r="S2195" s="82">
        <f t="shared" si="657"/>
        <v>45582</v>
      </c>
      <c r="T2195" s="83">
        <f t="shared" si="673"/>
        <v>0.3048125</v>
      </c>
      <c r="U2195" s="83">
        <f t="shared" si="673"/>
        <v>0.253125</v>
      </c>
      <c r="W2195" s="146">
        <v>45582</v>
      </c>
      <c r="X2195" s="147">
        <v>6.4</v>
      </c>
      <c r="Y2195" s="147">
        <v>3.9</v>
      </c>
      <c r="Z2195" s="158">
        <v>4.877</v>
      </c>
      <c r="AA2195" s="59" cm="1">
        <f t="array" ref="AA2195">INDEX($BX$29:$BX$1449,MATCH($D2195,$BR$29:$BR$1449,0),)</f>
        <v>4.05</v>
      </c>
      <c r="AB2195" s="150">
        <f t="shared" si="658"/>
        <v>-0.00347364119329796</v>
      </c>
      <c r="AC2195" s="150">
        <f t="shared" si="660"/>
        <v>-0.0143492320129346</v>
      </c>
      <c r="AD2195" s="150">
        <f t="shared" si="663"/>
        <v>-0.0151453957996769</v>
      </c>
      <c r="AE2195" s="89">
        <f t="shared" si="659"/>
        <v>0.204197530864197</v>
      </c>
    </row>
    <row r="2196" spans="3:31">
      <c r="C2196" s="80" t="str" cm="1">
        <f t="array" ref="C2196">_xlfn.IFS(MONTH(D2196)&lt;4,1,MONTH(D2196)&lt;7,2,MONTH(D2196)&lt;10,3,MONTH(D2196)&gt;9,4)&amp;"Q"&amp;RIGHT(YEAR(D2196),2)</f>
        <v>4Q24</v>
      </c>
      <c r="D2196" s="81">
        <f t="shared" si="662"/>
        <v>45596</v>
      </c>
      <c r="E2196" s="82">
        <f t="shared" si="674"/>
        <v>45583</v>
      </c>
      <c r="F2196" s="83">
        <f t="shared" si="671"/>
        <v>0.204125</v>
      </c>
      <c r="G2196" s="83">
        <f t="shared" si="671"/>
        <v>0.2125</v>
      </c>
      <c r="I2196" s="146">
        <v>45583</v>
      </c>
      <c r="J2196" s="147">
        <v>1.98</v>
      </c>
      <c r="K2196" s="147">
        <v>1.43</v>
      </c>
      <c r="L2196" s="158">
        <v>1.633</v>
      </c>
      <c r="M2196" s="59" cm="1">
        <f t="array" ref="M2196">INDEX($BV$29:$BV$1449,MATCH($D2196,$BR$29:$BR$1449,0),)</f>
        <v>1.7</v>
      </c>
      <c r="N2196" s="150">
        <f t="shared" si="666"/>
        <v>0</v>
      </c>
      <c r="O2196" s="150">
        <f t="shared" si="667"/>
        <v>-0.0132930513595166</v>
      </c>
      <c r="P2196" s="150">
        <f t="shared" si="672"/>
        <v>-0.029708853238265</v>
      </c>
      <c r="Q2196" s="89">
        <f t="shared" si="675"/>
        <v>-0.0394117647058824</v>
      </c>
      <c r="S2196" s="82">
        <f t="shared" ref="S2196:S2259" si="676">W2196</f>
        <v>45583</v>
      </c>
      <c r="T2196" s="83">
        <f t="shared" si="673"/>
        <v>0.3048125</v>
      </c>
      <c r="U2196" s="83">
        <f t="shared" si="673"/>
        <v>0.253125</v>
      </c>
      <c r="W2196" s="146">
        <v>45583</v>
      </c>
      <c r="X2196" s="147">
        <v>6.45</v>
      </c>
      <c r="Y2196" s="147">
        <v>3.88</v>
      </c>
      <c r="Z2196" s="158">
        <v>4.877</v>
      </c>
      <c r="AA2196" s="59" cm="1">
        <f t="array" ref="AA2196">INDEX($BX$29:$BX$1449,MATCH($D2196,$BR$29:$BR$1449,0),)</f>
        <v>4.05</v>
      </c>
      <c r="AB2196" s="150">
        <f t="shared" si="658"/>
        <v>0</v>
      </c>
      <c r="AC2196" s="150">
        <f t="shared" si="660"/>
        <v>-0.00712540716612375</v>
      </c>
      <c r="AD2196" s="150">
        <f t="shared" si="663"/>
        <v>-0.0147474747474748</v>
      </c>
      <c r="AE2196" s="89">
        <f t="shared" si="659"/>
        <v>0.204197530864197</v>
      </c>
    </row>
    <row r="2197" spans="3:31">
      <c r="C2197" s="80" t="str" cm="1">
        <f t="array" ref="C2197">_xlfn.IFS(MONTH(D2197)&lt;4,1,MONTH(D2197)&lt;7,2,MONTH(D2197)&lt;10,3,MONTH(D2197)&gt;9,4)&amp;"Q"&amp;RIGHT(YEAR(D2197),2)</f>
        <v>4Q24</v>
      </c>
      <c r="D2197" s="81">
        <f t="shared" si="662"/>
        <v>45596</v>
      </c>
      <c r="E2197" s="82">
        <f t="shared" si="674"/>
        <v>45586</v>
      </c>
      <c r="F2197" s="83">
        <f t="shared" si="671"/>
        <v>0.204125</v>
      </c>
      <c r="G2197" s="83">
        <f t="shared" si="671"/>
        <v>0.2125</v>
      </c>
      <c r="I2197" s="146">
        <v>45586</v>
      </c>
      <c r="J2197" s="147">
        <v>2</v>
      </c>
      <c r="K2197" s="147">
        <v>1.42</v>
      </c>
      <c r="L2197" s="158">
        <v>1.633</v>
      </c>
      <c r="M2197" s="59" cm="1">
        <f t="array" ref="M2197">INDEX($BV$29:$BV$1449,MATCH($D2197,$BR$29:$BR$1449,0),)</f>
        <v>1.7</v>
      </c>
      <c r="N2197" s="150">
        <f t="shared" si="666"/>
        <v>0</v>
      </c>
      <c r="O2197" s="150">
        <f t="shared" si="667"/>
        <v>-0.0103030303030303</v>
      </c>
      <c r="P2197" s="150">
        <f t="shared" si="672"/>
        <v>-0.0279761904761905</v>
      </c>
      <c r="Q2197" s="89">
        <f t="shared" si="675"/>
        <v>-0.0394117647058824</v>
      </c>
      <c r="S2197" s="82">
        <f t="shared" si="676"/>
        <v>45586</v>
      </c>
      <c r="T2197" s="83">
        <f t="shared" si="673"/>
        <v>0.3036875</v>
      </c>
      <c r="U2197" s="83">
        <f t="shared" si="673"/>
        <v>0.253125</v>
      </c>
      <c r="W2197" s="146">
        <v>45586</v>
      </c>
      <c r="X2197" s="147">
        <v>6.45</v>
      </c>
      <c r="Y2197" s="147">
        <v>3.89</v>
      </c>
      <c r="Z2197" s="158">
        <v>4.859</v>
      </c>
      <c r="AA2197" s="59" cm="1">
        <f t="array" ref="AA2197">INDEX($BX$29:$BX$1449,MATCH($D2197,$BR$29:$BR$1449,0),)</f>
        <v>4.05</v>
      </c>
      <c r="AB2197" s="150">
        <f t="shared" ref="AB2197:AB2260" si="677">Z2197/Z2196-1</f>
        <v>-0.00369079352060686</v>
      </c>
      <c r="AC2197" s="150">
        <f t="shared" si="660"/>
        <v>-0.00715161422149568</v>
      </c>
      <c r="AD2197" s="150">
        <f t="shared" si="663"/>
        <v>-0.0181854920185895</v>
      </c>
      <c r="AE2197" s="89">
        <f t="shared" si="659"/>
        <v>0.199753086419753</v>
      </c>
    </row>
    <row r="2198" spans="3:31">
      <c r="C2198" s="80" t="str" cm="1">
        <f t="array" ref="C2198">_xlfn.IFS(MONTH(D2198)&lt;4,1,MONTH(D2198)&lt;7,2,MONTH(D2198)&lt;10,3,MONTH(D2198)&gt;9,4)&amp;"Q"&amp;RIGHT(YEAR(D2198),2)</f>
        <v>4Q24</v>
      </c>
      <c r="D2198" s="81">
        <f t="shared" si="662"/>
        <v>45596</v>
      </c>
      <c r="E2198" s="82">
        <f t="shared" si="674"/>
        <v>45587</v>
      </c>
      <c r="F2198" s="83">
        <f t="shared" si="671"/>
        <v>0.203125</v>
      </c>
      <c r="G2198" s="83">
        <f t="shared" si="671"/>
        <v>0.2125</v>
      </c>
      <c r="I2198" s="146">
        <v>45587</v>
      </c>
      <c r="J2198" s="147">
        <v>2</v>
      </c>
      <c r="K2198" s="147">
        <v>1.42</v>
      </c>
      <c r="L2198" s="158">
        <v>1.625</v>
      </c>
      <c r="M2198" s="59" cm="1">
        <f t="array" ref="M2198">INDEX($BV$29:$BV$1449,MATCH($D2198,$BR$29:$BR$1449,0),)</f>
        <v>1.7</v>
      </c>
      <c r="N2198" s="150">
        <f t="shared" si="666"/>
        <v>-0.00489895897121861</v>
      </c>
      <c r="O2198" s="150">
        <f t="shared" si="667"/>
        <v>-0.00793650793650791</v>
      </c>
      <c r="P2198" s="150">
        <f t="shared" si="672"/>
        <v>-0.0327380952380952</v>
      </c>
      <c r="Q2198" s="89">
        <f t="shared" si="675"/>
        <v>-0.0441176470588235</v>
      </c>
      <c r="S2198" s="82">
        <f t="shared" si="676"/>
        <v>45587</v>
      </c>
      <c r="T2198" s="83">
        <f t="shared" si="673"/>
        <v>0.3025625</v>
      </c>
      <c r="U2198" s="83">
        <f t="shared" si="673"/>
        <v>0.253125</v>
      </c>
      <c r="W2198" s="146">
        <v>45587</v>
      </c>
      <c r="X2198" s="147">
        <v>6.45</v>
      </c>
      <c r="Y2198" s="147">
        <v>3.89</v>
      </c>
      <c r="Z2198" s="158">
        <v>4.841</v>
      </c>
      <c r="AA2198" s="59" cm="1">
        <f t="array" ref="AA2198">INDEX($BX$29:$BX$1449,MATCH($D2198,$BR$29:$BR$1449,0),)</f>
        <v>4.05</v>
      </c>
      <c r="AB2198" s="150">
        <f t="shared" si="677"/>
        <v>-0.0037044659394937</v>
      </c>
      <c r="AC2198" s="150">
        <f t="shared" si="660"/>
        <v>-0.0108295872496935</v>
      </c>
      <c r="AD2198" s="150">
        <f t="shared" si="663"/>
        <v>-0.0216248989490704</v>
      </c>
      <c r="AE2198" s="89">
        <f t="shared" ref="AE2198:AE2261" si="678">Z2198/AA2198-1</f>
        <v>0.195308641975309</v>
      </c>
    </row>
    <row r="2199" spans="3:31">
      <c r="C2199" s="80" t="str" cm="1">
        <f t="array" ref="C2199">_xlfn.IFS(MONTH(D2199)&lt;4,1,MONTH(D2199)&lt;7,2,MONTH(D2199)&lt;10,3,MONTH(D2199)&gt;9,4)&amp;"Q"&amp;RIGHT(YEAR(D2199),2)</f>
        <v>4Q24</v>
      </c>
      <c r="D2199" s="81">
        <f t="shared" si="662"/>
        <v>45596</v>
      </c>
      <c r="E2199" s="82">
        <f t="shared" si="674"/>
        <v>45588</v>
      </c>
      <c r="F2199" s="83">
        <f t="shared" si="671"/>
        <v>0.202875</v>
      </c>
      <c r="G2199" s="83">
        <f t="shared" si="671"/>
        <v>0.2125</v>
      </c>
      <c r="I2199" s="146">
        <v>45588</v>
      </c>
      <c r="J2199" s="147">
        <v>2</v>
      </c>
      <c r="K2199" s="147">
        <v>1.42</v>
      </c>
      <c r="L2199" s="158">
        <v>1.623</v>
      </c>
      <c r="M2199" s="59" cm="1">
        <f t="array" ref="M2199">INDEX($BV$29:$BV$1449,MATCH($D2199,$BR$29:$BR$1449,0),)</f>
        <v>1.7</v>
      </c>
      <c r="N2199" s="150">
        <f t="shared" si="666"/>
        <v>-0.00123076923076926</v>
      </c>
      <c r="O2199" s="150">
        <f t="shared" si="667"/>
        <v>-0.0073394495412844</v>
      </c>
      <c r="P2199" s="150">
        <f t="shared" si="672"/>
        <v>-0.0281437125748503</v>
      </c>
      <c r="Q2199" s="89">
        <f t="shared" si="675"/>
        <v>-0.0452941176470588</v>
      </c>
      <c r="S2199" s="82">
        <f t="shared" si="676"/>
        <v>45588</v>
      </c>
      <c r="T2199" s="83">
        <f t="shared" si="673"/>
        <v>0.300375</v>
      </c>
      <c r="U2199" s="83">
        <f t="shared" si="673"/>
        <v>0.253125</v>
      </c>
      <c r="W2199" s="146">
        <v>45588</v>
      </c>
      <c r="X2199" s="147">
        <v>6.45</v>
      </c>
      <c r="Y2199" s="147">
        <v>3.89</v>
      </c>
      <c r="Z2199" s="158">
        <v>4.806</v>
      </c>
      <c r="AA2199" s="59" cm="1">
        <f t="array" ref="AA2199">INDEX($BX$29:$BX$1449,MATCH($D2199,$BR$29:$BR$1449,0),)</f>
        <v>4.05</v>
      </c>
      <c r="AB2199" s="150">
        <f t="shared" si="677"/>
        <v>-0.00722991117537697</v>
      </c>
      <c r="AC2199" s="150">
        <f t="shared" si="660"/>
        <v>-0.0179812014711892</v>
      </c>
      <c r="AD2199" s="150">
        <f t="shared" si="663"/>
        <v>-0.0286984640258691</v>
      </c>
      <c r="AE2199" s="89">
        <f t="shared" si="678"/>
        <v>0.186666666666667</v>
      </c>
    </row>
    <row r="2200" spans="3:31">
      <c r="C2200" s="80" t="str" cm="1">
        <f t="array" ref="C2200">_xlfn.IFS(MONTH(D2200)&lt;4,1,MONTH(D2200)&lt;7,2,MONTH(D2200)&lt;10,3,MONTH(D2200)&gt;9,4)&amp;"Q"&amp;RIGHT(YEAR(D2200),2)</f>
        <v>4Q24</v>
      </c>
      <c r="D2200" s="81">
        <f t="shared" si="662"/>
        <v>45596</v>
      </c>
      <c r="E2200" s="82">
        <f t="shared" si="674"/>
        <v>45589</v>
      </c>
      <c r="F2200" s="83">
        <f t="shared" si="671"/>
        <v>0.2025</v>
      </c>
      <c r="G2200" s="83">
        <f t="shared" si="671"/>
        <v>0.2125</v>
      </c>
      <c r="I2200" s="146">
        <v>45589</v>
      </c>
      <c r="J2200" s="147">
        <v>2</v>
      </c>
      <c r="K2200" s="147">
        <v>1.43</v>
      </c>
      <c r="L2200" s="158">
        <v>1.62</v>
      </c>
      <c r="M2200" s="59" cm="1">
        <f t="array" ref="M2200">INDEX($BV$29:$BV$1449,MATCH($D2200,$BR$29:$BR$1449,0),)</f>
        <v>1.7</v>
      </c>
      <c r="N2200" s="150">
        <f t="shared" si="666"/>
        <v>-0.00184842883548975</v>
      </c>
      <c r="O2200" s="150">
        <f t="shared" si="667"/>
        <v>-0.00796080832823021</v>
      </c>
      <c r="P2200" s="150">
        <f t="shared" si="672"/>
        <v>-0.027027027027027</v>
      </c>
      <c r="Q2200" s="89">
        <f t="shared" si="675"/>
        <v>-0.0470588235294117</v>
      </c>
      <c r="S2200" s="82">
        <f t="shared" si="676"/>
        <v>45589</v>
      </c>
      <c r="T2200" s="83">
        <f t="shared" si="673"/>
        <v>0.30025</v>
      </c>
      <c r="U2200" s="83">
        <f t="shared" si="673"/>
        <v>0.253125</v>
      </c>
      <c r="W2200" s="146">
        <v>45589</v>
      </c>
      <c r="X2200" s="147">
        <v>6.45</v>
      </c>
      <c r="Y2200" s="147">
        <v>3.85</v>
      </c>
      <c r="Z2200" s="158">
        <v>4.804</v>
      </c>
      <c r="AA2200" s="59" cm="1">
        <f t="array" ref="AA2200">INDEX($BX$29:$BX$1449,MATCH($D2200,$BR$29:$BR$1449,0),)</f>
        <v>4.05</v>
      </c>
      <c r="AB2200" s="150">
        <f t="shared" si="677"/>
        <v>-0.000416146483562141</v>
      </c>
      <c r="AC2200" s="150">
        <f t="shared" si="660"/>
        <v>-0.0149682181669057</v>
      </c>
      <c r="AD2200" s="150">
        <f t="shared" si="663"/>
        <v>-0.0291026677445433</v>
      </c>
      <c r="AE2200" s="89">
        <f t="shared" si="678"/>
        <v>0.186172839506173</v>
      </c>
    </row>
    <row r="2201" spans="3:31">
      <c r="C2201" s="80" t="str" cm="1">
        <f t="array" ref="C2201">_xlfn.IFS(MONTH(D2201)&lt;4,1,MONTH(D2201)&lt;7,2,MONTH(D2201)&lt;10,3,MONTH(D2201)&gt;9,4)&amp;"Q"&amp;RIGHT(YEAR(D2201),2)</f>
        <v>4Q24</v>
      </c>
      <c r="D2201" s="81">
        <f t="shared" si="662"/>
        <v>45596</v>
      </c>
      <c r="E2201" s="82">
        <f t="shared" si="674"/>
        <v>45590</v>
      </c>
      <c r="F2201" s="83">
        <f t="shared" si="671"/>
        <v>0.201875</v>
      </c>
      <c r="G2201" s="83">
        <f t="shared" si="671"/>
        <v>0.2125</v>
      </c>
      <c r="I2201" s="146">
        <v>45590</v>
      </c>
      <c r="J2201" s="147">
        <v>2</v>
      </c>
      <c r="K2201" s="147">
        <v>1.43</v>
      </c>
      <c r="L2201" s="158">
        <v>1.615</v>
      </c>
      <c r="M2201" s="59" cm="1">
        <f t="array" ref="M2201">INDEX($BV$29:$BV$1449,MATCH($D2201,$BR$29:$BR$1449,0),)</f>
        <v>1.7</v>
      </c>
      <c r="N2201" s="150">
        <f t="shared" si="666"/>
        <v>-0.00308641975308654</v>
      </c>
      <c r="O2201" s="150">
        <f t="shared" si="667"/>
        <v>-0.0110226576852419</v>
      </c>
      <c r="P2201" s="150">
        <f t="shared" si="672"/>
        <v>-0.0241691842900302</v>
      </c>
      <c r="Q2201" s="89">
        <f t="shared" si="675"/>
        <v>-0.0499999999999999</v>
      </c>
      <c r="S2201" s="82">
        <f t="shared" si="676"/>
        <v>45590</v>
      </c>
      <c r="T2201" s="83">
        <f t="shared" si="673"/>
        <v>0.29875</v>
      </c>
      <c r="U2201" s="83">
        <f t="shared" si="673"/>
        <v>0.253125</v>
      </c>
      <c r="W2201" s="146">
        <v>45590</v>
      </c>
      <c r="X2201" s="147">
        <v>6.45</v>
      </c>
      <c r="Y2201" s="147">
        <v>3.82</v>
      </c>
      <c r="Z2201" s="158">
        <v>4.78</v>
      </c>
      <c r="AA2201" s="59" cm="1">
        <f t="array" ref="AA2201">INDEX($BX$29:$BX$1449,MATCH($D2201,$BR$29:$BR$1449,0),)</f>
        <v>4.05</v>
      </c>
      <c r="AB2201" s="150">
        <f t="shared" si="677"/>
        <v>-0.00499583680266447</v>
      </c>
      <c r="AC2201" s="150">
        <f t="shared" ref="AC2201:AC2264" si="679">Z2201/Z2196-1</f>
        <v>-0.0198892761943817</v>
      </c>
      <c r="AD2201" s="150">
        <f t="shared" si="663"/>
        <v>-0.026872964169381</v>
      </c>
      <c r="AE2201" s="89">
        <f t="shared" si="678"/>
        <v>0.180246913580247</v>
      </c>
    </row>
    <row r="2202" spans="3:31">
      <c r="C2202" s="80" t="str" cm="1">
        <f t="array" ref="C2202">_xlfn.IFS(MONTH(D2202)&lt;4,1,MONTH(D2202)&lt;7,2,MONTH(D2202)&lt;10,3,MONTH(D2202)&gt;9,4)&amp;"Q"&amp;RIGHT(YEAR(D2202),2)</f>
        <v>4Q24</v>
      </c>
      <c r="D2202" s="81">
        <f t="shared" si="662"/>
        <v>45596</v>
      </c>
      <c r="E2202" s="82">
        <f t="shared" si="674"/>
        <v>45593</v>
      </c>
      <c r="F2202" s="83">
        <f t="shared" ref="F2202:G2217" si="680">+L2202/8</f>
        <v>0.201625</v>
      </c>
      <c r="G2202" s="83">
        <f t="shared" si="680"/>
        <v>0.2125</v>
      </c>
      <c r="I2202" s="146">
        <v>45593</v>
      </c>
      <c r="J2202" s="147">
        <v>2</v>
      </c>
      <c r="K2202" s="147">
        <v>1.43</v>
      </c>
      <c r="L2202" s="158">
        <v>1.613</v>
      </c>
      <c r="M2202" s="59" cm="1">
        <f t="array" ref="M2202">INDEX($BV$29:$BV$1449,MATCH($D2202,$BR$29:$BR$1449,0),)</f>
        <v>1.7</v>
      </c>
      <c r="N2202" s="150">
        <f t="shared" si="666"/>
        <v>-0.00123839009287929</v>
      </c>
      <c r="O2202" s="150">
        <f t="shared" si="667"/>
        <v>-0.0122473974280466</v>
      </c>
      <c r="P2202" s="150">
        <f t="shared" si="672"/>
        <v>-0.0224242424242423</v>
      </c>
      <c r="Q2202" s="89">
        <f t="shared" si="675"/>
        <v>-0.0511764705882353</v>
      </c>
      <c r="S2202" s="82">
        <f t="shared" si="676"/>
        <v>45593</v>
      </c>
      <c r="T2202" s="83">
        <f t="shared" si="673"/>
        <v>0.2980625</v>
      </c>
      <c r="U2202" s="83">
        <f t="shared" si="673"/>
        <v>0.253125</v>
      </c>
      <c r="W2202" s="146">
        <v>45593</v>
      </c>
      <c r="X2202" s="147">
        <v>6.45</v>
      </c>
      <c r="Y2202" s="147">
        <v>3.8</v>
      </c>
      <c r="Z2202" s="158">
        <v>4.769</v>
      </c>
      <c r="AA2202" s="59" cm="1">
        <f t="array" ref="AA2202">INDEX($BX$29:$BX$1449,MATCH($D2202,$BR$29:$BR$1449,0),)</f>
        <v>4.05</v>
      </c>
      <c r="AB2202" s="150">
        <f t="shared" si="677"/>
        <v>-0.00230125523012559</v>
      </c>
      <c r="AC2202" s="150">
        <f t="shared" si="679"/>
        <v>-0.0185223296974686</v>
      </c>
      <c r="AD2202" s="150">
        <f t="shared" si="663"/>
        <v>-0.0255414793624846</v>
      </c>
      <c r="AE2202" s="89">
        <f t="shared" si="678"/>
        <v>0.177530864197531</v>
      </c>
    </row>
    <row r="2203" spans="3:31">
      <c r="C2203" s="80" t="str" cm="1">
        <f t="array" ref="C2203">_xlfn.IFS(MONTH(D2203)&lt;4,1,MONTH(D2203)&lt;7,2,MONTH(D2203)&lt;10,3,MONTH(D2203)&gt;9,4)&amp;"Q"&amp;RIGHT(YEAR(D2203),2)</f>
        <v>4Q24</v>
      </c>
      <c r="D2203" s="81">
        <f t="shared" si="662"/>
        <v>45596</v>
      </c>
      <c r="E2203" s="82">
        <f t="shared" si="674"/>
        <v>45594</v>
      </c>
      <c r="F2203" s="83">
        <f t="shared" si="680"/>
        <v>0.20125</v>
      </c>
      <c r="G2203" s="83">
        <f t="shared" si="680"/>
        <v>0.2125</v>
      </c>
      <c r="I2203" s="146">
        <v>45594</v>
      </c>
      <c r="J2203" s="147">
        <v>2</v>
      </c>
      <c r="K2203" s="147">
        <v>1.43</v>
      </c>
      <c r="L2203" s="158">
        <v>1.61</v>
      </c>
      <c r="M2203" s="59" cm="1">
        <f t="array" ref="M2203">INDEX($BV$29:$BV$1449,MATCH($D2203,$BR$29:$BR$1449,0),)</f>
        <v>1.7</v>
      </c>
      <c r="N2203" s="150">
        <f t="shared" si="666"/>
        <v>-0.00185988840669549</v>
      </c>
      <c r="O2203" s="150">
        <f t="shared" si="667"/>
        <v>-0.00923076923076915</v>
      </c>
      <c r="P2203" s="150">
        <f t="shared" si="672"/>
        <v>-0.0170940170940169</v>
      </c>
      <c r="Q2203" s="89">
        <f t="shared" si="675"/>
        <v>-0.0529411764705882</v>
      </c>
      <c r="S2203" s="82">
        <f t="shared" si="676"/>
        <v>45594</v>
      </c>
      <c r="T2203" s="83">
        <f t="shared" si="673"/>
        <v>0.297375</v>
      </c>
      <c r="U2203" s="83">
        <f t="shared" si="673"/>
        <v>0.253125</v>
      </c>
      <c r="W2203" s="146">
        <v>45594</v>
      </c>
      <c r="X2203" s="147">
        <v>6.45</v>
      </c>
      <c r="Y2203" s="147">
        <v>3.8</v>
      </c>
      <c r="Z2203" s="158">
        <v>4.758</v>
      </c>
      <c r="AA2203" s="59" cm="1">
        <f t="array" ref="AA2203">INDEX($BX$29:$BX$1449,MATCH($D2203,$BR$29:$BR$1449,0),)</f>
        <v>4.05</v>
      </c>
      <c r="AB2203" s="150">
        <f t="shared" si="677"/>
        <v>-0.00230656322080103</v>
      </c>
      <c r="AC2203" s="150">
        <f t="shared" si="679"/>
        <v>-0.0171452179301798</v>
      </c>
      <c r="AD2203" s="150">
        <f t="shared" si="663"/>
        <v>-0.0277891295463834</v>
      </c>
      <c r="AE2203" s="89">
        <f t="shared" si="678"/>
        <v>0.174814814814815</v>
      </c>
    </row>
    <row r="2204" spans="3:31">
      <c r="C2204" s="80" t="str" cm="1">
        <f t="array" ref="C2204">_xlfn.IFS(MONTH(D2204)&lt;4,1,MONTH(D2204)&lt;7,2,MONTH(D2204)&lt;10,3,MONTH(D2204)&gt;9,4)&amp;"Q"&amp;RIGHT(YEAR(D2204),2)</f>
        <v>4Q24</v>
      </c>
      <c r="D2204" s="81">
        <f t="shared" si="662"/>
        <v>45596</v>
      </c>
      <c r="E2204" s="82">
        <f t="shared" si="674"/>
        <v>45595</v>
      </c>
      <c r="F2204" s="83">
        <f t="shared" si="680"/>
        <v>0.20125</v>
      </c>
      <c r="G2204" s="83">
        <f t="shared" si="680"/>
        <v>0.2125</v>
      </c>
      <c r="I2204" s="146">
        <v>45595</v>
      </c>
      <c r="J2204" s="147">
        <v>2</v>
      </c>
      <c r="K2204" s="147">
        <v>1.45</v>
      </c>
      <c r="L2204" s="158">
        <v>1.61</v>
      </c>
      <c r="M2204" s="59" cm="1">
        <f t="array" ref="M2204">INDEX($BV$29:$BV$1449,MATCH($D2204,$BR$29:$BR$1449,0),)</f>
        <v>1.7</v>
      </c>
      <c r="N2204" s="150">
        <f t="shared" si="666"/>
        <v>0</v>
      </c>
      <c r="O2204" s="150">
        <f t="shared" si="667"/>
        <v>-0.00800985828712253</v>
      </c>
      <c r="P2204" s="150">
        <f t="shared" si="672"/>
        <v>-0.0152905198776758</v>
      </c>
      <c r="Q2204" s="89">
        <f t="shared" si="675"/>
        <v>-0.0529411764705882</v>
      </c>
      <c r="S2204" s="82">
        <f t="shared" si="676"/>
        <v>45595</v>
      </c>
      <c r="T2204" s="83">
        <f t="shared" si="673"/>
        <v>0.2969375</v>
      </c>
      <c r="U2204" s="83">
        <f t="shared" si="673"/>
        <v>0.253125</v>
      </c>
      <c r="W2204" s="146">
        <v>45595</v>
      </c>
      <c r="X2204" s="147">
        <v>6.45</v>
      </c>
      <c r="Y2204" s="147">
        <v>3.8</v>
      </c>
      <c r="Z2204" s="158">
        <v>4.751</v>
      </c>
      <c r="AA2204" s="59" cm="1">
        <f t="array" ref="AA2204">INDEX($BX$29:$BX$1449,MATCH($D2204,$BR$29:$BR$1449,0),)</f>
        <v>4.05</v>
      </c>
      <c r="AB2204" s="150">
        <f t="shared" si="677"/>
        <v>-0.00147120638923914</v>
      </c>
      <c r="AC2204" s="150">
        <f t="shared" si="679"/>
        <v>-0.0114440282979609</v>
      </c>
      <c r="AD2204" s="150">
        <f t="shared" si="663"/>
        <v>-0.0292194523906825</v>
      </c>
      <c r="AE2204" s="89">
        <f t="shared" si="678"/>
        <v>0.173086419753087</v>
      </c>
    </row>
    <row r="2205" spans="3:31">
      <c r="C2205" s="80" t="str" cm="1">
        <f t="array" ref="C2205">_xlfn.IFS(MONTH(D2205)&lt;4,1,MONTH(D2205)&lt;7,2,MONTH(D2205)&lt;10,3,MONTH(D2205)&gt;9,4)&amp;"Q"&amp;RIGHT(YEAR(D2205),2)</f>
        <v>4Q24</v>
      </c>
      <c r="D2205" s="81">
        <f t="shared" si="662"/>
        <v>45596</v>
      </c>
      <c r="E2205" s="82">
        <f t="shared" si="674"/>
        <v>45596</v>
      </c>
      <c r="F2205" s="83">
        <f t="shared" si="680"/>
        <v>0.20125</v>
      </c>
      <c r="G2205" s="83">
        <f t="shared" si="680"/>
        <v>0.2125</v>
      </c>
      <c r="I2205" s="146">
        <v>45596</v>
      </c>
      <c r="J2205" s="147">
        <v>2</v>
      </c>
      <c r="K2205" s="147">
        <v>1.45</v>
      </c>
      <c r="L2205" s="158">
        <v>1.61</v>
      </c>
      <c r="M2205" s="59" cm="1">
        <f t="array" ref="M2205">INDEX($BV$29:$BV$1449,MATCH($D2205,$BR$29:$BR$1449,0),)</f>
        <v>1.7</v>
      </c>
      <c r="N2205" s="150">
        <f t="shared" si="666"/>
        <v>0</v>
      </c>
      <c r="O2205" s="150">
        <f t="shared" si="667"/>
        <v>-0.00617283950617287</v>
      </c>
      <c r="P2205" s="150">
        <f t="shared" si="672"/>
        <v>-0.0140845070422535</v>
      </c>
      <c r="Q2205" s="89">
        <f t="shared" si="675"/>
        <v>-0.0529411764705882</v>
      </c>
      <c r="S2205" s="82">
        <f t="shared" si="676"/>
        <v>45596</v>
      </c>
      <c r="T2205" s="83">
        <f t="shared" si="673"/>
        <v>0.296625</v>
      </c>
      <c r="U2205" s="83">
        <f t="shared" si="673"/>
        <v>0.253125</v>
      </c>
      <c r="W2205" s="146">
        <v>45596</v>
      </c>
      <c r="X2205" s="147">
        <v>6.45</v>
      </c>
      <c r="Y2205" s="147">
        <v>3.8</v>
      </c>
      <c r="Z2205" s="158">
        <v>4.746</v>
      </c>
      <c r="AA2205" s="59" cm="1">
        <f t="array" ref="AA2205">INDEX($BX$29:$BX$1449,MATCH($D2205,$BR$29:$BR$1449,0),)</f>
        <v>4.05</v>
      </c>
      <c r="AB2205" s="150">
        <f t="shared" si="677"/>
        <v>-0.00105241001894341</v>
      </c>
      <c r="AC2205" s="150">
        <f t="shared" si="679"/>
        <v>-0.0120732722731057</v>
      </c>
      <c r="AD2205" s="150">
        <f t="shared" si="663"/>
        <v>-0.0268607750666392</v>
      </c>
      <c r="AE2205" s="89">
        <f t="shared" si="678"/>
        <v>0.171851851851852</v>
      </c>
    </row>
    <row r="2206" spans="3:31">
      <c r="C2206" s="80" t="str" cm="1">
        <f t="array" ref="C2206">_xlfn.IFS(MONTH(D2206)&lt;4,1,MONTH(D2206)&lt;7,2,MONTH(D2206)&lt;10,3,MONTH(D2206)&gt;9,4)&amp;"Q"&amp;RIGHT(YEAR(D2206),2)</f>
        <v>4Q24</v>
      </c>
      <c r="D2206" s="81">
        <f t="shared" ref="D2206:D2269" si="681">EOMONTH(E2206,0)</f>
        <v>45626</v>
      </c>
      <c r="E2206" s="82">
        <f t="shared" si="674"/>
        <v>45597</v>
      </c>
      <c r="F2206" s="83">
        <f t="shared" si="680"/>
        <v>0.20125</v>
      </c>
      <c r="G2206" s="83">
        <f t="shared" si="680"/>
        <v>0.16875</v>
      </c>
      <c r="I2206" s="146">
        <v>45597</v>
      </c>
      <c r="J2206" s="147">
        <v>2</v>
      </c>
      <c r="K2206" s="147">
        <v>1.45</v>
      </c>
      <c r="L2206" s="158">
        <v>1.61</v>
      </c>
      <c r="M2206" s="59" cm="1">
        <f t="array" ref="M2206">INDEX($BV$29:$BV$1449,MATCH($D2206,$BR$29:$BR$1449,0),)</f>
        <v>1.35</v>
      </c>
      <c r="N2206" s="150">
        <f t="shared" si="666"/>
        <v>0</v>
      </c>
      <c r="O2206" s="150">
        <f t="shared" si="667"/>
        <v>-0.00309597523219807</v>
      </c>
      <c r="P2206" s="150">
        <f t="shared" si="672"/>
        <v>-0.0140845070422535</v>
      </c>
      <c r="Q2206" s="89">
        <f t="shared" si="675"/>
        <v>0.192592592592593</v>
      </c>
      <c r="S2206" s="82">
        <f t="shared" si="676"/>
        <v>45597</v>
      </c>
      <c r="T2206" s="83">
        <f t="shared" si="673"/>
        <v>0.2984375</v>
      </c>
      <c r="U2206" s="83">
        <f t="shared" si="673"/>
        <v>0.24375</v>
      </c>
      <c r="W2206" s="146">
        <v>45597</v>
      </c>
      <c r="X2206" s="147">
        <v>6.55</v>
      </c>
      <c r="Y2206" s="147">
        <v>3.85</v>
      </c>
      <c r="Z2206" s="158">
        <v>4.775</v>
      </c>
      <c r="AA2206" s="59" cm="1">
        <f t="array" ref="AA2206">INDEX($BX$29:$BX$1449,MATCH($D2206,$BR$29:$BR$1449,0),)</f>
        <v>3.9</v>
      </c>
      <c r="AB2206" s="150">
        <f t="shared" si="677"/>
        <v>0.00611040876527591</v>
      </c>
      <c r="AC2206" s="150">
        <f t="shared" si="679"/>
        <v>-0.0010460251046025</v>
      </c>
      <c r="AD2206" s="150">
        <f t="shared" ref="AD2206:AD2269" si="682">Z2206/Z2196-1</f>
        <v>-0.0209144966167725</v>
      </c>
      <c r="AE2206" s="89">
        <f t="shared" si="678"/>
        <v>0.224358974358974</v>
      </c>
    </row>
    <row r="2207" spans="3:31">
      <c r="C2207" s="80" t="str" cm="1">
        <f t="array" ref="C2207">_xlfn.IFS(MONTH(D2207)&lt;4,1,MONTH(D2207)&lt;7,2,MONTH(D2207)&lt;10,3,MONTH(D2207)&gt;9,4)&amp;"Q"&amp;RIGHT(YEAR(D2207),2)</f>
        <v>4Q24</v>
      </c>
      <c r="D2207" s="81">
        <f t="shared" si="681"/>
        <v>45626</v>
      </c>
      <c r="E2207" s="82">
        <f t="shared" si="674"/>
        <v>45600</v>
      </c>
      <c r="F2207" s="83">
        <f t="shared" si="680"/>
        <v>0.201</v>
      </c>
      <c r="G2207" s="83">
        <f t="shared" si="680"/>
        <v>0.16875</v>
      </c>
      <c r="I2207" s="146">
        <v>45600</v>
      </c>
      <c r="J2207" s="147">
        <v>2</v>
      </c>
      <c r="K2207" s="147">
        <v>1.44</v>
      </c>
      <c r="L2207" s="158">
        <v>1.608</v>
      </c>
      <c r="M2207" s="59" cm="1">
        <f t="array" ref="M2207">INDEX($BV$29:$BV$1449,MATCH($D2207,$BR$29:$BR$1449,0),)</f>
        <v>1.35</v>
      </c>
      <c r="N2207" s="150">
        <f t="shared" si="666"/>
        <v>-0.00124223602484475</v>
      </c>
      <c r="O2207" s="150">
        <f t="shared" si="667"/>
        <v>-0.00309981401115922</v>
      </c>
      <c r="P2207" s="150">
        <f t="shared" si="672"/>
        <v>-0.0153092467850581</v>
      </c>
      <c r="Q2207" s="89">
        <f t="shared" si="675"/>
        <v>0.191111111111111</v>
      </c>
      <c r="S2207" s="82">
        <f t="shared" si="676"/>
        <v>45600</v>
      </c>
      <c r="T2207" s="83">
        <f t="shared" si="673"/>
        <v>0.299375</v>
      </c>
      <c r="U2207" s="83">
        <f t="shared" si="673"/>
        <v>0.24375</v>
      </c>
      <c r="W2207" s="146">
        <v>45600</v>
      </c>
      <c r="X2207" s="147">
        <v>6.6</v>
      </c>
      <c r="Y2207" s="147">
        <v>3.84</v>
      </c>
      <c r="Z2207" s="158">
        <v>4.79</v>
      </c>
      <c r="AA2207" s="59" cm="1">
        <f t="array" ref="AA2207">INDEX($BX$29:$BX$1449,MATCH($D2207,$BR$29:$BR$1449,0),)</f>
        <v>3.9</v>
      </c>
      <c r="AB2207" s="150">
        <f t="shared" si="677"/>
        <v>0.00314136125654452</v>
      </c>
      <c r="AC2207" s="150">
        <f t="shared" si="679"/>
        <v>0.00440343887607453</v>
      </c>
      <c r="AD2207" s="150">
        <f t="shared" si="682"/>
        <v>-0.0142004527680593</v>
      </c>
      <c r="AE2207" s="89">
        <f t="shared" si="678"/>
        <v>0.228205128205128</v>
      </c>
    </row>
    <row r="2208" spans="3:31">
      <c r="C2208" s="80" t="str" cm="1">
        <f t="array" ref="C2208">_xlfn.IFS(MONTH(D2208)&lt;4,1,MONTH(D2208)&lt;7,2,MONTH(D2208)&lt;10,3,MONTH(D2208)&gt;9,4)&amp;"Q"&amp;RIGHT(YEAR(D2208),2)</f>
        <v>4Q24</v>
      </c>
      <c r="D2208" s="81">
        <f t="shared" si="681"/>
        <v>45626</v>
      </c>
      <c r="E2208" s="82">
        <f t="shared" si="674"/>
        <v>45601</v>
      </c>
      <c r="F2208" s="83">
        <f t="shared" si="680"/>
        <v>0.2</v>
      </c>
      <c r="G2208" s="83">
        <f t="shared" si="680"/>
        <v>0.16875</v>
      </c>
      <c r="I2208" s="146">
        <v>45601</v>
      </c>
      <c r="J2208" s="147">
        <v>1.95</v>
      </c>
      <c r="K2208" s="147">
        <v>1.44</v>
      </c>
      <c r="L2208" s="158">
        <v>1.6</v>
      </c>
      <c r="M2208" s="59" cm="1">
        <f t="array" ref="M2208">INDEX($BV$29:$BV$1449,MATCH($D2208,$BR$29:$BR$1449,0),)</f>
        <v>1.35</v>
      </c>
      <c r="N2208" s="150">
        <f t="shared" si="666"/>
        <v>-0.00497512437810943</v>
      </c>
      <c r="O2208" s="150">
        <f t="shared" si="667"/>
        <v>-0.00621118012422361</v>
      </c>
      <c r="P2208" s="150">
        <f t="shared" si="672"/>
        <v>-0.0153846153846153</v>
      </c>
      <c r="Q2208" s="89">
        <f t="shared" si="675"/>
        <v>0.185185185185185</v>
      </c>
      <c r="S2208" s="82">
        <f t="shared" si="676"/>
        <v>45601</v>
      </c>
      <c r="T2208" s="83">
        <f t="shared" ref="T2208:U2223" si="683">+Z2208/16</f>
        <v>0.299375</v>
      </c>
      <c r="U2208" s="83">
        <f t="shared" si="683"/>
        <v>0.24375</v>
      </c>
      <c r="W2208" s="146">
        <v>45601</v>
      </c>
      <c r="X2208" s="147">
        <v>6.6</v>
      </c>
      <c r="Y2208" s="147">
        <v>3.84</v>
      </c>
      <c r="Z2208" s="158">
        <v>4.79</v>
      </c>
      <c r="AA2208" s="59" cm="1">
        <f t="array" ref="AA2208">INDEX($BX$29:$BX$1449,MATCH($D2208,$BR$29:$BR$1449,0),)</f>
        <v>3.9</v>
      </c>
      <c r="AB2208" s="150">
        <f t="shared" si="677"/>
        <v>0</v>
      </c>
      <c r="AC2208" s="150">
        <f t="shared" si="679"/>
        <v>0.00672551492223628</v>
      </c>
      <c r="AD2208" s="150">
        <f t="shared" si="682"/>
        <v>-0.0105350134269779</v>
      </c>
      <c r="AE2208" s="89">
        <f t="shared" si="678"/>
        <v>0.228205128205128</v>
      </c>
    </row>
    <row r="2209" spans="3:31">
      <c r="C2209" s="80" t="str" cm="1">
        <f t="array" ref="C2209">_xlfn.IFS(MONTH(D2209)&lt;4,1,MONTH(D2209)&lt;7,2,MONTH(D2209)&lt;10,3,MONTH(D2209)&gt;9,4)&amp;"Q"&amp;RIGHT(YEAR(D2209),2)</f>
        <v>4Q24</v>
      </c>
      <c r="D2209" s="81">
        <f t="shared" si="681"/>
        <v>45626</v>
      </c>
      <c r="E2209" s="82">
        <f t="shared" si="674"/>
        <v>45602</v>
      </c>
      <c r="F2209" s="83">
        <f t="shared" si="680"/>
        <v>0.1985</v>
      </c>
      <c r="G2209" s="83">
        <f t="shared" si="680"/>
        <v>0.16875</v>
      </c>
      <c r="I2209" s="146">
        <v>45602</v>
      </c>
      <c r="J2209" s="147">
        <v>1.95</v>
      </c>
      <c r="K2209" s="147">
        <v>1.44</v>
      </c>
      <c r="L2209" s="158">
        <v>1.588</v>
      </c>
      <c r="M2209" s="59" cm="1">
        <f t="array" ref="M2209">INDEX($BV$29:$BV$1449,MATCH($D2209,$BR$29:$BR$1449,0),)</f>
        <v>1.35</v>
      </c>
      <c r="N2209" s="150">
        <f t="shared" si="666"/>
        <v>-0.00749999999999995</v>
      </c>
      <c r="O2209" s="150">
        <f t="shared" si="667"/>
        <v>-0.013664596273292</v>
      </c>
      <c r="P2209" s="150">
        <f t="shared" si="672"/>
        <v>-0.0215650030807146</v>
      </c>
      <c r="Q2209" s="89">
        <f t="shared" si="675"/>
        <v>0.176296296296296</v>
      </c>
      <c r="S2209" s="82">
        <f t="shared" si="676"/>
        <v>45602</v>
      </c>
      <c r="T2209" s="83">
        <f t="shared" si="683"/>
        <v>0.2995625</v>
      </c>
      <c r="U2209" s="83">
        <f t="shared" si="683"/>
        <v>0.24375</v>
      </c>
      <c r="W2209" s="146">
        <v>45602</v>
      </c>
      <c r="X2209" s="147">
        <v>6.6</v>
      </c>
      <c r="Y2209" s="147">
        <v>3.85</v>
      </c>
      <c r="Z2209" s="158">
        <v>4.793</v>
      </c>
      <c r="AA2209" s="59" cm="1">
        <f t="array" ref="AA2209">INDEX($BX$29:$BX$1449,MATCH($D2209,$BR$29:$BR$1449,0),)</f>
        <v>3.9</v>
      </c>
      <c r="AB2209" s="150">
        <f t="shared" si="677"/>
        <v>0.000626304801670141</v>
      </c>
      <c r="AC2209" s="150">
        <f t="shared" si="679"/>
        <v>0.00884024415912443</v>
      </c>
      <c r="AD2209" s="150">
        <f t="shared" si="682"/>
        <v>-0.00270495214315436</v>
      </c>
      <c r="AE2209" s="89">
        <f t="shared" si="678"/>
        <v>0.228974358974359</v>
      </c>
    </row>
    <row r="2210" spans="3:31">
      <c r="C2210" s="80" t="str" cm="1">
        <f t="array" ref="C2210">_xlfn.IFS(MONTH(D2210)&lt;4,1,MONTH(D2210)&lt;7,2,MONTH(D2210)&lt;10,3,MONTH(D2210)&gt;9,4)&amp;"Q"&amp;RIGHT(YEAR(D2210),2)</f>
        <v>4Q24</v>
      </c>
      <c r="D2210" s="81">
        <f t="shared" si="681"/>
        <v>45626</v>
      </c>
      <c r="E2210" s="82">
        <f t="shared" si="674"/>
        <v>45603</v>
      </c>
      <c r="F2210" s="83">
        <f t="shared" si="680"/>
        <v>0.1985</v>
      </c>
      <c r="G2210" s="83">
        <f t="shared" si="680"/>
        <v>0.16875</v>
      </c>
      <c r="I2210" s="146">
        <v>45603</v>
      </c>
      <c r="J2210" s="147">
        <v>1.95</v>
      </c>
      <c r="K2210" s="147">
        <v>1.44</v>
      </c>
      <c r="L2210" s="158">
        <v>1.588</v>
      </c>
      <c r="M2210" s="59" cm="1">
        <f t="array" ref="M2210">INDEX($BV$29:$BV$1449,MATCH($D2210,$BR$29:$BR$1449,0),)</f>
        <v>1.35</v>
      </c>
      <c r="N2210" s="150">
        <f t="shared" si="666"/>
        <v>0</v>
      </c>
      <c r="O2210" s="150">
        <f t="shared" si="667"/>
        <v>-0.013664596273292</v>
      </c>
      <c r="P2210" s="150">
        <f t="shared" si="672"/>
        <v>-0.0197530864197532</v>
      </c>
      <c r="Q2210" s="89">
        <f t="shared" si="675"/>
        <v>0.176296296296296</v>
      </c>
      <c r="S2210" s="82">
        <f t="shared" si="676"/>
        <v>45603</v>
      </c>
      <c r="T2210" s="83">
        <f t="shared" si="683"/>
        <v>0.30025</v>
      </c>
      <c r="U2210" s="83">
        <f t="shared" si="683"/>
        <v>0.24375</v>
      </c>
      <c r="W2210" s="146">
        <v>45603</v>
      </c>
      <c r="X2210" s="147">
        <v>6.6</v>
      </c>
      <c r="Y2210" s="147">
        <v>3.85</v>
      </c>
      <c r="Z2210" s="158">
        <v>4.804</v>
      </c>
      <c r="AA2210" s="59" cm="1">
        <f t="array" ref="AA2210">INDEX($BX$29:$BX$1449,MATCH($D2210,$BR$29:$BR$1449,0),)</f>
        <v>3.9</v>
      </c>
      <c r="AB2210" s="150">
        <f t="shared" si="677"/>
        <v>0.0022950135614439</v>
      </c>
      <c r="AC2210" s="150">
        <f t="shared" si="679"/>
        <v>0.012220817530552</v>
      </c>
      <c r="AD2210" s="150">
        <f t="shared" si="682"/>
        <v>0</v>
      </c>
      <c r="AE2210" s="89">
        <f t="shared" si="678"/>
        <v>0.231794871794872</v>
      </c>
    </row>
    <row r="2211" spans="3:31">
      <c r="C2211" s="80" t="str" cm="1">
        <f t="array" ref="C2211">_xlfn.IFS(MONTH(D2211)&lt;4,1,MONTH(D2211)&lt;7,2,MONTH(D2211)&lt;10,3,MONTH(D2211)&gt;9,4)&amp;"Q"&amp;RIGHT(YEAR(D2211),2)</f>
        <v>4Q24</v>
      </c>
      <c r="D2211" s="81">
        <f t="shared" si="681"/>
        <v>45626</v>
      </c>
      <c r="E2211" s="82">
        <f t="shared" si="674"/>
        <v>45604</v>
      </c>
      <c r="F2211" s="83">
        <f t="shared" si="680"/>
        <v>0.197875</v>
      </c>
      <c r="G2211" s="83">
        <f t="shared" si="680"/>
        <v>0.16875</v>
      </c>
      <c r="I2211" s="146">
        <v>45604</v>
      </c>
      <c r="J2211" s="147">
        <v>1.9</v>
      </c>
      <c r="K2211" s="147">
        <v>1.44</v>
      </c>
      <c r="L2211" s="158">
        <v>1.583</v>
      </c>
      <c r="M2211" s="59" cm="1">
        <f t="array" ref="M2211">INDEX($BV$29:$BV$1449,MATCH($D2211,$BR$29:$BR$1449,0),)</f>
        <v>1.35</v>
      </c>
      <c r="N2211" s="150">
        <f t="shared" si="666"/>
        <v>-0.00314861460957183</v>
      </c>
      <c r="O2211" s="150">
        <f t="shared" si="667"/>
        <v>-0.0167701863354038</v>
      </c>
      <c r="P2211" s="150">
        <f t="shared" si="672"/>
        <v>-0.0198142414860681</v>
      </c>
      <c r="Q2211" s="89">
        <f t="shared" si="675"/>
        <v>0.172592592592592</v>
      </c>
      <c r="S2211" s="82">
        <f t="shared" si="676"/>
        <v>45604</v>
      </c>
      <c r="T2211" s="83">
        <f t="shared" si="683"/>
        <v>0.30025</v>
      </c>
      <c r="U2211" s="83">
        <f t="shared" si="683"/>
        <v>0.24375</v>
      </c>
      <c r="W2211" s="146">
        <v>45604</v>
      </c>
      <c r="X2211" s="147">
        <v>6.6</v>
      </c>
      <c r="Y2211" s="147">
        <v>3.85</v>
      </c>
      <c r="Z2211" s="158">
        <v>4.804</v>
      </c>
      <c r="AA2211" s="59" cm="1">
        <f t="array" ref="AA2211">INDEX($BX$29:$BX$1449,MATCH($D2211,$BR$29:$BR$1449,0),)</f>
        <v>3.9</v>
      </c>
      <c r="AB2211" s="150">
        <f t="shared" si="677"/>
        <v>0</v>
      </c>
      <c r="AC2211" s="150">
        <f t="shared" si="679"/>
        <v>0.00607329842931925</v>
      </c>
      <c r="AD2211" s="150">
        <f t="shared" si="682"/>
        <v>0.00502092050209213</v>
      </c>
      <c r="AE2211" s="89">
        <f t="shared" si="678"/>
        <v>0.231794871794872</v>
      </c>
    </row>
    <row r="2212" spans="3:31">
      <c r="C2212" s="80" t="str" cm="1">
        <f t="array" ref="C2212">_xlfn.IFS(MONTH(D2212)&lt;4,1,MONTH(D2212)&lt;7,2,MONTH(D2212)&lt;10,3,MONTH(D2212)&gt;9,4)&amp;"Q"&amp;RIGHT(YEAR(D2212),2)</f>
        <v>4Q24</v>
      </c>
      <c r="D2212" s="81">
        <f t="shared" si="681"/>
        <v>45626</v>
      </c>
      <c r="E2212" s="82">
        <f t="shared" si="674"/>
        <v>45607</v>
      </c>
      <c r="F2212" s="83">
        <f t="shared" si="680"/>
        <v>0.1975</v>
      </c>
      <c r="G2212" s="83">
        <f t="shared" si="680"/>
        <v>0.16875</v>
      </c>
      <c r="I2212" s="146">
        <v>45607</v>
      </c>
      <c r="J2212" s="147">
        <v>1.88</v>
      </c>
      <c r="K2212" s="147">
        <v>1.43</v>
      </c>
      <c r="L2212" s="158">
        <v>1.58</v>
      </c>
      <c r="M2212" s="59" cm="1">
        <f t="array" ref="M2212">INDEX($BV$29:$BV$1449,MATCH($D2212,$BR$29:$BR$1449,0),)</f>
        <v>1.35</v>
      </c>
      <c r="N2212" s="150">
        <f t="shared" si="666"/>
        <v>-0.00189513581806688</v>
      </c>
      <c r="O2212" s="150">
        <f t="shared" si="667"/>
        <v>-0.0174129353233831</v>
      </c>
      <c r="P2212" s="150">
        <f t="shared" si="672"/>
        <v>-0.0204587724736516</v>
      </c>
      <c r="Q2212" s="89">
        <f t="shared" si="675"/>
        <v>0.17037037037037</v>
      </c>
      <c r="S2212" s="82">
        <f t="shared" si="676"/>
        <v>45607</v>
      </c>
      <c r="T2212" s="83">
        <f t="shared" si="683"/>
        <v>0.30025</v>
      </c>
      <c r="U2212" s="83">
        <f t="shared" si="683"/>
        <v>0.24375</v>
      </c>
      <c r="W2212" s="146">
        <v>45607</v>
      </c>
      <c r="X2212" s="147">
        <v>6.6</v>
      </c>
      <c r="Y2212" s="147">
        <v>3.85</v>
      </c>
      <c r="Z2212" s="158">
        <v>4.804</v>
      </c>
      <c r="AA2212" s="59" cm="1">
        <f t="array" ref="AA2212">INDEX($BX$29:$BX$1449,MATCH($D2212,$BR$29:$BR$1449,0),)</f>
        <v>3.9</v>
      </c>
      <c r="AB2212" s="150">
        <f t="shared" si="677"/>
        <v>0</v>
      </c>
      <c r="AC2212" s="150">
        <f t="shared" si="679"/>
        <v>0.00292275574112733</v>
      </c>
      <c r="AD2212" s="150">
        <f t="shared" si="682"/>
        <v>0.00733906479345769</v>
      </c>
      <c r="AE2212" s="89">
        <f t="shared" si="678"/>
        <v>0.231794871794872</v>
      </c>
    </row>
    <row r="2213" spans="3:31">
      <c r="C2213" s="80" t="str" cm="1">
        <f t="array" ref="C2213">_xlfn.IFS(MONTH(D2213)&lt;4,1,MONTH(D2213)&lt;7,2,MONTH(D2213)&lt;10,3,MONTH(D2213)&gt;9,4)&amp;"Q"&amp;RIGHT(YEAR(D2213),2)</f>
        <v>4Q24</v>
      </c>
      <c r="D2213" s="81">
        <f t="shared" si="681"/>
        <v>45626</v>
      </c>
      <c r="E2213" s="82">
        <f t="shared" si="674"/>
        <v>45608</v>
      </c>
      <c r="F2213" s="83">
        <f t="shared" si="680"/>
        <v>0.19625</v>
      </c>
      <c r="G2213" s="83">
        <f t="shared" si="680"/>
        <v>0.16875</v>
      </c>
      <c r="I2213" s="146">
        <v>45608</v>
      </c>
      <c r="J2213" s="147">
        <v>1.88</v>
      </c>
      <c r="K2213" s="147">
        <v>1.4</v>
      </c>
      <c r="L2213" s="158">
        <v>1.57</v>
      </c>
      <c r="M2213" s="59" cm="1">
        <f t="array" ref="M2213">INDEX($BV$29:$BV$1449,MATCH($D2213,$BR$29:$BR$1449,0),)</f>
        <v>1.35</v>
      </c>
      <c r="N2213" s="150">
        <f t="shared" si="666"/>
        <v>-0.00632911392405067</v>
      </c>
      <c r="O2213" s="150">
        <f t="shared" si="667"/>
        <v>-0.01875</v>
      </c>
      <c r="P2213" s="150">
        <f t="shared" si="672"/>
        <v>-0.0248447204968945</v>
      </c>
      <c r="Q2213" s="89">
        <f t="shared" si="675"/>
        <v>0.162962962962963</v>
      </c>
      <c r="S2213" s="82">
        <f t="shared" si="676"/>
        <v>45608</v>
      </c>
      <c r="T2213" s="83">
        <f t="shared" si="683"/>
        <v>0.3000625</v>
      </c>
      <c r="U2213" s="83">
        <f t="shared" si="683"/>
        <v>0.24375</v>
      </c>
      <c r="W2213" s="146">
        <v>45608</v>
      </c>
      <c r="X2213" s="147">
        <v>6.6</v>
      </c>
      <c r="Y2213" s="147">
        <v>3.83</v>
      </c>
      <c r="Z2213" s="158">
        <v>4.801</v>
      </c>
      <c r="AA2213" s="59" cm="1">
        <f t="array" ref="AA2213">INDEX($BX$29:$BX$1449,MATCH($D2213,$BR$29:$BR$1449,0),)</f>
        <v>3.9</v>
      </c>
      <c r="AB2213" s="150">
        <f t="shared" si="677"/>
        <v>-0.000624479600333072</v>
      </c>
      <c r="AC2213" s="150">
        <f t="shared" si="679"/>
        <v>0.00229645093945718</v>
      </c>
      <c r="AD2213" s="150">
        <f t="shared" si="682"/>
        <v>0.00903741067675501</v>
      </c>
      <c r="AE2213" s="89">
        <f t="shared" si="678"/>
        <v>0.231025641025641</v>
      </c>
    </row>
    <row r="2214" spans="3:31">
      <c r="C2214" s="80" t="str" cm="1">
        <f t="array" ref="C2214">_xlfn.IFS(MONTH(D2214)&lt;4,1,MONTH(D2214)&lt;7,2,MONTH(D2214)&lt;10,3,MONTH(D2214)&gt;9,4)&amp;"Q"&amp;RIGHT(YEAR(D2214),2)</f>
        <v>4Q24</v>
      </c>
      <c r="D2214" s="81">
        <f t="shared" si="681"/>
        <v>45626</v>
      </c>
      <c r="E2214" s="82">
        <f t="shared" si="674"/>
        <v>45609</v>
      </c>
      <c r="F2214" s="83">
        <f t="shared" si="680"/>
        <v>0.196</v>
      </c>
      <c r="G2214" s="83">
        <f t="shared" si="680"/>
        <v>0.16875</v>
      </c>
      <c r="I2214" s="146">
        <v>45609</v>
      </c>
      <c r="J2214" s="147">
        <v>1.88</v>
      </c>
      <c r="K2214" s="147">
        <v>1.4</v>
      </c>
      <c r="L2214" s="158">
        <v>1.568</v>
      </c>
      <c r="M2214" s="59" cm="1">
        <f t="array" ref="M2214">INDEX($BV$29:$BV$1449,MATCH($D2214,$BR$29:$BR$1449,0),)</f>
        <v>1.35</v>
      </c>
      <c r="N2214" s="150">
        <f t="shared" si="666"/>
        <v>-0.00127388535031847</v>
      </c>
      <c r="O2214" s="150">
        <f t="shared" si="667"/>
        <v>-0.0125944584382872</v>
      </c>
      <c r="P2214" s="150">
        <f t="shared" si="672"/>
        <v>-0.0260869565217392</v>
      </c>
      <c r="Q2214" s="89">
        <f t="shared" si="675"/>
        <v>0.161481481481482</v>
      </c>
      <c r="S2214" s="82">
        <f t="shared" si="676"/>
        <v>45609</v>
      </c>
      <c r="T2214" s="83">
        <f t="shared" si="683"/>
        <v>0.2998125</v>
      </c>
      <c r="U2214" s="83">
        <f t="shared" si="683"/>
        <v>0.24375</v>
      </c>
      <c r="W2214" s="146">
        <v>45609</v>
      </c>
      <c r="X2214" s="147">
        <v>6.6</v>
      </c>
      <c r="Y2214" s="147">
        <v>3.83</v>
      </c>
      <c r="Z2214" s="158">
        <v>4.797</v>
      </c>
      <c r="AA2214" s="59" cm="1">
        <f t="array" ref="AA2214">INDEX($BX$29:$BX$1449,MATCH($D2214,$BR$29:$BR$1449,0),)</f>
        <v>3.9</v>
      </c>
      <c r="AB2214" s="150">
        <f t="shared" si="677"/>
        <v>-0.000833159758383717</v>
      </c>
      <c r="AC2214" s="150">
        <f t="shared" si="679"/>
        <v>0.00083455038597946</v>
      </c>
      <c r="AD2214" s="150">
        <f t="shared" si="682"/>
        <v>0.00968217217427902</v>
      </c>
      <c r="AE2214" s="89">
        <f t="shared" si="678"/>
        <v>0.23</v>
      </c>
    </row>
    <row r="2215" spans="3:31">
      <c r="C2215" s="80" t="str" cm="1">
        <f t="array" ref="C2215">_xlfn.IFS(MONTH(D2215)&lt;4,1,MONTH(D2215)&lt;7,2,MONTH(D2215)&lt;10,3,MONTH(D2215)&gt;9,4)&amp;"Q"&amp;RIGHT(YEAR(D2215),2)</f>
        <v>4Q24</v>
      </c>
      <c r="D2215" s="81">
        <f t="shared" si="681"/>
        <v>45626</v>
      </c>
      <c r="E2215" s="82">
        <f t="shared" si="674"/>
        <v>45610</v>
      </c>
      <c r="F2215" s="83">
        <f t="shared" si="680"/>
        <v>0.195625</v>
      </c>
      <c r="G2215" s="83">
        <f t="shared" si="680"/>
        <v>0.16875</v>
      </c>
      <c r="I2215" s="146">
        <v>45610</v>
      </c>
      <c r="J2215" s="147">
        <v>1.88</v>
      </c>
      <c r="K2215" s="147">
        <v>1.4</v>
      </c>
      <c r="L2215" s="158">
        <v>1.565</v>
      </c>
      <c r="M2215" s="59" cm="1">
        <f t="array" ref="M2215">INDEX($BV$29:$BV$1449,MATCH($D2215,$BR$29:$BR$1449,0),)</f>
        <v>1.35</v>
      </c>
      <c r="N2215" s="150">
        <f t="shared" si="666"/>
        <v>-0.00191326530612257</v>
      </c>
      <c r="O2215" s="150">
        <f t="shared" si="667"/>
        <v>-0.0144836272040303</v>
      </c>
      <c r="P2215" s="150">
        <f t="shared" si="672"/>
        <v>-0.0279503105590063</v>
      </c>
      <c r="Q2215" s="89">
        <f t="shared" si="675"/>
        <v>0.159259259259259</v>
      </c>
      <c r="S2215" s="82">
        <f t="shared" si="676"/>
        <v>45610</v>
      </c>
      <c r="T2215" s="83">
        <f t="shared" si="683"/>
        <v>0.2998125</v>
      </c>
      <c r="U2215" s="83">
        <f t="shared" si="683"/>
        <v>0.24375</v>
      </c>
      <c r="W2215" s="146">
        <v>45610</v>
      </c>
      <c r="X2215" s="147">
        <v>6.6</v>
      </c>
      <c r="Y2215" s="147">
        <v>3.84</v>
      </c>
      <c r="Z2215" s="158">
        <v>4.797</v>
      </c>
      <c r="AA2215" s="59" cm="1">
        <f t="array" ref="AA2215">INDEX($BX$29:$BX$1449,MATCH($D2215,$BR$29:$BR$1449,0),)</f>
        <v>3.9</v>
      </c>
      <c r="AB2215" s="150">
        <f t="shared" si="677"/>
        <v>0</v>
      </c>
      <c r="AC2215" s="150">
        <f t="shared" si="679"/>
        <v>-0.00145711906744395</v>
      </c>
      <c r="AD2215" s="150">
        <f t="shared" si="682"/>
        <v>0.0107458912768645</v>
      </c>
      <c r="AE2215" s="89">
        <f t="shared" si="678"/>
        <v>0.23</v>
      </c>
    </row>
    <row r="2216" spans="3:31">
      <c r="C2216" s="80" t="str" cm="1">
        <f t="array" ref="C2216">_xlfn.IFS(MONTH(D2216)&lt;4,1,MONTH(D2216)&lt;7,2,MONTH(D2216)&lt;10,3,MONTH(D2216)&gt;9,4)&amp;"Q"&amp;RIGHT(YEAR(D2216),2)</f>
        <v>4Q24</v>
      </c>
      <c r="D2216" s="81">
        <f t="shared" si="681"/>
        <v>45626</v>
      </c>
      <c r="E2216" s="82">
        <f t="shared" si="674"/>
        <v>45611</v>
      </c>
      <c r="F2216" s="83">
        <f t="shared" si="680"/>
        <v>0.195375</v>
      </c>
      <c r="G2216" s="83">
        <f t="shared" si="680"/>
        <v>0.16875</v>
      </c>
      <c r="I2216" s="146">
        <v>45611</v>
      </c>
      <c r="J2216" s="147">
        <v>1.9</v>
      </c>
      <c r="K2216" s="147">
        <v>1.4</v>
      </c>
      <c r="L2216" s="158">
        <v>1.563</v>
      </c>
      <c r="M2216" s="59" cm="1">
        <f t="array" ref="M2216">INDEX($BV$29:$BV$1449,MATCH($D2216,$BR$29:$BR$1449,0),)</f>
        <v>1.35</v>
      </c>
      <c r="N2216" s="150">
        <f t="shared" si="666"/>
        <v>-0.00127795527156549</v>
      </c>
      <c r="O2216" s="150">
        <f t="shared" si="667"/>
        <v>-0.0126342387871131</v>
      </c>
      <c r="P2216" s="150">
        <f t="shared" si="672"/>
        <v>-0.0291925465838511</v>
      </c>
      <c r="Q2216" s="89">
        <f t="shared" si="675"/>
        <v>0.157777777777778</v>
      </c>
      <c r="S2216" s="82">
        <f t="shared" si="676"/>
        <v>45611</v>
      </c>
      <c r="T2216" s="83">
        <f t="shared" si="683"/>
        <v>0.2998125</v>
      </c>
      <c r="U2216" s="83">
        <f t="shared" si="683"/>
        <v>0.24375</v>
      </c>
      <c r="W2216" s="146">
        <v>45611</v>
      </c>
      <c r="X2216" s="147">
        <v>6.6</v>
      </c>
      <c r="Y2216" s="147">
        <v>3.84</v>
      </c>
      <c r="Z2216" s="158">
        <v>4.797</v>
      </c>
      <c r="AA2216" s="59" cm="1">
        <f t="array" ref="AA2216">INDEX($BX$29:$BX$1449,MATCH($D2216,$BR$29:$BR$1449,0),)</f>
        <v>3.9</v>
      </c>
      <c r="AB2216" s="150">
        <f t="shared" si="677"/>
        <v>0</v>
      </c>
      <c r="AC2216" s="150">
        <f t="shared" si="679"/>
        <v>-0.00145711906744395</v>
      </c>
      <c r="AD2216" s="150">
        <f t="shared" si="682"/>
        <v>0.00460732984293188</v>
      </c>
      <c r="AE2216" s="89">
        <f t="shared" si="678"/>
        <v>0.23</v>
      </c>
    </row>
    <row r="2217" spans="3:31">
      <c r="C2217" s="80" t="str" cm="1">
        <f t="array" ref="C2217">_xlfn.IFS(MONTH(D2217)&lt;4,1,MONTH(D2217)&lt;7,2,MONTH(D2217)&lt;10,3,MONTH(D2217)&gt;9,4)&amp;"Q"&amp;RIGHT(YEAR(D2217),2)</f>
        <v>4Q24</v>
      </c>
      <c r="D2217" s="81">
        <f t="shared" si="681"/>
        <v>45626</v>
      </c>
      <c r="E2217" s="82">
        <f t="shared" si="674"/>
        <v>45614</v>
      </c>
      <c r="F2217" s="83">
        <f t="shared" si="680"/>
        <v>0.195</v>
      </c>
      <c r="G2217" s="83">
        <f t="shared" si="680"/>
        <v>0.16875</v>
      </c>
      <c r="I2217" s="146">
        <v>45614</v>
      </c>
      <c r="J2217" s="147">
        <v>1.9</v>
      </c>
      <c r="K2217" s="147">
        <v>1.42</v>
      </c>
      <c r="L2217" s="158">
        <v>1.56</v>
      </c>
      <c r="M2217" s="59" cm="1">
        <f t="array" ref="M2217">INDEX($BV$29:$BV$1449,MATCH($D2217,$BR$29:$BR$1449,0),)</f>
        <v>1.35</v>
      </c>
      <c r="N2217" s="150">
        <f t="shared" si="666"/>
        <v>-0.00191938579654505</v>
      </c>
      <c r="O2217" s="150">
        <f t="shared" si="667"/>
        <v>-0.0126582278481012</v>
      </c>
      <c r="P2217" s="150">
        <f t="shared" si="672"/>
        <v>-0.0298507462686567</v>
      </c>
      <c r="Q2217" s="89">
        <f t="shared" si="675"/>
        <v>0.155555555555555</v>
      </c>
      <c r="S2217" s="82">
        <f t="shared" si="676"/>
        <v>45614</v>
      </c>
      <c r="T2217" s="83">
        <f t="shared" si="683"/>
        <v>0.299625</v>
      </c>
      <c r="U2217" s="83">
        <f t="shared" si="683"/>
        <v>0.24375</v>
      </c>
      <c r="W2217" s="146">
        <v>45614</v>
      </c>
      <c r="X2217" s="147">
        <v>6.62</v>
      </c>
      <c r="Y2217" s="147">
        <v>3.85</v>
      </c>
      <c r="Z2217" s="158">
        <v>4.794</v>
      </c>
      <c r="AA2217" s="59" cm="1">
        <f t="array" ref="AA2217">INDEX($BX$29:$BX$1449,MATCH($D2217,$BR$29:$BR$1449,0),)</f>
        <v>3.9</v>
      </c>
      <c r="AB2217" s="150">
        <f t="shared" si="677"/>
        <v>-0.000625390869293363</v>
      </c>
      <c r="AC2217" s="150">
        <f t="shared" si="679"/>
        <v>-0.00208159866777702</v>
      </c>
      <c r="AD2217" s="150">
        <f t="shared" si="682"/>
        <v>0.000835073068893522</v>
      </c>
      <c r="AE2217" s="89">
        <f t="shared" si="678"/>
        <v>0.229230769230769</v>
      </c>
    </row>
    <row r="2218" spans="3:31">
      <c r="C2218" s="80" t="str" cm="1">
        <f t="array" ref="C2218">_xlfn.IFS(MONTH(D2218)&lt;4,1,MONTH(D2218)&lt;7,2,MONTH(D2218)&lt;10,3,MONTH(D2218)&gt;9,4)&amp;"Q"&amp;RIGHT(YEAR(D2218),2)</f>
        <v>4Q24</v>
      </c>
      <c r="D2218" s="81">
        <f t="shared" si="681"/>
        <v>45626</v>
      </c>
      <c r="E2218" s="82">
        <f t="shared" si="674"/>
        <v>45615</v>
      </c>
      <c r="F2218" s="83">
        <f t="shared" ref="F2218:G2233" si="684">+L2218/8</f>
        <v>0.195</v>
      </c>
      <c r="G2218" s="83">
        <f t="shared" si="684"/>
        <v>0.16875</v>
      </c>
      <c r="I2218" s="146">
        <v>45615</v>
      </c>
      <c r="J2218" s="147">
        <v>1.9</v>
      </c>
      <c r="K2218" s="147">
        <v>1.42</v>
      </c>
      <c r="L2218" s="158">
        <v>1.56</v>
      </c>
      <c r="M2218" s="59" cm="1">
        <f t="array" ref="M2218">INDEX($BV$29:$BV$1449,MATCH($D2218,$BR$29:$BR$1449,0),)</f>
        <v>1.35</v>
      </c>
      <c r="N2218" s="150">
        <f t="shared" si="666"/>
        <v>0</v>
      </c>
      <c r="O2218" s="150">
        <f t="shared" si="667"/>
        <v>-0.00636942675159236</v>
      </c>
      <c r="P2218" s="150">
        <f t="shared" si="672"/>
        <v>-0.025</v>
      </c>
      <c r="Q2218" s="89">
        <f t="shared" si="675"/>
        <v>0.155555555555555</v>
      </c>
      <c r="S2218" s="82">
        <f t="shared" si="676"/>
        <v>45615</v>
      </c>
      <c r="T2218" s="83">
        <f t="shared" si="683"/>
        <v>0.299625</v>
      </c>
      <c r="U2218" s="83">
        <f t="shared" si="683"/>
        <v>0.24375</v>
      </c>
      <c r="W2218" s="146">
        <v>45615</v>
      </c>
      <c r="X2218" s="147">
        <v>6.62</v>
      </c>
      <c r="Y2218" s="147">
        <v>3.85</v>
      </c>
      <c r="Z2218" s="158">
        <v>4.794</v>
      </c>
      <c r="AA2218" s="59" cm="1">
        <f t="array" ref="AA2218">INDEX($BX$29:$BX$1449,MATCH($D2218,$BR$29:$BR$1449,0),)</f>
        <v>3.9</v>
      </c>
      <c r="AB2218" s="150">
        <f t="shared" si="677"/>
        <v>0</v>
      </c>
      <c r="AC2218" s="150">
        <f t="shared" si="679"/>
        <v>-0.00145802957717156</v>
      </c>
      <c r="AD2218" s="150">
        <f t="shared" si="682"/>
        <v>0.000835073068893522</v>
      </c>
      <c r="AE2218" s="89">
        <f t="shared" si="678"/>
        <v>0.229230769230769</v>
      </c>
    </row>
    <row r="2219" spans="3:31">
      <c r="C2219" s="80" t="str" cm="1">
        <f t="array" ref="C2219">_xlfn.IFS(MONTH(D2219)&lt;4,1,MONTH(D2219)&lt;7,2,MONTH(D2219)&lt;10,3,MONTH(D2219)&gt;9,4)&amp;"Q"&amp;RIGHT(YEAR(D2219),2)</f>
        <v>4Q24</v>
      </c>
      <c r="D2219" s="81">
        <f t="shared" si="681"/>
        <v>45626</v>
      </c>
      <c r="E2219" s="82">
        <f t="shared" si="674"/>
        <v>45616</v>
      </c>
      <c r="F2219" s="83">
        <f t="shared" si="684"/>
        <v>0.19475</v>
      </c>
      <c r="G2219" s="83">
        <f t="shared" si="684"/>
        <v>0.16875</v>
      </c>
      <c r="I2219" s="146">
        <v>45616</v>
      </c>
      <c r="J2219" s="147">
        <v>1.9</v>
      </c>
      <c r="K2219" s="147">
        <v>1.4</v>
      </c>
      <c r="L2219" s="158">
        <v>1.558</v>
      </c>
      <c r="M2219" s="59" cm="1">
        <f t="array" ref="M2219">INDEX($BV$29:$BV$1449,MATCH($D2219,$BR$29:$BR$1449,0),)</f>
        <v>1.35</v>
      </c>
      <c r="N2219" s="150">
        <f t="shared" si="666"/>
        <v>-0.00128205128205128</v>
      </c>
      <c r="O2219" s="150">
        <f t="shared" si="667"/>
        <v>-0.00637755102040816</v>
      </c>
      <c r="P2219" s="150">
        <f t="shared" si="672"/>
        <v>-0.0188916876574308</v>
      </c>
      <c r="Q2219" s="89">
        <f t="shared" si="675"/>
        <v>0.154074074074074</v>
      </c>
      <c r="S2219" s="82">
        <f t="shared" si="676"/>
        <v>45616</v>
      </c>
      <c r="T2219" s="83">
        <f t="shared" si="683"/>
        <v>0.299625</v>
      </c>
      <c r="U2219" s="83">
        <f t="shared" si="683"/>
        <v>0.24375</v>
      </c>
      <c r="W2219" s="146">
        <v>45616</v>
      </c>
      <c r="X2219" s="147">
        <v>6.63</v>
      </c>
      <c r="Y2219" s="147">
        <v>3.85</v>
      </c>
      <c r="Z2219" s="158">
        <v>4.794</v>
      </c>
      <c r="AA2219" s="59" cm="1">
        <f t="array" ref="AA2219">INDEX($BX$29:$BX$1449,MATCH($D2219,$BR$29:$BR$1449,0),)</f>
        <v>3.9</v>
      </c>
      <c r="AB2219" s="150">
        <f t="shared" si="677"/>
        <v>0</v>
      </c>
      <c r="AC2219" s="150">
        <f t="shared" si="679"/>
        <v>-0.000625390869293363</v>
      </c>
      <c r="AD2219" s="150">
        <f t="shared" si="682"/>
        <v>0.000208637596494698</v>
      </c>
      <c r="AE2219" s="89">
        <f t="shared" si="678"/>
        <v>0.229230769230769</v>
      </c>
    </row>
    <row r="2220" spans="3:31">
      <c r="C2220" s="80" t="str" cm="1">
        <f t="array" ref="C2220">_xlfn.IFS(MONTH(D2220)&lt;4,1,MONTH(D2220)&lt;7,2,MONTH(D2220)&lt;10,3,MONTH(D2220)&gt;9,4)&amp;"Q"&amp;RIGHT(YEAR(D2220),2)</f>
        <v>4Q24</v>
      </c>
      <c r="D2220" s="81">
        <f t="shared" si="681"/>
        <v>45626</v>
      </c>
      <c r="E2220" s="82">
        <f t="shared" si="674"/>
        <v>45617</v>
      </c>
      <c r="F2220" s="83">
        <f t="shared" si="684"/>
        <v>0.19375</v>
      </c>
      <c r="G2220" s="83">
        <f t="shared" si="684"/>
        <v>0.16875</v>
      </c>
      <c r="I2220" s="146">
        <v>45617</v>
      </c>
      <c r="J2220" s="147">
        <v>1.9</v>
      </c>
      <c r="K2220" s="147">
        <v>1.4</v>
      </c>
      <c r="L2220" s="158">
        <v>1.55</v>
      </c>
      <c r="M2220" s="59" cm="1">
        <f t="array" ref="M2220">INDEX($BV$29:$BV$1449,MATCH($D2220,$BR$29:$BR$1449,0),)</f>
        <v>1.35</v>
      </c>
      <c r="N2220" s="150">
        <f t="shared" ref="N2220:N2283" si="685">L2220/L2219-1</f>
        <v>-0.00513478818998714</v>
      </c>
      <c r="O2220" s="150">
        <f t="shared" ref="O2220:O2283" si="686">L2220/L2215-1</f>
        <v>-0.00958466453674112</v>
      </c>
      <c r="P2220" s="150">
        <f t="shared" si="672"/>
        <v>-0.0239294710327456</v>
      </c>
      <c r="Q2220" s="89">
        <f t="shared" si="675"/>
        <v>0.148148148148148</v>
      </c>
      <c r="S2220" s="82">
        <f t="shared" si="676"/>
        <v>45617</v>
      </c>
      <c r="T2220" s="83">
        <f t="shared" si="683"/>
        <v>0.299375</v>
      </c>
      <c r="U2220" s="83">
        <f t="shared" si="683"/>
        <v>0.24375</v>
      </c>
      <c r="W2220" s="146">
        <v>45617</v>
      </c>
      <c r="X2220" s="147">
        <v>6.63</v>
      </c>
      <c r="Y2220" s="147">
        <v>3.85</v>
      </c>
      <c r="Z2220" s="158">
        <v>4.79</v>
      </c>
      <c r="AA2220" s="59" cm="1">
        <f t="array" ref="AA2220">INDEX($BX$29:$BX$1449,MATCH($D2220,$BR$29:$BR$1449,0),)</f>
        <v>3.9</v>
      </c>
      <c r="AB2220" s="150">
        <f t="shared" si="677"/>
        <v>-0.000834376303712858</v>
      </c>
      <c r="AC2220" s="150">
        <f t="shared" si="679"/>
        <v>-0.00145924536168429</v>
      </c>
      <c r="AD2220" s="150">
        <f t="shared" si="682"/>
        <v>-0.00291423813488767</v>
      </c>
      <c r="AE2220" s="89">
        <f t="shared" si="678"/>
        <v>0.228205128205128</v>
      </c>
    </row>
    <row r="2221" spans="3:31">
      <c r="C2221" s="80" t="str" cm="1">
        <f t="array" ref="C2221">_xlfn.IFS(MONTH(D2221)&lt;4,1,MONTH(D2221)&lt;7,2,MONTH(D2221)&lt;10,3,MONTH(D2221)&gt;9,4)&amp;"Q"&amp;RIGHT(YEAR(D2221),2)</f>
        <v>4Q24</v>
      </c>
      <c r="D2221" s="81">
        <f t="shared" si="681"/>
        <v>45626</v>
      </c>
      <c r="E2221" s="82">
        <f t="shared" si="674"/>
        <v>45618</v>
      </c>
      <c r="F2221" s="83">
        <f t="shared" si="684"/>
        <v>0.193125</v>
      </c>
      <c r="G2221" s="83">
        <f t="shared" si="684"/>
        <v>0.16875</v>
      </c>
      <c r="I2221" s="146">
        <v>45618</v>
      </c>
      <c r="J2221" s="147">
        <v>1.9</v>
      </c>
      <c r="K2221" s="147">
        <v>1.4</v>
      </c>
      <c r="L2221" s="158">
        <v>1.545</v>
      </c>
      <c r="M2221" s="59" cm="1">
        <f t="array" ref="M2221">INDEX($BV$29:$BV$1449,MATCH($D2221,$BR$29:$BR$1449,0),)</f>
        <v>1.35</v>
      </c>
      <c r="N2221" s="150">
        <f t="shared" si="685"/>
        <v>-0.00322580645161297</v>
      </c>
      <c r="O2221" s="150">
        <f t="shared" si="686"/>
        <v>-0.0115163147792706</v>
      </c>
      <c r="P2221" s="150">
        <f t="shared" si="672"/>
        <v>-0.0240050536955149</v>
      </c>
      <c r="Q2221" s="89">
        <f t="shared" si="675"/>
        <v>0.144444444444444</v>
      </c>
      <c r="S2221" s="82">
        <f t="shared" si="676"/>
        <v>45618</v>
      </c>
      <c r="T2221" s="83">
        <f t="shared" si="683"/>
        <v>0.2989375</v>
      </c>
      <c r="U2221" s="83">
        <f t="shared" si="683"/>
        <v>0.24375</v>
      </c>
      <c r="W2221" s="146">
        <v>45618</v>
      </c>
      <c r="X2221" s="147">
        <v>6.6</v>
      </c>
      <c r="Y2221" s="147">
        <v>3.83</v>
      </c>
      <c r="Z2221" s="158">
        <v>4.783</v>
      </c>
      <c r="AA2221" s="59" cm="1">
        <f t="array" ref="AA2221">INDEX($BX$29:$BX$1449,MATCH($D2221,$BR$29:$BR$1449,0),)</f>
        <v>3.9</v>
      </c>
      <c r="AB2221" s="150">
        <f t="shared" si="677"/>
        <v>-0.00146137787056355</v>
      </c>
      <c r="AC2221" s="150">
        <f t="shared" si="679"/>
        <v>-0.00291849072336858</v>
      </c>
      <c r="AD2221" s="150">
        <f t="shared" si="682"/>
        <v>-0.00437135720233139</v>
      </c>
      <c r="AE2221" s="89">
        <f t="shared" si="678"/>
        <v>0.226410256410257</v>
      </c>
    </row>
    <row r="2222" spans="3:31">
      <c r="C2222" s="80" t="str" cm="1">
        <f t="array" ref="C2222">_xlfn.IFS(MONTH(D2222)&lt;4,1,MONTH(D2222)&lt;7,2,MONTH(D2222)&lt;10,3,MONTH(D2222)&gt;9,4)&amp;"Q"&amp;RIGHT(YEAR(D2222),2)</f>
        <v>4Q24</v>
      </c>
      <c r="D2222" s="81">
        <f t="shared" si="681"/>
        <v>45626</v>
      </c>
      <c r="E2222" s="82">
        <f t="shared" si="674"/>
        <v>45621</v>
      </c>
      <c r="F2222" s="83">
        <f t="shared" si="684"/>
        <v>0.19225</v>
      </c>
      <c r="G2222" s="83">
        <f t="shared" si="684"/>
        <v>0.16875</v>
      </c>
      <c r="I2222" s="146">
        <v>45621</v>
      </c>
      <c r="J2222" s="147">
        <v>1.86</v>
      </c>
      <c r="K2222" s="147">
        <v>1.4</v>
      </c>
      <c r="L2222" s="158">
        <v>1.538</v>
      </c>
      <c r="M2222" s="59" cm="1">
        <f t="array" ref="M2222">INDEX($BV$29:$BV$1449,MATCH($D2222,$BR$29:$BR$1449,0),)</f>
        <v>1.35</v>
      </c>
      <c r="N2222" s="150">
        <f t="shared" si="685"/>
        <v>-0.00453074433656953</v>
      </c>
      <c r="O2222" s="150">
        <f t="shared" si="686"/>
        <v>-0.0141025641025642</v>
      </c>
      <c r="P2222" s="150">
        <f t="shared" si="672"/>
        <v>-0.0265822784810127</v>
      </c>
      <c r="Q2222" s="89">
        <f t="shared" si="675"/>
        <v>0.139259259259259</v>
      </c>
      <c r="S2222" s="82">
        <f t="shared" si="676"/>
        <v>45621</v>
      </c>
      <c r="T2222" s="83">
        <f t="shared" si="683"/>
        <v>0.2986875</v>
      </c>
      <c r="U2222" s="83">
        <f t="shared" si="683"/>
        <v>0.24375</v>
      </c>
      <c r="W2222" s="146">
        <v>45621</v>
      </c>
      <c r="X2222" s="147">
        <v>6.58</v>
      </c>
      <c r="Y2222" s="147">
        <v>3.82</v>
      </c>
      <c r="Z2222" s="158">
        <v>4.779</v>
      </c>
      <c r="AA2222" s="59" cm="1">
        <f t="array" ref="AA2222">INDEX($BX$29:$BX$1449,MATCH($D2222,$BR$29:$BR$1449,0),)</f>
        <v>3.9</v>
      </c>
      <c r="AB2222" s="150">
        <f t="shared" si="677"/>
        <v>-0.000836295212209959</v>
      </c>
      <c r="AC2222" s="150">
        <f t="shared" si="679"/>
        <v>-0.00312891113892355</v>
      </c>
      <c r="AD2222" s="150">
        <f t="shared" si="682"/>
        <v>-0.00520399666944216</v>
      </c>
      <c r="AE2222" s="89">
        <f t="shared" si="678"/>
        <v>0.225384615384615</v>
      </c>
    </row>
    <row r="2223" spans="3:31">
      <c r="C2223" s="80" t="str" cm="1">
        <f t="array" ref="C2223">_xlfn.IFS(MONTH(D2223)&lt;4,1,MONTH(D2223)&lt;7,2,MONTH(D2223)&lt;10,3,MONTH(D2223)&gt;9,4)&amp;"Q"&amp;RIGHT(YEAR(D2223),2)</f>
        <v>4Q24</v>
      </c>
      <c r="D2223" s="81">
        <f t="shared" si="681"/>
        <v>45626</v>
      </c>
      <c r="E2223" s="82">
        <f t="shared" si="674"/>
        <v>45622</v>
      </c>
      <c r="F2223" s="83">
        <f t="shared" si="684"/>
        <v>0.191625</v>
      </c>
      <c r="G2223" s="83">
        <f t="shared" si="684"/>
        <v>0.16875</v>
      </c>
      <c r="I2223" s="146">
        <v>45622</v>
      </c>
      <c r="J2223" s="147">
        <v>1.86</v>
      </c>
      <c r="K2223" s="147">
        <v>1.4</v>
      </c>
      <c r="L2223" s="158">
        <v>1.533</v>
      </c>
      <c r="M2223" s="59" cm="1">
        <f t="array" ref="M2223">INDEX($BV$29:$BV$1449,MATCH($D2223,$BR$29:$BR$1449,0),)</f>
        <v>1.35</v>
      </c>
      <c r="N2223" s="150">
        <f t="shared" si="685"/>
        <v>-0.00325097529258789</v>
      </c>
      <c r="O2223" s="150">
        <f t="shared" si="686"/>
        <v>-0.0173076923076924</v>
      </c>
      <c r="P2223" s="150">
        <f t="shared" si="672"/>
        <v>-0.0235668789808918</v>
      </c>
      <c r="Q2223" s="89">
        <f t="shared" si="675"/>
        <v>0.135555555555555</v>
      </c>
      <c r="S2223" s="82">
        <f t="shared" si="676"/>
        <v>45622</v>
      </c>
      <c r="T2223" s="83">
        <f t="shared" si="683"/>
        <v>0.2985</v>
      </c>
      <c r="U2223" s="83">
        <f t="shared" si="683"/>
        <v>0.24375</v>
      </c>
      <c r="W2223" s="146">
        <v>45622</v>
      </c>
      <c r="X2223" s="147">
        <v>6.58</v>
      </c>
      <c r="Y2223" s="147">
        <v>3.82</v>
      </c>
      <c r="Z2223" s="158">
        <v>4.776</v>
      </c>
      <c r="AA2223" s="59" cm="1">
        <f t="array" ref="AA2223">INDEX($BX$29:$BX$1449,MATCH($D2223,$BR$29:$BR$1449,0),)</f>
        <v>3.9</v>
      </c>
      <c r="AB2223" s="150">
        <f t="shared" si="677"/>
        <v>-0.000627746390458261</v>
      </c>
      <c r="AC2223" s="150">
        <f t="shared" si="679"/>
        <v>-0.00375469336670831</v>
      </c>
      <c r="AD2223" s="150">
        <f t="shared" si="682"/>
        <v>-0.00520724848989806</v>
      </c>
      <c r="AE2223" s="89">
        <f t="shared" si="678"/>
        <v>0.224615384615385</v>
      </c>
    </row>
    <row r="2224" spans="3:31">
      <c r="C2224" s="80" t="str" cm="1">
        <f t="array" ref="C2224">_xlfn.IFS(MONTH(D2224)&lt;4,1,MONTH(D2224)&lt;7,2,MONTH(D2224)&lt;10,3,MONTH(D2224)&gt;9,4)&amp;"Q"&amp;RIGHT(YEAR(D2224),2)</f>
        <v>4Q24</v>
      </c>
      <c r="D2224" s="81">
        <f t="shared" si="681"/>
        <v>45626</v>
      </c>
      <c r="E2224" s="82">
        <f t="shared" si="674"/>
        <v>45623</v>
      </c>
      <c r="F2224" s="83">
        <f t="shared" si="684"/>
        <v>0.19125</v>
      </c>
      <c r="G2224" s="83">
        <f t="shared" si="684"/>
        <v>0.16875</v>
      </c>
      <c r="I2224" s="146">
        <v>45623</v>
      </c>
      <c r="J2224" s="147">
        <v>1.85</v>
      </c>
      <c r="K2224" s="147">
        <v>1.4</v>
      </c>
      <c r="L2224" s="158">
        <v>1.53</v>
      </c>
      <c r="M2224" s="59" cm="1">
        <f t="array" ref="M2224">INDEX($BV$29:$BV$1449,MATCH($D2224,$BR$29:$BR$1449,0),)</f>
        <v>1.35</v>
      </c>
      <c r="N2224" s="150">
        <f t="shared" si="685"/>
        <v>-0.00195694716242656</v>
      </c>
      <c r="O2224" s="150">
        <f t="shared" si="686"/>
        <v>-0.017971758664955</v>
      </c>
      <c r="P2224" s="150">
        <f t="shared" si="672"/>
        <v>-0.0242346938775511</v>
      </c>
      <c r="Q2224" s="89">
        <f t="shared" si="675"/>
        <v>0.133333333333333</v>
      </c>
      <c r="S2224" s="82">
        <f t="shared" si="676"/>
        <v>45623</v>
      </c>
      <c r="T2224" s="83">
        <f t="shared" ref="T2224:U2239" si="687">+Z2224/16</f>
        <v>0.2980625</v>
      </c>
      <c r="U2224" s="83">
        <f t="shared" si="687"/>
        <v>0.24375</v>
      </c>
      <c r="W2224" s="146">
        <v>45623</v>
      </c>
      <c r="X2224" s="147">
        <v>6.58</v>
      </c>
      <c r="Y2224" s="147">
        <v>3.82</v>
      </c>
      <c r="Z2224" s="158">
        <v>4.769</v>
      </c>
      <c r="AA2224" s="59" cm="1">
        <f t="array" ref="AA2224">INDEX($BX$29:$BX$1449,MATCH($D2224,$BR$29:$BR$1449,0),)</f>
        <v>3.9</v>
      </c>
      <c r="AB2224" s="150">
        <f t="shared" si="677"/>
        <v>-0.00146566164154094</v>
      </c>
      <c r="AC2224" s="150">
        <f t="shared" si="679"/>
        <v>-0.00521485189820603</v>
      </c>
      <c r="AD2224" s="150">
        <f t="shared" si="682"/>
        <v>-0.0058369814467375</v>
      </c>
      <c r="AE2224" s="89">
        <f t="shared" si="678"/>
        <v>0.222820512820513</v>
      </c>
    </row>
    <row r="2225" spans="3:31">
      <c r="C2225" s="80" t="str" cm="1">
        <f t="array" ref="C2225">_xlfn.IFS(MONTH(D2225)&lt;4,1,MONTH(D2225)&lt;7,2,MONTH(D2225)&lt;10,3,MONTH(D2225)&gt;9,4)&amp;"Q"&amp;RIGHT(YEAR(D2225),2)</f>
        <v>4Q24</v>
      </c>
      <c r="D2225" s="81">
        <f t="shared" si="681"/>
        <v>45626</v>
      </c>
      <c r="E2225" s="82">
        <f t="shared" si="674"/>
        <v>45624</v>
      </c>
      <c r="F2225" s="83">
        <f t="shared" si="684"/>
        <v>0.191</v>
      </c>
      <c r="G2225" s="83">
        <f t="shared" si="684"/>
        <v>0.16875</v>
      </c>
      <c r="I2225" s="146">
        <v>45624</v>
      </c>
      <c r="J2225" s="147">
        <v>1.84</v>
      </c>
      <c r="K2225" s="147">
        <v>1.39</v>
      </c>
      <c r="L2225" s="158">
        <v>1.528</v>
      </c>
      <c r="M2225" s="59" cm="1">
        <f t="array" ref="M2225">INDEX($BV$29:$BV$1449,MATCH($D2225,$BR$29:$BR$1449,0),)</f>
        <v>1.35</v>
      </c>
      <c r="N2225" s="150">
        <f t="shared" si="685"/>
        <v>-0.00130718954248366</v>
      </c>
      <c r="O2225" s="150">
        <f t="shared" si="686"/>
        <v>-0.0141935483870967</v>
      </c>
      <c r="P2225" s="150">
        <f t="shared" si="672"/>
        <v>-0.0236421725239616</v>
      </c>
      <c r="Q2225" s="89">
        <f t="shared" si="675"/>
        <v>0.131851851851852</v>
      </c>
      <c r="S2225" s="82">
        <f t="shared" si="676"/>
        <v>45624</v>
      </c>
      <c r="T2225" s="83">
        <f t="shared" si="687"/>
        <v>0.2973125</v>
      </c>
      <c r="U2225" s="83">
        <f t="shared" si="687"/>
        <v>0.24375</v>
      </c>
      <c r="W2225" s="146">
        <v>45624</v>
      </c>
      <c r="X2225" s="147">
        <v>6.57</v>
      </c>
      <c r="Y2225" s="147">
        <v>3.82</v>
      </c>
      <c r="Z2225" s="158">
        <v>4.757</v>
      </c>
      <c r="AA2225" s="59" cm="1">
        <f t="array" ref="AA2225">INDEX($BX$29:$BX$1449,MATCH($D2225,$BR$29:$BR$1449,0),)</f>
        <v>3.9</v>
      </c>
      <c r="AB2225" s="150">
        <f t="shared" si="677"/>
        <v>-0.00251625078632844</v>
      </c>
      <c r="AC2225" s="150">
        <f t="shared" si="679"/>
        <v>-0.00688935281837166</v>
      </c>
      <c r="AD2225" s="150">
        <f t="shared" si="682"/>
        <v>-0.00833854492391084</v>
      </c>
      <c r="AE2225" s="89">
        <f t="shared" si="678"/>
        <v>0.21974358974359</v>
      </c>
    </row>
    <row r="2226" spans="3:31">
      <c r="C2226" s="80" t="str" cm="1">
        <f t="array" ref="C2226">_xlfn.IFS(MONTH(D2226)&lt;4,1,MONTH(D2226)&lt;7,2,MONTH(D2226)&lt;10,3,MONTH(D2226)&gt;9,4)&amp;"Q"&amp;RIGHT(YEAR(D2226),2)</f>
        <v>4Q24</v>
      </c>
      <c r="D2226" s="81">
        <f t="shared" si="681"/>
        <v>45626</v>
      </c>
      <c r="E2226" s="82">
        <f t="shared" si="674"/>
        <v>45625</v>
      </c>
      <c r="F2226" s="83">
        <f t="shared" si="684"/>
        <v>0.18975</v>
      </c>
      <c r="G2226" s="83">
        <f t="shared" si="684"/>
        <v>0.16875</v>
      </c>
      <c r="I2226" s="146">
        <v>45625</v>
      </c>
      <c r="J2226" s="147">
        <v>1.84</v>
      </c>
      <c r="K2226" s="147">
        <v>1.37</v>
      </c>
      <c r="L2226" s="158">
        <v>1.518</v>
      </c>
      <c r="M2226" s="59" cm="1">
        <f t="array" ref="M2226">INDEX($BV$29:$BV$1449,MATCH($D2226,$BR$29:$BR$1449,0),)</f>
        <v>1.35</v>
      </c>
      <c r="N2226" s="150">
        <f t="shared" si="685"/>
        <v>-0.00654450261780104</v>
      </c>
      <c r="O2226" s="150">
        <f t="shared" si="686"/>
        <v>-0.0174757281553397</v>
      </c>
      <c r="P2226" s="150">
        <f t="shared" si="672"/>
        <v>-0.0287907869481765</v>
      </c>
      <c r="Q2226" s="89">
        <f t="shared" si="675"/>
        <v>0.124444444444444</v>
      </c>
      <c r="S2226" s="82">
        <f t="shared" si="676"/>
        <v>45625</v>
      </c>
      <c r="T2226" s="83">
        <f t="shared" si="687"/>
        <v>0.2973125</v>
      </c>
      <c r="U2226" s="83">
        <f t="shared" si="687"/>
        <v>0.24375</v>
      </c>
      <c r="W2226" s="146">
        <v>45625</v>
      </c>
      <c r="X2226" s="147">
        <v>6.57</v>
      </c>
      <c r="Y2226" s="147">
        <v>3.82</v>
      </c>
      <c r="Z2226" s="158">
        <v>4.757</v>
      </c>
      <c r="AA2226" s="59" cm="1">
        <f t="array" ref="AA2226">INDEX($BX$29:$BX$1449,MATCH($D2226,$BR$29:$BR$1449,0),)</f>
        <v>3.9</v>
      </c>
      <c r="AB2226" s="150">
        <f t="shared" si="677"/>
        <v>0</v>
      </c>
      <c r="AC2226" s="150">
        <f t="shared" si="679"/>
        <v>-0.00543591887936457</v>
      </c>
      <c r="AD2226" s="150">
        <f t="shared" si="682"/>
        <v>-0.00833854492391084</v>
      </c>
      <c r="AE2226" s="89">
        <f t="shared" si="678"/>
        <v>0.21974358974359</v>
      </c>
    </row>
    <row r="2227" spans="3:31">
      <c r="C2227" s="80" t="str" cm="1">
        <f t="array" ref="C2227">_xlfn.IFS(MONTH(D2227)&lt;4,1,MONTH(D2227)&lt;7,2,MONTH(D2227)&lt;10,3,MONTH(D2227)&gt;9,4)&amp;"Q"&amp;RIGHT(YEAR(D2227),2)</f>
        <v>4Q24</v>
      </c>
      <c r="D2227" s="81">
        <f t="shared" si="681"/>
        <v>45657</v>
      </c>
      <c r="E2227" s="82">
        <f t="shared" si="674"/>
        <v>45628</v>
      </c>
      <c r="F2227" s="83">
        <f t="shared" si="684"/>
        <v>0.1885</v>
      </c>
      <c r="G2227" s="83">
        <f t="shared" si="684"/>
        <v>0.16875</v>
      </c>
      <c r="I2227" s="146">
        <v>45628</v>
      </c>
      <c r="J2227" s="147">
        <v>1.8</v>
      </c>
      <c r="K2227" s="147">
        <v>1.37</v>
      </c>
      <c r="L2227" s="158">
        <v>1.508</v>
      </c>
      <c r="M2227" s="59" cm="1">
        <f t="array" ref="M2227">INDEX($BV$29:$BV$1449,MATCH($D2227,$BR$29:$BR$1449,0),)</f>
        <v>1.35</v>
      </c>
      <c r="N2227" s="150">
        <f t="shared" si="685"/>
        <v>-0.00658761528326746</v>
      </c>
      <c r="O2227" s="150">
        <f t="shared" si="686"/>
        <v>-0.0195058517555267</v>
      </c>
      <c r="P2227" s="150">
        <f t="shared" si="672"/>
        <v>-0.0333333333333333</v>
      </c>
      <c r="Q2227" s="89">
        <f t="shared" si="675"/>
        <v>0.117037037037037</v>
      </c>
      <c r="S2227" s="82">
        <f t="shared" si="676"/>
        <v>45628</v>
      </c>
      <c r="T2227" s="83">
        <f t="shared" si="687"/>
        <v>0.2973125</v>
      </c>
      <c r="U2227" s="83">
        <f t="shared" si="687"/>
        <v>0.24375</v>
      </c>
      <c r="W2227" s="146">
        <v>45628</v>
      </c>
      <c r="X2227" s="147">
        <v>6.58</v>
      </c>
      <c r="Y2227" s="147">
        <v>3.83</v>
      </c>
      <c r="Z2227" s="158">
        <v>4.757</v>
      </c>
      <c r="AA2227" s="59" cm="1">
        <f t="array" ref="AA2227">INDEX($BX$29:$BX$1449,MATCH($D2227,$BR$29:$BR$1449,0),)</f>
        <v>3.9</v>
      </c>
      <c r="AB2227" s="150">
        <f t="shared" si="677"/>
        <v>0</v>
      </c>
      <c r="AC2227" s="150">
        <f t="shared" si="679"/>
        <v>-0.00460347353002721</v>
      </c>
      <c r="AD2227" s="150">
        <f t="shared" si="682"/>
        <v>-0.00771798080934505</v>
      </c>
      <c r="AE2227" s="89">
        <f t="shared" si="678"/>
        <v>0.21974358974359</v>
      </c>
    </row>
    <row r="2228" spans="3:31">
      <c r="C2228" s="80" t="str" cm="1">
        <f t="array" ref="C2228">_xlfn.IFS(MONTH(D2228)&lt;4,1,MONTH(D2228)&lt;7,2,MONTH(D2228)&lt;10,3,MONTH(D2228)&gt;9,4)&amp;"Q"&amp;RIGHT(YEAR(D2228),2)</f>
        <v>4Q24</v>
      </c>
      <c r="D2228" s="81">
        <f t="shared" si="681"/>
        <v>45657</v>
      </c>
      <c r="E2228" s="82">
        <f t="shared" si="674"/>
        <v>45629</v>
      </c>
      <c r="F2228" s="83">
        <f t="shared" si="684"/>
        <v>0.188125</v>
      </c>
      <c r="G2228" s="83">
        <f t="shared" si="684"/>
        <v>0.16875</v>
      </c>
      <c r="I2228" s="146">
        <v>45629</v>
      </c>
      <c r="J2228" s="147">
        <v>1.8</v>
      </c>
      <c r="K2228" s="147">
        <v>1.35</v>
      </c>
      <c r="L2228" s="158">
        <v>1.505</v>
      </c>
      <c r="M2228" s="59" cm="1">
        <f t="array" ref="M2228">INDEX($BV$29:$BV$1449,MATCH($D2228,$BR$29:$BR$1449,0),)</f>
        <v>1.35</v>
      </c>
      <c r="N2228" s="150">
        <f t="shared" si="685"/>
        <v>-0.00198938992042452</v>
      </c>
      <c r="O2228" s="150">
        <f t="shared" si="686"/>
        <v>-0.0182648401826484</v>
      </c>
      <c r="P2228" s="150">
        <f t="shared" si="672"/>
        <v>-0.0352564102564104</v>
      </c>
      <c r="Q2228" s="89">
        <f t="shared" si="675"/>
        <v>0.114814814814815</v>
      </c>
      <c r="S2228" s="82">
        <f t="shared" si="676"/>
        <v>45629</v>
      </c>
      <c r="T2228" s="83">
        <f t="shared" si="687"/>
        <v>0.2973125</v>
      </c>
      <c r="U2228" s="83">
        <f t="shared" si="687"/>
        <v>0.24375</v>
      </c>
      <c r="W2228" s="146">
        <v>45629</v>
      </c>
      <c r="X2228" s="147">
        <v>6.58</v>
      </c>
      <c r="Y2228" s="147">
        <v>3.83</v>
      </c>
      <c r="Z2228" s="158">
        <v>4.757</v>
      </c>
      <c r="AA2228" s="59" cm="1">
        <f t="array" ref="AA2228">INDEX($BX$29:$BX$1449,MATCH($D2228,$BR$29:$BR$1449,0),)</f>
        <v>3.9</v>
      </c>
      <c r="AB2228" s="150">
        <f t="shared" si="677"/>
        <v>0</v>
      </c>
      <c r="AC2228" s="150">
        <f t="shared" si="679"/>
        <v>-0.00397822445561147</v>
      </c>
      <c r="AD2228" s="150">
        <f t="shared" si="682"/>
        <v>-0.00771798080934505</v>
      </c>
      <c r="AE2228" s="89">
        <f t="shared" si="678"/>
        <v>0.21974358974359</v>
      </c>
    </row>
    <row r="2229" spans="3:31">
      <c r="C2229" s="80" t="str" cm="1">
        <f t="array" ref="C2229">_xlfn.IFS(MONTH(D2229)&lt;4,1,MONTH(D2229)&lt;7,2,MONTH(D2229)&lt;10,3,MONTH(D2229)&gt;9,4)&amp;"Q"&amp;RIGHT(YEAR(D2229),2)</f>
        <v>4Q24</v>
      </c>
      <c r="D2229" s="81">
        <f t="shared" si="681"/>
        <v>45657</v>
      </c>
      <c r="E2229" s="82">
        <f t="shared" si="674"/>
        <v>45630</v>
      </c>
      <c r="F2229" s="83">
        <f t="shared" si="684"/>
        <v>0.18725</v>
      </c>
      <c r="G2229" s="83">
        <f t="shared" si="684"/>
        <v>0.16875</v>
      </c>
      <c r="I2229" s="146">
        <v>45630</v>
      </c>
      <c r="J2229" s="147">
        <v>1.8</v>
      </c>
      <c r="K2229" s="147">
        <v>1.35</v>
      </c>
      <c r="L2229" s="158">
        <v>1.498</v>
      </c>
      <c r="M2229" s="59" cm="1">
        <f t="array" ref="M2229">INDEX($BV$29:$BV$1449,MATCH($D2229,$BR$29:$BR$1449,0),)</f>
        <v>1.35</v>
      </c>
      <c r="N2229" s="150">
        <f t="shared" si="685"/>
        <v>-0.00465116279069766</v>
      </c>
      <c r="O2229" s="150">
        <f t="shared" si="686"/>
        <v>-0.0209150326797386</v>
      </c>
      <c r="P2229" s="150">
        <f t="shared" si="672"/>
        <v>-0.0385109114249037</v>
      </c>
      <c r="Q2229" s="89">
        <f t="shared" si="675"/>
        <v>0.10962962962963</v>
      </c>
      <c r="S2229" s="82">
        <f t="shared" si="676"/>
        <v>45630</v>
      </c>
      <c r="T2229" s="83">
        <f t="shared" si="687"/>
        <v>0.2973125</v>
      </c>
      <c r="U2229" s="83">
        <f t="shared" si="687"/>
        <v>0.24375</v>
      </c>
      <c r="W2229" s="146">
        <v>45630</v>
      </c>
      <c r="X2229" s="147">
        <v>6.58</v>
      </c>
      <c r="Y2229" s="147">
        <v>3.83</v>
      </c>
      <c r="Z2229" s="158">
        <v>4.757</v>
      </c>
      <c r="AA2229" s="59" cm="1">
        <f t="array" ref="AA2229">INDEX($BX$29:$BX$1449,MATCH($D2229,$BR$29:$BR$1449,0),)</f>
        <v>3.9</v>
      </c>
      <c r="AB2229" s="150">
        <f t="shared" si="677"/>
        <v>0</v>
      </c>
      <c r="AC2229" s="150">
        <f t="shared" si="679"/>
        <v>-0.00251625078632844</v>
      </c>
      <c r="AD2229" s="150">
        <f t="shared" si="682"/>
        <v>-0.00771798080934505</v>
      </c>
      <c r="AE2229" s="89">
        <f t="shared" si="678"/>
        <v>0.21974358974359</v>
      </c>
    </row>
    <row r="2230" spans="3:31">
      <c r="C2230" s="80" t="str" cm="1">
        <f t="array" ref="C2230">_xlfn.IFS(MONTH(D2230)&lt;4,1,MONTH(D2230)&lt;7,2,MONTH(D2230)&lt;10,3,MONTH(D2230)&gt;9,4)&amp;"Q"&amp;RIGHT(YEAR(D2230),2)</f>
        <v>4Q24</v>
      </c>
      <c r="D2230" s="81">
        <f t="shared" si="681"/>
        <v>45657</v>
      </c>
      <c r="E2230" s="82">
        <f t="shared" si="674"/>
        <v>45631</v>
      </c>
      <c r="F2230" s="83">
        <f t="shared" si="684"/>
        <v>0.186</v>
      </c>
      <c r="G2230" s="83">
        <f t="shared" si="684"/>
        <v>0.16875</v>
      </c>
      <c r="I2230" s="146">
        <v>45631</v>
      </c>
      <c r="J2230" s="147">
        <v>1.8</v>
      </c>
      <c r="K2230" s="147">
        <v>1.35</v>
      </c>
      <c r="L2230" s="158">
        <v>1.488</v>
      </c>
      <c r="M2230" s="59" cm="1">
        <f t="array" ref="M2230">INDEX($BV$29:$BV$1449,MATCH($D2230,$BR$29:$BR$1449,0),)</f>
        <v>1.35</v>
      </c>
      <c r="N2230" s="150">
        <f t="shared" si="685"/>
        <v>-0.00667556742323094</v>
      </c>
      <c r="O2230" s="150">
        <f t="shared" si="686"/>
        <v>-0.0261780104712042</v>
      </c>
      <c r="P2230" s="150">
        <f t="shared" si="672"/>
        <v>-0.04</v>
      </c>
      <c r="Q2230" s="89">
        <f t="shared" si="675"/>
        <v>0.102222222222222</v>
      </c>
      <c r="S2230" s="82">
        <f t="shared" si="676"/>
        <v>45631</v>
      </c>
      <c r="T2230" s="83">
        <f t="shared" si="687"/>
        <v>0.2973125</v>
      </c>
      <c r="U2230" s="83">
        <f t="shared" si="687"/>
        <v>0.24375</v>
      </c>
      <c r="W2230" s="146">
        <v>45631</v>
      </c>
      <c r="X2230" s="147">
        <v>6.65</v>
      </c>
      <c r="Y2230" s="147">
        <v>3.83</v>
      </c>
      <c r="Z2230" s="158">
        <v>4.757</v>
      </c>
      <c r="AA2230" s="59" cm="1">
        <f t="array" ref="AA2230">INDEX($BX$29:$BX$1449,MATCH($D2230,$BR$29:$BR$1449,0),)</f>
        <v>3.9</v>
      </c>
      <c r="AB2230" s="150">
        <f t="shared" si="677"/>
        <v>0</v>
      </c>
      <c r="AC2230" s="150">
        <f t="shared" si="679"/>
        <v>0</v>
      </c>
      <c r="AD2230" s="150">
        <f t="shared" si="682"/>
        <v>-0.00688935281837166</v>
      </c>
      <c r="AE2230" s="89">
        <f t="shared" si="678"/>
        <v>0.21974358974359</v>
      </c>
    </row>
    <row r="2231" spans="3:31">
      <c r="C2231" s="80" t="str" cm="1">
        <f t="array" ref="C2231">_xlfn.IFS(MONTH(D2231)&lt;4,1,MONTH(D2231)&lt;7,2,MONTH(D2231)&lt;10,3,MONTH(D2231)&gt;9,4)&amp;"Q"&amp;RIGHT(YEAR(D2231),2)</f>
        <v>4Q24</v>
      </c>
      <c r="D2231" s="81">
        <f t="shared" si="681"/>
        <v>45657</v>
      </c>
      <c r="E2231" s="82">
        <f t="shared" si="674"/>
        <v>45632</v>
      </c>
      <c r="F2231" s="83">
        <f t="shared" si="684"/>
        <v>0.184375</v>
      </c>
      <c r="G2231" s="83">
        <f t="shared" si="684"/>
        <v>0.16875</v>
      </c>
      <c r="I2231" s="146">
        <v>45632</v>
      </c>
      <c r="J2231" s="147">
        <v>1.8</v>
      </c>
      <c r="K2231" s="147">
        <v>1.35</v>
      </c>
      <c r="L2231" s="158">
        <v>1.475</v>
      </c>
      <c r="M2231" s="59" cm="1">
        <f t="array" ref="M2231">INDEX($BV$29:$BV$1449,MATCH($D2231,$BR$29:$BR$1449,0),)</f>
        <v>1.35</v>
      </c>
      <c r="N2231" s="150">
        <f t="shared" si="685"/>
        <v>-0.00873655913978488</v>
      </c>
      <c r="O2231" s="150">
        <f t="shared" si="686"/>
        <v>-0.0283267457180501</v>
      </c>
      <c r="P2231" s="150">
        <f t="shared" si="672"/>
        <v>-0.0453074433656957</v>
      </c>
      <c r="Q2231" s="89">
        <f t="shared" si="675"/>
        <v>0.0925925925925926</v>
      </c>
      <c r="S2231" s="82">
        <f t="shared" si="676"/>
        <v>45632</v>
      </c>
      <c r="T2231" s="83">
        <f t="shared" si="687"/>
        <v>0.297125</v>
      </c>
      <c r="U2231" s="83">
        <f t="shared" si="687"/>
        <v>0.24375</v>
      </c>
      <c r="W2231" s="146">
        <v>45632</v>
      </c>
      <c r="X2231" s="147">
        <v>6.65</v>
      </c>
      <c r="Y2231" s="147">
        <v>3.82</v>
      </c>
      <c r="Z2231" s="158">
        <v>4.754</v>
      </c>
      <c r="AA2231" s="59" cm="1">
        <f t="array" ref="AA2231">INDEX($BX$29:$BX$1449,MATCH($D2231,$BR$29:$BR$1449,0),)</f>
        <v>3.9</v>
      </c>
      <c r="AB2231" s="150">
        <f t="shared" si="677"/>
        <v>-0.000630649569056119</v>
      </c>
      <c r="AC2231" s="150">
        <f t="shared" si="679"/>
        <v>-0.000630649569056119</v>
      </c>
      <c r="AD2231" s="150">
        <f t="shared" si="682"/>
        <v>-0.00606314028852206</v>
      </c>
      <c r="AE2231" s="89">
        <f t="shared" si="678"/>
        <v>0.218974358974359</v>
      </c>
    </row>
    <row r="2232" spans="3:31">
      <c r="C2232" s="80" t="str" cm="1">
        <f t="array" ref="C2232">_xlfn.IFS(MONTH(D2232)&lt;4,1,MONTH(D2232)&lt;7,2,MONTH(D2232)&lt;10,3,MONTH(D2232)&gt;9,4)&amp;"Q"&amp;RIGHT(YEAR(D2232),2)</f>
        <v>4Q24</v>
      </c>
      <c r="D2232" s="81">
        <f t="shared" si="681"/>
        <v>45657</v>
      </c>
      <c r="E2232" s="82">
        <f t="shared" si="674"/>
        <v>45635</v>
      </c>
      <c r="F2232" s="83">
        <f t="shared" si="684"/>
        <v>0.18375</v>
      </c>
      <c r="G2232" s="83">
        <f t="shared" si="684"/>
        <v>0.16875</v>
      </c>
      <c r="I2232" s="146">
        <v>45635</v>
      </c>
      <c r="J2232" s="147">
        <v>1.78</v>
      </c>
      <c r="K2232" s="147">
        <v>1.34</v>
      </c>
      <c r="L2232" s="158">
        <v>1.47</v>
      </c>
      <c r="M2232" s="59" cm="1">
        <f t="array" ref="M2232">INDEX($BV$29:$BV$1449,MATCH($D2232,$BR$29:$BR$1449,0),)</f>
        <v>1.35</v>
      </c>
      <c r="N2232" s="150">
        <f t="shared" si="685"/>
        <v>-0.00338983050847463</v>
      </c>
      <c r="O2232" s="150">
        <f t="shared" si="686"/>
        <v>-0.0251989389920425</v>
      </c>
      <c r="P2232" s="150">
        <f t="shared" si="672"/>
        <v>-0.0442132639791938</v>
      </c>
      <c r="Q2232" s="89">
        <f t="shared" si="675"/>
        <v>0.0888888888888888</v>
      </c>
      <c r="S2232" s="82">
        <f t="shared" si="676"/>
        <v>45635</v>
      </c>
      <c r="T2232" s="83">
        <f t="shared" si="687"/>
        <v>0.296875</v>
      </c>
      <c r="U2232" s="83">
        <f t="shared" si="687"/>
        <v>0.24375</v>
      </c>
      <c r="W2232" s="146">
        <v>45635</v>
      </c>
      <c r="X2232" s="147">
        <v>6.7</v>
      </c>
      <c r="Y2232" s="147">
        <v>3.81</v>
      </c>
      <c r="Z2232" s="158">
        <v>4.75</v>
      </c>
      <c r="AA2232" s="59" cm="1">
        <f t="array" ref="AA2232">INDEX($BX$29:$BX$1449,MATCH($D2232,$BR$29:$BR$1449,0),)</f>
        <v>3.9</v>
      </c>
      <c r="AB2232" s="150">
        <f t="shared" si="677"/>
        <v>-0.000841396718552656</v>
      </c>
      <c r="AC2232" s="150">
        <f t="shared" si="679"/>
        <v>-0.00147151566113091</v>
      </c>
      <c r="AD2232" s="150">
        <f t="shared" si="682"/>
        <v>-0.00606821510776312</v>
      </c>
      <c r="AE2232" s="89">
        <f t="shared" si="678"/>
        <v>0.217948717948718</v>
      </c>
    </row>
    <row r="2233" spans="3:31">
      <c r="C2233" s="80" t="str" cm="1">
        <f t="array" ref="C2233">_xlfn.IFS(MONTH(D2233)&lt;4,1,MONTH(D2233)&lt;7,2,MONTH(D2233)&lt;10,3,MONTH(D2233)&gt;9,4)&amp;"Q"&amp;RIGHT(YEAR(D2233),2)</f>
        <v>4Q24</v>
      </c>
      <c r="D2233" s="81">
        <f t="shared" si="681"/>
        <v>45657</v>
      </c>
      <c r="E2233" s="82">
        <f t="shared" si="674"/>
        <v>45636</v>
      </c>
      <c r="F2233" s="83">
        <f t="shared" si="684"/>
        <v>0.183125</v>
      </c>
      <c r="G2233" s="83">
        <f t="shared" si="684"/>
        <v>0.16875</v>
      </c>
      <c r="I2233" s="146">
        <v>45636</v>
      </c>
      <c r="J2233" s="147">
        <v>1.78</v>
      </c>
      <c r="K2233" s="147">
        <v>1.34</v>
      </c>
      <c r="L2233" s="158">
        <v>1.465</v>
      </c>
      <c r="M2233" s="59" cm="1">
        <f t="array" ref="M2233">INDEX($BV$29:$BV$1449,MATCH($D2233,$BR$29:$BR$1449,0),)</f>
        <v>1.35</v>
      </c>
      <c r="N2233" s="150">
        <f t="shared" si="685"/>
        <v>-0.00340136054421758</v>
      </c>
      <c r="O2233" s="150">
        <f t="shared" si="686"/>
        <v>-0.0265780730897008</v>
      </c>
      <c r="P2233" s="150">
        <f t="shared" si="672"/>
        <v>-0.0443574690150031</v>
      </c>
      <c r="Q2233" s="89">
        <f t="shared" si="675"/>
        <v>0.0851851851851853</v>
      </c>
      <c r="S2233" s="82">
        <f t="shared" si="676"/>
        <v>45636</v>
      </c>
      <c r="T2233" s="83">
        <f t="shared" si="687"/>
        <v>0.2964375</v>
      </c>
      <c r="U2233" s="83">
        <f t="shared" si="687"/>
        <v>0.24375</v>
      </c>
      <c r="W2233" s="146">
        <v>45636</v>
      </c>
      <c r="X2233" s="147">
        <v>6.7</v>
      </c>
      <c r="Y2233" s="147">
        <v>3.81</v>
      </c>
      <c r="Z2233" s="158">
        <v>4.743</v>
      </c>
      <c r="AA2233" s="59" cm="1">
        <f t="array" ref="AA2233">INDEX($BX$29:$BX$1449,MATCH($D2233,$BR$29:$BR$1449,0),)</f>
        <v>3.9</v>
      </c>
      <c r="AB2233" s="150">
        <f t="shared" si="677"/>
        <v>-0.00147368421052629</v>
      </c>
      <c r="AC2233" s="150">
        <f t="shared" si="679"/>
        <v>-0.00294303132226181</v>
      </c>
      <c r="AD2233" s="150">
        <f t="shared" si="682"/>
        <v>-0.00690954773869334</v>
      </c>
      <c r="AE2233" s="89">
        <f t="shared" si="678"/>
        <v>0.216153846153846</v>
      </c>
    </row>
    <row r="2234" spans="3:31">
      <c r="C2234" s="80" t="str" cm="1">
        <f t="array" ref="C2234">_xlfn.IFS(MONTH(D2234)&lt;4,1,MONTH(D2234)&lt;7,2,MONTH(D2234)&lt;10,3,MONTH(D2234)&gt;9,4)&amp;"Q"&amp;RIGHT(YEAR(D2234),2)</f>
        <v>4Q24</v>
      </c>
      <c r="D2234" s="81">
        <f t="shared" si="681"/>
        <v>45657</v>
      </c>
      <c r="E2234" s="82">
        <f t="shared" si="674"/>
        <v>45637</v>
      </c>
      <c r="F2234" s="83">
        <f t="shared" ref="F2234:G2249" si="688">+L2234/8</f>
        <v>0.182875</v>
      </c>
      <c r="G2234" s="83">
        <f t="shared" si="688"/>
        <v>0.16875</v>
      </c>
      <c r="I2234" s="146">
        <v>45637</v>
      </c>
      <c r="J2234" s="147">
        <v>1.78</v>
      </c>
      <c r="K2234" s="147">
        <v>1.34</v>
      </c>
      <c r="L2234" s="158">
        <v>1.463</v>
      </c>
      <c r="M2234" s="59" cm="1">
        <f t="array" ref="M2234">INDEX($BV$29:$BV$1449,MATCH($D2234,$BR$29:$BR$1449,0),)</f>
        <v>1.35</v>
      </c>
      <c r="N2234" s="150">
        <f t="shared" si="685"/>
        <v>-0.00136518771331062</v>
      </c>
      <c r="O2234" s="150">
        <f t="shared" si="686"/>
        <v>-0.0233644859813084</v>
      </c>
      <c r="P2234" s="150">
        <f t="shared" si="672"/>
        <v>-0.0437908496732026</v>
      </c>
      <c r="Q2234" s="89">
        <f t="shared" si="675"/>
        <v>0.0837037037037036</v>
      </c>
      <c r="S2234" s="82">
        <f t="shared" si="676"/>
        <v>45637</v>
      </c>
      <c r="T2234" s="83">
        <f t="shared" si="687"/>
        <v>0.2961875</v>
      </c>
      <c r="U2234" s="83">
        <f t="shared" si="687"/>
        <v>0.24375</v>
      </c>
      <c r="W2234" s="146">
        <v>45637</v>
      </c>
      <c r="X2234" s="147">
        <v>6.7</v>
      </c>
      <c r="Y2234" s="147">
        <v>3.81</v>
      </c>
      <c r="Z2234" s="158">
        <v>4.739</v>
      </c>
      <c r="AA2234" s="59" cm="1">
        <f t="array" ref="AA2234">INDEX($BX$29:$BX$1449,MATCH($D2234,$BR$29:$BR$1449,0),)</f>
        <v>3.9</v>
      </c>
      <c r="AB2234" s="150">
        <f t="shared" si="677"/>
        <v>-0.000843348091924989</v>
      </c>
      <c r="AC2234" s="150">
        <f t="shared" si="679"/>
        <v>-0.00378389741433671</v>
      </c>
      <c r="AD2234" s="150">
        <f t="shared" si="682"/>
        <v>-0.00629062696582094</v>
      </c>
      <c r="AE2234" s="89">
        <f t="shared" si="678"/>
        <v>0.215128205128205</v>
      </c>
    </row>
    <row r="2235" spans="3:31">
      <c r="C2235" s="80" t="str" cm="1">
        <f t="array" ref="C2235">_xlfn.IFS(MONTH(D2235)&lt;4,1,MONTH(D2235)&lt;7,2,MONTH(D2235)&lt;10,3,MONTH(D2235)&gt;9,4)&amp;"Q"&amp;RIGHT(YEAR(D2235),2)</f>
        <v>4Q24</v>
      </c>
      <c r="D2235" s="81">
        <f t="shared" si="681"/>
        <v>45657</v>
      </c>
      <c r="E2235" s="82">
        <f t="shared" si="674"/>
        <v>45638</v>
      </c>
      <c r="F2235" s="83">
        <f t="shared" si="688"/>
        <v>0.182875</v>
      </c>
      <c r="G2235" s="83">
        <f t="shared" si="688"/>
        <v>0.16875</v>
      </c>
      <c r="I2235" s="146">
        <v>45638</v>
      </c>
      <c r="J2235" s="147">
        <v>1.77</v>
      </c>
      <c r="K2235" s="147">
        <v>1.33</v>
      </c>
      <c r="L2235" s="158">
        <v>1.463</v>
      </c>
      <c r="M2235" s="59" cm="1">
        <f t="array" ref="M2235">INDEX($BV$29:$BV$1449,MATCH($D2235,$BR$29:$BR$1449,0),)</f>
        <v>1.35</v>
      </c>
      <c r="N2235" s="150">
        <f t="shared" si="685"/>
        <v>0</v>
      </c>
      <c r="O2235" s="150">
        <f t="shared" si="686"/>
        <v>-0.0168010752688171</v>
      </c>
      <c r="P2235" s="150">
        <f t="shared" si="672"/>
        <v>-0.0425392670157068</v>
      </c>
      <c r="Q2235" s="89">
        <f t="shared" si="675"/>
        <v>0.0837037037037036</v>
      </c>
      <c r="S2235" s="82">
        <f t="shared" si="676"/>
        <v>45638</v>
      </c>
      <c r="T2235" s="83">
        <f t="shared" si="687"/>
        <v>0.296</v>
      </c>
      <c r="U2235" s="83">
        <f t="shared" si="687"/>
        <v>0.24375</v>
      </c>
      <c r="W2235" s="146">
        <v>45638</v>
      </c>
      <c r="X2235" s="147">
        <v>6.75</v>
      </c>
      <c r="Y2235" s="147">
        <v>3.81</v>
      </c>
      <c r="Z2235" s="158">
        <v>4.736</v>
      </c>
      <c r="AA2235" s="59" cm="1">
        <f t="array" ref="AA2235">INDEX($BX$29:$BX$1449,MATCH($D2235,$BR$29:$BR$1449,0),)</f>
        <v>3.9</v>
      </c>
      <c r="AB2235" s="150">
        <f t="shared" si="677"/>
        <v>-0.000633044946191208</v>
      </c>
      <c r="AC2235" s="150">
        <f t="shared" si="679"/>
        <v>-0.00441454698339283</v>
      </c>
      <c r="AD2235" s="150">
        <f t="shared" si="682"/>
        <v>-0.00441454698339283</v>
      </c>
      <c r="AE2235" s="89">
        <f t="shared" si="678"/>
        <v>0.214358974358974</v>
      </c>
    </row>
    <row r="2236" spans="3:31">
      <c r="C2236" s="80" t="str" cm="1">
        <f t="array" ref="C2236">_xlfn.IFS(MONTH(D2236)&lt;4,1,MONTH(D2236)&lt;7,2,MONTH(D2236)&lt;10,3,MONTH(D2236)&gt;9,4)&amp;"Q"&amp;RIGHT(YEAR(D2236),2)</f>
        <v>4Q24</v>
      </c>
      <c r="D2236" s="81">
        <f t="shared" si="681"/>
        <v>45657</v>
      </c>
      <c r="E2236" s="82">
        <f t="shared" si="674"/>
        <v>45639</v>
      </c>
      <c r="F2236" s="83">
        <f t="shared" si="688"/>
        <v>0.182875</v>
      </c>
      <c r="G2236" s="83">
        <f t="shared" si="688"/>
        <v>0.16875</v>
      </c>
      <c r="I2236" s="146">
        <v>45639</v>
      </c>
      <c r="J2236" s="147">
        <v>1.77</v>
      </c>
      <c r="K2236" s="147">
        <v>1.33</v>
      </c>
      <c r="L2236" s="158">
        <v>1.463</v>
      </c>
      <c r="M2236" s="59" cm="1">
        <f t="array" ref="M2236">INDEX($BV$29:$BV$1449,MATCH($D2236,$BR$29:$BR$1449,0),)</f>
        <v>1.35</v>
      </c>
      <c r="N2236" s="150">
        <f t="shared" si="685"/>
        <v>0</v>
      </c>
      <c r="O2236" s="150">
        <f t="shared" si="686"/>
        <v>-0.00813559322033897</v>
      </c>
      <c r="P2236" s="150">
        <f t="shared" si="672"/>
        <v>-0.036231884057971</v>
      </c>
      <c r="Q2236" s="89">
        <f t="shared" si="675"/>
        <v>0.0837037037037036</v>
      </c>
      <c r="S2236" s="82">
        <f t="shared" si="676"/>
        <v>45639</v>
      </c>
      <c r="T2236" s="83">
        <f t="shared" si="687"/>
        <v>0.29575</v>
      </c>
      <c r="U2236" s="83">
        <f t="shared" si="687"/>
        <v>0.24375</v>
      </c>
      <c r="W2236" s="146">
        <v>45639</v>
      </c>
      <c r="X2236" s="147">
        <v>6.75</v>
      </c>
      <c r="Y2236" s="147">
        <v>3.81</v>
      </c>
      <c r="Z2236" s="158">
        <v>4.732</v>
      </c>
      <c r="AA2236" s="59" cm="1">
        <f t="array" ref="AA2236">INDEX($BX$29:$BX$1449,MATCH($D2236,$BR$29:$BR$1449,0),)</f>
        <v>3.9</v>
      </c>
      <c r="AB2236" s="150">
        <f t="shared" si="677"/>
        <v>-0.000844594594594517</v>
      </c>
      <c r="AC2236" s="150">
        <f t="shared" si="679"/>
        <v>-0.00462768195204022</v>
      </c>
      <c r="AD2236" s="150">
        <f t="shared" si="682"/>
        <v>-0.00525541307546762</v>
      </c>
      <c r="AE2236" s="89">
        <f t="shared" si="678"/>
        <v>0.213333333333333</v>
      </c>
    </row>
    <row r="2237" spans="3:31">
      <c r="C2237" s="80" t="str" cm="1">
        <f t="array" ref="C2237">_xlfn.IFS(MONTH(D2237)&lt;4,1,MONTH(D2237)&lt;7,2,MONTH(D2237)&lt;10,3,MONTH(D2237)&gt;9,4)&amp;"Q"&amp;RIGHT(YEAR(D2237),2)</f>
        <v>4Q24</v>
      </c>
      <c r="D2237" s="81">
        <f t="shared" si="681"/>
        <v>45657</v>
      </c>
      <c r="E2237" s="82">
        <f t="shared" si="674"/>
        <v>45642</v>
      </c>
      <c r="F2237" s="83">
        <f t="shared" si="688"/>
        <v>0.1825</v>
      </c>
      <c r="G2237" s="83">
        <f t="shared" si="688"/>
        <v>0.16875</v>
      </c>
      <c r="I2237" s="146">
        <v>45642</v>
      </c>
      <c r="J2237" s="147">
        <v>1.78</v>
      </c>
      <c r="K2237" s="147">
        <v>1.33</v>
      </c>
      <c r="L2237" s="158">
        <v>1.46</v>
      </c>
      <c r="M2237" s="59" cm="1">
        <f t="array" ref="M2237">INDEX($BV$29:$BV$1449,MATCH($D2237,$BR$29:$BR$1449,0),)</f>
        <v>1.35</v>
      </c>
      <c r="N2237" s="150">
        <f t="shared" si="685"/>
        <v>-0.00205058099794952</v>
      </c>
      <c r="O2237" s="150">
        <f t="shared" si="686"/>
        <v>-0.00680272108843538</v>
      </c>
      <c r="P2237" s="150">
        <f t="shared" si="672"/>
        <v>-0.0318302387267905</v>
      </c>
      <c r="Q2237" s="89">
        <f t="shared" si="675"/>
        <v>0.0814814814814815</v>
      </c>
      <c r="S2237" s="82">
        <f t="shared" si="676"/>
        <v>45642</v>
      </c>
      <c r="T2237" s="83">
        <f t="shared" si="687"/>
        <v>0.2955625</v>
      </c>
      <c r="U2237" s="83">
        <f t="shared" si="687"/>
        <v>0.24375</v>
      </c>
      <c r="W2237" s="146">
        <v>45642</v>
      </c>
      <c r="X2237" s="147">
        <v>6.77</v>
      </c>
      <c r="Y2237" s="147">
        <v>3.8</v>
      </c>
      <c r="Z2237" s="158">
        <v>4.729</v>
      </c>
      <c r="AA2237" s="59" cm="1">
        <f t="array" ref="AA2237">INDEX($BX$29:$BX$1449,MATCH($D2237,$BR$29:$BR$1449,0),)</f>
        <v>3.9</v>
      </c>
      <c r="AB2237" s="150">
        <f t="shared" si="677"/>
        <v>-0.000633981403212247</v>
      </c>
      <c r="AC2237" s="150">
        <f t="shared" si="679"/>
        <v>-0.00442105263157888</v>
      </c>
      <c r="AD2237" s="150">
        <f t="shared" si="682"/>
        <v>-0.00588606264452374</v>
      </c>
      <c r="AE2237" s="89">
        <f t="shared" si="678"/>
        <v>0.212564102564103</v>
      </c>
    </row>
    <row r="2238" spans="3:31">
      <c r="C2238" s="80" t="str" cm="1">
        <f t="array" ref="C2238">_xlfn.IFS(MONTH(D2238)&lt;4,1,MONTH(D2238)&lt;7,2,MONTH(D2238)&lt;10,3,MONTH(D2238)&gt;9,4)&amp;"Q"&amp;RIGHT(YEAR(D2238),2)</f>
        <v>4Q24</v>
      </c>
      <c r="D2238" s="81">
        <f t="shared" si="681"/>
        <v>45657</v>
      </c>
      <c r="E2238" s="82">
        <f t="shared" si="674"/>
        <v>45643</v>
      </c>
      <c r="F2238" s="83">
        <f t="shared" si="688"/>
        <v>0.18225</v>
      </c>
      <c r="G2238" s="83">
        <f t="shared" si="688"/>
        <v>0.16875</v>
      </c>
      <c r="I2238" s="146">
        <v>45643</v>
      </c>
      <c r="J2238" s="147">
        <v>1.78</v>
      </c>
      <c r="K2238" s="147">
        <v>1.33</v>
      </c>
      <c r="L2238" s="158">
        <v>1.458</v>
      </c>
      <c r="M2238" s="59" cm="1">
        <f t="array" ref="M2238">INDEX($BV$29:$BV$1449,MATCH($D2238,$BR$29:$BR$1449,0),)</f>
        <v>1.35</v>
      </c>
      <c r="N2238" s="150">
        <f t="shared" si="685"/>
        <v>-0.00136986301369868</v>
      </c>
      <c r="O2238" s="150">
        <f t="shared" si="686"/>
        <v>-0.00477815699658712</v>
      </c>
      <c r="P2238" s="150">
        <f t="shared" si="672"/>
        <v>-0.0312292358803986</v>
      </c>
      <c r="Q2238" s="89">
        <f t="shared" si="675"/>
        <v>0.0799999999999998</v>
      </c>
      <c r="S2238" s="82">
        <f t="shared" si="676"/>
        <v>45643</v>
      </c>
      <c r="T2238" s="83">
        <f t="shared" si="687"/>
        <v>0.2944375</v>
      </c>
      <c r="U2238" s="83">
        <f t="shared" si="687"/>
        <v>0.24375</v>
      </c>
      <c r="W2238" s="146">
        <v>45643</v>
      </c>
      <c r="X2238" s="147">
        <v>6.77</v>
      </c>
      <c r="Y2238" s="147">
        <v>3.75</v>
      </c>
      <c r="Z2238" s="158">
        <v>4.711</v>
      </c>
      <c r="AA2238" s="59" cm="1">
        <f t="array" ref="AA2238">INDEX($BX$29:$BX$1449,MATCH($D2238,$BR$29:$BR$1449,0),)</f>
        <v>3.9</v>
      </c>
      <c r="AB2238" s="150">
        <f t="shared" si="677"/>
        <v>-0.00380630154366668</v>
      </c>
      <c r="AC2238" s="150">
        <f t="shared" si="679"/>
        <v>-0.00674678473539958</v>
      </c>
      <c r="AD2238" s="150">
        <f t="shared" si="682"/>
        <v>-0.00966996005886045</v>
      </c>
      <c r="AE2238" s="89">
        <f t="shared" si="678"/>
        <v>0.207948717948718</v>
      </c>
    </row>
    <row r="2239" spans="3:31">
      <c r="C2239" s="80" t="str" cm="1">
        <f t="array" ref="C2239">_xlfn.IFS(MONTH(D2239)&lt;4,1,MONTH(D2239)&lt;7,2,MONTH(D2239)&lt;10,3,MONTH(D2239)&gt;9,4)&amp;"Q"&amp;RIGHT(YEAR(D2239),2)</f>
        <v>4Q24</v>
      </c>
      <c r="D2239" s="81">
        <f t="shared" si="681"/>
        <v>45657</v>
      </c>
      <c r="E2239" s="82">
        <f t="shared" si="674"/>
        <v>45644</v>
      </c>
      <c r="F2239" s="83">
        <f t="shared" si="688"/>
        <v>0.18225</v>
      </c>
      <c r="G2239" s="83">
        <f t="shared" si="688"/>
        <v>0.16875</v>
      </c>
      <c r="I2239" s="146">
        <v>45644</v>
      </c>
      <c r="J2239" s="147">
        <v>1.85</v>
      </c>
      <c r="K2239" s="147">
        <v>1.33</v>
      </c>
      <c r="L2239" s="158">
        <v>1.458</v>
      </c>
      <c r="M2239" s="59" cm="1">
        <f t="array" ref="M2239">INDEX($BV$29:$BV$1449,MATCH($D2239,$BR$29:$BR$1449,0),)</f>
        <v>1.35</v>
      </c>
      <c r="N2239" s="150">
        <f t="shared" si="685"/>
        <v>0</v>
      </c>
      <c r="O2239" s="150">
        <f t="shared" si="686"/>
        <v>-0.00341763499658243</v>
      </c>
      <c r="P2239" s="150">
        <f t="shared" si="672"/>
        <v>-0.0267022696929239</v>
      </c>
      <c r="Q2239" s="89">
        <f t="shared" si="675"/>
        <v>0.0799999999999998</v>
      </c>
      <c r="S2239" s="82">
        <f t="shared" si="676"/>
        <v>45644</v>
      </c>
      <c r="T2239" s="83">
        <f t="shared" si="687"/>
        <v>0.2941875</v>
      </c>
      <c r="U2239" s="83">
        <f t="shared" si="687"/>
        <v>0.24375</v>
      </c>
      <c r="W2239" s="146">
        <v>45644</v>
      </c>
      <c r="X2239" s="147">
        <v>6.77</v>
      </c>
      <c r="Y2239" s="147">
        <v>3.75</v>
      </c>
      <c r="Z2239" s="158">
        <v>4.707</v>
      </c>
      <c r="AA2239" s="59" cm="1">
        <f t="array" ref="AA2239">INDEX($BX$29:$BX$1449,MATCH($D2239,$BR$29:$BR$1449,0),)</f>
        <v>3.9</v>
      </c>
      <c r="AB2239" s="150">
        <f t="shared" si="677"/>
        <v>-0.00084907662916589</v>
      </c>
      <c r="AC2239" s="150">
        <f t="shared" si="679"/>
        <v>-0.00675247942603929</v>
      </c>
      <c r="AD2239" s="150">
        <f t="shared" si="682"/>
        <v>-0.0105108261509355</v>
      </c>
      <c r="AE2239" s="89">
        <f t="shared" si="678"/>
        <v>0.206923076923077</v>
      </c>
    </row>
    <row r="2240" spans="3:31">
      <c r="C2240" s="80" t="str" cm="1">
        <f t="array" ref="C2240">_xlfn.IFS(MONTH(D2240)&lt;4,1,MONTH(D2240)&lt;7,2,MONTH(D2240)&lt;10,3,MONTH(D2240)&gt;9,4)&amp;"Q"&amp;RIGHT(YEAR(D2240),2)</f>
        <v>4Q24</v>
      </c>
      <c r="D2240" s="81">
        <f t="shared" si="681"/>
        <v>45657</v>
      </c>
      <c r="E2240" s="82">
        <f t="shared" si="674"/>
        <v>45645</v>
      </c>
      <c r="F2240" s="83">
        <f t="shared" si="688"/>
        <v>0.182125</v>
      </c>
      <c r="G2240" s="83">
        <f t="shared" si="688"/>
        <v>0.16875</v>
      </c>
      <c r="I2240" s="146">
        <v>45645</v>
      </c>
      <c r="J2240" s="147">
        <v>1.85</v>
      </c>
      <c r="K2240" s="147">
        <v>1.32</v>
      </c>
      <c r="L2240" s="158">
        <v>1.457</v>
      </c>
      <c r="M2240" s="59" cm="1">
        <f t="array" ref="M2240">INDEX($BV$29:$BV$1449,MATCH($D2240,$BR$29:$BR$1449,0),)</f>
        <v>1.35</v>
      </c>
      <c r="N2240" s="150">
        <f t="shared" si="685"/>
        <v>-0.000685871056241405</v>
      </c>
      <c r="O2240" s="150">
        <f t="shared" si="686"/>
        <v>-0.00410116199589883</v>
      </c>
      <c r="P2240" s="150">
        <f t="shared" si="672"/>
        <v>-0.0208333333333333</v>
      </c>
      <c r="Q2240" s="89">
        <f t="shared" si="675"/>
        <v>0.0792592592592591</v>
      </c>
      <c r="S2240" s="82">
        <f t="shared" si="676"/>
        <v>45645</v>
      </c>
      <c r="T2240" s="83">
        <f t="shared" ref="T2240:U2255" si="689">+Z2240/16</f>
        <v>0.2935</v>
      </c>
      <c r="U2240" s="83">
        <f t="shared" si="689"/>
        <v>0.24375</v>
      </c>
      <c r="W2240" s="146">
        <v>45645</v>
      </c>
      <c r="X2240" s="147">
        <v>6.77</v>
      </c>
      <c r="Y2240" s="147">
        <v>3.7</v>
      </c>
      <c r="Z2240" s="158">
        <v>4.696</v>
      </c>
      <c r="AA2240" s="59" cm="1">
        <f t="array" ref="AA2240">INDEX($BX$29:$BX$1449,MATCH($D2240,$BR$29:$BR$1449,0),)</f>
        <v>3.9</v>
      </c>
      <c r="AB2240" s="150">
        <f t="shared" si="677"/>
        <v>-0.00233694497556836</v>
      </c>
      <c r="AC2240" s="150">
        <f t="shared" si="679"/>
        <v>-0.00844594594594594</v>
      </c>
      <c r="AD2240" s="150">
        <f t="shared" si="682"/>
        <v>-0.0128232079041413</v>
      </c>
      <c r="AE2240" s="89">
        <f t="shared" si="678"/>
        <v>0.204102564102564</v>
      </c>
    </row>
    <row r="2241" spans="3:31">
      <c r="C2241" s="80" t="str" cm="1">
        <f t="array" ref="C2241">_xlfn.IFS(MONTH(D2241)&lt;4,1,MONTH(D2241)&lt;7,2,MONTH(D2241)&lt;10,3,MONTH(D2241)&gt;9,4)&amp;"Q"&amp;RIGHT(YEAR(D2241),2)</f>
        <v>4Q24</v>
      </c>
      <c r="D2241" s="81">
        <f t="shared" si="681"/>
        <v>45657</v>
      </c>
      <c r="E2241" s="82">
        <f t="shared" si="674"/>
        <v>45646</v>
      </c>
      <c r="F2241" s="83">
        <f t="shared" si="688"/>
        <v>0.182</v>
      </c>
      <c r="G2241" s="83">
        <f t="shared" si="688"/>
        <v>0.16875</v>
      </c>
      <c r="I2241" s="146">
        <v>45646</v>
      </c>
      <c r="J2241" s="147">
        <v>1.85</v>
      </c>
      <c r="K2241" s="147">
        <v>1.32</v>
      </c>
      <c r="L2241" s="158">
        <v>1.456</v>
      </c>
      <c r="M2241" s="59" cm="1">
        <f t="array" ref="M2241">INDEX($BV$29:$BV$1449,MATCH($D2241,$BR$29:$BR$1449,0),)</f>
        <v>1.35</v>
      </c>
      <c r="N2241" s="150">
        <f t="shared" si="685"/>
        <v>-0.000686341798215584</v>
      </c>
      <c r="O2241" s="150">
        <f t="shared" si="686"/>
        <v>-0.00478468899521534</v>
      </c>
      <c r="P2241" s="150">
        <f t="shared" si="672"/>
        <v>-0.0128813559322035</v>
      </c>
      <c r="Q2241" s="89">
        <f t="shared" si="675"/>
        <v>0.0785185185185184</v>
      </c>
      <c r="S2241" s="82">
        <f t="shared" si="676"/>
        <v>45646</v>
      </c>
      <c r="T2241" s="83">
        <f t="shared" si="689"/>
        <v>0.2935</v>
      </c>
      <c r="U2241" s="83">
        <f t="shared" si="689"/>
        <v>0.24375</v>
      </c>
      <c r="W2241" s="146">
        <v>45646</v>
      </c>
      <c r="X2241" s="147">
        <v>6.77</v>
      </c>
      <c r="Y2241" s="147">
        <v>3.7</v>
      </c>
      <c r="Z2241" s="158">
        <v>4.696</v>
      </c>
      <c r="AA2241" s="59" cm="1">
        <f t="array" ref="AA2241">INDEX($BX$29:$BX$1449,MATCH($D2241,$BR$29:$BR$1449,0),)</f>
        <v>3.9</v>
      </c>
      <c r="AB2241" s="150">
        <f t="shared" si="677"/>
        <v>0</v>
      </c>
      <c r="AC2241" s="150">
        <f t="shared" si="679"/>
        <v>-0.00760777683854619</v>
      </c>
      <c r="AD2241" s="150">
        <f t="shared" si="682"/>
        <v>-0.0122002524190156</v>
      </c>
      <c r="AE2241" s="89">
        <f t="shared" si="678"/>
        <v>0.204102564102564</v>
      </c>
    </row>
    <row r="2242" spans="3:31">
      <c r="C2242" s="80" t="str" cm="1">
        <f t="array" ref="C2242">_xlfn.IFS(MONTH(D2242)&lt;4,1,MONTH(D2242)&lt;7,2,MONTH(D2242)&lt;10,3,MONTH(D2242)&gt;9,4)&amp;"Q"&amp;RIGHT(YEAR(D2242),2)</f>
        <v>4Q24</v>
      </c>
      <c r="D2242" s="81">
        <f t="shared" si="681"/>
        <v>45657</v>
      </c>
      <c r="E2242" s="82">
        <f t="shared" si="674"/>
        <v>45649</v>
      </c>
      <c r="F2242" s="83">
        <f t="shared" si="688"/>
        <v>0.183</v>
      </c>
      <c r="G2242" s="83">
        <f t="shared" si="688"/>
        <v>0.16875</v>
      </c>
      <c r="I2242" s="146">
        <v>45649</v>
      </c>
      <c r="J2242" s="147">
        <v>1.88</v>
      </c>
      <c r="K2242" s="147">
        <v>1.33</v>
      </c>
      <c r="L2242" s="158">
        <v>1.464</v>
      </c>
      <c r="M2242" s="59" cm="1">
        <f t="array" ref="M2242">INDEX($BV$29:$BV$1449,MATCH($D2242,$BR$29:$BR$1449,0),)</f>
        <v>1.35</v>
      </c>
      <c r="N2242" s="150">
        <f t="shared" si="685"/>
        <v>0.00549450549450547</v>
      </c>
      <c r="O2242" s="150">
        <f t="shared" si="686"/>
        <v>0.00273972602739736</v>
      </c>
      <c r="P2242" s="150">
        <f t="shared" si="672"/>
        <v>-0.00408163265306127</v>
      </c>
      <c r="Q2242" s="89">
        <f t="shared" si="675"/>
        <v>0.0844444444444443</v>
      </c>
      <c r="S2242" s="82">
        <f t="shared" si="676"/>
        <v>45649</v>
      </c>
      <c r="T2242" s="83">
        <f t="shared" si="689"/>
        <v>0.2933125</v>
      </c>
      <c r="U2242" s="83">
        <f t="shared" si="689"/>
        <v>0.24375</v>
      </c>
      <c r="W2242" s="146">
        <v>45649</v>
      </c>
      <c r="X2242" s="147">
        <v>6.8</v>
      </c>
      <c r="Y2242" s="147">
        <v>3.69</v>
      </c>
      <c r="Z2242" s="158">
        <v>4.693</v>
      </c>
      <c r="AA2242" s="59" cm="1">
        <f t="array" ref="AA2242">INDEX($BX$29:$BX$1449,MATCH($D2242,$BR$29:$BR$1449,0),)</f>
        <v>3.9</v>
      </c>
      <c r="AB2242" s="150">
        <f t="shared" si="677"/>
        <v>-0.000638841567291326</v>
      </c>
      <c r="AC2242" s="150">
        <f t="shared" si="679"/>
        <v>-0.00761260308733358</v>
      </c>
      <c r="AD2242" s="150">
        <f t="shared" si="682"/>
        <v>-0.0120000000000001</v>
      </c>
      <c r="AE2242" s="89">
        <f t="shared" si="678"/>
        <v>0.203333333333333</v>
      </c>
    </row>
    <row r="2243" spans="3:31">
      <c r="C2243" s="80" t="str" cm="1">
        <f t="array" ref="C2243">_xlfn.IFS(MONTH(D2243)&lt;4,1,MONTH(D2243)&lt;7,2,MONTH(D2243)&lt;10,3,MONTH(D2243)&gt;9,4)&amp;"Q"&amp;RIGHT(YEAR(D2243),2)</f>
        <v>4Q24</v>
      </c>
      <c r="D2243" s="81">
        <f t="shared" si="681"/>
        <v>45657</v>
      </c>
      <c r="E2243" s="82">
        <f t="shared" si="674"/>
        <v>45650</v>
      </c>
      <c r="F2243" s="83">
        <f t="shared" si="688"/>
        <v>0.18325</v>
      </c>
      <c r="G2243" s="83">
        <f t="shared" si="688"/>
        <v>0.16875</v>
      </c>
      <c r="I2243" s="146">
        <v>45650</v>
      </c>
      <c r="J2243" s="147">
        <v>1.88</v>
      </c>
      <c r="K2243" s="147">
        <v>1.33</v>
      </c>
      <c r="L2243" s="158">
        <v>1.466</v>
      </c>
      <c r="M2243" s="59" cm="1">
        <f t="array" ref="M2243">INDEX($BV$29:$BV$1449,MATCH($D2243,$BR$29:$BR$1449,0),)</f>
        <v>1.35</v>
      </c>
      <c r="N2243" s="150">
        <f t="shared" si="685"/>
        <v>0.00136612021857929</v>
      </c>
      <c r="O2243" s="150">
        <f t="shared" si="686"/>
        <v>0.00548696844993146</v>
      </c>
      <c r="P2243" s="150">
        <f t="shared" si="672"/>
        <v>0.000682593856655256</v>
      </c>
      <c r="Q2243" s="89">
        <f t="shared" si="675"/>
        <v>0.0859259259259257</v>
      </c>
      <c r="S2243" s="82">
        <f t="shared" si="676"/>
        <v>45650</v>
      </c>
      <c r="T2243" s="83">
        <f t="shared" si="689"/>
        <v>0.2930625</v>
      </c>
      <c r="U2243" s="83">
        <f t="shared" si="689"/>
        <v>0.24375</v>
      </c>
      <c r="W2243" s="146">
        <v>45650</v>
      </c>
      <c r="X2243" s="147">
        <v>6.8</v>
      </c>
      <c r="Y2243" s="147">
        <v>3.69</v>
      </c>
      <c r="Z2243" s="158">
        <v>4.689</v>
      </c>
      <c r="AA2243" s="59" cm="1">
        <f t="array" ref="AA2243">INDEX($BX$29:$BX$1449,MATCH($D2243,$BR$29:$BR$1449,0),)</f>
        <v>3.9</v>
      </c>
      <c r="AB2243" s="150">
        <f t="shared" si="677"/>
        <v>-0.000852333262305494</v>
      </c>
      <c r="AC2243" s="150">
        <f t="shared" si="679"/>
        <v>-0.0046699214604119</v>
      </c>
      <c r="AD2243" s="150">
        <f t="shared" si="682"/>
        <v>-0.0113851992409868</v>
      </c>
      <c r="AE2243" s="89">
        <f t="shared" si="678"/>
        <v>0.202307692307692</v>
      </c>
    </row>
    <row r="2244" spans="3:31">
      <c r="C2244" s="80" t="str" cm="1">
        <f t="array" ref="C2244">_xlfn.IFS(MONTH(D2244)&lt;4,1,MONTH(D2244)&lt;7,2,MONTH(D2244)&lt;10,3,MONTH(D2244)&gt;9,4)&amp;"Q"&amp;RIGHT(YEAR(D2244),2)</f>
        <v>4Q24</v>
      </c>
      <c r="D2244" s="81">
        <f t="shared" si="681"/>
        <v>45657</v>
      </c>
      <c r="E2244" s="82">
        <f t="shared" si="674"/>
        <v>45651</v>
      </c>
      <c r="F2244" s="83">
        <f t="shared" si="688"/>
        <v>0.18325</v>
      </c>
      <c r="G2244" s="83">
        <f t="shared" si="688"/>
        <v>0.16875</v>
      </c>
      <c r="I2244" s="146">
        <v>45651</v>
      </c>
      <c r="J2244" s="147">
        <v>1.88</v>
      </c>
      <c r="K2244" s="147">
        <v>1.33</v>
      </c>
      <c r="L2244" s="158">
        <v>1.466</v>
      </c>
      <c r="M2244" s="59" cm="1">
        <f t="array" ref="M2244">INDEX($BV$29:$BV$1449,MATCH($D2244,$BR$29:$BR$1449,0),)</f>
        <v>1.35</v>
      </c>
      <c r="N2244" s="150">
        <f t="shared" si="685"/>
        <v>0</v>
      </c>
      <c r="O2244" s="150">
        <f t="shared" si="686"/>
        <v>0.00548696844993146</v>
      </c>
      <c r="P2244" s="150">
        <f t="shared" si="672"/>
        <v>0.00205058099794941</v>
      </c>
      <c r="Q2244" s="89">
        <f t="shared" si="675"/>
        <v>0.0859259259259257</v>
      </c>
      <c r="S2244" s="82">
        <f t="shared" si="676"/>
        <v>45651</v>
      </c>
      <c r="T2244" s="83">
        <f t="shared" si="689"/>
        <v>0.292875</v>
      </c>
      <c r="U2244" s="83">
        <f t="shared" si="689"/>
        <v>0.24375</v>
      </c>
      <c r="W2244" s="146">
        <v>45651</v>
      </c>
      <c r="X2244" s="147">
        <v>6.8</v>
      </c>
      <c r="Y2244" s="147">
        <v>3.69</v>
      </c>
      <c r="Z2244" s="158">
        <v>4.686</v>
      </c>
      <c r="AA2244" s="59" cm="1">
        <f t="array" ref="AA2244">INDEX($BX$29:$BX$1449,MATCH($D2244,$BR$29:$BR$1449,0),)</f>
        <v>3.9</v>
      </c>
      <c r="AB2244" s="150">
        <f t="shared" si="677"/>
        <v>-0.000639795265515053</v>
      </c>
      <c r="AC2244" s="150">
        <f t="shared" si="679"/>
        <v>-0.00446144040790308</v>
      </c>
      <c r="AD2244" s="150">
        <f t="shared" si="682"/>
        <v>-0.0111837940493775</v>
      </c>
      <c r="AE2244" s="89">
        <f t="shared" si="678"/>
        <v>0.201538461538461</v>
      </c>
    </row>
    <row r="2245" spans="3:31">
      <c r="C2245" s="80" t="str" cm="1">
        <f t="array" ref="C2245">_xlfn.IFS(MONTH(D2245)&lt;4,1,MONTH(D2245)&lt;7,2,MONTH(D2245)&lt;10,3,MONTH(D2245)&gt;9,4)&amp;"Q"&amp;RIGHT(YEAR(D2245),2)</f>
        <v>4Q24</v>
      </c>
      <c r="D2245" s="81">
        <f t="shared" si="681"/>
        <v>45657</v>
      </c>
      <c r="E2245" s="82">
        <f t="shared" si="674"/>
        <v>45652</v>
      </c>
      <c r="F2245" s="83">
        <f t="shared" si="688"/>
        <v>0.183125</v>
      </c>
      <c r="G2245" s="83">
        <f t="shared" si="688"/>
        <v>0.16875</v>
      </c>
      <c r="I2245" s="146">
        <v>45652</v>
      </c>
      <c r="J2245" s="147">
        <v>1.88</v>
      </c>
      <c r="K2245" s="147">
        <v>1.3</v>
      </c>
      <c r="L2245" s="158">
        <v>1.465</v>
      </c>
      <c r="M2245" s="59" cm="1">
        <f t="array" ref="M2245">INDEX($BV$29:$BV$1449,MATCH($D2245,$BR$29:$BR$1449,0),)</f>
        <v>1.35</v>
      </c>
      <c r="N2245" s="150">
        <f t="shared" si="685"/>
        <v>-0.000682128240109048</v>
      </c>
      <c r="O2245" s="150">
        <f t="shared" si="686"/>
        <v>0.00549073438572401</v>
      </c>
      <c r="P2245" s="150">
        <f t="shared" si="672"/>
        <v>0.00136705399863302</v>
      </c>
      <c r="Q2245" s="89">
        <f t="shared" si="675"/>
        <v>0.0851851851851853</v>
      </c>
      <c r="S2245" s="82">
        <f t="shared" si="676"/>
        <v>45652</v>
      </c>
      <c r="T2245" s="83">
        <f t="shared" si="689"/>
        <v>0.292875</v>
      </c>
      <c r="U2245" s="83">
        <f t="shared" si="689"/>
        <v>0.24375</v>
      </c>
      <c r="W2245" s="146">
        <v>45652</v>
      </c>
      <c r="X2245" s="147">
        <v>6.8</v>
      </c>
      <c r="Y2245" s="147">
        <v>3.69</v>
      </c>
      <c r="Z2245" s="158">
        <v>4.686</v>
      </c>
      <c r="AA2245" s="59" cm="1">
        <f t="array" ref="AA2245">INDEX($BX$29:$BX$1449,MATCH($D2245,$BR$29:$BR$1449,0),)</f>
        <v>3.9</v>
      </c>
      <c r="AB2245" s="150">
        <f t="shared" si="677"/>
        <v>0</v>
      </c>
      <c r="AC2245" s="150">
        <f t="shared" si="679"/>
        <v>-0.00212947189097101</v>
      </c>
      <c r="AD2245" s="150">
        <f t="shared" si="682"/>
        <v>-0.0105574324324323</v>
      </c>
      <c r="AE2245" s="89">
        <f t="shared" si="678"/>
        <v>0.201538461538461</v>
      </c>
    </row>
    <row r="2246" spans="3:31">
      <c r="C2246" s="80" t="str" cm="1">
        <f t="array" ref="C2246">_xlfn.IFS(MONTH(D2246)&lt;4,1,MONTH(D2246)&lt;7,2,MONTH(D2246)&lt;10,3,MONTH(D2246)&gt;9,4)&amp;"Q"&amp;RIGHT(YEAR(D2246),2)</f>
        <v>4Q24</v>
      </c>
      <c r="D2246" s="81">
        <f t="shared" si="681"/>
        <v>45657</v>
      </c>
      <c r="E2246" s="82">
        <f t="shared" si="674"/>
        <v>45653</v>
      </c>
      <c r="F2246" s="83">
        <f t="shared" si="688"/>
        <v>0.183</v>
      </c>
      <c r="G2246" s="83">
        <f t="shared" si="688"/>
        <v>0.16875</v>
      </c>
      <c r="I2246" s="146">
        <v>45653</v>
      </c>
      <c r="J2246" s="147">
        <v>1.9</v>
      </c>
      <c r="K2246" s="147">
        <v>1.3</v>
      </c>
      <c r="L2246" s="158">
        <v>1.464</v>
      </c>
      <c r="M2246" s="59" cm="1">
        <f t="array" ref="M2246">INDEX($BV$29:$BV$1449,MATCH($D2246,$BR$29:$BR$1449,0),)</f>
        <v>1.35</v>
      </c>
      <c r="N2246" s="150">
        <f t="shared" si="685"/>
        <v>-0.000682593856655367</v>
      </c>
      <c r="O2246" s="150">
        <f t="shared" si="686"/>
        <v>0.00549450549450547</v>
      </c>
      <c r="P2246" s="150">
        <f t="shared" si="672"/>
        <v>0.000683526999316397</v>
      </c>
      <c r="Q2246" s="89">
        <f t="shared" si="675"/>
        <v>0.0844444444444443</v>
      </c>
      <c r="S2246" s="82">
        <f t="shared" si="676"/>
        <v>45653</v>
      </c>
      <c r="T2246" s="83">
        <f t="shared" si="689"/>
        <v>0.292875</v>
      </c>
      <c r="U2246" s="83">
        <f t="shared" si="689"/>
        <v>0.24375</v>
      </c>
      <c r="W2246" s="146">
        <v>45653</v>
      </c>
      <c r="X2246" s="147">
        <v>6.84</v>
      </c>
      <c r="Y2246" s="147">
        <v>3.7</v>
      </c>
      <c r="Z2246" s="158">
        <v>4.686</v>
      </c>
      <c r="AA2246" s="59" cm="1">
        <f t="array" ref="AA2246">INDEX($BX$29:$BX$1449,MATCH($D2246,$BR$29:$BR$1449,0),)</f>
        <v>3.9</v>
      </c>
      <c r="AB2246" s="150">
        <f t="shared" si="677"/>
        <v>0</v>
      </c>
      <c r="AC2246" s="150">
        <f t="shared" si="679"/>
        <v>-0.00212947189097101</v>
      </c>
      <c r="AD2246" s="150">
        <f t="shared" si="682"/>
        <v>-0.00972104818258668</v>
      </c>
      <c r="AE2246" s="89">
        <f t="shared" si="678"/>
        <v>0.201538461538461</v>
      </c>
    </row>
    <row r="2247" spans="3:31">
      <c r="C2247" s="80" t="str" cm="1">
        <f t="array" ref="C2247">_xlfn.IFS(MONTH(D2247)&lt;4,1,MONTH(D2247)&lt;7,2,MONTH(D2247)&lt;10,3,MONTH(D2247)&gt;9,4)&amp;"Q"&amp;RIGHT(YEAR(D2247),2)</f>
        <v>4Q24</v>
      </c>
      <c r="D2247" s="81">
        <f t="shared" si="681"/>
        <v>45657</v>
      </c>
      <c r="E2247" s="82">
        <f t="shared" si="674"/>
        <v>45656</v>
      </c>
      <c r="F2247" s="83">
        <f t="shared" si="688"/>
        <v>0.183</v>
      </c>
      <c r="G2247" s="83">
        <f t="shared" si="688"/>
        <v>0.16875</v>
      </c>
      <c r="I2247" s="146">
        <v>45656</v>
      </c>
      <c r="J2247" s="147">
        <v>1.92</v>
      </c>
      <c r="K2247" s="147">
        <v>1.29</v>
      </c>
      <c r="L2247" s="158">
        <v>1.464</v>
      </c>
      <c r="M2247" s="59" cm="1">
        <f t="array" ref="M2247">INDEX($BV$29:$BV$1449,MATCH($D2247,$BR$29:$BR$1449,0),)</f>
        <v>1.35</v>
      </c>
      <c r="N2247" s="150">
        <f t="shared" si="685"/>
        <v>0</v>
      </c>
      <c r="O2247" s="150">
        <f t="shared" si="686"/>
        <v>0</v>
      </c>
      <c r="P2247" s="150">
        <f t="shared" si="672"/>
        <v>0.00273972602739736</v>
      </c>
      <c r="Q2247" s="89">
        <f t="shared" si="675"/>
        <v>0.0844444444444443</v>
      </c>
      <c r="S2247" s="82">
        <f t="shared" si="676"/>
        <v>45656</v>
      </c>
      <c r="T2247" s="83">
        <f t="shared" si="689"/>
        <v>0.292875</v>
      </c>
      <c r="U2247" s="83">
        <f t="shared" si="689"/>
        <v>0.24375</v>
      </c>
      <c r="W2247" s="146">
        <v>45656</v>
      </c>
      <c r="X2247" s="147">
        <v>6.85</v>
      </c>
      <c r="Y2247" s="147">
        <v>3.72</v>
      </c>
      <c r="Z2247" s="158">
        <v>4.686</v>
      </c>
      <c r="AA2247" s="59" cm="1">
        <f t="array" ref="AA2247">INDEX($BX$29:$BX$1449,MATCH($D2247,$BR$29:$BR$1449,0),)</f>
        <v>3.9</v>
      </c>
      <c r="AB2247" s="150">
        <f t="shared" si="677"/>
        <v>0</v>
      </c>
      <c r="AC2247" s="150">
        <f t="shared" si="679"/>
        <v>-0.00149158320903464</v>
      </c>
      <c r="AD2247" s="150">
        <f t="shared" si="682"/>
        <v>-0.00909283146542617</v>
      </c>
      <c r="AE2247" s="89">
        <f t="shared" si="678"/>
        <v>0.201538461538461</v>
      </c>
    </row>
    <row r="2248" spans="3:31">
      <c r="C2248" s="80" t="str" cm="1">
        <f t="array" ref="C2248">_xlfn.IFS(MONTH(D2248)&lt;4,1,MONTH(D2248)&lt;7,2,MONTH(D2248)&lt;10,3,MONTH(D2248)&gt;9,4)&amp;"Q"&amp;RIGHT(YEAR(D2248),2)</f>
        <v>4Q24</v>
      </c>
      <c r="D2248" s="81">
        <f t="shared" si="681"/>
        <v>45657</v>
      </c>
      <c r="E2248" s="82">
        <f t="shared" si="674"/>
        <v>45657</v>
      </c>
      <c r="F2248" s="83">
        <f t="shared" si="688"/>
        <v>0.183</v>
      </c>
      <c r="G2248" s="83">
        <f t="shared" si="688"/>
        <v>0.16875</v>
      </c>
      <c r="I2248" s="146">
        <v>45657</v>
      </c>
      <c r="J2248" s="147">
        <v>1.92</v>
      </c>
      <c r="K2248" s="147">
        <v>1.29</v>
      </c>
      <c r="L2248" s="158">
        <v>1.464</v>
      </c>
      <c r="M2248" s="59" cm="1">
        <f t="array" ref="M2248">INDEX($BV$29:$BV$1449,MATCH($D2248,$BR$29:$BR$1449,0),)</f>
        <v>1.35</v>
      </c>
      <c r="N2248" s="150">
        <f t="shared" si="685"/>
        <v>0</v>
      </c>
      <c r="O2248" s="150">
        <f t="shared" si="686"/>
        <v>-0.00136425648021832</v>
      </c>
      <c r="P2248" s="150">
        <f t="shared" si="672"/>
        <v>0.00411522633744865</v>
      </c>
      <c r="Q2248" s="89">
        <f t="shared" si="675"/>
        <v>0.0844444444444443</v>
      </c>
      <c r="S2248" s="82">
        <f t="shared" si="676"/>
        <v>45657</v>
      </c>
      <c r="T2248" s="83">
        <f t="shared" si="689"/>
        <v>0.292875</v>
      </c>
      <c r="U2248" s="83">
        <f t="shared" si="689"/>
        <v>0.24375</v>
      </c>
      <c r="W2248" s="146">
        <v>45657</v>
      </c>
      <c r="X2248" s="147">
        <v>6.85</v>
      </c>
      <c r="Y2248" s="147">
        <v>3.72</v>
      </c>
      <c r="Z2248" s="158">
        <v>4.686</v>
      </c>
      <c r="AA2248" s="59" cm="1">
        <f t="array" ref="AA2248">INDEX($BX$29:$BX$1449,MATCH($D2248,$BR$29:$BR$1449,0),)</f>
        <v>3.9</v>
      </c>
      <c r="AB2248" s="150">
        <f t="shared" si="677"/>
        <v>0</v>
      </c>
      <c r="AC2248" s="150">
        <f t="shared" si="679"/>
        <v>-0.000639795265515053</v>
      </c>
      <c r="AD2248" s="150">
        <f t="shared" si="682"/>
        <v>-0.00530672893228623</v>
      </c>
      <c r="AE2248" s="89">
        <f t="shared" si="678"/>
        <v>0.201538461538461</v>
      </c>
    </row>
    <row r="2249" spans="3:31">
      <c r="C2249" s="80" t="str" cm="1">
        <f t="array" ref="C2249">_xlfn.IFS(MONTH(D2249)&lt;4,1,MONTH(D2249)&lt;7,2,MONTH(D2249)&lt;10,3,MONTH(D2249)&gt;9,4)&amp;"Q"&amp;RIGHT(YEAR(D2249),2)</f>
        <v>1Q25</v>
      </c>
      <c r="D2249" s="81">
        <f t="shared" si="681"/>
        <v>45688</v>
      </c>
      <c r="E2249" s="82">
        <f t="shared" si="674"/>
        <v>45659</v>
      </c>
      <c r="F2249" s="83">
        <f t="shared" si="688"/>
        <v>0.183</v>
      </c>
      <c r="G2249" s="83">
        <f t="shared" si="688"/>
        <v>0.16875</v>
      </c>
      <c r="I2249" s="146">
        <v>45659</v>
      </c>
      <c r="J2249" s="147">
        <v>1.92</v>
      </c>
      <c r="K2249" s="147">
        <v>1.29</v>
      </c>
      <c r="L2249" s="158">
        <v>1.464</v>
      </c>
      <c r="M2249" s="59" cm="1">
        <f t="array" ref="M2249">INDEX($BV$29:$BV$1449,MATCH($D2249,$BR$29:$BR$1449,0),)</f>
        <v>1.35</v>
      </c>
      <c r="N2249" s="150">
        <f t="shared" si="685"/>
        <v>0</v>
      </c>
      <c r="O2249" s="150">
        <f t="shared" si="686"/>
        <v>-0.00136425648021832</v>
      </c>
      <c r="P2249" s="150">
        <f t="shared" si="672"/>
        <v>0.00411522633744865</v>
      </c>
      <c r="Q2249" s="89">
        <f t="shared" si="675"/>
        <v>0.0844444444444443</v>
      </c>
      <c r="S2249" s="82">
        <f t="shared" si="676"/>
        <v>45659</v>
      </c>
      <c r="T2249" s="83">
        <f t="shared" si="689"/>
        <v>0.292625</v>
      </c>
      <c r="U2249" s="83">
        <f t="shared" si="689"/>
        <v>0.234375</v>
      </c>
      <c r="W2249" s="146">
        <v>45659</v>
      </c>
      <c r="X2249" s="147">
        <v>6.85</v>
      </c>
      <c r="Y2249" s="147">
        <v>3.72</v>
      </c>
      <c r="Z2249" s="158">
        <v>4.682</v>
      </c>
      <c r="AA2249" s="59" cm="1">
        <f t="array" ref="AA2249">INDEX($BX$29:$BX$1449,MATCH($D2249,$BR$29:$BR$1449,0),)</f>
        <v>3.75</v>
      </c>
      <c r="AB2249" s="150">
        <f t="shared" si="677"/>
        <v>-0.000853606487409175</v>
      </c>
      <c r="AC2249" s="150">
        <f t="shared" si="679"/>
        <v>-0.000853606487409175</v>
      </c>
      <c r="AD2249" s="150">
        <f t="shared" si="682"/>
        <v>-0.00531123858083693</v>
      </c>
      <c r="AE2249" s="89">
        <f t="shared" si="678"/>
        <v>0.248533333333333</v>
      </c>
    </row>
    <row r="2250" spans="3:31">
      <c r="C2250" s="80" t="str" cm="1">
        <f t="array" ref="C2250">_xlfn.IFS(MONTH(D2250)&lt;4,1,MONTH(D2250)&lt;7,2,MONTH(D2250)&lt;10,3,MONTH(D2250)&gt;9,4)&amp;"Q"&amp;RIGHT(YEAR(D2250),2)</f>
        <v>1Q25</v>
      </c>
      <c r="D2250" s="81">
        <f t="shared" si="681"/>
        <v>45688</v>
      </c>
      <c r="E2250" s="82">
        <f t="shared" si="674"/>
        <v>45660</v>
      </c>
      <c r="F2250" s="83">
        <f t="shared" ref="F2250:G2265" si="690">+L2250/8</f>
        <v>0.183</v>
      </c>
      <c r="G2250" s="83">
        <f t="shared" si="690"/>
        <v>0.16875</v>
      </c>
      <c r="I2250" s="146">
        <v>45660</v>
      </c>
      <c r="J2250" s="147">
        <v>1.92</v>
      </c>
      <c r="K2250" s="147">
        <v>1.29</v>
      </c>
      <c r="L2250" s="158">
        <v>1.464</v>
      </c>
      <c r="M2250" s="59" cm="1">
        <f t="array" ref="M2250">INDEX($BV$29:$BV$1449,MATCH($D2250,$BR$29:$BR$1449,0),)</f>
        <v>1.35</v>
      </c>
      <c r="N2250" s="150">
        <f t="shared" si="685"/>
        <v>0</v>
      </c>
      <c r="O2250" s="150">
        <f t="shared" si="686"/>
        <v>-0.000682593856655367</v>
      </c>
      <c r="P2250" s="150">
        <f t="shared" si="672"/>
        <v>0.00480439258750853</v>
      </c>
      <c r="Q2250" s="89">
        <f t="shared" si="675"/>
        <v>0.0844444444444443</v>
      </c>
      <c r="S2250" s="82">
        <f t="shared" si="676"/>
        <v>45660</v>
      </c>
      <c r="T2250" s="83">
        <f t="shared" si="689"/>
        <v>0.292625</v>
      </c>
      <c r="U2250" s="83">
        <f t="shared" si="689"/>
        <v>0.234375</v>
      </c>
      <c r="W2250" s="146">
        <v>45660</v>
      </c>
      <c r="X2250" s="147">
        <v>6.85</v>
      </c>
      <c r="Y2250" s="147">
        <v>3.72</v>
      </c>
      <c r="Z2250" s="158">
        <v>4.682</v>
      </c>
      <c r="AA2250" s="59" cm="1">
        <f t="array" ref="AA2250">INDEX($BX$29:$BX$1449,MATCH($D2250,$BR$29:$BR$1449,0),)</f>
        <v>3.75</v>
      </c>
      <c r="AB2250" s="150">
        <f t="shared" si="677"/>
        <v>0</v>
      </c>
      <c r="AC2250" s="150">
        <f t="shared" si="679"/>
        <v>-0.000853606487409175</v>
      </c>
      <c r="AD2250" s="150">
        <f t="shared" si="682"/>
        <v>-0.00298126064735926</v>
      </c>
      <c r="AE2250" s="89">
        <f t="shared" si="678"/>
        <v>0.248533333333333</v>
      </c>
    </row>
    <row r="2251" spans="3:31">
      <c r="C2251" s="80" t="str" cm="1">
        <f t="array" ref="C2251">_xlfn.IFS(MONTH(D2251)&lt;4,1,MONTH(D2251)&lt;7,2,MONTH(D2251)&lt;10,3,MONTH(D2251)&gt;9,4)&amp;"Q"&amp;RIGHT(YEAR(D2251),2)</f>
        <v>1Q25</v>
      </c>
      <c r="D2251" s="81">
        <f t="shared" si="681"/>
        <v>45688</v>
      </c>
      <c r="E2251" s="82">
        <f t="shared" si="674"/>
        <v>45663</v>
      </c>
      <c r="F2251" s="83">
        <f t="shared" si="690"/>
        <v>0.18275</v>
      </c>
      <c r="G2251" s="83">
        <f t="shared" si="690"/>
        <v>0.16875</v>
      </c>
      <c r="I2251" s="146">
        <v>45663</v>
      </c>
      <c r="J2251" s="147">
        <v>1.9</v>
      </c>
      <c r="K2251" s="147">
        <v>1.3</v>
      </c>
      <c r="L2251" s="158">
        <v>1.462</v>
      </c>
      <c r="M2251" s="59" cm="1">
        <f t="array" ref="M2251">INDEX($BV$29:$BV$1449,MATCH($D2251,$BR$29:$BR$1449,0),)</f>
        <v>1.35</v>
      </c>
      <c r="N2251" s="150">
        <f t="shared" si="685"/>
        <v>-0.00136612021857918</v>
      </c>
      <c r="O2251" s="150">
        <f t="shared" si="686"/>
        <v>-0.00136612021857918</v>
      </c>
      <c r="P2251" s="150">
        <f t="shared" si="672"/>
        <v>0.00412087912087911</v>
      </c>
      <c r="Q2251" s="89">
        <f t="shared" si="675"/>
        <v>0.0829629629629629</v>
      </c>
      <c r="S2251" s="82">
        <f t="shared" si="676"/>
        <v>45663</v>
      </c>
      <c r="T2251" s="83">
        <f t="shared" si="689"/>
        <v>0.2925</v>
      </c>
      <c r="U2251" s="83">
        <f t="shared" si="689"/>
        <v>0.234375</v>
      </c>
      <c r="W2251" s="146">
        <v>45663</v>
      </c>
      <c r="X2251" s="147">
        <v>6.85</v>
      </c>
      <c r="Y2251" s="147">
        <v>3.69</v>
      </c>
      <c r="Z2251" s="158">
        <v>4.68</v>
      </c>
      <c r="AA2251" s="59" cm="1">
        <f t="array" ref="AA2251">INDEX($BX$29:$BX$1449,MATCH($D2251,$BR$29:$BR$1449,0),)</f>
        <v>3.75</v>
      </c>
      <c r="AB2251" s="150">
        <f t="shared" si="677"/>
        <v>-0.000427167876975831</v>
      </c>
      <c r="AC2251" s="150">
        <f t="shared" si="679"/>
        <v>-0.00128040973111399</v>
      </c>
      <c r="AD2251" s="150">
        <f t="shared" si="682"/>
        <v>-0.00340715502555367</v>
      </c>
      <c r="AE2251" s="89">
        <f t="shared" si="678"/>
        <v>0.248</v>
      </c>
    </row>
    <row r="2252" spans="3:31">
      <c r="C2252" s="80" t="str" cm="1">
        <f t="array" ref="C2252">_xlfn.IFS(MONTH(D2252)&lt;4,1,MONTH(D2252)&lt;7,2,MONTH(D2252)&lt;10,3,MONTH(D2252)&gt;9,4)&amp;"Q"&amp;RIGHT(YEAR(D2252),2)</f>
        <v>1Q25</v>
      </c>
      <c r="D2252" s="81">
        <f t="shared" si="681"/>
        <v>45688</v>
      </c>
      <c r="E2252" s="82">
        <f t="shared" si="674"/>
        <v>45664</v>
      </c>
      <c r="F2252" s="83">
        <f t="shared" si="690"/>
        <v>0.18275</v>
      </c>
      <c r="G2252" s="83">
        <f t="shared" si="690"/>
        <v>0.16875</v>
      </c>
      <c r="I2252" s="146">
        <v>45664</v>
      </c>
      <c r="J2252" s="147">
        <v>1.9</v>
      </c>
      <c r="K2252" s="147">
        <v>1.3</v>
      </c>
      <c r="L2252" s="158">
        <v>1.462</v>
      </c>
      <c r="M2252" s="59" cm="1">
        <f t="array" ref="M2252">INDEX($BV$29:$BV$1449,MATCH($D2252,$BR$29:$BR$1449,0),)</f>
        <v>1.35</v>
      </c>
      <c r="N2252" s="150">
        <f t="shared" si="685"/>
        <v>0</v>
      </c>
      <c r="O2252" s="150">
        <f t="shared" si="686"/>
        <v>-0.00136612021857918</v>
      </c>
      <c r="P2252" s="150">
        <f t="shared" si="672"/>
        <v>-0.00136612021857918</v>
      </c>
      <c r="Q2252" s="89">
        <f t="shared" si="675"/>
        <v>0.0829629629629629</v>
      </c>
      <c r="S2252" s="82">
        <f t="shared" si="676"/>
        <v>45664</v>
      </c>
      <c r="T2252" s="83">
        <f t="shared" si="689"/>
        <v>0.2924375</v>
      </c>
      <c r="U2252" s="83">
        <f t="shared" si="689"/>
        <v>0.234375</v>
      </c>
      <c r="W2252" s="146">
        <v>45664</v>
      </c>
      <c r="X2252" s="147">
        <v>6.85</v>
      </c>
      <c r="Y2252" s="147">
        <v>3.69</v>
      </c>
      <c r="Z2252" s="158">
        <v>4.679</v>
      </c>
      <c r="AA2252" s="59" cm="1">
        <f t="array" ref="AA2252">INDEX($BX$29:$BX$1449,MATCH($D2252,$BR$29:$BR$1449,0),)</f>
        <v>3.75</v>
      </c>
      <c r="AB2252" s="150">
        <f t="shared" si="677"/>
        <v>-0.000213675213675102</v>
      </c>
      <c r="AC2252" s="150">
        <f t="shared" si="679"/>
        <v>-0.00149381135296622</v>
      </c>
      <c r="AD2252" s="150">
        <f t="shared" si="682"/>
        <v>-0.00298316641806928</v>
      </c>
      <c r="AE2252" s="89">
        <f t="shared" si="678"/>
        <v>0.247733333333333</v>
      </c>
    </row>
    <row r="2253" spans="3:31">
      <c r="C2253" s="80" t="str" cm="1">
        <f t="array" ref="C2253">_xlfn.IFS(MONTH(D2253)&lt;4,1,MONTH(D2253)&lt;7,2,MONTH(D2253)&lt;10,3,MONTH(D2253)&gt;9,4)&amp;"Q"&amp;RIGHT(YEAR(D2253),2)</f>
        <v>1Q25</v>
      </c>
      <c r="D2253" s="81">
        <f t="shared" si="681"/>
        <v>45688</v>
      </c>
      <c r="E2253" s="82">
        <f t="shared" si="674"/>
        <v>45665</v>
      </c>
      <c r="F2253" s="83">
        <f t="shared" si="690"/>
        <v>0.183625</v>
      </c>
      <c r="G2253" s="83">
        <f t="shared" si="690"/>
        <v>0.16875</v>
      </c>
      <c r="I2253" s="146">
        <v>45665</v>
      </c>
      <c r="J2253" s="147">
        <v>1.96</v>
      </c>
      <c r="K2253" s="147">
        <v>1.3</v>
      </c>
      <c r="L2253" s="158">
        <v>1.469</v>
      </c>
      <c r="M2253" s="59" cm="1">
        <f t="array" ref="M2253">INDEX($BV$29:$BV$1449,MATCH($D2253,$BR$29:$BR$1449,0),)</f>
        <v>1.35</v>
      </c>
      <c r="N2253" s="150">
        <f t="shared" si="685"/>
        <v>0.00478796169630646</v>
      </c>
      <c r="O2253" s="150">
        <f t="shared" si="686"/>
        <v>0.00341530054644812</v>
      </c>
      <c r="P2253" s="150">
        <f t="shared" si="672"/>
        <v>0.00204638472032759</v>
      </c>
      <c r="Q2253" s="89">
        <f t="shared" si="675"/>
        <v>0.0881481481481481</v>
      </c>
      <c r="S2253" s="82">
        <f t="shared" si="676"/>
        <v>45665</v>
      </c>
      <c r="T2253" s="83">
        <f t="shared" si="689"/>
        <v>0.2924375</v>
      </c>
      <c r="U2253" s="83">
        <f t="shared" si="689"/>
        <v>0.234375</v>
      </c>
      <c r="W2253" s="146">
        <v>45665</v>
      </c>
      <c r="X2253" s="147">
        <v>6.85</v>
      </c>
      <c r="Y2253" s="147">
        <v>3.69</v>
      </c>
      <c r="Z2253" s="158">
        <v>4.679</v>
      </c>
      <c r="AA2253" s="59" cm="1">
        <f t="array" ref="AA2253">INDEX($BX$29:$BX$1449,MATCH($D2253,$BR$29:$BR$1449,0),)</f>
        <v>3.75</v>
      </c>
      <c r="AB2253" s="150">
        <f t="shared" si="677"/>
        <v>0</v>
      </c>
      <c r="AC2253" s="150">
        <f t="shared" si="679"/>
        <v>-0.00149381135296622</v>
      </c>
      <c r="AD2253" s="150">
        <f t="shared" si="682"/>
        <v>-0.0021326508850501</v>
      </c>
      <c r="AE2253" s="89">
        <f t="shared" si="678"/>
        <v>0.247733333333333</v>
      </c>
    </row>
    <row r="2254" spans="3:31">
      <c r="C2254" s="80" t="str" cm="1">
        <f t="array" ref="C2254">_xlfn.IFS(MONTH(D2254)&lt;4,1,MONTH(D2254)&lt;7,2,MONTH(D2254)&lt;10,3,MONTH(D2254)&gt;9,4)&amp;"Q"&amp;RIGHT(YEAR(D2254),2)</f>
        <v>1Q25</v>
      </c>
      <c r="D2254" s="81">
        <f t="shared" si="681"/>
        <v>45688</v>
      </c>
      <c r="E2254" s="82">
        <f t="shared" si="674"/>
        <v>45666</v>
      </c>
      <c r="F2254" s="83">
        <f t="shared" si="690"/>
        <v>0.183625</v>
      </c>
      <c r="G2254" s="83">
        <f t="shared" si="690"/>
        <v>0.16875</v>
      </c>
      <c r="I2254" s="146">
        <v>45666</v>
      </c>
      <c r="J2254" s="147">
        <v>1.96</v>
      </c>
      <c r="K2254" s="147">
        <v>1.29</v>
      </c>
      <c r="L2254" s="158">
        <v>1.469</v>
      </c>
      <c r="M2254" s="59" cm="1">
        <f t="array" ref="M2254">INDEX($BV$29:$BV$1449,MATCH($D2254,$BR$29:$BR$1449,0),)</f>
        <v>1.35</v>
      </c>
      <c r="N2254" s="150">
        <f t="shared" si="685"/>
        <v>0</v>
      </c>
      <c r="O2254" s="150">
        <f t="shared" si="686"/>
        <v>0.00341530054644812</v>
      </c>
      <c r="P2254" s="150">
        <f t="shared" si="672"/>
        <v>0.00204638472032759</v>
      </c>
      <c r="Q2254" s="89">
        <f t="shared" si="675"/>
        <v>0.0881481481481481</v>
      </c>
      <c r="S2254" s="82">
        <f t="shared" si="676"/>
        <v>45666</v>
      </c>
      <c r="T2254" s="83">
        <f t="shared" si="689"/>
        <v>0.2924375</v>
      </c>
      <c r="U2254" s="83">
        <f t="shared" si="689"/>
        <v>0.234375</v>
      </c>
      <c r="W2254" s="146">
        <v>45666</v>
      </c>
      <c r="X2254" s="147">
        <v>6.85</v>
      </c>
      <c r="Y2254" s="147">
        <v>3.7</v>
      </c>
      <c r="Z2254" s="158">
        <v>4.679</v>
      </c>
      <c r="AA2254" s="59" cm="1">
        <f t="array" ref="AA2254">INDEX($BX$29:$BX$1449,MATCH($D2254,$BR$29:$BR$1449,0),)</f>
        <v>3.75</v>
      </c>
      <c r="AB2254" s="150">
        <f t="shared" si="677"/>
        <v>0</v>
      </c>
      <c r="AC2254" s="150">
        <f t="shared" si="679"/>
        <v>-0.000640751815463525</v>
      </c>
      <c r="AD2254" s="150">
        <f t="shared" si="682"/>
        <v>-0.00149381135296622</v>
      </c>
      <c r="AE2254" s="89">
        <f t="shared" si="678"/>
        <v>0.247733333333333</v>
      </c>
    </row>
    <row r="2255" spans="3:31">
      <c r="C2255" s="80" t="str" cm="1">
        <f t="array" ref="C2255">_xlfn.IFS(MONTH(D2255)&lt;4,1,MONTH(D2255)&lt;7,2,MONTH(D2255)&lt;10,3,MONTH(D2255)&gt;9,4)&amp;"Q"&amp;RIGHT(YEAR(D2255),2)</f>
        <v>1Q25</v>
      </c>
      <c r="D2255" s="81">
        <f t="shared" si="681"/>
        <v>45688</v>
      </c>
      <c r="E2255" s="82">
        <f t="shared" si="674"/>
        <v>45667</v>
      </c>
      <c r="F2255" s="83">
        <f t="shared" si="690"/>
        <v>0.183625</v>
      </c>
      <c r="G2255" s="83">
        <f t="shared" si="690"/>
        <v>0.16875</v>
      </c>
      <c r="I2255" s="146">
        <v>45667</v>
      </c>
      <c r="J2255" s="147">
        <v>1.96</v>
      </c>
      <c r="K2255" s="147">
        <v>1.29</v>
      </c>
      <c r="L2255" s="158">
        <v>1.469</v>
      </c>
      <c r="M2255" s="59" cm="1">
        <f t="array" ref="M2255">INDEX($BV$29:$BV$1449,MATCH($D2255,$BR$29:$BR$1449,0),)</f>
        <v>1.35</v>
      </c>
      <c r="N2255" s="150">
        <f t="shared" si="685"/>
        <v>0</v>
      </c>
      <c r="O2255" s="150">
        <f t="shared" si="686"/>
        <v>0.00341530054644812</v>
      </c>
      <c r="P2255" s="150">
        <f t="shared" ref="P2255:P2318" si="691">L2255/L2245-1</f>
        <v>0.00273037542662125</v>
      </c>
      <c r="Q2255" s="89">
        <f t="shared" si="675"/>
        <v>0.0881481481481481</v>
      </c>
      <c r="S2255" s="82">
        <f t="shared" si="676"/>
        <v>45667</v>
      </c>
      <c r="T2255" s="83">
        <f t="shared" si="689"/>
        <v>0.2924375</v>
      </c>
      <c r="U2255" s="83">
        <f t="shared" si="689"/>
        <v>0.234375</v>
      </c>
      <c r="W2255" s="146">
        <v>45667</v>
      </c>
      <c r="X2255" s="147">
        <v>6.85</v>
      </c>
      <c r="Y2255" s="147">
        <v>3.7</v>
      </c>
      <c r="Z2255" s="158">
        <v>4.679</v>
      </c>
      <c r="AA2255" s="59" cm="1">
        <f t="array" ref="AA2255">INDEX($BX$29:$BX$1449,MATCH($D2255,$BR$29:$BR$1449,0),)</f>
        <v>3.75</v>
      </c>
      <c r="AB2255" s="150">
        <f t="shared" si="677"/>
        <v>0</v>
      </c>
      <c r="AC2255" s="150">
        <f t="shared" si="679"/>
        <v>-0.000640751815463525</v>
      </c>
      <c r="AD2255" s="150">
        <f t="shared" si="682"/>
        <v>-0.00149381135296622</v>
      </c>
      <c r="AE2255" s="89">
        <f t="shared" si="678"/>
        <v>0.247733333333333</v>
      </c>
    </row>
    <row r="2256" spans="3:31">
      <c r="C2256" s="80" t="str" cm="1">
        <f t="array" ref="C2256">_xlfn.IFS(MONTH(D2256)&lt;4,1,MONTH(D2256)&lt;7,2,MONTH(D2256)&lt;10,3,MONTH(D2256)&gt;9,4)&amp;"Q"&amp;RIGHT(YEAR(D2256),2)</f>
        <v>1Q25</v>
      </c>
      <c r="D2256" s="81">
        <f t="shared" si="681"/>
        <v>45688</v>
      </c>
      <c r="E2256" s="82">
        <f t="shared" si="674"/>
        <v>45670</v>
      </c>
      <c r="F2256" s="83">
        <f t="shared" si="690"/>
        <v>0.183625</v>
      </c>
      <c r="G2256" s="83">
        <f t="shared" si="690"/>
        <v>0.16875</v>
      </c>
      <c r="I2256" s="146">
        <v>45670</v>
      </c>
      <c r="J2256" s="147">
        <v>1.95</v>
      </c>
      <c r="K2256" s="147">
        <v>1.3</v>
      </c>
      <c r="L2256" s="158">
        <v>1.469</v>
      </c>
      <c r="M2256" s="59" cm="1">
        <f t="array" ref="M2256">INDEX($BV$29:$BV$1449,MATCH($D2256,$BR$29:$BR$1449,0),)</f>
        <v>1.35</v>
      </c>
      <c r="N2256" s="150">
        <f t="shared" si="685"/>
        <v>0</v>
      </c>
      <c r="O2256" s="150">
        <f t="shared" si="686"/>
        <v>0.00478796169630646</v>
      </c>
      <c r="P2256" s="150">
        <f t="shared" si="691"/>
        <v>0.00341530054644812</v>
      </c>
      <c r="Q2256" s="89">
        <f t="shared" si="675"/>
        <v>0.0881481481481481</v>
      </c>
      <c r="S2256" s="82">
        <f t="shared" si="676"/>
        <v>45670</v>
      </c>
      <c r="T2256" s="83">
        <f t="shared" ref="T2256:U2271" si="692">+Z2256/16</f>
        <v>0.2924375</v>
      </c>
      <c r="U2256" s="83">
        <f t="shared" si="692"/>
        <v>0.234375</v>
      </c>
      <c r="W2256" s="146">
        <v>45670</v>
      </c>
      <c r="X2256" s="147">
        <v>6.84</v>
      </c>
      <c r="Y2256" s="147">
        <v>3.72</v>
      </c>
      <c r="Z2256" s="158">
        <v>4.679</v>
      </c>
      <c r="AA2256" s="59" cm="1">
        <f t="array" ref="AA2256">INDEX($BX$29:$BX$1449,MATCH($D2256,$BR$29:$BR$1449,0),)</f>
        <v>3.75</v>
      </c>
      <c r="AB2256" s="150">
        <f t="shared" si="677"/>
        <v>0</v>
      </c>
      <c r="AC2256" s="150">
        <f t="shared" si="679"/>
        <v>-0.000213675213675102</v>
      </c>
      <c r="AD2256" s="150">
        <f t="shared" si="682"/>
        <v>-0.00149381135296622</v>
      </c>
      <c r="AE2256" s="89">
        <f t="shared" si="678"/>
        <v>0.247733333333333</v>
      </c>
    </row>
    <row r="2257" spans="3:31">
      <c r="C2257" s="80" t="str" cm="1">
        <f t="array" ref="C2257">_xlfn.IFS(MONTH(D2257)&lt;4,1,MONTH(D2257)&lt;7,2,MONTH(D2257)&lt;10,3,MONTH(D2257)&gt;9,4)&amp;"Q"&amp;RIGHT(YEAR(D2257),2)</f>
        <v>1Q25</v>
      </c>
      <c r="D2257" s="81">
        <f t="shared" si="681"/>
        <v>45688</v>
      </c>
      <c r="E2257" s="82">
        <f t="shared" ref="E2257:E2320" si="693">I2257</f>
        <v>45671</v>
      </c>
      <c r="F2257" s="83">
        <f t="shared" si="690"/>
        <v>0.183</v>
      </c>
      <c r="G2257" s="83">
        <f t="shared" si="690"/>
        <v>0.16875</v>
      </c>
      <c r="I2257" s="146">
        <v>45671</v>
      </c>
      <c r="J2257" s="147">
        <v>1.95</v>
      </c>
      <c r="K2257" s="147">
        <v>1.3</v>
      </c>
      <c r="L2257" s="158">
        <v>1.464</v>
      </c>
      <c r="M2257" s="59" cm="1">
        <f t="array" ref="M2257">INDEX($BV$29:$BV$1449,MATCH($D2257,$BR$29:$BR$1449,0),)</f>
        <v>1.35</v>
      </c>
      <c r="N2257" s="150">
        <f t="shared" si="685"/>
        <v>-0.00340367597004776</v>
      </c>
      <c r="O2257" s="150">
        <f t="shared" si="686"/>
        <v>0.00136798905608759</v>
      </c>
      <c r="P2257" s="150">
        <f t="shared" si="691"/>
        <v>0</v>
      </c>
      <c r="Q2257" s="89">
        <f t="shared" ref="Q2257:Q2320" si="694">L2257/M2257-1</f>
        <v>0.0844444444444443</v>
      </c>
      <c r="S2257" s="82">
        <f t="shared" si="676"/>
        <v>45671</v>
      </c>
      <c r="T2257" s="83">
        <f t="shared" si="692"/>
        <v>0.2924375</v>
      </c>
      <c r="U2257" s="83">
        <f t="shared" si="692"/>
        <v>0.234375</v>
      </c>
      <c r="W2257" s="146">
        <v>45671</v>
      </c>
      <c r="X2257" s="147">
        <v>6.84</v>
      </c>
      <c r="Y2257" s="147">
        <v>3.72</v>
      </c>
      <c r="Z2257" s="158">
        <v>4.679</v>
      </c>
      <c r="AA2257" s="59" cm="1">
        <f t="array" ref="AA2257">INDEX($BX$29:$BX$1449,MATCH($D2257,$BR$29:$BR$1449,0),)</f>
        <v>3.75</v>
      </c>
      <c r="AB2257" s="150">
        <f t="shared" si="677"/>
        <v>0</v>
      </c>
      <c r="AC2257" s="150">
        <f t="shared" si="679"/>
        <v>0</v>
      </c>
      <c r="AD2257" s="150">
        <f t="shared" si="682"/>
        <v>-0.00149381135296622</v>
      </c>
      <c r="AE2257" s="89">
        <f t="shared" si="678"/>
        <v>0.247733333333333</v>
      </c>
    </row>
    <row r="2258" spans="3:31">
      <c r="C2258" s="80" t="str" cm="1">
        <f t="array" ref="C2258">_xlfn.IFS(MONTH(D2258)&lt;4,1,MONTH(D2258)&lt;7,2,MONTH(D2258)&lt;10,3,MONTH(D2258)&gt;9,4)&amp;"Q"&amp;RIGHT(YEAR(D2258),2)</f>
        <v>1Q25</v>
      </c>
      <c r="D2258" s="81">
        <f t="shared" si="681"/>
        <v>45688</v>
      </c>
      <c r="E2258" s="82">
        <f t="shared" si="693"/>
        <v>45672</v>
      </c>
      <c r="F2258" s="83">
        <f t="shared" si="690"/>
        <v>0.183</v>
      </c>
      <c r="G2258" s="83">
        <f t="shared" si="690"/>
        <v>0.16875</v>
      </c>
      <c r="I2258" s="146">
        <v>45672</v>
      </c>
      <c r="J2258" s="147">
        <v>1.95</v>
      </c>
      <c r="K2258" s="147">
        <v>1.3</v>
      </c>
      <c r="L2258" s="158">
        <v>1.464</v>
      </c>
      <c r="M2258" s="59" cm="1">
        <f t="array" ref="M2258">INDEX($BV$29:$BV$1449,MATCH($D2258,$BR$29:$BR$1449,0),)</f>
        <v>1.35</v>
      </c>
      <c r="N2258" s="150">
        <f t="shared" si="685"/>
        <v>0</v>
      </c>
      <c r="O2258" s="150">
        <f t="shared" si="686"/>
        <v>-0.00340367597004776</v>
      </c>
      <c r="P2258" s="150">
        <f t="shared" si="691"/>
        <v>0</v>
      </c>
      <c r="Q2258" s="89">
        <f t="shared" si="694"/>
        <v>0.0844444444444443</v>
      </c>
      <c r="S2258" s="82">
        <f t="shared" si="676"/>
        <v>45672</v>
      </c>
      <c r="T2258" s="83">
        <f t="shared" si="692"/>
        <v>0.29275</v>
      </c>
      <c r="U2258" s="83">
        <f t="shared" si="692"/>
        <v>0.234375</v>
      </c>
      <c r="W2258" s="146">
        <v>45672</v>
      </c>
      <c r="X2258" s="147">
        <v>6.84</v>
      </c>
      <c r="Y2258" s="147">
        <v>3.72</v>
      </c>
      <c r="Z2258" s="158">
        <v>4.684</v>
      </c>
      <c r="AA2258" s="59" cm="1">
        <f t="array" ref="AA2258">INDEX($BX$29:$BX$1449,MATCH($D2258,$BR$29:$BR$1449,0),)</f>
        <v>3.75</v>
      </c>
      <c r="AB2258" s="150">
        <f t="shared" si="677"/>
        <v>0.00106860440265022</v>
      </c>
      <c r="AC2258" s="150">
        <f t="shared" si="679"/>
        <v>0.00106860440265022</v>
      </c>
      <c r="AD2258" s="150">
        <f t="shared" si="682"/>
        <v>-0.000426803243704588</v>
      </c>
      <c r="AE2258" s="89">
        <f t="shared" si="678"/>
        <v>0.249066666666667</v>
      </c>
    </row>
    <row r="2259" spans="3:31">
      <c r="C2259" s="80" t="str" cm="1">
        <f t="array" ref="C2259">_xlfn.IFS(MONTH(D2259)&lt;4,1,MONTH(D2259)&lt;7,2,MONTH(D2259)&lt;10,3,MONTH(D2259)&gt;9,4)&amp;"Q"&amp;RIGHT(YEAR(D2259),2)</f>
        <v>1Q25</v>
      </c>
      <c r="D2259" s="81">
        <f t="shared" si="681"/>
        <v>45688</v>
      </c>
      <c r="E2259" s="82">
        <f t="shared" si="693"/>
        <v>45673</v>
      </c>
      <c r="F2259" s="83">
        <f t="shared" si="690"/>
        <v>0.183</v>
      </c>
      <c r="G2259" s="83">
        <f t="shared" si="690"/>
        <v>0.16875</v>
      </c>
      <c r="I2259" s="146">
        <v>45673</v>
      </c>
      <c r="J2259" s="147">
        <v>1.95</v>
      </c>
      <c r="K2259" s="147">
        <v>1.3</v>
      </c>
      <c r="L2259" s="158">
        <v>1.464</v>
      </c>
      <c r="M2259" s="59" cm="1">
        <f t="array" ref="M2259">INDEX($BV$29:$BV$1449,MATCH($D2259,$BR$29:$BR$1449,0),)</f>
        <v>1.35</v>
      </c>
      <c r="N2259" s="150">
        <f t="shared" si="685"/>
        <v>0</v>
      </c>
      <c r="O2259" s="150">
        <f t="shared" si="686"/>
        <v>-0.00340367597004776</v>
      </c>
      <c r="P2259" s="150">
        <f t="shared" si="691"/>
        <v>0</v>
      </c>
      <c r="Q2259" s="89">
        <f t="shared" si="694"/>
        <v>0.0844444444444443</v>
      </c>
      <c r="S2259" s="82">
        <f t="shared" si="676"/>
        <v>45673</v>
      </c>
      <c r="T2259" s="83">
        <f t="shared" si="692"/>
        <v>0.29275</v>
      </c>
      <c r="U2259" s="83">
        <f t="shared" si="692"/>
        <v>0.234375</v>
      </c>
      <c r="W2259" s="146">
        <v>45673</v>
      </c>
      <c r="X2259" s="147">
        <v>6.84</v>
      </c>
      <c r="Y2259" s="147">
        <v>3.72</v>
      </c>
      <c r="Z2259" s="158">
        <v>4.684</v>
      </c>
      <c r="AA2259" s="59" cm="1">
        <f t="array" ref="AA2259">INDEX($BX$29:$BX$1449,MATCH($D2259,$BR$29:$BR$1449,0),)</f>
        <v>3.75</v>
      </c>
      <c r="AB2259" s="150">
        <f t="shared" si="677"/>
        <v>0</v>
      </c>
      <c r="AC2259" s="150">
        <f t="shared" si="679"/>
        <v>0.00106860440265022</v>
      </c>
      <c r="AD2259" s="150">
        <f t="shared" si="682"/>
        <v>0.000427167876975609</v>
      </c>
      <c r="AE2259" s="89">
        <f t="shared" si="678"/>
        <v>0.249066666666667</v>
      </c>
    </row>
    <row r="2260" spans="3:31">
      <c r="C2260" s="80" t="str" cm="1">
        <f t="array" ref="C2260">_xlfn.IFS(MONTH(D2260)&lt;4,1,MONTH(D2260)&lt;7,2,MONTH(D2260)&lt;10,3,MONTH(D2260)&gt;9,4)&amp;"Q"&amp;RIGHT(YEAR(D2260),2)</f>
        <v>1Q25</v>
      </c>
      <c r="D2260" s="81">
        <f t="shared" si="681"/>
        <v>45688</v>
      </c>
      <c r="E2260" s="82">
        <f t="shared" si="693"/>
        <v>45674</v>
      </c>
      <c r="F2260" s="83">
        <f t="shared" si="690"/>
        <v>0.183</v>
      </c>
      <c r="G2260" s="83">
        <f t="shared" si="690"/>
        <v>0.16875</v>
      </c>
      <c r="I2260" s="146">
        <v>45674</v>
      </c>
      <c r="J2260" s="147">
        <v>1.95</v>
      </c>
      <c r="K2260" s="147">
        <v>1.3</v>
      </c>
      <c r="L2260" s="158">
        <v>1.464</v>
      </c>
      <c r="M2260" s="59" cm="1">
        <f t="array" ref="M2260">INDEX($BV$29:$BV$1449,MATCH($D2260,$BR$29:$BR$1449,0),)</f>
        <v>1.35</v>
      </c>
      <c r="N2260" s="150">
        <f t="shared" si="685"/>
        <v>0</v>
      </c>
      <c r="O2260" s="150">
        <f t="shared" si="686"/>
        <v>-0.00340367597004776</v>
      </c>
      <c r="P2260" s="150">
        <f t="shared" si="691"/>
        <v>0</v>
      </c>
      <c r="Q2260" s="89">
        <f t="shared" si="694"/>
        <v>0.0844444444444443</v>
      </c>
      <c r="S2260" s="82">
        <f t="shared" ref="S2260:S2323" si="695">W2260</f>
        <v>45674</v>
      </c>
      <c r="T2260" s="83">
        <f t="shared" si="692"/>
        <v>0.2919375</v>
      </c>
      <c r="U2260" s="83">
        <f t="shared" si="692"/>
        <v>0.234375</v>
      </c>
      <c r="W2260" s="146">
        <v>45674</v>
      </c>
      <c r="X2260" s="147">
        <v>6.8</v>
      </c>
      <c r="Y2260" s="147">
        <v>3.72</v>
      </c>
      <c r="Z2260" s="158">
        <v>4.671</v>
      </c>
      <c r="AA2260" s="59" cm="1">
        <f t="array" ref="AA2260">INDEX($BX$29:$BX$1449,MATCH($D2260,$BR$29:$BR$1449,0),)</f>
        <v>3.75</v>
      </c>
      <c r="AB2260" s="150">
        <f t="shared" si="677"/>
        <v>-0.00277540563620837</v>
      </c>
      <c r="AC2260" s="150">
        <f t="shared" si="679"/>
        <v>-0.0017097670442402</v>
      </c>
      <c r="AD2260" s="150">
        <f t="shared" si="682"/>
        <v>-0.00234942332336607</v>
      </c>
      <c r="AE2260" s="89">
        <f t="shared" si="678"/>
        <v>0.2456</v>
      </c>
    </row>
    <row r="2261" spans="3:31">
      <c r="C2261" s="80" t="str" cm="1">
        <f t="array" ref="C2261">_xlfn.IFS(MONTH(D2261)&lt;4,1,MONTH(D2261)&lt;7,2,MONTH(D2261)&lt;10,3,MONTH(D2261)&gt;9,4)&amp;"Q"&amp;RIGHT(YEAR(D2261),2)</f>
        <v>1Q25</v>
      </c>
      <c r="D2261" s="81">
        <f t="shared" si="681"/>
        <v>45688</v>
      </c>
      <c r="E2261" s="82">
        <f t="shared" si="693"/>
        <v>45677</v>
      </c>
      <c r="F2261" s="83">
        <f t="shared" si="690"/>
        <v>0.182625</v>
      </c>
      <c r="G2261" s="83">
        <f t="shared" si="690"/>
        <v>0.16875</v>
      </c>
      <c r="I2261" s="146">
        <v>45677</v>
      </c>
      <c r="J2261" s="147">
        <v>1.94</v>
      </c>
      <c r="K2261" s="147">
        <v>1.29</v>
      </c>
      <c r="L2261" s="158">
        <v>1.461</v>
      </c>
      <c r="M2261" s="59" cm="1">
        <f t="array" ref="M2261">INDEX($BV$29:$BV$1449,MATCH($D2261,$BR$29:$BR$1449,0),)</f>
        <v>1.35</v>
      </c>
      <c r="N2261" s="150">
        <f t="shared" si="685"/>
        <v>-0.00204918032786883</v>
      </c>
      <c r="O2261" s="150">
        <f t="shared" si="686"/>
        <v>-0.00544588155207626</v>
      </c>
      <c r="P2261" s="150">
        <f t="shared" si="691"/>
        <v>-0.000683994528043685</v>
      </c>
      <c r="Q2261" s="89">
        <f t="shared" si="694"/>
        <v>0.0822222222222222</v>
      </c>
      <c r="S2261" s="82">
        <f t="shared" si="695"/>
        <v>45677</v>
      </c>
      <c r="T2261" s="83">
        <f t="shared" si="692"/>
        <v>0.291625</v>
      </c>
      <c r="U2261" s="83">
        <f t="shared" si="692"/>
        <v>0.234375</v>
      </c>
      <c r="W2261" s="146">
        <v>45677</v>
      </c>
      <c r="X2261" s="147">
        <v>6.8</v>
      </c>
      <c r="Y2261" s="147">
        <v>3.72</v>
      </c>
      <c r="Z2261" s="158">
        <v>4.666</v>
      </c>
      <c r="AA2261" s="59" cm="1">
        <f t="array" ref="AA2261">INDEX($BX$29:$BX$1449,MATCH($D2261,$BR$29:$BR$1449,0),)</f>
        <v>3.75</v>
      </c>
      <c r="AB2261" s="150">
        <f t="shared" ref="AB2261:AB2324" si="696">Z2261/Z2260-1</f>
        <v>-0.00107043459644618</v>
      </c>
      <c r="AC2261" s="150">
        <f t="shared" si="679"/>
        <v>-0.0027783714468903</v>
      </c>
      <c r="AD2261" s="150">
        <f t="shared" si="682"/>
        <v>-0.00299145299145287</v>
      </c>
      <c r="AE2261" s="89">
        <f t="shared" si="678"/>
        <v>0.244266666666667</v>
      </c>
    </row>
    <row r="2262" spans="3:31">
      <c r="C2262" s="80" t="str" cm="1">
        <f t="array" ref="C2262">_xlfn.IFS(MONTH(D2262)&lt;4,1,MONTH(D2262)&lt;7,2,MONTH(D2262)&lt;10,3,MONTH(D2262)&gt;9,4)&amp;"Q"&amp;RIGHT(YEAR(D2262),2)</f>
        <v>1Q25</v>
      </c>
      <c r="D2262" s="81">
        <f t="shared" si="681"/>
        <v>45688</v>
      </c>
      <c r="E2262" s="82">
        <f t="shared" si="693"/>
        <v>45678</v>
      </c>
      <c r="F2262" s="83">
        <f t="shared" si="690"/>
        <v>0.182625</v>
      </c>
      <c r="G2262" s="83">
        <f t="shared" si="690"/>
        <v>0.16875</v>
      </c>
      <c r="I2262" s="146">
        <v>45678</v>
      </c>
      <c r="J2262" s="147">
        <v>1.94</v>
      </c>
      <c r="K2262" s="147">
        <v>1.29</v>
      </c>
      <c r="L2262" s="158">
        <v>1.461</v>
      </c>
      <c r="M2262" s="59" cm="1">
        <f t="array" ref="M2262">INDEX($BV$29:$BV$1449,MATCH($D2262,$BR$29:$BR$1449,0),)</f>
        <v>1.35</v>
      </c>
      <c r="N2262" s="150">
        <f t="shared" si="685"/>
        <v>0</v>
      </c>
      <c r="O2262" s="150">
        <f t="shared" si="686"/>
        <v>-0.00204918032786883</v>
      </c>
      <c r="P2262" s="150">
        <f t="shared" si="691"/>
        <v>-0.000683994528043685</v>
      </c>
      <c r="Q2262" s="89">
        <f t="shared" si="694"/>
        <v>0.0822222222222222</v>
      </c>
      <c r="S2262" s="82">
        <f t="shared" si="695"/>
        <v>45678</v>
      </c>
      <c r="T2262" s="83">
        <f t="shared" si="692"/>
        <v>0.2914375</v>
      </c>
      <c r="U2262" s="83">
        <f t="shared" si="692"/>
        <v>0.234375</v>
      </c>
      <c r="W2262" s="146">
        <v>45678</v>
      </c>
      <c r="X2262" s="147">
        <v>6.8</v>
      </c>
      <c r="Y2262" s="147">
        <v>3.72</v>
      </c>
      <c r="Z2262" s="158">
        <v>4.663</v>
      </c>
      <c r="AA2262" s="59" cm="1">
        <f t="array" ref="AA2262">INDEX($BX$29:$BX$1449,MATCH($D2262,$BR$29:$BR$1449,0),)</f>
        <v>3.75</v>
      </c>
      <c r="AB2262" s="150">
        <f t="shared" si="696"/>
        <v>-0.000642948992713221</v>
      </c>
      <c r="AC2262" s="150">
        <f t="shared" si="679"/>
        <v>-0.0034195340884805</v>
      </c>
      <c r="AD2262" s="150">
        <f t="shared" si="682"/>
        <v>-0.0034195340884805</v>
      </c>
      <c r="AE2262" s="89">
        <f t="shared" ref="AE2262:AE2325" si="697">Z2262/AA2262-1</f>
        <v>0.243466666666667</v>
      </c>
    </row>
    <row r="2263" spans="3:31">
      <c r="C2263" s="80" t="str" cm="1">
        <f t="array" ref="C2263">_xlfn.IFS(MONTH(D2263)&lt;4,1,MONTH(D2263)&lt;7,2,MONTH(D2263)&lt;10,3,MONTH(D2263)&gt;9,4)&amp;"Q"&amp;RIGHT(YEAR(D2263),2)</f>
        <v>1Q25</v>
      </c>
      <c r="D2263" s="81">
        <f t="shared" si="681"/>
        <v>45688</v>
      </c>
      <c r="E2263" s="82">
        <f t="shared" si="693"/>
        <v>45679</v>
      </c>
      <c r="F2263" s="83">
        <f t="shared" si="690"/>
        <v>0.182375</v>
      </c>
      <c r="G2263" s="83">
        <f t="shared" si="690"/>
        <v>0.16875</v>
      </c>
      <c r="I2263" s="146">
        <v>45679</v>
      </c>
      <c r="J2263" s="147">
        <v>1.94</v>
      </c>
      <c r="K2263" s="147">
        <v>1.29</v>
      </c>
      <c r="L2263" s="158">
        <v>1.459</v>
      </c>
      <c r="M2263" s="59" cm="1">
        <f t="array" ref="M2263">INDEX($BV$29:$BV$1449,MATCH($D2263,$BR$29:$BR$1449,0),)</f>
        <v>1.35</v>
      </c>
      <c r="N2263" s="150">
        <f t="shared" si="685"/>
        <v>-0.00136892539356603</v>
      </c>
      <c r="O2263" s="150">
        <f t="shared" si="686"/>
        <v>-0.00341530054644801</v>
      </c>
      <c r="P2263" s="150">
        <f t="shared" si="691"/>
        <v>-0.0068073519400953</v>
      </c>
      <c r="Q2263" s="89">
        <f t="shared" si="694"/>
        <v>0.0807407407407408</v>
      </c>
      <c r="S2263" s="82">
        <f t="shared" si="695"/>
        <v>45679</v>
      </c>
      <c r="T2263" s="83">
        <f t="shared" si="692"/>
        <v>0.2913125</v>
      </c>
      <c r="U2263" s="83">
        <f t="shared" si="692"/>
        <v>0.234375</v>
      </c>
      <c r="W2263" s="146">
        <v>45679</v>
      </c>
      <c r="X2263" s="147">
        <v>6.8</v>
      </c>
      <c r="Y2263" s="147">
        <v>3.72</v>
      </c>
      <c r="Z2263" s="158">
        <v>4.661</v>
      </c>
      <c r="AA2263" s="59" cm="1">
        <f t="array" ref="AA2263">INDEX($BX$29:$BX$1449,MATCH($D2263,$BR$29:$BR$1449,0),)</f>
        <v>3.75</v>
      </c>
      <c r="AB2263" s="150">
        <f t="shared" si="696"/>
        <v>-0.000428908428050767</v>
      </c>
      <c r="AC2263" s="150">
        <f t="shared" si="679"/>
        <v>-0.0049103330486765</v>
      </c>
      <c r="AD2263" s="150">
        <f t="shared" si="682"/>
        <v>-0.00384697584954063</v>
      </c>
      <c r="AE2263" s="89">
        <f t="shared" si="697"/>
        <v>0.242933333333333</v>
      </c>
    </row>
    <row r="2264" spans="3:31">
      <c r="C2264" s="80" t="str" cm="1">
        <f t="array" ref="C2264">_xlfn.IFS(MONTH(D2264)&lt;4,1,MONTH(D2264)&lt;7,2,MONTH(D2264)&lt;10,3,MONTH(D2264)&gt;9,4)&amp;"Q"&amp;RIGHT(YEAR(D2264),2)</f>
        <v>1Q25</v>
      </c>
      <c r="D2264" s="81">
        <f t="shared" si="681"/>
        <v>45688</v>
      </c>
      <c r="E2264" s="82">
        <f t="shared" si="693"/>
        <v>45680</v>
      </c>
      <c r="F2264" s="83">
        <f t="shared" si="690"/>
        <v>0.182125</v>
      </c>
      <c r="G2264" s="83">
        <f t="shared" si="690"/>
        <v>0.16875</v>
      </c>
      <c r="I2264" s="146">
        <v>45680</v>
      </c>
      <c r="J2264" s="147">
        <v>1.94</v>
      </c>
      <c r="K2264" s="147">
        <v>1.29</v>
      </c>
      <c r="L2264" s="158">
        <v>1.457</v>
      </c>
      <c r="M2264" s="59" cm="1">
        <f t="array" ref="M2264">INDEX($BV$29:$BV$1449,MATCH($D2264,$BR$29:$BR$1449,0),)</f>
        <v>1.35</v>
      </c>
      <c r="N2264" s="150">
        <f t="shared" si="685"/>
        <v>-0.00137080191912264</v>
      </c>
      <c r="O2264" s="150">
        <f t="shared" si="686"/>
        <v>-0.0047814207650273</v>
      </c>
      <c r="P2264" s="150">
        <f t="shared" si="691"/>
        <v>-0.00816882232811433</v>
      </c>
      <c r="Q2264" s="89">
        <f t="shared" si="694"/>
        <v>0.0792592592592591</v>
      </c>
      <c r="S2264" s="82">
        <f t="shared" si="695"/>
        <v>45680</v>
      </c>
      <c r="T2264" s="83">
        <f t="shared" si="692"/>
        <v>0.2934375</v>
      </c>
      <c r="U2264" s="83">
        <f t="shared" si="692"/>
        <v>0.234375</v>
      </c>
      <c r="W2264" s="146">
        <v>45680</v>
      </c>
      <c r="X2264" s="147">
        <v>6.8</v>
      </c>
      <c r="Y2264" s="147">
        <v>3.73</v>
      </c>
      <c r="Z2264" s="158">
        <v>4.695</v>
      </c>
      <c r="AA2264" s="59" cm="1">
        <f t="array" ref="AA2264">INDEX($BX$29:$BX$1449,MATCH($D2264,$BR$29:$BR$1449,0),)</f>
        <v>3.75</v>
      </c>
      <c r="AB2264" s="150">
        <f t="shared" si="696"/>
        <v>0.00729457198026195</v>
      </c>
      <c r="AC2264" s="150">
        <f t="shared" si="679"/>
        <v>0.00234842015371473</v>
      </c>
      <c r="AD2264" s="150">
        <f t="shared" si="682"/>
        <v>0.00341953408848039</v>
      </c>
      <c r="AE2264" s="89">
        <f t="shared" si="697"/>
        <v>0.252</v>
      </c>
    </row>
    <row r="2265" spans="3:31">
      <c r="C2265" s="80" t="str" cm="1">
        <f t="array" ref="C2265">_xlfn.IFS(MONTH(D2265)&lt;4,1,MONTH(D2265)&lt;7,2,MONTH(D2265)&lt;10,3,MONTH(D2265)&gt;9,4)&amp;"Q"&amp;RIGHT(YEAR(D2265),2)</f>
        <v>1Q25</v>
      </c>
      <c r="D2265" s="81">
        <f t="shared" si="681"/>
        <v>45688</v>
      </c>
      <c r="E2265" s="82">
        <f t="shared" si="693"/>
        <v>45681</v>
      </c>
      <c r="F2265" s="83">
        <f t="shared" si="690"/>
        <v>0.182</v>
      </c>
      <c r="G2265" s="83">
        <f t="shared" si="690"/>
        <v>0.16875</v>
      </c>
      <c r="I2265" s="146">
        <v>45681</v>
      </c>
      <c r="J2265" s="147">
        <v>1.94</v>
      </c>
      <c r="K2265" s="147">
        <v>1.29</v>
      </c>
      <c r="L2265" s="158">
        <v>1.456</v>
      </c>
      <c r="M2265" s="59" cm="1">
        <f t="array" ref="M2265">INDEX($BV$29:$BV$1449,MATCH($D2265,$BR$29:$BR$1449,0),)</f>
        <v>1.35</v>
      </c>
      <c r="N2265" s="150">
        <f t="shared" si="685"/>
        <v>-0.000686341798215584</v>
      </c>
      <c r="O2265" s="150">
        <f t="shared" si="686"/>
        <v>-0.00546448087431695</v>
      </c>
      <c r="P2265" s="150">
        <f t="shared" si="691"/>
        <v>-0.00884955752212402</v>
      </c>
      <c r="Q2265" s="89">
        <f t="shared" si="694"/>
        <v>0.0785185185185184</v>
      </c>
      <c r="S2265" s="82">
        <f t="shared" si="695"/>
        <v>45681</v>
      </c>
      <c r="T2265" s="83">
        <f t="shared" si="692"/>
        <v>0.2934375</v>
      </c>
      <c r="U2265" s="83">
        <f t="shared" si="692"/>
        <v>0.234375</v>
      </c>
      <c r="W2265" s="146">
        <v>45681</v>
      </c>
      <c r="X2265" s="147">
        <v>6.8</v>
      </c>
      <c r="Y2265" s="147">
        <v>3.73</v>
      </c>
      <c r="Z2265" s="158">
        <v>4.695</v>
      </c>
      <c r="AA2265" s="59" cm="1">
        <f t="array" ref="AA2265">INDEX($BX$29:$BX$1449,MATCH($D2265,$BR$29:$BR$1449,0),)</f>
        <v>3.75</v>
      </c>
      <c r="AB2265" s="150">
        <f t="shared" si="696"/>
        <v>0</v>
      </c>
      <c r="AC2265" s="150">
        <f t="shared" ref="AC2265:AC2328" si="698">Z2265/Z2260-1</f>
        <v>0.00513808606294153</v>
      </c>
      <c r="AD2265" s="150">
        <f t="shared" si="682"/>
        <v>0.00341953408848039</v>
      </c>
      <c r="AE2265" s="89">
        <f t="shared" si="697"/>
        <v>0.252</v>
      </c>
    </row>
    <row r="2266" spans="3:31">
      <c r="C2266" s="80" t="str" cm="1">
        <f t="array" ref="C2266">_xlfn.IFS(MONTH(D2266)&lt;4,1,MONTH(D2266)&lt;7,2,MONTH(D2266)&lt;10,3,MONTH(D2266)&gt;9,4)&amp;"Q"&amp;RIGHT(YEAR(D2266),2)</f>
        <v>1Q25</v>
      </c>
      <c r="D2266" s="81">
        <f t="shared" si="681"/>
        <v>45688</v>
      </c>
      <c r="E2266" s="82">
        <f t="shared" si="693"/>
        <v>45684</v>
      </c>
      <c r="F2266" s="83">
        <f t="shared" ref="F2266:G2281" si="699">+L2266/8</f>
        <v>0.18225</v>
      </c>
      <c r="G2266" s="83">
        <f t="shared" si="699"/>
        <v>0.16875</v>
      </c>
      <c r="I2266" s="146">
        <v>45684</v>
      </c>
      <c r="J2266" s="147">
        <v>1.94</v>
      </c>
      <c r="K2266" s="147">
        <v>1.29</v>
      </c>
      <c r="L2266" s="158">
        <v>1.458</v>
      </c>
      <c r="M2266" s="59" cm="1">
        <f t="array" ref="M2266">INDEX($BV$29:$BV$1449,MATCH($D2266,$BR$29:$BR$1449,0),)</f>
        <v>1.35</v>
      </c>
      <c r="N2266" s="150">
        <f t="shared" si="685"/>
        <v>0.00137362637362637</v>
      </c>
      <c r="O2266" s="150">
        <f t="shared" si="686"/>
        <v>-0.00205338809034916</v>
      </c>
      <c r="P2266" s="150">
        <f t="shared" si="691"/>
        <v>-0.00748808713410487</v>
      </c>
      <c r="Q2266" s="89">
        <f t="shared" si="694"/>
        <v>0.0799999999999998</v>
      </c>
      <c r="S2266" s="82">
        <f t="shared" si="695"/>
        <v>45684</v>
      </c>
      <c r="T2266" s="83">
        <f t="shared" si="692"/>
        <v>0.2930625</v>
      </c>
      <c r="U2266" s="83">
        <f t="shared" si="692"/>
        <v>0.234375</v>
      </c>
      <c r="W2266" s="146">
        <v>45684</v>
      </c>
      <c r="X2266" s="147">
        <v>6.7</v>
      </c>
      <c r="Y2266" s="147">
        <v>3.73</v>
      </c>
      <c r="Z2266" s="158">
        <v>4.689</v>
      </c>
      <c r="AA2266" s="59" cm="1">
        <f t="array" ref="AA2266">INDEX($BX$29:$BX$1449,MATCH($D2266,$BR$29:$BR$1449,0),)</f>
        <v>3.75</v>
      </c>
      <c r="AB2266" s="150">
        <f t="shared" si="696"/>
        <v>-0.00127795527156549</v>
      </c>
      <c r="AC2266" s="150">
        <f t="shared" si="698"/>
        <v>0.00492927561080148</v>
      </c>
      <c r="AD2266" s="150">
        <f t="shared" si="682"/>
        <v>0.00213720880530022</v>
      </c>
      <c r="AE2266" s="89">
        <f t="shared" si="697"/>
        <v>0.2504</v>
      </c>
    </row>
    <row r="2267" spans="3:31">
      <c r="C2267" s="80" t="str" cm="1">
        <f t="array" ref="C2267">_xlfn.IFS(MONTH(D2267)&lt;4,1,MONTH(D2267)&lt;7,2,MONTH(D2267)&lt;10,3,MONTH(D2267)&gt;9,4)&amp;"Q"&amp;RIGHT(YEAR(D2267),2)</f>
        <v>1Q25</v>
      </c>
      <c r="D2267" s="81">
        <f t="shared" si="681"/>
        <v>45716</v>
      </c>
      <c r="E2267" s="82">
        <f t="shared" si="693"/>
        <v>45691</v>
      </c>
      <c r="F2267" s="83">
        <f t="shared" si="699"/>
        <v>0.18225</v>
      </c>
      <c r="G2267" s="83">
        <f t="shared" si="699"/>
        <v>0.16875</v>
      </c>
      <c r="I2267" s="146">
        <v>45691</v>
      </c>
      <c r="J2267" s="147">
        <v>1.94</v>
      </c>
      <c r="K2267" s="147">
        <v>1.29</v>
      </c>
      <c r="L2267" s="158">
        <v>1.458</v>
      </c>
      <c r="M2267" s="59" cm="1">
        <f t="array" ref="M2267">INDEX($BV$29:$BV$1449,MATCH($D2267,$BR$29:$BR$1449,0),)</f>
        <v>1.35</v>
      </c>
      <c r="N2267" s="150">
        <f t="shared" si="685"/>
        <v>0</v>
      </c>
      <c r="O2267" s="150">
        <f t="shared" si="686"/>
        <v>-0.00205338809034916</v>
      </c>
      <c r="P2267" s="150">
        <f t="shared" si="691"/>
        <v>-0.00409836065573765</v>
      </c>
      <c r="Q2267" s="89">
        <f t="shared" si="694"/>
        <v>0.0799999999999998</v>
      </c>
      <c r="S2267" s="82">
        <f t="shared" si="695"/>
        <v>45691</v>
      </c>
      <c r="T2267" s="83">
        <f t="shared" si="692"/>
        <v>0.2935</v>
      </c>
      <c r="U2267" s="83">
        <f t="shared" si="692"/>
        <v>0.2375</v>
      </c>
      <c r="W2267" s="146">
        <v>45691</v>
      </c>
      <c r="X2267" s="147">
        <v>6.7</v>
      </c>
      <c r="Y2267" s="147">
        <v>3.73</v>
      </c>
      <c r="Z2267" s="158">
        <v>4.696</v>
      </c>
      <c r="AA2267" s="59" cm="1">
        <f t="array" ref="AA2267">INDEX($BX$29:$BX$1449,MATCH($D2267,$BR$29:$BR$1449,0),)</f>
        <v>3.8</v>
      </c>
      <c r="AB2267" s="150">
        <f t="shared" si="696"/>
        <v>0.00149285561953505</v>
      </c>
      <c r="AC2267" s="150">
        <f t="shared" si="698"/>
        <v>0.00707698906283505</v>
      </c>
      <c r="AD2267" s="150">
        <f t="shared" si="682"/>
        <v>0.00363325496901035</v>
      </c>
      <c r="AE2267" s="89">
        <f t="shared" si="697"/>
        <v>0.235789473684211</v>
      </c>
    </row>
    <row r="2268" spans="3:31">
      <c r="C2268" s="80" t="str" cm="1">
        <f t="array" ref="C2268">_xlfn.IFS(MONTH(D2268)&lt;4,1,MONTH(D2268)&lt;7,2,MONTH(D2268)&lt;10,3,MONTH(D2268)&gt;9,4)&amp;"Q"&amp;RIGHT(YEAR(D2268),2)</f>
        <v>1Q25</v>
      </c>
      <c r="D2268" s="81">
        <f t="shared" si="681"/>
        <v>45716</v>
      </c>
      <c r="E2268" s="82">
        <f t="shared" si="693"/>
        <v>45692</v>
      </c>
      <c r="F2268" s="83">
        <f t="shared" si="699"/>
        <v>0.18225</v>
      </c>
      <c r="G2268" s="83">
        <f t="shared" si="699"/>
        <v>0.16875</v>
      </c>
      <c r="I2268" s="146">
        <v>45692</v>
      </c>
      <c r="J2268" s="147">
        <v>1.92</v>
      </c>
      <c r="K2268" s="147">
        <v>1.29</v>
      </c>
      <c r="L2268" s="158">
        <v>1.458</v>
      </c>
      <c r="M2268" s="59" cm="1">
        <f t="array" ref="M2268">INDEX($BV$29:$BV$1449,MATCH($D2268,$BR$29:$BR$1449,0),)</f>
        <v>1.35</v>
      </c>
      <c r="N2268" s="150">
        <f t="shared" si="685"/>
        <v>0</v>
      </c>
      <c r="O2268" s="150">
        <f t="shared" si="686"/>
        <v>-0.000685400959561377</v>
      </c>
      <c r="P2268" s="150">
        <f t="shared" si="691"/>
        <v>-0.00409836065573765</v>
      </c>
      <c r="Q2268" s="89">
        <f t="shared" si="694"/>
        <v>0.0799999999999998</v>
      </c>
      <c r="S2268" s="82">
        <f t="shared" si="695"/>
        <v>45692</v>
      </c>
      <c r="T2268" s="83">
        <f t="shared" si="692"/>
        <v>0.2935</v>
      </c>
      <c r="U2268" s="83">
        <f t="shared" si="692"/>
        <v>0.2375</v>
      </c>
      <c r="W2268" s="146">
        <v>45692</v>
      </c>
      <c r="X2268" s="147">
        <v>6.7</v>
      </c>
      <c r="Y2268" s="147">
        <v>3.7</v>
      </c>
      <c r="Z2268" s="158">
        <v>4.696</v>
      </c>
      <c r="AA2268" s="59" cm="1">
        <f t="array" ref="AA2268">INDEX($BX$29:$BX$1449,MATCH($D2268,$BR$29:$BR$1449,0),)</f>
        <v>3.8</v>
      </c>
      <c r="AB2268" s="150">
        <f t="shared" si="696"/>
        <v>0</v>
      </c>
      <c r="AC2268" s="150">
        <f t="shared" si="698"/>
        <v>0.00750911821497535</v>
      </c>
      <c r="AD2268" s="150">
        <f t="shared" si="682"/>
        <v>0.00256191289496144</v>
      </c>
      <c r="AE2268" s="89">
        <f t="shared" si="697"/>
        <v>0.235789473684211</v>
      </c>
    </row>
    <row r="2269" spans="3:31">
      <c r="C2269" s="80" t="str" cm="1">
        <f t="array" ref="C2269">_xlfn.IFS(MONTH(D2269)&lt;4,1,MONTH(D2269)&lt;7,2,MONTH(D2269)&lt;10,3,MONTH(D2269)&gt;9,4)&amp;"Q"&amp;RIGHT(YEAR(D2269),2)</f>
        <v>1Q25</v>
      </c>
      <c r="D2269" s="81">
        <f t="shared" si="681"/>
        <v>45716</v>
      </c>
      <c r="E2269" s="82">
        <f t="shared" si="693"/>
        <v>45693</v>
      </c>
      <c r="F2269" s="83">
        <f t="shared" si="699"/>
        <v>0.181625</v>
      </c>
      <c r="G2269" s="83">
        <f t="shared" si="699"/>
        <v>0.16875</v>
      </c>
      <c r="I2269" s="146">
        <v>45693</v>
      </c>
      <c r="J2269" s="147">
        <v>1.9</v>
      </c>
      <c r="K2269" s="147">
        <v>1.28</v>
      </c>
      <c r="L2269" s="158">
        <v>1.453</v>
      </c>
      <c r="M2269" s="59" cm="1">
        <f t="array" ref="M2269">INDEX($BV$29:$BV$1449,MATCH($D2269,$BR$29:$BR$1449,0),)</f>
        <v>1.35</v>
      </c>
      <c r="N2269" s="150">
        <f t="shared" si="685"/>
        <v>-0.00342935528120702</v>
      </c>
      <c r="O2269" s="150">
        <f t="shared" si="686"/>
        <v>-0.002745367192862</v>
      </c>
      <c r="P2269" s="150">
        <f t="shared" si="691"/>
        <v>-0.00751366120218577</v>
      </c>
      <c r="Q2269" s="89">
        <f t="shared" si="694"/>
        <v>0.0762962962962963</v>
      </c>
      <c r="S2269" s="82">
        <f t="shared" si="695"/>
        <v>45693</v>
      </c>
      <c r="T2269" s="83">
        <f t="shared" si="692"/>
        <v>0.2935</v>
      </c>
      <c r="U2269" s="83">
        <f t="shared" si="692"/>
        <v>0.2375</v>
      </c>
      <c r="W2269" s="146">
        <v>45693</v>
      </c>
      <c r="X2269" s="147">
        <v>6.65</v>
      </c>
      <c r="Y2269" s="147">
        <v>3.7</v>
      </c>
      <c r="Z2269" s="158">
        <v>4.696</v>
      </c>
      <c r="AA2269" s="59" cm="1">
        <f t="array" ref="AA2269">INDEX($BX$29:$BX$1449,MATCH($D2269,$BR$29:$BR$1449,0),)</f>
        <v>3.8</v>
      </c>
      <c r="AB2269" s="150">
        <f t="shared" si="696"/>
        <v>0</v>
      </c>
      <c r="AC2269" s="150">
        <f t="shared" si="698"/>
        <v>0.000212992545260748</v>
      </c>
      <c r="AD2269" s="150">
        <f t="shared" si="682"/>
        <v>0.00256191289496144</v>
      </c>
      <c r="AE2269" s="89">
        <f t="shared" si="697"/>
        <v>0.235789473684211</v>
      </c>
    </row>
    <row r="2270" spans="3:31">
      <c r="C2270" s="80" t="str" cm="1">
        <f t="array" ref="C2270">_xlfn.IFS(MONTH(D2270)&lt;4,1,MONTH(D2270)&lt;7,2,MONTH(D2270)&lt;10,3,MONTH(D2270)&gt;9,4)&amp;"Q"&amp;RIGHT(YEAR(D2270),2)</f>
        <v>1Q25</v>
      </c>
      <c r="D2270" s="81">
        <f t="shared" ref="D2270:D2333" si="700">EOMONTH(E2270,0)</f>
        <v>45716</v>
      </c>
      <c r="E2270" s="82">
        <f t="shared" si="693"/>
        <v>45694</v>
      </c>
      <c r="F2270" s="83">
        <f t="shared" si="699"/>
        <v>0.181375</v>
      </c>
      <c r="G2270" s="83">
        <f t="shared" si="699"/>
        <v>0.16875</v>
      </c>
      <c r="I2270" s="146">
        <v>45694</v>
      </c>
      <c r="J2270" s="147">
        <v>1.9</v>
      </c>
      <c r="K2270" s="147">
        <v>1.28</v>
      </c>
      <c r="L2270" s="158">
        <v>1.451</v>
      </c>
      <c r="M2270" s="59" cm="1">
        <f t="array" ref="M2270">INDEX($BV$29:$BV$1449,MATCH($D2270,$BR$29:$BR$1449,0),)</f>
        <v>1.35</v>
      </c>
      <c r="N2270" s="150">
        <f t="shared" si="685"/>
        <v>-0.00137646249139711</v>
      </c>
      <c r="O2270" s="150">
        <f t="shared" si="686"/>
        <v>-0.00343406593406581</v>
      </c>
      <c r="P2270" s="150">
        <f t="shared" si="691"/>
        <v>-0.00887978142076495</v>
      </c>
      <c r="Q2270" s="89">
        <f t="shared" si="694"/>
        <v>0.0748148148148149</v>
      </c>
      <c r="S2270" s="82">
        <f t="shared" si="695"/>
        <v>45694</v>
      </c>
      <c r="T2270" s="83">
        <f t="shared" si="692"/>
        <v>0.2941875</v>
      </c>
      <c r="U2270" s="83">
        <f t="shared" si="692"/>
        <v>0.2375</v>
      </c>
      <c r="W2270" s="146">
        <v>45694</v>
      </c>
      <c r="X2270" s="147">
        <v>6.6</v>
      </c>
      <c r="Y2270" s="147">
        <v>3.7</v>
      </c>
      <c r="Z2270" s="158">
        <v>4.707</v>
      </c>
      <c r="AA2270" s="59" cm="1">
        <f t="array" ref="AA2270">INDEX($BX$29:$BX$1449,MATCH($D2270,$BR$29:$BR$1449,0),)</f>
        <v>3.8</v>
      </c>
      <c r="AB2270" s="150">
        <f t="shared" si="696"/>
        <v>0.00234241908006827</v>
      </c>
      <c r="AC2270" s="150">
        <f t="shared" si="698"/>
        <v>0.00255591054313098</v>
      </c>
      <c r="AD2270" s="150">
        <f t="shared" ref="AD2270:AD2333" si="701">Z2270/Z2260-1</f>
        <v>0.00770712909441218</v>
      </c>
      <c r="AE2270" s="89">
        <f t="shared" si="697"/>
        <v>0.238684210526316</v>
      </c>
    </row>
    <row r="2271" spans="3:31">
      <c r="C2271" s="80" t="str" cm="1">
        <f t="array" ref="C2271">_xlfn.IFS(MONTH(D2271)&lt;4,1,MONTH(D2271)&lt;7,2,MONTH(D2271)&lt;10,3,MONTH(D2271)&gt;9,4)&amp;"Q"&amp;RIGHT(YEAR(D2271),2)</f>
        <v>1Q25</v>
      </c>
      <c r="D2271" s="81">
        <f t="shared" si="700"/>
        <v>45716</v>
      </c>
      <c r="E2271" s="82">
        <f t="shared" si="693"/>
        <v>45695</v>
      </c>
      <c r="F2271" s="83">
        <f t="shared" si="699"/>
        <v>0.181375</v>
      </c>
      <c r="G2271" s="83">
        <f t="shared" si="699"/>
        <v>0.16875</v>
      </c>
      <c r="I2271" s="146">
        <v>45695</v>
      </c>
      <c r="J2271" s="147">
        <v>1.9</v>
      </c>
      <c r="K2271" s="147">
        <v>1.28</v>
      </c>
      <c r="L2271" s="158">
        <v>1.451</v>
      </c>
      <c r="M2271" s="59" cm="1">
        <f t="array" ref="M2271">INDEX($BV$29:$BV$1449,MATCH($D2271,$BR$29:$BR$1449,0),)</f>
        <v>1.35</v>
      </c>
      <c r="N2271" s="150">
        <f t="shared" si="685"/>
        <v>0</v>
      </c>
      <c r="O2271" s="150">
        <f t="shared" si="686"/>
        <v>-0.00480109739368995</v>
      </c>
      <c r="P2271" s="150">
        <f t="shared" si="691"/>
        <v>-0.00684462696783028</v>
      </c>
      <c r="Q2271" s="89">
        <f t="shared" si="694"/>
        <v>0.0748148148148149</v>
      </c>
      <c r="S2271" s="82">
        <f t="shared" si="695"/>
        <v>45695</v>
      </c>
      <c r="T2271" s="83">
        <f t="shared" si="692"/>
        <v>0.2941875</v>
      </c>
      <c r="U2271" s="83">
        <f t="shared" si="692"/>
        <v>0.2375</v>
      </c>
      <c r="W2271" s="146">
        <v>45695</v>
      </c>
      <c r="X2271" s="147">
        <v>6.6</v>
      </c>
      <c r="Y2271" s="147">
        <v>3.7</v>
      </c>
      <c r="Z2271" s="158">
        <v>4.707</v>
      </c>
      <c r="AA2271" s="59" cm="1">
        <f t="array" ref="AA2271">INDEX($BX$29:$BX$1449,MATCH($D2271,$BR$29:$BR$1449,0),)</f>
        <v>3.8</v>
      </c>
      <c r="AB2271" s="150">
        <f t="shared" si="696"/>
        <v>0</v>
      </c>
      <c r="AC2271" s="150">
        <f t="shared" si="698"/>
        <v>0.0038387715930901</v>
      </c>
      <c r="AD2271" s="150">
        <f t="shared" si="701"/>
        <v>0.0087869695670808</v>
      </c>
      <c r="AE2271" s="89">
        <f t="shared" si="697"/>
        <v>0.238684210526316</v>
      </c>
    </row>
    <row r="2272" spans="3:31">
      <c r="C2272" s="80" t="str" cm="1">
        <f t="array" ref="C2272">_xlfn.IFS(MONTH(D2272)&lt;4,1,MONTH(D2272)&lt;7,2,MONTH(D2272)&lt;10,3,MONTH(D2272)&gt;9,4)&amp;"Q"&amp;RIGHT(YEAR(D2272),2)</f>
        <v>1Q25</v>
      </c>
      <c r="D2272" s="81">
        <f t="shared" si="700"/>
        <v>45716</v>
      </c>
      <c r="E2272" s="82">
        <f t="shared" si="693"/>
        <v>45698</v>
      </c>
      <c r="F2272" s="83">
        <f t="shared" si="699"/>
        <v>0.181375</v>
      </c>
      <c r="G2272" s="83">
        <f t="shared" si="699"/>
        <v>0.16875</v>
      </c>
      <c r="I2272" s="146">
        <v>45698</v>
      </c>
      <c r="J2272" s="147">
        <v>1.95</v>
      </c>
      <c r="K2272" s="147">
        <v>1.27</v>
      </c>
      <c r="L2272" s="158">
        <v>1.451</v>
      </c>
      <c r="M2272" s="59" cm="1">
        <f t="array" ref="M2272">INDEX($BV$29:$BV$1449,MATCH($D2272,$BR$29:$BR$1449,0),)</f>
        <v>1.35</v>
      </c>
      <c r="N2272" s="150">
        <f t="shared" si="685"/>
        <v>0</v>
      </c>
      <c r="O2272" s="150">
        <f t="shared" si="686"/>
        <v>-0.00480109739368995</v>
      </c>
      <c r="P2272" s="150">
        <f t="shared" si="691"/>
        <v>-0.00684462696783028</v>
      </c>
      <c r="Q2272" s="89">
        <f t="shared" si="694"/>
        <v>0.0748148148148149</v>
      </c>
      <c r="S2272" s="82">
        <f t="shared" si="695"/>
        <v>45698</v>
      </c>
      <c r="T2272" s="83">
        <f t="shared" ref="T2272:U2287" si="702">+Z2272/16</f>
        <v>0.2941875</v>
      </c>
      <c r="U2272" s="83">
        <f t="shared" si="702"/>
        <v>0.2375</v>
      </c>
      <c r="W2272" s="146">
        <v>45698</v>
      </c>
      <c r="X2272" s="147">
        <v>6.6</v>
      </c>
      <c r="Y2272" s="147">
        <v>3.7</v>
      </c>
      <c r="Z2272" s="158">
        <v>4.707</v>
      </c>
      <c r="AA2272" s="59" cm="1">
        <f t="array" ref="AA2272">INDEX($BX$29:$BX$1449,MATCH($D2272,$BR$29:$BR$1449,0),)</f>
        <v>3.8</v>
      </c>
      <c r="AB2272" s="150">
        <f t="shared" si="696"/>
        <v>0</v>
      </c>
      <c r="AC2272" s="150">
        <f t="shared" si="698"/>
        <v>0.00234241908006827</v>
      </c>
      <c r="AD2272" s="150">
        <f t="shared" si="701"/>
        <v>0.00943598541711332</v>
      </c>
      <c r="AE2272" s="89">
        <f t="shared" si="697"/>
        <v>0.238684210526316</v>
      </c>
    </row>
    <row r="2273" spans="3:31">
      <c r="C2273" s="80" t="str" cm="1">
        <f t="array" ref="C2273">_xlfn.IFS(MONTH(D2273)&lt;4,1,MONTH(D2273)&lt;7,2,MONTH(D2273)&lt;10,3,MONTH(D2273)&gt;9,4)&amp;"Q"&amp;RIGHT(YEAR(D2273),2)</f>
        <v>1Q25</v>
      </c>
      <c r="D2273" s="81">
        <f t="shared" si="700"/>
        <v>45716</v>
      </c>
      <c r="E2273" s="82">
        <f t="shared" si="693"/>
        <v>45699</v>
      </c>
      <c r="F2273" s="83">
        <f t="shared" si="699"/>
        <v>0.181375</v>
      </c>
      <c r="G2273" s="83">
        <f t="shared" si="699"/>
        <v>0.16875</v>
      </c>
      <c r="I2273" s="146">
        <v>45699</v>
      </c>
      <c r="J2273" s="147">
        <v>1.95</v>
      </c>
      <c r="K2273" s="147">
        <v>1.27</v>
      </c>
      <c r="L2273" s="158">
        <v>1.451</v>
      </c>
      <c r="M2273" s="59" cm="1">
        <f t="array" ref="M2273">INDEX($BV$29:$BV$1449,MATCH($D2273,$BR$29:$BR$1449,0),)</f>
        <v>1.35</v>
      </c>
      <c r="N2273" s="150">
        <f t="shared" si="685"/>
        <v>0</v>
      </c>
      <c r="O2273" s="150">
        <f t="shared" si="686"/>
        <v>-0.00480109739368995</v>
      </c>
      <c r="P2273" s="150">
        <f t="shared" si="691"/>
        <v>-0.0054832076764908</v>
      </c>
      <c r="Q2273" s="89">
        <f t="shared" si="694"/>
        <v>0.0748148148148149</v>
      </c>
      <c r="S2273" s="82">
        <f t="shared" si="695"/>
        <v>45699</v>
      </c>
      <c r="T2273" s="83">
        <f t="shared" si="702"/>
        <v>0.2953125</v>
      </c>
      <c r="U2273" s="83">
        <f t="shared" si="702"/>
        <v>0.2375</v>
      </c>
      <c r="W2273" s="146">
        <v>45699</v>
      </c>
      <c r="X2273" s="147">
        <v>6.6</v>
      </c>
      <c r="Y2273" s="147">
        <v>3.7</v>
      </c>
      <c r="Z2273" s="158">
        <v>4.725</v>
      </c>
      <c r="AA2273" s="59" cm="1">
        <f t="array" ref="AA2273">INDEX($BX$29:$BX$1449,MATCH($D2273,$BR$29:$BR$1449,0),)</f>
        <v>3.8</v>
      </c>
      <c r="AB2273" s="150">
        <f t="shared" si="696"/>
        <v>0.00382409177820264</v>
      </c>
      <c r="AC2273" s="150">
        <f t="shared" si="698"/>
        <v>0.006175468483816</v>
      </c>
      <c r="AD2273" s="150">
        <f t="shared" si="701"/>
        <v>0.0137309590216692</v>
      </c>
      <c r="AE2273" s="89">
        <f t="shared" si="697"/>
        <v>0.243421052631579</v>
      </c>
    </row>
    <row r="2274" spans="3:31">
      <c r="C2274" s="80" t="str" cm="1">
        <f t="array" ref="C2274">_xlfn.IFS(MONTH(D2274)&lt;4,1,MONTH(D2274)&lt;7,2,MONTH(D2274)&lt;10,3,MONTH(D2274)&gt;9,4)&amp;"Q"&amp;RIGHT(YEAR(D2274),2)</f>
        <v>1Q25</v>
      </c>
      <c r="D2274" s="81">
        <f t="shared" si="700"/>
        <v>45716</v>
      </c>
      <c r="E2274" s="82">
        <f t="shared" si="693"/>
        <v>45700</v>
      </c>
      <c r="F2274" s="83">
        <f t="shared" si="699"/>
        <v>0.181125</v>
      </c>
      <c r="G2274" s="83">
        <f t="shared" si="699"/>
        <v>0.16875</v>
      </c>
      <c r="I2274" s="146">
        <v>45700</v>
      </c>
      <c r="J2274" s="147">
        <v>1.95</v>
      </c>
      <c r="K2274" s="147">
        <v>1.27</v>
      </c>
      <c r="L2274" s="158">
        <v>1.449</v>
      </c>
      <c r="M2274" s="59" cm="1">
        <f t="array" ref="M2274">INDEX($BV$29:$BV$1449,MATCH($D2274,$BR$29:$BR$1449,0),)</f>
        <v>1.35</v>
      </c>
      <c r="N2274" s="150">
        <f t="shared" si="685"/>
        <v>-0.00137835975189526</v>
      </c>
      <c r="O2274" s="150">
        <f t="shared" si="686"/>
        <v>-0.00275292498279422</v>
      </c>
      <c r="P2274" s="150">
        <f t="shared" si="691"/>
        <v>-0.00549073438572412</v>
      </c>
      <c r="Q2274" s="89">
        <f t="shared" si="694"/>
        <v>0.0733333333333333</v>
      </c>
      <c r="S2274" s="82">
        <f t="shared" si="695"/>
        <v>45700</v>
      </c>
      <c r="T2274" s="83">
        <f t="shared" si="702"/>
        <v>0.296875</v>
      </c>
      <c r="U2274" s="83">
        <f t="shared" si="702"/>
        <v>0.2375</v>
      </c>
      <c r="W2274" s="146">
        <v>45700</v>
      </c>
      <c r="X2274" s="147">
        <v>6.6</v>
      </c>
      <c r="Y2274" s="147">
        <v>3.7</v>
      </c>
      <c r="Z2274" s="158">
        <v>4.75</v>
      </c>
      <c r="AA2274" s="59" cm="1">
        <f t="array" ref="AA2274">INDEX($BX$29:$BX$1449,MATCH($D2274,$BR$29:$BR$1449,0),)</f>
        <v>3.8</v>
      </c>
      <c r="AB2274" s="150">
        <f t="shared" si="696"/>
        <v>0.00529100529100535</v>
      </c>
      <c r="AC2274" s="150">
        <f t="shared" si="698"/>
        <v>0.0114991482112436</v>
      </c>
      <c r="AD2274" s="150">
        <f t="shared" si="701"/>
        <v>0.0117145899893503</v>
      </c>
      <c r="AE2274" s="89">
        <f t="shared" si="697"/>
        <v>0.25</v>
      </c>
    </row>
    <row r="2275" spans="3:31">
      <c r="C2275" s="80" t="str" cm="1">
        <f t="array" ref="C2275">_xlfn.IFS(MONTH(D2275)&lt;4,1,MONTH(D2275)&lt;7,2,MONTH(D2275)&lt;10,3,MONTH(D2275)&gt;9,4)&amp;"Q"&amp;RIGHT(YEAR(D2275),2)</f>
        <v>1Q25</v>
      </c>
      <c r="D2275" s="81">
        <f t="shared" si="700"/>
        <v>45716</v>
      </c>
      <c r="E2275" s="82">
        <f t="shared" si="693"/>
        <v>45701</v>
      </c>
      <c r="F2275" s="83">
        <f t="shared" si="699"/>
        <v>0.181125</v>
      </c>
      <c r="G2275" s="83">
        <f t="shared" si="699"/>
        <v>0.16875</v>
      </c>
      <c r="I2275" s="146">
        <v>45701</v>
      </c>
      <c r="J2275" s="147">
        <v>1.95</v>
      </c>
      <c r="K2275" s="147">
        <v>1.27</v>
      </c>
      <c r="L2275" s="158">
        <v>1.449</v>
      </c>
      <c r="M2275" s="59" cm="1">
        <f t="array" ref="M2275">INDEX($BV$29:$BV$1449,MATCH($D2275,$BR$29:$BR$1449,0),)</f>
        <v>1.35</v>
      </c>
      <c r="N2275" s="150">
        <f t="shared" si="685"/>
        <v>0</v>
      </c>
      <c r="O2275" s="150">
        <f t="shared" si="686"/>
        <v>-0.00137835975189526</v>
      </c>
      <c r="P2275" s="150">
        <f t="shared" si="691"/>
        <v>-0.00480769230769229</v>
      </c>
      <c r="Q2275" s="89">
        <f t="shared" si="694"/>
        <v>0.0733333333333333</v>
      </c>
      <c r="S2275" s="82">
        <f t="shared" si="695"/>
        <v>45701</v>
      </c>
      <c r="T2275" s="83">
        <f t="shared" si="702"/>
        <v>0.2975625</v>
      </c>
      <c r="U2275" s="83">
        <f t="shared" si="702"/>
        <v>0.2375</v>
      </c>
      <c r="W2275" s="146">
        <v>45701</v>
      </c>
      <c r="X2275" s="147">
        <v>6.6</v>
      </c>
      <c r="Y2275" s="147">
        <v>3.74</v>
      </c>
      <c r="Z2275" s="158">
        <v>4.761</v>
      </c>
      <c r="AA2275" s="59" cm="1">
        <f t="array" ref="AA2275">INDEX($BX$29:$BX$1449,MATCH($D2275,$BR$29:$BR$1449,0),)</f>
        <v>3.8</v>
      </c>
      <c r="AB2275" s="150">
        <f t="shared" si="696"/>
        <v>0.00231578947368427</v>
      </c>
      <c r="AC2275" s="150">
        <f t="shared" si="698"/>
        <v>0.0114722753346082</v>
      </c>
      <c r="AD2275" s="150">
        <f t="shared" si="701"/>
        <v>0.0140575079872205</v>
      </c>
      <c r="AE2275" s="89">
        <f t="shared" si="697"/>
        <v>0.252894736842105</v>
      </c>
    </row>
    <row r="2276" spans="3:31">
      <c r="C2276" s="80" t="str" cm="1">
        <f t="array" ref="C2276">_xlfn.IFS(MONTH(D2276)&lt;4,1,MONTH(D2276)&lt;7,2,MONTH(D2276)&lt;10,3,MONTH(D2276)&gt;9,4)&amp;"Q"&amp;RIGHT(YEAR(D2276),2)</f>
        <v>1Q25</v>
      </c>
      <c r="D2276" s="81">
        <f t="shared" si="700"/>
        <v>45716</v>
      </c>
      <c r="E2276" s="82">
        <f t="shared" si="693"/>
        <v>45702</v>
      </c>
      <c r="F2276" s="83">
        <f t="shared" si="699"/>
        <v>0.181125</v>
      </c>
      <c r="G2276" s="83">
        <f t="shared" si="699"/>
        <v>0.16875</v>
      </c>
      <c r="I2276" s="146">
        <v>45702</v>
      </c>
      <c r="J2276" s="147">
        <v>1.95</v>
      </c>
      <c r="K2276" s="147">
        <v>1.27</v>
      </c>
      <c r="L2276" s="158">
        <v>1.449</v>
      </c>
      <c r="M2276" s="59" cm="1">
        <f t="array" ref="M2276">INDEX($BV$29:$BV$1449,MATCH($D2276,$BR$29:$BR$1449,0),)</f>
        <v>1.35</v>
      </c>
      <c r="N2276" s="150">
        <f t="shared" si="685"/>
        <v>0</v>
      </c>
      <c r="O2276" s="150">
        <f t="shared" si="686"/>
        <v>-0.00137835975189526</v>
      </c>
      <c r="P2276" s="150">
        <f t="shared" si="691"/>
        <v>-0.00617283950617276</v>
      </c>
      <c r="Q2276" s="89">
        <f t="shared" si="694"/>
        <v>0.0733333333333333</v>
      </c>
      <c r="S2276" s="82">
        <f t="shared" si="695"/>
        <v>45702</v>
      </c>
      <c r="T2276" s="83">
        <f t="shared" si="702"/>
        <v>0.2983125</v>
      </c>
      <c r="U2276" s="83">
        <f t="shared" si="702"/>
        <v>0.2375</v>
      </c>
      <c r="W2276" s="146">
        <v>45702</v>
      </c>
      <c r="X2276" s="147">
        <v>6.5</v>
      </c>
      <c r="Y2276" s="147">
        <v>3.74</v>
      </c>
      <c r="Z2276" s="158">
        <v>4.773</v>
      </c>
      <c r="AA2276" s="59" cm="1">
        <f t="array" ref="AA2276">INDEX($BX$29:$BX$1449,MATCH($D2276,$BR$29:$BR$1449,0),)</f>
        <v>3.8</v>
      </c>
      <c r="AB2276" s="150">
        <f t="shared" si="696"/>
        <v>0.00252047889098916</v>
      </c>
      <c r="AC2276" s="150">
        <f t="shared" si="698"/>
        <v>0.0140216698534097</v>
      </c>
      <c r="AD2276" s="150">
        <f t="shared" si="701"/>
        <v>0.0179142674344208</v>
      </c>
      <c r="AE2276" s="89">
        <f t="shared" si="697"/>
        <v>0.256052631578947</v>
      </c>
    </row>
    <row r="2277" spans="3:31">
      <c r="C2277" s="80" t="str" cm="1">
        <f t="array" ref="C2277">_xlfn.IFS(MONTH(D2277)&lt;4,1,MONTH(D2277)&lt;7,2,MONTH(D2277)&lt;10,3,MONTH(D2277)&gt;9,4)&amp;"Q"&amp;RIGHT(YEAR(D2277),2)</f>
        <v>1Q25</v>
      </c>
      <c r="D2277" s="81">
        <f t="shared" si="700"/>
        <v>45716</v>
      </c>
      <c r="E2277" s="82">
        <f t="shared" si="693"/>
        <v>45705</v>
      </c>
      <c r="F2277" s="83">
        <f t="shared" si="699"/>
        <v>0.181125</v>
      </c>
      <c r="G2277" s="83">
        <f t="shared" si="699"/>
        <v>0.16875</v>
      </c>
      <c r="I2277" s="146">
        <v>45705</v>
      </c>
      <c r="J2277" s="147">
        <v>1.96</v>
      </c>
      <c r="K2277" s="147">
        <v>1.28</v>
      </c>
      <c r="L2277" s="158">
        <v>1.449</v>
      </c>
      <c r="M2277" s="59" cm="1">
        <f t="array" ref="M2277">INDEX($BV$29:$BV$1449,MATCH($D2277,$BR$29:$BR$1449,0),)</f>
        <v>1.35</v>
      </c>
      <c r="N2277" s="150">
        <f t="shared" si="685"/>
        <v>0</v>
      </c>
      <c r="O2277" s="150">
        <f t="shared" si="686"/>
        <v>-0.00137835975189526</v>
      </c>
      <c r="P2277" s="150">
        <f t="shared" si="691"/>
        <v>-0.00617283950617276</v>
      </c>
      <c r="Q2277" s="89">
        <f t="shared" si="694"/>
        <v>0.0733333333333333</v>
      </c>
      <c r="S2277" s="82">
        <f t="shared" si="695"/>
        <v>45705</v>
      </c>
      <c r="T2277" s="83">
        <f t="shared" si="702"/>
        <v>0.2988125</v>
      </c>
      <c r="U2277" s="83">
        <f t="shared" si="702"/>
        <v>0.2375</v>
      </c>
      <c r="W2277" s="146">
        <v>45705</v>
      </c>
      <c r="X2277" s="147">
        <v>6.4</v>
      </c>
      <c r="Y2277" s="147">
        <v>3.75</v>
      </c>
      <c r="Z2277" s="158">
        <v>4.781</v>
      </c>
      <c r="AA2277" s="59" cm="1">
        <f t="array" ref="AA2277">INDEX($BX$29:$BX$1449,MATCH($D2277,$BR$29:$BR$1449,0),)</f>
        <v>3.8</v>
      </c>
      <c r="AB2277" s="150">
        <f t="shared" si="696"/>
        <v>0.00167609469935059</v>
      </c>
      <c r="AC2277" s="150">
        <f t="shared" si="698"/>
        <v>0.0157212661992776</v>
      </c>
      <c r="AD2277" s="150">
        <f t="shared" si="701"/>
        <v>0.0181005110732537</v>
      </c>
      <c r="AE2277" s="89">
        <f t="shared" si="697"/>
        <v>0.258157894736842</v>
      </c>
    </row>
    <row r="2278" spans="3:31">
      <c r="C2278" s="80" t="str" cm="1">
        <f t="array" ref="C2278">_xlfn.IFS(MONTH(D2278)&lt;4,1,MONTH(D2278)&lt;7,2,MONTH(D2278)&lt;10,3,MONTH(D2278)&gt;9,4)&amp;"Q"&amp;RIGHT(YEAR(D2278),2)</f>
        <v>1Q25</v>
      </c>
      <c r="D2278" s="81">
        <f t="shared" si="700"/>
        <v>45716</v>
      </c>
      <c r="E2278" s="82">
        <f t="shared" si="693"/>
        <v>45706</v>
      </c>
      <c r="F2278" s="83">
        <f t="shared" si="699"/>
        <v>0.181125</v>
      </c>
      <c r="G2278" s="83">
        <f t="shared" si="699"/>
        <v>0.16875</v>
      </c>
      <c r="I2278" s="146">
        <v>45706</v>
      </c>
      <c r="J2278" s="147">
        <v>1.96</v>
      </c>
      <c r="K2278" s="147">
        <v>1.28</v>
      </c>
      <c r="L2278" s="158">
        <v>1.449</v>
      </c>
      <c r="M2278" s="59" cm="1">
        <f t="array" ref="M2278">INDEX($BV$29:$BV$1449,MATCH($D2278,$BR$29:$BR$1449,0),)</f>
        <v>1.35</v>
      </c>
      <c r="N2278" s="150">
        <f t="shared" si="685"/>
        <v>0</v>
      </c>
      <c r="O2278" s="150">
        <f t="shared" si="686"/>
        <v>-0.00137835975189526</v>
      </c>
      <c r="P2278" s="150">
        <f t="shared" si="691"/>
        <v>-0.00617283950617276</v>
      </c>
      <c r="Q2278" s="89">
        <f t="shared" si="694"/>
        <v>0.0733333333333333</v>
      </c>
      <c r="S2278" s="82">
        <f t="shared" si="695"/>
        <v>45706</v>
      </c>
      <c r="T2278" s="83">
        <f t="shared" si="702"/>
        <v>0.2991875</v>
      </c>
      <c r="U2278" s="83">
        <f t="shared" si="702"/>
        <v>0.2375</v>
      </c>
      <c r="W2278" s="146">
        <v>45706</v>
      </c>
      <c r="X2278" s="147">
        <v>6.4</v>
      </c>
      <c r="Y2278" s="147">
        <v>3.75</v>
      </c>
      <c r="Z2278" s="158">
        <v>4.787</v>
      </c>
      <c r="AA2278" s="59" cm="1">
        <f t="array" ref="AA2278">INDEX($BX$29:$BX$1449,MATCH($D2278,$BR$29:$BR$1449,0),)</f>
        <v>3.8</v>
      </c>
      <c r="AB2278" s="150">
        <f t="shared" si="696"/>
        <v>0.00125496758000421</v>
      </c>
      <c r="AC2278" s="150">
        <f t="shared" si="698"/>
        <v>0.0131216931216931</v>
      </c>
      <c r="AD2278" s="150">
        <f t="shared" si="701"/>
        <v>0.0193781942078366</v>
      </c>
      <c r="AE2278" s="89">
        <f t="shared" si="697"/>
        <v>0.259736842105263</v>
      </c>
    </row>
    <row r="2279" spans="3:31">
      <c r="C2279" s="80" t="str" cm="1">
        <f t="array" ref="C2279">_xlfn.IFS(MONTH(D2279)&lt;4,1,MONTH(D2279)&lt;7,2,MONTH(D2279)&lt;10,3,MONTH(D2279)&gt;9,4)&amp;"Q"&amp;RIGHT(YEAR(D2279),2)</f>
        <v>1Q25</v>
      </c>
      <c r="D2279" s="81">
        <f t="shared" si="700"/>
        <v>45716</v>
      </c>
      <c r="E2279" s="82">
        <f t="shared" si="693"/>
        <v>45707</v>
      </c>
      <c r="F2279" s="83">
        <f t="shared" si="699"/>
        <v>0.181375</v>
      </c>
      <c r="G2279" s="83">
        <f t="shared" si="699"/>
        <v>0.16875</v>
      </c>
      <c r="I2279" s="146">
        <v>45707</v>
      </c>
      <c r="J2279" s="147">
        <v>1.96</v>
      </c>
      <c r="K2279" s="147">
        <v>1.28</v>
      </c>
      <c r="L2279" s="158">
        <v>1.451</v>
      </c>
      <c r="M2279" s="59" cm="1">
        <f t="array" ref="M2279">INDEX($BV$29:$BV$1449,MATCH($D2279,$BR$29:$BR$1449,0),)</f>
        <v>1.35</v>
      </c>
      <c r="N2279" s="150">
        <f t="shared" si="685"/>
        <v>0.00138026224982757</v>
      </c>
      <c r="O2279" s="150">
        <f t="shared" si="686"/>
        <v>0.00138026224982757</v>
      </c>
      <c r="P2279" s="150">
        <f t="shared" si="691"/>
        <v>-0.00137646249139711</v>
      </c>
      <c r="Q2279" s="89">
        <f t="shared" si="694"/>
        <v>0.0748148148148149</v>
      </c>
      <c r="S2279" s="82">
        <f t="shared" si="695"/>
        <v>45707</v>
      </c>
      <c r="T2279" s="83">
        <f t="shared" si="702"/>
        <v>0.2991875</v>
      </c>
      <c r="U2279" s="83">
        <f t="shared" si="702"/>
        <v>0.2375</v>
      </c>
      <c r="W2279" s="146">
        <v>45707</v>
      </c>
      <c r="X2279" s="147">
        <v>6.4</v>
      </c>
      <c r="Y2279" s="147">
        <v>3.75</v>
      </c>
      <c r="Z2279" s="158">
        <v>4.787</v>
      </c>
      <c r="AA2279" s="59" cm="1">
        <f t="array" ref="AA2279">INDEX($BX$29:$BX$1449,MATCH($D2279,$BR$29:$BR$1449,0),)</f>
        <v>3.8</v>
      </c>
      <c r="AB2279" s="150">
        <f t="shared" si="696"/>
        <v>0</v>
      </c>
      <c r="AC2279" s="150">
        <f t="shared" si="698"/>
        <v>0.00778947368421057</v>
      </c>
      <c r="AD2279" s="150">
        <f t="shared" si="701"/>
        <v>0.0193781942078366</v>
      </c>
      <c r="AE2279" s="89">
        <f t="shared" si="697"/>
        <v>0.259736842105263</v>
      </c>
    </row>
    <row r="2280" spans="3:31">
      <c r="C2280" s="80" t="str" cm="1">
        <f t="array" ref="C2280">_xlfn.IFS(MONTH(D2280)&lt;4,1,MONTH(D2280)&lt;7,2,MONTH(D2280)&lt;10,3,MONTH(D2280)&gt;9,4)&amp;"Q"&amp;RIGHT(YEAR(D2280),2)</f>
        <v>1Q25</v>
      </c>
      <c r="D2280" s="81">
        <f t="shared" si="700"/>
        <v>45716</v>
      </c>
      <c r="E2280" s="82">
        <f t="shared" si="693"/>
        <v>45708</v>
      </c>
      <c r="F2280" s="83">
        <f t="shared" si="699"/>
        <v>0.181375</v>
      </c>
      <c r="G2280" s="83">
        <f t="shared" si="699"/>
        <v>0.16875</v>
      </c>
      <c r="I2280" s="146">
        <v>45708</v>
      </c>
      <c r="J2280" s="147">
        <v>1.95</v>
      </c>
      <c r="K2280" s="147">
        <v>1.3</v>
      </c>
      <c r="L2280" s="158">
        <v>1.451</v>
      </c>
      <c r="M2280" s="59" cm="1">
        <f t="array" ref="M2280">INDEX($BV$29:$BV$1449,MATCH($D2280,$BR$29:$BR$1449,0),)</f>
        <v>1.35</v>
      </c>
      <c r="N2280" s="150">
        <f t="shared" si="685"/>
        <v>0</v>
      </c>
      <c r="O2280" s="150">
        <f t="shared" si="686"/>
        <v>0.00138026224982757</v>
      </c>
      <c r="P2280" s="150">
        <f t="shared" si="691"/>
        <v>0</v>
      </c>
      <c r="Q2280" s="89">
        <f t="shared" si="694"/>
        <v>0.0748148148148149</v>
      </c>
      <c r="S2280" s="82">
        <f t="shared" si="695"/>
        <v>45708</v>
      </c>
      <c r="T2280" s="83">
        <f t="shared" si="702"/>
        <v>0.2998125</v>
      </c>
      <c r="U2280" s="83">
        <f t="shared" si="702"/>
        <v>0.2375</v>
      </c>
      <c r="W2280" s="146">
        <v>45708</v>
      </c>
      <c r="X2280" s="147">
        <v>6.4</v>
      </c>
      <c r="Y2280" s="147">
        <v>3.75</v>
      </c>
      <c r="Z2280" s="158">
        <v>4.797</v>
      </c>
      <c r="AA2280" s="59" cm="1">
        <f t="array" ref="AA2280">INDEX($BX$29:$BX$1449,MATCH($D2280,$BR$29:$BR$1449,0),)</f>
        <v>3.8</v>
      </c>
      <c r="AB2280" s="150">
        <f t="shared" si="696"/>
        <v>0.0020889910173385</v>
      </c>
      <c r="AC2280" s="150">
        <f t="shared" si="698"/>
        <v>0.00756143667296771</v>
      </c>
      <c r="AD2280" s="150">
        <f t="shared" si="701"/>
        <v>0.0191204588910134</v>
      </c>
      <c r="AE2280" s="89">
        <f t="shared" si="697"/>
        <v>0.262368421052632</v>
      </c>
    </row>
    <row r="2281" spans="3:31">
      <c r="C2281" s="80" t="str" cm="1">
        <f t="array" ref="C2281">_xlfn.IFS(MONTH(D2281)&lt;4,1,MONTH(D2281)&lt;7,2,MONTH(D2281)&lt;10,3,MONTH(D2281)&gt;9,4)&amp;"Q"&amp;RIGHT(YEAR(D2281),2)</f>
        <v>1Q25</v>
      </c>
      <c r="D2281" s="81">
        <f t="shared" si="700"/>
        <v>45716</v>
      </c>
      <c r="E2281" s="82">
        <f t="shared" si="693"/>
        <v>45709</v>
      </c>
      <c r="F2281" s="83">
        <f t="shared" si="699"/>
        <v>0.181375</v>
      </c>
      <c r="G2281" s="83">
        <f t="shared" si="699"/>
        <v>0.16875</v>
      </c>
      <c r="I2281" s="146">
        <v>45709</v>
      </c>
      <c r="J2281" s="147">
        <v>1.95</v>
      </c>
      <c r="K2281" s="147">
        <v>1.3</v>
      </c>
      <c r="L2281" s="158">
        <v>1.451</v>
      </c>
      <c r="M2281" s="59" cm="1">
        <f t="array" ref="M2281">INDEX($BV$29:$BV$1449,MATCH($D2281,$BR$29:$BR$1449,0),)</f>
        <v>1.35</v>
      </c>
      <c r="N2281" s="150">
        <f t="shared" si="685"/>
        <v>0</v>
      </c>
      <c r="O2281" s="150">
        <f t="shared" si="686"/>
        <v>0.00138026224982757</v>
      </c>
      <c r="P2281" s="150">
        <f t="shared" si="691"/>
        <v>0</v>
      </c>
      <c r="Q2281" s="89">
        <f t="shared" si="694"/>
        <v>0.0748148148148149</v>
      </c>
      <c r="S2281" s="82">
        <f t="shared" si="695"/>
        <v>45709</v>
      </c>
      <c r="T2281" s="83">
        <f t="shared" si="702"/>
        <v>0.3005625</v>
      </c>
      <c r="U2281" s="83">
        <f t="shared" si="702"/>
        <v>0.2375</v>
      </c>
      <c r="W2281" s="146">
        <v>45709</v>
      </c>
      <c r="X2281" s="147">
        <v>6.4</v>
      </c>
      <c r="Y2281" s="147">
        <v>3.75</v>
      </c>
      <c r="Z2281" s="158">
        <v>4.809</v>
      </c>
      <c r="AA2281" s="59" cm="1">
        <f t="array" ref="AA2281">INDEX($BX$29:$BX$1449,MATCH($D2281,$BR$29:$BR$1449,0),)</f>
        <v>3.8</v>
      </c>
      <c r="AB2281" s="150">
        <f t="shared" si="696"/>
        <v>0.00250156347717323</v>
      </c>
      <c r="AC2281" s="150">
        <f t="shared" si="698"/>
        <v>0.00754242614707734</v>
      </c>
      <c r="AD2281" s="150">
        <f t="shared" si="701"/>
        <v>0.0216698534098152</v>
      </c>
      <c r="AE2281" s="89">
        <f t="shared" si="697"/>
        <v>0.265526315789474</v>
      </c>
    </row>
    <row r="2282" spans="3:31">
      <c r="C2282" s="80" t="str" cm="1">
        <f t="array" ref="C2282">_xlfn.IFS(MONTH(D2282)&lt;4,1,MONTH(D2282)&lt;7,2,MONTH(D2282)&lt;10,3,MONTH(D2282)&gt;9,4)&amp;"Q"&amp;RIGHT(YEAR(D2282),2)</f>
        <v>1Q25</v>
      </c>
      <c r="D2282" s="81">
        <f t="shared" si="700"/>
        <v>45716</v>
      </c>
      <c r="E2282" s="82">
        <f t="shared" si="693"/>
        <v>45712</v>
      </c>
      <c r="F2282" s="83">
        <f t="shared" ref="F2282:G2297" si="703">+L2282/8</f>
        <v>0.181125</v>
      </c>
      <c r="G2282" s="83">
        <f t="shared" si="703"/>
        <v>0.16875</v>
      </c>
      <c r="I2282" s="146">
        <v>45712</v>
      </c>
      <c r="J2282" s="147">
        <v>1.95</v>
      </c>
      <c r="K2282" s="147">
        <v>1.29</v>
      </c>
      <c r="L2282" s="158">
        <v>1.449</v>
      </c>
      <c r="M2282" s="59" cm="1">
        <f t="array" ref="M2282">INDEX($BV$29:$BV$1449,MATCH($D2282,$BR$29:$BR$1449,0),)</f>
        <v>1.35</v>
      </c>
      <c r="N2282" s="150">
        <f t="shared" si="685"/>
        <v>-0.00137835975189526</v>
      </c>
      <c r="O2282" s="150">
        <f t="shared" si="686"/>
        <v>0</v>
      </c>
      <c r="P2282" s="150">
        <f t="shared" si="691"/>
        <v>-0.00137835975189526</v>
      </c>
      <c r="Q2282" s="89">
        <f t="shared" si="694"/>
        <v>0.0733333333333333</v>
      </c>
      <c r="S2282" s="82">
        <f t="shared" si="695"/>
        <v>45712</v>
      </c>
      <c r="T2282" s="83">
        <f t="shared" si="702"/>
        <v>0.301375</v>
      </c>
      <c r="U2282" s="83">
        <f t="shared" si="702"/>
        <v>0.2375</v>
      </c>
      <c r="W2282" s="146">
        <v>45712</v>
      </c>
      <c r="X2282" s="147">
        <v>6.35</v>
      </c>
      <c r="Y2282" s="147">
        <v>3.75</v>
      </c>
      <c r="Z2282" s="158">
        <v>4.822</v>
      </c>
      <c r="AA2282" s="59" cm="1">
        <f t="array" ref="AA2282">INDEX($BX$29:$BX$1449,MATCH($D2282,$BR$29:$BR$1449,0),)</f>
        <v>3.8</v>
      </c>
      <c r="AB2282" s="150">
        <f t="shared" si="696"/>
        <v>0.00270326471199822</v>
      </c>
      <c r="AC2282" s="150">
        <f t="shared" si="698"/>
        <v>0.0085756117966953</v>
      </c>
      <c r="AD2282" s="150">
        <f t="shared" si="701"/>
        <v>0.0244316974718506</v>
      </c>
      <c r="AE2282" s="89">
        <f t="shared" si="697"/>
        <v>0.268947368421053</v>
      </c>
    </row>
    <row r="2283" spans="3:31">
      <c r="C2283" s="80" t="str" cm="1">
        <f t="array" ref="C2283">_xlfn.IFS(MONTH(D2283)&lt;4,1,MONTH(D2283)&lt;7,2,MONTH(D2283)&lt;10,3,MONTH(D2283)&gt;9,4)&amp;"Q"&amp;RIGHT(YEAR(D2283),2)</f>
        <v>1Q25</v>
      </c>
      <c r="D2283" s="81">
        <f t="shared" si="700"/>
        <v>45716</v>
      </c>
      <c r="E2283" s="82">
        <f t="shared" si="693"/>
        <v>45713</v>
      </c>
      <c r="F2283" s="83">
        <f t="shared" si="703"/>
        <v>0.180875</v>
      </c>
      <c r="G2283" s="83">
        <f t="shared" si="703"/>
        <v>0.16875</v>
      </c>
      <c r="I2283" s="146">
        <v>45713</v>
      </c>
      <c r="J2283" s="147">
        <v>1.95</v>
      </c>
      <c r="K2283" s="147">
        <v>1.29</v>
      </c>
      <c r="L2283" s="158">
        <v>1.447</v>
      </c>
      <c r="M2283" s="59" cm="1">
        <f t="array" ref="M2283">INDEX($BV$29:$BV$1449,MATCH($D2283,$BR$29:$BR$1449,0),)</f>
        <v>1.35</v>
      </c>
      <c r="N2283" s="150">
        <f t="shared" si="685"/>
        <v>-0.00138026224982746</v>
      </c>
      <c r="O2283" s="150">
        <f t="shared" si="686"/>
        <v>-0.00138026224982746</v>
      </c>
      <c r="P2283" s="150">
        <f t="shared" si="691"/>
        <v>-0.00275671950379053</v>
      </c>
      <c r="Q2283" s="89">
        <f t="shared" si="694"/>
        <v>0.0718518518518518</v>
      </c>
      <c r="S2283" s="82">
        <f t="shared" si="695"/>
        <v>45713</v>
      </c>
      <c r="T2283" s="83">
        <f t="shared" si="702"/>
        <v>0.3019375</v>
      </c>
      <c r="U2283" s="83">
        <f t="shared" si="702"/>
        <v>0.2375</v>
      </c>
      <c r="W2283" s="146">
        <v>45713</v>
      </c>
      <c r="X2283" s="147">
        <v>6.35</v>
      </c>
      <c r="Y2283" s="147">
        <v>3.75</v>
      </c>
      <c r="Z2283" s="158">
        <v>4.831</v>
      </c>
      <c r="AA2283" s="59" cm="1">
        <f t="array" ref="AA2283">INDEX($BX$29:$BX$1449,MATCH($D2283,$BR$29:$BR$1449,0),)</f>
        <v>3.8</v>
      </c>
      <c r="AB2283" s="150">
        <f t="shared" si="696"/>
        <v>0.00186644545831616</v>
      </c>
      <c r="AC2283" s="150">
        <f t="shared" si="698"/>
        <v>0.00919156047628999</v>
      </c>
      <c r="AD2283" s="150">
        <f t="shared" si="701"/>
        <v>0.0224338624338627</v>
      </c>
      <c r="AE2283" s="89">
        <f t="shared" si="697"/>
        <v>0.271315789473684</v>
      </c>
    </row>
    <row r="2284" spans="3:31">
      <c r="C2284" s="80" t="str" cm="1">
        <f t="array" ref="C2284">_xlfn.IFS(MONTH(D2284)&lt;4,1,MONTH(D2284)&lt;7,2,MONTH(D2284)&lt;10,3,MONTH(D2284)&gt;9,4)&amp;"Q"&amp;RIGHT(YEAR(D2284),2)</f>
        <v>1Q25</v>
      </c>
      <c r="D2284" s="81">
        <f t="shared" si="700"/>
        <v>45716</v>
      </c>
      <c r="E2284" s="82">
        <f t="shared" si="693"/>
        <v>45714</v>
      </c>
      <c r="F2284" s="83">
        <f t="shared" si="703"/>
        <v>0.18075</v>
      </c>
      <c r="G2284" s="83">
        <f t="shared" si="703"/>
        <v>0.16875</v>
      </c>
      <c r="I2284" s="146">
        <v>45714</v>
      </c>
      <c r="J2284" s="147">
        <v>1.95</v>
      </c>
      <c r="K2284" s="147">
        <v>1.29</v>
      </c>
      <c r="L2284" s="158">
        <v>1.446</v>
      </c>
      <c r="M2284" s="59" cm="1">
        <f t="array" ref="M2284">INDEX($BV$29:$BV$1449,MATCH($D2284,$BR$29:$BR$1449,0),)</f>
        <v>1.35</v>
      </c>
      <c r="N2284" s="150">
        <f t="shared" ref="N2284:N2347" si="704">L2284/L2283-1</f>
        <v>-0.000691085003455494</v>
      </c>
      <c r="O2284" s="150">
        <f t="shared" ref="O2284:O2347" si="705">L2284/L2279-1</f>
        <v>-0.00344589937973816</v>
      </c>
      <c r="P2284" s="150">
        <f t="shared" si="691"/>
        <v>-0.00207039337474124</v>
      </c>
      <c r="Q2284" s="89">
        <f t="shared" si="694"/>
        <v>0.0711111111111109</v>
      </c>
      <c r="S2284" s="82">
        <f t="shared" si="695"/>
        <v>45714</v>
      </c>
      <c r="T2284" s="83">
        <f t="shared" si="702"/>
        <v>0.3023125</v>
      </c>
      <c r="U2284" s="83">
        <f t="shared" si="702"/>
        <v>0.2375</v>
      </c>
      <c r="W2284" s="146">
        <v>45714</v>
      </c>
      <c r="X2284" s="147">
        <v>6.35</v>
      </c>
      <c r="Y2284" s="147">
        <v>3.75</v>
      </c>
      <c r="Z2284" s="158">
        <v>4.837</v>
      </c>
      <c r="AA2284" s="59" cm="1">
        <f t="array" ref="AA2284">INDEX($BX$29:$BX$1449,MATCH($D2284,$BR$29:$BR$1449,0),)</f>
        <v>3.8</v>
      </c>
      <c r="AB2284" s="150">
        <f t="shared" si="696"/>
        <v>0.00124197888635869</v>
      </c>
      <c r="AC2284" s="150">
        <f t="shared" si="698"/>
        <v>0.0104449550866932</v>
      </c>
      <c r="AD2284" s="150">
        <f t="shared" si="701"/>
        <v>0.0183157894736841</v>
      </c>
      <c r="AE2284" s="89">
        <f t="shared" si="697"/>
        <v>0.272894736842105</v>
      </c>
    </row>
    <row r="2285" spans="3:31">
      <c r="C2285" s="80" t="str" cm="1">
        <f t="array" ref="C2285">_xlfn.IFS(MONTH(D2285)&lt;4,1,MONTH(D2285)&lt;7,2,MONTH(D2285)&lt;10,3,MONTH(D2285)&gt;9,4)&amp;"Q"&amp;RIGHT(YEAR(D2285),2)</f>
        <v>1Q25</v>
      </c>
      <c r="D2285" s="81">
        <f t="shared" si="700"/>
        <v>45716</v>
      </c>
      <c r="E2285" s="82">
        <f t="shared" si="693"/>
        <v>45715</v>
      </c>
      <c r="F2285" s="83">
        <f t="shared" si="703"/>
        <v>0.18075</v>
      </c>
      <c r="G2285" s="83">
        <f t="shared" si="703"/>
        <v>0.16875</v>
      </c>
      <c r="I2285" s="146">
        <v>45715</v>
      </c>
      <c r="J2285" s="147">
        <v>1.95</v>
      </c>
      <c r="K2285" s="147">
        <v>1.29</v>
      </c>
      <c r="L2285" s="158">
        <v>1.446</v>
      </c>
      <c r="M2285" s="59" cm="1">
        <f t="array" ref="M2285">INDEX($BV$29:$BV$1449,MATCH($D2285,$BR$29:$BR$1449,0),)</f>
        <v>1.35</v>
      </c>
      <c r="N2285" s="150">
        <f t="shared" si="704"/>
        <v>0</v>
      </c>
      <c r="O2285" s="150">
        <f t="shared" si="705"/>
        <v>-0.00344589937973816</v>
      </c>
      <c r="P2285" s="150">
        <f t="shared" si="691"/>
        <v>-0.00207039337474124</v>
      </c>
      <c r="Q2285" s="89">
        <f t="shared" si="694"/>
        <v>0.0711111111111109</v>
      </c>
      <c r="S2285" s="82">
        <f t="shared" si="695"/>
        <v>45715</v>
      </c>
      <c r="T2285" s="83">
        <f t="shared" si="702"/>
        <v>0.3055625</v>
      </c>
      <c r="U2285" s="83">
        <f t="shared" si="702"/>
        <v>0.2375</v>
      </c>
      <c r="W2285" s="146">
        <v>45715</v>
      </c>
      <c r="X2285" s="147">
        <v>6.35</v>
      </c>
      <c r="Y2285" s="147">
        <v>3.95</v>
      </c>
      <c r="Z2285" s="158">
        <v>4.889</v>
      </c>
      <c r="AA2285" s="59" cm="1">
        <f t="array" ref="AA2285">INDEX($BX$29:$BX$1449,MATCH($D2285,$BR$29:$BR$1449,0),)</f>
        <v>3.8</v>
      </c>
      <c r="AB2285" s="150">
        <f t="shared" si="696"/>
        <v>0.0107504651643582</v>
      </c>
      <c r="AC2285" s="150">
        <f t="shared" si="698"/>
        <v>0.0191786533249949</v>
      </c>
      <c r="AD2285" s="150">
        <f t="shared" si="701"/>
        <v>0.0268851081705523</v>
      </c>
      <c r="AE2285" s="89">
        <f t="shared" si="697"/>
        <v>0.286578947368421</v>
      </c>
    </row>
    <row r="2286" spans="3:31">
      <c r="C2286" s="80" t="str" cm="1">
        <f t="array" ref="C2286">_xlfn.IFS(MONTH(D2286)&lt;4,1,MONTH(D2286)&lt;7,2,MONTH(D2286)&lt;10,3,MONTH(D2286)&gt;9,4)&amp;"Q"&amp;RIGHT(YEAR(D2286),2)</f>
        <v>1Q25</v>
      </c>
      <c r="D2286" s="81">
        <f t="shared" si="700"/>
        <v>45716</v>
      </c>
      <c r="E2286" s="82">
        <f t="shared" si="693"/>
        <v>45716</v>
      </c>
      <c r="F2286" s="83">
        <f t="shared" si="703"/>
        <v>0.18075</v>
      </c>
      <c r="G2286" s="83">
        <f t="shared" si="703"/>
        <v>0.16875</v>
      </c>
      <c r="I2286" s="146">
        <v>45716</v>
      </c>
      <c r="J2286" s="147">
        <v>1.95</v>
      </c>
      <c r="K2286" s="147">
        <v>1.29</v>
      </c>
      <c r="L2286" s="158">
        <v>1.446</v>
      </c>
      <c r="M2286" s="59" cm="1">
        <f t="array" ref="M2286">INDEX($BV$29:$BV$1449,MATCH($D2286,$BR$29:$BR$1449,0),)</f>
        <v>1.35</v>
      </c>
      <c r="N2286" s="150">
        <f t="shared" si="704"/>
        <v>0</v>
      </c>
      <c r="O2286" s="150">
        <f t="shared" si="705"/>
        <v>-0.00344589937973816</v>
      </c>
      <c r="P2286" s="150">
        <f t="shared" si="691"/>
        <v>-0.00207039337474124</v>
      </c>
      <c r="Q2286" s="89">
        <f t="shared" si="694"/>
        <v>0.0711111111111109</v>
      </c>
      <c r="S2286" s="82">
        <f t="shared" si="695"/>
        <v>45716</v>
      </c>
      <c r="T2286" s="83">
        <f t="shared" si="702"/>
        <v>0.30625</v>
      </c>
      <c r="U2286" s="83">
        <f t="shared" si="702"/>
        <v>0.2375</v>
      </c>
      <c r="W2286" s="146">
        <v>45716</v>
      </c>
      <c r="X2286" s="147">
        <v>6.35</v>
      </c>
      <c r="Y2286" s="147">
        <v>4</v>
      </c>
      <c r="Z2286" s="158">
        <v>4.9</v>
      </c>
      <c r="AA2286" s="59" cm="1">
        <f t="array" ref="AA2286">INDEX($BX$29:$BX$1449,MATCH($D2286,$BR$29:$BR$1449,0),)</f>
        <v>3.8</v>
      </c>
      <c r="AB2286" s="150">
        <f t="shared" si="696"/>
        <v>0.00224994886479846</v>
      </c>
      <c r="AC2286" s="150">
        <f t="shared" si="698"/>
        <v>0.0189228529839884</v>
      </c>
      <c r="AD2286" s="150">
        <f t="shared" si="701"/>
        <v>0.0266080033521896</v>
      </c>
      <c r="AE2286" s="89">
        <f t="shared" si="697"/>
        <v>0.289473684210527</v>
      </c>
    </row>
    <row r="2287" spans="3:31">
      <c r="C2287" s="80" t="str" cm="1">
        <f t="array" ref="C2287">_xlfn.IFS(MONTH(D2287)&lt;4,1,MONTH(D2287)&lt;7,2,MONTH(D2287)&lt;10,3,MONTH(D2287)&gt;9,4)&amp;"Q"&amp;RIGHT(YEAR(D2287),2)</f>
        <v>1Q25</v>
      </c>
      <c r="D2287" s="81">
        <f t="shared" si="700"/>
        <v>45747</v>
      </c>
      <c r="E2287" s="82">
        <f t="shared" si="693"/>
        <v>45719</v>
      </c>
      <c r="F2287" s="83">
        <f t="shared" si="703"/>
        <v>0.180625</v>
      </c>
      <c r="G2287" s="83">
        <f t="shared" si="703"/>
        <v>0.16875</v>
      </c>
      <c r="I2287" s="146">
        <v>45719</v>
      </c>
      <c r="J2287" s="147">
        <v>1.95</v>
      </c>
      <c r="K2287" s="147">
        <v>1.3</v>
      </c>
      <c r="L2287" s="158">
        <v>1.445</v>
      </c>
      <c r="M2287" s="59" cm="1">
        <f t="array" ref="M2287">INDEX($BV$29:$BV$1449,MATCH($D2287,$BR$29:$BR$1449,0),)</f>
        <v>1.35</v>
      </c>
      <c r="N2287" s="150">
        <f t="shared" si="704"/>
        <v>-0.000691562932226719</v>
      </c>
      <c r="O2287" s="150">
        <f t="shared" si="705"/>
        <v>-0.00276052449965491</v>
      </c>
      <c r="P2287" s="150">
        <f t="shared" si="691"/>
        <v>-0.00276052449965491</v>
      </c>
      <c r="Q2287" s="89">
        <f t="shared" si="694"/>
        <v>0.0703703703703704</v>
      </c>
      <c r="S2287" s="82">
        <f t="shared" si="695"/>
        <v>45719</v>
      </c>
      <c r="T2287" s="83">
        <f t="shared" si="702"/>
        <v>0.3080625</v>
      </c>
      <c r="U2287" s="83">
        <f t="shared" si="702"/>
        <v>0.265625</v>
      </c>
      <c r="W2287" s="146">
        <v>45719</v>
      </c>
      <c r="X2287" s="147">
        <v>6.3</v>
      </c>
      <c r="Y2287" s="147">
        <v>4</v>
      </c>
      <c r="Z2287" s="158">
        <v>4.929</v>
      </c>
      <c r="AA2287" s="59" cm="1">
        <f t="array" ref="AA2287">INDEX($BX$29:$BX$1449,MATCH($D2287,$BR$29:$BR$1449,0),)</f>
        <v>4.25</v>
      </c>
      <c r="AB2287" s="150">
        <f t="shared" si="696"/>
        <v>0.00591836734693874</v>
      </c>
      <c r="AC2287" s="150">
        <f t="shared" si="698"/>
        <v>0.0221899626710909</v>
      </c>
      <c r="AD2287" s="150">
        <f t="shared" si="701"/>
        <v>0.0309558669734367</v>
      </c>
      <c r="AE2287" s="89">
        <f t="shared" si="697"/>
        <v>0.159764705882353</v>
      </c>
    </row>
    <row r="2288" spans="3:31">
      <c r="C2288" s="80" t="str" cm="1">
        <f t="array" ref="C2288">_xlfn.IFS(MONTH(D2288)&lt;4,1,MONTH(D2288)&lt;7,2,MONTH(D2288)&lt;10,3,MONTH(D2288)&gt;9,4)&amp;"Q"&amp;RIGHT(YEAR(D2288),2)</f>
        <v>1Q25</v>
      </c>
      <c r="D2288" s="81">
        <f t="shared" si="700"/>
        <v>45747</v>
      </c>
      <c r="E2288" s="82">
        <f t="shared" si="693"/>
        <v>45720</v>
      </c>
      <c r="F2288" s="83">
        <f t="shared" si="703"/>
        <v>0.180625</v>
      </c>
      <c r="G2288" s="83">
        <f t="shared" si="703"/>
        <v>0.16875</v>
      </c>
      <c r="I2288" s="146">
        <v>45720</v>
      </c>
      <c r="J2288" s="147">
        <v>1.95</v>
      </c>
      <c r="K2288" s="147">
        <v>1.3</v>
      </c>
      <c r="L2288" s="158">
        <v>1.445</v>
      </c>
      <c r="M2288" s="59" cm="1">
        <f t="array" ref="M2288">INDEX($BV$29:$BV$1449,MATCH($D2288,$BR$29:$BR$1449,0),)</f>
        <v>1.35</v>
      </c>
      <c r="N2288" s="150">
        <f t="shared" si="704"/>
        <v>0</v>
      </c>
      <c r="O2288" s="150">
        <f t="shared" si="705"/>
        <v>-0.00138217000691088</v>
      </c>
      <c r="P2288" s="150">
        <f t="shared" si="691"/>
        <v>-0.00276052449965491</v>
      </c>
      <c r="Q2288" s="89">
        <f t="shared" si="694"/>
        <v>0.0703703703703704</v>
      </c>
      <c r="S2288" s="82">
        <f t="shared" si="695"/>
        <v>45720</v>
      </c>
      <c r="T2288" s="83">
        <f t="shared" ref="T2288:U2311" si="706">+Z2288/16</f>
        <v>0.3081875</v>
      </c>
      <c r="U2288" s="83">
        <f t="shared" si="706"/>
        <v>0.265625</v>
      </c>
      <c r="W2288" s="146">
        <v>45720</v>
      </c>
      <c r="X2288" s="147">
        <v>6.3</v>
      </c>
      <c r="Y2288" s="147">
        <v>4</v>
      </c>
      <c r="Z2288" s="158">
        <v>4.931</v>
      </c>
      <c r="AA2288" s="59" cm="1">
        <f t="array" ref="AA2288">INDEX($BX$29:$BX$1449,MATCH($D2288,$BR$29:$BR$1449,0),)</f>
        <v>4.25</v>
      </c>
      <c r="AB2288" s="150">
        <f t="shared" si="696"/>
        <v>0.000405761817812822</v>
      </c>
      <c r="AC2288" s="150">
        <f t="shared" si="698"/>
        <v>0.020699648105982</v>
      </c>
      <c r="AD2288" s="150">
        <f t="shared" si="701"/>
        <v>0.0300814706496761</v>
      </c>
      <c r="AE2288" s="89">
        <f t="shared" si="697"/>
        <v>0.160235294117647</v>
      </c>
    </row>
    <row r="2289" spans="3:31">
      <c r="C2289" s="80" t="str" cm="1">
        <f t="array" ref="C2289">_xlfn.IFS(MONTH(D2289)&lt;4,1,MONTH(D2289)&lt;7,2,MONTH(D2289)&lt;10,3,MONTH(D2289)&gt;9,4)&amp;"Q"&amp;RIGHT(YEAR(D2289),2)</f>
        <v>1Q25</v>
      </c>
      <c r="D2289" s="81">
        <f t="shared" si="700"/>
        <v>45747</v>
      </c>
      <c r="E2289" s="82">
        <f t="shared" si="693"/>
        <v>45721</v>
      </c>
      <c r="F2289" s="83">
        <f t="shared" si="703"/>
        <v>0.180625</v>
      </c>
      <c r="G2289" s="83">
        <f t="shared" si="703"/>
        <v>0.16875</v>
      </c>
      <c r="I2289" s="146">
        <v>45721</v>
      </c>
      <c r="J2289" s="147">
        <v>1.95</v>
      </c>
      <c r="K2289" s="147">
        <v>1.3</v>
      </c>
      <c r="L2289" s="158">
        <v>1.445</v>
      </c>
      <c r="M2289" s="59" cm="1">
        <f t="array" ref="M2289">INDEX($BV$29:$BV$1449,MATCH($D2289,$BR$29:$BR$1449,0),)</f>
        <v>1.35</v>
      </c>
      <c r="N2289" s="150">
        <f t="shared" si="704"/>
        <v>0</v>
      </c>
      <c r="O2289" s="150">
        <f t="shared" si="705"/>
        <v>-0.000691562932226719</v>
      </c>
      <c r="P2289" s="150">
        <f t="shared" si="691"/>
        <v>-0.00413507925568579</v>
      </c>
      <c r="Q2289" s="89">
        <f t="shared" si="694"/>
        <v>0.0703703703703704</v>
      </c>
      <c r="S2289" s="82">
        <f t="shared" si="695"/>
        <v>45721</v>
      </c>
      <c r="T2289" s="83">
        <f t="shared" si="706"/>
        <v>0.3089375</v>
      </c>
      <c r="U2289" s="83">
        <f t="shared" si="706"/>
        <v>0.265625</v>
      </c>
      <c r="W2289" s="146">
        <v>45721</v>
      </c>
      <c r="X2289" s="147">
        <v>6.3</v>
      </c>
      <c r="Y2289" s="147">
        <v>4</v>
      </c>
      <c r="Z2289" s="158">
        <v>4.943</v>
      </c>
      <c r="AA2289" s="59" cm="1">
        <f t="array" ref="AA2289">INDEX($BX$29:$BX$1449,MATCH($D2289,$BR$29:$BR$1449,0),)</f>
        <v>4.25</v>
      </c>
      <c r="AB2289" s="150">
        <f t="shared" si="696"/>
        <v>0.00243358345163247</v>
      </c>
      <c r="AC2289" s="150">
        <f t="shared" si="698"/>
        <v>0.0219144097581145</v>
      </c>
      <c r="AD2289" s="150">
        <f t="shared" si="701"/>
        <v>0.0325882598704825</v>
      </c>
      <c r="AE2289" s="89">
        <f t="shared" si="697"/>
        <v>0.163058823529412</v>
      </c>
    </row>
    <row r="2290" spans="3:31">
      <c r="C2290" s="80" t="str" cm="1">
        <f t="array" ref="C2290">_xlfn.IFS(MONTH(D2290)&lt;4,1,MONTH(D2290)&lt;7,2,MONTH(D2290)&lt;10,3,MONTH(D2290)&gt;9,4)&amp;"Q"&amp;RIGHT(YEAR(D2290),2)</f>
        <v>1Q25</v>
      </c>
      <c r="D2290" s="81">
        <f t="shared" si="700"/>
        <v>45747</v>
      </c>
      <c r="E2290" s="82">
        <f t="shared" si="693"/>
        <v>45722</v>
      </c>
      <c r="F2290" s="83">
        <f t="shared" si="703"/>
        <v>0.1805</v>
      </c>
      <c r="G2290" s="83">
        <f t="shared" si="703"/>
        <v>0.16875</v>
      </c>
      <c r="I2290" s="146">
        <v>45722</v>
      </c>
      <c r="J2290" s="147">
        <v>1.95</v>
      </c>
      <c r="K2290" s="147">
        <v>1.28</v>
      </c>
      <c r="L2290" s="158">
        <v>1.444</v>
      </c>
      <c r="M2290" s="59" cm="1">
        <f t="array" ref="M2290">INDEX($BV$29:$BV$1449,MATCH($D2290,$BR$29:$BR$1449,0),)</f>
        <v>1.35</v>
      </c>
      <c r="N2290" s="150">
        <f t="shared" si="704"/>
        <v>-0.000692041522491471</v>
      </c>
      <c r="O2290" s="150">
        <f t="shared" si="705"/>
        <v>-0.00138312586445366</v>
      </c>
      <c r="P2290" s="150">
        <f t="shared" si="691"/>
        <v>-0.00482425913163342</v>
      </c>
      <c r="Q2290" s="89">
        <f t="shared" si="694"/>
        <v>0.0696296296296295</v>
      </c>
      <c r="S2290" s="82">
        <f t="shared" si="695"/>
        <v>45722</v>
      </c>
      <c r="T2290" s="83">
        <f t="shared" si="706"/>
        <v>0.3098125</v>
      </c>
      <c r="U2290" s="83">
        <f t="shared" si="706"/>
        <v>0.265625</v>
      </c>
      <c r="W2290" s="146">
        <v>45722</v>
      </c>
      <c r="X2290" s="147">
        <v>6.3</v>
      </c>
      <c r="Y2290" s="147">
        <v>4</v>
      </c>
      <c r="Z2290" s="158">
        <v>4.957</v>
      </c>
      <c r="AA2290" s="59" cm="1">
        <f t="array" ref="AA2290">INDEX($BX$29:$BX$1449,MATCH($D2290,$BR$29:$BR$1449,0),)</f>
        <v>4.25</v>
      </c>
      <c r="AB2290" s="150">
        <f t="shared" si="696"/>
        <v>0.00283228808415936</v>
      </c>
      <c r="AC2290" s="150">
        <f t="shared" si="698"/>
        <v>0.0139087748005726</v>
      </c>
      <c r="AD2290" s="150">
        <f t="shared" si="701"/>
        <v>0.0333541796956431</v>
      </c>
      <c r="AE2290" s="89">
        <f t="shared" si="697"/>
        <v>0.166352941176471</v>
      </c>
    </row>
    <row r="2291" spans="3:31">
      <c r="C2291" s="80" t="str" cm="1">
        <f t="array" ref="C2291">_xlfn.IFS(MONTH(D2291)&lt;4,1,MONTH(D2291)&lt;7,2,MONTH(D2291)&lt;10,3,MONTH(D2291)&gt;9,4)&amp;"Q"&amp;RIGHT(YEAR(D2291),2)</f>
        <v>1Q25</v>
      </c>
      <c r="D2291" s="81">
        <f t="shared" si="700"/>
        <v>45747</v>
      </c>
      <c r="E2291" s="82">
        <f t="shared" si="693"/>
        <v>45723</v>
      </c>
      <c r="F2291" s="83">
        <f t="shared" si="703"/>
        <v>0.18025</v>
      </c>
      <c r="G2291" s="83">
        <f t="shared" si="703"/>
        <v>0.16875</v>
      </c>
      <c r="I2291" s="146">
        <v>45723</v>
      </c>
      <c r="J2291" s="147">
        <v>1.95</v>
      </c>
      <c r="K2291" s="147">
        <v>1.27</v>
      </c>
      <c r="L2291" s="158">
        <v>1.442</v>
      </c>
      <c r="M2291" s="59" cm="1">
        <f t="array" ref="M2291">INDEX($BV$29:$BV$1449,MATCH($D2291,$BR$29:$BR$1449,0),)</f>
        <v>1.35</v>
      </c>
      <c r="N2291" s="150">
        <f t="shared" si="704"/>
        <v>-0.00138504155124652</v>
      </c>
      <c r="O2291" s="150">
        <f t="shared" si="705"/>
        <v>-0.00276625172890732</v>
      </c>
      <c r="P2291" s="150">
        <f t="shared" si="691"/>
        <v>-0.00620261888352869</v>
      </c>
      <c r="Q2291" s="89">
        <f t="shared" si="694"/>
        <v>0.0681481481481481</v>
      </c>
      <c r="S2291" s="82">
        <f t="shared" si="695"/>
        <v>45723</v>
      </c>
      <c r="T2291" s="83">
        <f t="shared" si="706"/>
        <v>0.3125</v>
      </c>
      <c r="U2291" s="83">
        <f t="shared" si="706"/>
        <v>0.265625</v>
      </c>
      <c r="W2291" s="146">
        <v>45723</v>
      </c>
      <c r="X2291" s="147">
        <v>6.3</v>
      </c>
      <c r="Y2291" s="147">
        <v>4</v>
      </c>
      <c r="Z2291" s="158">
        <v>5</v>
      </c>
      <c r="AA2291" s="59" cm="1">
        <f t="array" ref="AA2291">INDEX($BX$29:$BX$1449,MATCH($D2291,$BR$29:$BR$1449,0),)</f>
        <v>4.25</v>
      </c>
      <c r="AB2291" s="150">
        <f t="shared" si="696"/>
        <v>0.00867460157353239</v>
      </c>
      <c r="AC2291" s="150">
        <f t="shared" si="698"/>
        <v>0.0204081632653061</v>
      </c>
      <c r="AD2291" s="150">
        <f t="shared" si="701"/>
        <v>0.039717196922437</v>
      </c>
      <c r="AE2291" s="89">
        <f t="shared" si="697"/>
        <v>0.176470588235294</v>
      </c>
    </row>
    <row r="2292" spans="3:31">
      <c r="C2292" s="80" t="str" cm="1">
        <f t="array" ref="C2292">_xlfn.IFS(MONTH(D2292)&lt;4,1,MONTH(D2292)&lt;7,2,MONTH(D2292)&lt;10,3,MONTH(D2292)&gt;9,4)&amp;"Q"&amp;RIGHT(YEAR(D2292),2)</f>
        <v>1Q25</v>
      </c>
      <c r="D2292" s="81">
        <f t="shared" si="700"/>
        <v>45747</v>
      </c>
      <c r="E2292" s="82">
        <f t="shared" si="693"/>
        <v>45726</v>
      </c>
      <c r="F2292" s="83">
        <f t="shared" si="703"/>
        <v>0.181125</v>
      </c>
      <c r="G2292" s="83">
        <f t="shared" si="703"/>
        <v>0.16875</v>
      </c>
      <c r="I2292" s="146">
        <v>45726</v>
      </c>
      <c r="J2292" s="147">
        <v>1.95</v>
      </c>
      <c r="K2292" s="147">
        <v>1.28</v>
      </c>
      <c r="L2292" s="158">
        <v>1.449</v>
      </c>
      <c r="M2292" s="59" cm="1">
        <f t="array" ref="M2292">INDEX($BV$29:$BV$1449,MATCH($D2292,$BR$29:$BR$1449,0),)</f>
        <v>1.35</v>
      </c>
      <c r="N2292" s="150">
        <f t="shared" si="704"/>
        <v>0.00485436893203883</v>
      </c>
      <c r="O2292" s="150">
        <f t="shared" si="705"/>
        <v>0.00276816608996544</v>
      </c>
      <c r="P2292" s="150">
        <f t="shared" si="691"/>
        <v>0</v>
      </c>
      <c r="Q2292" s="89">
        <f t="shared" si="694"/>
        <v>0.0733333333333333</v>
      </c>
      <c r="S2292" s="82">
        <f t="shared" si="695"/>
        <v>45726</v>
      </c>
      <c r="T2292" s="83">
        <f t="shared" si="706"/>
        <v>0.3140625</v>
      </c>
      <c r="U2292" s="83">
        <f t="shared" si="706"/>
        <v>0.265625</v>
      </c>
      <c r="W2292" s="146">
        <v>45726</v>
      </c>
      <c r="X2292" s="147">
        <v>6.2</v>
      </c>
      <c r="Y2292" s="147">
        <v>4.05</v>
      </c>
      <c r="Z2292" s="158">
        <v>5.025</v>
      </c>
      <c r="AA2292" s="59" cm="1">
        <f t="array" ref="AA2292">INDEX($BX$29:$BX$1449,MATCH($D2292,$BR$29:$BR$1449,0),)</f>
        <v>4.25</v>
      </c>
      <c r="AB2292" s="150">
        <f t="shared" si="696"/>
        <v>0.00500000000000012</v>
      </c>
      <c r="AC2292" s="150">
        <f t="shared" si="698"/>
        <v>0.0194765672550212</v>
      </c>
      <c r="AD2292" s="150">
        <f t="shared" si="701"/>
        <v>0.0420987142264622</v>
      </c>
      <c r="AE2292" s="89">
        <f t="shared" si="697"/>
        <v>0.182352941176471</v>
      </c>
    </row>
    <row r="2293" spans="3:31">
      <c r="C2293" s="80" t="str" cm="1">
        <f t="array" ref="C2293">_xlfn.IFS(MONTH(D2293)&lt;4,1,MONTH(D2293)&lt;7,2,MONTH(D2293)&lt;10,3,MONTH(D2293)&gt;9,4)&amp;"Q"&amp;RIGHT(YEAR(D2293),2)</f>
        <v>1Q25</v>
      </c>
      <c r="D2293" s="81">
        <f t="shared" si="700"/>
        <v>45747</v>
      </c>
      <c r="E2293" s="82">
        <f t="shared" si="693"/>
        <v>45727</v>
      </c>
      <c r="F2293" s="83">
        <f t="shared" si="703"/>
        <v>0.18175</v>
      </c>
      <c r="G2293" s="83">
        <f t="shared" si="703"/>
        <v>0.16875</v>
      </c>
      <c r="I2293" s="146">
        <v>45727</v>
      </c>
      <c r="J2293" s="147">
        <v>1.95</v>
      </c>
      <c r="K2293" s="147">
        <v>1.28</v>
      </c>
      <c r="L2293" s="158">
        <v>1.454</v>
      </c>
      <c r="M2293" s="59" cm="1">
        <f t="array" ref="M2293">INDEX($BV$29:$BV$1449,MATCH($D2293,$BR$29:$BR$1449,0),)</f>
        <v>1.35</v>
      </c>
      <c r="N2293" s="150">
        <f t="shared" si="704"/>
        <v>0.00345065562456859</v>
      </c>
      <c r="O2293" s="150">
        <f t="shared" si="705"/>
        <v>0.00622837370242202</v>
      </c>
      <c r="P2293" s="150">
        <f t="shared" si="691"/>
        <v>0.0048375950241879</v>
      </c>
      <c r="Q2293" s="89">
        <f t="shared" si="694"/>
        <v>0.077037037037037</v>
      </c>
      <c r="S2293" s="82">
        <f t="shared" si="695"/>
        <v>45727</v>
      </c>
      <c r="T2293" s="83">
        <f t="shared" si="706"/>
        <v>0.314875</v>
      </c>
      <c r="U2293" s="83">
        <f t="shared" si="706"/>
        <v>0.265625</v>
      </c>
      <c r="W2293" s="146">
        <v>45727</v>
      </c>
      <c r="X2293" s="147">
        <v>6.2</v>
      </c>
      <c r="Y2293" s="147">
        <v>4.1</v>
      </c>
      <c r="Z2293" s="158">
        <v>5.038</v>
      </c>
      <c r="AA2293" s="59" cm="1">
        <f t="array" ref="AA2293">INDEX($BX$29:$BX$1449,MATCH($D2293,$BR$29:$BR$1449,0),)</f>
        <v>4.25</v>
      </c>
      <c r="AB2293" s="150">
        <f t="shared" si="696"/>
        <v>0.00258706467661685</v>
      </c>
      <c r="AC2293" s="150">
        <f t="shared" si="698"/>
        <v>0.0216994524437235</v>
      </c>
      <c r="AD2293" s="150">
        <f t="shared" si="701"/>
        <v>0.0428482715793832</v>
      </c>
      <c r="AE2293" s="89">
        <f t="shared" si="697"/>
        <v>0.185411764705882</v>
      </c>
    </row>
    <row r="2294" spans="3:31">
      <c r="C2294" s="80" t="str" cm="1">
        <f t="array" ref="C2294">_xlfn.IFS(MONTH(D2294)&lt;4,1,MONTH(D2294)&lt;7,2,MONTH(D2294)&lt;10,3,MONTH(D2294)&gt;9,4)&amp;"Q"&amp;RIGHT(YEAR(D2294),2)</f>
        <v>1Q25</v>
      </c>
      <c r="D2294" s="81">
        <f t="shared" si="700"/>
        <v>45747</v>
      </c>
      <c r="E2294" s="82">
        <f t="shared" si="693"/>
        <v>45728</v>
      </c>
      <c r="F2294" s="83">
        <f t="shared" si="703"/>
        <v>0.182625</v>
      </c>
      <c r="G2294" s="83">
        <f t="shared" si="703"/>
        <v>0.16875</v>
      </c>
      <c r="I2294" s="146">
        <v>45728</v>
      </c>
      <c r="J2294" s="147">
        <v>2</v>
      </c>
      <c r="K2294" s="147">
        <v>1.28</v>
      </c>
      <c r="L2294" s="158">
        <v>1.461</v>
      </c>
      <c r="M2294" s="59" cm="1">
        <f t="array" ref="M2294">INDEX($BV$29:$BV$1449,MATCH($D2294,$BR$29:$BR$1449,0),)</f>
        <v>1.35</v>
      </c>
      <c r="N2294" s="150">
        <f t="shared" si="704"/>
        <v>0.00481430536451177</v>
      </c>
      <c r="O2294" s="150">
        <f t="shared" si="705"/>
        <v>0.0110726643598615</v>
      </c>
      <c r="P2294" s="150">
        <f t="shared" si="691"/>
        <v>0.0103734439834027</v>
      </c>
      <c r="Q2294" s="89">
        <f t="shared" si="694"/>
        <v>0.0822222222222222</v>
      </c>
      <c r="S2294" s="82">
        <f t="shared" si="695"/>
        <v>45728</v>
      </c>
      <c r="T2294" s="83">
        <f t="shared" si="706"/>
        <v>0.3158125</v>
      </c>
      <c r="U2294" s="83">
        <f t="shared" si="706"/>
        <v>0.265625</v>
      </c>
      <c r="W2294" s="146">
        <v>45728</v>
      </c>
      <c r="X2294" s="147">
        <v>6.2</v>
      </c>
      <c r="Y2294" s="147">
        <v>4.1</v>
      </c>
      <c r="Z2294" s="158">
        <v>5.053</v>
      </c>
      <c r="AA2294" s="59" cm="1">
        <f t="array" ref="AA2294">INDEX($BX$29:$BX$1449,MATCH($D2294,$BR$29:$BR$1449,0),)</f>
        <v>4.25</v>
      </c>
      <c r="AB2294" s="150">
        <f t="shared" si="696"/>
        <v>0.00297737197300507</v>
      </c>
      <c r="AC2294" s="150">
        <f t="shared" si="698"/>
        <v>0.022253692089824</v>
      </c>
      <c r="AD2294" s="150">
        <f t="shared" si="701"/>
        <v>0.0446557783750259</v>
      </c>
      <c r="AE2294" s="89">
        <f t="shared" si="697"/>
        <v>0.188941176470588</v>
      </c>
    </row>
    <row r="2295" spans="3:31">
      <c r="C2295" s="80" t="str" cm="1">
        <f t="array" ref="C2295">_xlfn.IFS(MONTH(D2295)&lt;4,1,MONTH(D2295)&lt;7,2,MONTH(D2295)&lt;10,3,MONTH(D2295)&gt;9,4)&amp;"Q"&amp;RIGHT(YEAR(D2295),2)</f>
        <v>1Q25</v>
      </c>
      <c r="D2295" s="81">
        <f t="shared" si="700"/>
        <v>45747</v>
      </c>
      <c r="E2295" s="82">
        <f t="shared" si="693"/>
        <v>45729</v>
      </c>
      <c r="F2295" s="83">
        <f t="shared" si="703"/>
        <v>0.18325</v>
      </c>
      <c r="G2295" s="83">
        <f t="shared" si="703"/>
        <v>0.16875</v>
      </c>
      <c r="I2295" s="146">
        <v>45729</v>
      </c>
      <c r="J2295" s="147">
        <v>2</v>
      </c>
      <c r="K2295" s="147">
        <v>1.28</v>
      </c>
      <c r="L2295" s="158">
        <v>1.466</v>
      </c>
      <c r="M2295" s="59" cm="1">
        <f t="array" ref="M2295">INDEX($BV$29:$BV$1449,MATCH($D2295,$BR$29:$BR$1449,0),)</f>
        <v>1.35</v>
      </c>
      <c r="N2295" s="150">
        <f t="shared" si="704"/>
        <v>0.00342231348391508</v>
      </c>
      <c r="O2295" s="150">
        <f t="shared" si="705"/>
        <v>0.0152354570637119</v>
      </c>
      <c r="P2295" s="150">
        <f t="shared" si="691"/>
        <v>0.0138312586445366</v>
      </c>
      <c r="Q2295" s="89">
        <f t="shared" si="694"/>
        <v>0.0859259259259257</v>
      </c>
      <c r="S2295" s="82">
        <f t="shared" si="695"/>
        <v>45729</v>
      </c>
      <c r="T2295" s="83">
        <f t="shared" si="706"/>
        <v>0.31675</v>
      </c>
      <c r="U2295" s="83">
        <f t="shared" si="706"/>
        <v>0.265625</v>
      </c>
      <c r="W2295" s="146">
        <v>45729</v>
      </c>
      <c r="X2295" s="147">
        <v>6.2</v>
      </c>
      <c r="Y2295" s="147">
        <v>4.1</v>
      </c>
      <c r="Z2295" s="158">
        <v>5.068</v>
      </c>
      <c r="AA2295" s="59" cm="1">
        <f t="array" ref="AA2295">INDEX($BX$29:$BX$1449,MATCH($D2295,$BR$29:$BR$1449,0),)</f>
        <v>4.25</v>
      </c>
      <c r="AB2295" s="150">
        <f t="shared" si="696"/>
        <v>0.00296853354442894</v>
      </c>
      <c r="AC2295" s="150">
        <f t="shared" si="698"/>
        <v>0.0223925761549324</v>
      </c>
      <c r="AD2295" s="150">
        <f t="shared" si="701"/>
        <v>0.0366128042544487</v>
      </c>
      <c r="AE2295" s="89">
        <f t="shared" si="697"/>
        <v>0.192470588235294</v>
      </c>
    </row>
    <row r="2296" spans="3:31">
      <c r="C2296" s="80" t="str" cm="1">
        <f t="array" ref="C2296">_xlfn.IFS(MONTH(D2296)&lt;4,1,MONTH(D2296)&lt;7,2,MONTH(D2296)&lt;10,3,MONTH(D2296)&gt;9,4)&amp;"Q"&amp;RIGHT(YEAR(D2296),2)</f>
        <v>1Q25</v>
      </c>
      <c r="D2296" s="81">
        <f t="shared" si="700"/>
        <v>45747</v>
      </c>
      <c r="E2296" s="82">
        <f t="shared" si="693"/>
        <v>45730</v>
      </c>
      <c r="F2296" s="83">
        <f t="shared" si="703"/>
        <v>0.184375</v>
      </c>
      <c r="G2296" s="83">
        <f t="shared" si="703"/>
        <v>0.16875</v>
      </c>
      <c r="I2296" s="146">
        <v>45730</v>
      </c>
      <c r="J2296" s="147">
        <v>2.05</v>
      </c>
      <c r="K2296" s="147">
        <v>1.28</v>
      </c>
      <c r="L2296" s="158">
        <v>1.475</v>
      </c>
      <c r="M2296" s="59" cm="1">
        <f t="array" ref="M2296">INDEX($BV$29:$BV$1449,MATCH($D2296,$BR$29:$BR$1449,0),)</f>
        <v>1.35</v>
      </c>
      <c r="N2296" s="150">
        <f t="shared" si="704"/>
        <v>0.00613915416098232</v>
      </c>
      <c r="O2296" s="150">
        <f t="shared" si="705"/>
        <v>0.0228848821081831</v>
      </c>
      <c r="P2296" s="150">
        <f t="shared" si="691"/>
        <v>0.0200553250345783</v>
      </c>
      <c r="Q2296" s="89">
        <f t="shared" si="694"/>
        <v>0.0925925925925926</v>
      </c>
      <c r="S2296" s="82">
        <f t="shared" si="695"/>
        <v>45730</v>
      </c>
      <c r="T2296" s="83">
        <f t="shared" si="706"/>
        <v>0.317375</v>
      </c>
      <c r="U2296" s="83">
        <f t="shared" si="706"/>
        <v>0.265625</v>
      </c>
      <c r="W2296" s="146">
        <v>45730</v>
      </c>
      <c r="X2296" s="147">
        <v>6.2</v>
      </c>
      <c r="Y2296" s="147">
        <v>4.15</v>
      </c>
      <c r="Z2296" s="158">
        <v>5.078</v>
      </c>
      <c r="AA2296" s="59" cm="1">
        <f t="array" ref="AA2296">INDEX($BX$29:$BX$1449,MATCH($D2296,$BR$29:$BR$1449,0),)</f>
        <v>4.25</v>
      </c>
      <c r="AB2296" s="150">
        <f t="shared" si="696"/>
        <v>0.00197316495659061</v>
      </c>
      <c r="AC2296" s="150">
        <f t="shared" si="698"/>
        <v>0.0156000000000001</v>
      </c>
      <c r="AD2296" s="150">
        <f t="shared" si="701"/>
        <v>0.0363265306122449</v>
      </c>
      <c r="AE2296" s="89">
        <f t="shared" si="697"/>
        <v>0.194823529411765</v>
      </c>
    </row>
    <row r="2297" spans="3:31">
      <c r="C2297" s="80" t="str" cm="1">
        <f t="array" ref="C2297">_xlfn.IFS(MONTH(D2297)&lt;4,1,MONTH(D2297)&lt;7,2,MONTH(D2297)&lt;10,3,MONTH(D2297)&gt;9,4)&amp;"Q"&amp;RIGHT(YEAR(D2297),2)</f>
        <v>1Q25</v>
      </c>
      <c r="D2297" s="81">
        <f t="shared" si="700"/>
        <v>45747</v>
      </c>
      <c r="E2297" s="82">
        <f t="shared" si="693"/>
        <v>45733</v>
      </c>
      <c r="F2297" s="83">
        <f t="shared" si="703"/>
        <v>0.185</v>
      </c>
      <c r="G2297" s="83">
        <f t="shared" si="703"/>
        <v>0.16875</v>
      </c>
      <c r="I2297" s="146">
        <v>45733</v>
      </c>
      <c r="J2297" s="147">
        <v>2.05</v>
      </c>
      <c r="K2297" s="147">
        <v>1.3</v>
      </c>
      <c r="L2297" s="158">
        <v>1.48</v>
      </c>
      <c r="M2297" s="59" cm="1">
        <f t="array" ref="M2297">INDEX($BV$29:$BV$1449,MATCH($D2297,$BR$29:$BR$1449,0),)</f>
        <v>1.35</v>
      </c>
      <c r="N2297" s="150">
        <f t="shared" si="704"/>
        <v>0.00338983050847452</v>
      </c>
      <c r="O2297" s="150">
        <f t="shared" si="705"/>
        <v>0.0213940648723256</v>
      </c>
      <c r="P2297" s="150">
        <f t="shared" si="691"/>
        <v>0.0242214532871972</v>
      </c>
      <c r="Q2297" s="89">
        <f t="shared" si="694"/>
        <v>0.0962962962962961</v>
      </c>
      <c r="S2297" s="82">
        <f t="shared" si="695"/>
        <v>45733</v>
      </c>
      <c r="T2297" s="83">
        <f t="shared" si="706"/>
        <v>0.318</v>
      </c>
      <c r="U2297" s="83">
        <f t="shared" si="706"/>
        <v>0.265625</v>
      </c>
      <c r="W2297" s="146">
        <v>45733</v>
      </c>
      <c r="X2297" s="147">
        <v>6.25</v>
      </c>
      <c r="Y2297" s="147">
        <v>4.17</v>
      </c>
      <c r="Z2297" s="158">
        <v>5.088</v>
      </c>
      <c r="AA2297" s="59" cm="1">
        <f t="array" ref="AA2297">INDEX($BX$29:$BX$1449,MATCH($D2297,$BR$29:$BR$1449,0),)</f>
        <v>4.25</v>
      </c>
      <c r="AB2297" s="150">
        <f t="shared" si="696"/>
        <v>0.00196927924379664</v>
      </c>
      <c r="AC2297" s="150">
        <f t="shared" si="698"/>
        <v>0.0125373134328357</v>
      </c>
      <c r="AD2297" s="150">
        <f t="shared" si="701"/>
        <v>0.032258064516129</v>
      </c>
      <c r="AE2297" s="89">
        <f t="shared" si="697"/>
        <v>0.197176470588235</v>
      </c>
    </row>
    <row r="2298" spans="3:31">
      <c r="C2298" s="80" t="str" cm="1">
        <f t="array" ref="C2298">_xlfn.IFS(MONTH(D2298)&lt;4,1,MONTH(D2298)&lt;7,2,MONTH(D2298)&lt;10,3,MONTH(D2298)&gt;9,4)&amp;"Q"&amp;RIGHT(YEAR(D2298),2)</f>
        <v>1Q25</v>
      </c>
      <c r="D2298" s="81">
        <f t="shared" si="700"/>
        <v>45747</v>
      </c>
      <c r="E2298" s="82">
        <f t="shared" si="693"/>
        <v>45734</v>
      </c>
      <c r="F2298" s="83">
        <f t="shared" ref="F2298:G2313" si="707">+L2298/8</f>
        <v>0.18575</v>
      </c>
      <c r="G2298" s="83">
        <f t="shared" si="707"/>
        <v>0.16875</v>
      </c>
      <c r="I2298" s="146">
        <v>45734</v>
      </c>
      <c r="J2298" s="147">
        <v>2.05</v>
      </c>
      <c r="K2298" s="147">
        <v>1.3</v>
      </c>
      <c r="L2298" s="158">
        <v>1.486</v>
      </c>
      <c r="M2298" s="59" cm="1">
        <f t="array" ref="M2298">INDEX($BV$29:$BV$1449,MATCH($D2298,$BR$29:$BR$1449,0),)</f>
        <v>1.35</v>
      </c>
      <c r="N2298" s="150">
        <f t="shared" si="704"/>
        <v>0.00405405405405412</v>
      </c>
      <c r="O2298" s="150">
        <f t="shared" si="705"/>
        <v>0.0220082530949106</v>
      </c>
      <c r="P2298" s="150">
        <f t="shared" si="691"/>
        <v>0.0283737024221453</v>
      </c>
      <c r="Q2298" s="89">
        <f t="shared" si="694"/>
        <v>0.100740740740741</v>
      </c>
      <c r="S2298" s="82">
        <f t="shared" si="695"/>
        <v>45734</v>
      </c>
      <c r="T2298" s="83">
        <f t="shared" si="706"/>
        <v>0.3195625</v>
      </c>
      <c r="U2298" s="83">
        <f t="shared" si="706"/>
        <v>0.265625</v>
      </c>
      <c r="W2298" s="146">
        <v>45734</v>
      </c>
      <c r="X2298" s="147">
        <v>6.25</v>
      </c>
      <c r="Y2298" s="147">
        <v>4.17</v>
      </c>
      <c r="Z2298" s="158">
        <v>5.113</v>
      </c>
      <c r="AA2298" s="59" cm="1">
        <f t="array" ref="AA2298">INDEX($BX$29:$BX$1449,MATCH($D2298,$BR$29:$BR$1449,0),)</f>
        <v>4.25</v>
      </c>
      <c r="AB2298" s="150">
        <f t="shared" si="696"/>
        <v>0.00491352201257866</v>
      </c>
      <c r="AC2298" s="150">
        <f t="shared" si="698"/>
        <v>0.0148868598650258</v>
      </c>
      <c r="AD2298" s="150">
        <f t="shared" si="701"/>
        <v>0.0369093490164267</v>
      </c>
      <c r="AE2298" s="89">
        <f t="shared" si="697"/>
        <v>0.203058823529412</v>
      </c>
    </row>
    <row r="2299" spans="3:31">
      <c r="C2299" s="80" t="str" cm="1">
        <f t="array" ref="C2299">_xlfn.IFS(MONTH(D2299)&lt;4,1,MONTH(D2299)&lt;7,2,MONTH(D2299)&lt;10,3,MONTH(D2299)&gt;9,4)&amp;"Q"&amp;RIGHT(YEAR(D2299),2)</f>
        <v>1Q25</v>
      </c>
      <c r="D2299" s="81">
        <f t="shared" si="700"/>
        <v>45747</v>
      </c>
      <c r="E2299" s="82">
        <f t="shared" si="693"/>
        <v>45735</v>
      </c>
      <c r="F2299" s="83">
        <f t="shared" si="707"/>
        <v>0.186875</v>
      </c>
      <c r="G2299" s="83">
        <f t="shared" si="707"/>
        <v>0.16875</v>
      </c>
      <c r="I2299" s="146">
        <v>45735</v>
      </c>
      <c r="J2299" s="147">
        <v>2.1</v>
      </c>
      <c r="K2299" s="147">
        <v>1.3</v>
      </c>
      <c r="L2299" s="158">
        <v>1.495</v>
      </c>
      <c r="M2299" s="59" cm="1">
        <f t="array" ref="M2299">INDEX($BV$29:$BV$1449,MATCH($D2299,$BR$29:$BR$1449,0),)</f>
        <v>1.35</v>
      </c>
      <c r="N2299" s="150">
        <f t="shared" si="704"/>
        <v>0.00605652759084796</v>
      </c>
      <c r="O2299" s="150">
        <f t="shared" si="705"/>
        <v>0.0232717316906228</v>
      </c>
      <c r="P2299" s="150">
        <f t="shared" si="691"/>
        <v>0.0346020761245676</v>
      </c>
      <c r="Q2299" s="89">
        <f t="shared" si="694"/>
        <v>0.107407407407407</v>
      </c>
      <c r="S2299" s="82">
        <f t="shared" si="695"/>
        <v>45735</v>
      </c>
      <c r="T2299" s="83">
        <f t="shared" si="706"/>
        <v>0.3195625</v>
      </c>
      <c r="U2299" s="83">
        <f t="shared" si="706"/>
        <v>0.265625</v>
      </c>
      <c r="W2299" s="146">
        <v>45735</v>
      </c>
      <c r="X2299" s="147">
        <v>6.25</v>
      </c>
      <c r="Y2299" s="147">
        <v>4.17</v>
      </c>
      <c r="Z2299" s="158">
        <v>5.113</v>
      </c>
      <c r="AA2299" s="59" cm="1">
        <f t="array" ref="AA2299">INDEX($BX$29:$BX$1449,MATCH($D2299,$BR$29:$BR$1449,0),)</f>
        <v>4.25</v>
      </c>
      <c r="AB2299" s="150">
        <f t="shared" si="696"/>
        <v>0</v>
      </c>
      <c r="AC2299" s="150">
        <f t="shared" si="698"/>
        <v>0.0118741341777162</v>
      </c>
      <c r="AD2299" s="150">
        <f t="shared" si="701"/>
        <v>0.0343920695933646</v>
      </c>
      <c r="AE2299" s="89">
        <f t="shared" si="697"/>
        <v>0.203058823529412</v>
      </c>
    </row>
    <row r="2300" spans="3:31">
      <c r="C2300" s="80" t="str" cm="1">
        <f t="array" ref="C2300">_xlfn.IFS(MONTH(D2300)&lt;4,1,MONTH(D2300)&lt;7,2,MONTH(D2300)&lt;10,3,MONTH(D2300)&gt;9,4)&amp;"Q"&amp;RIGHT(YEAR(D2300),2)</f>
        <v>1Q25</v>
      </c>
      <c r="D2300" s="81">
        <f t="shared" si="700"/>
        <v>45747</v>
      </c>
      <c r="E2300" s="82">
        <f t="shared" si="693"/>
        <v>45736</v>
      </c>
      <c r="F2300" s="83">
        <f t="shared" si="707"/>
        <v>0.1875</v>
      </c>
      <c r="G2300" s="83">
        <f t="shared" si="707"/>
        <v>0.16875</v>
      </c>
      <c r="I2300" s="146">
        <v>45736</v>
      </c>
      <c r="J2300" s="147">
        <v>2.1</v>
      </c>
      <c r="K2300" s="147">
        <v>1.3</v>
      </c>
      <c r="L2300" s="158">
        <v>1.5</v>
      </c>
      <c r="M2300" s="59" cm="1">
        <f t="array" ref="M2300">INDEX($BV$29:$BV$1449,MATCH($D2300,$BR$29:$BR$1449,0),)</f>
        <v>1.35</v>
      </c>
      <c r="N2300" s="150">
        <f t="shared" si="704"/>
        <v>0.00334448160535117</v>
      </c>
      <c r="O2300" s="150">
        <f t="shared" si="705"/>
        <v>0.0231923601637107</v>
      </c>
      <c r="P2300" s="150">
        <f t="shared" si="691"/>
        <v>0.0387811634349031</v>
      </c>
      <c r="Q2300" s="89">
        <f t="shared" si="694"/>
        <v>0.111111111111111</v>
      </c>
      <c r="S2300" s="82">
        <f t="shared" si="695"/>
        <v>45736</v>
      </c>
      <c r="T2300" s="83">
        <f t="shared" si="706"/>
        <v>0.321125</v>
      </c>
      <c r="U2300" s="83">
        <f t="shared" si="706"/>
        <v>0.265625</v>
      </c>
      <c r="W2300" s="146">
        <v>45736</v>
      </c>
      <c r="X2300" s="147">
        <v>6.25</v>
      </c>
      <c r="Y2300" s="147">
        <v>4.17</v>
      </c>
      <c r="Z2300" s="158">
        <v>5.138</v>
      </c>
      <c r="AA2300" s="59" cm="1">
        <f t="array" ref="AA2300">INDEX($BX$29:$BX$1449,MATCH($D2300,$BR$29:$BR$1449,0),)</f>
        <v>4.25</v>
      </c>
      <c r="AB2300" s="150">
        <f t="shared" si="696"/>
        <v>0.00488949735967137</v>
      </c>
      <c r="AC2300" s="150">
        <f t="shared" si="698"/>
        <v>0.0138121546961327</v>
      </c>
      <c r="AD2300" s="150">
        <f t="shared" si="701"/>
        <v>0.0365140205769618</v>
      </c>
      <c r="AE2300" s="89">
        <f t="shared" si="697"/>
        <v>0.208941176470588</v>
      </c>
    </row>
    <row r="2301" spans="3:31">
      <c r="C2301" s="80" t="str" cm="1">
        <f t="array" ref="C2301">_xlfn.IFS(MONTH(D2301)&lt;4,1,MONTH(D2301)&lt;7,2,MONTH(D2301)&lt;10,3,MONTH(D2301)&gt;9,4)&amp;"Q"&amp;RIGHT(YEAR(D2301),2)</f>
        <v>1Q25</v>
      </c>
      <c r="D2301" s="81">
        <f t="shared" si="700"/>
        <v>45747</v>
      </c>
      <c r="E2301" s="82">
        <f t="shared" si="693"/>
        <v>45737</v>
      </c>
      <c r="F2301" s="83">
        <f t="shared" si="707"/>
        <v>0.190625</v>
      </c>
      <c r="G2301" s="83">
        <f t="shared" si="707"/>
        <v>0.16875</v>
      </c>
      <c r="I2301" s="146">
        <v>45737</v>
      </c>
      <c r="J2301" s="147">
        <v>2.15</v>
      </c>
      <c r="K2301" s="147">
        <v>1.32</v>
      </c>
      <c r="L2301" s="158">
        <v>1.525</v>
      </c>
      <c r="M2301" s="59" cm="1">
        <f t="array" ref="M2301">INDEX($BV$29:$BV$1449,MATCH($D2301,$BR$29:$BR$1449,0),)</f>
        <v>1.35</v>
      </c>
      <c r="N2301" s="150">
        <f t="shared" si="704"/>
        <v>0.0166666666666666</v>
      </c>
      <c r="O2301" s="150">
        <f t="shared" si="705"/>
        <v>0.0338983050847457</v>
      </c>
      <c r="P2301" s="150">
        <f t="shared" si="691"/>
        <v>0.0575589459084604</v>
      </c>
      <c r="Q2301" s="89">
        <f t="shared" si="694"/>
        <v>0.12962962962963</v>
      </c>
      <c r="S2301" s="82">
        <f t="shared" si="695"/>
        <v>45737</v>
      </c>
      <c r="T2301" s="83">
        <f t="shared" si="706"/>
        <v>0.3226875</v>
      </c>
      <c r="U2301" s="83">
        <f t="shared" si="706"/>
        <v>0.265625</v>
      </c>
      <c r="W2301" s="146">
        <v>45737</v>
      </c>
      <c r="X2301" s="147">
        <v>6.3</v>
      </c>
      <c r="Y2301" s="147">
        <v>4.17</v>
      </c>
      <c r="Z2301" s="158">
        <v>5.163</v>
      </c>
      <c r="AA2301" s="59" cm="1">
        <f t="array" ref="AA2301">INDEX($BX$29:$BX$1449,MATCH($D2301,$BR$29:$BR$1449,0),)</f>
        <v>4.25</v>
      </c>
      <c r="AB2301" s="150">
        <f t="shared" si="696"/>
        <v>0.00486570650058393</v>
      </c>
      <c r="AC2301" s="150">
        <f t="shared" si="698"/>
        <v>0.0167388735722724</v>
      </c>
      <c r="AD2301" s="150">
        <f t="shared" si="701"/>
        <v>0.0326</v>
      </c>
      <c r="AE2301" s="89">
        <f t="shared" si="697"/>
        <v>0.214823529411765</v>
      </c>
    </row>
    <row r="2302" spans="3:31">
      <c r="C2302" s="80" t="str" cm="1">
        <f t="array" ref="C2302">_xlfn.IFS(MONTH(D2302)&lt;4,1,MONTH(D2302)&lt;7,2,MONTH(D2302)&lt;10,3,MONTH(D2302)&gt;9,4)&amp;"Q"&amp;RIGHT(YEAR(D2302),2)</f>
        <v>1Q25</v>
      </c>
      <c r="D2302" s="81">
        <f t="shared" si="700"/>
        <v>45747</v>
      </c>
      <c r="E2302" s="82">
        <f t="shared" si="693"/>
        <v>45740</v>
      </c>
      <c r="F2302" s="83">
        <f t="shared" si="707"/>
        <v>0.19325</v>
      </c>
      <c r="G2302" s="83">
        <f t="shared" si="707"/>
        <v>0.16875</v>
      </c>
      <c r="I2302" s="146">
        <v>45740</v>
      </c>
      <c r="J2302" s="147">
        <v>2.15</v>
      </c>
      <c r="K2302" s="147">
        <v>1.35</v>
      </c>
      <c r="L2302" s="158">
        <v>1.546</v>
      </c>
      <c r="M2302" s="59" cm="1">
        <f t="array" ref="M2302">INDEX($BV$29:$BV$1449,MATCH($D2302,$BR$29:$BR$1449,0),)</f>
        <v>1.35</v>
      </c>
      <c r="N2302" s="150">
        <f t="shared" si="704"/>
        <v>0.0137704918032788</v>
      </c>
      <c r="O2302" s="150">
        <f t="shared" si="705"/>
        <v>0.0445945945945947</v>
      </c>
      <c r="P2302" s="150">
        <f t="shared" si="691"/>
        <v>0.0669427191166321</v>
      </c>
      <c r="Q2302" s="89">
        <f t="shared" si="694"/>
        <v>0.145185185185185</v>
      </c>
      <c r="S2302" s="82">
        <f t="shared" si="695"/>
        <v>45740</v>
      </c>
      <c r="T2302" s="83">
        <f t="shared" si="706"/>
        <v>0.32425</v>
      </c>
      <c r="U2302" s="83">
        <f t="shared" si="706"/>
        <v>0.265625</v>
      </c>
      <c r="W2302" s="146">
        <v>45740</v>
      </c>
      <c r="X2302" s="147">
        <v>6.3</v>
      </c>
      <c r="Y2302" s="147">
        <v>4.2</v>
      </c>
      <c r="Z2302" s="158">
        <v>5.188</v>
      </c>
      <c r="AA2302" s="59" cm="1">
        <f t="array" ref="AA2302">INDEX($BX$29:$BX$1449,MATCH($D2302,$BR$29:$BR$1449,0),)</f>
        <v>4.25</v>
      </c>
      <c r="AB2302" s="150">
        <f t="shared" si="696"/>
        <v>0.00484214603912436</v>
      </c>
      <c r="AC2302" s="150">
        <f t="shared" si="698"/>
        <v>0.0196540880503144</v>
      </c>
      <c r="AD2302" s="150">
        <f t="shared" si="701"/>
        <v>0.0324378109452734</v>
      </c>
      <c r="AE2302" s="89">
        <f t="shared" si="697"/>
        <v>0.220705882352941</v>
      </c>
    </row>
    <row r="2303" spans="3:31">
      <c r="C2303" s="80" t="str" cm="1">
        <f t="array" ref="C2303">_xlfn.IFS(MONTH(D2303)&lt;4,1,MONTH(D2303)&lt;7,2,MONTH(D2303)&lt;10,3,MONTH(D2303)&gt;9,4)&amp;"Q"&amp;RIGHT(YEAR(D2303),2)</f>
        <v>1Q25</v>
      </c>
      <c r="D2303" s="81">
        <f t="shared" si="700"/>
        <v>45747</v>
      </c>
      <c r="E2303" s="82">
        <f t="shared" si="693"/>
        <v>45741</v>
      </c>
      <c r="F2303" s="83">
        <f t="shared" si="707"/>
        <v>0.195125</v>
      </c>
      <c r="G2303" s="83">
        <f t="shared" si="707"/>
        <v>0.16875</v>
      </c>
      <c r="I2303" s="146">
        <v>45741</v>
      </c>
      <c r="J2303" s="147">
        <v>2.15</v>
      </c>
      <c r="K2303" s="147">
        <v>1.35</v>
      </c>
      <c r="L2303" s="158">
        <v>1.561</v>
      </c>
      <c r="M2303" s="59" cm="1">
        <f t="array" ref="M2303">INDEX($BV$29:$BV$1449,MATCH($D2303,$BR$29:$BR$1449,0),)</f>
        <v>1.35</v>
      </c>
      <c r="N2303" s="150">
        <f t="shared" si="704"/>
        <v>0.00970245795601543</v>
      </c>
      <c r="O2303" s="150">
        <f t="shared" si="705"/>
        <v>0.050471063257066</v>
      </c>
      <c r="P2303" s="150">
        <f t="shared" si="691"/>
        <v>0.0735900962861074</v>
      </c>
      <c r="Q2303" s="89">
        <f t="shared" si="694"/>
        <v>0.156296296296296</v>
      </c>
      <c r="S2303" s="82">
        <f t="shared" si="695"/>
        <v>45741</v>
      </c>
      <c r="T2303" s="83">
        <f t="shared" si="706"/>
        <v>0.3258125</v>
      </c>
      <c r="U2303" s="83">
        <f t="shared" si="706"/>
        <v>0.265625</v>
      </c>
      <c r="W2303" s="146">
        <v>45741</v>
      </c>
      <c r="X2303" s="147">
        <v>6.35</v>
      </c>
      <c r="Y2303" s="147">
        <v>4.2</v>
      </c>
      <c r="Z2303" s="158">
        <v>5.213</v>
      </c>
      <c r="AA2303" s="59" cm="1">
        <f t="array" ref="AA2303">INDEX($BX$29:$BX$1449,MATCH($D2303,$BR$29:$BR$1449,0),)</f>
        <v>4.25</v>
      </c>
      <c r="AB2303" s="150">
        <f t="shared" si="696"/>
        <v>0.00481881264456452</v>
      </c>
      <c r="AC2303" s="150">
        <f t="shared" si="698"/>
        <v>0.0195579894386857</v>
      </c>
      <c r="AD2303" s="150">
        <f t="shared" si="701"/>
        <v>0.0347360063517268</v>
      </c>
      <c r="AE2303" s="89">
        <f t="shared" si="697"/>
        <v>0.226588235294118</v>
      </c>
    </row>
    <row r="2304" spans="3:31">
      <c r="C2304" s="80" t="str" cm="1">
        <f t="array" ref="C2304">_xlfn.IFS(MONTH(D2304)&lt;4,1,MONTH(D2304)&lt;7,2,MONTH(D2304)&lt;10,3,MONTH(D2304)&gt;9,4)&amp;"Q"&amp;RIGHT(YEAR(D2304),2)</f>
        <v>1Q25</v>
      </c>
      <c r="D2304" s="81">
        <f t="shared" si="700"/>
        <v>45747</v>
      </c>
      <c r="E2304" s="82">
        <f t="shared" si="693"/>
        <v>45742</v>
      </c>
      <c r="F2304" s="83">
        <f t="shared" si="707"/>
        <v>0.1975</v>
      </c>
      <c r="G2304" s="83">
        <f t="shared" si="707"/>
        <v>0.16875</v>
      </c>
      <c r="I2304" s="146">
        <v>45742</v>
      </c>
      <c r="J2304" s="147">
        <v>2.2</v>
      </c>
      <c r="K2304" s="147">
        <v>1.42</v>
      </c>
      <c r="L2304" s="158">
        <v>1.58</v>
      </c>
      <c r="M2304" s="59" cm="1">
        <f t="array" ref="M2304">INDEX($BV$29:$BV$1449,MATCH($D2304,$BR$29:$BR$1449,0),)</f>
        <v>1.35</v>
      </c>
      <c r="N2304" s="150">
        <f t="shared" si="704"/>
        <v>0.0121716848174247</v>
      </c>
      <c r="O2304" s="150">
        <f t="shared" si="705"/>
        <v>0.0568561872909699</v>
      </c>
      <c r="P2304" s="150">
        <f t="shared" si="691"/>
        <v>0.0814510609171799</v>
      </c>
      <c r="Q2304" s="89">
        <f t="shared" si="694"/>
        <v>0.17037037037037</v>
      </c>
      <c r="S2304" s="82">
        <f t="shared" si="695"/>
        <v>45742</v>
      </c>
      <c r="T2304" s="83">
        <f t="shared" si="706"/>
        <v>0.327375</v>
      </c>
      <c r="U2304" s="83">
        <f t="shared" si="706"/>
        <v>0.265625</v>
      </c>
      <c r="W2304" s="146">
        <v>45742</v>
      </c>
      <c r="X2304" s="147">
        <v>6.4</v>
      </c>
      <c r="Y2304" s="147">
        <v>4.2</v>
      </c>
      <c r="Z2304" s="158">
        <v>5.238</v>
      </c>
      <c r="AA2304" s="59" cm="1">
        <f t="array" ref="AA2304">INDEX($BX$29:$BX$1449,MATCH($D2304,$BR$29:$BR$1449,0),)</f>
        <v>4.25</v>
      </c>
      <c r="AB2304" s="150">
        <f t="shared" si="696"/>
        <v>0.00479570305006716</v>
      </c>
      <c r="AC2304" s="150">
        <f t="shared" si="698"/>
        <v>0.0244474867983571</v>
      </c>
      <c r="AD2304" s="150">
        <f t="shared" si="701"/>
        <v>0.036611913714625</v>
      </c>
      <c r="AE2304" s="89">
        <f t="shared" si="697"/>
        <v>0.232470588235294</v>
      </c>
    </row>
    <row r="2305" spans="3:31">
      <c r="C2305" s="80" t="str" cm="1">
        <f t="array" ref="C2305">_xlfn.IFS(MONTH(D2305)&lt;4,1,MONTH(D2305)&lt;7,2,MONTH(D2305)&lt;10,3,MONTH(D2305)&gt;9,4)&amp;"Q"&amp;RIGHT(YEAR(D2305),2)</f>
        <v>1Q25</v>
      </c>
      <c r="D2305" s="81">
        <f t="shared" si="700"/>
        <v>45747</v>
      </c>
      <c r="E2305" s="82">
        <f t="shared" si="693"/>
        <v>45743</v>
      </c>
      <c r="F2305" s="83">
        <f t="shared" si="707"/>
        <v>0.20125</v>
      </c>
      <c r="G2305" s="83">
        <f t="shared" si="707"/>
        <v>0.16875</v>
      </c>
      <c r="I2305" s="146">
        <v>45743</v>
      </c>
      <c r="J2305" s="147">
        <v>2.2</v>
      </c>
      <c r="K2305" s="147">
        <v>1.45</v>
      </c>
      <c r="L2305" s="158">
        <v>1.61</v>
      </c>
      <c r="M2305" s="59" cm="1">
        <f t="array" ref="M2305">INDEX($BV$29:$BV$1449,MATCH($D2305,$BR$29:$BR$1449,0),)</f>
        <v>1.35</v>
      </c>
      <c r="N2305" s="150">
        <f t="shared" si="704"/>
        <v>0.018987341772152</v>
      </c>
      <c r="O2305" s="150">
        <f t="shared" si="705"/>
        <v>0.0733333333333335</v>
      </c>
      <c r="P2305" s="150">
        <f t="shared" si="691"/>
        <v>0.0982264665757164</v>
      </c>
      <c r="Q2305" s="89">
        <f t="shared" si="694"/>
        <v>0.192592592592593</v>
      </c>
      <c r="S2305" s="82">
        <f t="shared" si="695"/>
        <v>45743</v>
      </c>
      <c r="T2305" s="83">
        <f t="shared" si="706"/>
        <v>0.3305</v>
      </c>
      <c r="U2305" s="83">
        <f t="shared" si="706"/>
        <v>0.265625</v>
      </c>
      <c r="W2305" s="146">
        <v>45743</v>
      </c>
      <c r="X2305" s="147">
        <v>6.4</v>
      </c>
      <c r="Y2305" s="147">
        <v>4.25</v>
      </c>
      <c r="Z2305" s="158">
        <v>5.288</v>
      </c>
      <c r="AA2305" s="59" cm="1">
        <f t="array" ref="AA2305">INDEX($BX$29:$BX$1449,MATCH($D2305,$BR$29:$BR$1449,0),)</f>
        <v>4.25</v>
      </c>
      <c r="AB2305" s="150">
        <f t="shared" si="696"/>
        <v>0.00954562810232917</v>
      </c>
      <c r="AC2305" s="150">
        <f t="shared" si="698"/>
        <v>0.0291942390035034</v>
      </c>
      <c r="AD2305" s="150">
        <f t="shared" si="701"/>
        <v>0.0434096290449884</v>
      </c>
      <c r="AE2305" s="89">
        <f t="shared" si="697"/>
        <v>0.244235294117647</v>
      </c>
    </row>
    <row r="2306" spans="3:31">
      <c r="C2306" s="80" t="str" cm="1">
        <f t="array" ref="C2306">_xlfn.IFS(MONTH(D2306)&lt;4,1,MONTH(D2306)&lt;7,2,MONTH(D2306)&lt;10,3,MONTH(D2306)&gt;9,4)&amp;"Q"&amp;RIGHT(YEAR(D2306),2)</f>
        <v>1Q25</v>
      </c>
      <c r="D2306" s="81">
        <f t="shared" si="700"/>
        <v>45747</v>
      </c>
      <c r="E2306" s="82">
        <f t="shared" si="693"/>
        <v>45744</v>
      </c>
      <c r="F2306" s="83">
        <f t="shared" si="707"/>
        <v>0.203125</v>
      </c>
      <c r="G2306" s="83">
        <f t="shared" si="707"/>
        <v>0.16875</v>
      </c>
      <c r="I2306" s="146">
        <v>45744</v>
      </c>
      <c r="J2306" s="147">
        <v>2.2</v>
      </c>
      <c r="K2306" s="147">
        <v>1.44</v>
      </c>
      <c r="L2306" s="158">
        <v>1.625</v>
      </c>
      <c r="M2306" s="59" cm="1">
        <f t="array" ref="M2306">INDEX($BV$29:$BV$1449,MATCH($D2306,$BR$29:$BR$1449,0),)</f>
        <v>1.35</v>
      </c>
      <c r="N2306" s="150">
        <f t="shared" si="704"/>
        <v>0.00931677018633525</v>
      </c>
      <c r="O2306" s="150">
        <f t="shared" si="705"/>
        <v>0.0655737704918034</v>
      </c>
      <c r="P2306" s="150">
        <f t="shared" si="691"/>
        <v>0.101694915254237</v>
      </c>
      <c r="Q2306" s="89">
        <f t="shared" si="694"/>
        <v>0.203703703703704</v>
      </c>
      <c r="S2306" s="82">
        <f t="shared" si="695"/>
        <v>45744</v>
      </c>
      <c r="T2306" s="83">
        <f t="shared" si="706"/>
        <v>0.33125</v>
      </c>
      <c r="U2306" s="83">
        <f t="shared" si="706"/>
        <v>0.265625</v>
      </c>
      <c r="W2306" s="146">
        <v>45744</v>
      </c>
      <c r="X2306" s="147">
        <v>6.4</v>
      </c>
      <c r="Y2306" s="147">
        <v>4.25</v>
      </c>
      <c r="Z2306" s="158">
        <v>5.3</v>
      </c>
      <c r="AA2306" s="59" cm="1">
        <f t="array" ref="AA2306">INDEX($BX$29:$BX$1449,MATCH($D2306,$BR$29:$BR$1449,0),)</f>
        <v>4.25</v>
      </c>
      <c r="AB2306" s="150">
        <f t="shared" si="696"/>
        <v>0.0022692889561271</v>
      </c>
      <c r="AC2306" s="150">
        <f t="shared" si="698"/>
        <v>0.0265349602944025</v>
      </c>
      <c r="AD2306" s="150">
        <f t="shared" si="701"/>
        <v>0.0437179992122882</v>
      </c>
      <c r="AE2306" s="89">
        <f t="shared" si="697"/>
        <v>0.247058823529412</v>
      </c>
    </row>
    <row r="2307" spans="3:31">
      <c r="C2307" s="80" t="str" cm="1">
        <f t="array" ref="C2307">_xlfn.IFS(MONTH(D2307)&lt;4,1,MONTH(D2307)&lt;7,2,MONTH(D2307)&lt;10,3,MONTH(D2307)&gt;9,4)&amp;"Q"&amp;RIGHT(YEAR(D2307),2)</f>
        <v>1Q25</v>
      </c>
      <c r="D2307" s="81">
        <f t="shared" si="700"/>
        <v>45747</v>
      </c>
      <c r="E2307" s="82">
        <f t="shared" si="693"/>
        <v>45747</v>
      </c>
      <c r="F2307" s="83">
        <f t="shared" si="707"/>
        <v>0.204125</v>
      </c>
      <c r="G2307" s="83">
        <f t="shared" si="707"/>
        <v>0.16875</v>
      </c>
      <c r="I2307" s="146">
        <v>45747</v>
      </c>
      <c r="J2307" s="147">
        <v>2.2</v>
      </c>
      <c r="K2307" s="147">
        <v>1.44</v>
      </c>
      <c r="L2307" s="158">
        <v>1.633</v>
      </c>
      <c r="M2307" s="59" cm="1">
        <f t="array" ref="M2307">INDEX($BV$29:$BV$1449,MATCH($D2307,$BR$29:$BR$1449,0),)</f>
        <v>1.35</v>
      </c>
      <c r="N2307" s="150">
        <f t="shared" si="704"/>
        <v>0.00492307692307703</v>
      </c>
      <c r="O2307" s="150">
        <f t="shared" si="705"/>
        <v>0.0562742561448901</v>
      </c>
      <c r="P2307" s="150">
        <f t="shared" si="691"/>
        <v>0.103378378378378</v>
      </c>
      <c r="Q2307" s="89">
        <f t="shared" si="694"/>
        <v>0.20962962962963</v>
      </c>
      <c r="S2307" s="82">
        <f t="shared" si="695"/>
        <v>45747</v>
      </c>
      <c r="T2307" s="83">
        <f t="shared" si="706"/>
        <v>0.3325</v>
      </c>
      <c r="U2307" s="83">
        <f t="shared" si="706"/>
        <v>0.265625</v>
      </c>
      <c r="W2307" s="146">
        <v>45747</v>
      </c>
      <c r="X2307" s="147">
        <v>6.4</v>
      </c>
      <c r="Y2307" s="147">
        <v>4.25</v>
      </c>
      <c r="Z2307" s="158">
        <v>5.32</v>
      </c>
      <c r="AA2307" s="59" cm="1">
        <f t="array" ref="AA2307">INDEX($BX$29:$BX$1449,MATCH($D2307,$BR$29:$BR$1449,0),)</f>
        <v>4.25</v>
      </c>
      <c r="AB2307" s="150">
        <f t="shared" si="696"/>
        <v>0.00377358490566038</v>
      </c>
      <c r="AC2307" s="150">
        <f t="shared" si="698"/>
        <v>0.0254433307633</v>
      </c>
      <c r="AD2307" s="150">
        <f t="shared" si="701"/>
        <v>0.0455974842767295</v>
      </c>
      <c r="AE2307" s="89">
        <f t="shared" si="697"/>
        <v>0.251764705882353</v>
      </c>
    </row>
    <row r="2308" spans="3:31">
      <c r="C2308" s="80" t="str" cm="1">
        <f t="array" ref="C2308">_xlfn.IFS(MONTH(D2308)&lt;4,1,MONTH(D2308)&lt;7,2,MONTH(D2308)&lt;10,3,MONTH(D2308)&gt;9,4)&amp;"Q"&amp;RIGHT(YEAR(D2308),2)</f>
        <v>2Q25</v>
      </c>
      <c r="D2308" s="81">
        <f t="shared" si="700"/>
        <v>45777</v>
      </c>
      <c r="E2308" s="82">
        <f t="shared" si="693"/>
        <v>45748</v>
      </c>
      <c r="F2308" s="83">
        <f t="shared" si="707"/>
        <v>0.20575</v>
      </c>
      <c r="G2308" s="83">
        <f t="shared" si="707"/>
        <v>0.20625</v>
      </c>
      <c r="I2308" s="146">
        <v>45748</v>
      </c>
      <c r="J2308" s="147">
        <v>2.2</v>
      </c>
      <c r="K2308" s="147">
        <v>1.45</v>
      </c>
      <c r="L2308" s="158">
        <v>1.646</v>
      </c>
      <c r="M2308" s="59" cm="1">
        <f t="array" ref="M2308">INDEX($BV$29:$BV$1449,MATCH($D2308,$BR$29:$BR$1449,0),)</f>
        <v>1.65</v>
      </c>
      <c r="N2308" s="150">
        <f t="shared" si="704"/>
        <v>0.0079608083282301</v>
      </c>
      <c r="O2308" s="150">
        <f t="shared" si="705"/>
        <v>0.0544522741832159</v>
      </c>
      <c r="P2308" s="150">
        <f t="shared" si="691"/>
        <v>0.107671601615074</v>
      </c>
      <c r="Q2308" s="89">
        <f t="shared" si="694"/>
        <v>-0.00242424242424244</v>
      </c>
      <c r="S2308" s="82">
        <f t="shared" si="695"/>
        <v>45748</v>
      </c>
      <c r="T2308" s="83">
        <f t="shared" si="706"/>
        <v>0.333375</v>
      </c>
      <c r="U2308" s="83">
        <f t="shared" si="706"/>
        <v>0.2875</v>
      </c>
      <c r="W2308" s="146">
        <v>45748</v>
      </c>
      <c r="X2308" s="147">
        <v>6.45</v>
      </c>
      <c r="Y2308" s="147">
        <v>4.25</v>
      </c>
      <c r="Z2308" s="158">
        <v>5.334</v>
      </c>
      <c r="AA2308" s="59" cm="1">
        <f t="array" ref="AA2308">INDEX($BX$29:$BX$1449,MATCH($D2308,$BR$29:$BR$1449,0),)</f>
        <v>4.6</v>
      </c>
      <c r="AB2308" s="150">
        <f t="shared" si="696"/>
        <v>0.00263157894736832</v>
      </c>
      <c r="AC2308" s="150">
        <f t="shared" si="698"/>
        <v>0.0232112027623248</v>
      </c>
      <c r="AD2308" s="150">
        <f t="shared" si="701"/>
        <v>0.0432231566594952</v>
      </c>
      <c r="AE2308" s="89">
        <f t="shared" si="697"/>
        <v>0.159565217391304</v>
      </c>
    </row>
    <row r="2309" spans="3:31">
      <c r="C2309" s="80" t="str" cm="1">
        <f t="array" ref="C2309">_xlfn.IFS(MONTH(D2309)&lt;4,1,MONTH(D2309)&lt;7,2,MONTH(D2309)&lt;10,3,MONTH(D2309)&gt;9,4)&amp;"Q"&amp;RIGHT(YEAR(D2309),2)</f>
        <v>2Q25</v>
      </c>
      <c r="D2309" s="81">
        <f t="shared" si="700"/>
        <v>45777</v>
      </c>
      <c r="E2309" s="82">
        <f t="shared" si="693"/>
        <v>45749</v>
      </c>
      <c r="F2309" s="83">
        <f t="shared" si="707"/>
        <v>0.20625</v>
      </c>
      <c r="G2309" s="83">
        <f t="shared" si="707"/>
        <v>0.20625</v>
      </c>
      <c r="I2309" s="146">
        <v>45749</v>
      </c>
      <c r="J2309" s="147">
        <v>2.2</v>
      </c>
      <c r="K2309" s="147">
        <v>1.45</v>
      </c>
      <c r="L2309" s="158">
        <v>1.65</v>
      </c>
      <c r="M2309" s="59" cm="1">
        <f t="array" ref="M2309">INDEX($BV$29:$BV$1449,MATCH($D2309,$BR$29:$BR$1449,0),)</f>
        <v>1.65</v>
      </c>
      <c r="N2309" s="150">
        <f t="shared" si="704"/>
        <v>0.00243013365735112</v>
      </c>
      <c r="O2309" s="150">
        <f t="shared" si="705"/>
        <v>0.0443037974683542</v>
      </c>
      <c r="P2309" s="150">
        <f t="shared" si="691"/>
        <v>0.103678929765886</v>
      </c>
      <c r="Q2309" s="89">
        <f t="shared" si="694"/>
        <v>0</v>
      </c>
      <c r="S2309" s="82">
        <f t="shared" si="695"/>
        <v>45749</v>
      </c>
      <c r="T2309" s="83">
        <f t="shared" si="706"/>
        <v>0.333875</v>
      </c>
      <c r="U2309" s="83">
        <f t="shared" si="706"/>
        <v>0.2875</v>
      </c>
      <c r="W2309" s="146">
        <v>45749</v>
      </c>
      <c r="X2309" s="147">
        <v>6.45</v>
      </c>
      <c r="Y2309" s="147">
        <v>4.25</v>
      </c>
      <c r="Z2309" s="158">
        <v>5.342</v>
      </c>
      <c r="AA2309" s="59" cm="1">
        <f t="array" ref="AA2309">INDEX($BX$29:$BX$1449,MATCH($D2309,$BR$29:$BR$1449,0),)</f>
        <v>4.6</v>
      </c>
      <c r="AB2309" s="150">
        <f t="shared" si="696"/>
        <v>0.00149981252343467</v>
      </c>
      <c r="AC2309" s="150">
        <f t="shared" si="698"/>
        <v>0.0198549064528444</v>
      </c>
      <c r="AD2309" s="150">
        <f t="shared" si="701"/>
        <v>0.0447877958145901</v>
      </c>
      <c r="AE2309" s="89">
        <f t="shared" si="697"/>
        <v>0.161304347826087</v>
      </c>
    </row>
    <row r="2310" spans="3:31">
      <c r="C2310" s="80" t="str" cm="1">
        <f t="array" ref="C2310">_xlfn.IFS(MONTH(D2310)&lt;4,1,MONTH(D2310)&lt;7,2,MONTH(D2310)&lt;10,3,MONTH(D2310)&gt;9,4)&amp;"Q"&amp;RIGHT(YEAR(D2310),2)</f>
        <v>2Q25</v>
      </c>
      <c r="D2310" s="81">
        <f t="shared" si="700"/>
        <v>45777</v>
      </c>
      <c r="E2310" s="82">
        <f t="shared" si="693"/>
        <v>45750</v>
      </c>
      <c r="F2310" s="83">
        <f t="shared" si="707"/>
        <v>0.206625</v>
      </c>
      <c r="G2310" s="83">
        <f t="shared" si="707"/>
        <v>0.20625</v>
      </c>
      <c r="I2310" s="146">
        <v>45750</v>
      </c>
      <c r="J2310" s="147">
        <v>2.25</v>
      </c>
      <c r="K2310" s="147">
        <v>1.45</v>
      </c>
      <c r="L2310" s="158">
        <v>1.653</v>
      </c>
      <c r="M2310" s="59" cm="1">
        <f t="array" ref="M2310">INDEX($BV$29:$BV$1449,MATCH($D2310,$BR$29:$BR$1449,0),)</f>
        <v>1.65</v>
      </c>
      <c r="N2310" s="150">
        <f t="shared" si="704"/>
        <v>0.00181818181818194</v>
      </c>
      <c r="O2310" s="150">
        <f t="shared" si="705"/>
        <v>0.0267080745341615</v>
      </c>
      <c r="P2310" s="150">
        <f t="shared" si="691"/>
        <v>0.102</v>
      </c>
      <c r="Q2310" s="89">
        <f t="shared" si="694"/>
        <v>0.00181818181818194</v>
      </c>
      <c r="S2310" s="82">
        <f t="shared" si="695"/>
        <v>45750</v>
      </c>
      <c r="T2310" s="83">
        <f t="shared" si="706"/>
        <v>0.3339375</v>
      </c>
      <c r="U2310" s="83">
        <f t="shared" si="706"/>
        <v>0.2875</v>
      </c>
      <c r="W2310" s="146">
        <v>45750</v>
      </c>
      <c r="X2310" s="147">
        <v>6.46</v>
      </c>
      <c r="Y2310" s="147">
        <v>4.25</v>
      </c>
      <c r="Z2310" s="158">
        <v>5.343</v>
      </c>
      <c r="AA2310" s="59" cm="1">
        <f t="array" ref="AA2310">INDEX($BX$29:$BX$1449,MATCH($D2310,$BR$29:$BR$1449,0),)</f>
        <v>4.6</v>
      </c>
      <c r="AB2310" s="150">
        <f t="shared" si="696"/>
        <v>0.000187195806814033</v>
      </c>
      <c r="AC2310" s="150">
        <f t="shared" si="698"/>
        <v>0.0104009077155824</v>
      </c>
      <c r="AD2310" s="150">
        <f t="shared" si="701"/>
        <v>0.0398987933047878</v>
      </c>
      <c r="AE2310" s="89">
        <f t="shared" si="697"/>
        <v>0.161521739130435</v>
      </c>
    </row>
    <row r="2311" spans="3:31">
      <c r="C2311" s="80" t="str" cm="1">
        <f t="array" ref="C2311">_xlfn.IFS(MONTH(D2311)&lt;4,1,MONTH(D2311)&lt;7,2,MONTH(D2311)&lt;10,3,MONTH(D2311)&gt;9,4)&amp;"Q"&amp;RIGHT(YEAR(D2311),2)</f>
        <v>2Q25</v>
      </c>
      <c r="D2311" s="81">
        <f t="shared" si="700"/>
        <v>45777</v>
      </c>
      <c r="E2311" s="82">
        <f t="shared" si="693"/>
        <v>45754</v>
      </c>
      <c r="F2311" s="83">
        <f t="shared" si="707"/>
        <v>0.2065</v>
      </c>
      <c r="G2311" s="83">
        <f t="shared" si="707"/>
        <v>0.20625</v>
      </c>
      <c r="I2311" s="146">
        <v>45754</v>
      </c>
      <c r="J2311" s="147">
        <v>2.25</v>
      </c>
      <c r="K2311" s="147">
        <v>1.39</v>
      </c>
      <c r="L2311" s="158">
        <v>1.652</v>
      </c>
      <c r="M2311" s="59" cm="1">
        <f t="array" ref="M2311">INDEX($BV$29:$BV$1449,MATCH($D2311,$BR$29:$BR$1449,0),)</f>
        <v>1.65</v>
      </c>
      <c r="N2311" s="150">
        <f t="shared" si="704"/>
        <v>-0.000604960677555999</v>
      </c>
      <c r="O2311" s="150">
        <f t="shared" si="705"/>
        <v>0.0166153846153845</v>
      </c>
      <c r="P2311" s="150">
        <f t="shared" si="691"/>
        <v>0.0832786885245902</v>
      </c>
      <c r="Q2311" s="89">
        <f t="shared" si="694"/>
        <v>0.00121212121212122</v>
      </c>
      <c r="S2311" s="82">
        <f t="shared" si="695"/>
        <v>45754</v>
      </c>
      <c r="T2311" s="83">
        <f t="shared" si="706"/>
        <v>0.3339375</v>
      </c>
      <c r="U2311" s="83">
        <f t="shared" si="706"/>
        <v>0.2875</v>
      </c>
      <c r="W2311" s="146">
        <v>45754</v>
      </c>
      <c r="X2311" s="147">
        <v>6.5</v>
      </c>
      <c r="Y2311" s="147">
        <v>4.25</v>
      </c>
      <c r="Z2311" s="158">
        <v>5.343</v>
      </c>
      <c r="AA2311" s="59" cm="1">
        <f t="array" ref="AA2311">INDEX($BX$29:$BX$1449,MATCH($D2311,$BR$29:$BR$1449,0),)</f>
        <v>4.6</v>
      </c>
      <c r="AB2311" s="150">
        <f t="shared" si="696"/>
        <v>0</v>
      </c>
      <c r="AC2311" s="150">
        <f t="shared" si="698"/>
        <v>0.00811320754716993</v>
      </c>
      <c r="AD2311" s="150">
        <f t="shared" si="701"/>
        <v>0.0348634514816966</v>
      </c>
      <c r="AE2311" s="89">
        <f t="shared" si="697"/>
        <v>0.161521739130435</v>
      </c>
    </row>
    <row r="2312" spans="3:31">
      <c r="C2312" s="80" t="str" cm="1">
        <f t="array" ref="C2312">_xlfn.IFS(MONTH(D2312)&lt;4,1,MONTH(D2312)&lt;7,2,MONTH(D2312)&lt;10,3,MONTH(D2312)&gt;9,4)&amp;"Q"&amp;RIGHT(YEAR(D2312),2)</f>
        <v>2Q25</v>
      </c>
      <c r="D2312" s="81">
        <f t="shared" si="700"/>
        <v>45777</v>
      </c>
      <c r="E2312" s="82">
        <f t="shared" si="693"/>
        <v>45755</v>
      </c>
      <c r="F2312" s="83">
        <f t="shared" si="707"/>
        <v>0.20625</v>
      </c>
      <c r="G2312" s="83">
        <f t="shared" si="707"/>
        <v>0.20625</v>
      </c>
      <c r="I2312" s="146">
        <v>45755</v>
      </c>
      <c r="J2312" s="147">
        <v>2.25</v>
      </c>
      <c r="K2312" s="147">
        <v>1.39</v>
      </c>
      <c r="L2312" s="158">
        <v>1.65</v>
      </c>
      <c r="M2312" s="59" cm="1">
        <f t="array" ref="M2312">INDEX($BV$29:$BV$1449,MATCH($D2312,$BR$29:$BR$1449,0),)</f>
        <v>1.65</v>
      </c>
      <c r="N2312" s="150">
        <f t="shared" si="704"/>
        <v>-0.00121065375302665</v>
      </c>
      <c r="O2312" s="150">
        <f t="shared" si="705"/>
        <v>0.0104102878138395</v>
      </c>
      <c r="P2312" s="150">
        <f t="shared" si="691"/>
        <v>0.0672703751617076</v>
      </c>
      <c r="Q2312" s="89">
        <f t="shared" si="694"/>
        <v>0</v>
      </c>
      <c r="S2312" s="82">
        <f t="shared" si="695"/>
        <v>45755</v>
      </c>
      <c r="T2312" s="83">
        <f t="shared" ref="T2312:U2327" si="708">+Z2312/16</f>
        <v>0.3339375</v>
      </c>
      <c r="U2312" s="83">
        <f t="shared" si="708"/>
        <v>0.2875</v>
      </c>
      <c r="W2312" s="146">
        <v>45755</v>
      </c>
      <c r="X2312" s="147">
        <v>6.5</v>
      </c>
      <c r="Y2312" s="147">
        <v>4.25</v>
      </c>
      <c r="Z2312" s="158">
        <v>5.343</v>
      </c>
      <c r="AA2312" s="59" cm="1">
        <f t="array" ref="AA2312">INDEX($BX$29:$BX$1449,MATCH($D2312,$BR$29:$BR$1449,0),)</f>
        <v>4.6</v>
      </c>
      <c r="AB2312" s="150">
        <f t="shared" si="696"/>
        <v>0</v>
      </c>
      <c r="AC2312" s="150">
        <f t="shared" si="698"/>
        <v>0.00432330827067662</v>
      </c>
      <c r="AD2312" s="150">
        <f t="shared" si="701"/>
        <v>0.0298766383962992</v>
      </c>
      <c r="AE2312" s="89">
        <f t="shared" si="697"/>
        <v>0.161521739130435</v>
      </c>
    </row>
    <row r="2313" spans="3:31">
      <c r="C2313" s="80" t="str" cm="1">
        <f t="array" ref="C2313">_xlfn.IFS(MONTH(D2313)&lt;4,1,MONTH(D2313)&lt;7,2,MONTH(D2313)&lt;10,3,MONTH(D2313)&gt;9,4)&amp;"Q"&amp;RIGHT(YEAR(D2313),2)</f>
        <v>2Q25</v>
      </c>
      <c r="D2313" s="81">
        <f t="shared" si="700"/>
        <v>45777</v>
      </c>
      <c r="E2313" s="82">
        <f t="shared" si="693"/>
        <v>45756</v>
      </c>
      <c r="F2313" s="83">
        <f t="shared" si="707"/>
        <v>0.205875</v>
      </c>
      <c r="G2313" s="83">
        <f t="shared" si="707"/>
        <v>0.20625</v>
      </c>
      <c r="I2313" s="146">
        <v>45756</v>
      </c>
      <c r="J2313" s="147">
        <v>2.25</v>
      </c>
      <c r="K2313" s="147">
        <v>1.39</v>
      </c>
      <c r="L2313" s="158">
        <v>1.647</v>
      </c>
      <c r="M2313" s="59" cm="1">
        <f t="array" ref="M2313">INDEX($BV$29:$BV$1449,MATCH($D2313,$BR$29:$BR$1449,0),)</f>
        <v>1.65</v>
      </c>
      <c r="N2313" s="150">
        <f t="shared" si="704"/>
        <v>-0.00181818181818172</v>
      </c>
      <c r="O2313" s="150">
        <f t="shared" si="705"/>
        <v>0.000607533414337835</v>
      </c>
      <c r="P2313" s="150">
        <f t="shared" si="691"/>
        <v>0.0550928891736067</v>
      </c>
      <c r="Q2313" s="89">
        <f t="shared" si="694"/>
        <v>-0.00181818181818172</v>
      </c>
      <c r="S2313" s="82">
        <f t="shared" si="695"/>
        <v>45756</v>
      </c>
      <c r="T2313" s="83">
        <f t="shared" si="708"/>
        <v>0.3315</v>
      </c>
      <c r="U2313" s="83">
        <f t="shared" si="708"/>
        <v>0.2875</v>
      </c>
      <c r="W2313" s="146">
        <v>45756</v>
      </c>
      <c r="X2313" s="147">
        <v>6.5</v>
      </c>
      <c r="Y2313" s="147">
        <v>4.25</v>
      </c>
      <c r="Z2313" s="158">
        <v>5.304</v>
      </c>
      <c r="AA2313" s="59" cm="1">
        <f t="array" ref="AA2313">INDEX($BX$29:$BX$1449,MATCH($D2313,$BR$29:$BR$1449,0),)</f>
        <v>4.6</v>
      </c>
      <c r="AB2313" s="150">
        <f t="shared" si="696"/>
        <v>-0.00729927007299269</v>
      </c>
      <c r="AC2313" s="150">
        <f t="shared" si="698"/>
        <v>-0.00562429696287947</v>
      </c>
      <c r="AD2313" s="150">
        <f t="shared" si="701"/>
        <v>0.0174563591022445</v>
      </c>
      <c r="AE2313" s="89">
        <f t="shared" si="697"/>
        <v>0.15304347826087</v>
      </c>
    </row>
    <row r="2314" spans="3:31">
      <c r="C2314" s="80" t="str" cm="1">
        <f t="array" ref="C2314">_xlfn.IFS(MONTH(D2314)&lt;4,1,MONTH(D2314)&lt;7,2,MONTH(D2314)&lt;10,3,MONTH(D2314)&gt;9,4)&amp;"Q"&amp;RIGHT(YEAR(D2314),2)</f>
        <v>2Q25</v>
      </c>
      <c r="D2314" s="81">
        <f t="shared" si="700"/>
        <v>45777</v>
      </c>
      <c r="E2314" s="82">
        <f t="shared" si="693"/>
        <v>45757</v>
      </c>
      <c r="F2314" s="83">
        <f t="shared" ref="F2314:G2329" si="709">+L2314/8</f>
        <v>0.2065</v>
      </c>
      <c r="G2314" s="83">
        <f t="shared" si="709"/>
        <v>0.20625</v>
      </c>
      <c r="I2314" s="146">
        <v>45757</v>
      </c>
      <c r="J2314" s="147">
        <v>2.25</v>
      </c>
      <c r="K2314" s="147">
        <v>1.4</v>
      </c>
      <c r="L2314" s="158">
        <v>1.652</v>
      </c>
      <c r="M2314" s="59" cm="1">
        <f t="array" ref="M2314">INDEX($BV$29:$BV$1449,MATCH($D2314,$BR$29:$BR$1449,0),)</f>
        <v>1.65</v>
      </c>
      <c r="N2314" s="150">
        <f t="shared" si="704"/>
        <v>0.00303582270795388</v>
      </c>
      <c r="O2314" s="150">
        <f t="shared" si="705"/>
        <v>0.00121212121212122</v>
      </c>
      <c r="P2314" s="150">
        <f t="shared" si="691"/>
        <v>0.0455696202531644</v>
      </c>
      <c r="Q2314" s="89">
        <f t="shared" si="694"/>
        <v>0.00121212121212122</v>
      </c>
      <c r="S2314" s="82">
        <f t="shared" si="695"/>
        <v>45757</v>
      </c>
      <c r="T2314" s="83">
        <f t="shared" si="708"/>
        <v>0.3315</v>
      </c>
      <c r="U2314" s="83">
        <f t="shared" si="708"/>
        <v>0.2875</v>
      </c>
      <c r="W2314" s="146">
        <v>45757</v>
      </c>
      <c r="X2314" s="147">
        <v>6.48</v>
      </c>
      <c r="Y2314" s="147">
        <v>4.2</v>
      </c>
      <c r="Z2314" s="158">
        <v>5.304</v>
      </c>
      <c r="AA2314" s="59" cm="1">
        <f t="array" ref="AA2314">INDEX($BX$29:$BX$1449,MATCH($D2314,$BR$29:$BR$1449,0),)</f>
        <v>4.6</v>
      </c>
      <c r="AB2314" s="150">
        <f t="shared" si="696"/>
        <v>0</v>
      </c>
      <c r="AC2314" s="150">
        <f t="shared" si="698"/>
        <v>-0.00711344065892916</v>
      </c>
      <c r="AD2314" s="150">
        <f t="shared" si="701"/>
        <v>0.0126002290950744</v>
      </c>
      <c r="AE2314" s="89">
        <f t="shared" si="697"/>
        <v>0.15304347826087</v>
      </c>
    </row>
    <row r="2315" spans="3:31">
      <c r="C2315" s="80" t="str" cm="1">
        <f t="array" ref="C2315">_xlfn.IFS(MONTH(D2315)&lt;4,1,MONTH(D2315)&lt;7,2,MONTH(D2315)&lt;10,3,MONTH(D2315)&gt;9,4)&amp;"Q"&amp;RIGHT(YEAR(D2315),2)</f>
        <v>2Q25</v>
      </c>
      <c r="D2315" s="81">
        <f t="shared" si="700"/>
        <v>45777</v>
      </c>
      <c r="E2315" s="82">
        <f t="shared" si="693"/>
        <v>45758</v>
      </c>
      <c r="F2315" s="83">
        <f t="shared" si="709"/>
        <v>0.208</v>
      </c>
      <c r="G2315" s="83">
        <f t="shared" si="709"/>
        <v>0.20625</v>
      </c>
      <c r="I2315" s="146">
        <v>45758</v>
      </c>
      <c r="J2315" s="147">
        <v>2.25</v>
      </c>
      <c r="K2315" s="147">
        <v>1.4</v>
      </c>
      <c r="L2315" s="158">
        <v>1.664</v>
      </c>
      <c r="M2315" s="59" cm="1">
        <f t="array" ref="M2315">INDEX($BV$29:$BV$1449,MATCH($D2315,$BR$29:$BR$1449,0),)</f>
        <v>1.65</v>
      </c>
      <c r="N2315" s="150">
        <f t="shared" si="704"/>
        <v>0.00726392251815988</v>
      </c>
      <c r="O2315" s="150">
        <f t="shared" si="705"/>
        <v>0.00665456745311555</v>
      </c>
      <c r="P2315" s="150">
        <f t="shared" si="691"/>
        <v>0.0335403726708075</v>
      </c>
      <c r="Q2315" s="89">
        <f t="shared" si="694"/>
        <v>0.00848484848484854</v>
      </c>
      <c r="S2315" s="82">
        <f t="shared" si="695"/>
        <v>45758</v>
      </c>
      <c r="T2315" s="83">
        <f t="shared" si="708"/>
        <v>0.332</v>
      </c>
      <c r="U2315" s="83">
        <f t="shared" si="708"/>
        <v>0.2875</v>
      </c>
      <c r="W2315" s="146">
        <v>45758</v>
      </c>
      <c r="X2315" s="147">
        <v>6.48</v>
      </c>
      <c r="Y2315" s="147">
        <v>4.2</v>
      </c>
      <c r="Z2315" s="158">
        <v>5.312</v>
      </c>
      <c r="AA2315" s="59" cm="1">
        <f t="array" ref="AA2315">INDEX($BX$29:$BX$1449,MATCH($D2315,$BR$29:$BR$1449,0),)</f>
        <v>4.6</v>
      </c>
      <c r="AB2315" s="150">
        <f t="shared" si="696"/>
        <v>0.00150829562594268</v>
      </c>
      <c r="AC2315" s="150">
        <f t="shared" si="698"/>
        <v>-0.00580198390417364</v>
      </c>
      <c r="AD2315" s="150">
        <f t="shared" si="701"/>
        <v>0.0045385779122542</v>
      </c>
      <c r="AE2315" s="89">
        <f t="shared" si="697"/>
        <v>0.154782608695652</v>
      </c>
    </row>
    <row r="2316" spans="3:31">
      <c r="C2316" s="80" t="str" cm="1">
        <f t="array" ref="C2316">_xlfn.IFS(MONTH(D2316)&lt;4,1,MONTH(D2316)&lt;7,2,MONTH(D2316)&lt;10,3,MONTH(D2316)&gt;9,4)&amp;"Q"&amp;RIGHT(YEAR(D2316),2)</f>
        <v>2Q25</v>
      </c>
      <c r="D2316" s="81">
        <f t="shared" si="700"/>
        <v>45777</v>
      </c>
      <c r="E2316" s="82">
        <f t="shared" si="693"/>
        <v>45761</v>
      </c>
      <c r="F2316" s="83">
        <f t="shared" si="709"/>
        <v>0.20825</v>
      </c>
      <c r="G2316" s="83">
        <f t="shared" si="709"/>
        <v>0.20625</v>
      </c>
      <c r="I2316" s="146">
        <v>45761</v>
      </c>
      <c r="J2316" s="147">
        <v>2.25</v>
      </c>
      <c r="K2316" s="147">
        <v>1.4</v>
      </c>
      <c r="L2316" s="158">
        <v>1.666</v>
      </c>
      <c r="M2316" s="59" cm="1">
        <f t="array" ref="M2316">INDEX($BV$29:$BV$1449,MATCH($D2316,$BR$29:$BR$1449,0),)</f>
        <v>1.65</v>
      </c>
      <c r="N2316" s="150">
        <f t="shared" si="704"/>
        <v>0.00120192307692313</v>
      </c>
      <c r="O2316" s="150">
        <f t="shared" si="705"/>
        <v>0.00847457627118642</v>
      </c>
      <c r="P2316" s="150">
        <f t="shared" si="691"/>
        <v>0.0252307692307692</v>
      </c>
      <c r="Q2316" s="89">
        <f t="shared" si="694"/>
        <v>0.00969696969696976</v>
      </c>
      <c r="S2316" s="82">
        <f t="shared" si="695"/>
        <v>45761</v>
      </c>
      <c r="T2316" s="83">
        <f t="shared" si="708"/>
        <v>0.33225</v>
      </c>
      <c r="U2316" s="83">
        <f t="shared" si="708"/>
        <v>0.2875</v>
      </c>
      <c r="W2316" s="146">
        <v>45761</v>
      </c>
      <c r="X2316" s="147">
        <v>6.48</v>
      </c>
      <c r="Y2316" s="147">
        <v>4.2</v>
      </c>
      <c r="Z2316" s="158">
        <v>5.316</v>
      </c>
      <c r="AA2316" s="59" cm="1">
        <f t="array" ref="AA2316">INDEX($BX$29:$BX$1449,MATCH($D2316,$BR$29:$BR$1449,0),)</f>
        <v>4.6</v>
      </c>
      <c r="AB2316" s="150">
        <f t="shared" si="696"/>
        <v>0.000753012048192669</v>
      </c>
      <c r="AC2316" s="150">
        <f t="shared" si="698"/>
        <v>-0.00505334081976416</v>
      </c>
      <c r="AD2316" s="150">
        <f t="shared" si="701"/>
        <v>0.00301886792452821</v>
      </c>
      <c r="AE2316" s="89">
        <f t="shared" si="697"/>
        <v>0.155652173913043</v>
      </c>
    </row>
    <row r="2317" spans="3:31">
      <c r="C2317" s="80" t="str" cm="1">
        <f t="array" ref="C2317">_xlfn.IFS(MONTH(D2317)&lt;4,1,MONTH(D2317)&lt;7,2,MONTH(D2317)&lt;10,3,MONTH(D2317)&gt;9,4)&amp;"Q"&amp;RIGHT(YEAR(D2317),2)</f>
        <v>2Q25</v>
      </c>
      <c r="D2317" s="81">
        <f t="shared" si="700"/>
        <v>45777</v>
      </c>
      <c r="E2317" s="82">
        <f t="shared" si="693"/>
        <v>45762</v>
      </c>
      <c r="F2317" s="83">
        <f t="shared" si="709"/>
        <v>0.209125</v>
      </c>
      <c r="G2317" s="83">
        <f t="shared" si="709"/>
        <v>0.20625</v>
      </c>
      <c r="I2317" s="146">
        <v>45762</v>
      </c>
      <c r="J2317" s="147">
        <v>2.3</v>
      </c>
      <c r="K2317" s="147">
        <v>1.4</v>
      </c>
      <c r="L2317" s="158">
        <v>1.673</v>
      </c>
      <c r="M2317" s="59" cm="1">
        <f t="array" ref="M2317">INDEX($BV$29:$BV$1449,MATCH($D2317,$BR$29:$BR$1449,0),)</f>
        <v>1.65</v>
      </c>
      <c r="N2317" s="150">
        <f t="shared" si="704"/>
        <v>0.00420168067226889</v>
      </c>
      <c r="O2317" s="150">
        <f t="shared" si="705"/>
        <v>0.0139393939393939</v>
      </c>
      <c r="P2317" s="150">
        <f t="shared" si="691"/>
        <v>0.0244947948560932</v>
      </c>
      <c r="Q2317" s="89">
        <f t="shared" si="694"/>
        <v>0.0139393939393939</v>
      </c>
      <c r="S2317" s="82">
        <f t="shared" si="695"/>
        <v>45762</v>
      </c>
      <c r="T2317" s="83">
        <f t="shared" si="708"/>
        <v>0.333125</v>
      </c>
      <c r="U2317" s="83">
        <f t="shared" si="708"/>
        <v>0.2875</v>
      </c>
      <c r="W2317" s="146">
        <v>45762</v>
      </c>
      <c r="X2317" s="147">
        <v>6.48</v>
      </c>
      <c r="Y2317" s="147">
        <v>4.25</v>
      </c>
      <c r="Z2317" s="158">
        <v>5.33</v>
      </c>
      <c r="AA2317" s="59" cm="1">
        <f t="array" ref="AA2317">INDEX($BX$29:$BX$1449,MATCH($D2317,$BR$29:$BR$1449,0),)</f>
        <v>4.6</v>
      </c>
      <c r="AB2317" s="150">
        <f t="shared" si="696"/>
        <v>0.00263355906696772</v>
      </c>
      <c r="AC2317" s="150">
        <f t="shared" si="698"/>
        <v>-0.0024330900243309</v>
      </c>
      <c r="AD2317" s="150">
        <f t="shared" si="701"/>
        <v>0.00187969924812026</v>
      </c>
      <c r="AE2317" s="89">
        <f t="shared" si="697"/>
        <v>0.158695652173913</v>
      </c>
    </row>
    <row r="2318" spans="3:31">
      <c r="C2318" s="80" t="str" cm="1">
        <f t="array" ref="C2318">_xlfn.IFS(MONTH(D2318)&lt;4,1,MONTH(D2318)&lt;7,2,MONTH(D2318)&lt;10,3,MONTH(D2318)&gt;9,4)&amp;"Q"&amp;RIGHT(YEAR(D2318),2)</f>
        <v>2Q25</v>
      </c>
      <c r="D2318" s="81">
        <f t="shared" si="700"/>
        <v>45777</v>
      </c>
      <c r="E2318" s="82">
        <f t="shared" si="693"/>
        <v>45763</v>
      </c>
      <c r="F2318" s="83">
        <f t="shared" si="709"/>
        <v>0.209125</v>
      </c>
      <c r="G2318" s="83">
        <f t="shared" si="709"/>
        <v>0.20625</v>
      </c>
      <c r="I2318" s="146">
        <v>45763</v>
      </c>
      <c r="J2318" s="147">
        <v>2.35</v>
      </c>
      <c r="K2318" s="147">
        <v>1.4</v>
      </c>
      <c r="L2318" s="158">
        <v>1.673</v>
      </c>
      <c r="M2318" s="59" cm="1">
        <f t="array" ref="M2318">INDEX($BV$29:$BV$1449,MATCH($D2318,$BR$29:$BR$1449,0),)</f>
        <v>1.65</v>
      </c>
      <c r="N2318" s="150">
        <f t="shared" si="704"/>
        <v>0</v>
      </c>
      <c r="O2318" s="150">
        <f t="shared" si="705"/>
        <v>0.01578627808136</v>
      </c>
      <c r="P2318" s="150">
        <f t="shared" si="691"/>
        <v>0.0164034021871204</v>
      </c>
      <c r="Q2318" s="89">
        <f t="shared" si="694"/>
        <v>0.0139393939393939</v>
      </c>
      <c r="S2318" s="82">
        <f t="shared" si="695"/>
        <v>45763</v>
      </c>
      <c r="T2318" s="83">
        <f t="shared" si="708"/>
        <v>0.33375</v>
      </c>
      <c r="U2318" s="83">
        <f t="shared" si="708"/>
        <v>0.2875</v>
      </c>
      <c r="W2318" s="146">
        <v>45763</v>
      </c>
      <c r="X2318" s="147">
        <v>6.5</v>
      </c>
      <c r="Y2318" s="147">
        <v>4.3</v>
      </c>
      <c r="Z2318" s="158">
        <v>5.34</v>
      </c>
      <c r="AA2318" s="59" cm="1">
        <f t="array" ref="AA2318">INDEX($BX$29:$BX$1449,MATCH($D2318,$BR$29:$BR$1449,0),)</f>
        <v>4.6</v>
      </c>
      <c r="AB2318" s="150">
        <f t="shared" si="696"/>
        <v>0.00187617260787998</v>
      </c>
      <c r="AC2318" s="150">
        <f t="shared" si="698"/>
        <v>0.00678733031674206</v>
      </c>
      <c r="AD2318" s="150">
        <f t="shared" si="701"/>
        <v>0.00112485939257589</v>
      </c>
      <c r="AE2318" s="89">
        <f t="shared" si="697"/>
        <v>0.160869565217391</v>
      </c>
    </row>
    <row r="2319" spans="3:31">
      <c r="C2319" s="80" t="str" cm="1">
        <f t="array" ref="C2319">_xlfn.IFS(MONTH(D2319)&lt;4,1,MONTH(D2319)&lt;7,2,MONTH(D2319)&lt;10,3,MONTH(D2319)&gt;9,4)&amp;"Q"&amp;RIGHT(YEAR(D2319),2)</f>
        <v>2Q25</v>
      </c>
      <c r="D2319" s="81">
        <f t="shared" si="700"/>
        <v>45777</v>
      </c>
      <c r="E2319" s="82">
        <f t="shared" si="693"/>
        <v>45764</v>
      </c>
      <c r="F2319" s="83">
        <f t="shared" si="709"/>
        <v>0.21125</v>
      </c>
      <c r="G2319" s="83">
        <f t="shared" si="709"/>
        <v>0.20625</v>
      </c>
      <c r="I2319" s="146">
        <v>45764</v>
      </c>
      <c r="J2319" s="147">
        <v>2.35</v>
      </c>
      <c r="K2319" s="147">
        <v>1.42</v>
      </c>
      <c r="L2319" s="158">
        <v>1.69</v>
      </c>
      <c r="M2319" s="59" cm="1">
        <f t="array" ref="M2319">INDEX($BV$29:$BV$1449,MATCH($D2319,$BR$29:$BR$1449,0),)</f>
        <v>1.65</v>
      </c>
      <c r="N2319" s="150">
        <f t="shared" si="704"/>
        <v>0.0101613867304244</v>
      </c>
      <c r="O2319" s="150">
        <f t="shared" si="705"/>
        <v>0.0230024213075062</v>
      </c>
      <c r="P2319" s="150">
        <f t="shared" ref="P2319:P2382" si="710">L2319/L2309-1</f>
        <v>0.0242424242424242</v>
      </c>
      <c r="Q2319" s="89">
        <f t="shared" si="694"/>
        <v>0.0242424242424242</v>
      </c>
      <c r="S2319" s="82">
        <f t="shared" si="695"/>
        <v>45764</v>
      </c>
      <c r="T2319" s="83">
        <f t="shared" si="708"/>
        <v>0.335</v>
      </c>
      <c r="U2319" s="83">
        <f t="shared" si="708"/>
        <v>0.2875</v>
      </c>
      <c r="W2319" s="146">
        <v>45764</v>
      </c>
      <c r="X2319" s="147">
        <v>6.6</v>
      </c>
      <c r="Y2319" s="147">
        <v>4.35</v>
      </c>
      <c r="Z2319" s="158">
        <v>5.36</v>
      </c>
      <c r="AA2319" s="59" cm="1">
        <f t="array" ref="AA2319">INDEX($BX$29:$BX$1449,MATCH($D2319,$BR$29:$BR$1449,0),)</f>
        <v>4.6</v>
      </c>
      <c r="AB2319" s="150">
        <f t="shared" si="696"/>
        <v>0.00374531835205993</v>
      </c>
      <c r="AC2319" s="150">
        <f t="shared" si="698"/>
        <v>0.0105580693815988</v>
      </c>
      <c r="AD2319" s="150">
        <f t="shared" si="701"/>
        <v>0.00336952452265082</v>
      </c>
      <c r="AE2319" s="89">
        <f t="shared" si="697"/>
        <v>0.165217391304348</v>
      </c>
    </row>
    <row r="2320" spans="3:31">
      <c r="C2320" s="80" t="str" cm="1">
        <f t="array" ref="C2320">_xlfn.IFS(MONTH(D2320)&lt;4,1,MONTH(D2320)&lt;7,2,MONTH(D2320)&lt;10,3,MONTH(D2320)&gt;9,4)&amp;"Q"&amp;RIGHT(YEAR(D2320),2)</f>
        <v>2Q25</v>
      </c>
      <c r="D2320" s="81">
        <f t="shared" si="700"/>
        <v>45777</v>
      </c>
      <c r="E2320" s="82">
        <f t="shared" si="693"/>
        <v>45765</v>
      </c>
      <c r="F2320" s="83">
        <f t="shared" si="709"/>
        <v>0.2125</v>
      </c>
      <c r="G2320" s="83">
        <f t="shared" si="709"/>
        <v>0.20625</v>
      </c>
      <c r="I2320" s="146">
        <v>45765</v>
      </c>
      <c r="J2320" s="147">
        <v>2.35</v>
      </c>
      <c r="K2320" s="147">
        <v>1.42</v>
      </c>
      <c r="L2320" s="158">
        <v>1.7</v>
      </c>
      <c r="M2320" s="59" cm="1">
        <f t="array" ref="M2320">INDEX($BV$29:$BV$1449,MATCH($D2320,$BR$29:$BR$1449,0),)</f>
        <v>1.65</v>
      </c>
      <c r="N2320" s="150">
        <f t="shared" si="704"/>
        <v>0.00591715976331364</v>
      </c>
      <c r="O2320" s="150">
        <f t="shared" si="705"/>
        <v>0.0216346153846154</v>
      </c>
      <c r="P2320" s="150">
        <f t="shared" si="710"/>
        <v>0.02843315184513</v>
      </c>
      <c r="Q2320" s="89">
        <f t="shared" si="694"/>
        <v>0.0303030303030303</v>
      </c>
      <c r="S2320" s="82">
        <f t="shared" si="695"/>
        <v>45765</v>
      </c>
      <c r="T2320" s="83">
        <f t="shared" si="708"/>
        <v>0.3375</v>
      </c>
      <c r="U2320" s="83">
        <f t="shared" si="708"/>
        <v>0.2875</v>
      </c>
      <c r="W2320" s="146">
        <v>45765</v>
      </c>
      <c r="X2320" s="147">
        <v>6.65</v>
      </c>
      <c r="Y2320" s="147">
        <v>4.35</v>
      </c>
      <c r="Z2320" s="158">
        <v>5.4</v>
      </c>
      <c r="AA2320" s="59" cm="1">
        <f t="array" ref="AA2320">INDEX($BX$29:$BX$1449,MATCH($D2320,$BR$29:$BR$1449,0),)</f>
        <v>4.6</v>
      </c>
      <c r="AB2320" s="150">
        <f t="shared" si="696"/>
        <v>0.00746268656716409</v>
      </c>
      <c r="AC2320" s="150">
        <f t="shared" si="698"/>
        <v>0.0165662650602409</v>
      </c>
      <c r="AD2320" s="150">
        <f t="shared" si="701"/>
        <v>0.0106681639528357</v>
      </c>
      <c r="AE2320" s="89">
        <f t="shared" si="697"/>
        <v>0.173913043478261</v>
      </c>
    </row>
    <row r="2321" spans="3:31">
      <c r="C2321" s="80" t="str" cm="1">
        <f t="array" ref="C2321">_xlfn.IFS(MONTH(D2321)&lt;4,1,MONTH(D2321)&lt;7,2,MONTH(D2321)&lt;10,3,MONTH(D2321)&gt;9,4)&amp;"Q"&amp;RIGHT(YEAR(D2321),2)</f>
        <v>2Q25</v>
      </c>
      <c r="D2321" s="81">
        <f t="shared" si="700"/>
        <v>45777</v>
      </c>
      <c r="E2321" s="82">
        <f t="shared" ref="E2321:E2384" si="711">I2321</f>
        <v>45768</v>
      </c>
      <c r="F2321" s="83">
        <f t="shared" si="709"/>
        <v>0.213125</v>
      </c>
      <c r="G2321" s="83">
        <f t="shared" si="709"/>
        <v>0.20625</v>
      </c>
      <c r="I2321" s="146">
        <v>45768</v>
      </c>
      <c r="J2321" s="147">
        <v>2.35</v>
      </c>
      <c r="K2321" s="147">
        <v>1.44</v>
      </c>
      <c r="L2321" s="158">
        <v>1.705</v>
      </c>
      <c r="M2321" s="59" cm="1">
        <f t="array" ref="M2321">INDEX($BV$29:$BV$1449,MATCH($D2321,$BR$29:$BR$1449,0),)</f>
        <v>1.65</v>
      </c>
      <c r="N2321" s="150">
        <f t="shared" si="704"/>
        <v>0.00294117647058822</v>
      </c>
      <c r="O2321" s="150">
        <f t="shared" si="705"/>
        <v>0.0234093637454982</v>
      </c>
      <c r="P2321" s="150">
        <f t="shared" si="710"/>
        <v>0.032082324455206</v>
      </c>
      <c r="Q2321" s="89">
        <f t="shared" ref="Q2321:Q2384" si="712">L2321/M2321-1</f>
        <v>0.0333333333333334</v>
      </c>
      <c r="S2321" s="82">
        <f t="shared" si="695"/>
        <v>45768</v>
      </c>
      <c r="T2321" s="83">
        <f t="shared" si="708"/>
        <v>0.34</v>
      </c>
      <c r="U2321" s="83">
        <f t="shared" si="708"/>
        <v>0.2875</v>
      </c>
      <c r="W2321" s="146">
        <v>45768</v>
      </c>
      <c r="X2321" s="147">
        <v>6.7</v>
      </c>
      <c r="Y2321" s="147">
        <v>4.37</v>
      </c>
      <c r="Z2321" s="158">
        <v>5.44</v>
      </c>
      <c r="AA2321" s="59" cm="1">
        <f t="array" ref="AA2321">INDEX($BX$29:$BX$1449,MATCH($D2321,$BR$29:$BR$1449,0),)</f>
        <v>4.6</v>
      </c>
      <c r="AB2321" s="150">
        <f t="shared" si="696"/>
        <v>0.00740740740740731</v>
      </c>
      <c r="AC2321" s="150">
        <f t="shared" si="698"/>
        <v>0.0233258088788564</v>
      </c>
      <c r="AD2321" s="150">
        <f t="shared" si="701"/>
        <v>0.0181545947969306</v>
      </c>
      <c r="AE2321" s="89">
        <f t="shared" si="697"/>
        <v>0.182608695652174</v>
      </c>
    </row>
    <row r="2322" spans="3:31">
      <c r="C2322" s="80" t="str" cm="1">
        <f t="array" ref="C2322">_xlfn.IFS(MONTH(D2322)&lt;4,1,MONTH(D2322)&lt;7,2,MONTH(D2322)&lt;10,3,MONTH(D2322)&gt;9,4)&amp;"Q"&amp;RIGHT(YEAR(D2322),2)</f>
        <v>2Q25</v>
      </c>
      <c r="D2322" s="81">
        <f t="shared" si="700"/>
        <v>45777</v>
      </c>
      <c r="E2322" s="82">
        <f t="shared" si="711"/>
        <v>45769</v>
      </c>
      <c r="F2322" s="83">
        <f t="shared" si="709"/>
        <v>0.215</v>
      </c>
      <c r="G2322" s="83">
        <f t="shared" si="709"/>
        <v>0.20625</v>
      </c>
      <c r="I2322" s="146">
        <v>45769</v>
      </c>
      <c r="J2322" s="147">
        <v>2.35</v>
      </c>
      <c r="K2322" s="147">
        <v>1.44</v>
      </c>
      <c r="L2322" s="158">
        <v>1.72</v>
      </c>
      <c r="M2322" s="59" cm="1">
        <f t="array" ref="M2322">INDEX($BV$29:$BV$1449,MATCH($D2322,$BR$29:$BR$1449,0),)</f>
        <v>1.65</v>
      </c>
      <c r="N2322" s="150">
        <f t="shared" si="704"/>
        <v>0.00879765395894427</v>
      </c>
      <c r="O2322" s="150">
        <f t="shared" si="705"/>
        <v>0.0280932456664673</v>
      </c>
      <c r="P2322" s="150">
        <f t="shared" si="710"/>
        <v>0.0424242424242425</v>
      </c>
      <c r="Q2322" s="89">
        <f t="shared" si="712"/>
        <v>0.0424242424242425</v>
      </c>
      <c r="S2322" s="82">
        <f t="shared" si="695"/>
        <v>45769</v>
      </c>
      <c r="T2322" s="83">
        <f t="shared" si="708"/>
        <v>0.3425</v>
      </c>
      <c r="U2322" s="83">
        <f t="shared" si="708"/>
        <v>0.2875</v>
      </c>
      <c r="W2322" s="146">
        <v>45769</v>
      </c>
      <c r="X2322" s="147">
        <v>6.8</v>
      </c>
      <c r="Y2322" s="147">
        <v>4.4</v>
      </c>
      <c r="Z2322" s="158">
        <v>5.48</v>
      </c>
      <c r="AA2322" s="59" cm="1">
        <f t="array" ref="AA2322">INDEX($BX$29:$BX$1449,MATCH($D2322,$BR$29:$BR$1449,0),)</f>
        <v>4.6</v>
      </c>
      <c r="AB2322" s="150">
        <f t="shared" si="696"/>
        <v>0.00735294117647056</v>
      </c>
      <c r="AC2322" s="150">
        <f t="shared" si="698"/>
        <v>0.028142589118199</v>
      </c>
      <c r="AD2322" s="150">
        <f t="shared" si="701"/>
        <v>0.0256410256410258</v>
      </c>
      <c r="AE2322" s="89">
        <f t="shared" si="697"/>
        <v>0.191304347826087</v>
      </c>
    </row>
    <row r="2323" spans="3:31">
      <c r="C2323" s="80" t="str" cm="1">
        <f t="array" ref="C2323">_xlfn.IFS(MONTH(D2323)&lt;4,1,MONTH(D2323)&lt;7,2,MONTH(D2323)&lt;10,3,MONTH(D2323)&gt;9,4)&amp;"Q"&amp;RIGHT(YEAR(D2323),2)</f>
        <v>2Q25</v>
      </c>
      <c r="D2323" s="81">
        <f t="shared" si="700"/>
        <v>45777</v>
      </c>
      <c r="E2323" s="82">
        <f t="shared" si="711"/>
        <v>45770</v>
      </c>
      <c r="F2323" s="83">
        <f t="shared" si="709"/>
        <v>0.215</v>
      </c>
      <c r="G2323" s="83">
        <f t="shared" si="709"/>
        <v>0.20625</v>
      </c>
      <c r="I2323" s="146">
        <v>45770</v>
      </c>
      <c r="J2323" s="147">
        <v>2.35</v>
      </c>
      <c r="K2323" s="147">
        <v>1.44</v>
      </c>
      <c r="L2323" s="158">
        <v>1.72</v>
      </c>
      <c r="M2323" s="59" cm="1">
        <f t="array" ref="M2323">INDEX($BV$29:$BV$1449,MATCH($D2323,$BR$29:$BR$1449,0),)</f>
        <v>1.65</v>
      </c>
      <c r="N2323" s="150">
        <f t="shared" si="704"/>
        <v>0</v>
      </c>
      <c r="O2323" s="150">
        <f t="shared" si="705"/>
        <v>0.0280932456664673</v>
      </c>
      <c r="P2323" s="150">
        <f t="shared" si="710"/>
        <v>0.0443230115361262</v>
      </c>
      <c r="Q2323" s="89">
        <f t="shared" si="712"/>
        <v>0.0424242424242425</v>
      </c>
      <c r="S2323" s="82">
        <f t="shared" si="695"/>
        <v>45770</v>
      </c>
      <c r="T2323" s="83">
        <f t="shared" si="708"/>
        <v>0.345</v>
      </c>
      <c r="U2323" s="83">
        <f t="shared" si="708"/>
        <v>0.2875</v>
      </c>
      <c r="W2323" s="146">
        <v>45770</v>
      </c>
      <c r="X2323" s="147">
        <v>6.85</v>
      </c>
      <c r="Y2323" s="147">
        <v>4.4</v>
      </c>
      <c r="Z2323" s="158">
        <v>5.52</v>
      </c>
      <c r="AA2323" s="59" cm="1">
        <f t="array" ref="AA2323">INDEX($BX$29:$BX$1449,MATCH($D2323,$BR$29:$BR$1449,0),)</f>
        <v>4.6</v>
      </c>
      <c r="AB2323" s="150">
        <f t="shared" si="696"/>
        <v>0.00729927007299258</v>
      </c>
      <c r="AC2323" s="150">
        <f t="shared" si="698"/>
        <v>0.0337078651685392</v>
      </c>
      <c r="AD2323" s="150">
        <f t="shared" si="701"/>
        <v>0.0407239819004523</v>
      </c>
      <c r="AE2323" s="89">
        <f t="shared" si="697"/>
        <v>0.2</v>
      </c>
    </row>
    <row r="2324" spans="3:31">
      <c r="C2324" s="80" t="str" cm="1">
        <f t="array" ref="C2324">_xlfn.IFS(MONTH(D2324)&lt;4,1,MONTH(D2324)&lt;7,2,MONTH(D2324)&lt;10,3,MONTH(D2324)&gt;9,4)&amp;"Q"&amp;RIGHT(YEAR(D2324),2)</f>
        <v>2Q25</v>
      </c>
      <c r="D2324" s="81">
        <f t="shared" si="700"/>
        <v>45777</v>
      </c>
      <c r="E2324" s="82">
        <f t="shared" si="711"/>
        <v>45771</v>
      </c>
      <c r="F2324" s="83">
        <f t="shared" si="709"/>
        <v>0.217625</v>
      </c>
      <c r="G2324" s="83">
        <f t="shared" si="709"/>
        <v>0.20625</v>
      </c>
      <c r="I2324" s="146">
        <v>45771</v>
      </c>
      <c r="J2324" s="147">
        <v>2.35</v>
      </c>
      <c r="K2324" s="147">
        <v>1.47</v>
      </c>
      <c r="L2324" s="158">
        <v>1.741</v>
      </c>
      <c r="M2324" s="59" cm="1">
        <f t="array" ref="M2324">INDEX($BV$29:$BV$1449,MATCH($D2324,$BR$29:$BR$1449,0),)</f>
        <v>1.65</v>
      </c>
      <c r="N2324" s="150">
        <f t="shared" si="704"/>
        <v>0.0122093023255814</v>
      </c>
      <c r="O2324" s="150">
        <f t="shared" si="705"/>
        <v>0.0301775147928995</v>
      </c>
      <c r="P2324" s="150">
        <f t="shared" si="710"/>
        <v>0.0538740920096854</v>
      </c>
      <c r="Q2324" s="89">
        <f t="shared" si="712"/>
        <v>0.0551515151515152</v>
      </c>
      <c r="S2324" s="82">
        <f t="shared" ref="S2324:S2387" si="713">W2324</f>
        <v>45771</v>
      </c>
      <c r="T2324" s="83">
        <f t="shared" si="708"/>
        <v>0.3465</v>
      </c>
      <c r="U2324" s="83">
        <f t="shared" si="708"/>
        <v>0.2875</v>
      </c>
      <c r="W2324" s="146">
        <v>45771</v>
      </c>
      <c r="X2324" s="147">
        <v>6.85</v>
      </c>
      <c r="Y2324" s="147">
        <v>4.4</v>
      </c>
      <c r="Z2324" s="158">
        <v>5.544</v>
      </c>
      <c r="AA2324" s="59" cm="1">
        <f t="array" ref="AA2324">INDEX($BX$29:$BX$1449,MATCH($D2324,$BR$29:$BR$1449,0),)</f>
        <v>4.6</v>
      </c>
      <c r="AB2324" s="150">
        <f t="shared" si="696"/>
        <v>0.0043478260869565</v>
      </c>
      <c r="AC2324" s="150">
        <f t="shared" si="698"/>
        <v>0.0343283582089551</v>
      </c>
      <c r="AD2324" s="150">
        <f t="shared" si="701"/>
        <v>0.0452488687782804</v>
      </c>
      <c r="AE2324" s="89">
        <f t="shared" si="697"/>
        <v>0.205217391304348</v>
      </c>
    </row>
    <row r="2325" spans="3:31">
      <c r="C2325" s="80" t="str" cm="1">
        <f t="array" ref="C2325">_xlfn.IFS(MONTH(D2325)&lt;4,1,MONTH(D2325)&lt;7,2,MONTH(D2325)&lt;10,3,MONTH(D2325)&gt;9,4)&amp;"Q"&amp;RIGHT(YEAR(D2325),2)</f>
        <v>2Q25</v>
      </c>
      <c r="D2325" s="81">
        <f t="shared" si="700"/>
        <v>45777</v>
      </c>
      <c r="E2325" s="82">
        <f t="shared" si="711"/>
        <v>45772</v>
      </c>
      <c r="F2325" s="83">
        <f t="shared" si="709"/>
        <v>0.2185</v>
      </c>
      <c r="G2325" s="83">
        <f t="shared" si="709"/>
        <v>0.20625</v>
      </c>
      <c r="I2325" s="146">
        <v>45772</v>
      </c>
      <c r="J2325" s="147">
        <v>2.4</v>
      </c>
      <c r="K2325" s="147">
        <v>1.47</v>
      </c>
      <c r="L2325" s="158">
        <v>1.748</v>
      </c>
      <c r="M2325" s="59" cm="1">
        <f t="array" ref="M2325">INDEX($BV$29:$BV$1449,MATCH($D2325,$BR$29:$BR$1449,0),)</f>
        <v>1.65</v>
      </c>
      <c r="N2325" s="150">
        <f t="shared" si="704"/>
        <v>0.00402067777139559</v>
      </c>
      <c r="O2325" s="150">
        <f t="shared" si="705"/>
        <v>0.0282352941176471</v>
      </c>
      <c r="P2325" s="150">
        <f t="shared" si="710"/>
        <v>0.0504807692307694</v>
      </c>
      <c r="Q2325" s="89">
        <f t="shared" si="712"/>
        <v>0.0593939393939396</v>
      </c>
      <c r="S2325" s="82">
        <f t="shared" si="713"/>
        <v>45772</v>
      </c>
      <c r="T2325" s="83">
        <f t="shared" si="708"/>
        <v>0.34625</v>
      </c>
      <c r="U2325" s="83">
        <f t="shared" si="708"/>
        <v>0.2875</v>
      </c>
      <c r="W2325" s="146">
        <v>45772</v>
      </c>
      <c r="X2325" s="147">
        <v>6.85</v>
      </c>
      <c r="Y2325" s="147">
        <v>4.35</v>
      </c>
      <c r="Z2325" s="158">
        <v>5.54</v>
      </c>
      <c r="AA2325" s="59" cm="1">
        <f t="array" ref="AA2325">INDEX($BX$29:$BX$1449,MATCH($D2325,$BR$29:$BR$1449,0),)</f>
        <v>4.6</v>
      </c>
      <c r="AB2325" s="150">
        <f t="shared" ref="AB2325:AB2388" si="714">Z2325/Z2324-1</f>
        <v>-0.000721500721500679</v>
      </c>
      <c r="AC2325" s="150">
        <f t="shared" si="698"/>
        <v>0.0259259259259259</v>
      </c>
      <c r="AD2325" s="150">
        <f t="shared" si="701"/>
        <v>0.0429216867469879</v>
      </c>
      <c r="AE2325" s="89">
        <f t="shared" si="697"/>
        <v>0.204347826086957</v>
      </c>
    </row>
    <row r="2326" spans="3:31">
      <c r="C2326" s="80" t="str" cm="1">
        <f t="array" ref="C2326">_xlfn.IFS(MONTH(D2326)&lt;4,1,MONTH(D2326)&lt;7,2,MONTH(D2326)&lt;10,3,MONTH(D2326)&gt;9,4)&amp;"Q"&amp;RIGHT(YEAR(D2326),2)</f>
        <v>2Q25</v>
      </c>
      <c r="D2326" s="81">
        <f t="shared" si="700"/>
        <v>45777</v>
      </c>
      <c r="E2326" s="82">
        <f t="shared" si="711"/>
        <v>45775</v>
      </c>
      <c r="F2326" s="83">
        <f t="shared" si="709"/>
        <v>0.219125</v>
      </c>
      <c r="G2326" s="83">
        <f t="shared" si="709"/>
        <v>0.20625</v>
      </c>
      <c r="I2326" s="146">
        <v>45775</v>
      </c>
      <c r="J2326" s="147">
        <v>2.4</v>
      </c>
      <c r="K2326" s="147">
        <v>1.5</v>
      </c>
      <c r="L2326" s="158">
        <v>1.753</v>
      </c>
      <c r="M2326" s="59" cm="1">
        <f t="array" ref="M2326">INDEX($BV$29:$BV$1449,MATCH($D2326,$BR$29:$BR$1449,0),)</f>
        <v>1.65</v>
      </c>
      <c r="N2326" s="150">
        <f t="shared" si="704"/>
        <v>0.00286041189931341</v>
      </c>
      <c r="O2326" s="150">
        <f t="shared" si="705"/>
        <v>0.0281524926686216</v>
      </c>
      <c r="P2326" s="150">
        <f t="shared" si="710"/>
        <v>0.0522208883553421</v>
      </c>
      <c r="Q2326" s="89">
        <f t="shared" si="712"/>
        <v>0.0624242424242425</v>
      </c>
      <c r="S2326" s="82">
        <f t="shared" si="713"/>
        <v>45775</v>
      </c>
      <c r="T2326" s="83">
        <f t="shared" si="708"/>
        <v>0.345375</v>
      </c>
      <c r="U2326" s="83">
        <f t="shared" si="708"/>
        <v>0.2875</v>
      </c>
      <c r="W2326" s="146">
        <v>45775</v>
      </c>
      <c r="X2326" s="147">
        <v>6.85</v>
      </c>
      <c r="Y2326" s="147">
        <v>4.3</v>
      </c>
      <c r="Z2326" s="158">
        <v>5.526</v>
      </c>
      <c r="AA2326" s="59" cm="1">
        <f t="array" ref="AA2326">INDEX($BX$29:$BX$1449,MATCH($D2326,$BR$29:$BR$1449,0),)</f>
        <v>4.6</v>
      </c>
      <c r="AB2326" s="150">
        <f t="shared" si="714"/>
        <v>-0.0025270758122744</v>
      </c>
      <c r="AC2326" s="150">
        <f t="shared" si="698"/>
        <v>0.0158088235294116</v>
      </c>
      <c r="AD2326" s="150">
        <f t="shared" si="701"/>
        <v>0.0395033860045146</v>
      </c>
      <c r="AE2326" s="89">
        <f t="shared" ref="AE2326:AE2389" si="715">Z2326/AA2326-1</f>
        <v>0.201304347826087</v>
      </c>
    </row>
    <row r="2327" spans="3:31">
      <c r="C2327" s="80" t="str" cm="1">
        <f t="array" ref="C2327">_xlfn.IFS(MONTH(D2327)&lt;4,1,MONTH(D2327)&lt;7,2,MONTH(D2327)&lt;10,3,MONTH(D2327)&gt;9,4)&amp;"Q"&amp;RIGHT(YEAR(D2327),2)</f>
        <v>2Q25</v>
      </c>
      <c r="D2327" s="81">
        <f t="shared" si="700"/>
        <v>45777</v>
      </c>
      <c r="E2327" s="82">
        <f t="shared" si="711"/>
        <v>45776</v>
      </c>
      <c r="F2327" s="83">
        <f t="shared" si="709"/>
        <v>0.2255</v>
      </c>
      <c r="G2327" s="83">
        <f t="shared" si="709"/>
        <v>0.20625</v>
      </c>
      <c r="I2327" s="146">
        <v>45776</v>
      </c>
      <c r="J2327" s="147">
        <v>2.6</v>
      </c>
      <c r="K2327" s="147">
        <v>1.6</v>
      </c>
      <c r="L2327" s="158">
        <v>1.804</v>
      </c>
      <c r="M2327" s="59" cm="1">
        <f t="array" ref="M2327">INDEX($BV$29:$BV$1449,MATCH($D2327,$BR$29:$BR$1449,0),)</f>
        <v>1.65</v>
      </c>
      <c r="N2327" s="150">
        <f t="shared" si="704"/>
        <v>0.0290929834569311</v>
      </c>
      <c r="O2327" s="150">
        <f t="shared" si="705"/>
        <v>0.0488372093023257</v>
      </c>
      <c r="P2327" s="150">
        <f t="shared" si="710"/>
        <v>0.0783024506873879</v>
      </c>
      <c r="Q2327" s="89">
        <f t="shared" si="712"/>
        <v>0.0933333333333335</v>
      </c>
      <c r="S2327" s="82">
        <f t="shared" si="713"/>
        <v>45776</v>
      </c>
      <c r="T2327" s="83">
        <f t="shared" si="708"/>
        <v>0.345375</v>
      </c>
      <c r="U2327" s="83">
        <f t="shared" si="708"/>
        <v>0.2875</v>
      </c>
      <c r="W2327" s="146">
        <v>45776</v>
      </c>
      <c r="X2327" s="147">
        <v>6.85</v>
      </c>
      <c r="Y2327" s="147">
        <v>4.3</v>
      </c>
      <c r="Z2327" s="158">
        <v>5.526</v>
      </c>
      <c r="AA2327" s="59" cm="1">
        <f t="array" ref="AA2327">INDEX($BX$29:$BX$1449,MATCH($D2327,$BR$29:$BR$1449,0),)</f>
        <v>4.6</v>
      </c>
      <c r="AB2327" s="150">
        <f t="shared" si="714"/>
        <v>0</v>
      </c>
      <c r="AC2327" s="150">
        <f t="shared" si="698"/>
        <v>0.00839416058394149</v>
      </c>
      <c r="AD2327" s="150">
        <f t="shared" si="701"/>
        <v>0.0367729831144465</v>
      </c>
      <c r="AE2327" s="89">
        <f t="shared" si="715"/>
        <v>0.201304347826087</v>
      </c>
    </row>
    <row r="2328" spans="3:31">
      <c r="C2328" s="80" t="str" cm="1">
        <f t="array" ref="C2328">_xlfn.IFS(MONTH(D2328)&lt;4,1,MONTH(D2328)&lt;7,2,MONTH(D2328)&lt;10,3,MONTH(D2328)&gt;9,4)&amp;"Q"&amp;RIGHT(YEAR(D2328),2)</f>
        <v>2Q25</v>
      </c>
      <c r="D2328" s="81">
        <f t="shared" si="700"/>
        <v>45777</v>
      </c>
      <c r="E2328" s="82">
        <f t="shared" si="711"/>
        <v>45777</v>
      </c>
      <c r="F2328" s="83">
        <f t="shared" si="709"/>
        <v>0.227625</v>
      </c>
      <c r="G2328" s="83">
        <f t="shared" si="709"/>
        <v>0.20625</v>
      </c>
      <c r="I2328" s="146">
        <v>45777</v>
      </c>
      <c r="J2328" s="147">
        <v>2.85</v>
      </c>
      <c r="K2328" s="147">
        <v>1.68</v>
      </c>
      <c r="L2328" s="158">
        <v>1.821</v>
      </c>
      <c r="M2328" s="59" cm="1">
        <f t="array" ref="M2328">INDEX($BV$29:$BV$1449,MATCH($D2328,$BR$29:$BR$1449,0),)</f>
        <v>1.65</v>
      </c>
      <c r="N2328" s="150">
        <f t="shared" si="704"/>
        <v>0.00942350332594222</v>
      </c>
      <c r="O2328" s="150">
        <f t="shared" si="705"/>
        <v>0.0587209302325582</v>
      </c>
      <c r="P2328" s="150">
        <f t="shared" si="710"/>
        <v>0.0884638374178122</v>
      </c>
      <c r="Q2328" s="89">
        <f t="shared" si="712"/>
        <v>0.103636363636364</v>
      </c>
      <c r="S2328" s="82">
        <f t="shared" si="713"/>
        <v>45777</v>
      </c>
      <c r="T2328" s="83">
        <f t="shared" ref="T2328:U2343" si="716">+Z2328/16</f>
        <v>0.34525</v>
      </c>
      <c r="U2328" s="83">
        <f t="shared" si="716"/>
        <v>0.2875</v>
      </c>
      <c r="W2328" s="146">
        <v>45777</v>
      </c>
      <c r="X2328" s="147">
        <v>6.85</v>
      </c>
      <c r="Y2328" s="147">
        <v>4.3</v>
      </c>
      <c r="Z2328" s="158">
        <v>5.524</v>
      </c>
      <c r="AA2328" s="59" cm="1">
        <f t="array" ref="AA2328">INDEX($BX$29:$BX$1449,MATCH($D2328,$BR$29:$BR$1449,0),)</f>
        <v>4.6</v>
      </c>
      <c r="AB2328" s="150">
        <f t="shared" si="714"/>
        <v>-0.000361925443358668</v>
      </c>
      <c r="AC2328" s="150">
        <f t="shared" si="698"/>
        <v>0.000724637681159601</v>
      </c>
      <c r="AD2328" s="150">
        <f t="shared" si="701"/>
        <v>0.0344569288389514</v>
      </c>
      <c r="AE2328" s="89">
        <f t="shared" si="715"/>
        <v>0.200869565217391</v>
      </c>
    </row>
    <row r="2329" spans="3:31">
      <c r="C2329" s="80" t="str" cm="1">
        <f t="array" ref="C2329">_xlfn.IFS(MONTH(D2329)&lt;4,1,MONTH(D2329)&lt;7,2,MONTH(D2329)&lt;10,3,MONTH(D2329)&gt;9,4)&amp;"Q"&amp;RIGHT(YEAR(D2329),2)</f>
        <v>2Q25</v>
      </c>
      <c r="D2329" s="81">
        <f t="shared" si="700"/>
        <v>45808</v>
      </c>
      <c r="E2329" s="82">
        <f t="shared" si="711"/>
        <v>45779</v>
      </c>
      <c r="F2329" s="83">
        <f t="shared" si="709"/>
        <v>0.230375</v>
      </c>
      <c r="G2329" s="83">
        <f t="shared" si="709"/>
        <v>0.2625</v>
      </c>
      <c r="I2329" s="146">
        <v>45779</v>
      </c>
      <c r="J2329" s="147">
        <v>3</v>
      </c>
      <c r="K2329" s="147">
        <v>1.68</v>
      </c>
      <c r="L2329" s="158">
        <v>1.843</v>
      </c>
      <c r="M2329" s="59" cm="1">
        <f t="array" ref="M2329">INDEX($BV$29:$BV$1449,MATCH($D2329,$BR$29:$BR$1449,0),)</f>
        <v>2.1</v>
      </c>
      <c r="N2329" s="150">
        <f t="shared" si="704"/>
        <v>0.0120812740252609</v>
      </c>
      <c r="O2329" s="150">
        <f t="shared" si="705"/>
        <v>0.0585870189546236</v>
      </c>
      <c r="P2329" s="150">
        <f t="shared" si="710"/>
        <v>0.0905325443786982</v>
      </c>
      <c r="Q2329" s="89">
        <f t="shared" si="712"/>
        <v>-0.122380952380952</v>
      </c>
      <c r="S2329" s="82">
        <f t="shared" si="713"/>
        <v>45779</v>
      </c>
      <c r="T2329" s="83">
        <f t="shared" si="716"/>
        <v>0.34525</v>
      </c>
      <c r="U2329" s="83">
        <f t="shared" si="716"/>
        <v>0.3</v>
      </c>
      <c r="W2329" s="146">
        <v>45779</v>
      </c>
      <c r="X2329" s="147">
        <v>6.85</v>
      </c>
      <c r="Y2329" s="147">
        <v>4.3</v>
      </c>
      <c r="Z2329" s="158">
        <v>5.524</v>
      </c>
      <c r="AA2329" s="59" cm="1">
        <f t="array" ref="AA2329">INDEX($BX$29:$BX$1449,MATCH($D2329,$BR$29:$BR$1449,0),)</f>
        <v>4.8</v>
      </c>
      <c r="AB2329" s="150">
        <f t="shared" si="714"/>
        <v>0</v>
      </c>
      <c r="AC2329" s="150">
        <f t="shared" ref="AC2329:AC2392" si="717">Z2329/Z2324-1</f>
        <v>-0.0036075036075035</v>
      </c>
      <c r="AD2329" s="150">
        <f t="shared" si="701"/>
        <v>0.0305970149253731</v>
      </c>
      <c r="AE2329" s="89">
        <f t="shared" si="715"/>
        <v>0.150833333333333</v>
      </c>
    </row>
    <row r="2330" spans="3:31">
      <c r="C2330" s="80" t="str" cm="1">
        <f t="array" ref="C2330">_xlfn.IFS(MONTH(D2330)&lt;4,1,MONTH(D2330)&lt;7,2,MONTH(D2330)&lt;10,3,MONTH(D2330)&gt;9,4)&amp;"Q"&amp;RIGHT(YEAR(D2330),2)</f>
        <v>2Q25</v>
      </c>
      <c r="D2330" s="81">
        <f t="shared" si="700"/>
        <v>45808</v>
      </c>
      <c r="E2330" s="82">
        <f t="shared" si="711"/>
        <v>45782</v>
      </c>
      <c r="F2330" s="83">
        <f t="shared" ref="F2330:G2345" si="718">+L2330/8</f>
        <v>0.23175</v>
      </c>
      <c r="G2330" s="83">
        <f t="shared" si="718"/>
        <v>0.2625</v>
      </c>
      <c r="I2330" s="146">
        <v>45782</v>
      </c>
      <c r="J2330" s="147">
        <v>3.2</v>
      </c>
      <c r="K2330" s="147">
        <v>1.7</v>
      </c>
      <c r="L2330" s="158">
        <v>1.854</v>
      </c>
      <c r="M2330" s="59" cm="1">
        <f t="array" ref="M2330">INDEX($BV$29:$BV$1449,MATCH($D2330,$BR$29:$BR$1449,0),)</f>
        <v>2.1</v>
      </c>
      <c r="N2330" s="150">
        <f t="shared" si="704"/>
        <v>0.00596852957135119</v>
      </c>
      <c r="O2330" s="150">
        <f t="shared" si="705"/>
        <v>0.0606407322654463</v>
      </c>
      <c r="P2330" s="150">
        <f t="shared" si="710"/>
        <v>0.0905882352941176</v>
      </c>
      <c r="Q2330" s="89">
        <f t="shared" si="712"/>
        <v>-0.117142857142857</v>
      </c>
      <c r="S2330" s="82">
        <f t="shared" si="713"/>
        <v>45782</v>
      </c>
      <c r="T2330" s="83">
        <f t="shared" si="716"/>
        <v>0.34525</v>
      </c>
      <c r="U2330" s="83">
        <f t="shared" si="716"/>
        <v>0.3</v>
      </c>
      <c r="W2330" s="146">
        <v>45782</v>
      </c>
      <c r="X2330" s="147">
        <v>6.9</v>
      </c>
      <c r="Y2330" s="147">
        <v>4.3</v>
      </c>
      <c r="Z2330" s="158">
        <v>5.524</v>
      </c>
      <c r="AA2330" s="59" cm="1">
        <f t="array" ref="AA2330">INDEX($BX$29:$BX$1449,MATCH($D2330,$BR$29:$BR$1449,0),)</f>
        <v>4.8</v>
      </c>
      <c r="AB2330" s="150">
        <f t="shared" si="714"/>
        <v>0</v>
      </c>
      <c r="AC2330" s="150">
        <f t="shared" si="717"/>
        <v>-0.00288808664259932</v>
      </c>
      <c r="AD2330" s="150">
        <f t="shared" si="701"/>
        <v>0.0229629629629629</v>
      </c>
      <c r="AE2330" s="89">
        <f t="shared" si="715"/>
        <v>0.150833333333333</v>
      </c>
    </row>
    <row r="2331" spans="3:31">
      <c r="C2331" s="80" t="str" cm="1">
        <f t="array" ref="C2331">_xlfn.IFS(MONTH(D2331)&lt;4,1,MONTH(D2331)&lt;7,2,MONTH(D2331)&lt;10,3,MONTH(D2331)&gt;9,4)&amp;"Q"&amp;RIGHT(YEAR(D2331),2)</f>
        <v>2Q25</v>
      </c>
      <c r="D2331" s="81">
        <f t="shared" si="700"/>
        <v>45808</v>
      </c>
      <c r="E2331" s="82">
        <f t="shared" si="711"/>
        <v>45783</v>
      </c>
      <c r="F2331" s="83">
        <f t="shared" si="718"/>
        <v>0.236375</v>
      </c>
      <c r="G2331" s="83">
        <f t="shared" si="718"/>
        <v>0.2625</v>
      </c>
      <c r="I2331" s="146">
        <v>45783</v>
      </c>
      <c r="J2331" s="147">
        <v>3.3</v>
      </c>
      <c r="K2331" s="147">
        <v>1.75</v>
      </c>
      <c r="L2331" s="158">
        <v>1.891</v>
      </c>
      <c r="M2331" s="59" cm="1">
        <f t="array" ref="M2331">INDEX($BV$29:$BV$1449,MATCH($D2331,$BR$29:$BR$1449,0),)</f>
        <v>2.1</v>
      </c>
      <c r="N2331" s="150">
        <f t="shared" si="704"/>
        <v>0.0199568500539373</v>
      </c>
      <c r="O2331" s="150">
        <f t="shared" si="705"/>
        <v>0.0787221905305191</v>
      </c>
      <c r="P2331" s="150">
        <f t="shared" si="710"/>
        <v>0.109090909090909</v>
      </c>
      <c r="Q2331" s="89">
        <f t="shared" si="712"/>
        <v>-0.0995238095238096</v>
      </c>
      <c r="S2331" s="82">
        <f t="shared" si="713"/>
        <v>45783</v>
      </c>
      <c r="T2331" s="83">
        <f t="shared" si="716"/>
        <v>0.34525</v>
      </c>
      <c r="U2331" s="83">
        <f t="shared" si="716"/>
        <v>0.3</v>
      </c>
      <c r="W2331" s="146">
        <v>45783</v>
      </c>
      <c r="X2331" s="147">
        <v>6.9</v>
      </c>
      <c r="Y2331" s="147">
        <v>4.3</v>
      </c>
      <c r="Z2331" s="158">
        <v>5.524</v>
      </c>
      <c r="AA2331" s="59" cm="1">
        <f t="array" ref="AA2331">INDEX($BX$29:$BX$1449,MATCH($D2331,$BR$29:$BR$1449,0),)</f>
        <v>4.8</v>
      </c>
      <c r="AB2331" s="150">
        <f t="shared" si="714"/>
        <v>0</v>
      </c>
      <c r="AC2331" s="150">
        <f t="shared" si="717"/>
        <v>-0.000361925443358668</v>
      </c>
      <c r="AD2331" s="150">
        <f t="shared" si="701"/>
        <v>0.0154411764705882</v>
      </c>
      <c r="AE2331" s="89">
        <f t="shared" si="715"/>
        <v>0.150833333333333</v>
      </c>
    </row>
    <row r="2332" spans="3:31">
      <c r="C2332" s="80" t="str" cm="1">
        <f t="array" ref="C2332">_xlfn.IFS(MONTH(D2332)&lt;4,1,MONTH(D2332)&lt;7,2,MONTH(D2332)&lt;10,3,MONTH(D2332)&gt;9,4)&amp;"Q"&amp;RIGHT(YEAR(D2332),2)</f>
        <v>2Q25</v>
      </c>
      <c r="D2332" s="81">
        <f t="shared" si="700"/>
        <v>45808</v>
      </c>
      <c r="E2332" s="82">
        <f t="shared" si="711"/>
        <v>45784</v>
      </c>
      <c r="F2332" s="83">
        <f t="shared" si="718"/>
        <v>0.24025</v>
      </c>
      <c r="G2332" s="83">
        <f t="shared" si="718"/>
        <v>0.2625</v>
      </c>
      <c r="I2332" s="146">
        <v>45784</v>
      </c>
      <c r="J2332" s="147">
        <v>3.3</v>
      </c>
      <c r="K2332" s="147">
        <v>1.75</v>
      </c>
      <c r="L2332" s="158">
        <v>1.922</v>
      </c>
      <c r="M2332" s="59" cm="1">
        <f t="array" ref="M2332">INDEX($BV$29:$BV$1449,MATCH($D2332,$BR$29:$BR$1449,0),)</f>
        <v>2.1</v>
      </c>
      <c r="N2332" s="150">
        <f t="shared" si="704"/>
        <v>0.0163934426229508</v>
      </c>
      <c r="O2332" s="150">
        <f t="shared" si="705"/>
        <v>0.065410199556541</v>
      </c>
      <c r="P2332" s="150">
        <f t="shared" si="710"/>
        <v>0.117441860465116</v>
      </c>
      <c r="Q2332" s="89">
        <f t="shared" si="712"/>
        <v>-0.0847619047619048</v>
      </c>
      <c r="S2332" s="82">
        <f t="shared" si="713"/>
        <v>45784</v>
      </c>
      <c r="T2332" s="83">
        <f t="shared" si="716"/>
        <v>0.34525</v>
      </c>
      <c r="U2332" s="83">
        <f t="shared" si="716"/>
        <v>0.3</v>
      </c>
      <c r="W2332" s="146">
        <v>45784</v>
      </c>
      <c r="X2332" s="147">
        <v>7</v>
      </c>
      <c r="Y2332" s="147">
        <v>4.3</v>
      </c>
      <c r="Z2332" s="158">
        <v>5.524</v>
      </c>
      <c r="AA2332" s="59" cm="1">
        <f t="array" ref="AA2332">INDEX($BX$29:$BX$1449,MATCH($D2332,$BR$29:$BR$1449,0),)</f>
        <v>4.8</v>
      </c>
      <c r="AB2332" s="150">
        <f t="shared" si="714"/>
        <v>0</v>
      </c>
      <c r="AC2332" s="150">
        <f t="shared" si="717"/>
        <v>-0.000361925443358668</v>
      </c>
      <c r="AD2332" s="150">
        <f t="shared" si="701"/>
        <v>0.00802919708029193</v>
      </c>
      <c r="AE2332" s="89">
        <f t="shared" si="715"/>
        <v>0.150833333333333</v>
      </c>
    </row>
    <row r="2333" spans="3:31">
      <c r="C2333" s="80" t="str" cm="1">
        <f t="array" ref="C2333">_xlfn.IFS(MONTH(D2333)&lt;4,1,MONTH(D2333)&lt;7,2,MONTH(D2333)&lt;10,3,MONTH(D2333)&gt;9,4)&amp;"Q"&amp;RIGHT(YEAR(D2333),2)</f>
        <v>2Q25</v>
      </c>
      <c r="D2333" s="81">
        <f t="shared" si="700"/>
        <v>45808</v>
      </c>
      <c r="E2333" s="82">
        <f t="shared" si="711"/>
        <v>45785</v>
      </c>
      <c r="F2333" s="83">
        <f t="shared" si="718"/>
        <v>0.245625</v>
      </c>
      <c r="G2333" s="83">
        <f t="shared" si="718"/>
        <v>0.2625</v>
      </c>
      <c r="I2333" s="146">
        <v>45785</v>
      </c>
      <c r="J2333" s="147">
        <v>3.3</v>
      </c>
      <c r="K2333" s="147">
        <v>1.75</v>
      </c>
      <c r="L2333" s="158">
        <v>1.965</v>
      </c>
      <c r="M2333" s="59" cm="1">
        <f t="array" ref="M2333">INDEX($BV$29:$BV$1449,MATCH($D2333,$BR$29:$BR$1449,0),)</f>
        <v>2.1</v>
      </c>
      <c r="N2333" s="150">
        <f t="shared" si="704"/>
        <v>0.022372528616025</v>
      </c>
      <c r="O2333" s="150">
        <f t="shared" si="705"/>
        <v>0.0790774299835255</v>
      </c>
      <c r="P2333" s="150">
        <f t="shared" si="710"/>
        <v>0.142441860465116</v>
      </c>
      <c r="Q2333" s="89">
        <f t="shared" si="712"/>
        <v>-0.0642857142857143</v>
      </c>
      <c r="S2333" s="82">
        <f t="shared" si="713"/>
        <v>45785</v>
      </c>
      <c r="T2333" s="83">
        <f t="shared" si="716"/>
        <v>0.34525</v>
      </c>
      <c r="U2333" s="83">
        <f t="shared" si="716"/>
        <v>0.3</v>
      </c>
      <c r="W2333" s="146">
        <v>45785</v>
      </c>
      <c r="X2333" s="147">
        <v>7</v>
      </c>
      <c r="Y2333" s="147">
        <v>4.3</v>
      </c>
      <c r="Z2333" s="158">
        <v>5.524</v>
      </c>
      <c r="AA2333" s="59" cm="1">
        <f t="array" ref="AA2333">INDEX($BX$29:$BX$1449,MATCH($D2333,$BR$29:$BR$1449,0),)</f>
        <v>4.8</v>
      </c>
      <c r="AB2333" s="150">
        <f t="shared" si="714"/>
        <v>0</v>
      </c>
      <c r="AC2333" s="150">
        <f t="shared" si="717"/>
        <v>0</v>
      </c>
      <c r="AD2333" s="150">
        <f t="shared" si="701"/>
        <v>0.000724637681159601</v>
      </c>
      <c r="AE2333" s="89">
        <f t="shared" si="715"/>
        <v>0.150833333333333</v>
      </c>
    </row>
    <row r="2334" spans="3:31">
      <c r="C2334" s="80" t="str" cm="1">
        <f t="array" ref="C2334">_xlfn.IFS(MONTH(D2334)&lt;4,1,MONTH(D2334)&lt;7,2,MONTH(D2334)&lt;10,3,MONTH(D2334)&gt;9,4)&amp;"Q"&amp;RIGHT(YEAR(D2334),2)</f>
        <v>2Q25</v>
      </c>
      <c r="D2334" s="81">
        <f t="shared" ref="D2334:D2397" si="719">EOMONTH(E2334,0)</f>
        <v>45808</v>
      </c>
      <c r="E2334" s="82">
        <f t="shared" si="711"/>
        <v>45786</v>
      </c>
      <c r="F2334" s="83">
        <f t="shared" si="718"/>
        <v>0.25175</v>
      </c>
      <c r="G2334" s="83">
        <f t="shared" si="718"/>
        <v>0.2625</v>
      </c>
      <c r="I2334" s="146">
        <v>45786</v>
      </c>
      <c r="J2334" s="147">
        <v>3.5</v>
      </c>
      <c r="K2334" s="147">
        <v>1.75</v>
      </c>
      <c r="L2334" s="158">
        <v>2.014</v>
      </c>
      <c r="M2334" s="59" cm="1">
        <f t="array" ref="M2334">INDEX($BV$29:$BV$1449,MATCH($D2334,$BR$29:$BR$1449,0),)</f>
        <v>2.1</v>
      </c>
      <c r="N2334" s="150">
        <f t="shared" si="704"/>
        <v>0.0249363867684478</v>
      </c>
      <c r="O2334" s="150">
        <f t="shared" si="705"/>
        <v>0.0927835051546391</v>
      </c>
      <c r="P2334" s="150">
        <f t="shared" si="710"/>
        <v>0.156806433084434</v>
      </c>
      <c r="Q2334" s="89">
        <f t="shared" si="712"/>
        <v>-0.0409523809523811</v>
      </c>
      <c r="S2334" s="82">
        <f t="shared" si="713"/>
        <v>45786</v>
      </c>
      <c r="T2334" s="83">
        <f t="shared" si="716"/>
        <v>0.34525</v>
      </c>
      <c r="U2334" s="83">
        <f t="shared" si="716"/>
        <v>0.3</v>
      </c>
      <c r="W2334" s="146">
        <v>45786</v>
      </c>
      <c r="X2334" s="147">
        <v>7</v>
      </c>
      <c r="Y2334" s="147">
        <v>4.3</v>
      </c>
      <c r="Z2334" s="158">
        <v>5.524</v>
      </c>
      <c r="AA2334" s="59" cm="1">
        <f t="array" ref="AA2334">INDEX($BX$29:$BX$1449,MATCH($D2334,$BR$29:$BR$1449,0),)</f>
        <v>4.8</v>
      </c>
      <c r="AB2334" s="150">
        <f t="shared" si="714"/>
        <v>0</v>
      </c>
      <c r="AC2334" s="150">
        <f t="shared" si="717"/>
        <v>0</v>
      </c>
      <c r="AD2334" s="150">
        <f t="shared" ref="AD2334:AD2397" si="720">Z2334/Z2324-1</f>
        <v>-0.0036075036075035</v>
      </c>
      <c r="AE2334" s="89">
        <f t="shared" si="715"/>
        <v>0.150833333333333</v>
      </c>
    </row>
    <row r="2335" spans="3:31">
      <c r="C2335" s="80" t="str" cm="1">
        <f t="array" ref="C2335">_xlfn.IFS(MONTH(D2335)&lt;4,1,MONTH(D2335)&lt;7,2,MONTH(D2335)&lt;10,3,MONTH(D2335)&gt;9,4)&amp;"Q"&amp;RIGHT(YEAR(D2335),2)</f>
        <v>2Q25</v>
      </c>
      <c r="D2335" s="81">
        <f t="shared" si="719"/>
        <v>45808</v>
      </c>
      <c r="E2335" s="82">
        <f t="shared" si="711"/>
        <v>45789</v>
      </c>
      <c r="F2335" s="83">
        <f t="shared" si="718"/>
        <v>0.258</v>
      </c>
      <c r="G2335" s="83">
        <f t="shared" si="718"/>
        <v>0.2625</v>
      </c>
      <c r="I2335" s="146">
        <v>45789</v>
      </c>
      <c r="J2335" s="147">
        <v>3.8</v>
      </c>
      <c r="K2335" s="147">
        <v>1.8</v>
      </c>
      <c r="L2335" s="158">
        <v>2.064</v>
      </c>
      <c r="M2335" s="59" cm="1">
        <f t="array" ref="M2335">INDEX($BV$29:$BV$1449,MATCH($D2335,$BR$29:$BR$1449,0),)</f>
        <v>2.1</v>
      </c>
      <c r="N2335" s="150">
        <f t="shared" si="704"/>
        <v>0.0248262164846078</v>
      </c>
      <c r="O2335" s="150">
        <f t="shared" si="705"/>
        <v>0.113268608414239</v>
      </c>
      <c r="P2335" s="150">
        <f t="shared" si="710"/>
        <v>0.180778032036613</v>
      </c>
      <c r="Q2335" s="89">
        <f t="shared" si="712"/>
        <v>-0.0171428571428571</v>
      </c>
      <c r="S2335" s="82">
        <f t="shared" si="713"/>
        <v>45789</v>
      </c>
      <c r="T2335" s="83">
        <f t="shared" si="716"/>
        <v>0.345125</v>
      </c>
      <c r="U2335" s="83">
        <f t="shared" si="716"/>
        <v>0.3</v>
      </c>
      <c r="W2335" s="146">
        <v>45789</v>
      </c>
      <c r="X2335" s="147">
        <v>7</v>
      </c>
      <c r="Y2335" s="147">
        <v>4.28</v>
      </c>
      <c r="Z2335" s="158">
        <v>5.522</v>
      </c>
      <c r="AA2335" s="59" cm="1">
        <f t="array" ref="AA2335">INDEX($BX$29:$BX$1449,MATCH($D2335,$BR$29:$BR$1449,0),)</f>
        <v>4.8</v>
      </c>
      <c r="AB2335" s="150">
        <f t="shared" si="714"/>
        <v>-0.000362056480811002</v>
      </c>
      <c r="AC2335" s="150">
        <f t="shared" si="717"/>
        <v>-0.000362056480811002</v>
      </c>
      <c r="AD2335" s="150">
        <f t="shared" si="720"/>
        <v>-0.00324909747292412</v>
      </c>
      <c r="AE2335" s="89">
        <f t="shared" si="715"/>
        <v>0.150416666666667</v>
      </c>
    </row>
    <row r="2336" spans="3:31">
      <c r="C2336" s="80" t="str" cm="1">
        <f t="array" ref="C2336">_xlfn.IFS(MONTH(D2336)&lt;4,1,MONTH(D2336)&lt;7,2,MONTH(D2336)&lt;10,3,MONTH(D2336)&gt;9,4)&amp;"Q"&amp;RIGHT(YEAR(D2336),2)</f>
        <v>2Q25</v>
      </c>
      <c r="D2336" s="81">
        <f t="shared" si="719"/>
        <v>45808</v>
      </c>
      <c r="E2336" s="82">
        <f t="shared" si="711"/>
        <v>45790</v>
      </c>
      <c r="F2336" s="83">
        <f t="shared" si="718"/>
        <v>0.263125</v>
      </c>
      <c r="G2336" s="83">
        <f t="shared" si="718"/>
        <v>0.2625</v>
      </c>
      <c r="I2336" s="146">
        <v>45790</v>
      </c>
      <c r="J2336" s="147">
        <v>3.8</v>
      </c>
      <c r="K2336" s="147">
        <v>1.8</v>
      </c>
      <c r="L2336" s="158">
        <v>2.105</v>
      </c>
      <c r="M2336" s="59" cm="1">
        <f t="array" ref="M2336">INDEX($BV$29:$BV$1449,MATCH($D2336,$BR$29:$BR$1449,0),)</f>
        <v>2.1</v>
      </c>
      <c r="N2336" s="150">
        <f t="shared" si="704"/>
        <v>0.0198643410852712</v>
      </c>
      <c r="O2336" s="150">
        <f t="shared" si="705"/>
        <v>0.113167636171338</v>
      </c>
      <c r="P2336" s="150">
        <f t="shared" si="710"/>
        <v>0.200798630918426</v>
      </c>
      <c r="Q2336" s="89">
        <f t="shared" si="712"/>
        <v>0.00238095238095237</v>
      </c>
      <c r="S2336" s="82">
        <f t="shared" si="713"/>
        <v>45790</v>
      </c>
      <c r="T2336" s="83">
        <f t="shared" si="716"/>
        <v>0.345125</v>
      </c>
      <c r="U2336" s="83">
        <f t="shared" si="716"/>
        <v>0.3</v>
      </c>
      <c r="W2336" s="146">
        <v>45790</v>
      </c>
      <c r="X2336" s="147">
        <v>7</v>
      </c>
      <c r="Y2336" s="147">
        <v>4.28</v>
      </c>
      <c r="Z2336" s="158">
        <v>5.522</v>
      </c>
      <c r="AA2336" s="59" cm="1">
        <f t="array" ref="AA2336">INDEX($BX$29:$BX$1449,MATCH($D2336,$BR$29:$BR$1449,0),)</f>
        <v>4.8</v>
      </c>
      <c r="AB2336" s="150">
        <f t="shared" si="714"/>
        <v>0</v>
      </c>
      <c r="AC2336" s="150">
        <f t="shared" si="717"/>
        <v>-0.000362056480811002</v>
      </c>
      <c r="AD2336" s="150">
        <f t="shared" si="720"/>
        <v>-0.000723850886717226</v>
      </c>
      <c r="AE2336" s="89">
        <f t="shared" si="715"/>
        <v>0.150416666666667</v>
      </c>
    </row>
    <row r="2337" spans="3:31">
      <c r="C2337" s="80" t="str" cm="1">
        <f t="array" ref="C2337">_xlfn.IFS(MONTH(D2337)&lt;4,1,MONTH(D2337)&lt;7,2,MONTH(D2337)&lt;10,3,MONTH(D2337)&gt;9,4)&amp;"Q"&amp;RIGHT(YEAR(D2337),2)</f>
        <v>2Q25</v>
      </c>
      <c r="D2337" s="81">
        <f t="shared" si="719"/>
        <v>45808</v>
      </c>
      <c r="E2337" s="82">
        <f t="shared" si="711"/>
        <v>45791</v>
      </c>
      <c r="F2337" s="83">
        <f t="shared" si="718"/>
        <v>0.266125</v>
      </c>
      <c r="G2337" s="83">
        <f t="shared" si="718"/>
        <v>0.2625</v>
      </c>
      <c r="I2337" s="146">
        <v>45791</v>
      </c>
      <c r="J2337" s="147">
        <v>3.8</v>
      </c>
      <c r="K2337" s="147">
        <v>1.8</v>
      </c>
      <c r="L2337" s="158">
        <v>2.129</v>
      </c>
      <c r="M2337" s="59" cm="1">
        <f t="array" ref="M2337">INDEX($BV$29:$BV$1449,MATCH($D2337,$BR$29:$BR$1449,0),)</f>
        <v>2.1</v>
      </c>
      <c r="N2337" s="150">
        <f t="shared" si="704"/>
        <v>0.0114014251781474</v>
      </c>
      <c r="O2337" s="150">
        <f t="shared" si="705"/>
        <v>0.107700312174818</v>
      </c>
      <c r="P2337" s="150">
        <f t="shared" si="710"/>
        <v>0.180155210643016</v>
      </c>
      <c r="Q2337" s="89">
        <f t="shared" si="712"/>
        <v>0.0138095238095237</v>
      </c>
      <c r="S2337" s="82">
        <f t="shared" si="713"/>
        <v>45791</v>
      </c>
      <c r="T2337" s="83">
        <f t="shared" si="716"/>
        <v>0.3441875</v>
      </c>
      <c r="U2337" s="83">
        <f t="shared" si="716"/>
        <v>0.3</v>
      </c>
      <c r="W2337" s="146">
        <v>45791</v>
      </c>
      <c r="X2337" s="147">
        <v>7</v>
      </c>
      <c r="Y2337" s="147">
        <v>4.3</v>
      </c>
      <c r="Z2337" s="158">
        <v>5.507</v>
      </c>
      <c r="AA2337" s="59" cm="1">
        <f t="array" ref="AA2337">INDEX($BX$29:$BX$1449,MATCH($D2337,$BR$29:$BR$1449,0),)</f>
        <v>4.8</v>
      </c>
      <c r="AB2337" s="150">
        <f t="shared" si="714"/>
        <v>-0.00271640709887733</v>
      </c>
      <c r="AC2337" s="150">
        <f t="shared" si="717"/>
        <v>-0.00307748008689357</v>
      </c>
      <c r="AD2337" s="150">
        <f t="shared" si="720"/>
        <v>-0.00343829171190735</v>
      </c>
      <c r="AE2337" s="89">
        <f t="shared" si="715"/>
        <v>0.147291666666667</v>
      </c>
    </row>
    <row r="2338" spans="3:31">
      <c r="C2338" s="80" t="str" cm="1">
        <f t="array" ref="C2338">_xlfn.IFS(MONTH(D2338)&lt;4,1,MONTH(D2338)&lt;7,2,MONTH(D2338)&lt;10,3,MONTH(D2338)&gt;9,4)&amp;"Q"&amp;RIGHT(YEAR(D2338),2)</f>
        <v>2Q25</v>
      </c>
      <c r="D2338" s="81">
        <f t="shared" si="719"/>
        <v>45808</v>
      </c>
      <c r="E2338" s="82">
        <f t="shared" si="711"/>
        <v>45792</v>
      </c>
      <c r="F2338" s="83">
        <f t="shared" si="718"/>
        <v>0.26725</v>
      </c>
      <c r="G2338" s="83">
        <f t="shared" si="718"/>
        <v>0.2625</v>
      </c>
      <c r="I2338" s="146">
        <v>45792</v>
      </c>
      <c r="J2338" s="147">
        <v>3.85</v>
      </c>
      <c r="K2338" s="147">
        <v>1.8</v>
      </c>
      <c r="L2338" s="158">
        <v>2.138</v>
      </c>
      <c r="M2338" s="59" cm="1">
        <f t="array" ref="M2338">INDEX($BV$29:$BV$1449,MATCH($D2338,$BR$29:$BR$1449,0),)</f>
        <v>2.1</v>
      </c>
      <c r="N2338" s="150">
        <f t="shared" si="704"/>
        <v>0.00422733677782983</v>
      </c>
      <c r="O2338" s="150">
        <f t="shared" si="705"/>
        <v>0.0880407124681932</v>
      </c>
      <c r="P2338" s="150">
        <f t="shared" si="710"/>
        <v>0.174080175727622</v>
      </c>
      <c r="Q2338" s="89">
        <f t="shared" si="712"/>
        <v>0.0180952380952379</v>
      </c>
      <c r="S2338" s="82">
        <f t="shared" si="713"/>
        <v>45792</v>
      </c>
      <c r="T2338" s="83">
        <f t="shared" si="716"/>
        <v>0.3436875</v>
      </c>
      <c r="U2338" s="83">
        <f t="shared" si="716"/>
        <v>0.3</v>
      </c>
      <c r="W2338" s="146">
        <v>45792</v>
      </c>
      <c r="X2338" s="147">
        <v>7</v>
      </c>
      <c r="Y2338" s="147">
        <v>4.3</v>
      </c>
      <c r="Z2338" s="158">
        <v>5.499</v>
      </c>
      <c r="AA2338" s="59" cm="1">
        <f t="array" ref="AA2338">INDEX($BX$29:$BX$1449,MATCH($D2338,$BR$29:$BR$1449,0),)</f>
        <v>4.8</v>
      </c>
      <c r="AB2338" s="150">
        <f t="shared" si="714"/>
        <v>-0.0014526965680044</v>
      </c>
      <c r="AC2338" s="150">
        <f t="shared" si="717"/>
        <v>-0.00452570601013769</v>
      </c>
      <c r="AD2338" s="150">
        <f t="shared" si="720"/>
        <v>-0.00452570601013769</v>
      </c>
      <c r="AE2338" s="89">
        <f t="shared" si="715"/>
        <v>0.145625</v>
      </c>
    </row>
    <row r="2339" spans="3:31">
      <c r="C2339" s="80" t="str" cm="1">
        <f t="array" ref="C2339">_xlfn.IFS(MONTH(D2339)&lt;4,1,MONTH(D2339)&lt;7,2,MONTH(D2339)&lt;10,3,MONTH(D2339)&gt;9,4)&amp;"Q"&amp;RIGHT(YEAR(D2339),2)</f>
        <v>2Q25</v>
      </c>
      <c r="D2339" s="81">
        <f t="shared" si="719"/>
        <v>45808</v>
      </c>
      <c r="E2339" s="82">
        <f t="shared" si="711"/>
        <v>45793</v>
      </c>
      <c r="F2339" s="83">
        <f t="shared" si="718"/>
        <v>0.26725</v>
      </c>
      <c r="G2339" s="83">
        <f t="shared" si="718"/>
        <v>0.2625</v>
      </c>
      <c r="I2339" s="146">
        <v>45793</v>
      </c>
      <c r="J2339" s="147">
        <v>3.85</v>
      </c>
      <c r="K2339" s="147">
        <v>1.8</v>
      </c>
      <c r="L2339" s="158">
        <v>2.138</v>
      </c>
      <c r="M2339" s="59" cm="1">
        <f t="array" ref="M2339">INDEX($BV$29:$BV$1449,MATCH($D2339,$BR$29:$BR$1449,0),)</f>
        <v>2.1</v>
      </c>
      <c r="N2339" s="150">
        <f t="shared" si="704"/>
        <v>0</v>
      </c>
      <c r="O2339" s="150">
        <f t="shared" si="705"/>
        <v>0.0615690168818273</v>
      </c>
      <c r="P2339" s="150">
        <f t="shared" si="710"/>
        <v>0.160065111231688</v>
      </c>
      <c r="Q2339" s="89">
        <f t="shared" si="712"/>
        <v>0.0180952380952379</v>
      </c>
      <c r="S2339" s="82">
        <f t="shared" si="713"/>
        <v>45793</v>
      </c>
      <c r="T2339" s="83">
        <f t="shared" si="716"/>
        <v>0.3431875</v>
      </c>
      <c r="U2339" s="83">
        <f t="shared" si="716"/>
        <v>0.3</v>
      </c>
      <c r="W2339" s="146">
        <v>45793</v>
      </c>
      <c r="X2339" s="147">
        <v>7</v>
      </c>
      <c r="Y2339" s="147">
        <v>4.3</v>
      </c>
      <c r="Z2339" s="158">
        <v>5.491</v>
      </c>
      <c r="AA2339" s="59" cm="1">
        <f t="array" ref="AA2339">INDEX($BX$29:$BX$1449,MATCH($D2339,$BR$29:$BR$1449,0),)</f>
        <v>4.8</v>
      </c>
      <c r="AB2339" s="150">
        <f t="shared" si="714"/>
        <v>-0.00145480996544822</v>
      </c>
      <c r="AC2339" s="150">
        <f t="shared" si="717"/>
        <v>-0.00597393193338169</v>
      </c>
      <c r="AD2339" s="150">
        <f t="shared" si="720"/>
        <v>-0.00597393193338169</v>
      </c>
      <c r="AE2339" s="89">
        <f t="shared" si="715"/>
        <v>0.143958333333333</v>
      </c>
    </row>
    <row r="2340" spans="3:31">
      <c r="C2340" s="80" t="str" cm="1">
        <f t="array" ref="C2340">_xlfn.IFS(MONTH(D2340)&lt;4,1,MONTH(D2340)&lt;7,2,MONTH(D2340)&lt;10,3,MONTH(D2340)&gt;9,4)&amp;"Q"&amp;RIGHT(YEAR(D2340),2)</f>
        <v>2Q25</v>
      </c>
      <c r="D2340" s="81">
        <f t="shared" si="719"/>
        <v>45808</v>
      </c>
      <c r="E2340" s="82">
        <f t="shared" si="711"/>
        <v>45796</v>
      </c>
      <c r="F2340" s="83">
        <f t="shared" si="718"/>
        <v>0.26725</v>
      </c>
      <c r="G2340" s="83">
        <f t="shared" si="718"/>
        <v>0.2625</v>
      </c>
      <c r="I2340" s="146">
        <v>45796</v>
      </c>
      <c r="J2340" s="147">
        <v>3.85</v>
      </c>
      <c r="K2340" s="147">
        <v>1.8</v>
      </c>
      <c r="L2340" s="158">
        <v>2.138</v>
      </c>
      <c r="M2340" s="59" cm="1">
        <f t="array" ref="M2340">INDEX($BV$29:$BV$1449,MATCH($D2340,$BR$29:$BR$1449,0),)</f>
        <v>2.1</v>
      </c>
      <c r="N2340" s="150">
        <f t="shared" si="704"/>
        <v>0</v>
      </c>
      <c r="O2340" s="150">
        <f t="shared" si="705"/>
        <v>0.0358527131782944</v>
      </c>
      <c r="P2340" s="150">
        <f t="shared" si="710"/>
        <v>0.153182308522114</v>
      </c>
      <c r="Q2340" s="89">
        <f t="shared" si="712"/>
        <v>0.0180952380952379</v>
      </c>
      <c r="S2340" s="82">
        <f t="shared" si="713"/>
        <v>45796</v>
      </c>
      <c r="T2340" s="83">
        <f t="shared" si="716"/>
        <v>0.3430625</v>
      </c>
      <c r="U2340" s="83">
        <f t="shared" si="716"/>
        <v>0.3</v>
      </c>
      <c r="W2340" s="146">
        <v>45796</v>
      </c>
      <c r="X2340" s="147">
        <v>7</v>
      </c>
      <c r="Y2340" s="147">
        <v>4.3</v>
      </c>
      <c r="Z2340" s="158">
        <v>5.489</v>
      </c>
      <c r="AA2340" s="59" cm="1">
        <f t="array" ref="AA2340">INDEX($BX$29:$BX$1449,MATCH($D2340,$BR$29:$BR$1449,0),)</f>
        <v>4.8</v>
      </c>
      <c r="AB2340" s="150">
        <f t="shared" si="714"/>
        <v>-0.000364232380258511</v>
      </c>
      <c r="AC2340" s="150">
        <f t="shared" si="717"/>
        <v>-0.00597609561752999</v>
      </c>
      <c r="AD2340" s="150">
        <f t="shared" si="720"/>
        <v>-0.00633598841419269</v>
      </c>
      <c r="AE2340" s="89">
        <f t="shared" si="715"/>
        <v>0.143541666666667</v>
      </c>
    </row>
    <row r="2341" spans="3:31">
      <c r="C2341" s="80" t="str" cm="1">
        <f t="array" ref="C2341">_xlfn.IFS(MONTH(D2341)&lt;4,1,MONTH(D2341)&lt;7,2,MONTH(D2341)&lt;10,3,MONTH(D2341)&gt;9,4)&amp;"Q"&amp;RIGHT(YEAR(D2341),2)</f>
        <v>2Q25</v>
      </c>
      <c r="D2341" s="81">
        <f t="shared" si="719"/>
        <v>45808</v>
      </c>
      <c r="E2341" s="82">
        <f t="shared" si="711"/>
        <v>45797</v>
      </c>
      <c r="F2341" s="83">
        <f t="shared" si="718"/>
        <v>0.27025</v>
      </c>
      <c r="G2341" s="83">
        <f t="shared" si="718"/>
        <v>0.2625</v>
      </c>
      <c r="I2341" s="146">
        <v>45797</v>
      </c>
      <c r="J2341" s="147">
        <v>4</v>
      </c>
      <c r="K2341" s="147">
        <v>1.85</v>
      </c>
      <c r="L2341" s="158">
        <v>2.162</v>
      </c>
      <c r="M2341" s="59" cm="1">
        <f t="array" ref="M2341">INDEX($BV$29:$BV$1449,MATCH($D2341,$BR$29:$BR$1449,0),)</f>
        <v>2.1</v>
      </c>
      <c r="N2341" s="150">
        <f t="shared" si="704"/>
        <v>0.0112254443405051</v>
      </c>
      <c r="O2341" s="150">
        <f t="shared" si="705"/>
        <v>0.0270783847980998</v>
      </c>
      <c r="P2341" s="150">
        <f t="shared" si="710"/>
        <v>0.143310417768376</v>
      </c>
      <c r="Q2341" s="89">
        <f t="shared" si="712"/>
        <v>0.0295238095238095</v>
      </c>
      <c r="S2341" s="82">
        <f t="shared" si="713"/>
        <v>45797</v>
      </c>
      <c r="T2341" s="83">
        <f t="shared" si="716"/>
        <v>0.3430625</v>
      </c>
      <c r="U2341" s="83">
        <f t="shared" si="716"/>
        <v>0.3</v>
      </c>
      <c r="W2341" s="146">
        <v>45797</v>
      </c>
      <c r="X2341" s="147">
        <v>7</v>
      </c>
      <c r="Y2341" s="147">
        <v>4.3</v>
      </c>
      <c r="Z2341" s="158">
        <v>5.489</v>
      </c>
      <c r="AA2341" s="59" cm="1">
        <f t="array" ref="AA2341">INDEX($BX$29:$BX$1449,MATCH($D2341,$BR$29:$BR$1449,0),)</f>
        <v>4.8</v>
      </c>
      <c r="AB2341" s="150">
        <f t="shared" si="714"/>
        <v>0</v>
      </c>
      <c r="AC2341" s="150">
        <f t="shared" si="717"/>
        <v>-0.00597609561752999</v>
      </c>
      <c r="AD2341" s="150">
        <f t="shared" si="720"/>
        <v>-0.00633598841419269</v>
      </c>
      <c r="AE2341" s="89">
        <f t="shared" si="715"/>
        <v>0.143541666666667</v>
      </c>
    </row>
    <row r="2342" spans="3:31">
      <c r="C2342" s="80" t="str" cm="1">
        <f t="array" ref="C2342">_xlfn.IFS(MONTH(D2342)&lt;4,1,MONTH(D2342)&lt;7,2,MONTH(D2342)&lt;10,3,MONTH(D2342)&gt;9,4)&amp;"Q"&amp;RIGHT(YEAR(D2342),2)</f>
        <v>2Q25</v>
      </c>
      <c r="D2342" s="81">
        <f t="shared" si="719"/>
        <v>45808</v>
      </c>
      <c r="E2342" s="82">
        <f t="shared" si="711"/>
        <v>45798</v>
      </c>
      <c r="F2342" s="83">
        <f t="shared" si="718"/>
        <v>0.2725</v>
      </c>
      <c r="G2342" s="83">
        <f t="shared" si="718"/>
        <v>0.2625</v>
      </c>
      <c r="I2342" s="146">
        <v>45798</v>
      </c>
      <c r="J2342" s="147">
        <v>4.2</v>
      </c>
      <c r="K2342" s="147">
        <v>1.85</v>
      </c>
      <c r="L2342" s="158">
        <v>2.18</v>
      </c>
      <c r="M2342" s="59" cm="1">
        <f t="array" ref="M2342">INDEX($BV$29:$BV$1449,MATCH($D2342,$BR$29:$BR$1449,0),)</f>
        <v>2.1</v>
      </c>
      <c r="N2342" s="150">
        <f t="shared" si="704"/>
        <v>0.00832562442183171</v>
      </c>
      <c r="O2342" s="150">
        <f t="shared" si="705"/>
        <v>0.0239549084077033</v>
      </c>
      <c r="P2342" s="150">
        <f t="shared" si="710"/>
        <v>0.13423517169615</v>
      </c>
      <c r="Q2342" s="89">
        <f t="shared" si="712"/>
        <v>0.0380952380952382</v>
      </c>
      <c r="S2342" s="82">
        <f t="shared" si="713"/>
        <v>45798</v>
      </c>
      <c r="T2342" s="83">
        <f t="shared" si="716"/>
        <v>0.3430625</v>
      </c>
      <c r="U2342" s="83">
        <f t="shared" si="716"/>
        <v>0.3</v>
      </c>
      <c r="W2342" s="146">
        <v>45798</v>
      </c>
      <c r="X2342" s="147">
        <v>7.2</v>
      </c>
      <c r="Y2342" s="147">
        <v>4.3</v>
      </c>
      <c r="Z2342" s="158">
        <v>5.489</v>
      </c>
      <c r="AA2342" s="59" cm="1">
        <f t="array" ref="AA2342">INDEX($BX$29:$BX$1449,MATCH($D2342,$BR$29:$BR$1449,0),)</f>
        <v>4.8</v>
      </c>
      <c r="AB2342" s="150">
        <f t="shared" si="714"/>
        <v>0</v>
      </c>
      <c r="AC2342" s="150">
        <f t="shared" si="717"/>
        <v>-0.00326856727800973</v>
      </c>
      <c r="AD2342" s="150">
        <f t="shared" si="720"/>
        <v>-0.00633598841419269</v>
      </c>
      <c r="AE2342" s="89">
        <f t="shared" si="715"/>
        <v>0.143541666666667</v>
      </c>
    </row>
    <row r="2343" spans="3:31">
      <c r="C2343" s="80" t="str" cm="1">
        <f t="array" ref="C2343">_xlfn.IFS(MONTH(D2343)&lt;4,1,MONTH(D2343)&lt;7,2,MONTH(D2343)&lt;10,3,MONTH(D2343)&gt;9,4)&amp;"Q"&amp;RIGHT(YEAR(D2343),2)</f>
        <v>2Q25</v>
      </c>
      <c r="D2343" s="81">
        <f t="shared" si="719"/>
        <v>45808</v>
      </c>
      <c r="E2343" s="82">
        <f t="shared" si="711"/>
        <v>45799</v>
      </c>
      <c r="F2343" s="83">
        <f t="shared" si="718"/>
        <v>0.279375</v>
      </c>
      <c r="G2343" s="83">
        <f t="shared" si="718"/>
        <v>0.2625</v>
      </c>
      <c r="I2343" s="146">
        <v>45799</v>
      </c>
      <c r="J2343" s="147">
        <v>4.2</v>
      </c>
      <c r="K2343" s="147">
        <v>1.85</v>
      </c>
      <c r="L2343" s="158">
        <v>2.235</v>
      </c>
      <c r="M2343" s="59" cm="1">
        <f t="array" ref="M2343">INDEX($BV$29:$BV$1449,MATCH($D2343,$BR$29:$BR$1449,0),)</f>
        <v>2.1</v>
      </c>
      <c r="N2343" s="150">
        <f t="shared" si="704"/>
        <v>0.025229357798165</v>
      </c>
      <c r="O2343" s="150">
        <f t="shared" si="705"/>
        <v>0.0453695042095417</v>
      </c>
      <c r="P2343" s="150">
        <f t="shared" si="710"/>
        <v>0.137404580152672</v>
      </c>
      <c r="Q2343" s="89">
        <f t="shared" si="712"/>
        <v>0.0642857142857143</v>
      </c>
      <c r="S2343" s="82">
        <f t="shared" si="713"/>
        <v>45799</v>
      </c>
      <c r="T2343" s="83">
        <f t="shared" si="716"/>
        <v>0.3430625</v>
      </c>
      <c r="U2343" s="83">
        <f t="shared" si="716"/>
        <v>0.3</v>
      </c>
      <c r="W2343" s="146">
        <v>45799</v>
      </c>
      <c r="X2343" s="147">
        <v>7.3</v>
      </c>
      <c r="Y2343" s="147">
        <v>4.3</v>
      </c>
      <c r="Z2343" s="158">
        <v>5.489</v>
      </c>
      <c r="AA2343" s="59" cm="1">
        <f t="array" ref="AA2343">INDEX($BX$29:$BX$1449,MATCH($D2343,$BR$29:$BR$1449,0),)</f>
        <v>4.8</v>
      </c>
      <c r="AB2343" s="150">
        <f t="shared" si="714"/>
        <v>0</v>
      </c>
      <c r="AC2343" s="150">
        <f t="shared" si="717"/>
        <v>-0.00181851245681031</v>
      </c>
      <c r="AD2343" s="150">
        <f t="shared" si="720"/>
        <v>-0.00633598841419269</v>
      </c>
      <c r="AE2343" s="89">
        <f t="shared" si="715"/>
        <v>0.143541666666667</v>
      </c>
    </row>
    <row r="2344" spans="3:31">
      <c r="C2344" s="80" t="str" cm="1">
        <f t="array" ref="C2344">_xlfn.IFS(MONTH(D2344)&lt;4,1,MONTH(D2344)&lt;7,2,MONTH(D2344)&lt;10,3,MONTH(D2344)&gt;9,4)&amp;"Q"&amp;RIGHT(YEAR(D2344),2)</f>
        <v>2Q25</v>
      </c>
      <c r="D2344" s="81">
        <f t="shared" si="719"/>
        <v>45808</v>
      </c>
      <c r="E2344" s="82">
        <f t="shared" si="711"/>
        <v>45800</v>
      </c>
      <c r="F2344" s="83">
        <f t="shared" si="718"/>
        <v>0.288625</v>
      </c>
      <c r="G2344" s="83">
        <f t="shared" si="718"/>
        <v>0.2625</v>
      </c>
      <c r="I2344" s="146">
        <v>45800</v>
      </c>
      <c r="J2344" s="147">
        <v>4.2</v>
      </c>
      <c r="K2344" s="147">
        <v>1.85</v>
      </c>
      <c r="L2344" s="158">
        <v>2.309</v>
      </c>
      <c r="M2344" s="59" cm="1">
        <f t="array" ref="M2344">INDEX($BV$29:$BV$1449,MATCH($D2344,$BR$29:$BR$1449,0),)</f>
        <v>2.1</v>
      </c>
      <c r="N2344" s="150">
        <f t="shared" si="704"/>
        <v>0.033109619686801</v>
      </c>
      <c r="O2344" s="150">
        <f t="shared" si="705"/>
        <v>0.0799812909260993</v>
      </c>
      <c r="P2344" s="150">
        <f t="shared" si="710"/>
        <v>0.146474677259186</v>
      </c>
      <c r="Q2344" s="89">
        <f t="shared" si="712"/>
        <v>0.0995238095238096</v>
      </c>
      <c r="S2344" s="82">
        <f t="shared" si="713"/>
        <v>45800</v>
      </c>
      <c r="T2344" s="83">
        <f t="shared" ref="T2344:U2359" si="721">+Z2344/16</f>
        <v>0.3430625</v>
      </c>
      <c r="U2344" s="83">
        <f t="shared" si="721"/>
        <v>0.3</v>
      </c>
      <c r="W2344" s="146">
        <v>45800</v>
      </c>
      <c r="X2344" s="147">
        <v>7.3</v>
      </c>
      <c r="Y2344" s="147">
        <v>4.3</v>
      </c>
      <c r="Z2344" s="158">
        <v>5.489</v>
      </c>
      <c r="AA2344" s="59" cm="1">
        <f t="array" ref="AA2344">INDEX($BX$29:$BX$1449,MATCH($D2344,$BR$29:$BR$1449,0),)</f>
        <v>4.8</v>
      </c>
      <c r="AB2344" s="150">
        <f t="shared" si="714"/>
        <v>0</v>
      </c>
      <c r="AC2344" s="150">
        <f t="shared" si="717"/>
        <v>-0.000364232380258511</v>
      </c>
      <c r="AD2344" s="150">
        <f t="shared" si="720"/>
        <v>-0.00633598841419269</v>
      </c>
      <c r="AE2344" s="89">
        <f t="shared" si="715"/>
        <v>0.143541666666667</v>
      </c>
    </row>
    <row r="2345" spans="3:31">
      <c r="C2345" s="80" t="str" cm="1">
        <f t="array" ref="C2345">_xlfn.IFS(MONTH(D2345)&lt;4,1,MONTH(D2345)&lt;7,2,MONTH(D2345)&lt;10,3,MONTH(D2345)&gt;9,4)&amp;"Q"&amp;RIGHT(YEAR(D2345),2)</f>
        <v>2Q25</v>
      </c>
      <c r="D2345" s="81">
        <f t="shared" si="719"/>
        <v>45808</v>
      </c>
      <c r="E2345" s="82">
        <f t="shared" si="711"/>
        <v>45803</v>
      </c>
      <c r="F2345" s="83">
        <f t="shared" si="718"/>
        <v>0.29825</v>
      </c>
      <c r="G2345" s="83">
        <f t="shared" si="718"/>
        <v>0.2625</v>
      </c>
      <c r="I2345" s="146">
        <v>45803</v>
      </c>
      <c r="J2345" s="147">
        <v>4.2</v>
      </c>
      <c r="K2345" s="147">
        <v>2</v>
      </c>
      <c r="L2345" s="158">
        <v>2.386</v>
      </c>
      <c r="M2345" s="59" cm="1">
        <f t="array" ref="M2345">INDEX($BV$29:$BV$1449,MATCH($D2345,$BR$29:$BR$1449,0),)</f>
        <v>2.1</v>
      </c>
      <c r="N2345" s="150">
        <f t="shared" si="704"/>
        <v>0.0333477695972282</v>
      </c>
      <c r="O2345" s="150">
        <f t="shared" si="705"/>
        <v>0.11599625818522</v>
      </c>
      <c r="P2345" s="150">
        <f t="shared" si="710"/>
        <v>0.156007751937985</v>
      </c>
      <c r="Q2345" s="89">
        <f t="shared" si="712"/>
        <v>0.136190476190476</v>
      </c>
      <c r="S2345" s="82">
        <f t="shared" si="713"/>
        <v>45803</v>
      </c>
      <c r="T2345" s="83">
        <f t="shared" si="721"/>
        <v>0.3444375</v>
      </c>
      <c r="U2345" s="83">
        <f t="shared" si="721"/>
        <v>0.3</v>
      </c>
      <c r="W2345" s="146">
        <v>45803</v>
      </c>
      <c r="X2345" s="147">
        <v>7.5</v>
      </c>
      <c r="Y2345" s="147">
        <v>4.3</v>
      </c>
      <c r="Z2345" s="158">
        <v>5.511</v>
      </c>
      <c r="AA2345" s="59" cm="1">
        <f t="array" ref="AA2345">INDEX($BX$29:$BX$1449,MATCH($D2345,$BR$29:$BR$1449,0),)</f>
        <v>4.8</v>
      </c>
      <c r="AB2345" s="150">
        <f t="shared" si="714"/>
        <v>0.00400801603206413</v>
      </c>
      <c r="AC2345" s="150">
        <f t="shared" si="717"/>
        <v>0.00400801603206413</v>
      </c>
      <c r="AD2345" s="150">
        <f t="shared" si="720"/>
        <v>-0.00199203187250996</v>
      </c>
      <c r="AE2345" s="89">
        <f t="shared" si="715"/>
        <v>0.148125</v>
      </c>
    </row>
    <row r="2346" spans="3:31">
      <c r="C2346" s="80" t="str" cm="1">
        <f t="array" ref="C2346">_xlfn.IFS(MONTH(D2346)&lt;4,1,MONTH(D2346)&lt;7,2,MONTH(D2346)&lt;10,3,MONTH(D2346)&gt;9,4)&amp;"Q"&amp;RIGHT(YEAR(D2346),2)</f>
        <v>2Q25</v>
      </c>
      <c r="D2346" s="81">
        <f t="shared" si="719"/>
        <v>45808</v>
      </c>
      <c r="E2346" s="82">
        <f t="shared" si="711"/>
        <v>45804</v>
      </c>
      <c r="F2346" s="83">
        <f t="shared" ref="F2346:G2361" si="722">+L2346/8</f>
        <v>0.3075</v>
      </c>
      <c r="G2346" s="83">
        <f t="shared" si="722"/>
        <v>0.2625</v>
      </c>
      <c r="I2346" s="146">
        <v>45804</v>
      </c>
      <c r="J2346" s="147">
        <v>4.4</v>
      </c>
      <c r="K2346" s="147">
        <v>1.97</v>
      </c>
      <c r="L2346" s="158">
        <v>2.46</v>
      </c>
      <c r="M2346" s="59" cm="1">
        <f t="array" ref="M2346">INDEX($BV$29:$BV$1449,MATCH($D2346,$BR$29:$BR$1449,0),)</f>
        <v>2.1</v>
      </c>
      <c r="N2346" s="150">
        <f t="shared" si="704"/>
        <v>0.0310142497904442</v>
      </c>
      <c r="O2346" s="150">
        <f t="shared" si="705"/>
        <v>0.137835337650324</v>
      </c>
      <c r="P2346" s="150">
        <f t="shared" si="710"/>
        <v>0.168646080760095</v>
      </c>
      <c r="Q2346" s="89">
        <f t="shared" si="712"/>
        <v>0.171428571428571</v>
      </c>
      <c r="S2346" s="82">
        <f t="shared" si="713"/>
        <v>45804</v>
      </c>
      <c r="T2346" s="83">
        <f t="shared" si="721"/>
        <v>0.3444375</v>
      </c>
      <c r="U2346" s="83">
        <f t="shared" si="721"/>
        <v>0.3</v>
      </c>
      <c r="W2346" s="146">
        <v>45804</v>
      </c>
      <c r="X2346" s="147">
        <v>7.5</v>
      </c>
      <c r="Y2346" s="147">
        <v>4.3</v>
      </c>
      <c r="Z2346" s="158">
        <v>5.511</v>
      </c>
      <c r="AA2346" s="59" cm="1">
        <f t="array" ref="AA2346">INDEX($BX$29:$BX$1449,MATCH($D2346,$BR$29:$BR$1449,0),)</f>
        <v>4.8</v>
      </c>
      <c r="AB2346" s="150">
        <f t="shared" si="714"/>
        <v>0</v>
      </c>
      <c r="AC2346" s="150">
        <f t="shared" si="717"/>
        <v>0.00400801603206413</v>
      </c>
      <c r="AD2346" s="150">
        <f t="shared" si="720"/>
        <v>-0.00199203187250996</v>
      </c>
      <c r="AE2346" s="89">
        <f t="shared" si="715"/>
        <v>0.148125</v>
      </c>
    </row>
    <row r="2347" spans="3:31">
      <c r="C2347" s="80" t="str" cm="1">
        <f t="array" ref="C2347">_xlfn.IFS(MONTH(D2347)&lt;4,1,MONTH(D2347)&lt;7,2,MONTH(D2347)&lt;10,3,MONTH(D2347)&gt;9,4)&amp;"Q"&amp;RIGHT(YEAR(D2347),2)</f>
        <v>2Q25</v>
      </c>
      <c r="D2347" s="81">
        <f t="shared" si="719"/>
        <v>45808</v>
      </c>
      <c r="E2347" s="82">
        <f t="shared" si="711"/>
        <v>45805</v>
      </c>
      <c r="F2347" s="83">
        <f t="shared" si="722"/>
        <v>0.3185</v>
      </c>
      <c r="G2347" s="83">
        <f t="shared" si="722"/>
        <v>0.2625</v>
      </c>
      <c r="I2347" s="146">
        <v>45805</v>
      </c>
      <c r="J2347" s="147">
        <v>4.4</v>
      </c>
      <c r="K2347" s="147">
        <v>2</v>
      </c>
      <c r="L2347" s="158">
        <v>2.548</v>
      </c>
      <c r="M2347" s="59" cm="1">
        <f t="array" ref="M2347">INDEX($BV$29:$BV$1449,MATCH($D2347,$BR$29:$BR$1449,0),)</f>
        <v>2.1</v>
      </c>
      <c r="N2347" s="150">
        <f t="shared" si="704"/>
        <v>0.0357723577235773</v>
      </c>
      <c r="O2347" s="150">
        <f t="shared" si="705"/>
        <v>0.168807339449541</v>
      </c>
      <c r="P2347" s="150">
        <f t="shared" si="710"/>
        <v>0.196806012212306</v>
      </c>
      <c r="Q2347" s="89">
        <f t="shared" si="712"/>
        <v>0.213333333333333</v>
      </c>
      <c r="S2347" s="82">
        <f t="shared" si="713"/>
        <v>45805</v>
      </c>
      <c r="T2347" s="83">
        <f t="shared" si="721"/>
        <v>0.34675</v>
      </c>
      <c r="U2347" s="83">
        <f t="shared" si="721"/>
        <v>0.3</v>
      </c>
      <c r="W2347" s="146">
        <v>45805</v>
      </c>
      <c r="X2347" s="147">
        <v>7.5</v>
      </c>
      <c r="Y2347" s="147">
        <v>4.3</v>
      </c>
      <c r="Z2347" s="158">
        <v>5.548</v>
      </c>
      <c r="AA2347" s="59" cm="1">
        <f t="array" ref="AA2347">INDEX($BX$29:$BX$1449,MATCH($D2347,$BR$29:$BR$1449,0),)</f>
        <v>4.8</v>
      </c>
      <c r="AB2347" s="150">
        <f t="shared" si="714"/>
        <v>0.00671384503719841</v>
      </c>
      <c r="AC2347" s="150">
        <f t="shared" si="717"/>
        <v>0.0107487702678084</v>
      </c>
      <c r="AD2347" s="150">
        <f t="shared" si="720"/>
        <v>0.00744506991102245</v>
      </c>
      <c r="AE2347" s="89">
        <f t="shared" si="715"/>
        <v>0.155833333333333</v>
      </c>
    </row>
    <row r="2348" spans="3:31">
      <c r="C2348" s="80" t="str" cm="1">
        <f t="array" ref="C2348">_xlfn.IFS(MONTH(D2348)&lt;4,1,MONTH(D2348)&lt;7,2,MONTH(D2348)&lt;10,3,MONTH(D2348)&gt;9,4)&amp;"Q"&amp;RIGHT(YEAR(D2348),2)</f>
        <v>2Q25</v>
      </c>
      <c r="D2348" s="81">
        <f t="shared" si="719"/>
        <v>45808</v>
      </c>
      <c r="E2348" s="82">
        <f t="shared" si="711"/>
        <v>45806</v>
      </c>
      <c r="F2348" s="83">
        <f t="shared" si="722"/>
        <v>0.33125</v>
      </c>
      <c r="G2348" s="83">
        <f t="shared" si="722"/>
        <v>0.2625</v>
      </c>
      <c r="I2348" s="146">
        <v>45806</v>
      </c>
      <c r="J2348" s="147">
        <v>4.4</v>
      </c>
      <c r="K2348" s="147">
        <v>2.25</v>
      </c>
      <c r="L2348" s="158">
        <v>2.65</v>
      </c>
      <c r="M2348" s="59" cm="1">
        <f t="array" ref="M2348">INDEX($BV$29:$BV$1449,MATCH($D2348,$BR$29:$BR$1449,0),)</f>
        <v>2.1</v>
      </c>
      <c r="N2348" s="150">
        <f t="shared" ref="N2348:N2411" si="723">L2348/L2347-1</f>
        <v>0.0400313971742543</v>
      </c>
      <c r="O2348" s="150">
        <f t="shared" ref="O2348:O2411" si="724">L2348/L2343-1</f>
        <v>0.185682326621924</v>
      </c>
      <c r="P2348" s="150">
        <f t="shared" si="710"/>
        <v>0.239476145930776</v>
      </c>
      <c r="Q2348" s="89">
        <f t="shared" si="712"/>
        <v>0.261904761904762</v>
      </c>
      <c r="S2348" s="82">
        <f t="shared" si="713"/>
        <v>45806</v>
      </c>
      <c r="T2348" s="83">
        <f t="shared" si="721"/>
        <v>0.3475625</v>
      </c>
      <c r="U2348" s="83">
        <f t="shared" si="721"/>
        <v>0.3</v>
      </c>
      <c r="W2348" s="146">
        <v>45806</v>
      </c>
      <c r="X2348" s="147">
        <v>7.5</v>
      </c>
      <c r="Y2348" s="147">
        <v>4.32</v>
      </c>
      <c r="Z2348" s="158">
        <v>5.561</v>
      </c>
      <c r="AA2348" s="59" cm="1">
        <f t="array" ref="AA2348">INDEX($BX$29:$BX$1449,MATCH($D2348,$BR$29:$BR$1449,0),)</f>
        <v>4.8</v>
      </c>
      <c r="AB2348" s="150">
        <f t="shared" si="714"/>
        <v>0.00234318673395806</v>
      </c>
      <c r="AC2348" s="150">
        <f t="shared" si="717"/>
        <v>0.0131171433776645</v>
      </c>
      <c r="AD2348" s="150">
        <f t="shared" si="720"/>
        <v>0.0112747772322241</v>
      </c>
      <c r="AE2348" s="89">
        <f t="shared" si="715"/>
        <v>0.158541666666667</v>
      </c>
    </row>
    <row r="2349" spans="3:31">
      <c r="C2349" s="80" t="str" cm="1">
        <f t="array" ref="C2349">_xlfn.IFS(MONTH(D2349)&lt;4,1,MONTH(D2349)&lt;7,2,MONTH(D2349)&lt;10,3,MONTH(D2349)&gt;9,4)&amp;"Q"&amp;RIGHT(YEAR(D2349),2)</f>
        <v>2Q25</v>
      </c>
      <c r="D2349" s="81">
        <f t="shared" si="719"/>
        <v>45808</v>
      </c>
      <c r="E2349" s="82">
        <f t="shared" si="711"/>
        <v>45807</v>
      </c>
      <c r="F2349" s="83">
        <f t="shared" si="722"/>
        <v>0.341375</v>
      </c>
      <c r="G2349" s="83">
        <f t="shared" si="722"/>
        <v>0.2625</v>
      </c>
      <c r="I2349" s="146">
        <v>45807</v>
      </c>
      <c r="J2349" s="147">
        <v>4.4</v>
      </c>
      <c r="K2349" s="147">
        <v>2.2</v>
      </c>
      <c r="L2349" s="158">
        <v>2.731</v>
      </c>
      <c r="M2349" s="59" cm="1">
        <f t="array" ref="M2349">INDEX($BV$29:$BV$1449,MATCH($D2349,$BR$29:$BR$1449,0),)</f>
        <v>2.1</v>
      </c>
      <c r="N2349" s="150">
        <f t="shared" si="723"/>
        <v>0.030566037735849</v>
      </c>
      <c r="O2349" s="150">
        <f t="shared" si="724"/>
        <v>0.182763100909485</v>
      </c>
      <c r="P2349" s="150">
        <f t="shared" si="710"/>
        <v>0.277362020579981</v>
      </c>
      <c r="Q2349" s="89">
        <f t="shared" si="712"/>
        <v>0.30047619047619</v>
      </c>
      <c r="S2349" s="82">
        <f t="shared" si="713"/>
        <v>45807</v>
      </c>
      <c r="T2349" s="83">
        <f t="shared" si="721"/>
        <v>0.3475625</v>
      </c>
      <c r="U2349" s="83">
        <f t="shared" si="721"/>
        <v>0.3</v>
      </c>
      <c r="W2349" s="146">
        <v>45807</v>
      </c>
      <c r="X2349" s="147">
        <v>7.5</v>
      </c>
      <c r="Y2349" s="147">
        <v>4.32</v>
      </c>
      <c r="Z2349" s="158">
        <v>5.561</v>
      </c>
      <c r="AA2349" s="59" cm="1">
        <f t="array" ref="AA2349">INDEX($BX$29:$BX$1449,MATCH($D2349,$BR$29:$BR$1449,0),)</f>
        <v>4.8</v>
      </c>
      <c r="AB2349" s="150">
        <f t="shared" si="714"/>
        <v>0</v>
      </c>
      <c r="AC2349" s="150">
        <f t="shared" si="717"/>
        <v>0.0131171433776645</v>
      </c>
      <c r="AD2349" s="150">
        <f t="shared" si="720"/>
        <v>0.0127481333090513</v>
      </c>
      <c r="AE2349" s="89">
        <f t="shared" si="715"/>
        <v>0.158541666666667</v>
      </c>
    </row>
    <row r="2350" spans="3:31">
      <c r="C2350" s="80" t="str" cm="1">
        <f t="array" ref="C2350">_xlfn.IFS(MONTH(D2350)&lt;4,1,MONTH(D2350)&lt;7,2,MONTH(D2350)&lt;10,3,MONTH(D2350)&gt;9,4)&amp;"Q"&amp;RIGHT(YEAR(D2350),2)</f>
        <v>2Q25</v>
      </c>
      <c r="D2350" s="81">
        <f t="shared" si="719"/>
        <v>45838</v>
      </c>
      <c r="E2350" s="82">
        <f t="shared" si="711"/>
        <v>45810</v>
      </c>
      <c r="F2350" s="83">
        <f t="shared" si="722"/>
        <v>0.347875</v>
      </c>
      <c r="G2350" s="83">
        <f t="shared" si="722"/>
        <v>0.325</v>
      </c>
      <c r="I2350" s="146">
        <v>45810</v>
      </c>
      <c r="J2350" s="147">
        <v>4.4</v>
      </c>
      <c r="K2350" s="147">
        <v>2.3</v>
      </c>
      <c r="L2350" s="158">
        <v>2.783</v>
      </c>
      <c r="M2350" s="59" cm="1">
        <f t="array" ref="M2350">INDEX($BV$29:$BV$1449,MATCH($D2350,$BR$29:$BR$1449,0),)</f>
        <v>2.6</v>
      </c>
      <c r="N2350" s="150">
        <f t="shared" si="723"/>
        <v>0.0190406444525815</v>
      </c>
      <c r="O2350" s="150">
        <f t="shared" si="724"/>
        <v>0.166387259010897</v>
      </c>
      <c r="P2350" s="150">
        <f t="shared" si="710"/>
        <v>0.301683816651076</v>
      </c>
      <c r="Q2350" s="89">
        <f t="shared" si="712"/>
        <v>0.0703846153846153</v>
      </c>
      <c r="S2350" s="82">
        <f t="shared" si="713"/>
        <v>45810</v>
      </c>
      <c r="T2350" s="83">
        <f t="shared" si="721"/>
        <v>0.3475625</v>
      </c>
      <c r="U2350" s="83">
        <f t="shared" si="721"/>
        <v>0.31875</v>
      </c>
      <c r="W2350" s="146">
        <v>45810</v>
      </c>
      <c r="X2350" s="147">
        <v>7.5</v>
      </c>
      <c r="Y2350" s="147">
        <v>4.32</v>
      </c>
      <c r="Z2350" s="158">
        <v>5.561</v>
      </c>
      <c r="AA2350" s="59" cm="1">
        <f t="array" ref="AA2350">INDEX($BX$29:$BX$1449,MATCH($D2350,$BR$29:$BR$1449,0),)</f>
        <v>5.1</v>
      </c>
      <c r="AB2350" s="150">
        <f t="shared" si="714"/>
        <v>0</v>
      </c>
      <c r="AC2350" s="150">
        <f t="shared" si="717"/>
        <v>0.00907276356378151</v>
      </c>
      <c r="AD2350" s="150">
        <f t="shared" si="720"/>
        <v>0.0131171433776645</v>
      </c>
      <c r="AE2350" s="89">
        <f t="shared" si="715"/>
        <v>0.0903921568627453</v>
      </c>
    </row>
    <row r="2351" spans="3:31">
      <c r="C2351" s="80" t="str" cm="1">
        <f t="array" ref="C2351">_xlfn.IFS(MONTH(D2351)&lt;4,1,MONTH(D2351)&lt;7,2,MONTH(D2351)&lt;10,3,MONTH(D2351)&gt;9,4)&amp;"Q"&amp;RIGHT(YEAR(D2351),2)</f>
        <v>2Q25</v>
      </c>
      <c r="D2351" s="81">
        <f t="shared" si="719"/>
        <v>45838</v>
      </c>
      <c r="E2351" s="82">
        <f t="shared" si="711"/>
        <v>45811</v>
      </c>
      <c r="F2351" s="83">
        <f t="shared" si="722"/>
        <v>0.35675</v>
      </c>
      <c r="G2351" s="83">
        <f t="shared" si="722"/>
        <v>0.325</v>
      </c>
      <c r="I2351" s="146">
        <v>45811</v>
      </c>
      <c r="J2351" s="147">
        <v>4.4</v>
      </c>
      <c r="K2351" s="147">
        <v>2.3</v>
      </c>
      <c r="L2351" s="158">
        <v>2.854</v>
      </c>
      <c r="M2351" s="59" cm="1">
        <f t="array" ref="M2351">INDEX($BV$29:$BV$1449,MATCH($D2351,$BR$29:$BR$1449,0),)</f>
        <v>2.6</v>
      </c>
      <c r="N2351" s="150">
        <f t="shared" si="723"/>
        <v>0.0255120373697448</v>
      </c>
      <c r="O2351" s="150">
        <f t="shared" si="724"/>
        <v>0.160162601626016</v>
      </c>
      <c r="P2351" s="150">
        <f t="shared" si="710"/>
        <v>0.320074005550416</v>
      </c>
      <c r="Q2351" s="89">
        <f t="shared" si="712"/>
        <v>0.0976923076923077</v>
      </c>
      <c r="S2351" s="82">
        <f t="shared" si="713"/>
        <v>45811</v>
      </c>
      <c r="T2351" s="83">
        <f t="shared" si="721"/>
        <v>0.3475625</v>
      </c>
      <c r="U2351" s="83">
        <f t="shared" si="721"/>
        <v>0.31875</v>
      </c>
      <c r="W2351" s="146">
        <v>45811</v>
      </c>
      <c r="X2351" s="147">
        <v>7.5</v>
      </c>
      <c r="Y2351" s="147">
        <v>4.32</v>
      </c>
      <c r="Z2351" s="158">
        <v>5.561</v>
      </c>
      <c r="AA2351" s="59" cm="1">
        <f t="array" ref="AA2351">INDEX($BX$29:$BX$1449,MATCH($D2351,$BR$29:$BR$1449,0),)</f>
        <v>5.1</v>
      </c>
      <c r="AB2351" s="150">
        <f t="shared" si="714"/>
        <v>0</v>
      </c>
      <c r="AC2351" s="150">
        <f t="shared" si="717"/>
        <v>0.00907276356378151</v>
      </c>
      <c r="AD2351" s="150">
        <f t="shared" si="720"/>
        <v>0.0131171433776645</v>
      </c>
      <c r="AE2351" s="89">
        <f t="shared" si="715"/>
        <v>0.0903921568627453</v>
      </c>
    </row>
    <row r="2352" spans="3:31">
      <c r="C2352" s="80" t="str" cm="1">
        <f t="array" ref="C2352">_xlfn.IFS(MONTH(D2352)&lt;4,1,MONTH(D2352)&lt;7,2,MONTH(D2352)&lt;10,3,MONTH(D2352)&gt;9,4)&amp;"Q"&amp;RIGHT(YEAR(D2352),2)</f>
        <v>2Q25</v>
      </c>
      <c r="D2352" s="81">
        <f t="shared" si="719"/>
        <v>45838</v>
      </c>
      <c r="E2352" s="82">
        <f t="shared" si="711"/>
        <v>45812</v>
      </c>
      <c r="F2352" s="83">
        <f t="shared" si="722"/>
        <v>0.370375</v>
      </c>
      <c r="G2352" s="83">
        <f t="shared" si="722"/>
        <v>0.325</v>
      </c>
      <c r="I2352" s="146">
        <v>45812</v>
      </c>
      <c r="J2352" s="147">
        <v>4.6</v>
      </c>
      <c r="K2352" s="147">
        <v>2.4</v>
      </c>
      <c r="L2352" s="158">
        <v>2.963</v>
      </c>
      <c r="M2352" s="59" cm="1">
        <f t="array" ref="M2352">INDEX($BV$29:$BV$1449,MATCH($D2352,$BR$29:$BR$1449,0),)</f>
        <v>2.6</v>
      </c>
      <c r="N2352" s="150">
        <f t="shared" si="723"/>
        <v>0.0381920112123335</v>
      </c>
      <c r="O2352" s="150">
        <f t="shared" si="724"/>
        <v>0.16287284144427</v>
      </c>
      <c r="P2352" s="150">
        <f t="shared" si="710"/>
        <v>0.359174311926606</v>
      </c>
      <c r="Q2352" s="89">
        <f t="shared" si="712"/>
        <v>0.139615384615385</v>
      </c>
      <c r="S2352" s="82">
        <f t="shared" si="713"/>
        <v>45812</v>
      </c>
      <c r="T2352" s="83">
        <f t="shared" si="721"/>
        <v>0.348375</v>
      </c>
      <c r="U2352" s="83">
        <f t="shared" si="721"/>
        <v>0.31875</v>
      </c>
      <c r="W2352" s="146">
        <v>45812</v>
      </c>
      <c r="X2352" s="147">
        <v>7.6</v>
      </c>
      <c r="Y2352" s="147">
        <v>4.35</v>
      </c>
      <c r="Z2352" s="158">
        <v>5.574</v>
      </c>
      <c r="AA2352" s="59" cm="1">
        <f t="array" ref="AA2352">INDEX($BX$29:$BX$1449,MATCH($D2352,$BR$29:$BR$1449,0),)</f>
        <v>5.1</v>
      </c>
      <c r="AB2352" s="150">
        <f t="shared" si="714"/>
        <v>0.00233770904513575</v>
      </c>
      <c r="AC2352" s="150">
        <f t="shared" si="717"/>
        <v>0.00468637346791634</v>
      </c>
      <c r="AD2352" s="150">
        <f t="shared" si="720"/>
        <v>0.0154855164875205</v>
      </c>
      <c r="AE2352" s="89">
        <f t="shared" si="715"/>
        <v>0.0929411764705883</v>
      </c>
    </row>
    <row r="2353" spans="3:31">
      <c r="C2353" s="80" t="str" cm="1">
        <f t="array" ref="C2353">_xlfn.IFS(MONTH(D2353)&lt;4,1,MONTH(D2353)&lt;7,2,MONTH(D2353)&lt;10,3,MONTH(D2353)&gt;9,4)&amp;"Q"&amp;RIGHT(YEAR(D2353),2)</f>
        <v>2Q25</v>
      </c>
      <c r="D2353" s="81">
        <f t="shared" si="719"/>
        <v>45838</v>
      </c>
      <c r="E2353" s="82">
        <f t="shared" si="711"/>
        <v>45813</v>
      </c>
      <c r="F2353" s="83">
        <f t="shared" si="722"/>
        <v>0.382125</v>
      </c>
      <c r="G2353" s="83">
        <f t="shared" si="722"/>
        <v>0.325</v>
      </c>
      <c r="I2353" s="146">
        <v>45813</v>
      </c>
      <c r="J2353" s="147">
        <v>4.6</v>
      </c>
      <c r="K2353" s="147">
        <v>2.4</v>
      </c>
      <c r="L2353" s="158">
        <v>3.057</v>
      </c>
      <c r="M2353" s="59" cm="1">
        <f t="array" ref="M2353">INDEX($BV$29:$BV$1449,MATCH($D2353,$BR$29:$BR$1449,0),)</f>
        <v>2.6</v>
      </c>
      <c r="N2353" s="150">
        <f t="shared" si="723"/>
        <v>0.031724603442457</v>
      </c>
      <c r="O2353" s="150">
        <f t="shared" si="724"/>
        <v>0.153584905660377</v>
      </c>
      <c r="P2353" s="150">
        <f t="shared" si="710"/>
        <v>0.367785234899329</v>
      </c>
      <c r="Q2353" s="89">
        <f t="shared" si="712"/>
        <v>0.175769230769231</v>
      </c>
      <c r="S2353" s="82">
        <f t="shared" si="713"/>
        <v>45813</v>
      </c>
      <c r="T2353" s="83">
        <f t="shared" si="721"/>
        <v>0.3515</v>
      </c>
      <c r="U2353" s="83">
        <f t="shared" si="721"/>
        <v>0.31875</v>
      </c>
      <c r="W2353" s="146">
        <v>45813</v>
      </c>
      <c r="X2353" s="147">
        <v>8</v>
      </c>
      <c r="Y2353" s="147">
        <v>4.35</v>
      </c>
      <c r="Z2353" s="158">
        <v>5.624</v>
      </c>
      <c r="AA2353" s="59" cm="1">
        <f t="array" ref="AA2353">INDEX($BX$29:$BX$1449,MATCH($D2353,$BR$29:$BR$1449,0),)</f>
        <v>5.1</v>
      </c>
      <c r="AB2353" s="150">
        <f t="shared" si="714"/>
        <v>0.00897021887334049</v>
      </c>
      <c r="AC2353" s="150">
        <f t="shared" si="717"/>
        <v>0.0113288976802732</v>
      </c>
      <c r="AD2353" s="150">
        <f t="shared" si="720"/>
        <v>0.0245946438331208</v>
      </c>
      <c r="AE2353" s="89">
        <f t="shared" si="715"/>
        <v>0.102745098039216</v>
      </c>
    </row>
    <row r="2354" spans="3:31">
      <c r="C2354" s="80" t="str" cm="1">
        <f t="array" ref="C2354">_xlfn.IFS(MONTH(D2354)&lt;4,1,MONTH(D2354)&lt;7,2,MONTH(D2354)&lt;10,3,MONTH(D2354)&gt;9,4)&amp;"Q"&amp;RIGHT(YEAR(D2354),2)</f>
        <v>2Q25</v>
      </c>
      <c r="D2354" s="81">
        <f t="shared" si="719"/>
        <v>45838</v>
      </c>
      <c r="E2354" s="82">
        <f t="shared" si="711"/>
        <v>45814</v>
      </c>
      <c r="F2354" s="83">
        <f t="shared" si="722"/>
        <v>0.3875</v>
      </c>
      <c r="G2354" s="83">
        <f t="shared" si="722"/>
        <v>0.325</v>
      </c>
      <c r="I2354" s="146">
        <v>45814</v>
      </c>
      <c r="J2354" s="147">
        <v>4.6</v>
      </c>
      <c r="K2354" s="147">
        <v>2.5</v>
      </c>
      <c r="L2354" s="158">
        <v>3.1</v>
      </c>
      <c r="M2354" s="59" cm="1">
        <f t="array" ref="M2354">INDEX($BV$29:$BV$1449,MATCH($D2354,$BR$29:$BR$1449,0),)</f>
        <v>2.6</v>
      </c>
      <c r="N2354" s="150">
        <f t="shared" si="723"/>
        <v>0.0140660778541053</v>
      </c>
      <c r="O2354" s="150">
        <f t="shared" si="724"/>
        <v>0.135115342365434</v>
      </c>
      <c r="P2354" s="150">
        <f t="shared" si="710"/>
        <v>0.342572542226072</v>
      </c>
      <c r="Q2354" s="89">
        <f t="shared" si="712"/>
        <v>0.192307692307692</v>
      </c>
      <c r="S2354" s="82">
        <f t="shared" si="713"/>
        <v>45814</v>
      </c>
      <c r="T2354" s="83">
        <f t="shared" si="721"/>
        <v>0.3526875</v>
      </c>
      <c r="U2354" s="83">
        <f t="shared" si="721"/>
        <v>0.31875</v>
      </c>
      <c r="W2354" s="146">
        <v>45814</v>
      </c>
      <c r="X2354" s="147">
        <v>8.1</v>
      </c>
      <c r="Y2354" s="147">
        <v>4.35</v>
      </c>
      <c r="Z2354" s="158">
        <v>5.643</v>
      </c>
      <c r="AA2354" s="59" cm="1">
        <f t="array" ref="AA2354">INDEX($BX$29:$BX$1449,MATCH($D2354,$BR$29:$BR$1449,0),)</f>
        <v>5.1</v>
      </c>
      <c r="AB2354" s="150">
        <f t="shared" si="714"/>
        <v>0.00337837837837851</v>
      </c>
      <c r="AC2354" s="150">
        <f t="shared" si="717"/>
        <v>0.0147455493616255</v>
      </c>
      <c r="AD2354" s="150">
        <f t="shared" si="720"/>
        <v>0.0280561122244489</v>
      </c>
      <c r="AE2354" s="89">
        <f t="shared" si="715"/>
        <v>0.106470588235294</v>
      </c>
    </row>
    <row r="2355" spans="3:31">
      <c r="C2355" s="80" t="str" cm="1">
        <f t="array" ref="C2355">_xlfn.IFS(MONTH(D2355)&lt;4,1,MONTH(D2355)&lt;7,2,MONTH(D2355)&lt;10,3,MONTH(D2355)&gt;9,4)&amp;"Q"&amp;RIGHT(YEAR(D2355),2)</f>
        <v>2Q25</v>
      </c>
      <c r="D2355" s="81">
        <f t="shared" si="719"/>
        <v>45838</v>
      </c>
      <c r="E2355" s="82">
        <f t="shared" si="711"/>
        <v>45817</v>
      </c>
      <c r="F2355" s="83">
        <f t="shared" si="722"/>
        <v>0.405375</v>
      </c>
      <c r="G2355" s="83">
        <f t="shared" si="722"/>
        <v>0.325</v>
      </c>
      <c r="I2355" s="146">
        <v>45817</v>
      </c>
      <c r="J2355" s="147">
        <v>4.9</v>
      </c>
      <c r="K2355" s="147">
        <v>2.55</v>
      </c>
      <c r="L2355" s="158">
        <v>3.243</v>
      </c>
      <c r="M2355" s="59" cm="1">
        <f t="array" ref="M2355">INDEX($BV$29:$BV$1449,MATCH($D2355,$BR$29:$BR$1449,0),)</f>
        <v>2.6</v>
      </c>
      <c r="N2355" s="150">
        <f t="shared" si="723"/>
        <v>0.0461290322580645</v>
      </c>
      <c r="O2355" s="150">
        <f t="shared" si="724"/>
        <v>0.165289256198347</v>
      </c>
      <c r="P2355" s="150">
        <f t="shared" si="710"/>
        <v>0.359178541492037</v>
      </c>
      <c r="Q2355" s="89">
        <f t="shared" si="712"/>
        <v>0.247307692307692</v>
      </c>
      <c r="S2355" s="82">
        <f t="shared" si="713"/>
        <v>45817</v>
      </c>
      <c r="T2355" s="83">
        <f t="shared" si="721"/>
        <v>0.3569375</v>
      </c>
      <c r="U2355" s="83">
        <f t="shared" si="721"/>
        <v>0.31875</v>
      </c>
      <c r="W2355" s="146">
        <v>45817</v>
      </c>
      <c r="X2355" s="147">
        <v>8.3</v>
      </c>
      <c r="Y2355" s="147">
        <v>4.35</v>
      </c>
      <c r="Z2355" s="158">
        <v>5.711</v>
      </c>
      <c r="AA2355" s="59" cm="1">
        <f t="array" ref="AA2355">INDEX($BX$29:$BX$1449,MATCH($D2355,$BR$29:$BR$1449,0),)</f>
        <v>5.1</v>
      </c>
      <c r="AB2355" s="150">
        <f t="shared" si="714"/>
        <v>0.0120503278398016</v>
      </c>
      <c r="AC2355" s="150">
        <f t="shared" si="717"/>
        <v>0.0269735659054127</v>
      </c>
      <c r="AD2355" s="150">
        <f t="shared" si="720"/>
        <v>0.0362910542551262</v>
      </c>
      <c r="AE2355" s="89">
        <f t="shared" si="715"/>
        <v>0.119803921568628</v>
      </c>
    </row>
    <row r="2356" spans="3:31">
      <c r="C2356" s="80" t="str" cm="1">
        <f t="array" ref="C2356">_xlfn.IFS(MONTH(D2356)&lt;4,1,MONTH(D2356)&lt;7,2,MONTH(D2356)&lt;10,3,MONTH(D2356)&gt;9,4)&amp;"Q"&amp;RIGHT(YEAR(D2356),2)</f>
        <v>2Q25</v>
      </c>
      <c r="D2356" s="81">
        <f t="shared" si="719"/>
        <v>45838</v>
      </c>
      <c r="E2356" s="82">
        <f t="shared" si="711"/>
        <v>45818</v>
      </c>
      <c r="F2356" s="83">
        <f t="shared" si="722"/>
        <v>0.41425</v>
      </c>
      <c r="G2356" s="83">
        <f t="shared" si="722"/>
        <v>0.325</v>
      </c>
      <c r="I2356" s="146">
        <v>45818</v>
      </c>
      <c r="J2356" s="147">
        <v>4.9</v>
      </c>
      <c r="K2356" s="147">
        <v>2.55</v>
      </c>
      <c r="L2356" s="158">
        <v>3.314</v>
      </c>
      <c r="M2356" s="59" cm="1">
        <f t="array" ref="M2356">INDEX($BV$29:$BV$1449,MATCH($D2356,$BR$29:$BR$1449,0),)</f>
        <v>2.6</v>
      </c>
      <c r="N2356" s="150">
        <f t="shared" si="723"/>
        <v>0.0218933086648165</v>
      </c>
      <c r="O2356" s="150">
        <f t="shared" si="724"/>
        <v>0.161177295024527</v>
      </c>
      <c r="P2356" s="150">
        <f t="shared" si="710"/>
        <v>0.347154471544715</v>
      </c>
      <c r="Q2356" s="89">
        <f t="shared" si="712"/>
        <v>0.274615384615384</v>
      </c>
      <c r="S2356" s="82">
        <f t="shared" si="713"/>
        <v>45818</v>
      </c>
      <c r="T2356" s="83">
        <f t="shared" si="721"/>
        <v>0.361375</v>
      </c>
      <c r="U2356" s="83">
        <f t="shared" si="721"/>
        <v>0.31875</v>
      </c>
      <c r="W2356" s="146">
        <v>45818</v>
      </c>
      <c r="X2356" s="147">
        <v>8.5</v>
      </c>
      <c r="Y2356" s="147">
        <v>4.35</v>
      </c>
      <c r="Z2356" s="158">
        <v>5.782</v>
      </c>
      <c r="AA2356" s="59" cm="1">
        <f t="array" ref="AA2356">INDEX($BX$29:$BX$1449,MATCH($D2356,$BR$29:$BR$1449,0),)</f>
        <v>5.1</v>
      </c>
      <c r="AB2356" s="150">
        <f t="shared" si="714"/>
        <v>0.0124321484853791</v>
      </c>
      <c r="AC2356" s="150">
        <f t="shared" si="717"/>
        <v>0.039741053767308</v>
      </c>
      <c r="AD2356" s="150">
        <f t="shared" si="720"/>
        <v>0.0491743785156959</v>
      </c>
      <c r="AE2356" s="89">
        <f t="shared" si="715"/>
        <v>0.133725490196078</v>
      </c>
    </row>
    <row r="2357" spans="3:31">
      <c r="C2357" s="80" t="str" cm="1">
        <f t="array" ref="C2357">_xlfn.IFS(MONTH(D2357)&lt;4,1,MONTH(D2357)&lt;7,2,MONTH(D2357)&lt;10,3,MONTH(D2357)&gt;9,4)&amp;"Q"&amp;RIGHT(YEAR(D2357),2)</f>
        <v>2Q25</v>
      </c>
      <c r="D2357" s="81">
        <f t="shared" si="719"/>
        <v>45838</v>
      </c>
      <c r="E2357" s="82">
        <f t="shared" si="711"/>
        <v>45819</v>
      </c>
      <c r="F2357" s="83">
        <f t="shared" si="722"/>
        <v>0.427625</v>
      </c>
      <c r="G2357" s="83">
        <f t="shared" si="722"/>
        <v>0.325</v>
      </c>
      <c r="I2357" s="146">
        <v>45819</v>
      </c>
      <c r="J2357" s="147">
        <v>4.9</v>
      </c>
      <c r="K2357" s="147">
        <v>2.55</v>
      </c>
      <c r="L2357" s="158">
        <v>3.421</v>
      </c>
      <c r="M2357" s="59" cm="1">
        <f t="array" ref="M2357">INDEX($BV$29:$BV$1449,MATCH($D2357,$BR$29:$BR$1449,0),)</f>
        <v>2.6</v>
      </c>
      <c r="N2357" s="150">
        <f t="shared" si="723"/>
        <v>0.0322872661436331</v>
      </c>
      <c r="O2357" s="150">
        <f t="shared" si="724"/>
        <v>0.154573067836652</v>
      </c>
      <c r="P2357" s="150">
        <f t="shared" si="710"/>
        <v>0.342621664050235</v>
      </c>
      <c r="Q2357" s="89">
        <f t="shared" si="712"/>
        <v>0.315769230769231</v>
      </c>
      <c r="S2357" s="82">
        <f t="shared" si="713"/>
        <v>45819</v>
      </c>
      <c r="T2357" s="83">
        <f t="shared" si="721"/>
        <v>0.361375</v>
      </c>
      <c r="U2357" s="83">
        <f t="shared" si="721"/>
        <v>0.31875</v>
      </c>
      <c r="W2357" s="146">
        <v>45819</v>
      </c>
      <c r="X2357" s="147">
        <v>8.5</v>
      </c>
      <c r="Y2357" s="147">
        <v>4.35</v>
      </c>
      <c r="Z2357" s="158">
        <v>5.782</v>
      </c>
      <c r="AA2357" s="59" cm="1">
        <f t="array" ref="AA2357">INDEX($BX$29:$BX$1449,MATCH($D2357,$BR$29:$BR$1449,0),)</f>
        <v>5.1</v>
      </c>
      <c r="AB2357" s="150">
        <f t="shared" si="714"/>
        <v>0</v>
      </c>
      <c r="AC2357" s="150">
        <f t="shared" si="717"/>
        <v>0.0373161105130966</v>
      </c>
      <c r="AD2357" s="150">
        <f t="shared" si="720"/>
        <v>0.0421773612112473</v>
      </c>
      <c r="AE2357" s="89">
        <f t="shared" si="715"/>
        <v>0.133725490196078</v>
      </c>
    </row>
    <row r="2358" spans="3:31">
      <c r="C2358" s="80" t="str" cm="1">
        <f t="array" ref="C2358">_xlfn.IFS(MONTH(D2358)&lt;4,1,MONTH(D2358)&lt;7,2,MONTH(D2358)&lt;10,3,MONTH(D2358)&gt;9,4)&amp;"Q"&amp;RIGHT(YEAR(D2358),2)</f>
        <v>2Q25</v>
      </c>
      <c r="D2358" s="81">
        <f t="shared" si="719"/>
        <v>45838</v>
      </c>
      <c r="E2358" s="82">
        <f t="shared" si="711"/>
        <v>45820</v>
      </c>
      <c r="F2358" s="83">
        <f t="shared" si="722"/>
        <v>0.43775</v>
      </c>
      <c r="G2358" s="83">
        <f t="shared" si="722"/>
        <v>0.325</v>
      </c>
      <c r="I2358" s="146">
        <v>45820</v>
      </c>
      <c r="J2358" s="147">
        <v>5</v>
      </c>
      <c r="K2358" s="147">
        <v>2.65</v>
      </c>
      <c r="L2358" s="158">
        <v>3.502</v>
      </c>
      <c r="M2358" s="59" cm="1">
        <f t="array" ref="M2358">INDEX($BV$29:$BV$1449,MATCH($D2358,$BR$29:$BR$1449,0),)</f>
        <v>2.6</v>
      </c>
      <c r="N2358" s="150">
        <f t="shared" si="723"/>
        <v>0.0236772873428821</v>
      </c>
      <c r="O2358" s="150">
        <f t="shared" si="724"/>
        <v>0.145567549885509</v>
      </c>
      <c r="P2358" s="150">
        <f t="shared" si="710"/>
        <v>0.321509433962264</v>
      </c>
      <c r="Q2358" s="89">
        <f t="shared" si="712"/>
        <v>0.346923076923077</v>
      </c>
      <c r="S2358" s="82">
        <f t="shared" si="713"/>
        <v>45820</v>
      </c>
      <c r="T2358" s="83">
        <f t="shared" si="721"/>
        <v>0.361375</v>
      </c>
      <c r="U2358" s="83">
        <f t="shared" si="721"/>
        <v>0.31875</v>
      </c>
      <c r="W2358" s="146">
        <v>45820</v>
      </c>
      <c r="X2358" s="147">
        <v>8.6</v>
      </c>
      <c r="Y2358" s="147">
        <v>4.35</v>
      </c>
      <c r="Z2358" s="158">
        <v>5.782</v>
      </c>
      <c r="AA2358" s="59" cm="1">
        <f t="array" ref="AA2358">INDEX($BX$29:$BX$1449,MATCH($D2358,$BR$29:$BR$1449,0),)</f>
        <v>5.1</v>
      </c>
      <c r="AB2358" s="150">
        <f t="shared" si="714"/>
        <v>0</v>
      </c>
      <c r="AC2358" s="150">
        <f t="shared" si="717"/>
        <v>0.0280938833570412</v>
      </c>
      <c r="AD2358" s="150">
        <f t="shared" si="720"/>
        <v>0.039741053767308</v>
      </c>
      <c r="AE2358" s="89">
        <f t="shared" si="715"/>
        <v>0.133725490196078</v>
      </c>
    </row>
    <row r="2359" spans="3:31">
      <c r="C2359" s="80" t="str" cm="1">
        <f t="array" ref="C2359">_xlfn.IFS(MONTH(D2359)&lt;4,1,MONTH(D2359)&lt;7,2,MONTH(D2359)&lt;10,3,MONTH(D2359)&gt;9,4)&amp;"Q"&amp;RIGHT(YEAR(D2359),2)</f>
        <v>2Q25</v>
      </c>
      <c r="D2359" s="81">
        <f t="shared" si="719"/>
        <v>45838</v>
      </c>
      <c r="E2359" s="82">
        <f t="shared" si="711"/>
        <v>45821</v>
      </c>
      <c r="F2359" s="83">
        <f t="shared" si="722"/>
        <v>0.471875</v>
      </c>
      <c r="G2359" s="83">
        <f t="shared" si="722"/>
        <v>0.325</v>
      </c>
      <c r="I2359" s="146">
        <v>45821</v>
      </c>
      <c r="J2359" s="147">
        <v>6</v>
      </c>
      <c r="K2359" s="147">
        <v>2.8</v>
      </c>
      <c r="L2359" s="158">
        <v>3.775</v>
      </c>
      <c r="M2359" s="59" cm="1">
        <f t="array" ref="M2359">INDEX($BV$29:$BV$1449,MATCH($D2359,$BR$29:$BR$1449,0),)</f>
        <v>2.6</v>
      </c>
      <c r="N2359" s="150">
        <f t="shared" si="723"/>
        <v>0.0779554540262708</v>
      </c>
      <c r="O2359" s="150">
        <f t="shared" si="724"/>
        <v>0.217741935483871</v>
      </c>
      <c r="P2359" s="150">
        <f t="shared" si="710"/>
        <v>0.38227755400952</v>
      </c>
      <c r="Q2359" s="89">
        <f t="shared" si="712"/>
        <v>0.451923076923077</v>
      </c>
      <c r="S2359" s="82">
        <f t="shared" si="713"/>
        <v>45821</v>
      </c>
      <c r="T2359" s="83">
        <f t="shared" si="721"/>
        <v>0.365875</v>
      </c>
      <c r="U2359" s="83">
        <f t="shared" si="721"/>
        <v>0.31875</v>
      </c>
      <c r="W2359" s="146">
        <v>45821</v>
      </c>
      <c r="X2359" s="147">
        <v>8.6</v>
      </c>
      <c r="Y2359" s="147">
        <v>4.4</v>
      </c>
      <c r="Z2359" s="158">
        <v>5.854</v>
      </c>
      <c r="AA2359" s="59" cm="1">
        <f t="array" ref="AA2359">INDEX($BX$29:$BX$1449,MATCH($D2359,$BR$29:$BR$1449,0),)</f>
        <v>5.1</v>
      </c>
      <c r="AB2359" s="150">
        <f t="shared" si="714"/>
        <v>0.0124524386025597</v>
      </c>
      <c r="AC2359" s="150">
        <f t="shared" si="717"/>
        <v>0.03739145844409</v>
      </c>
      <c r="AD2359" s="150">
        <f t="shared" si="720"/>
        <v>0.0526883654019061</v>
      </c>
      <c r="AE2359" s="89">
        <f t="shared" si="715"/>
        <v>0.147843137254902</v>
      </c>
    </row>
    <row r="2360" spans="3:31">
      <c r="C2360" s="80" t="str" cm="1">
        <f t="array" ref="C2360">_xlfn.IFS(MONTH(D2360)&lt;4,1,MONTH(D2360)&lt;7,2,MONTH(D2360)&lt;10,3,MONTH(D2360)&gt;9,4)&amp;"Q"&amp;RIGHT(YEAR(D2360),2)</f>
        <v>2Q25</v>
      </c>
      <c r="D2360" s="81">
        <f t="shared" si="719"/>
        <v>45838</v>
      </c>
      <c r="E2360" s="82">
        <f t="shared" si="711"/>
        <v>45824</v>
      </c>
      <c r="F2360" s="83">
        <f t="shared" si="722"/>
        <v>0.502125</v>
      </c>
      <c r="G2360" s="83">
        <f t="shared" si="722"/>
        <v>0.325</v>
      </c>
      <c r="I2360" s="146">
        <v>45824</v>
      </c>
      <c r="J2360" s="147">
        <v>6</v>
      </c>
      <c r="K2360" s="147">
        <v>2.85</v>
      </c>
      <c r="L2360" s="158">
        <v>4.017</v>
      </c>
      <c r="M2360" s="59" cm="1">
        <f t="array" ref="M2360">INDEX($BV$29:$BV$1449,MATCH($D2360,$BR$29:$BR$1449,0),)</f>
        <v>2.6</v>
      </c>
      <c r="N2360" s="150">
        <f t="shared" si="723"/>
        <v>0.0641059602649008</v>
      </c>
      <c r="O2360" s="150">
        <f t="shared" si="724"/>
        <v>0.238667900092507</v>
      </c>
      <c r="P2360" s="150">
        <f t="shared" si="710"/>
        <v>0.443406395975566</v>
      </c>
      <c r="Q2360" s="89">
        <f t="shared" si="712"/>
        <v>0.545</v>
      </c>
      <c r="S2360" s="82">
        <f t="shared" si="713"/>
        <v>45824</v>
      </c>
      <c r="T2360" s="83">
        <f t="shared" ref="T2360:U2375" si="725">+Z2360/16</f>
        <v>0.3688125</v>
      </c>
      <c r="U2360" s="83">
        <f t="shared" si="725"/>
        <v>0.31875</v>
      </c>
      <c r="W2360" s="146">
        <v>45824</v>
      </c>
      <c r="X2360" s="147">
        <v>8.7</v>
      </c>
      <c r="Y2360" s="147">
        <v>4.4</v>
      </c>
      <c r="Z2360" s="158">
        <v>5.901</v>
      </c>
      <c r="AA2360" s="59" cm="1">
        <f t="array" ref="AA2360">INDEX($BX$29:$BX$1449,MATCH($D2360,$BR$29:$BR$1449,0),)</f>
        <v>5.1</v>
      </c>
      <c r="AB2360" s="150">
        <f t="shared" si="714"/>
        <v>0.00802869832593101</v>
      </c>
      <c r="AC2360" s="150">
        <f t="shared" si="717"/>
        <v>0.0332691297496059</v>
      </c>
      <c r="AD2360" s="150">
        <f t="shared" si="720"/>
        <v>0.0611400827189355</v>
      </c>
      <c r="AE2360" s="89">
        <f t="shared" si="715"/>
        <v>0.157058823529412</v>
      </c>
    </row>
    <row r="2361" spans="3:31">
      <c r="C2361" s="80" t="str" cm="1">
        <f t="array" ref="C2361">_xlfn.IFS(MONTH(D2361)&lt;4,1,MONTH(D2361)&lt;7,2,MONTH(D2361)&lt;10,3,MONTH(D2361)&gt;9,4)&amp;"Q"&amp;RIGHT(YEAR(D2361),2)</f>
        <v>2Q25</v>
      </c>
      <c r="D2361" s="81">
        <f t="shared" si="719"/>
        <v>45838</v>
      </c>
      <c r="E2361" s="82">
        <f t="shared" si="711"/>
        <v>45825</v>
      </c>
      <c r="F2361" s="83">
        <f t="shared" si="722"/>
        <v>0.52275</v>
      </c>
      <c r="G2361" s="83">
        <f t="shared" si="722"/>
        <v>0.325</v>
      </c>
      <c r="I2361" s="146">
        <v>45825</v>
      </c>
      <c r="J2361" s="147">
        <v>6.5</v>
      </c>
      <c r="K2361" s="147">
        <v>2.9</v>
      </c>
      <c r="L2361" s="158">
        <v>4.182</v>
      </c>
      <c r="M2361" s="59" cm="1">
        <f t="array" ref="M2361">INDEX($BV$29:$BV$1449,MATCH($D2361,$BR$29:$BR$1449,0),)</f>
        <v>2.6</v>
      </c>
      <c r="N2361" s="150">
        <f t="shared" si="723"/>
        <v>0.041075429424944</v>
      </c>
      <c r="O2361" s="150">
        <f t="shared" si="724"/>
        <v>0.261919130959566</v>
      </c>
      <c r="P2361" s="150">
        <f t="shared" si="710"/>
        <v>0.46531184302733</v>
      </c>
      <c r="Q2361" s="89">
        <f t="shared" si="712"/>
        <v>0.608461538461539</v>
      </c>
      <c r="S2361" s="82">
        <f t="shared" si="713"/>
        <v>45825</v>
      </c>
      <c r="T2361" s="83">
        <f t="shared" si="725"/>
        <v>0.3688125</v>
      </c>
      <c r="U2361" s="83">
        <f t="shared" si="725"/>
        <v>0.31875</v>
      </c>
      <c r="W2361" s="146">
        <v>45825</v>
      </c>
      <c r="X2361" s="147">
        <v>8.7</v>
      </c>
      <c r="Y2361" s="147">
        <v>4.4</v>
      </c>
      <c r="Z2361" s="158">
        <v>5.901</v>
      </c>
      <c r="AA2361" s="59" cm="1">
        <f t="array" ref="AA2361">INDEX($BX$29:$BX$1449,MATCH($D2361,$BR$29:$BR$1449,0),)</f>
        <v>5.1</v>
      </c>
      <c r="AB2361" s="150">
        <f t="shared" si="714"/>
        <v>0</v>
      </c>
      <c r="AC2361" s="150">
        <f t="shared" si="717"/>
        <v>0.0205811138014527</v>
      </c>
      <c r="AD2361" s="150">
        <f t="shared" si="720"/>
        <v>0.0611400827189355</v>
      </c>
      <c r="AE2361" s="89">
        <f t="shared" si="715"/>
        <v>0.157058823529412</v>
      </c>
    </row>
    <row r="2362" spans="3:31">
      <c r="C2362" s="80" t="str" cm="1">
        <f t="array" ref="C2362">_xlfn.IFS(MONTH(D2362)&lt;4,1,MONTH(D2362)&lt;7,2,MONTH(D2362)&lt;10,3,MONTH(D2362)&gt;9,4)&amp;"Q"&amp;RIGHT(YEAR(D2362),2)</f>
        <v>2Q25</v>
      </c>
      <c r="D2362" s="81">
        <f t="shared" si="719"/>
        <v>45838</v>
      </c>
      <c r="E2362" s="82">
        <f t="shared" si="711"/>
        <v>45826</v>
      </c>
      <c r="F2362" s="83">
        <f t="shared" ref="F2362:G2377" si="726">+L2362/8</f>
        <v>0.571875</v>
      </c>
      <c r="G2362" s="83">
        <f t="shared" si="726"/>
        <v>0.325</v>
      </c>
      <c r="I2362" s="146">
        <v>45826</v>
      </c>
      <c r="J2362" s="147">
        <v>8.6</v>
      </c>
      <c r="K2362" s="147">
        <v>3</v>
      </c>
      <c r="L2362" s="158">
        <v>4.575</v>
      </c>
      <c r="M2362" s="59" cm="1">
        <f t="array" ref="M2362">INDEX($BV$29:$BV$1449,MATCH($D2362,$BR$29:$BR$1449,0),)</f>
        <v>2.6</v>
      </c>
      <c r="N2362" s="150">
        <f t="shared" si="723"/>
        <v>0.093974175035868</v>
      </c>
      <c r="O2362" s="150">
        <f t="shared" si="724"/>
        <v>0.337328266588717</v>
      </c>
      <c r="P2362" s="150">
        <f t="shared" si="710"/>
        <v>0.544043199460007</v>
      </c>
      <c r="Q2362" s="89">
        <f t="shared" si="712"/>
        <v>0.759615384615385</v>
      </c>
      <c r="S2362" s="82">
        <f t="shared" si="713"/>
        <v>45826</v>
      </c>
      <c r="T2362" s="83">
        <f t="shared" si="725"/>
        <v>0.3688125</v>
      </c>
      <c r="U2362" s="83">
        <f t="shared" si="725"/>
        <v>0.31875</v>
      </c>
      <c r="W2362" s="146">
        <v>45826</v>
      </c>
      <c r="X2362" s="147">
        <v>8.7</v>
      </c>
      <c r="Y2362" s="147">
        <v>4.4</v>
      </c>
      <c r="Z2362" s="158">
        <v>5.901</v>
      </c>
      <c r="AA2362" s="59" cm="1">
        <f t="array" ref="AA2362">INDEX($BX$29:$BX$1449,MATCH($D2362,$BR$29:$BR$1449,0),)</f>
        <v>5.1</v>
      </c>
      <c r="AB2362" s="150">
        <f t="shared" si="714"/>
        <v>0</v>
      </c>
      <c r="AC2362" s="150">
        <f t="shared" si="717"/>
        <v>0.0205811138014527</v>
      </c>
      <c r="AD2362" s="150">
        <f t="shared" si="720"/>
        <v>0.0586652314316469</v>
      </c>
      <c r="AE2362" s="89">
        <f t="shared" si="715"/>
        <v>0.157058823529412</v>
      </c>
    </row>
    <row r="2363" spans="3:31">
      <c r="C2363" s="80" t="str" cm="1">
        <f t="array" ref="C2363">_xlfn.IFS(MONTH(D2363)&lt;4,1,MONTH(D2363)&lt;7,2,MONTH(D2363)&lt;10,3,MONTH(D2363)&gt;9,4)&amp;"Q"&amp;RIGHT(YEAR(D2363),2)</f>
        <v>2Q25</v>
      </c>
      <c r="D2363" s="81">
        <f t="shared" si="719"/>
        <v>45838</v>
      </c>
      <c r="E2363" s="82">
        <f t="shared" si="711"/>
        <v>45827</v>
      </c>
      <c r="F2363" s="83">
        <f t="shared" si="726"/>
        <v>0.6105</v>
      </c>
      <c r="G2363" s="83">
        <f t="shared" si="726"/>
        <v>0.325</v>
      </c>
      <c r="I2363" s="146">
        <v>45827</v>
      </c>
      <c r="J2363" s="147">
        <v>8.6</v>
      </c>
      <c r="K2363" s="147">
        <v>3</v>
      </c>
      <c r="L2363" s="158">
        <v>4.884</v>
      </c>
      <c r="M2363" s="59" cm="1">
        <f t="array" ref="M2363">INDEX($BV$29:$BV$1449,MATCH($D2363,$BR$29:$BR$1449,0),)</f>
        <v>2.6</v>
      </c>
      <c r="N2363" s="150">
        <f t="shared" si="723"/>
        <v>0.0675409836065575</v>
      </c>
      <c r="O2363" s="150">
        <f t="shared" si="724"/>
        <v>0.394631639063393</v>
      </c>
      <c r="P2363" s="150">
        <f t="shared" si="710"/>
        <v>0.597644749754662</v>
      </c>
      <c r="Q2363" s="89">
        <f t="shared" si="712"/>
        <v>0.878461538461539</v>
      </c>
      <c r="S2363" s="82">
        <f t="shared" si="713"/>
        <v>45827</v>
      </c>
      <c r="T2363" s="83">
        <f t="shared" si="725"/>
        <v>0.3716875</v>
      </c>
      <c r="U2363" s="83">
        <f t="shared" si="725"/>
        <v>0.31875</v>
      </c>
      <c r="W2363" s="146">
        <v>45827</v>
      </c>
      <c r="X2363" s="147">
        <v>8.8</v>
      </c>
      <c r="Y2363" s="147">
        <v>4.45</v>
      </c>
      <c r="Z2363" s="158">
        <v>5.947</v>
      </c>
      <c r="AA2363" s="59" cm="1">
        <f t="array" ref="AA2363">INDEX($BX$29:$BX$1449,MATCH($D2363,$BR$29:$BR$1449,0),)</f>
        <v>5.1</v>
      </c>
      <c r="AB2363" s="150">
        <f t="shared" si="714"/>
        <v>0.0077952889340791</v>
      </c>
      <c r="AC2363" s="150">
        <f t="shared" si="717"/>
        <v>0.0285368384641993</v>
      </c>
      <c r="AD2363" s="150">
        <f t="shared" si="720"/>
        <v>0.0574324324324325</v>
      </c>
      <c r="AE2363" s="89">
        <f t="shared" si="715"/>
        <v>0.166078431372549</v>
      </c>
    </row>
    <row r="2364" spans="3:31">
      <c r="C2364" s="80" t="str" cm="1">
        <f t="array" ref="C2364">_xlfn.IFS(MONTH(D2364)&lt;4,1,MONTH(D2364)&lt;7,2,MONTH(D2364)&lt;10,3,MONTH(D2364)&gt;9,4)&amp;"Q"&amp;RIGHT(YEAR(D2364),2)</f>
        <v>2Q25</v>
      </c>
      <c r="D2364" s="81">
        <f t="shared" si="719"/>
        <v>45838</v>
      </c>
      <c r="E2364" s="82">
        <f t="shared" si="711"/>
        <v>45828</v>
      </c>
      <c r="F2364" s="83">
        <f t="shared" si="726"/>
        <v>0.64375</v>
      </c>
      <c r="G2364" s="83">
        <f t="shared" si="726"/>
        <v>0.325</v>
      </c>
      <c r="I2364" s="146">
        <v>45828</v>
      </c>
      <c r="J2364" s="147">
        <v>8.6</v>
      </c>
      <c r="K2364" s="147">
        <v>3.1</v>
      </c>
      <c r="L2364" s="158">
        <v>5.15</v>
      </c>
      <c r="M2364" s="59" cm="1">
        <f t="array" ref="M2364">INDEX($BV$29:$BV$1449,MATCH($D2364,$BR$29:$BR$1449,0),)</f>
        <v>2.6</v>
      </c>
      <c r="N2364" s="150">
        <f t="shared" si="723"/>
        <v>0.0544635544635546</v>
      </c>
      <c r="O2364" s="150">
        <f t="shared" si="724"/>
        <v>0.364238410596027</v>
      </c>
      <c r="P2364" s="150">
        <f t="shared" si="710"/>
        <v>0.661290322580645</v>
      </c>
      <c r="Q2364" s="89">
        <f t="shared" si="712"/>
        <v>0.980769230769231</v>
      </c>
      <c r="S2364" s="82">
        <f t="shared" si="713"/>
        <v>45828</v>
      </c>
      <c r="T2364" s="83">
        <f t="shared" si="725"/>
        <v>0.375875</v>
      </c>
      <c r="U2364" s="83">
        <f t="shared" si="725"/>
        <v>0.31875</v>
      </c>
      <c r="W2364" s="146">
        <v>45828</v>
      </c>
      <c r="X2364" s="147">
        <v>9</v>
      </c>
      <c r="Y2364" s="147">
        <v>4.55</v>
      </c>
      <c r="Z2364" s="158">
        <v>6.014</v>
      </c>
      <c r="AA2364" s="59" cm="1">
        <f t="array" ref="AA2364">INDEX($BX$29:$BX$1449,MATCH($D2364,$BR$29:$BR$1449,0),)</f>
        <v>5.1</v>
      </c>
      <c r="AB2364" s="150">
        <f t="shared" si="714"/>
        <v>0.0112661846309063</v>
      </c>
      <c r="AC2364" s="150">
        <f t="shared" si="717"/>
        <v>0.0273317389818928</v>
      </c>
      <c r="AD2364" s="150">
        <f t="shared" si="720"/>
        <v>0.065745171008329</v>
      </c>
      <c r="AE2364" s="89">
        <f t="shared" si="715"/>
        <v>0.17921568627451</v>
      </c>
    </row>
    <row r="2365" spans="3:31">
      <c r="C2365" s="80" t="str" cm="1">
        <f t="array" ref="C2365">_xlfn.IFS(MONTH(D2365)&lt;4,1,MONTH(D2365)&lt;7,2,MONTH(D2365)&lt;10,3,MONTH(D2365)&gt;9,4)&amp;"Q"&amp;RIGHT(YEAR(D2365),2)</f>
        <v>2Q25</v>
      </c>
      <c r="D2365" s="81">
        <f t="shared" si="719"/>
        <v>45838</v>
      </c>
      <c r="E2365" s="82">
        <f t="shared" si="711"/>
        <v>45831</v>
      </c>
      <c r="F2365" s="83">
        <f t="shared" si="726"/>
        <v>0.65</v>
      </c>
      <c r="G2365" s="83">
        <f t="shared" si="726"/>
        <v>0.325</v>
      </c>
      <c r="I2365" s="146">
        <v>45831</v>
      </c>
      <c r="J2365" s="147">
        <v>8.6</v>
      </c>
      <c r="K2365" s="147">
        <v>3.1</v>
      </c>
      <c r="L2365" s="158">
        <v>5.2</v>
      </c>
      <c r="M2365" s="59" cm="1">
        <f t="array" ref="M2365">INDEX($BV$29:$BV$1449,MATCH($D2365,$BR$29:$BR$1449,0),)</f>
        <v>2.6</v>
      </c>
      <c r="N2365" s="150">
        <f t="shared" si="723"/>
        <v>0.00970873786407767</v>
      </c>
      <c r="O2365" s="150">
        <f t="shared" si="724"/>
        <v>0.294498381877023</v>
      </c>
      <c r="P2365" s="150">
        <f t="shared" si="710"/>
        <v>0.60345359235276</v>
      </c>
      <c r="Q2365" s="89">
        <f t="shared" si="712"/>
        <v>1</v>
      </c>
      <c r="S2365" s="82">
        <f t="shared" si="713"/>
        <v>45831</v>
      </c>
      <c r="T2365" s="83">
        <f t="shared" si="725"/>
        <v>0.375875</v>
      </c>
      <c r="U2365" s="83">
        <f t="shared" si="725"/>
        <v>0.31875</v>
      </c>
      <c r="W2365" s="146">
        <v>45831</v>
      </c>
      <c r="X2365" s="147">
        <v>9</v>
      </c>
      <c r="Y2365" s="147">
        <v>4.55</v>
      </c>
      <c r="Z2365" s="158">
        <v>6.014</v>
      </c>
      <c r="AA2365" s="59" cm="1">
        <f t="array" ref="AA2365">INDEX($BX$29:$BX$1449,MATCH($D2365,$BR$29:$BR$1449,0),)</f>
        <v>5.1</v>
      </c>
      <c r="AB2365" s="150">
        <f t="shared" si="714"/>
        <v>0</v>
      </c>
      <c r="AC2365" s="150">
        <f t="shared" si="717"/>
        <v>0.019149296729368</v>
      </c>
      <c r="AD2365" s="150">
        <f t="shared" si="720"/>
        <v>0.0530555069164769</v>
      </c>
      <c r="AE2365" s="89">
        <f t="shared" si="715"/>
        <v>0.17921568627451</v>
      </c>
    </row>
    <row r="2366" spans="3:31">
      <c r="C2366" s="80" t="str" cm="1">
        <f t="array" ref="C2366">_xlfn.IFS(MONTH(D2366)&lt;4,1,MONTH(D2366)&lt;7,2,MONTH(D2366)&lt;10,3,MONTH(D2366)&gt;9,4)&amp;"Q"&amp;RIGHT(YEAR(D2366),2)</f>
        <v>2Q25</v>
      </c>
      <c r="D2366" s="81">
        <f t="shared" si="719"/>
        <v>45838</v>
      </c>
      <c r="E2366" s="82">
        <f t="shared" si="711"/>
        <v>45832</v>
      </c>
      <c r="F2366" s="83">
        <f t="shared" si="726"/>
        <v>0.644375</v>
      </c>
      <c r="G2366" s="83">
        <f t="shared" si="726"/>
        <v>0.325</v>
      </c>
      <c r="I2366" s="146">
        <v>45832</v>
      </c>
      <c r="J2366" s="147">
        <v>8.6</v>
      </c>
      <c r="K2366" s="147">
        <v>3.1</v>
      </c>
      <c r="L2366" s="158">
        <v>5.155</v>
      </c>
      <c r="M2366" s="59" cm="1">
        <f t="array" ref="M2366">INDEX($BV$29:$BV$1449,MATCH($D2366,$BR$29:$BR$1449,0),)</f>
        <v>2.6</v>
      </c>
      <c r="N2366" s="150">
        <f t="shared" si="723"/>
        <v>-0.00865384615384612</v>
      </c>
      <c r="O2366" s="150">
        <f t="shared" si="724"/>
        <v>0.232663797226208</v>
      </c>
      <c r="P2366" s="150">
        <f t="shared" si="710"/>
        <v>0.555522027761014</v>
      </c>
      <c r="Q2366" s="89">
        <f t="shared" si="712"/>
        <v>0.982692307692308</v>
      </c>
      <c r="S2366" s="82">
        <f t="shared" si="713"/>
        <v>45832</v>
      </c>
      <c r="T2366" s="83">
        <f t="shared" si="725"/>
        <v>0.3783125</v>
      </c>
      <c r="U2366" s="83">
        <f t="shared" si="725"/>
        <v>0.31875</v>
      </c>
      <c r="W2366" s="146">
        <v>45832</v>
      </c>
      <c r="X2366" s="147">
        <v>9.2</v>
      </c>
      <c r="Y2366" s="147">
        <v>4.6</v>
      </c>
      <c r="Z2366" s="158">
        <v>6.053</v>
      </c>
      <c r="AA2366" s="59" cm="1">
        <f t="array" ref="AA2366">INDEX($BX$29:$BX$1449,MATCH($D2366,$BR$29:$BR$1449,0),)</f>
        <v>5.1</v>
      </c>
      <c r="AB2366" s="150">
        <f t="shared" si="714"/>
        <v>0.00648486863984021</v>
      </c>
      <c r="AC2366" s="150">
        <f t="shared" si="717"/>
        <v>0.0257583460430435</v>
      </c>
      <c r="AD2366" s="150">
        <f t="shared" si="720"/>
        <v>0.0468695952957454</v>
      </c>
      <c r="AE2366" s="89">
        <f t="shared" si="715"/>
        <v>0.186862745098039</v>
      </c>
    </row>
    <row r="2367" spans="3:31">
      <c r="C2367" s="80" t="str" cm="1">
        <f t="array" ref="C2367">_xlfn.IFS(MONTH(D2367)&lt;4,1,MONTH(D2367)&lt;7,2,MONTH(D2367)&lt;10,3,MONTH(D2367)&gt;9,4)&amp;"Q"&amp;RIGHT(YEAR(D2367),2)</f>
        <v>2Q25</v>
      </c>
      <c r="D2367" s="81">
        <f t="shared" si="719"/>
        <v>45838</v>
      </c>
      <c r="E2367" s="82">
        <f t="shared" si="711"/>
        <v>45833</v>
      </c>
      <c r="F2367" s="83">
        <f t="shared" si="726"/>
        <v>0.644125</v>
      </c>
      <c r="G2367" s="83">
        <f t="shared" si="726"/>
        <v>0.325</v>
      </c>
      <c r="I2367" s="146">
        <v>45833</v>
      </c>
      <c r="J2367" s="147">
        <v>8.6</v>
      </c>
      <c r="K2367" s="147">
        <v>3.1</v>
      </c>
      <c r="L2367" s="158">
        <v>5.153</v>
      </c>
      <c r="M2367" s="59" cm="1">
        <f t="array" ref="M2367">INDEX($BV$29:$BV$1449,MATCH($D2367,$BR$29:$BR$1449,0),)</f>
        <v>2.6</v>
      </c>
      <c r="N2367" s="150">
        <f t="shared" si="723"/>
        <v>-0.000387972841901174</v>
      </c>
      <c r="O2367" s="150">
        <f t="shared" si="724"/>
        <v>0.126338797814207</v>
      </c>
      <c r="P2367" s="150">
        <f t="shared" si="710"/>
        <v>0.506284712072493</v>
      </c>
      <c r="Q2367" s="89">
        <f t="shared" si="712"/>
        <v>0.981923076923077</v>
      </c>
      <c r="S2367" s="82">
        <f t="shared" si="713"/>
        <v>45833</v>
      </c>
      <c r="T2367" s="83">
        <f t="shared" si="725"/>
        <v>0.3783125</v>
      </c>
      <c r="U2367" s="83">
        <f t="shared" si="725"/>
        <v>0.31875</v>
      </c>
      <c r="W2367" s="146">
        <v>45833</v>
      </c>
      <c r="X2367" s="147">
        <v>9.2</v>
      </c>
      <c r="Y2367" s="147">
        <v>4.6</v>
      </c>
      <c r="Z2367" s="158">
        <v>6.053</v>
      </c>
      <c r="AA2367" s="59" cm="1">
        <f t="array" ref="AA2367">INDEX($BX$29:$BX$1449,MATCH($D2367,$BR$29:$BR$1449,0),)</f>
        <v>5.1</v>
      </c>
      <c r="AB2367" s="150">
        <f t="shared" si="714"/>
        <v>0</v>
      </c>
      <c r="AC2367" s="150">
        <f t="shared" si="717"/>
        <v>0.0257583460430435</v>
      </c>
      <c r="AD2367" s="150">
        <f t="shared" si="720"/>
        <v>0.0468695952957454</v>
      </c>
      <c r="AE2367" s="89">
        <f t="shared" si="715"/>
        <v>0.186862745098039</v>
      </c>
    </row>
    <row r="2368" spans="3:31">
      <c r="C2368" s="80" t="str" cm="1">
        <f t="array" ref="C2368">_xlfn.IFS(MONTH(D2368)&lt;4,1,MONTH(D2368)&lt;7,2,MONTH(D2368)&lt;10,3,MONTH(D2368)&gt;9,4)&amp;"Q"&amp;RIGHT(YEAR(D2368),2)</f>
        <v>2Q25</v>
      </c>
      <c r="D2368" s="81">
        <f t="shared" si="719"/>
        <v>45838</v>
      </c>
      <c r="E2368" s="82">
        <f t="shared" si="711"/>
        <v>45834</v>
      </c>
      <c r="F2368" s="83">
        <f t="shared" si="726"/>
        <v>0.6375</v>
      </c>
      <c r="G2368" s="83">
        <f t="shared" si="726"/>
        <v>0.325</v>
      </c>
      <c r="I2368" s="146">
        <v>45834</v>
      </c>
      <c r="J2368" s="147">
        <v>8.5</v>
      </c>
      <c r="K2368" s="147">
        <v>3.1</v>
      </c>
      <c r="L2368" s="158">
        <v>5.1</v>
      </c>
      <c r="M2368" s="59" cm="1">
        <f t="array" ref="M2368">INDEX($BV$29:$BV$1449,MATCH($D2368,$BR$29:$BR$1449,0),)</f>
        <v>2.6</v>
      </c>
      <c r="N2368" s="150">
        <f t="shared" si="723"/>
        <v>-0.0102852707160878</v>
      </c>
      <c r="O2368" s="150">
        <f t="shared" si="724"/>
        <v>0.044226044226044</v>
      </c>
      <c r="P2368" s="150">
        <f t="shared" si="710"/>
        <v>0.456310679611651</v>
      </c>
      <c r="Q2368" s="89">
        <f t="shared" si="712"/>
        <v>0.961538461538461</v>
      </c>
      <c r="S2368" s="82">
        <f t="shared" si="713"/>
        <v>45834</v>
      </c>
      <c r="T2368" s="83">
        <f t="shared" si="725"/>
        <v>0.3779375</v>
      </c>
      <c r="U2368" s="83">
        <f t="shared" si="725"/>
        <v>0.31875</v>
      </c>
      <c r="W2368" s="146">
        <v>45834</v>
      </c>
      <c r="X2368" s="147">
        <v>9.2</v>
      </c>
      <c r="Y2368" s="147">
        <v>4.6</v>
      </c>
      <c r="Z2368" s="158">
        <v>6.047</v>
      </c>
      <c r="AA2368" s="59" cm="1">
        <f t="array" ref="AA2368">INDEX($BX$29:$BX$1449,MATCH($D2368,$BR$29:$BR$1449,0),)</f>
        <v>5.1</v>
      </c>
      <c r="AB2368" s="150">
        <f t="shared" si="714"/>
        <v>-0.000991244011234182</v>
      </c>
      <c r="AC2368" s="150">
        <f t="shared" si="717"/>
        <v>0.0168152009416511</v>
      </c>
      <c r="AD2368" s="150">
        <f t="shared" si="720"/>
        <v>0.0458318920788654</v>
      </c>
      <c r="AE2368" s="89">
        <f t="shared" si="715"/>
        <v>0.185686274509804</v>
      </c>
    </row>
    <row r="2369" spans="3:31">
      <c r="C2369" s="80" t="str" cm="1">
        <f t="array" ref="C2369">_xlfn.IFS(MONTH(D2369)&lt;4,1,MONTH(D2369)&lt;7,2,MONTH(D2369)&lt;10,3,MONTH(D2369)&gt;9,4)&amp;"Q"&amp;RIGHT(YEAR(D2369),2)</f>
        <v>2Q25</v>
      </c>
      <c r="D2369" s="81">
        <f t="shared" si="719"/>
        <v>45838</v>
      </c>
      <c r="E2369" s="82">
        <f t="shared" si="711"/>
        <v>45835</v>
      </c>
      <c r="F2369" s="83">
        <f t="shared" si="726"/>
        <v>0.634375</v>
      </c>
      <c r="G2369" s="83">
        <f t="shared" si="726"/>
        <v>0.325</v>
      </c>
      <c r="I2369" s="146">
        <v>45835</v>
      </c>
      <c r="J2369" s="147">
        <v>8.5</v>
      </c>
      <c r="K2369" s="147">
        <v>3</v>
      </c>
      <c r="L2369" s="158">
        <v>5.075</v>
      </c>
      <c r="M2369" s="59" cm="1">
        <f t="array" ref="M2369">INDEX($BV$29:$BV$1449,MATCH($D2369,$BR$29:$BR$1449,0),)</f>
        <v>2.6</v>
      </c>
      <c r="N2369" s="150">
        <f t="shared" si="723"/>
        <v>-0.0049019607843136</v>
      </c>
      <c r="O2369" s="150">
        <f t="shared" si="724"/>
        <v>-0.0145631067961165</v>
      </c>
      <c r="P2369" s="150">
        <f t="shared" si="710"/>
        <v>0.344370860927152</v>
      </c>
      <c r="Q2369" s="89">
        <f t="shared" si="712"/>
        <v>0.951923076923077</v>
      </c>
      <c r="S2369" s="82">
        <f t="shared" si="713"/>
        <v>45835</v>
      </c>
      <c r="T2369" s="83">
        <f t="shared" si="725"/>
        <v>0.378875</v>
      </c>
      <c r="U2369" s="83">
        <f t="shared" si="725"/>
        <v>0.31875</v>
      </c>
      <c r="W2369" s="146">
        <v>45835</v>
      </c>
      <c r="X2369" s="147">
        <v>9.2</v>
      </c>
      <c r="Y2369" s="147">
        <v>4.7</v>
      </c>
      <c r="Z2369" s="158">
        <v>6.062</v>
      </c>
      <c r="AA2369" s="59" cm="1">
        <f t="array" ref="AA2369">INDEX($BX$29:$BX$1449,MATCH($D2369,$BR$29:$BR$1449,0),)</f>
        <v>5.1</v>
      </c>
      <c r="AB2369" s="150">
        <f t="shared" si="714"/>
        <v>0.00248056887712922</v>
      </c>
      <c r="AC2369" s="150">
        <f t="shared" si="717"/>
        <v>0.00798137678749589</v>
      </c>
      <c r="AD2369" s="150">
        <f t="shared" si="720"/>
        <v>0.0355312606764606</v>
      </c>
      <c r="AE2369" s="89">
        <f t="shared" si="715"/>
        <v>0.188627450980392</v>
      </c>
    </row>
    <row r="2370" spans="3:31">
      <c r="C2370" s="80" t="str" cm="1">
        <f t="array" ref="C2370">_xlfn.IFS(MONTH(D2370)&lt;4,1,MONTH(D2370)&lt;7,2,MONTH(D2370)&lt;10,3,MONTH(D2370)&gt;9,4)&amp;"Q"&amp;RIGHT(YEAR(D2370),2)</f>
        <v>2Q25</v>
      </c>
      <c r="D2370" s="81">
        <f t="shared" si="719"/>
        <v>45838</v>
      </c>
      <c r="E2370" s="82">
        <f t="shared" si="711"/>
        <v>45838</v>
      </c>
      <c r="F2370" s="83">
        <f t="shared" si="726"/>
        <v>0.634375</v>
      </c>
      <c r="G2370" s="83">
        <f t="shared" si="726"/>
        <v>0.325</v>
      </c>
      <c r="I2370" s="146">
        <v>45838</v>
      </c>
      <c r="J2370" s="147">
        <v>8.2</v>
      </c>
      <c r="K2370" s="147">
        <v>3</v>
      </c>
      <c r="L2370" s="158">
        <v>5.075</v>
      </c>
      <c r="M2370" s="59" cm="1">
        <f t="array" ref="M2370">INDEX($BV$29:$BV$1449,MATCH($D2370,$BR$29:$BR$1449,0),)</f>
        <v>2.6</v>
      </c>
      <c r="N2370" s="150">
        <f t="shared" si="723"/>
        <v>0</v>
      </c>
      <c r="O2370" s="150">
        <f t="shared" si="724"/>
        <v>-0.0240384615384616</v>
      </c>
      <c r="P2370" s="150">
        <f t="shared" si="710"/>
        <v>0.263380632312671</v>
      </c>
      <c r="Q2370" s="89">
        <f t="shared" si="712"/>
        <v>0.951923076923077</v>
      </c>
      <c r="S2370" s="82">
        <f t="shared" si="713"/>
        <v>45838</v>
      </c>
      <c r="T2370" s="83">
        <f t="shared" si="725"/>
        <v>0.379875</v>
      </c>
      <c r="U2370" s="83">
        <f t="shared" si="725"/>
        <v>0.31875</v>
      </c>
      <c r="W2370" s="146">
        <v>45838</v>
      </c>
      <c r="X2370" s="147">
        <v>9.2</v>
      </c>
      <c r="Y2370" s="147">
        <v>4.7</v>
      </c>
      <c r="Z2370" s="158">
        <v>6.078</v>
      </c>
      <c r="AA2370" s="59" cm="1">
        <f t="array" ref="AA2370">INDEX($BX$29:$BX$1449,MATCH($D2370,$BR$29:$BR$1449,0),)</f>
        <v>5.1</v>
      </c>
      <c r="AB2370" s="150">
        <f t="shared" si="714"/>
        <v>0.00263939293962379</v>
      </c>
      <c r="AC2370" s="150">
        <f t="shared" si="717"/>
        <v>0.0106418357166611</v>
      </c>
      <c r="AD2370" s="150">
        <f t="shared" si="720"/>
        <v>0.0299949161159125</v>
      </c>
      <c r="AE2370" s="89">
        <f t="shared" si="715"/>
        <v>0.191764705882353</v>
      </c>
    </row>
    <row r="2371" spans="3:31">
      <c r="C2371" s="80" t="str" cm="1">
        <f t="array" ref="C2371">_xlfn.IFS(MONTH(D2371)&lt;4,1,MONTH(D2371)&lt;7,2,MONTH(D2371)&lt;10,3,MONTH(D2371)&gt;9,4)&amp;"Q"&amp;RIGHT(YEAR(D2371),2)</f>
        <v>3Q25</v>
      </c>
      <c r="D2371" s="81">
        <f t="shared" si="719"/>
        <v>45869</v>
      </c>
      <c r="E2371" s="82">
        <f t="shared" si="711"/>
        <v>45839</v>
      </c>
      <c r="F2371" s="83">
        <f t="shared" si="726"/>
        <v>0.634125</v>
      </c>
      <c r="G2371" s="83">
        <f t="shared" si="726"/>
        <v>0.4875</v>
      </c>
      <c r="I2371" s="146">
        <v>45839</v>
      </c>
      <c r="J2371" s="147">
        <v>8.2</v>
      </c>
      <c r="K2371" s="147">
        <v>2.95</v>
      </c>
      <c r="L2371" s="158">
        <v>5.073</v>
      </c>
      <c r="M2371" s="59" cm="1">
        <f t="array" ref="M2371">INDEX($BV$29:$BV$1449,MATCH($D2371,$BR$29:$BR$1449,0),)</f>
        <v>3.9</v>
      </c>
      <c r="N2371" s="150">
        <f t="shared" si="723"/>
        <v>-0.000394088669950721</v>
      </c>
      <c r="O2371" s="150">
        <f t="shared" si="724"/>
        <v>-0.0159068865179437</v>
      </c>
      <c r="P2371" s="150">
        <f t="shared" si="710"/>
        <v>0.213055954088953</v>
      </c>
      <c r="Q2371" s="89">
        <f t="shared" si="712"/>
        <v>0.300769230769231</v>
      </c>
      <c r="S2371" s="82">
        <f t="shared" si="713"/>
        <v>45839</v>
      </c>
      <c r="T2371" s="83">
        <f t="shared" si="725"/>
        <v>0.379875</v>
      </c>
      <c r="U2371" s="83">
        <f t="shared" si="725"/>
        <v>0.328125</v>
      </c>
      <c r="W2371" s="146">
        <v>45839</v>
      </c>
      <c r="X2371" s="147">
        <v>9.2</v>
      </c>
      <c r="Y2371" s="147">
        <v>4.7</v>
      </c>
      <c r="Z2371" s="158">
        <v>6.078</v>
      </c>
      <c r="AA2371" s="59" cm="1">
        <f t="array" ref="AA2371">INDEX($BX$29:$BX$1449,MATCH($D2371,$BR$29:$BR$1449,0),)</f>
        <v>5.25</v>
      </c>
      <c r="AB2371" s="150">
        <f t="shared" si="714"/>
        <v>0</v>
      </c>
      <c r="AC2371" s="150">
        <f t="shared" si="717"/>
        <v>0.00413018338014215</v>
      </c>
      <c r="AD2371" s="150">
        <f t="shared" si="720"/>
        <v>0.0299949161159125</v>
      </c>
      <c r="AE2371" s="89">
        <f t="shared" si="715"/>
        <v>0.157714285714286</v>
      </c>
    </row>
    <row r="2372" spans="3:31">
      <c r="C2372" s="80" t="str" cm="1">
        <f t="array" ref="C2372">_xlfn.IFS(MONTH(D2372)&lt;4,1,MONTH(D2372)&lt;7,2,MONTH(D2372)&lt;10,3,MONTH(D2372)&gt;9,4)&amp;"Q"&amp;RIGHT(YEAR(D2372),2)</f>
        <v>3Q25</v>
      </c>
      <c r="D2372" s="81">
        <f t="shared" si="719"/>
        <v>45869</v>
      </c>
      <c r="E2372" s="82">
        <f t="shared" si="711"/>
        <v>45840</v>
      </c>
      <c r="F2372" s="83">
        <f t="shared" si="726"/>
        <v>0.63225</v>
      </c>
      <c r="G2372" s="83">
        <f t="shared" si="726"/>
        <v>0.4875</v>
      </c>
      <c r="I2372" s="146">
        <v>45840</v>
      </c>
      <c r="J2372" s="147">
        <v>8.2</v>
      </c>
      <c r="K2372" s="147">
        <v>2.95</v>
      </c>
      <c r="L2372" s="158">
        <v>5.058</v>
      </c>
      <c r="M2372" s="59" cm="1">
        <f t="array" ref="M2372">INDEX($BV$29:$BV$1449,MATCH($D2372,$BR$29:$BR$1449,0),)</f>
        <v>3.9</v>
      </c>
      <c r="N2372" s="150">
        <f t="shared" si="723"/>
        <v>-0.00295683027794214</v>
      </c>
      <c r="O2372" s="150">
        <f t="shared" si="724"/>
        <v>-0.0184358626043081</v>
      </c>
      <c r="P2372" s="150">
        <f t="shared" si="710"/>
        <v>0.105573770491803</v>
      </c>
      <c r="Q2372" s="89">
        <f t="shared" si="712"/>
        <v>0.296923076923077</v>
      </c>
      <c r="S2372" s="82">
        <f t="shared" si="713"/>
        <v>45840</v>
      </c>
      <c r="T2372" s="83">
        <f t="shared" si="725"/>
        <v>0.3809375</v>
      </c>
      <c r="U2372" s="83">
        <f t="shared" si="725"/>
        <v>0.328125</v>
      </c>
      <c r="W2372" s="146">
        <v>45840</v>
      </c>
      <c r="X2372" s="147">
        <v>9.2</v>
      </c>
      <c r="Y2372" s="147">
        <v>4.7</v>
      </c>
      <c r="Z2372" s="158">
        <v>6.095</v>
      </c>
      <c r="AA2372" s="59" cm="1">
        <f t="array" ref="AA2372">INDEX($BX$29:$BX$1449,MATCH($D2372,$BR$29:$BR$1449,0),)</f>
        <v>5.25</v>
      </c>
      <c r="AB2372" s="150">
        <f t="shared" si="714"/>
        <v>0.0027969726883843</v>
      </c>
      <c r="AC2372" s="150">
        <f t="shared" si="717"/>
        <v>0.00693870807863872</v>
      </c>
      <c r="AD2372" s="150">
        <f t="shared" si="720"/>
        <v>0.0328757837654634</v>
      </c>
      <c r="AE2372" s="89">
        <f t="shared" si="715"/>
        <v>0.160952380952381</v>
      </c>
    </row>
    <row r="2373" spans="3:31">
      <c r="C2373" s="80" t="str" cm="1">
        <f t="array" ref="C2373">_xlfn.IFS(MONTH(D2373)&lt;4,1,MONTH(D2373)&lt;7,2,MONTH(D2373)&lt;10,3,MONTH(D2373)&gt;9,4)&amp;"Q"&amp;RIGHT(YEAR(D2373),2)</f>
        <v>3Q25</v>
      </c>
      <c r="D2373" s="81">
        <f t="shared" si="719"/>
        <v>45869</v>
      </c>
      <c r="E2373" s="82">
        <f t="shared" si="711"/>
        <v>45841</v>
      </c>
      <c r="F2373" s="83">
        <f t="shared" si="726"/>
        <v>0.62975</v>
      </c>
      <c r="G2373" s="83">
        <f t="shared" si="726"/>
        <v>0.4875</v>
      </c>
      <c r="I2373" s="146">
        <v>45841</v>
      </c>
      <c r="J2373" s="147">
        <v>8.1</v>
      </c>
      <c r="K2373" s="147">
        <v>2.95</v>
      </c>
      <c r="L2373" s="158">
        <v>5.038</v>
      </c>
      <c r="M2373" s="59" cm="1">
        <f t="array" ref="M2373">INDEX($BV$29:$BV$1449,MATCH($D2373,$BR$29:$BR$1449,0),)</f>
        <v>3.9</v>
      </c>
      <c r="N2373" s="150">
        <f t="shared" si="723"/>
        <v>-0.00395413206801098</v>
      </c>
      <c r="O2373" s="150">
        <f t="shared" si="724"/>
        <v>-0.012156862745098</v>
      </c>
      <c r="P2373" s="150">
        <f t="shared" si="710"/>
        <v>0.0315315315315314</v>
      </c>
      <c r="Q2373" s="89">
        <f t="shared" si="712"/>
        <v>0.291794871794872</v>
      </c>
      <c r="S2373" s="82">
        <f t="shared" si="713"/>
        <v>45841</v>
      </c>
      <c r="T2373" s="83">
        <f t="shared" si="725"/>
        <v>0.3809375</v>
      </c>
      <c r="U2373" s="83">
        <f t="shared" si="725"/>
        <v>0.328125</v>
      </c>
      <c r="W2373" s="146">
        <v>45841</v>
      </c>
      <c r="X2373" s="147">
        <v>9.2</v>
      </c>
      <c r="Y2373" s="147">
        <v>4.7</v>
      </c>
      <c r="Z2373" s="158">
        <v>6.095</v>
      </c>
      <c r="AA2373" s="59" cm="1">
        <f t="array" ref="AA2373">INDEX($BX$29:$BX$1449,MATCH($D2373,$BR$29:$BR$1449,0),)</f>
        <v>5.25</v>
      </c>
      <c r="AB2373" s="150">
        <f t="shared" si="714"/>
        <v>0</v>
      </c>
      <c r="AC2373" s="150">
        <f t="shared" si="717"/>
        <v>0.00793782040681323</v>
      </c>
      <c r="AD2373" s="150">
        <f t="shared" si="720"/>
        <v>0.0248864973936438</v>
      </c>
      <c r="AE2373" s="89">
        <f t="shared" si="715"/>
        <v>0.160952380952381</v>
      </c>
    </row>
    <row r="2374" spans="3:31">
      <c r="C2374" s="80" t="str" cm="1">
        <f t="array" ref="C2374">_xlfn.IFS(MONTH(D2374)&lt;4,1,MONTH(D2374)&lt;7,2,MONTH(D2374)&lt;10,3,MONTH(D2374)&gt;9,4)&amp;"Q"&amp;RIGHT(YEAR(D2374),2)</f>
        <v>3Q25</v>
      </c>
      <c r="D2374" s="81">
        <f t="shared" si="719"/>
        <v>45869</v>
      </c>
      <c r="E2374" s="82">
        <f t="shared" si="711"/>
        <v>45842</v>
      </c>
      <c r="F2374" s="83">
        <f t="shared" si="726"/>
        <v>0.628125</v>
      </c>
      <c r="G2374" s="83">
        <f t="shared" si="726"/>
        <v>0.4875</v>
      </c>
      <c r="I2374" s="146">
        <v>45842</v>
      </c>
      <c r="J2374" s="147">
        <v>8.1</v>
      </c>
      <c r="K2374" s="147">
        <v>2.9</v>
      </c>
      <c r="L2374" s="158">
        <v>5.025</v>
      </c>
      <c r="M2374" s="59" cm="1">
        <f t="array" ref="M2374">INDEX($BV$29:$BV$1449,MATCH($D2374,$BR$29:$BR$1449,0),)</f>
        <v>3.9</v>
      </c>
      <c r="N2374" s="150">
        <f t="shared" si="723"/>
        <v>-0.00258038904327107</v>
      </c>
      <c r="O2374" s="150">
        <f t="shared" si="724"/>
        <v>-0.00985221674876846</v>
      </c>
      <c r="P2374" s="150">
        <f t="shared" si="710"/>
        <v>-0.0242718446601942</v>
      </c>
      <c r="Q2374" s="89">
        <f t="shared" si="712"/>
        <v>0.288461538461539</v>
      </c>
      <c r="S2374" s="82">
        <f t="shared" si="713"/>
        <v>45842</v>
      </c>
      <c r="T2374" s="83">
        <f t="shared" si="725"/>
        <v>0.3809375</v>
      </c>
      <c r="U2374" s="83">
        <f t="shared" si="725"/>
        <v>0.328125</v>
      </c>
      <c r="W2374" s="146">
        <v>45842</v>
      </c>
      <c r="X2374" s="147">
        <v>9.2</v>
      </c>
      <c r="Y2374" s="147">
        <v>4.7</v>
      </c>
      <c r="Z2374" s="158">
        <v>6.095</v>
      </c>
      <c r="AA2374" s="59" cm="1">
        <f t="array" ref="AA2374">INDEX($BX$29:$BX$1449,MATCH($D2374,$BR$29:$BR$1449,0),)</f>
        <v>5.25</v>
      </c>
      <c r="AB2374" s="150">
        <f t="shared" si="714"/>
        <v>0</v>
      </c>
      <c r="AC2374" s="150">
        <f t="shared" si="717"/>
        <v>0.00544374793797409</v>
      </c>
      <c r="AD2374" s="150">
        <f t="shared" si="720"/>
        <v>0.0134685733288991</v>
      </c>
      <c r="AE2374" s="89">
        <f t="shared" si="715"/>
        <v>0.160952380952381</v>
      </c>
    </row>
    <row r="2375" spans="3:31">
      <c r="C2375" s="80" t="str" cm="1">
        <f t="array" ref="C2375">_xlfn.IFS(MONTH(D2375)&lt;4,1,MONTH(D2375)&lt;7,2,MONTH(D2375)&lt;10,3,MONTH(D2375)&gt;9,4)&amp;"Q"&amp;RIGHT(YEAR(D2375),2)</f>
        <v>3Q25</v>
      </c>
      <c r="D2375" s="81">
        <f t="shared" si="719"/>
        <v>45869</v>
      </c>
      <c r="E2375" s="82">
        <f t="shared" si="711"/>
        <v>45845</v>
      </c>
      <c r="F2375" s="83">
        <f t="shared" si="726"/>
        <v>0.6275</v>
      </c>
      <c r="G2375" s="83">
        <f t="shared" si="726"/>
        <v>0.4875</v>
      </c>
      <c r="I2375" s="146">
        <v>45845</v>
      </c>
      <c r="J2375" s="147">
        <v>8.05</v>
      </c>
      <c r="K2375" s="147">
        <v>2.88</v>
      </c>
      <c r="L2375" s="158">
        <v>5.02</v>
      </c>
      <c r="M2375" s="59" cm="1">
        <f t="array" ref="M2375">INDEX($BV$29:$BV$1449,MATCH($D2375,$BR$29:$BR$1449,0),)</f>
        <v>3.9</v>
      </c>
      <c r="N2375" s="150">
        <f t="shared" si="723"/>
        <v>-0.000995024875622086</v>
      </c>
      <c r="O2375" s="150">
        <f t="shared" si="724"/>
        <v>-0.0108374384236455</v>
      </c>
      <c r="P2375" s="150">
        <f t="shared" si="710"/>
        <v>-0.0346153846153847</v>
      </c>
      <c r="Q2375" s="89">
        <f t="shared" si="712"/>
        <v>0.287179487179487</v>
      </c>
      <c r="S2375" s="82">
        <f t="shared" si="713"/>
        <v>45845</v>
      </c>
      <c r="T2375" s="83">
        <f t="shared" si="725"/>
        <v>0.3809375</v>
      </c>
      <c r="U2375" s="83">
        <f t="shared" si="725"/>
        <v>0.328125</v>
      </c>
      <c r="W2375" s="146">
        <v>45845</v>
      </c>
      <c r="X2375" s="147">
        <v>9.2</v>
      </c>
      <c r="Y2375" s="147">
        <v>4.7</v>
      </c>
      <c r="Z2375" s="158">
        <v>6.095</v>
      </c>
      <c r="AA2375" s="59" cm="1">
        <f t="array" ref="AA2375">INDEX($BX$29:$BX$1449,MATCH($D2375,$BR$29:$BR$1449,0),)</f>
        <v>5.25</v>
      </c>
      <c r="AB2375" s="150">
        <f t="shared" si="714"/>
        <v>0</v>
      </c>
      <c r="AC2375" s="150">
        <f t="shared" si="717"/>
        <v>0.0027969726883843</v>
      </c>
      <c r="AD2375" s="150">
        <f t="shared" si="720"/>
        <v>0.0134685733288991</v>
      </c>
      <c r="AE2375" s="89">
        <f t="shared" si="715"/>
        <v>0.160952380952381</v>
      </c>
    </row>
    <row r="2376" spans="3:31">
      <c r="C2376" s="80" t="str" cm="1">
        <f t="array" ref="C2376">_xlfn.IFS(MONTH(D2376)&lt;4,1,MONTH(D2376)&lt;7,2,MONTH(D2376)&lt;10,3,MONTH(D2376)&gt;9,4)&amp;"Q"&amp;RIGHT(YEAR(D2376),2)</f>
        <v>3Q25</v>
      </c>
      <c r="D2376" s="81">
        <f t="shared" si="719"/>
        <v>45869</v>
      </c>
      <c r="E2376" s="82">
        <f t="shared" si="711"/>
        <v>45846</v>
      </c>
      <c r="F2376" s="83">
        <f t="shared" si="726"/>
        <v>0.625375</v>
      </c>
      <c r="G2376" s="83">
        <f t="shared" si="726"/>
        <v>0.4875</v>
      </c>
      <c r="I2376" s="146">
        <v>45846</v>
      </c>
      <c r="J2376" s="147">
        <v>8.05</v>
      </c>
      <c r="K2376" s="147">
        <v>2.88</v>
      </c>
      <c r="L2376" s="158">
        <v>5.003</v>
      </c>
      <c r="M2376" s="59" cm="1">
        <f t="array" ref="M2376">INDEX($BV$29:$BV$1449,MATCH($D2376,$BR$29:$BR$1449,0),)</f>
        <v>3.9</v>
      </c>
      <c r="N2376" s="150">
        <f t="shared" si="723"/>
        <v>-0.00338645418326677</v>
      </c>
      <c r="O2376" s="150">
        <f t="shared" si="724"/>
        <v>-0.0137985412970629</v>
      </c>
      <c r="P2376" s="150">
        <f t="shared" si="710"/>
        <v>-0.0294859359844811</v>
      </c>
      <c r="Q2376" s="89">
        <f t="shared" si="712"/>
        <v>0.282820512820513</v>
      </c>
      <c r="S2376" s="82">
        <f t="shared" si="713"/>
        <v>45846</v>
      </c>
      <c r="T2376" s="83">
        <f t="shared" ref="T2376:U2391" si="727">+Z2376/16</f>
        <v>0.3799375</v>
      </c>
      <c r="U2376" s="83">
        <f t="shared" si="727"/>
        <v>0.328125</v>
      </c>
      <c r="W2376" s="146">
        <v>45846</v>
      </c>
      <c r="X2376" s="147">
        <v>9.2</v>
      </c>
      <c r="Y2376" s="147">
        <v>4.65</v>
      </c>
      <c r="Z2376" s="158">
        <v>6.079</v>
      </c>
      <c r="AA2376" s="59" cm="1">
        <f t="array" ref="AA2376">INDEX($BX$29:$BX$1449,MATCH($D2376,$BR$29:$BR$1449,0),)</f>
        <v>5.25</v>
      </c>
      <c r="AB2376" s="150">
        <f t="shared" si="714"/>
        <v>-0.00262510254306814</v>
      </c>
      <c r="AC2376" s="150">
        <f t="shared" si="717"/>
        <v>0.000164527805198933</v>
      </c>
      <c r="AD2376" s="150">
        <f t="shared" si="720"/>
        <v>0.00429539071534779</v>
      </c>
      <c r="AE2376" s="89">
        <f t="shared" si="715"/>
        <v>0.157904761904762</v>
      </c>
    </row>
    <row r="2377" spans="3:31">
      <c r="C2377" s="80" t="str" cm="1">
        <f t="array" ref="C2377">_xlfn.IFS(MONTH(D2377)&lt;4,1,MONTH(D2377)&lt;7,2,MONTH(D2377)&lt;10,3,MONTH(D2377)&gt;9,4)&amp;"Q"&amp;RIGHT(YEAR(D2377),2)</f>
        <v>3Q25</v>
      </c>
      <c r="D2377" s="81">
        <f t="shared" si="719"/>
        <v>45869</v>
      </c>
      <c r="E2377" s="82">
        <f t="shared" si="711"/>
        <v>45847</v>
      </c>
      <c r="F2377" s="83">
        <f t="shared" si="726"/>
        <v>0.62125</v>
      </c>
      <c r="G2377" s="83">
        <f t="shared" si="726"/>
        <v>0.4875</v>
      </c>
      <c r="I2377" s="146">
        <v>45847</v>
      </c>
      <c r="J2377" s="147">
        <v>8.05</v>
      </c>
      <c r="K2377" s="147">
        <v>2.88</v>
      </c>
      <c r="L2377" s="158">
        <v>4.97</v>
      </c>
      <c r="M2377" s="59" cm="1">
        <f t="array" ref="M2377">INDEX($BV$29:$BV$1449,MATCH($D2377,$BR$29:$BR$1449,0),)</f>
        <v>3.9</v>
      </c>
      <c r="N2377" s="150">
        <f t="shared" si="723"/>
        <v>-0.00659604237457534</v>
      </c>
      <c r="O2377" s="150">
        <f t="shared" si="724"/>
        <v>-0.0173981810992487</v>
      </c>
      <c r="P2377" s="150">
        <f t="shared" si="710"/>
        <v>-0.0355132932272463</v>
      </c>
      <c r="Q2377" s="89">
        <f t="shared" si="712"/>
        <v>0.274358974358974</v>
      </c>
      <c r="S2377" s="82">
        <f t="shared" si="713"/>
        <v>45847</v>
      </c>
      <c r="T2377" s="83">
        <f t="shared" si="727"/>
        <v>0.3795</v>
      </c>
      <c r="U2377" s="83">
        <f t="shared" si="727"/>
        <v>0.328125</v>
      </c>
      <c r="W2377" s="146">
        <v>45847</v>
      </c>
      <c r="X2377" s="147">
        <v>9.15</v>
      </c>
      <c r="Y2377" s="147">
        <v>4.65</v>
      </c>
      <c r="Z2377" s="158">
        <v>6.072</v>
      </c>
      <c r="AA2377" s="59" cm="1">
        <f t="array" ref="AA2377">INDEX($BX$29:$BX$1449,MATCH($D2377,$BR$29:$BR$1449,0),)</f>
        <v>5.25</v>
      </c>
      <c r="AB2377" s="150">
        <f t="shared" si="714"/>
        <v>-0.00115150518177332</v>
      </c>
      <c r="AC2377" s="150">
        <f t="shared" si="717"/>
        <v>-0.00377358490566038</v>
      </c>
      <c r="AD2377" s="150">
        <f t="shared" si="720"/>
        <v>0.00313893936890808</v>
      </c>
      <c r="AE2377" s="89">
        <f t="shared" si="715"/>
        <v>0.156571428571429</v>
      </c>
    </row>
    <row r="2378" spans="3:31">
      <c r="C2378" s="80" t="str" cm="1">
        <f t="array" ref="C2378">_xlfn.IFS(MONTH(D2378)&lt;4,1,MONTH(D2378)&lt;7,2,MONTH(D2378)&lt;10,3,MONTH(D2378)&gt;9,4)&amp;"Q"&amp;RIGHT(YEAR(D2378),2)</f>
        <v>3Q25</v>
      </c>
      <c r="D2378" s="81">
        <f t="shared" si="719"/>
        <v>45869</v>
      </c>
      <c r="E2378" s="82">
        <f t="shared" si="711"/>
        <v>45848</v>
      </c>
      <c r="F2378" s="83">
        <f t="shared" ref="F2378:G2393" si="728">+L2378/8</f>
        <v>0.621875</v>
      </c>
      <c r="G2378" s="83">
        <f t="shared" si="728"/>
        <v>0.4875</v>
      </c>
      <c r="I2378" s="146">
        <v>45848</v>
      </c>
      <c r="J2378" s="147">
        <v>8.05</v>
      </c>
      <c r="K2378" s="147">
        <v>3</v>
      </c>
      <c r="L2378" s="158">
        <v>4.975</v>
      </c>
      <c r="M2378" s="59" cm="1">
        <f t="array" ref="M2378">INDEX($BV$29:$BV$1449,MATCH($D2378,$BR$29:$BR$1449,0),)</f>
        <v>3.9</v>
      </c>
      <c r="N2378" s="150">
        <f t="shared" si="723"/>
        <v>0.00100603621730389</v>
      </c>
      <c r="O2378" s="150">
        <f t="shared" si="724"/>
        <v>-0.0125049622866218</v>
      </c>
      <c r="P2378" s="150">
        <f t="shared" si="710"/>
        <v>-0.0245098039215687</v>
      </c>
      <c r="Q2378" s="89">
        <f t="shared" si="712"/>
        <v>0.275641025641026</v>
      </c>
      <c r="S2378" s="82">
        <f t="shared" si="713"/>
        <v>45848</v>
      </c>
      <c r="T2378" s="83">
        <f t="shared" si="727"/>
        <v>0.379125</v>
      </c>
      <c r="U2378" s="83">
        <f t="shared" si="727"/>
        <v>0.328125</v>
      </c>
      <c r="W2378" s="146">
        <v>45848</v>
      </c>
      <c r="X2378" s="147">
        <v>9.15</v>
      </c>
      <c r="Y2378" s="147">
        <v>4.65</v>
      </c>
      <c r="Z2378" s="158">
        <v>6.066</v>
      </c>
      <c r="AA2378" s="59" cm="1">
        <f t="array" ref="AA2378">INDEX($BX$29:$BX$1449,MATCH($D2378,$BR$29:$BR$1449,0),)</f>
        <v>5.25</v>
      </c>
      <c r="AB2378" s="150">
        <f t="shared" si="714"/>
        <v>-0.000988142292490113</v>
      </c>
      <c r="AC2378" s="150">
        <f t="shared" si="717"/>
        <v>-0.0047579983593109</v>
      </c>
      <c r="AD2378" s="150">
        <f t="shared" si="720"/>
        <v>0.00314205391103028</v>
      </c>
      <c r="AE2378" s="89">
        <f t="shared" si="715"/>
        <v>0.155428571428571</v>
      </c>
    </row>
    <row r="2379" spans="3:31">
      <c r="C2379" s="80" t="str" cm="1">
        <f t="array" ref="C2379">_xlfn.IFS(MONTH(D2379)&lt;4,1,MONTH(D2379)&lt;7,2,MONTH(D2379)&lt;10,3,MONTH(D2379)&gt;9,4)&amp;"Q"&amp;RIGHT(YEAR(D2379),2)</f>
        <v>3Q25</v>
      </c>
      <c r="D2379" s="81">
        <f t="shared" si="719"/>
        <v>45869</v>
      </c>
      <c r="E2379" s="82">
        <f t="shared" si="711"/>
        <v>45849</v>
      </c>
      <c r="F2379" s="83">
        <f t="shared" si="728"/>
        <v>0.621</v>
      </c>
      <c r="G2379" s="83">
        <f t="shared" si="728"/>
        <v>0.4875</v>
      </c>
      <c r="I2379" s="146">
        <v>45849</v>
      </c>
      <c r="J2379" s="147">
        <v>8.05</v>
      </c>
      <c r="K2379" s="147">
        <v>3</v>
      </c>
      <c r="L2379" s="158">
        <v>4.968</v>
      </c>
      <c r="M2379" s="59" cm="1">
        <f t="array" ref="M2379">INDEX($BV$29:$BV$1449,MATCH($D2379,$BR$29:$BR$1449,0),)</f>
        <v>3.9</v>
      </c>
      <c r="N2379" s="150">
        <f t="shared" si="723"/>
        <v>-0.00140703517587937</v>
      </c>
      <c r="O2379" s="150">
        <f t="shared" si="724"/>
        <v>-0.0113432835820896</v>
      </c>
      <c r="P2379" s="150">
        <f t="shared" si="710"/>
        <v>-0.0210837438423646</v>
      </c>
      <c r="Q2379" s="89">
        <f t="shared" si="712"/>
        <v>0.273846153846154</v>
      </c>
      <c r="S2379" s="82">
        <f t="shared" si="713"/>
        <v>45849</v>
      </c>
      <c r="T2379" s="83">
        <f t="shared" si="727"/>
        <v>0.379125</v>
      </c>
      <c r="U2379" s="83">
        <f t="shared" si="727"/>
        <v>0.328125</v>
      </c>
      <c r="W2379" s="146">
        <v>45849</v>
      </c>
      <c r="X2379" s="147">
        <v>9.15</v>
      </c>
      <c r="Y2379" s="147">
        <v>4.65</v>
      </c>
      <c r="Z2379" s="158">
        <v>6.066</v>
      </c>
      <c r="AA2379" s="59" cm="1">
        <f t="array" ref="AA2379">INDEX($BX$29:$BX$1449,MATCH($D2379,$BR$29:$BR$1449,0),)</f>
        <v>5.25</v>
      </c>
      <c r="AB2379" s="150">
        <f t="shared" si="714"/>
        <v>0</v>
      </c>
      <c r="AC2379" s="150">
        <f t="shared" si="717"/>
        <v>-0.0047579983593109</v>
      </c>
      <c r="AD2379" s="150">
        <f t="shared" si="720"/>
        <v>0.000659848234905835</v>
      </c>
      <c r="AE2379" s="89">
        <f t="shared" si="715"/>
        <v>0.155428571428571</v>
      </c>
    </row>
    <row r="2380" spans="3:31">
      <c r="C2380" s="80" t="str" cm="1">
        <f t="array" ref="C2380">_xlfn.IFS(MONTH(D2380)&lt;4,1,MONTH(D2380)&lt;7,2,MONTH(D2380)&lt;10,3,MONTH(D2380)&gt;9,4)&amp;"Q"&amp;RIGHT(YEAR(D2380),2)</f>
        <v>3Q25</v>
      </c>
      <c r="D2380" s="81">
        <f t="shared" si="719"/>
        <v>45869</v>
      </c>
      <c r="E2380" s="82">
        <f t="shared" si="711"/>
        <v>45852</v>
      </c>
      <c r="F2380" s="83">
        <f t="shared" si="728"/>
        <v>0.62</v>
      </c>
      <c r="G2380" s="83">
        <f t="shared" si="728"/>
        <v>0.4875</v>
      </c>
      <c r="I2380" s="146">
        <v>45852</v>
      </c>
      <c r="J2380" s="147">
        <v>8.05</v>
      </c>
      <c r="K2380" s="147">
        <v>3.05</v>
      </c>
      <c r="L2380" s="158">
        <v>4.96</v>
      </c>
      <c r="M2380" s="59" cm="1">
        <f t="array" ref="M2380">INDEX($BV$29:$BV$1449,MATCH($D2380,$BR$29:$BR$1449,0),)</f>
        <v>3.9</v>
      </c>
      <c r="N2380" s="150">
        <f t="shared" si="723"/>
        <v>-0.00161030595813205</v>
      </c>
      <c r="O2380" s="150">
        <f t="shared" si="724"/>
        <v>-0.0119521912350596</v>
      </c>
      <c r="P2380" s="150">
        <f t="shared" si="710"/>
        <v>-0.0226600985221675</v>
      </c>
      <c r="Q2380" s="89">
        <f t="shared" si="712"/>
        <v>0.271794871794872</v>
      </c>
      <c r="S2380" s="82">
        <f t="shared" si="713"/>
        <v>45852</v>
      </c>
      <c r="T2380" s="83">
        <f t="shared" si="727"/>
        <v>0.379125</v>
      </c>
      <c r="U2380" s="83">
        <f t="shared" si="727"/>
        <v>0.328125</v>
      </c>
      <c r="W2380" s="146">
        <v>45852</v>
      </c>
      <c r="X2380" s="147">
        <v>9.15</v>
      </c>
      <c r="Y2380" s="147">
        <v>4.65</v>
      </c>
      <c r="Z2380" s="158">
        <v>6.066</v>
      </c>
      <c r="AA2380" s="59" cm="1">
        <f t="array" ref="AA2380">INDEX($BX$29:$BX$1449,MATCH($D2380,$BR$29:$BR$1449,0),)</f>
        <v>5.25</v>
      </c>
      <c r="AB2380" s="150">
        <f t="shared" si="714"/>
        <v>0</v>
      </c>
      <c r="AC2380" s="150">
        <f t="shared" si="717"/>
        <v>-0.0047579983593109</v>
      </c>
      <c r="AD2380" s="150">
        <f t="shared" si="720"/>
        <v>-0.00197433366238897</v>
      </c>
      <c r="AE2380" s="89">
        <f t="shared" si="715"/>
        <v>0.155428571428571</v>
      </c>
    </row>
    <row r="2381" spans="3:31">
      <c r="C2381" s="80" t="str" cm="1">
        <f t="array" ref="C2381">_xlfn.IFS(MONTH(D2381)&lt;4,1,MONTH(D2381)&lt;7,2,MONTH(D2381)&lt;10,3,MONTH(D2381)&gt;9,4)&amp;"Q"&amp;RIGHT(YEAR(D2381),2)</f>
        <v>3Q25</v>
      </c>
      <c r="D2381" s="81">
        <f t="shared" si="719"/>
        <v>45869</v>
      </c>
      <c r="E2381" s="82">
        <f t="shared" si="711"/>
        <v>45853</v>
      </c>
      <c r="F2381" s="83">
        <f t="shared" si="728"/>
        <v>0.627875</v>
      </c>
      <c r="G2381" s="83">
        <f t="shared" si="728"/>
        <v>0.4875</v>
      </c>
      <c r="I2381" s="146">
        <v>45853</v>
      </c>
      <c r="J2381" s="147">
        <v>8.05</v>
      </c>
      <c r="K2381" s="147">
        <v>3.1</v>
      </c>
      <c r="L2381" s="158">
        <v>5.023</v>
      </c>
      <c r="M2381" s="59" cm="1">
        <f t="array" ref="M2381">INDEX($BV$29:$BV$1449,MATCH($D2381,$BR$29:$BR$1449,0),)</f>
        <v>3.9</v>
      </c>
      <c r="N2381" s="150">
        <f t="shared" si="723"/>
        <v>0.0127016129032258</v>
      </c>
      <c r="O2381" s="150">
        <f t="shared" si="724"/>
        <v>0.00399760143913652</v>
      </c>
      <c r="P2381" s="150">
        <f t="shared" si="710"/>
        <v>-0.0098561009264736</v>
      </c>
      <c r="Q2381" s="89">
        <f t="shared" si="712"/>
        <v>0.287948717948718</v>
      </c>
      <c r="S2381" s="82">
        <f t="shared" si="713"/>
        <v>45853</v>
      </c>
      <c r="T2381" s="83">
        <f t="shared" si="727"/>
        <v>0.3789375</v>
      </c>
      <c r="U2381" s="83">
        <f t="shared" si="727"/>
        <v>0.328125</v>
      </c>
      <c r="W2381" s="146">
        <v>45853</v>
      </c>
      <c r="X2381" s="147">
        <v>9.15</v>
      </c>
      <c r="Y2381" s="147">
        <v>4.65</v>
      </c>
      <c r="Z2381" s="158">
        <v>6.063</v>
      </c>
      <c r="AA2381" s="59" cm="1">
        <f t="array" ref="AA2381">INDEX($BX$29:$BX$1449,MATCH($D2381,$BR$29:$BR$1449,0),)</f>
        <v>5.25</v>
      </c>
      <c r="AB2381" s="150">
        <f t="shared" si="714"/>
        <v>-0.000494559841740849</v>
      </c>
      <c r="AC2381" s="150">
        <f t="shared" si="717"/>
        <v>-0.00263201184405326</v>
      </c>
      <c r="AD2381" s="150">
        <f t="shared" si="720"/>
        <v>-0.00246791707798633</v>
      </c>
      <c r="AE2381" s="89">
        <f t="shared" si="715"/>
        <v>0.154857142857143</v>
      </c>
    </row>
    <row r="2382" spans="3:31">
      <c r="C2382" s="80" t="str" cm="1">
        <f t="array" ref="C2382">_xlfn.IFS(MONTH(D2382)&lt;4,1,MONTH(D2382)&lt;7,2,MONTH(D2382)&lt;10,3,MONTH(D2382)&gt;9,4)&amp;"Q"&amp;RIGHT(YEAR(D2382),2)</f>
        <v>3Q25</v>
      </c>
      <c r="D2382" s="81">
        <f t="shared" si="719"/>
        <v>45869</v>
      </c>
      <c r="E2382" s="82">
        <f t="shared" si="711"/>
        <v>45854</v>
      </c>
      <c r="F2382" s="83">
        <f t="shared" si="728"/>
        <v>0.635625</v>
      </c>
      <c r="G2382" s="83">
        <f t="shared" si="728"/>
        <v>0.4875</v>
      </c>
      <c r="I2382" s="146">
        <v>45854</v>
      </c>
      <c r="J2382" s="147">
        <v>8.05</v>
      </c>
      <c r="K2382" s="147">
        <v>3.15</v>
      </c>
      <c r="L2382" s="158">
        <v>5.085</v>
      </c>
      <c r="M2382" s="59" cm="1">
        <f t="array" ref="M2382">INDEX($BV$29:$BV$1449,MATCH($D2382,$BR$29:$BR$1449,0),)</f>
        <v>3.9</v>
      </c>
      <c r="N2382" s="150">
        <f t="shared" si="723"/>
        <v>0.0123432211825603</v>
      </c>
      <c r="O2382" s="150">
        <f t="shared" si="724"/>
        <v>0.023138832997988</v>
      </c>
      <c r="P2382" s="150">
        <f t="shared" si="710"/>
        <v>0.00533807829181487</v>
      </c>
      <c r="Q2382" s="89">
        <f t="shared" si="712"/>
        <v>0.303846153846154</v>
      </c>
      <c r="S2382" s="82">
        <f t="shared" si="713"/>
        <v>45854</v>
      </c>
      <c r="T2382" s="83">
        <f t="shared" si="727"/>
        <v>0.3789375</v>
      </c>
      <c r="U2382" s="83">
        <f t="shared" si="727"/>
        <v>0.328125</v>
      </c>
      <c r="W2382" s="146">
        <v>45854</v>
      </c>
      <c r="X2382" s="147">
        <v>9.15</v>
      </c>
      <c r="Y2382" s="147">
        <v>4.65</v>
      </c>
      <c r="Z2382" s="158">
        <v>6.063</v>
      </c>
      <c r="AA2382" s="59" cm="1">
        <f t="array" ref="AA2382">INDEX($BX$29:$BX$1449,MATCH($D2382,$BR$29:$BR$1449,0),)</f>
        <v>5.25</v>
      </c>
      <c r="AB2382" s="150">
        <f t="shared" si="714"/>
        <v>0</v>
      </c>
      <c r="AC2382" s="150">
        <f t="shared" si="717"/>
        <v>-0.00148221343873522</v>
      </c>
      <c r="AD2382" s="150">
        <f t="shared" si="720"/>
        <v>-0.00525020508613616</v>
      </c>
      <c r="AE2382" s="89">
        <f t="shared" si="715"/>
        <v>0.154857142857143</v>
      </c>
    </row>
    <row r="2383" spans="3:31">
      <c r="C2383" s="80" t="str" cm="1">
        <f t="array" ref="C2383">_xlfn.IFS(MONTH(D2383)&lt;4,1,MONTH(D2383)&lt;7,2,MONTH(D2383)&lt;10,3,MONTH(D2383)&gt;9,4)&amp;"Q"&amp;RIGHT(YEAR(D2383),2)</f>
        <v>3Q25</v>
      </c>
      <c r="D2383" s="81">
        <f t="shared" si="719"/>
        <v>45869</v>
      </c>
      <c r="E2383" s="82">
        <f t="shared" si="711"/>
        <v>45855</v>
      </c>
      <c r="F2383" s="83">
        <f t="shared" si="728"/>
        <v>0.641625</v>
      </c>
      <c r="G2383" s="83">
        <f t="shared" si="728"/>
        <v>0.4875</v>
      </c>
      <c r="I2383" s="146">
        <v>45855</v>
      </c>
      <c r="J2383" s="147">
        <v>8.1</v>
      </c>
      <c r="K2383" s="147">
        <v>3.15</v>
      </c>
      <c r="L2383" s="158">
        <v>5.133</v>
      </c>
      <c r="M2383" s="59" cm="1">
        <f t="array" ref="M2383">INDEX($BV$29:$BV$1449,MATCH($D2383,$BR$29:$BR$1449,0),)</f>
        <v>3.9</v>
      </c>
      <c r="N2383" s="150">
        <f t="shared" si="723"/>
        <v>0.00943952802359882</v>
      </c>
      <c r="O2383" s="150">
        <f t="shared" si="724"/>
        <v>0.0317587939698494</v>
      </c>
      <c r="P2383" s="150">
        <f t="shared" ref="P2383:P2446" si="729">L2383/L2373-1</f>
        <v>0.018856689162366</v>
      </c>
      <c r="Q2383" s="89">
        <f t="shared" si="712"/>
        <v>0.316153846153846</v>
      </c>
      <c r="S2383" s="82">
        <f t="shared" si="713"/>
        <v>45855</v>
      </c>
      <c r="T2383" s="83">
        <f t="shared" si="727"/>
        <v>0.3818125</v>
      </c>
      <c r="U2383" s="83">
        <f t="shared" si="727"/>
        <v>0.328125</v>
      </c>
      <c r="W2383" s="146">
        <v>45855</v>
      </c>
      <c r="X2383" s="147">
        <v>9.2</v>
      </c>
      <c r="Y2383" s="147">
        <v>4.66</v>
      </c>
      <c r="Z2383" s="158">
        <v>6.109</v>
      </c>
      <c r="AA2383" s="59" cm="1">
        <f t="array" ref="AA2383">INDEX($BX$29:$BX$1449,MATCH($D2383,$BR$29:$BR$1449,0),)</f>
        <v>5.25</v>
      </c>
      <c r="AB2383" s="150">
        <f t="shared" si="714"/>
        <v>0.00758700313376215</v>
      </c>
      <c r="AC2383" s="150">
        <f t="shared" si="717"/>
        <v>0.00708869106495214</v>
      </c>
      <c r="AD2383" s="150">
        <f t="shared" si="720"/>
        <v>0.0022969647251847</v>
      </c>
      <c r="AE2383" s="89">
        <f t="shared" si="715"/>
        <v>0.163619047619048</v>
      </c>
    </row>
    <row r="2384" spans="3:31">
      <c r="C2384" s="80" t="str" cm="1">
        <f t="array" ref="C2384">_xlfn.IFS(MONTH(D2384)&lt;4,1,MONTH(D2384)&lt;7,2,MONTH(D2384)&lt;10,3,MONTH(D2384)&gt;9,4)&amp;"Q"&amp;RIGHT(YEAR(D2384),2)</f>
        <v>3Q25</v>
      </c>
      <c r="D2384" s="81">
        <f t="shared" si="719"/>
        <v>45869</v>
      </c>
      <c r="E2384" s="82">
        <f t="shared" si="711"/>
        <v>45856</v>
      </c>
      <c r="F2384" s="83">
        <f t="shared" si="728"/>
        <v>0.64925</v>
      </c>
      <c r="G2384" s="83">
        <f t="shared" si="728"/>
        <v>0.4875</v>
      </c>
      <c r="I2384" s="146">
        <v>45856</v>
      </c>
      <c r="J2384" s="147">
        <v>8.1</v>
      </c>
      <c r="K2384" s="147">
        <v>3.15</v>
      </c>
      <c r="L2384" s="158">
        <v>5.194</v>
      </c>
      <c r="M2384" s="59" cm="1">
        <f t="array" ref="M2384">INDEX($BV$29:$BV$1449,MATCH($D2384,$BR$29:$BR$1449,0),)</f>
        <v>3.9</v>
      </c>
      <c r="N2384" s="150">
        <f t="shared" si="723"/>
        <v>0.0118838885641925</v>
      </c>
      <c r="O2384" s="150">
        <f t="shared" si="724"/>
        <v>0.0454911433172303</v>
      </c>
      <c r="P2384" s="150">
        <f t="shared" si="729"/>
        <v>0.0336318407960199</v>
      </c>
      <c r="Q2384" s="89">
        <f t="shared" si="712"/>
        <v>0.331794871794872</v>
      </c>
      <c r="S2384" s="82">
        <f t="shared" si="713"/>
        <v>45856</v>
      </c>
      <c r="T2384" s="83">
        <f t="shared" si="727"/>
        <v>0.3818125</v>
      </c>
      <c r="U2384" s="83">
        <f t="shared" si="727"/>
        <v>0.328125</v>
      </c>
      <c r="W2384" s="146">
        <v>45856</v>
      </c>
      <c r="X2384" s="147">
        <v>9.2</v>
      </c>
      <c r="Y2384" s="147">
        <v>4.66</v>
      </c>
      <c r="Z2384" s="158">
        <v>6.109</v>
      </c>
      <c r="AA2384" s="59" cm="1">
        <f t="array" ref="AA2384">INDEX($BX$29:$BX$1449,MATCH($D2384,$BR$29:$BR$1449,0),)</f>
        <v>5.25</v>
      </c>
      <c r="AB2384" s="150">
        <f t="shared" si="714"/>
        <v>0</v>
      </c>
      <c r="AC2384" s="150">
        <f t="shared" si="717"/>
        <v>0.00708869106495214</v>
      </c>
      <c r="AD2384" s="150">
        <f t="shared" si="720"/>
        <v>0.0022969647251847</v>
      </c>
      <c r="AE2384" s="89">
        <f t="shared" si="715"/>
        <v>0.163619047619048</v>
      </c>
    </row>
    <row r="2385" spans="3:31">
      <c r="C2385" s="80" t="str" cm="1">
        <f t="array" ref="C2385">_xlfn.IFS(MONTH(D2385)&lt;4,1,MONTH(D2385)&lt;7,2,MONTH(D2385)&lt;10,3,MONTH(D2385)&gt;9,4)&amp;"Q"&amp;RIGHT(YEAR(D2385),2)</f>
        <v>3Q25</v>
      </c>
      <c r="D2385" s="81">
        <f t="shared" si="719"/>
        <v>45869</v>
      </c>
      <c r="E2385" s="82">
        <f t="shared" ref="E2385:E2448" si="730">I2385</f>
        <v>45859</v>
      </c>
      <c r="F2385" s="83">
        <f t="shared" si="728"/>
        <v>0.650375</v>
      </c>
      <c r="G2385" s="83">
        <f t="shared" si="728"/>
        <v>0.4875</v>
      </c>
      <c r="I2385" s="146">
        <v>45859</v>
      </c>
      <c r="J2385" s="147">
        <v>8.1</v>
      </c>
      <c r="K2385" s="147">
        <v>3.15</v>
      </c>
      <c r="L2385" s="158">
        <v>5.203</v>
      </c>
      <c r="M2385" s="59" cm="1">
        <f t="array" ref="M2385">INDEX($BV$29:$BV$1449,MATCH($D2385,$BR$29:$BR$1449,0),)</f>
        <v>3.9</v>
      </c>
      <c r="N2385" s="150">
        <f t="shared" si="723"/>
        <v>0.00173276857912974</v>
      </c>
      <c r="O2385" s="150">
        <f t="shared" si="724"/>
        <v>0.048991935483871</v>
      </c>
      <c r="P2385" s="150">
        <f t="shared" si="729"/>
        <v>0.0364541832669325</v>
      </c>
      <c r="Q2385" s="89">
        <f t="shared" ref="Q2385:Q2448" si="731">L2385/M2385-1</f>
        <v>0.334102564102564</v>
      </c>
      <c r="S2385" s="82">
        <f t="shared" si="713"/>
        <v>45859</v>
      </c>
      <c r="T2385" s="83">
        <f t="shared" si="727"/>
        <v>0.386625</v>
      </c>
      <c r="U2385" s="83">
        <f t="shared" si="727"/>
        <v>0.328125</v>
      </c>
      <c r="W2385" s="146">
        <v>45859</v>
      </c>
      <c r="X2385" s="147">
        <v>9.3</v>
      </c>
      <c r="Y2385" s="147">
        <v>4.66</v>
      </c>
      <c r="Z2385" s="158">
        <v>6.186</v>
      </c>
      <c r="AA2385" s="59" cm="1">
        <f t="array" ref="AA2385">INDEX($BX$29:$BX$1449,MATCH($D2385,$BR$29:$BR$1449,0),)</f>
        <v>5.25</v>
      </c>
      <c r="AB2385" s="150">
        <f t="shared" si="714"/>
        <v>0.0126043542314618</v>
      </c>
      <c r="AC2385" s="150">
        <f t="shared" si="717"/>
        <v>0.019782393669634</v>
      </c>
      <c r="AD2385" s="150">
        <f t="shared" si="720"/>
        <v>0.0149302707136998</v>
      </c>
      <c r="AE2385" s="89">
        <f t="shared" si="715"/>
        <v>0.178285714285714</v>
      </c>
    </row>
    <row r="2386" spans="3:31">
      <c r="C2386" s="80" t="str" cm="1">
        <f t="array" ref="C2386">_xlfn.IFS(MONTH(D2386)&lt;4,1,MONTH(D2386)&lt;7,2,MONTH(D2386)&lt;10,3,MONTH(D2386)&gt;9,4)&amp;"Q"&amp;RIGHT(YEAR(D2386),2)</f>
        <v>3Q25</v>
      </c>
      <c r="D2386" s="81">
        <f t="shared" si="719"/>
        <v>45869</v>
      </c>
      <c r="E2386" s="82">
        <f t="shared" si="730"/>
        <v>45860</v>
      </c>
      <c r="F2386" s="83">
        <f t="shared" si="728"/>
        <v>0.652</v>
      </c>
      <c r="G2386" s="83">
        <f t="shared" si="728"/>
        <v>0.4875</v>
      </c>
      <c r="I2386" s="146">
        <v>45860</v>
      </c>
      <c r="J2386" s="147">
        <v>8.1</v>
      </c>
      <c r="K2386" s="147">
        <v>3.2</v>
      </c>
      <c r="L2386" s="158">
        <v>5.216</v>
      </c>
      <c r="M2386" s="59" cm="1">
        <f t="array" ref="M2386">INDEX($BV$29:$BV$1449,MATCH($D2386,$BR$29:$BR$1449,0),)</f>
        <v>3.9</v>
      </c>
      <c r="N2386" s="150">
        <f t="shared" si="723"/>
        <v>0.00249855852392855</v>
      </c>
      <c r="O2386" s="150">
        <f t="shared" si="724"/>
        <v>0.0384232530360344</v>
      </c>
      <c r="P2386" s="150">
        <f t="shared" si="729"/>
        <v>0.0425744553268039</v>
      </c>
      <c r="Q2386" s="89">
        <f t="shared" si="731"/>
        <v>0.337435897435898</v>
      </c>
      <c r="S2386" s="82">
        <f t="shared" si="713"/>
        <v>45860</v>
      </c>
      <c r="T2386" s="83">
        <f t="shared" si="727"/>
        <v>0.387625</v>
      </c>
      <c r="U2386" s="83">
        <f t="shared" si="727"/>
        <v>0.328125</v>
      </c>
      <c r="W2386" s="146">
        <v>45860</v>
      </c>
      <c r="X2386" s="147">
        <v>9.3</v>
      </c>
      <c r="Y2386" s="147">
        <v>4.7</v>
      </c>
      <c r="Z2386" s="158">
        <v>6.202</v>
      </c>
      <c r="AA2386" s="59" cm="1">
        <f t="array" ref="AA2386">INDEX($BX$29:$BX$1449,MATCH($D2386,$BR$29:$BR$1449,0),)</f>
        <v>5.25</v>
      </c>
      <c r="AB2386" s="150">
        <f t="shared" si="714"/>
        <v>0.00258648561267383</v>
      </c>
      <c r="AC2386" s="150">
        <f t="shared" si="717"/>
        <v>0.0229259442520204</v>
      </c>
      <c r="AD2386" s="150">
        <f t="shared" si="720"/>
        <v>0.0202335910511597</v>
      </c>
      <c r="AE2386" s="89">
        <f t="shared" si="715"/>
        <v>0.181333333333333</v>
      </c>
    </row>
    <row r="2387" spans="3:31">
      <c r="C2387" s="80" t="str" cm="1">
        <f t="array" ref="C2387">_xlfn.IFS(MONTH(D2387)&lt;4,1,MONTH(D2387)&lt;7,2,MONTH(D2387)&lt;10,3,MONTH(D2387)&gt;9,4)&amp;"Q"&amp;RIGHT(YEAR(D2387),2)</f>
        <v>3Q25</v>
      </c>
      <c r="D2387" s="81">
        <f t="shared" si="719"/>
        <v>45869</v>
      </c>
      <c r="E2387" s="82">
        <f t="shared" si="730"/>
        <v>45861</v>
      </c>
      <c r="F2387" s="83">
        <f t="shared" si="728"/>
        <v>0.65275</v>
      </c>
      <c r="G2387" s="83">
        <f t="shared" si="728"/>
        <v>0.4875</v>
      </c>
      <c r="I2387" s="146">
        <v>45861</v>
      </c>
      <c r="J2387" s="147">
        <v>8.15</v>
      </c>
      <c r="K2387" s="147">
        <v>3.22</v>
      </c>
      <c r="L2387" s="158">
        <v>5.222</v>
      </c>
      <c r="M2387" s="59" cm="1">
        <f t="array" ref="M2387">INDEX($BV$29:$BV$1449,MATCH($D2387,$BR$29:$BR$1449,0),)</f>
        <v>3.9</v>
      </c>
      <c r="N2387" s="150">
        <f t="shared" si="723"/>
        <v>0.00115030674846639</v>
      </c>
      <c r="O2387" s="150">
        <f t="shared" si="724"/>
        <v>0.0269419862340217</v>
      </c>
      <c r="P2387" s="150">
        <f t="shared" si="729"/>
        <v>0.0507042253521128</v>
      </c>
      <c r="Q2387" s="89">
        <f t="shared" si="731"/>
        <v>0.338974358974359</v>
      </c>
      <c r="S2387" s="82">
        <f t="shared" si="713"/>
        <v>45861</v>
      </c>
      <c r="T2387" s="83">
        <f t="shared" si="727"/>
        <v>0.387625</v>
      </c>
      <c r="U2387" s="83">
        <f t="shared" si="727"/>
        <v>0.328125</v>
      </c>
      <c r="W2387" s="146">
        <v>45861</v>
      </c>
      <c r="X2387" s="147">
        <v>9.2</v>
      </c>
      <c r="Y2387" s="147">
        <v>4.68</v>
      </c>
      <c r="Z2387" s="158">
        <v>6.202</v>
      </c>
      <c r="AA2387" s="59" cm="1">
        <f t="array" ref="AA2387">INDEX($BX$29:$BX$1449,MATCH($D2387,$BR$29:$BR$1449,0),)</f>
        <v>5.25</v>
      </c>
      <c r="AB2387" s="150">
        <f t="shared" si="714"/>
        <v>0</v>
      </c>
      <c r="AC2387" s="150">
        <f t="shared" si="717"/>
        <v>0.0229259442520204</v>
      </c>
      <c r="AD2387" s="150">
        <f t="shared" si="720"/>
        <v>0.0214097496706191</v>
      </c>
      <c r="AE2387" s="89">
        <f t="shared" si="715"/>
        <v>0.181333333333333</v>
      </c>
    </row>
    <row r="2388" spans="3:31">
      <c r="C2388" s="80" t="str" cm="1">
        <f t="array" ref="C2388">_xlfn.IFS(MONTH(D2388)&lt;4,1,MONTH(D2388)&lt;7,2,MONTH(D2388)&lt;10,3,MONTH(D2388)&gt;9,4)&amp;"Q"&amp;RIGHT(YEAR(D2388),2)</f>
        <v>3Q25</v>
      </c>
      <c r="D2388" s="81">
        <f t="shared" si="719"/>
        <v>45869</v>
      </c>
      <c r="E2388" s="82">
        <f t="shared" si="730"/>
        <v>45862</v>
      </c>
      <c r="F2388" s="83">
        <f t="shared" si="728"/>
        <v>0.649375</v>
      </c>
      <c r="G2388" s="83">
        <f t="shared" si="728"/>
        <v>0.4875</v>
      </c>
      <c r="I2388" s="146">
        <v>45862</v>
      </c>
      <c r="J2388" s="147">
        <v>8.15</v>
      </c>
      <c r="K2388" s="147">
        <v>3.22</v>
      </c>
      <c r="L2388" s="158">
        <v>5.195</v>
      </c>
      <c r="M2388" s="59" cm="1">
        <f t="array" ref="M2388">INDEX($BV$29:$BV$1449,MATCH($D2388,$BR$29:$BR$1449,0),)</f>
        <v>3.9</v>
      </c>
      <c r="N2388" s="150">
        <f t="shared" si="723"/>
        <v>-0.00517043278437379</v>
      </c>
      <c r="O2388" s="150">
        <f t="shared" si="724"/>
        <v>0.0120787064095071</v>
      </c>
      <c r="P2388" s="150">
        <f t="shared" si="729"/>
        <v>0.0442211055276382</v>
      </c>
      <c r="Q2388" s="89">
        <f t="shared" si="731"/>
        <v>0.332051282051282</v>
      </c>
      <c r="S2388" s="82">
        <f t="shared" ref="S2388:S2451" si="732">W2388</f>
        <v>45862</v>
      </c>
      <c r="T2388" s="83">
        <f t="shared" si="727"/>
        <v>0.3855</v>
      </c>
      <c r="U2388" s="83">
        <f t="shared" si="727"/>
        <v>0.328125</v>
      </c>
      <c r="W2388" s="146">
        <v>45862</v>
      </c>
      <c r="X2388" s="147">
        <v>9.2</v>
      </c>
      <c r="Y2388" s="147">
        <v>4.68</v>
      </c>
      <c r="Z2388" s="158">
        <v>6.168</v>
      </c>
      <c r="AA2388" s="59" cm="1">
        <f t="array" ref="AA2388">INDEX($BX$29:$BX$1449,MATCH($D2388,$BR$29:$BR$1449,0),)</f>
        <v>5.25</v>
      </c>
      <c r="AB2388" s="150">
        <f t="shared" si="714"/>
        <v>-0.00548210254756532</v>
      </c>
      <c r="AC2388" s="150">
        <f t="shared" si="717"/>
        <v>0.00965788181371741</v>
      </c>
      <c r="AD2388" s="150">
        <f t="shared" si="720"/>
        <v>0.0168150346191889</v>
      </c>
      <c r="AE2388" s="89">
        <f t="shared" si="715"/>
        <v>0.174857142857143</v>
      </c>
    </row>
    <row r="2389" spans="3:31">
      <c r="C2389" s="80" t="str" cm="1">
        <f t="array" ref="C2389">_xlfn.IFS(MONTH(D2389)&lt;4,1,MONTH(D2389)&lt;7,2,MONTH(D2389)&lt;10,3,MONTH(D2389)&gt;9,4)&amp;"Q"&amp;RIGHT(YEAR(D2389),2)</f>
        <v>3Q25</v>
      </c>
      <c r="D2389" s="81">
        <f t="shared" si="719"/>
        <v>45869</v>
      </c>
      <c r="E2389" s="82">
        <f t="shared" si="730"/>
        <v>45863</v>
      </c>
      <c r="F2389" s="83">
        <f t="shared" si="728"/>
        <v>0.640375</v>
      </c>
      <c r="G2389" s="83">
        <f t="shared" si="728"/>
        <v>0.4875</v>
      </c>
      <c r="I2389" s="146">
        <v>45863</v>
      </c>
      <c r="J2389" s="147">
        <v>8.15</v>
      </c>
      <c r="K2389" s="147">
        <v>3.22</v>
      </c>
      <c r="L2389" s="158">
        <v>5.123</v>
      </c>
      <c r="M2389" s="59" cm="1">
        <f t="array" ref="M2389">INDEX($BV$29:$BV$1449,MATCH($D2389,$BR$29:$BR$1449,0),)</f>
        <v>3.9</v>
      </c>
      <c r="N2389" s="150">
        <f t="shared" si="723"/>
        <v>-0.0138594802694899</v>
      </c>
      <c r="O2389" s="150">
        <f t="shared" si="724"/>
        <v>-0.0136696187909126</v>
      </c>
      <c r="P2389" s="150">
        <f t="shared" si="729"/>
        <v>0.0311996779388084</v>
      </c>
      <c r="Q2389" s="89">
        <f t="shared" si="731"/>
        <v>0.313589743589744</v>
      </c>
      <c r="S2389" s="82">
        <f t="shared" si="732"/>
        <v>45863</v>
      </c>
      <c r="T2389" s="83">
        <f t="shared" si="727"/>
        <v>0.38125</v>
      </c>
      <c r="U2389" s="83">
        <f t="shared" si="727"/>
        <v>0.328125</v>
      </c>
      <c r="W2389" s="146">
        <v>45863</v>
      </c>
      <c r="X2389" s="147">
        <v>9</v>
      </c>
      <c r="Y2389" s="147">
        <v>4.68</v>
      </c>
      <c r="Z2389" s="158">
        <v>6.1</v>
      </c>
      <c r="AA2389" s="59" cm="1">
        <f t="array" ref="AA2389">INDEX($BX$29:$BX$1449,MATCH($D2389,$BR$29:$BR$1449,0),)</f>
        <v>5.25</v>
      </c>
      <c r="AB2389" s="150">
        <f t="shared" ref="AB2389:AB2452" si="733">Z2389/Z2388-1</f>
        <v>-0.0110246433203632</v>
      </c>
      <c r="AC2389" s="150">
        <f t="shared" si="717"/>
        <v>-0.00147323620887219</v>
      </c>
      <c r="AD2389" s="150">
        <f t="shared" si="720"/>
        <v>0.0056050115397297</v>
      </c>
      <c r="AE2389" s="89">
        <f t="shared" si="715"/>
        <v>0.161904761904762</v>
      </c>
    </row>
    <row r="2390" spans="3:31">
      <c r="C2390" s="80" t="str" cm="1">
        <f t="array" ref="C2390">_xlfn.IFS(MONTH(D2390)&lt;4,1,MONTH(D2390)&lt;7,2,MONTH(D2390)&lt;10,3,MONTH(D2390)&gt;9,4)&amp;"Q"&amp;RIGHT(YEAR(D2390),2)</f>
        <v>3Q25</v>
      </c>
      <c r="D2390" s="81">
        <f t="shared" si="719"/>
        <v>45869</v>
      </c>
      <c r="E2390" s="82">
        <f t="shared" si="730"/>
        <v>45866</v>
      </c>
      <c r="F2390" s="83">
        <f t="shared" si="728"/>
        <v>0.639125</v>
      </c>
      <c r="G2390" s="83">
        <f t="shared" si="728"/>
        <v>0.4875</v>
      </c>
      <c r="I2390" s="146">
        <v>45866</v>
      </c>
      <c r="J2390" s="147">
        <v>8.2</v>
      </c>
      <c r="K2390" s="147">
        <v>3.2</v>
      </c>
      <c r="L2390" s="158">
        <v>5.113</v>
      </c>
      <c r="M2390" s="59" cm="1">
        <f t="array" ref="M2390">INDEX($BV$29:$BV$1449,MATCH($D2390,$BR$29:$BR$1449,0),)</f>
        <v>3.9</v>
      </c>
      <c r="N2390" s="150">
        <f t="shared" si="723"/>
        <v>-0.00195198126097984</v>
      </c>
      <c r="O2390" s="150">
        <f t="shared" si="724"/>
        <v>-0.0172977128579666</v>
      </c>
      <c r="P2390" s="150">
        <f t="shared" si="729"/>
        <v>0.0308467741935485</v>
      </c>
      <c r="Q2390" s="89">
        <f t="shared" si="731"/>
        <v>0.311025641025641</v>
      </c>
      <c r="S2390" s="82">
        <f t="shared" si="732"/>
        <v>45866</v>
      </c>
      <c r="T2390" s="83">
        <f t="shared" si="727"/>
        <v>0.3810625</v>
      </c>
      <c r="U2390" s="83">
        <f t="shared" si="727"/>
        <v>0.328125</v>
      </c>
      <c r="W2390" s="146">
        <v>45866</v>
      </c>
      <c r="X2390" s="147">
        <v>8.9</v>
      </c>
      <c r="Y2390" s="147">
        <v>4.67</v>
      </c>
      <c r="Z2390" s="158">
        <v>6.097</v>
      </c>
      <c r="AA2390" s="59" cm="1">
        <f t="array" ref="AA2390">INDEX($BX$29:$BX$1449,MATCH($D2390,$BR$29:$BR$1449,0),)</f>
        <v>5.25</v>
      </c>
      <c r="AB2390" s="150">
        <f t="shared" si="733"/>
        <v>-0.000491803278688363</v>
      </c>
      <c r="AC2390" s="150">
        <f t="shared" si="717"/>
        <v>-0.0143873262204979</v>
      </c>
      <c r="AD2390" s="150">
        <f t="shared" si="720"/>
        <v>0.00511045169798896</v>
      </c>
      <c r="AE2390" s="89">
        <f t="shared" ref="AE2390:AE2453" si="734">Z2390/AA2390-1</f>
        <v>0.161333333333333</v>
      </c>
    </row>
    <row r="2391" spans="3:31">
      <c r="C2391" s="80" t="str" cm="1">
        <f t="array" ref="C2391">_xlfn.IFS(MONTH(D2391)&lt;4,1,MONTH(D2391)&lt;7,2,MONTH(D2391)&lt;10,3,MONTH(D2391)&gt;9,4)&amp;"Q"&amp;RIGHT(YEAR(D2391),2)</f>
        <v>3Q25</v>
      </c>
      <c r="D2391" s="81">
        <f t="shared" si="719"/>
        <v>45869</v>
      </c>
      <c r="E2391" s="82">
        <f t="shared" si="730"/>
        <v>45867</v>
      </c>
      <c r="F2391" s="83">
        <f t="shared" si="728"/>
        <v>0.63975</v>
      </c>
      <c r="G2391" s="83">
        <f t="shared" si="728"/>
        <v>0.4875</v>
      </c>
      <c r="I2391" s="146">
        <v>45867</v>
      </c>
      <c r="J2391" s="147">
        <v>8.2</v>
      </c>
      <c r="K2391" s="147">
        <v>3.2</v>
      </c>
      <c r="L2391" s="158">
        <v>5.118</v>
      </c>
      <c r="M2391" s="59" cm="1">
        <f t="array" ref="M2391">INDEX($BV$29:$BV$1449,MATCH($D2391,$BR$29:$BR$1449,0),)</f>
        <v>3.9</v>
      </c>
      <c r="N2391" s="150">
        <f t="shared" si="723"/>
        <v>0.000977899471934274</v>
      </c>
      <c r="O2391" s="150">
        <f t="shared" si="724"/>
        <v>-0.0187883435582822</v>
      </c>
      <c r="P2391" s="150">
        <f t="shared" si="729"/>
        <v>0.0189130001990843</v>
      </c>
      <c r="Q2391" s="89">
        <f t="shared" si="731"/>
        <v>0.312307692307692</v>
      </c>
      <c r="S2391" s="82">
        <f t="shared" si="732"/>
        <v>45867</v>
      </c>
      <c r="T2391" s="83">
        <f t="shared" si="727"/>
        <v>0.3810625</v>
      </c>
      <c r="U2391" s="83">
        <f t="shared" si="727"/>
        <v>0.328125</v>
      </c>
      <c r="W2391" s="146">
        <v>45867</v>
      </c>
      <c r="X2391" s="147">
        <v>8.9</v>
      </c>
      <c r="Y2391" s="147">
        <v>4.67</v>
      </c>
      <c r="Z2391" s="158">
        <v>6.097</v>
      </c>
      <c r="AA2391" s="59" cm="1">
        <f t="array" ref="AA2391">INDEX($BX$29:$BX$1449,MATCH($D2391,$BR$29:$BR$1449,0),)</f>
        <v>5.25</v>
      </c>
      <c r="AB2391" s="150">
        <f t="shared" si="733"/>
        <v>0</v>
      </c>
      <c r="AC2391" s="150">
        <f t="shared" si="717"/>
        <v>-0.0169300225733634</v>
      </c>
      <c r="AD2391" s="150">
        <f t="shared" si="720"/>
        <v>0.00560778492495473</v>
      </c>
      <c r="AE2391" s="89">
        <f t="shared" si="734"/>
        <v>0.161333333333333</v>
      </c>
    </row>
    <row r="2392" spans="3:31">
      <c r="C2392" s="80" t="str" cm="1">
        <f t="array" ref="C2392">_xlfn.IFS(MONTH(D2392)&lt;4,1,MONTH(D2392)&lt;7,2,MONTH(D2392)&lt;10,3,MONTH(D2392)&gt;9,4)&amp;"Q"&amp;RIGHT(YEAR(D2392),2)</f>
        <v>3Q25</v>
      </c>
      <c r="D2392" s="81">
        <f t="shared" si="719"/>
        <v>45869</v>
      </c>
      <c r="E2392" s="82">
        <f t="shared" si="730"/>
        <v>45868</v>
      </c>
      <c r="F2392" s="83">
        <f t="shared" si="728"/>
        <v>0.640375</v>
      </c>
      <c r="G2392" s="83">
        <f t="shared" si="728"/>
        <v>0.4875</v>
      </c>
      <c r="I2392" s="146">
        <v>45868</v>
      </c>
      <c r="J2392" s="147">
        <v>8.15</v>
      </c>
      <c r="K2392" s="147">
        <v>3.22</v>
      </c>
      <c r="L2392" s="158">
        <v>5.123</v>
      </c>
      <c r="M2392" s="59" cm="1">
        <f t="array" ref="M2392">INDEX($BV$29:$BV$1449,MATCH($D2392,$BR$29:$BR$1449,0),)</f>
        <v>3.9</v>
      </c>
      <c r="N2392" s="150">
        <f t="shared" si="723"/>
        <v>0.000976944118796341</v>
      </c>
      <c r="O2392" s="150">
        <f t="shared" si="724"/>
        <v>-0.018958253542704</v>
      </c>
      <c r="P2392" s="150">
        <f t="shared" si="729"/>
        <v>0.00747295968534911</v>
      </c>
      <c r="Q2392" s="89">
        <f t="shared" si="731"/>
        <v>0.313589743589744</v>
      </c>
      <c r="S2392" s="82">
        <f t="shared" si="732"/>
        <v>45868</v>
      </c>
      <c r="T2392" s="83">
        <f t="shared" ref="T2392:U2407" si="735">+Z2392/16</f>
        <v>0.3823125</v>
      </c>
      <c r="U2392" s="83">
        <f t="shared" si="735"/>
        <v>0.328125</v>
      </c>
      <c r="W2392" s="146">
        <v>45868</v>
      </c>
      <c r="X2392" s="147">
        <v>8.9</v>
      </c>
      <c r="Y2392" s="147">
        <v>4.7</v>
      </c>
      <c r="Z2392" s="158">
        <v>6.117</v>
      </c>
      <c r="AA2392" s="59" cm="1">
        <f t="array" ref="AA2392">INDEX($BX$29:$BX$1449,MATCH($D2392,$BR$29:$BR$1449,0),)</f>
        <v>5.25</v>
      </c>
      <c r="AB2392" s="150">
        <f t="shared" si="733"/>
        <v>0.00328030178776451</v>
      </c>
      <c r="AC2392" s="150">
        <f t="shared" si="717"/>
        <v>-0.0137052563689133</v>
      </c>
      <c r="AD2392" s="150">
        <f t="shared" si="720"/>
        <v>0.00890648193963384</v>
      </c>
      <c r="AE2392" s="89">
        <f t="shared" si="734"/>
        <v>0.165142857142857</v>
      </c>
    </row>
    <row r="2393" spans="3:31">
      <c r="C2393" s="80" t="str" cm="1">
        <f t="array" ref="C2393">_xlfn.IFS(MONTH(D2393)&lt;4,1,MONTH(D2393)&lt;7,2,MONTH(D2393)&lt;10,3,MONTH(D2393)&gt;9,4)&amp;"Q"&amp;RIGHT(YEAR(D2393),2)</f>
        <v>3Q25</v>
      </c>
      <c r="D2393" s="81">
        <f t="shared" si="719"/>
        <v>45869</v>
      </c>
      <c r="E2393" s="82">
        <f t="shared" si="730"/>
        <v>45869</v>
      </c>
      <c r="F2393" s="83">
        <f t="shared" si="728"/>
        <v>0.636375</v>
      </c>
      <c r="G2393" s="83">
        <f t="shared" si="728"/>
        <v>0.4875</v>
      </c>
      <c r="I2393" s="146">
        <v>45869</v>
      </c>
      <c r="J2393" s="147">
        <v>8.2</v>
      </c>
      <c r="K2393" s="147">
        <v>3.2</v>
      </c>
      <c r="L2393" s="158">
        <v>5.091</v>
      </c>
      <c r="M2393" s="59" cm="1">
        <f t="array" ref="M2393">INDEX($BV$29:$BV$1449,MATCH($D2393,$BR$29:$BR$1449,0),)</f>
        <v>3.9</v>
      </c>
      <c r="N2393" s="150">
        <f t="shared" si="723"/>
        <v>-0.00624634003513569</v>
      </c>
      <c r="O2393" s="150">
        <f t="shared" si="724"/>
        <v>-0.0200192492781521</v>
      </c>
      <c r="P2393" s="150">
        <f t="shared" si="729"/>
        <v>-0.0081823495032145</v>
      </c>
      <c r="Q2393" s="89">
        <f t="shared" si="731"/>
        <v>0.305384615384615</v>
      </c>
      <c r="S2393" s="82">
        <f t="shared" si="732"/>
        <v>45869</v>
      </c>
      <c r="T2393" s="83">
        <f t="shared" si="735"/>
        <v>0.38375</v>
      </c>
      <c r="U2393" s="83">
        <f t="shared" si="735"/>
        <v>0.328125</v>
      </c>
      <c r="W2393" s="146">
        <v>45869</v>
      </c>
      <c r="X2393" s="147">
        <v>8.9</v>
      </c>
      <c r="Y2393" s="147">
        <v>4.75</v>
      </c>
      <c r="Z2393" s="158">
        <v>6.14</v>
      </c>
      <c r="AA2393" s="59" cm="1">
        <f t="array" ref="AA2393">INDEX($BX$29:$BX$1449,MATCH($D2393,$BR$29:$BR$1449,0),)</f>
        <v>5.25</v>
      </c>
      <c r="AB2393" s="150">
        <f t="shared" si="733"/>
        <v>0.0037600130783062</v>
      </c>
      <c r="AC2393" s="150">
        <f t="shared" ref="AC2393:AC2456" si="736">Z2393/Z2388-1</f>
        <v>-0.00453955901426728</v>
      </c>
      <c r="AD2393" s="150">
        <f t="shared" si="720"/>
        <v>0.00507448027500401</v>
      </c>
      <c r="AE2393" s="89">
        <f t="shared" si="734"/>
        <v>0.169523809523809</v>
      </c>
    </row>
    <row r="2394" spans="3:31">
      <c r="C2394" s="80" t="str" cm="1">
        <f t="array" ref="C2394">_xlfn.IFS(MONTH(D2394)&lt;4,1,MONTH(D2394)&lt;7,2,MONTH(D2394)&lt;10,3,MONTH(D2394)&gt;9,4)&amp;"Q"&amp;RIGHT(YEAR(D2394),2)</f>
        <v>3Q25</v>
      </c>
      <c r="D2394" s="81">
        <f t="shared" si="719"/>
        <v>45900</v>
      </c>
      <c r="E2394" s="82">
        <f t="shared" si="730"/>
        <v>45870</v>
      </c>
      <c r="F2394" s="83">
        <f t="shared" ref="F2394:G2409" si="737">+L2394/8</f>
        <v>0.629</v>
      </c>
      <c r="G2394" s="83">
        <f t="shared" si="737"/>
        <v>0.7125</v>
      </c>
      <c r="I2394" s="146">
        <v>45870</v>
      </c>
      <c r="J2394" s="147">
        <v>8.25</v>
      </c>
      <c r="K2394" s="147">
        <v>3.2</v>
      </c>
      <c r="L2394" s="158">
        <v>5.032</v>
      </c>
      <c r="M2394" s="59" cm="1">
        <f t="array" ref="M2394">INDEX($BV$29:$BV$1449,MATCH($D2394,$BR$29:$BR$1449,0),)</f>
        <v>5.7</v>
      </c>
      <c r="N2394" s="150">
        <f t="shared" si="723"/>
        <v>-0.0115890787664507</v>
      </c>
      <c r="O2394" s="150">
        <f t="shared" si="724"/>
        <v>-0.017763029474917</v>
      </c>
      <c r="P2394" s="150">
        <f t="shared" si="729"/>
        <v>-0.0311898344243358</v>
      </c>
      <c r="Q2394" s="89">
        <f t="shared" si="731"/>
        <v>-0.11719298245614</v>
      </c>
      <c r="S2394" s="82">
        <f t="shared" si="732"/>
        <v>45870</v>
      </c>
      <c r="T2394" s="83">
        <f t="shared" si="735"/>
        <v>0.3854375</v>
      </c>
      <c r="U2394" s="83">
        <f t="shared" si="735"/>
        <v>0.328125</v>
      </c>
      <c r="W2394" s="146">
        <v>45870</v>
      </c>
      <c r="X2394" s="147">
        <v>8.85</v>
      </c>
      <c r="Y2394" s="147">
        <v>4.75</v>
      </c>
      <c r="Z2394" s="158">
        <v>6.167</v>
      </c>
      <c r="AA2394" s="59" cm="1">
        <f t="array" ref="AA2394">INDEX($BX$29:$BX$1449,MATCH($D2394,$BR$29:$BR$1449,0),)</f>
        <v>5.25</v>
      </c>
      <c r="AB2394" s="150">
        <f t="shared" si="733"/>
        <v>0.00439739413680784</v>
      </c>
      <c r="AC2394" s="150">
        <f t="shared" si="736"/>
        <v>0.0109836065573772</v>
      </c>
      <c r="AD2394" s="150">
        <f t="shared" si="720"/>
        <v>0.00949418890162046</v>
      </c>
      <c r="AE2394" s="89">
        <f t="shared" si="734"/>
        <v>0.174666666666667</v>
      </c>
    </row>
    <row r="2395" spans="3:31">
      <c r="C2395" s="80" t="str" cm="1">
        <f t="array" ref="C2395">_xlfn.IFS(MONTH(D2395)&lt;4,1,MONTH(D2395)&lt;7,2,MONTH(D2395)&lt;10,3,MONTH(D2395)&gt;9,4)&amp;"Q"&amp;RIGHT(YEAR(D2395),2)</f>
        <v>3Q25</v>
      </c>
      <c r="D2395" s="81">
        <f t="shared" si="719"/>
        <v>45900</v>
      </c>
      <c r="E2395" s="82">
        <f t="shared" si="730"/>
        <v>45873</v>
      </c>
      <c r="F2395" s="83">
        <f t="shared" si="737"/>
        <v>0.627375</v>
      </c>
      <c r="G2395" s="83">
        <f t="shared" si="737"/>
        <v>0.7125</v>
      </c>
      <c r="I2395" s="146">
        <v>45873</v>
      </c>
      <c r="J2395" s="147">
        <v>8.2</v>
      </c>
      <c r="K2395" s="147">
        <v>3.21</v>
      </c>
      <c r="L2395" s="158">
        <v>5.019</v>
      </c>
      <c r="M2395" s="59" cm="1">
        <f t="array" ref="M2395">INDEX($BV$29:$BV$1449,MATCH($D2395,$BR$29:$BR$1449,0),)</f>
        <v>5.7</v>
      </c>
      <c r="N2395" s="150">
        <f t="shared" si="723"/>
        <v>-0.0025834658187599</v>
      </c>
      <c r="O2395" s="150">
        <f t="shared" si="724"/>
        <v>-0.0183845100723646</v>
      </c>
      <c r="P2395" s="150">
        <f t="shared" si="729"/>
        <v>-0.035364212954065</v>
      </c>
      <c r="Q2395" s="89">
        <f t="shared" si="731"/>
        <v>-0.119473684210526</v>
      </c>
      <c r="S2395" s="82">
        <f t="shared" si="732"/>
        <v>45873</v>
      </c>
      <c r="T2395" s="83">
        <f t="shared" si="735"/>
        <v>0.3854375</v>
      </c>
      <c r="U2395" s="83">
        <f t="shared" si="735"/>
        <v>0.328125</v>
      </c>
      <c r="W2395" s="146">
        <v>45873</v>
      </c>
      <c r="X2395" s="147">
        <v>8.8</v>
      </c>
      <c r="Y2395" s="147">
        <v>4.78</v>
      </c>
      <c r="Z2395" s="158">
        <v>6.167</v>
      </c>
      <c r="AA2395" s="59" cm="1">
        <f t="array" ref="AA2395">INDEX($BX$29:$BX$1449,MATCH($D2395,$BR$29:$BR$1449,0),)</f>
        <v>5.25</v>
      </c>
      <c r="AB2395" s="150">
        <f t="shared" si="733"/>
        <v>0</v>
      </c>
      <c r="AC2395" s="150">
        <f t="shared" si="736"/>
        <v>0.0114810562571757</v>
      </c>
      <c r="AD2395" s="150">
        <f t="shared" si="720"/>
        <v>-0.00307145166505018</v>
      </c>
      <c r="AE2395" s="89">
        <f t="shared" si="734"/>
        <v>0.174666666666667</v>
      </c>
    </row>
    <row r="2396" spans="3:31">
      <c r="C2396" s="80" t="str" cm="1">
        <f t="array" ref="C2396">_xlfn.IFS(MONTH(D2396)&lt;4,1,MONTH(D2396)&lt;7,2,MONTH(D2396)&lt;10,3,MONTH(D2396)&gt;9,4)&amp;"Q"&amp;RIGHT(YEAR(D2396),2)</f>
        <v>3Q25</v>
      </c>
      <c r="D2396" s="81">
        <f t="shared" si="719"/>
        <v>45900</v>
      </c>
      <c r="E2396" s="82">
        <f t="shared" si="730"/>
        <v>45874</v>
      </c>
      <c r="F2396" s="83">
        <f t="shared" si="737"/>
        <v>0.625</v>
      </c>
      <c r="G2396" s="83">
        <f t="shared" si="737"/>
        <v>0.7125</v>
      </c>
      <c r="I2396" s="146">
        <v>45874</v>
      </c>
      <c r="J2396" s="147">
        <v>8.2</v>
      </c>
      <c r="K2396" s="147">
        <v>3.2</v>
      </c>
      <c r="L2396" s="158">
        <v>5</v>
      </c>
      <c r="M2396" s="59" cm="1">
        <f t="array" ref="M2396">INDEX($BV$29:$BV$1449,MATCH($D2396,$BR$29:$BR$1449,0),)</f>
        <v>5.7</v>
      </c>
      <c r="N2396" s="150">
        <f t="shared" si="723"/>
        <v>-0.00378561466427574</v>
      </c>
      <c r="O2396" s="150">
        <f t="shared" si="724"/>
        <v>-0.0230558812035953</v>
      </c>
      <c r="P2396" s="150">
        <f t="shared" si="729"/>
        <v>-0.0414110429447853</v>
      </c>
      <c r="Q2396" s="89">
        <f t="shared" si="731"/>
        <v>-0.12280701754386</v>
      </c>
      <c r="S2396" s="82">
        <f t="shared" si="732"/>
        <v>45874</v>
      </c>
      <c r="T2396" s="83">
        <f t="shared" si="735"/>
        <v>0.385</v>
      </c>
      <c r="U2396" s="83">
        <f t="shared" si="735"/>
        <v>0.328125</v>
      </c>
      <c r="W2396" s="146">
        <v>45874</v>
      </c>
      <c r="X2396" s="147">
        <v>8.8</v>
      </c>
      <c r="Y2396" s="147">
        <v>4.78</v>
      </c>
      <c r="Z2396" s="158">
        <v>6.16</v>
      </c>
      <c r="AA2396" s="59" cm="1">
        <f t="array" ref="AA2396">INDEX($BX$29:$BX$1449,MATCH($D2396,$BR$29:$BR$1449,0),)</f>
        <v>5.25</v>
      </c>
      <c r="AB2396" s="150">
        <f t="shared" si="733"/>
        <v>-0.0011350737797956</v>
      </c>
      <c r="AC2396" s="150">
        <f t="shared" si="736"/>
        <v>0.010332950631458</v>
      </c>
      <c r="AD2396" s="150">
        <f t="shared" si="720"/>
        <v>-0.00677200902934538</v>
      </c>
      <c r="AE2396" s="89">
        <f t="shared" si="734"/>
        <v>0.173333333333333</v>
      </c>
    </row>
    <row r="2397" spans="3:31">
      <c r="C2397" s="80" t="str" cm="1">
        <f t="array" ref="C2397">_xlfn.IFS(MONTH(D2397)&lt;4,1,MONTH(D2397)&lt;7,2,MONTH(D2397)&lt;10,3,MONTH(D2397)&gt;9,4)&amp;"Q"&amp;RIGHT(YEAR(D2397),2)</f>
        <v>3Q25</v>
      </c>
      <c r="D2397" s="81">
        <f t="shared" si="719"/>
        <v>45900</v>
      </c>
      <c r="E2397" s="82">
        <f t="shared" si="730"/>
        <v>45875</v>
      </c>
      <c r="F2397" s="83">
        <f t="shared" si="737"/>
        <v>0.62375</v>
      </c>
      <c r="G2397" s="83">
        <f t="shared" si="737"/>
        <v>0.7125</v>
      </c>
      <c r="I2397" s="146">
        <v>45875</v>
      </c>
      <c r="J2397" s="147">
        <v>8.2</v>
      </c>
      <c r="K2397" s="147">
        <v>3.2</v>
      </c>
      <c r="L2397" s="158">
        <v>4.99</v>
      </c>
      <c r="M2397" s="59" cm="1">
        <f t="array" ref="M2397">INDEX($BV$29:$BV$1449,MATCH($D2397,$BR$29:$BR$1449,0),)</f>
        <v>5.7</v>
      </c>
      <c r="N2397" s="150">
        <f t="shared" si="723"/>
        <v>-0.002</v>
      </c>
      <c r="O2397" s="150">
        <f t="shared" si="724"/>
        <v>-0.0259613507710326</v>
      </c>
      <c r="P2397" s="150">
        <f t="shared" si="729"/>
        <v>-0.0444274224435083</v>
      </c>
      <c r="Q2397" s="89">
        <f t="shared" si="731"/>
        <v>-0.124561403508772</v>
      </c>
      <c r="S2397" s="82">
        <f t="shared" si="732"/>
        <v>45875</v>
      </c>
      <c r="T2397" s="83">
        <f t="shared" si="735"/>
        <v>0.385</v>
      </c>
      <c r="U2397" s="83">
        <f t="shared" si="735"/>
        <v>0.328125</v>
      </c>
      <c r="W2397" s="146">
        <v>45875</v>
      </c>
      <c r="X2397" s="147">
        <v>8.8</v>
      </c>
      <c r="Y2397" s="147">
        <v>4.78</v>
      </c>
      <c r="Z2397" s="158">
        <v>6.16</v>
      </c>
      <c r="AA2397" s="59" cm="1">
        <f t="array" ref="AA2397">INDEX($BX$29:$BX$1449,MATCH($D2397,$BR$29:$BR$1449,0),)</f>
        <v>5.25</v>
      </c>
      <c r="AB2397" s="150">
        <f t="shared" si="733"/>
        <v>0</v>
      </c>
      <c r="AC2397" s="150">
        <f t="shared" si="736"/>
        <v>0.00702958966813805</v>
      </c>
      <c r="AD2397" s="150">
        <f t="shared" si="720"/>
        <v>-0.00677200902934538</v>
      </c>
      <c r="AE2397" s="89">
        <f t="shared" si="734"/>
        <v>0.173333333333333</v>
      </c>
    </row>
    <row r="2398" spans="3:31">
      <c r="C2398" s="80" t="str" cm="1">
        <f t="array" ref="C2398">_xlfn.IFS(MONTH(D2398)&lt;4,1,MONTH(D2398)&lt;7,2,MONTH(D2398)&lt;10,3,MONTH(D2398)&gt;9,4)&amp;"Q"&amp;RIGHT(YEAR(D2398),2)</f>
        <v>3Q25</v>
      </c>
      <c r="D2398" s="81">
        <f t="shared" ref="D2398:D2461" si="738">EOMONTH(E2398,0)</f>
        <v>45900</v>
      </c>
      <c r="E2398" s="82">
        <f t="shared" si="730"/>
        <v>45876</v>
      </c>
      <c r="F2398" s="83">
        <f t="shared" si="737"/>
        <v>0.6205</v>
      </c>
      <c r="G2398" s="83">
        <f t="shared" si="737"/>
        <v>0.7125</v>
      </c>
      <c r="I2398" s="146">
        <v>45876</v>
      </c>
      <c r="J2398" s="147">
        <v>8.25</v>
      </c>
      <c r="K2398" s="147">
        <v>3.2</v>
      </c>
      <c r="L2398" s="158">
        <v>4.964</v>
      </c>
      <c r="M2398" s="59" cm="1">
        <f t="array" ref="M2398">INDEX($BV$29:$BV$1449,MATCH($D2398,$BR$29:$BR$1449,0),)</f>
        <v>5.7</v>
      </c>
      <c r="N2398" s="150">
        <f t="shared" si="723"/>
        <v>-0.00521042084168333</v>
      </c>
      <c r="O2398" s="150">
        <f t="shared" si="724"/>
        <v>-0.0249459831074444</v>
      </c>
      <c r="P2398" s="150">
        <f t="shared" si="729"/>
        <v>-0.04446583253128</v>
      </c>
      <c r="Q2398" s="89">
        <f t="shared" si="731"/>
        <v>-0.129122807017544</v>
      </c>
      <c r="S2398" s="82">
        <f t="shared" si="732"/>
        <v>45876</v>
      </c>
      <c r="T2398" s="83">
        <f t="shared" si="735"/>
        <v>0.385</v>
      </c>
      <c r="U2398" s="83">
        <f t="shared" si="735"/>
        <v>0.328125</v>
      </c>
      <c r="W2398" s="146">
        <v>45876</v>
      </c>
      <c r="X2398" s="147">
        <v>8.75</v>
      </c>
      <c r="Y2398" s="147">
        <v>4.8</v>
      </c>
      <c r="Z2398" s="158">
        <v>6.16</v>
      </c>
      <c r="AA2398" s="59" cm="1">
        <f t="array" ref="AA2398">INDEX($BX$29:$BX$1449,MATCH($D2398,$BR$29:$BR$1449,0),)</f>
        <v>5.25</v>
      </c>
      <c r="AB2398" s="150">
        <f t="shared" si="733"/>
        <v>0</v>
      </c>
      <c r="AC2398" s="150">
        <f t="shared" si="736"/>
        <v>0.00325732899022801</v>
      </c>
      <c r="AD2398" s="150">
        <f t="shared" ref="AD2398:AD2461" si="739">Z2398/Z2388-1</f>
        <v>-0.00129701686121919</v>
      </c>
      <c r="AE2398" s="89">
        <f t="shared" si="734"/>
        <v>0.173333333333333</v>
      </c>
    </row>
    <row r="2399" spans="3:31">
      <c r="C2399" s="80" t="str" cm="1">
        <f t="array" ref="C2399">_xlfn.IFS(MONTH(D2399)&lt;4,1,MONTH(D2399)&lt;7,2,MONTH(D2399)&lt;10,3,MONTH(D2399)&gt;9,4)&amp;"Q"&amp;RIGHT(YEAR(D2399),2)</f>
        <v>3Q25</v>
      </c>
      <c r="D2399" s="81">
        <f t="shared" si="738"/>
        <v>45900</v>
      </c>
      <c r="E2399" s="82">
        <f t="shared" si="730"/>
        <v>45877</v>
      </c>
      <c r="F2399" s="83">
        <f t="shared" si="737"/>
        <v>0.620125</v>
      </c>
      <c r="G2399" s="83">
        <f t="shared" si="737"/>
        <v>0.7125</v>
      </c>
      <c r="I2399" s="146">
        <v>45877</v>
      </c>
      <c r="J2399" s="147">
        <v>8.25</v>
      </c>
      <c r="K2399" s="147">
        <v>3.2</v>
      </c>
      <c r="L2399" s="158">
        <v>4.961</v>
      </c>
      <c r="M2399" s="59" cm="1">
        <f t="array" ref="M2399">INDEX($BV$29:$BV$1449,MATCH($D2399,$BR$29:$BR$1449,0),)</f>
        <v>5.7</v>
      </c>
      <c r="N2399" s="150">
        <f t="shared" si="723"/>
        <v>-0.000604351329572927</v>
      </c>
      <c r="O2399" s="150">
        <f t="shared" si="724"/>
        <v>-0.0141096979332272</v>
      </c>
      <c r="P2399" s="150">
        <f t="shared" si="729"/>
        <v>-0.0316220964278743</v>
      </c>
      <c r="Q2399" s="89">
        <f t="shared" si="731"/>
        <v>-0.129649122807018</v>
      </c>
      <c r="S2399" s="82">
        <f t="shared" si="732"/>
        <v>45877</v>
      </c>
      <c r="T2399" s="83">
        <f t="shared" si="735"/>
        <v>0.3870625</v>
      </c>
      <c r="U2399" s="83">
        <f t="shared" si="735"/>
        <v>0.328125</v>
      </c>
      <c r="W2399" s="146">
        <v>45877</v>
      </c>
      <c r="X2399" s="147">
        <v>8.75</v>
      </c>
      <c r="Y2399" s="147">
        <v>4.8</v>
      </c>
      <c r="Z2399" s="158">
        <v>6.193</v>
      </c>
      <c r="AA2399" s="59" cm="1">
        <f t="array" ref="AA2399">INDEX($BX$29:$BX$1449,MATCH($D2399,$BR$29:$BR$1449,0),)</f>
        <v>5.25</v>
      </c>
      <c r="AB2399" s="150">
        <f t="shared" si="733"/>
        <v>0.00535714285714284</v>
      </c>
      <c r="AC2399" s="150">
        <f t="shared" si="736"/>
        <v>0.00421598832495529</v>
      </c>
      <c r="AD2399" s="150">
        <f t="shared" si="739"/>
        <v>0.0152459016393443</v>
      </c>
      <c r="AE2399" s="89">
        <f t="shared" si="734"/>
        <v>0.179619047619048</v>
      </c>
    </row>
    <row r="2400" spans="3:31">
      <c r="C2400" s="80" t="str" cm="1">
        <f t="array" ref="C2400">_xlfn.IFS(MONTH(D2400)&lt;4,1,MONTH(D2400)&lt;7,2,MONTH(D2400)&lt;10,3,MONTH(D2400)&gt;9,4)&amp;"Q"&amp;RIGHT(YEAR(D2400),2)</f>
        <v>3Q25</v>
      </c>
      <c r="D2400" s="81">
        <f t="shared" si="738"/>
        <v>45900</v>
      </c>
      <c r="E2400" s="82">
        <f t="shared" si="730"/>
        <v>45880</v>
      </c>
      <c r="F2400" s="83">
        <f t="shared" si="737"/>
        <v>0.6195</v>
      </c>
      <c r="G2400" s="83">
        <f t="shared" si="737"/>
        <v>0.7125</v>
      </c>
      <c r="I2400" s="146">
        <v>45880</v>
      </c>
      <c r="J2400" s="147">
        <v>8.2</v>
      </c>
      <c r="K2400" s="147">
        <v>3.18</v>
      </c>
      <c r="L2400" s="158">
        <v>4.956</v>
      </c>
      <c r="M2400" s="59" cm="1">
        <f t="array" ref="M2400">INDEX($BV$29:$BV$1449,MATCH($D2400,$BR$29:$BR$1449,0),)</f>
        <v>5.7</v>
      </c>
      <c r="N2400" s="150">
        <f t="shared" si="723"/>
        <v>-0.00100786131828257</v>
      </c>
      <c r="O2400" s="150">
        <f t="shared" si="724"/>
        <v>-0.0125523012552301</v>
      </c>
      <c r="P2400" s="150">
        <f t="shared" si="729"/>
        <v>-0.0307060434187365</v>
      </c>
      <c r="Q2400" s="89">
        <f t="shared" si="731"/>
        <v>-0.130526315789474</v>
      </c>
      <c r="S2400" s="82">
        <f t="shared" si="732"/>
        <v>45880</v>
      </c>
      <c r="T2400" s="83">
        <f t="shared" si="735"/>
        <v>0.3875</v>
      </c>
      <c r="U2400" s="83">
        <f t="shared" si="735"/>
        <v>0.328125</v>
      </c>
      <c r="W2400" s="146">
        <v>45880</v>
      </c>
      <c r="X2400" s="147">
        <v>8.7</v>
      </c>
      <c r="Y2400" s="147">
        <v>4.85</v>
      </c>
      <c r="Z2400" s="158">
        <v>6.2</v>
      </c>
      <c r="AA2400" s="59" cm="1">
        <f t="array" ref="AA2400">INDEX($BX$29:$BX$1449,MATCH($D2400,$BR$29:$BR$1449,0),)</f>
        <v>5.25</v>
      </c>
      <c r="AB2400" s="150">
        <f t="shared" si="733"/>
        <v>0.0011303084127241</v>
      </c>
      <c r="AC2400" s="150">
        <f t="shared" si="736"/>
        <v>0.00535106210475123</v>
      </c>
      <c r="AD2400" s="150">
        <f t="shared" si="739"/>
        <v>0.016893554206987</v>
      </c>
      <c r="AE2400" s="89">
        <f t="shared" si="734"/>
        <v>0.180952380952381</v>
      </c>
    </row>
    <row r="2401" spans="3:31">
      <c r="C2401" s="80" t="str" cm="1">
        <f t="array" ref="C2401">_xlfn.IFS(MONTH(D2401)&lt;4,1,MONTH(D2401)&lt;7,2,MONTH(D2401)&lt;10,3,MONTH(D2401)&gt;9,4)&amp;"Q"&amp;RIGHT(YEAR(D2401),2)</f>
        <v>3Q25</v>
      </c>
      <c r="D2401" s="81">
        <f t="shared" si="738"/>
        <v>45900</v>
      </c>
      <c r="E2401" s="82">
        <f t="shared" si="730"/>
        <v>45881</v>
      </c>
      <c r="F2401" s="83">
        <f t="shared" si="737"/>
        <v>0.616125</v>
      </c>
      <c r="G2401" s="83">
        <f t="shared" si="737"/>
        <v>0.7125</v>
      </c>
      <c r="I2401" s="146">
        <v>45881</v>
      </c>
      <c r="J2401" s="147">
        <v>8.2</v>
      </c>
      <c r="K2401" s="147">
        <v>3.18</v>
      </c>
      <c r="L2401" s="158">
        <v>4.929</v>
      </c>
      <c r="M2401" s="59" cm="1">
        <f t="array" ref="M2401">INDEX($BV$29:$BV$1449,MATCH($D2401,$BR$29:$BR$1449,0),)</f>
        <v>5.7</v>
      </c>
      <c r="N2401" s="150">
        <f t="shared" si="723"/>
        <v>-0.00544794188861986</v>
      </c>
      <c r="O2401" s="150">
        <f t="shared" si="724"/>
        <v>-0.0142</v>
      </c>
      <c r="P2401" s="150">
        <f t="shared" si="729"/>
        <v>-0.0369284876905042</v>
      </c>
      <c r="Q2401" s="89">
        <f t="shared" si="731"/>
        <v>-0.135263157894737</v>
      </c>
      <c r="S2401" s="82">
        <f t="shared" si="732"/>
        <v>45881</v>
      </c>
      <c r="T2401" s="83">
        <f t="shared" si="735"/>
        <v>0.3864375</v>
      </c>
      <c r="U2401" s="83">
        <f t="shared" si="735"/>
        <v>0.328125</v>
      </c>
      <c r="W2401" s="146">
        <v>45881</v>
      </c>
      <c r="X2401" s="147">
        <v>8.5</v>
      </c>
      <c r="Y2401" s="147">
        <v>4.85</v>
      </c>
      <c r="Z2401" s="158">
        <v>6.183</v>
      </c>
      <c r="AA2401" s="59" cm="1">
        <f t="array" ref="AA2401">INDEX($BX$29:$BX$1449,MATCH($D2401,$BR$29:$BR$1449,0),)</f>
        <v>5.25</v>
      </c>
      <c r="AB2401" s="150">
        <f t="shared" si="733"/>
        <v>-0.00274193548387103</v>
      </c>
      <c r="AC2401" s="150">
        <f t="shared" si="736"/>
        <v>0.0037337662337662</v>
      </c>
      <c r="AD2401" s="150">
        <f t="shared" si="739"/>
        <v>0.0141052976873872</v>
      </c>
      <c r="AE2401" s="89">
        <f t="shared" si="734"/>
        <v>0.177714285714286</v>
      </c>
    </row>
    <row r="2402" spans="3:31">
      <c r="C2402" s="80" t="str" cm="1">
        <f t="array" ref="C2402">_xlfn.IFS(MONTH(D2402)&lt;4,1,MONTH(D2402)&lt;7,2,MONTH(D2402)&lt;10,3,MONTH(D2402)&gt;9,4)&amp;"Q"&amp;RIGHT(YEAR(D2402),2)</f>
        <v>3Q25</v>
      </c>
      <c r="D2402" s="81">
        <f t="shared" si="738"/>
        <v>45900</v>
      </c>
      <c r="E2402" s="82">
        <f t="shared" si="730"/>
        <v>45882</v>
      </c>
      <c r="F2402" s="83">
        <f t="shared" si="737"/>
        <v>0.613375</v>
      </c>
      <c r="G2402" s="83">
        <f t="shared" si="737"/>
        <v>0.7125</v>
      </c>
      <c r="I2402" s="146">
        <v>45882</v>
      </c>
      <c r="J2402" s="147">
        <v>8.2</v>
      </c>
      <c r="K2402" s="147">
        <v>3.18</v>
      </c>
      <c r="L2402" s="158">
        <v>4.907</v>
      </c>
      <c r="M2402" s="59" cm="1">
        <f t="array" ref="M2402">INDEX($BV$29:$BV$1449,MATCH($D2402,$BR$29:$BR$1449,0),)</f>
        <v>5.7</v>
      </c>
      <c r="N2402" s="150">
        <f t="shared" si="723"/>
        <v>-0.00446337999594248</v>
      </c>
      <c r="O2402" s="150">
        <f t="shared" si="724"/>
        <v>-0.0166332665330662</v>
      </c>
      <c r="P2402" s="150">
        <f t="shared" si="729"/>
        <v>-0.0421627952371657</v>
      </c>
      <c r="Q2402" s="89">
        <f t="shared" si="731"/>
        <v>-0.139122807017544</v>
      </c>
      <c r="S2402" s="82">
        <f t="shared" si="732"/>
        <v>45882</v>
      </c>
      <c r="T2402" s="83">
        <f t="shared" si="735"/>
        <v>0.3864375</v>
      </c>
      <c r="U2402" s="83">
        <f t="shared" si="735"/>
        <v>0.328125</v>
      </c>
      <c r="W2402" s="146">
        <v>45882</v>
      </c>
      <c r="X2402" s="147">
        <v>8.4</v>
      </c>
      <c r="Y2402" s="147">
        <v>4.85</v>
      </c>
      <c r="Z2402" s="158">
        <v>6.183</v>
      </c>
      <c r="AA2402" s="59" cm="1">
        <f t="array" ref="AA2402">INDEX($BX$29:$BX$1449,MATCH($D2402,$BR$29:$BR$1449,0),)</f>
        <v>5.25</v>
      </c>
      <c r="AB2402" s="150">
        <f t="shared" si="733"/>
        <v>0</v>
      </c>
      <c r="AC2402" s="150">
        <f t="shared" si="736"/>
        <v>0.0037337662337662</v>
      </c>
      <c r="AD2402" s="150">
        <f t="shared" si="739"/>
        <v>0.0107896027464442</v>
      </c>
      <c r="AE2402" s="89">
        <f t="shared" si="734"/>
        <v>0.177714285714286</v>
      </c>
    </row>
    <row r="2403" spans="3:31">
      <c r="C2403" s="80" t="str" cm="1">
        <f t="array" ref="C2403">_xlfn.IFS(MONTH(D2403)&lt;4,1,MONTH(D2403)&lt;7,2,MONTH(D2403)&lt;10,3,MONTH(D2403)&gt;9,4)&amp;"Q"&amp;RIGHT(YEAR(D2403),2)</f>
        <v>3Q25</v>
      </c>
      <c r="D2403" s="81">
        <f t="shared" si="738"/>
        <v>45900</v>
      </c>
      <c r="E2403" s="82">
        <f t="shared" si="730"/>
        <v>45883</v>
      </c>
      <c r="F2403" s="83">
        <f t="shared" si="737"/>
        <v>0.613</v>
      </c>
      <c r="G2403" s="83">
        <f t="shared" si="737"/>
        <v>0.7125</v>
      </c>
      <c r="I2403" s="146">
        <v>45883</v>
      </c>
      <c r="J2403" s="147">
        <v>8.2</v>
      </c>
      <c r="K2403" s="147">
        <v>3.18</v>
      </c>
      <c r="L2403" s="158">
        <v>4.904</v>
      </c>
      <c r="M2403" s="59" cm="1">
        <f t="array" ref="M2403">INDEX($BV$29:$BV$1449,MATCH($D2403,$BR$29:$BR$1449,0),)</f>
        <v>5.7</v>
      </c>
      <c r="N2403" s="150">
        <f t="shared" si="723"/>
        <v>-0.00061137151008761</v>
      </c>
      <c r="O2403" s="150">
        <f t="shared" si="724"/>
        <v>-0.0120870265914585</v>
      </c>
      <c r="P2403" s="150">
        <f t="shared" si="729"/>
        <v>-0.0367314869377333</v>
      </c>
      <c r="Q2403" s="89">
        <f t="shared" si="731"/>
        <v>-0.139649122807018</v>
      </c>
      <c r="S2403" s="82">
        <f t="shared" si="732"/>
        <v>45883</v>
      </c>
      <c r="T2403" s="83">
        <f t="shared" si="735"/>
        <v>0.3854375</v>
      </c>
      <c r="U2403" s="83">
        <f t="shared" si="735"/>
        <v>0.328125</v>
      </c>
      <c r="W2403" s="146">
        <v>45883</v>
      </c>
      <c r="X2403" s="147">
        <v>8.3</v>
      </c>
      <c r="Y2403" s="147">
        <v>4.85</v>
      </c>
      <c r="Z2403" s="158">
        <v>6.167</v>
      </c>
      <c r="AA2403" s="59" cm="1">
        <f t="array" ref="AA2403">INDEX($BX$29:$BX$1449,MATCH($D2403,$BR$29:$BR$1449,0),)</f>
        <v>5.25</v>
      </c>
      <c r="AB2403" s="150">
        <f t="shared" si="733"/>
        <v>-0.0025877405790069</v>
      </c>
      <c r="AC2403" s="150">
        <f t="shared" si="736"/>
        <v>0.00113636363636349</v>
      </c>
      <c r="AD2403" s="150">
        <f t="shared" si="739"/>
        <v>0.00439739413680784</v>
      </c>
      <c r="AE2403" s="89">
        <f t="shared" si="734"/>
        <v>0.174666666666667</v>
      </c>
    </row>
    <row r="2404" spans="3:31">
      <c r="C2404" s="80" t="str" cm="1">
        <f t="array" ref="C2404">_xlfn.IFS(MONTH(D2404)&lt;4,1,MONTH(D2404)&lt;7,2,MONTH(D2404)&lt;10,3,MONTH(D2404)&gt;9,4)&amp;"Q"&amp;RIGHT(YEAR(D2404),2)</f>
        <v>3Q25</v>
      </c>
      <c r="D2404" s="81">
        <f t="shared" si="738"/>
        <v>45900</v>
      </c>
      <c r="E2404" s="82">
        <f t="shared" si="730"/>
        <v>45884</v>
      </c>
      <c r="F2404" s="83">
        <f t="shared" si="737"/>
        <v>0.61275</v>
      </c>
      <c r="G2404" s="83">
        <f t="shared" si="737"/>
        <v>0.7125</v>
      </c>
      <c r="I2404" s="146">
        <v>45884</v>
      </c>
      <c r="J2404" s="147">
        <v>8.2</v>
      </c>
      <c r="K2404" s="147">
        <v>3.18</v>
      </c>
      <c r="L2404" s="158">
        <v>4.902</v>
      </c>
      <c r="M2404" s="59" cm="1">
        <f t="array" ref="M2404">INDEX($BV$29:$BV$1449,MATCH($D2404,$BR$29:$BR$1449,0),)</f>
        <v>5.7</v>
      </c>
      <c r="N2404" s="150">
        <f t="shared" si="723"/>
        <v>-0.000407830342577409</v>
      </c>
      <c r="O2404" s="150">
        <f t="shared" si="724"/>
        <v>-0.0118927635557348</v>
      </c>
      <c r="P2404" s="150">
        <f t="shared" si="729"/>
        <v>-0.0258346581875993</v>
      </c>
      <c r="Q2404" s="89">
        <f t="shared" si="731"/>
        <v>-0.14</v>
      </c>
      <c r="S2404" s="82">
        <f t="shared" si="732"/>
        <v>45884</v>
      </c>
      <c r="T2404" s="83">
        <f t="shared" si="735"/>
        <v>0.3854375</v>
      </c>
      <c r="U2404" s="83">
        <f t="shared" si="735"/>
        <v>0.328125</v>
      </c>
      <c r="W2404" s="146">
        <v>45884</v>
      </c>
      <c r="X2404" s="147">
        <v>8.2</v>
      </c>
      <c r="Y2404" s="147">
        <v>4.85</v>
      </c>
      <c r="Z2404" s="158">
        <v>6.167</v>
      </c>
      <c r="AA2404" s="59" cm="1">
        <f t="array" ref="AA2404">INDEX($BX$29:$BX$1449,MATCH($D2404,$BR$29:$BR$1449,0),)</f>
        <v>5.25</v>
      </c>
      <c r="AB2404" s="150">
        <f t="shared" si="733"/>
        <v>0</v>
      </c>
      <c r="AC2404" s="150">
        <f t="shared" si="736"/>
        <v>-0.00419828839011782</v>
      </c>
      <c r="AD2404" s="150">
        <f t="shared" si="739"/>
        <v>0</v>
      </c>
      <c r="AE2404" s="89">
        <f t="shared" si="734"/>
        <v>0.174666666666667</v>
      </c>
    </row>
    <row r="2405" spans="3:31">
      <c r="C2405" s="80" t="str" cm="1">
        <f t="array" ref="C2405">_xlfn.IFS(MONTH(D2405)&lt;4,1,MONTH(D2405)&lt;7,2,MONTH(D2405)&lt;10,3,MONTH(D2405)&gt;9,4)&amp;"Q"&amp;RIGHT(YEAR(D2405),2)</f>
        <v>3Q25</v>
      </c>
      <c r="D2405" s="81">
        <f t="shared" si="738"/>
        <v>45900</v>
      </c>
      <c r="E2405" s="82">
        <f t="shared" si="730"/>
        <v>45887</v>
      </c>
      <c r="F2405" s="83">
        <f t="shared" si="737"/>
        <v>0.612375</v>
      </c>
      <c r="G2405" s="83">
        <f t="shared" si="737"/>
        <v>0.7125</v>
      </c>
      <c r="I2405" s="146">
        <v>45887</v>
      </c>
      <c r="J2405" s="147">
        <v>8.25</v>
      </c>
      <c r="K2405" s="147">
        <v>3.2</v>
      </c>
      <c r="L2405" s="158">
        <v>4.899</v>
      </c>
      <c r="M2405" s="59" cm="1">
        <f t="array" ref="M2405">INDEX($BV$29:$BV$1449,MATCH($D2405,$BR$29:$BR$1449,0),)</f>
        <v>5.7</v>
      </c>
      <c r="N2405" s="150">
        <f t="shared" si="723"/>
        <v>-0.000611995104039198</v>
      </c>
      <c r="O2405" s="150">
        <f t="shared" si="724"/>
        <v>-0.0115012106537531</v>
      </c>
      <c r="P2405" s="150">
        <f t="shared" si="729"/>
        <v>-0.0239091452480574</v>
      </c>
      <c r="Q2405" s="89">
        <f t="shared" si="731"/>
        <v>-0.140526315789474</v>
      </c>
      <c r="S2405" s="82">
        <f t="shared" si="732"/>
        <v>45887</v>
      </c>
      <c r="T2405" s="83">
        <f t="shared" si="735"/>
        <v>0.3854375</v>
      </c>
      <c r="U2405" s="83">
        <f t="shared" si="735"/>
        <v>0.328125</v>
      </c>
      <c r="W2405" s="146">
        <v>45887</v>
      </c>
      <c r="X2405" s="147">
        <v>8</v>
      </c>
      <c r="Y2405" s="147">
        <v>4.86</v>
      </c>
      <c r="Z2405" s="158">
        <v>6.167</v>
      </c>
      <c r="AA2405" s="59" cm="1">
        <f t="array" ref="AA2405">INDEX($BX$29:$BX$1449,MATCH($D2405,$BR$29:$BR$1449,0),)</f>
        <v>5.25</v>
      </c>
      <c r="AB2405" s="150">
        <f t="shared" si="733"/>
        <v>0</v>
      </c>
      <c r="AC2405" s="150">
        <f t="shared" si="736"/>
        <v>-0.00532258064516133</v>
      </c>
      <c r="AD2405" s="150">
        <f t="shared" si="739"/>
        <v>0</v>
      </c>
      <c r="AE2405" s="89">
        <f t="shared" si="734"/>
        <v>0.174666666666667</v>
      </c>
    </row>
    <row r="2406" spans="3:31">
      <c r="C2406" s="80" t="str" cm="1">
        <f t="array" ref="C2406">_xlfn.IFS(MONTH(D2406)&lt;4,1,MONTH(D2406)&lt;7,2,MONTH(D2406)&lt;10,3,MONTH(D2406)&gt;9,4)&amp;"Q"&amp;RIGHT(YEAR(D2406),2)</f>
        <v>3Q25</v>
      </c>
      <c r="D2406" s="81">
        <f t="shared" si="738"/>
        <v>45900</v>
      </c>
      <c r="E2406" s="82">
        <f t="shared" si="730"/>
        <v>45888</v>
      </c>
      <c r="F2406" s="83">
        <f t="shared" si="737"/>
        <v>0.61175</v>
      </c>
      <c r="G2406" s="83">
        <f t="shared" si="737"/>
        <v>0.7125</v>
      </c>
      <c r="I2406" s="146">
        <v>45888</v>
      </c>
      <c r="J2406" s="147">
        <v>8.25</v>
      </c>
      <c r="K2406" s="147">
        <v>3.2</v>
      </c>
      <c r="L2406" s="158">
        <v>4.894</v>
      </c>
      <c r="M2406" s="59" cm="1">
        <f t="array" ref="M2406">INDEX($BV$29:$BV$1449,MATCH($D2406,$BR$29:$BR$1449,0),)</f>
        <v>5.7</v>
      </c>
      <c r="N2406" s="150">
        <f t="shared" si="723"/>
        <v>-0.0010206164523372</v>
      </c>
      <c r="O2406" s="150">
        <f t="shared" si="724"/>
        <v>-0.00710083181172649</v>
      </c>
      <c r="P2406" s="150">
        <f t="shared" si="729"/>
        <v>-0.0212</v>
      </c>
      <c r="Q2406" s="89">
        <f t="shared" si="731"/>
        <v>-0.14140350877193</v>
      </c>
      <c r="S2406" s="82">
        <f t="shared" si="732"/>
        <v>45888</v>
      </c>
      <c r="T2406" s="83">
        <f t="shared" si="735"/>
        <v>0.3839375</v>
      </c>
      <c r="U2406" s="83">
        <f t="shared" si="735"/>
        <v>0.328125</v>
      </c>
      <c r="W2406" s="146">
        <v>45888</v>
      </c>
      <c r="X2406" s="147">
        <v>7.9</v>
      </c>
      <c r="Y2406" s="147">
        <v>4.8</v>
      </c>
      <c r="Z2406" s="158">
        <v>6.143</v>
      </c>
      <c r="AA2406" s="59" cm="1">
        <f t="array" ref="AA2406">INDEX($BX$29:$BX$1449,MATCH($D2406,$BR$29:$BR$1449,0),)</f>
        <v>5.25</v>
      </c>
      <c r="AB2406" s="150">
        <f t="shared" si="733"/>
        <v>-0.00389168153072805</v>
      </c>
      <c r="AC2406" s="150">
        <f t="shared" si="736"/>
        <v>-0.00646935144751737</v>
      </c>
      <c r="AD2406" s="150">
        <f t="shared" si="739"/>
        <v>-0.00275974025974035</v>
      </c>
      <c r="AE2406" s="89">
        <f t="shared" si="734"/>
        <v>0.170095238095238</v>
      </c>
    </row>
    <row r="2407" spans="3:31">
      <c r="C2407" s="80" t="str" cm="1">
        <f t="array" ref="C2407">_xlfn.IFS(MONTH(D2407)&lt;4,1,MONTH(D2407)&lt;7,2,MONTH(D2407)&lt;10,3,MONTH(D2407)&gt;9,4)&amp;"Q"&amp;RIGHT(YEAR(D2407),2)</f>
        <v>3Q25</v>
      </c>
      <c r="D2407" s="81">
        <f t="shared" si="738"/>
        <v>45900</v>
      </c>
      <c r="E2407" s="82">
        <f t="shared" si="730"/>
        <v>45889</v>
      </c>
      <c r="F2407" s="83">
        <f t="shared" si="737"/>
        <v>0.611375</v>
      </c>
      <c r="G2407" s="83">
        <f t="shared" si="737"/>
        <v>0.7125</v>
      </c>
      <c r="I2407" s="146">
        <v>45889</v>
      </c>
      <c r="J2407" s="147">
        <v>8.25</v>
      </c>
      <c r="K2407" s="147">
        <v>3.2</v>
      </c>
      <c r="L2407" s="158">
        <v>4.891</v>
      </c>
      <c r="M2407" s="59" cm="1">
        <f t="array" ref="M2407">INDEX($BV$29:$BV$1449,MATCH($D2407,$BR$29:$BR$1449,0),)</f>
        <v>5.7</v>
      </c>
      <c r="N2407" s="150">
        <f t="shared" si="723"/>
        <v>-0.00061299550469962</v>
      </c>
      <c r="O2407" s="150">
        <f t="shared" si="724"/>
        <v>-0.00326064805380066</v>
      </c>
      <c r="P2407" s="150">
        <f t="shared" si="729"/>
        <v>-0.0198396793587174</v>
      </c>
      <c r="Q2407" s="89">
        <f t="shared" si="731"/>
        <v>-0.141929824561404</v>
      </c>
      <c r="S2407" s="82">
        <f t="shared" si="732"/>
        <v>45889</v>
      </c>
      <c r="T2407" s="83">
        <f t="shared" si="735"/>
        <v>0.3823125</v>
      </c>
      <c r="U2407" s="83">
        <f t="shared" si="735"/>
        <v>0.328125</v>
      </c>
      <c r="W2407" s="146">
        <v>45889</v>
      </c>
      <c r="X2407" s="147">
        <v>7.9</v>
      </c>
      <c r="Y2407" s="147">
        <v>4.75</v>
      </c>
      <c r="Z2407" s="158">
        <v>6.117</v>
      </c>
      <c r="AA2407" s="59" cm="1">
        <f t="array" ref="AA2407">INDEX($BX$29:$BX$1449,MATCH($D2407,$BR$29:$BR$1449,0),)</f>
        <v>5.25</v>
      </c>
      <c r="AB2407" s="150">
        <f t="shared" si="733"/>
        <v>-0.00423245971023922</v>
      </c>
      <c r="AC2407" s="150">
        <f t="shared" si="736"/>
        <v>-0.0106744298884036</v>
      </c>
      <c r="AD2407" s="150">
        <f t="shared" si="739"/>
        <v>-0.00698051948051948</v>
      </c>
      <c r="AE2407" s="89">
        <f t="shared" si="734"/>
        <v>0.165142857142857</v>
      </c>
    </row>
    <row r="2408" spans="3:31">
      <c r="C2408" s="80" t="str" cm="1">
        <f t="array" ref="C2408">_xlfn.IFS(MONTH(D2408)&lt;4,1,MONTH(D2408)&lt;7,2,MONTH(D2408)&lt;10,3,MONTH(D2408)&gt;9,4)&amp;"Q"&amp;RIGHT(YEAR(D2408),2)</f>
        <v>3Q25</v>
      </c>
      <c r="D2408" s="81">
        <f t="shared" si="738"/>
        <v>45900</v>
      </c>
      <c r="E2408" s="82">
        <f t="shared" si="730"/>
        <v>45890</v>
      </c>
      <c r="F2408" s="83">
        <f t="shared" si="737"/>
        <v>0.606875</v>
      </c>
      <c r="G2408" s="83">
        <f t="shared" si="737"/>
        <v>0.7125</v>
      </c>
      <c r="I2408" s="146">
        <v>45890</v>
      </c>
      <c r="J2408" s="147">
        <v>8.25</v>
      </c>
      <c r="K2408" s="147">
        <v>3.18</v>
      </c>
      <c r="L2408" s="158">
        <v>4.855</v>
      </c>
      <c r="M2408" s="59" cm="1">
        <f t="array" ref="M2408">INDEX($BV$29:$BV$1449,MATCH($D2408,$BR$29:$BR$1449,0),)</f>
        <v>5.7</v>
      </c>
      <c r="N2408" s="150">
        <f t="shared" si="723"/>
        <v>-0.00736045798405227</v>
      </c>
      <c r="O2408" s="150">
        <f t="shared" si="724"/>
        <v>-0.00999184339314829</v>
      </c>
      <c r="P2408" s="150">
        <f t="shared" si="729"/>
        <v>-0.0219580983078163</v>
      </c>
      <c r="Q2408" s="89">
        <f t="shared" si="731"/>
        <v>-0.148245614035088</v>
      </c>
      <c r="S2408" s="82">
        <f t="shared" si="732"/>
        <v>45890</v>
      </c>
      <c r="T2408" s="83">
        <f t="shared" ref="T2408:U2423" si="740">+Z2408/16</f>
        <v>0.3801875</v>
      </c>
      <c r="U2408" s="83">
        <f t="shared" si="740"/>
        <v>0.328125</v>
      </c>
      <c r="W2408" s="146">
        <v>45890</v>
      </c>
      <c r="X2408" s="147">
        <v>7.9</v>
      </c>
      <c r="Y2408" s="147">
        <v>4.75</v>
      </c>
      <c r="Z2408" s="158">
        <v>6.083</v>
      </c>
      <c r="AA2408" s="59" cm="1">
        <f t="array" ref="AA2408">INDEX($BX$29:$BX$1449,MATCH($D2408,$BR$29:$BR$1449,0),)</f>
        <v>5.25</v>
      </c>
      <c r="AB2408" s="150">
        <f t="shared" si="733"/>
        <v>-0.00555828020271376</v>
      </c>
      <c r="AC2408" s="150">
        <f t="shared" si="736"/>
        <v>-0.0136208853575481</v>
      </c>
      <c r="AD2408" s="150">
        <f t="shared" si="739"/>
        <v>-0.0125</v>
      </c>
      <c r="AE2408" s="89">
        <f t="shared" si="734"/>
        <v>0.158666666666667</v>
      </c>
    </row>
    <row r="2409" spans="3:31">
      <c r="C2409" s="80" t="str" cm="1">
        <f t="array" ref="C2409">_xlfn.IFS(MONTH(D2409)&lt;4,1,MONTH(D2409)&lt;7,2,MONTH(D2409)&lt;10,3,MONTH(D2409)&gt;9,4)&amp;"Q"&amp;RIGHT(YEAR(D2409),2)</f>
        <v>3Q25</v>
      </c>
      <c r="D2409" s="81">
        <f t="shared" si="738"/>
        <v>45900</v>
      </c>
      <c r="E2409" s="82">
        <f t="shared" si="730"/>
        <v>45891</v>
      </c>
      <c r="F2409" s="83">
        <f t="shared" si="737"/>
        <v>0.606875</v>
      </c>
      <c r="G2409" s="83">
        <f t="shared" si="737"/>
        <v>0.7125</v>
      </c>
      <c r="I2409" s="146">
        <v>45891</v>
      </c>
      <c r="J2409" s="147">
        <v>8.25</v>
      </c>
      <c r="K2409" s="147">
        <v>3.18</v>
      </c>
      <c r="L2409" s="158">
        <v>4.855</v>
      </c>
      <c r="M2409" s="59" cm="1">
        <f t="array" ref="M2409">INDEX($BV$29:$BV$1449,MATCH($D2409,$BR$29:$BR$1449,0),)</f>
        <v>5.7</v>
      </c>
      <c r="N2409" s="150">
        <f t="shared" si="723"/>
        <v>0</v>
      </c>
      <c r="O2409" s="150">
        <f t="shared" si="724"/>
        <v>-0.00958792329661362</v>
      </c>
      <c r="P2409" s="150">
        <f t="shared" si="729"/>
        <v>-0.0213666599475912</v>
      </c>
      <c r="Q2409" s="89">
        <f t="shared" si="731"/>
        <v>-0.148245614035088</v>
      </c>
      <c r="S2409" s="82">
        <f t="shared" si="732"/>
        <v>45891</v>
      </c>
      <c r="T2409" s="83">
        <f t="shared" si="740"/>
        <v>0.3779375</v>
      </c>
      <c r="U2409" s="83">
        <f t="shared" si="740"/>
        <v>0.328125</v>
      </c>
      <c r="W2409" s="146">
        <v>45891</v>
      </c>
      <c r="X2409" s="147">
        <v>7.8</v>
      </c>
      <c r="Y2409" s="147">
        <v>4.75</v>
      </c>
      <c r="Z2409" s="158">
        <v>6.047</v>
      </c>
      <c r="AA2409" s="59" cm="1">
        <f t="array" ref="AA2409">INDEX($BX$29:$BX$1449,MATCH($D2409,$BR$29:$BR$1449,0),)</f>
        <v>5.25</v>
      </c>
      <c r="AB2409" s="150">
        <f t="shared" si="733"/>
        <v>-0.00591813250041107</v>
      </c>
      <c r="AC2409" s="150">
        <f t="shared" si="736"/>
        <v>-0.0194584076536404</v>
      </c>
      <c r="AD2409" s="150">
        <f t="shared" si="739"/>
        <v>-0.0235750040368158</v>
      </c>
      <c r="AE2409" s="89">
        <f t="shared" si="734"/>
        <v>0.151809523809524</v>
      </c>
    </row>
    <row r="2410" spans="3:31">
      <c r="C2410" s="80" t="str" cm="1">
        <f t="array" ref="C2410">_xlfn.IFS(MONTH(D2410)&lt;4,1,MONTH(D2410)&lt;7,2,MONTH(D2410)&lt;10,3,MONTH(D2410)&gt;9,4)&amp;"Q"&amp;RIGHT(YEAR(D2410),2)</f>
        <v>3Q25</v>
      </c>
      <c r="D2410" s="81">
        <f t="shared" si="738"/>
        <v>45900</v>
      </c>
      <c r="E2410" s="82">
        <f t="shared" si="730"/>
        <v>45894</v>
      </c>
      <c r="F2410" s="83">
        <f t="shared" ref="F2410:G2425" si="741">+L2410/8</f>
        <v>0.606875</v>
      </c>
      <c r="G2410" s="83">
        <f t="shared" si="741"/>
        <v>0.7125</v>
      </c>
      <c r="I2410" s="146">
        <v>45894</v>
      </c>
      <c r="J2410" s="147">
        <v>8.25</v>
      </c>
      <c r="K2410" s="147">
        <v>3.19</v>
      </c>
      <c r="L2410" s="158">
        <v>4.855</v>
      </c>
      <c r="M2410" s="59" cm="1">
        <f t="array" ref="M2410">INDEX($BV$29:$BV$1449,MATCH($D2410,$BR$29:$BR$1449,0),)</f>
        <v>5.7</v>
      </c>
      <c r="N2410" s="150">
        <f t="shared" si="723"/>
        <v>0</v>
      </c>
      <c r="O2410" s="150">
        <f t="shared" si="724"/>
        <v>-0.0089814247805674</v>
      </c>
      <c r="P2410" s="150">
        <f t="shared" si="729"/>
        <v>-0.0203793381759484</v>
      </c>
      <c r="Q2410" s="89">
        <f t="shared" si="731"/>
        <v>-0.148245614035088</v>
      </c>
      <c r="S2410" s="82">
        <f t="shared" si="732"/>
        <v>45894</v>
      </c>
      <c r="T2410" s="83">
        <f t="shared" si="740"/>
        <v>0.3770625</v>
      </c>
      <c r="U2410" s="83">
        <f t="shared" si="740"/>
        <v>0.328125</v>
      </c>
      <c r="W2410" s="146">
        <v>45894</v>
      </c>
      <c r="X2410" s="147">
        <v>7.7</v>
      </c>
      <c r="Y2410" s="147">
        <v>4.73</v>
      </c>
      <c r="Z2410" s="158">
        <v>6.033</v>
      </c>
      <c r="AA2410" s="59" cm="1">
        <f t="array" ref="AA2410">INDEX($BX$29:$BX$1449,MATCH($D2410,$BR$29:$BR$1449,0),)</f>
        <v>5.25</v>
      </c>
      <c r="AB2410" s="150">
        <f t="shared" si="733"/>
        <v>-0.00231519761865373</v>
      </c>
      <c r="AC2410" s="150">
        <f t="shared" si="736"/>
        <v>-0.0217285552132316</v>
      </c>
      <c r="AD2410" s="150">
        <f t="shared" si="739"/>
        <v>-0.0269354838709677</v>
      </c>
      <c r="AE2410" s="89">
        <f t="shared" si="734"/>
        <v>0.149142857142857</v>
      </c>
    </row>
    <row r="2411" spans="3:31">
      <c r="C2411" s="80" t="str" cm="1">
        <f t="array" ref="C2411">_xlfn.IFS(MONTH(D2411)&lt;4,1,MONTH(D2411)&lt;7,2,MONTH(D2411)&lt;10,3,MONTH(D2411)&gt;9,4)&amp;"Q"&amp;RIGHT(YEAR(D2411),2)</f>
        <v>3Q25</v>
      </c>
      <c r="D2411" s="81">
        <f t="shared" si="738"/>
        <v>45900</v>
      </c>
      <c r="E2411" s="82">
        <f t="shared" si="730"/>
        <v>45895</v>
      </c>
      <c r="F2411" s="83">
        <f t="shared" si="741"/>
        <v>0.608875</v>
      </c>
      <c r="G2411" s="83">
        <f t="shared" si="741"/>
        <v>0.7125</v>
      </c>
      <c r="I2411" s="146">
        <v>45895</v>
      </c>
      <c r="J2411" s="147">
        <v>8.25</v>
      </c>
      <c r="K2411" s="147">
        <v>3.19</v>
      </c>
      <c r="L2411" s="158">
        <v>4.871</v>
      </c>
      <c r="M2411" s="59" cm="1">
        <f t="array" ref="M2411">INDEX($BV$29:$BV$1449,MATCH($D2411,$BR$29:$BR$1449,0),)</f>
        <v>5.7</v>
      </c>
      <c r="N2411" s="150">
        <f t="shared" si="723"/>
        <v>0.00329557157569527</v>
      </c>
      <c r="O2411" s="150">
        <f t="shared" si="724"/>
        <v>-0.00469963220269709</v>
      </c>
      <c r="P2411" s="150">
        <f t="shared" si="729"/>
        <v>-0.0117670927165754</v>
      </c>
      <c r="Q2411" s="89">
        <f t="shared" si="731"/>
        <v>-0.145438596491228</v>
      </c>
      <c r="S2411" s="82">
        <f t="shared" si="732"/>
        <v>45895</v>
      </c>
      <c r="T2411" s="83">
        <f t="shared" si="740"/>
        <v>0.3741875</v>
      </c>
      <c r="U2411" s="83">
        <f t="shared" si="740"/>
        <v>0.328125</v>
      </c>
      <c r="W2411" s="146">
        <v>45895</v>
      </c>
      <c r="X2411" s="147">
        <v>7.6</v>
      </c>
      <c r="Y2411" s="147">
        <v>4.75</v>
      </c>
      <c r="Z2411" s="158">
        <v>5.987</v>
      </c>
      <c r="AA2411" s="59" cm="1">
        <f t="array" ref="AA2411">INDEX($BX$29:$BX$1449,MATCH($D2411,$BR$29:$BR$1449,0),)</f>
        <v>5.25</v>
      </c>
      <c r="AB2411" s="150">
        <f t="shared" si="733"/>
        <v>-0.0076247306481021</v>
      </c>
      <c r="AC2411" s="150">
        <f t="shared" si="736"/>
        <v>-0.0253947582614358</v>
      </c>
      <c r="AD2411" s="150">
        <f t="shared" si="739"/>
        <v>-0.0316998220928352</v>
      </c>
      <c r="AE2411" s="89">
        <f t="shared" si="734"/>
        <v>0.140380952380952</v>
      </c>
    </row>
    <row r="2412" spans="3:31">
      <c r="C2412" s="80" t="str" cm="1">
        <f t="array" ref="C2412">_xlfn.IFS(MONTH(D2412)&lt;4,1,MONTH(D2412)&lt;7,2,MONTH(D2412)&lt;10,3,MONTH(D2412)&gt;9,4)&amp;"Q"&amp;RIGHT(YEAR(D2412),2)</f>
        <v>3Q25</v>
      </c>
      <c r="D2412" s="81">
        <f t="shared" si="738"/>
        <v>45900</v>
      </c>
      <c r="E2412" s="82">
        <f t="shared" si="730"/>
        <v>45896</v>
      </c>
      <c r="F2412" s="83">
        <f t="shared" si="741"/>
        <v>0.609375</v>
      </c>
      <c r="G2412" s="83">
        <f t="shared" si="741"/>
        <v>0.7125</v>
      </c>
      <c r="I2412" s="146">
        <v>45896</v>
      </c>
      <c r="J2412" s="147">
        <v>8.25</v>
      </c>
      <c r="K2412" s="147">
        <v>3.12</v>
      </c>
      <c r="L2412" s="158">
        <v>4.875</v>
      </c>
      <c r="M2412" s="59" cm="1">
        <f t="array" ref="M2412">INDEX($BV$29:$BV$1449,MATCH($D2412,$BR$29:$BR$1449,0),)</f>
        <v>5.7</v>
      </c>
      <c r="N2412" s="150">
        <f t="shared" ref="N2412:N2475" si="742">L2412/L2411-1</f>
        <v>0.000821186614658131</v>
      </c>
      <c r="O2412" s="150">
        <f t="shared" ref="O2412:O2475" si="743">L2412/L2407-1</f>
        <v>-0.00327131465957886</v>
      </c>
      <c r="P2412" s="150">
        <f t="shared" si="729"/>
        <v>-0.00652129610760144</v>
      </c>
      <c r="Q2412" s="89">
        <f t="shared" si="731"/>
        <v>-0.144736842105263</v>
      </c>
      <c r="S2412" s="82">
        <f t="shared" si="732"/>
        <v>45896</v>
      </c>
      <c r="T2412" s="83">
        <f t="shared" si="740"/>
        <v>0.375</v>
      </c>
      <c r="U2412" s="83">
        <f t="shared" si="740"/>
        <v>0.328125</v>
      </c>
      <c r="W2412" s="146">
        <v>45896</v>
      </c>
      <c r="X2412" s="147">
        <v>7.6</v>
      </c>
      <c r="Y2412" s="147">
        <v>4.8</v>
      </c>
      <c r="Z2412" s="158">
        <v>6</v>
      </c>
      <c r="AA2412" s="59" cm="1">
        <f t="array" ref="AA2412">INDEX($BX$29:$BX$1449,MATCH($D2412,$BR$29:$BR$1449,0),)</f>
        <v>5.25</v>
      </c>
      <c r="AB2412" s="150">
        <f t="shared" si="733"/>
        <v>0.00217137130449307</v>
      </c>
      <c r="AC2412" s="150">
        <f t="shared" si="736"/>
        <v>-0.0191270230505149</v>
      </c>
      <c r="AD2412" s="150">
        <f t="shared" si="739"/>
        <v>-0.0295972828723921</v>
      </c>
      <c r="AE2412" s="89">
        <f t="shared" si="734"/>
        <v>0.142857142857143</v>
      </c>
    </row>
    <row r="2413" spans="3:31">
      <c r="C2413" s="80" t="str" cm="1">
        <f t="array" ref="C2413">_xlfn.IFS(MONTH(D2413)&lt;4,1,MONTH(D2413)&lt;7,2,MONTH(D2413)&lt;10,3,MONTH(D2413)&gt;9,4)&amp;"Q"&amp;RIGHT(YEAR(D2413),2)</f>
        <v>3Q25</v>
      </c>
      <c r="D2413" s="81">
        <f t="shared" si="738"/>
        <v>45900</v>
      </c>
      <c r="E2413" s="82">
        <f t="shared" si="730"/>
        <v>45897</v>
      </c>
      <c r="F2413" s="83">
        <f t="shared" si="741"/>
        <v>0.609375</v>
      </c>
      <c r="G2413" s="83">
        <f t="shared" si="741"/>
        <v>0.7125</v>
      </c>
      <c r="I2413" s="146">
        <v>45897</v>
      </c>
      <c r="J2413" s="147">
        <v>8.25</v>
      </c>
      <c r="K2413" s="147">
        <v>3.12</v>
      </c>
      <c r="L2413" s="158">
        <v>4.875</v>
      </c>
      <c r="M2413" s="59" cm="1">
        <f t="array" ref="M2413">INDEX($BV$29:$BV$1449,MATCH($D2413,$BR$29:$BR$1449,0),)</f>
        <v>5.7</v>
      </c>
      <c r="N2413" s="150">
        <f t="shared" si="742"/>
        <v>0</v>
      </c>
      <c r="O2413" s="150">
        <f t="shared" si="743"/>
        <v>0.00411946446961897</v>
      </c>
      <c r="P2413" s="150">
        <f t="shared" si="729"/>
        <v>-0.00591353996737354</v>
      </c>
      <c r="Q2413" s="89">
        <f t="shared" si="731"/>
        <v>-0.144736842105263</v>
      </c>
      <c r="S2413" s="82">
        <f t="shared" si="732"/>
        <v>45897</v>
      </c>
      <c r="T2413" s="83">
        <f t="shared" si="740"/>
        <v>0.3760625</v>
      </c>
      <c r="U2413" s="83">
        <f t="shared" si="740"/>
        <v>0.328125</v>
      </c>
      <c r="W2413" s="146">
        <v>45897</v>
      </c>
      <c r="X2413" s="147">
        <v>7.55</v>
      </c>
      <c r="Y2413" s="147">
        <v>4.8</v>
      </c>
      <c r="Z2413" s="158">
        <v>6.017</v>
      </c>
      <c r="AA2413" s="59" cm="1">
        <f t="array" ref="AA2413">INDEX($BX$29:$BX$1449,MATCH($D2413,$BR$29:$BR$1449,0),)</f>
        <v>5.25</v>
      </c>
      <c r="AB2413" s="150">
        <f t="shared" si="733"/>
        <v>0.00283333333333347</v>
      </c>
      <c r="AC2413" s="150">
        <f t="shared" si="736"/>
        <v>-0.0108499095840868</v>
      </c>
      <c r="AD2413" s="150">
        <f t="shared" si="739"/>
        <v>-0.0243230095670504</v>
      </c>
      <c r="AE2413" s="89">
        <f t="shared" si="734"/>
        <v>0.146095238095238</v>
      </c>
    </row>
    <row r="2414" spans="3:31">
      <c r="C2414" s="80" t="str" cm="1">
        <f t="array" ref="C2414">_xlfn.IFS(MONTH(D2414)&lt;4,1,MONTH(D2414)&lt;7,2,MONTH(D2414)&lt;10,3,MONTH(D2414)&gt;9,4)&amp;"Q"&amp;RIGHT(YEAR(D2414),2)</f>
        <v>3Q25</v>
      </c>
      <c r="D2414" s="81">
        <f t="shared" si="738"/>
        <v>45900</v>
      </c>
      <c r="E2414" s="82">
        <f t="shared" si="730"/>
        <v>45898</v>
      </c>
      <c r="F2414" s="83">
        <f t="shared" si="741"/>
        <v>0.607375</v>
      </c>
      <c r="G2414" s="83">
        <f t="shared" si="741"/>
        <v>0.7125</v>
      </c>
      <c r="I2414" s="146">
        <v>45898</v>
      </c>
      <c r="J2414" s="147">
        <v>8.25</v>
      </c>
      <c r="K2414" s="147">
        <v>3.12</v>
      </c>
      <c r="L2414" s="158">
        <v>4.859</v>
      </c>
      <c r="M2414" s="59" cm="1">
        <f t="array" ref="M2414">INDEX($BV$29:$BV$1449,MATCH($D2414,$BR$29:$BR$1449,0),)</f>
        <v>5.7</v>
      </c>
      <c r="N2414" s="150">
        <f t="shared" si="742"/>
        <v>-0.00328205128205128</v>
      </c>
      <c r="O2414" s="150">
        <f t="shared" si="743"/>
        <v>0.000823892893923706</v>
      </c>
      <c r="P2414" s="150">
        <f t="shared" si="729"/>
        <v>-0.00877192982456143</v>
      </c>
      <c r="Q2414" s="89">
        <f t="shared" si="731"/>
        <v>-0.147543859649123</v>
      </c>
      <c r="S2414" s="82">
        <f t="shared" si="732"/>
        <v>45898</v>
      </c>
      <c r="T2414" s="83">
        <f t="shared" si="740"/>
        <v>0.3760625</v>
      </c>
      <c r="U2414" s="83">
        <f t="shared" si="740"/>
        <v>0.328125</v>
      </c>
      <c r="W2414" s="146">
        <v>45898</v>
      </c>
      <c r="X2414" s="147">
        <v>7.55</v>
      </c>
      <c r="Y2414" s="147">
        <v>4.85</v>
      </c>
      <c r="Z2414" s="158">
        <v>6.017</v>
      </c>
      <c r="AA2414" s="59" cm="1">
        <f t="array" ref="AA2414">INDEX($BX$29:$BX$1449,MATCH($D2414,$BR$29:$BR$1449,0),)</f>
        <v>5.25</v>
      </c>
      <c r="AB2414" s="150">
        <f t="shared" si="733"/>
        <v>0</v>
      </c>
      <c r="AC2414" s="150">
        <f t="shared" si="736"/>
        <v>-0.00496113775425822</v>
      </c>
      <c r="AD2414" s="150">
        <f t="shared" si="739"/>
        <v>-0.0243230095670504</v>
      </c>
      <c r="AE2414" s="89">
        <f t="shared" si="734"/>
        <v>0.146095238095238</v>
      </c>
    </row>
    <row r="2415" spans="3:31">
      <c r="C2415" s="80" t="str" cm="1">
        <f t="array" ref="C2415">_xlfn.IFS(MONTH(D2415)&lt;4,1,MONTH(D2415)&lt;7,2,MONTH(D2415)&lt;10,3,MONTH(D2415)&gt;9,4)&amp;"Q"&amp;RIGHT(YEAR(D2415),2)</f>
        <v>3Q25</v>
      </c>
      <c r="D2415" s="81">
        <f t="shared" si="738"/>
        <v>45930</v>
      </c>
      <c r="E2415" s="82">
        <f t="shared" si="730"/>
        <v>45901</v>
      </c>
      <c r="F2415" s="83">
        <f t="shared" si="741"/>
        <v>0.607125</v>
      </c>
      <c r="G2415" s="83">
        <f t="shared" si="741"/>
        <v>0.7875</v>
      </c>
      <c r="I2415" s="146">
        <v>45901</v>
      </c>
      <c r="J2415" s="147">
        <v>8.3</v>
      </c>
      <c r="K2415" s="147">
        <v>3.1</v>
      </c>
      <c r="L2415" s="158">
        <v>4.857</v>
      </c>
      <c r="M2415" s="59" cm="1">
        <f t="array" ref="M2415">INDEX($BV$29:$BV$1449,MATCH($D2415,$BR$29:$BR$1449,0),)</f>
        <v>6.3</v>
      </c>
      <c r="N2415" s="150">
        <f t="shared" si="742"/>
        <v>-0.000411607326610386</v>
      </c>
      <c r="O2415" s="150">
        <f t="shared" si="743"/>
        <v>0.000411946446961853</v>
      </c>
      <c r="P2415" s="150">
        <f t="shared" si="729"/>
        <v>-0.00857317819963255</v>
      </c>
      <c r="Q2415" s="89">
        <f t="shared" si="731"/>
        <v>-0.229047619047619</v>
      </c>
      <c r="S2415" s="82">
        <f t="shared" si="732"/>
        <v>45901</v>
      </c>
      <c r="T2415" s="83">
        <f t="shared" si="740"/>
        <v>0.37625</v>
      </c>
      <c r="U2415" s="83">
        <f t="shared" si="740"/>
        <v>0.38125</v>
      </c>
      <c r="W2415" s="146">
        <v>45901</v>
      </c>
      <c r="X2415" s="147">
        <v>7.55</v>
      </c>
      <c r="Y2415" s="147">
        <v>4.85</v>
      </c>
      <c r="Z2415" s="158">
        <v>6.02</v>
      </c>
      <c r="AA2415" s="59" cm="1">
        <f t="array" ref="AA2415">INDEX($BX$29:$BX$1449,MATCH($D2415,$BR$29:$BR$1449,0),)</f>
        <v>6.1</v>
      </c>
      <c r="AB2415" s="150">
        <f t="shared" si="733"/>
        <v>0.000498587335881595</v>
      </c>
      <c r="AC2415" s="150">
        <f t="shared" si="736"/>
        <v>-0.00215481518315941</v>
      </c>
      <c r="AD2415" s="150">
        <f t="shared" si="739"/>
        <v>-0.0238365493757094</v>
      </c>
      <c r="AE2415" s="89">
        <f t="shared" si="734"/>
        <v>-0.0131147540983607</v>
      </c>
    </row>
    <row r="2416" spans="3:31">
      <c r="C2416" s="80" t="str" cm="1">
        <f t="array" ref="C2416">_xlfn.IFS(MONTH(D2416)&lt;4,1,MONTH(D2416)&lt;7,2,MONTH(D2416)&lt;10,3,MONTH(D2416)&gt;9,4)&amp;"Q"&amp;RIGHT(YEAR(D2416),2)</f>
        <v>3Q25</v>
      </c>
      <c r="D2416" s="81">
        <f t="shared" si="738"/>
        <v>45930</v>
      </c>
      <c r="E2416" s="82">
        <f t="shared" si="730"/>
        <v>45902</v>
      </c>
      <c r="F2416" s="83">
        <f t="shared" si="741"/>
        <v>0.60975</v>
      </c>
      <c r="G2416" s="83">
        <f t="shared" si="741"/>
        <v>0.7875</v>
      </c>
      <c r="I2416" s="146">
        <v>45902</v>
      </c>
      <c r="J2416" s="147">
        <v>8.3</v>
      </c>
      <c r="K2416" s="147">
        <v>3.1</v>
      </c>
      <c r="L2416" s="158">
        <v>4.878</v>
      </c>
      <c r="M2416" s="59" cm="1">
        <f t="array" ref="M2416">INDEX($BV$29:$BV$1449,MATCH($D2416,$BR$29:$BR$1449,0),)</f>
        <v>6.3</v>
      </c>
      <c r="N2416" s="150">
        <f t="shared" si="742"/>
        <v>0.0043236565781346</v>
      </c>
      <c r="O2416" s="150">
        <f t="shared" si="743"/>
        <v>0.00143707657565173</v>
      </c>
      <c r="P2416" s="150">
        <f t="shared" si="729"/>
        <v>-0.00326930935839809</v>
      </c>
      <c r="Q2416" s="89">
        <f t="shared" si="731"/>
        <v>-0.225714285714286</v>
      </c>
      <c r="S2416" s="82">
        <f t="shared" si="732"/>
        <v>45902</v>
      </c>
      <c r="T2416" s="83">
        <f t="shared" si="740"/>
        <v>0.378125</v>
      </c>
      <c r="U2416" s="83">
        <f t="shared" si="740"/>
        <v>0.38125</v>
      </c>
      <c r="W2416" s="146">
        <v>45902</v>
      </c>
      <c r="X2416" s="147">
        <v>7.55</v>
      </c>
      <c r="Y2416" s="147">
        <v>4.9</v>
      </c>
      <c r="Z2416" s="158">
        <v>6.05</v>
      </c>
      <c r="AA2416" s="59" cm="1">
        <f t="array" ref="AA2416">INDEX($BX$29:$BX$1449,MATCH($D2416,$BR$29:$BR$1449,0),)</f>
        <v>6.1</v>
      </c>
      <c r="AB2416" s="150">
        <f t="shared" si="733"/>
        <v>0.00498338870431891</v>
      </c>
      <c r="AC2416" s="150">
        <f t="shared" si="736"/>
        <v>0.0105227993986972</v>
      </c>
      <c r="AD2416" s="150">
        <f t="shared" si="739"/>
        <v>-0.0151391828097021</v>
      </c>
      <c r="AE2416" s="89">
        <f t="shared" si="734"/>
        <v>-0.00819672131147542</v>
      </c>
    </row>
    <row r="2417" spans="3:31">
      <c r="C2417" s="80" t="str" cm="1">
        <f t="array" ref="C2417">_xlfn.IFS(MONTH(D2417)&lt;4,1,MONTH(D2417)&lt;7,2,MONTH(D2417)&lt;10,3,MONTH(D2417)&gt;9,4)&amp;"Q"&amp;RIGHT(YEAR(D2417),2)</f>
        <v>3Q25</v>
      </c>
      <c r="D2417" s="81">
        <f t="shared" si="738"/>
        <v>45930</v>
      </c>
      <c r="E2417" s="82">
        <f t="shared" si="730"/>
        <v>45903</v>
      </c>
      <c r="F2417" s="83">
        <f t="shared" si="741"/>
        <v>0.612</v>
      </c>
      <c r="G2417" s="83">
        <f t="shared" si="741"/>
        <v>0.7875</v>
      </c>
      <c r="I2417" s="146">
        <v>45903</v>
      </c>
      <c r="J2417" s="147">
        <v>8.3</v>
      </c>
      <c r="K2417" s="147">
        <v>3.1</v>
      </c>
      <c r="L2417" s="158">
        <v>4.896</v>
      </c>
      <c r="M2417" s="59" cm="1">
        <f t="array" ref="M2417">INDEX($BV$29:$BV$1449,MATCH($D2417,$BR$29:$BR$1449,0),)</f>
        <v>6.3</v>
      </c>
      <c r="N2417" s="150">
        <f t="shared" si="742"/>
        <v>0.00369003690036895</v>
      </c>
      <c r="O2417" s="150">
        <f t="shared" si="743"/>
        <v>0.00430769230769235</v>
      </c>
      <c r="P2417" s="150">
        <f t="shared" si="729"/>
        <v>0.00102228583111841</v>
      </c>
      <c r="Q2417" s="89">
        <f t="shared" si="731"/>
        <v>-0.222857142857143</v>
      </c>
      <c r="S2417" s="82">
        <f t="shared" si="732"/>
        <v>45903</v>
      </c>
      <c r="T2417" s="83">
        <f t="shared" si="740"/>
        <v>0.378125</v>
      </c>
      <c r="U2417" s="83">
        <f t="shared" si="740"/>
        <v>0.38125</v>
      </c>
      <c r="W2417" s="146">
        <v>45903</v>
      </c>
      <c r="X2417" s="147">
        <v>7.5</v>
      </c>
      <c r="Y2417" s="147">
        <v>4.9</v>
      </c>
      <c r="Z2417" s="158">
        <v>6.05</v>
      </c>
      <c r="AA2417" s="59" cm="1">
        <f t="array" ref="AA2417">INDEX($BX$29:$BX$1449,MATCH($D2417,$BR$29:$BR$1449,0),)</f>
        <v>6.1</v>
      </c>
      <c r="AB2417" s="150">
        <f t="shared" si="733"/>
        <v>0</v>
      </c>
      <c r="AC2417" s="150">
        <f t="shared" si="736"/>
        <v>0.0083333333333333</v>
      </c>
      <c r="AD2417" s="150">
        <f t="shared" si="739"/>
        <v>-0.010953081575936</v>
      </c>
      <c r="AE2417" s="89">
        <f t="shared" si="734"/>
        <v>-0.00819672131147542</v>
      </c>
    </row>
    <row r="2418" spans="3:31">
      <c r="C2418" s="80" t="str" cm="1">
        <f t="array" ref="C2418">_xlfn.IFS(MONTH(D2418)&lt;4,1,MONTH(D2418)&lt;7,2,MONTH(D2418)&lt;10,3,MONTH(D2418)&gt;9,4)&amp;"Q"&amp;RIGHT(YEAR(D2418),2)</f>
        <v>3Q25</v>
      </c>
      <c r="D2418" s="81">
        <f t="shared" si="738"/>
        <v>45930</v>
      </c>
      <c r="E2418" s="82">
        <f t="shared" si="730"/>
        <v>45904</v>
      </c>
      <c r="F2418" s="83">
        <f t="shared" si="741"/>
        <v>0.618125</v>
      </c>
      <c r="G2418" s="83">
        <f t="shared" si="741"/>
        <v>0.7875</v>
      </c>
      <c r="I2418" s="146">
        <v>45904</v>
      </c>
      <c r="J2418" s="147">
        <v>8.3</v>
      </c>
      <c r="K2418" s="147">
        <v>3.15</v>
      </c>
      <c r="L2418" s="158">
        <v>4.945</v>
      </c>
      <c r="M2418" s="59" cm="1">
        <f t="array" ref="M2418">INDEX($BV$29:$BV$1449,MATCH($D2418,$BR$29:$BR$1449,0),)</f>
        <v>6.3</v>
      </c>
      <c r="N2418" s="150">
        <f t="shared" si="742"/>
        <v>0.0100081699346406</v>
      </c>
      <c r="O2418" s="150">
        <f t="shared" si="743"/>
        <v>0.0143589743589745</v>
      </c>
      <c r="P2418" s="150">
        <f t="shared" si="729"/>
        <v>0.0185375901132852</v>
      </c>
      <c r="Q2418" s="89">
        <f t="shared" si="731"/>
        <v>-0.215079365079365</v>
      </c>
      <c r="S2418" s="82">
        <f t="shared" si="732"/>
        <v>45904</v>
      </c>
      <c r="T2418" s="83">
        <f t="shared" si="740"/>
        <v>0.378125</v>
      </c>
      <c r="U2418" s="83">
        <f t="shared" si="740"/>
        <v>0.38125</v>
      </c>
      <c r="W2418" s="146">
        <v>45904</v>
      </c>
      <c r="X2418" s="147">
        <v>7.5</v>
      </c>
      <c r="Y2418" s="147">
        <v>4.9</v>
      </c>
      <c r="Z2418" s="158">
        <v>6.05</v>
      </c>
      <c r="AA2418" s="59" cm="1">
        <f t="array" ref="AA2418">INDEX($BX$29:$BX$1449,MATCH($D2418,$BR$29:$BR$1449,0),)</f>
        <v>6.1</v>
      </c>
      <c r="AB2418" s="150">
        <f t="shared" si="733"/>
        <v>0</v>
      </c>
      <c r="AC2418" s="150">
        <f t="shared" si="736"/>
        <v>0.00548446069469821</v>
      </c>
      <c r="AD2418" s="150">
        <f t="shared" si="739"/>
        <v>-0.00542495479204341</v>
      </c>
      <c r="AE2418" s="89">
        <f t="shared" si="734"/>
        <v>-0.00819672131147542</v>
      </c>
    </row>
    <row r="2419" spans="3:31">
      <c r="C2419" s="80" t="str" cm="1">
        <f t="array" ref="C2419">_xlfn.IFS(MONTH(D2419)&lt;4,1,MONTH(D2419)&lt;7,2,MONTH(D2419)&lt;10,3,MONTH(D2419)&gt;9,4)&amp;"Q"&amp;RIGHT(YEAR(D2419),2)</f>
        <v>3Q25</v>
      </c>
      <c r="D2419" s="81">
        <f t="shared" si="738"/>
        <v>45930</v>
      </c>
      <c r="E2419" s="82">
        <f t="shared" si="730"/>
        <v>45905</v>
      </c>
      <c r="F2419" s="83">
        <f t="shared" si="741"/>
        <v>0.62075</v>
      </c>
      <c r="G2419" s="83">
        <f t="shared" si="741"/>
        <v>0.7875</v>
      </c>
      <c r="I2419" s="146">
        <v>45905</v>
      </c>
      <c r="J2419" s="147">
        <v>8.3</v>
      </c>
      <c r="K2419" s="147">
        <v>3.15</v>
      </c>
      <c r="L2419" s="158">
        <v>4.966</v>
      </c>
      <c r="M2419" s="59" cm="1">
        <f t="array" ref="M2419">INDEX($BV$29:$BV$1449,MATCH($D2419,$BR$29:$BR$1449,0),)</f>
        <v>6.3</v>
      </c>
      <c r="N2419" s="150">
        <f t="shared" si="742"/>
        <v>0.00424671385237607</v>
      </c>
      <c r="O2419" s="150">
        <f t="shared" si="743"/>
        <v>0.0220209919736571</v>
      </c>
      <c r="P2419" s="150">
        <f t="shared" si="729"/>
        <v>0.0228630278063851</v>
      </c>
      <c r="Q2419" s="89">
        <f t="shared" si="731"/>
        <v>-0.211746031746032</v>
      </c>
      <c r="S2419" s="82">
        <f t="shared" si="732"/>
        <v>45905</v>
      </c>
      <c r="T2419" s="83">
        <f t="shared" si="740"/>
        <v>0.378125</v>
      </c>
      <c r="U2419" s="83">
        <f t="shared" si="740"/>
        <v>0.38125</v>
      </c>
      <c r="W2419" s="146">
        <v>45905</v>
      </c>
      <c r="X2419" s="147">
        <v>7.5</v>
      </c>
      <c r="Y2419" s="147">
        <v>4.85</v>
      </c>
      <c r="Z2419" s="158">
        <v>6.05</v>
      </c>
      <c r="AA2419" s="59" cm="1">
        <f t="array" ref="AA2419">INDEX($BX$29:$BX$1449,MATCH($D2419,$BR$29:$BR$1449,0),)</f>
        <v>6.1</v>
      </c>
      <c r="AB2419" s="150">
        <f t="shared" si="733"/>
        <v>0</v>
      </c>
      <c r="AC2419" s="150">
        <f t="shared" si="736"/>
        <v>0.00548446069469821</v>
      </c>
      <c r="AD2419" s="150">
        <f t="shared" si="739"/>
        <v>0.000496113775425799</v>
      </c>
      <c r="AE2419" s="89">
        <f t="shared" si="734"/>
        <v>-0.00819672131147542</v>
      </c>
    </row>
    <row r="2420" spans="3:31">
      <c r="C2420" s="80" t="str" cm="1">
        <f t="array" ref="C2420">_xlfn.IFS(MONTH(D2420)&lt;4,1,MONTH(D2420)&lt;7,2,MONTH(D2420)&lt;10,3,MONTH(D2420)&gt;9,4)&amp;"Q"&amp;RIGHT(YEAR(D2420),2)</f>
        <v>3Q25</v>
      </c>
      <c r="D2420" s="81">
        <f t="shared" si="738"/>
        <v>45930</v>
      </c>
      <c r="E2420" s="82">
        <f t="shared" si="730"/>
        <v>45908</v>
      </c>
      <c r="F2420" s="83">
        <f t="shared" si="741"/>
        <v>0.62525</v>
      </c>
      <c r="G2420" s="83">
        <f t="shared" si="741"/>
        <v>0.7875</v>
      </c>
      <c r="I2420" s="146">
        <v>45908</v>
      </c>
      <c r="J2420" s="147">
        <v>8.4</v>
      </c>
      <c r="K2420" s="147">
        <v>3.25</v>
      </c>
      <c r="L2420" s="158">
        <v>5.002</v>
      </c>
      <c r="M2420" s="59" cm="1">
        <f t="array" ref="M2420">INDEX($BV$29:$BV$1449,MATCH($D2420,$BR$29:$BR$1449,0),)</f>
        <v>6.3</v>
      </c>
      <c r="N2420" s="150">
        <f t="shared" si="742"/>
        <v>0.00724929520741036</v>
      </c>
      <c r="O2420" s="150">
        <f t="shared" si="743"/>
        <v>0.0298538192299773</v>
      </c>
      <c r="P2420" s="150">
        <f t="shared" si="729"/>
        <v>0.0302780638516991</v>
      </c>
      <c r="Q2420" s="89">
        <f t="shared" si="731"/>
        <v>-0.206031746031746</v>
      </c>
      <c r="S2420" s="82">
        <f t="shared" si="732"/>
        <v>45908</v>
      </c>
      <c r="T2420" s="83">
        <f t="shared" si="740"/>
        <v>0.378125</v>
      </c>
      <c r="U2420" s="83">
        <f t="shared" si="740"/>
        <v>0.38125</v>
      </c>
      <c r="W2420" s="146">
        <v>45908</v>
      </c>
      <c r="X2420" s="147">
        <v>7.45</v>
      </c>
      <c r="Y2420" s="147">
        <v>4.85</v>
      </c>
      <c r="Z2420" s="158">
        <v>6.05</v>
      </c>
      <c r="AA2420" s="59" cm="1">
        <f t="array" ref="AA2420">INDEX($BX$29:$BX$1449,MATCH($D2420,$BR$29:$BR$1449,0),)</f>
        <v>6.1</v>
      </c>
      <c r="AB2420" s="150">
        <f t="shared" si="733"/>
        <v>0</v>
      </c>
      <c r="AC2420" s="150">
        <f t="shared" si="736"/>
        <v>0.00498338870431891</v>
      </c>
      <c r="AD2420" s="150">
        <f t="shared" si="739"/>
        <v>0.00281783523951584</v>
      </c>
      <c r="AE2420" s="89">
        <f t="shared" si="734"/>
        <v>-0.00819672131147542</v>
      </c>
    </row>
    <row r="2421" spans="3:31">
      <c r="C2421" s="80" t="str" cm="1">
        <f t="array" ref="C2421">_xlfn.IFS(MONTH(D2421)&lt;4,1,MONTH(D2421)&lt;7,2,MONTH(D2421)&lt;10,3,MONTH(D2421)&gt;9,4)&amp;"Q"&amp;RIGHT(YEAR(D2421),2)</f>
        <v>3Q25</v>
      </c>
      <c r="D2421" s="81">
        <f t="shared" si="738"/>
        <v>45930</v>
      </c>
      <c r="E2421" s="82">
        <f t="shared" si="730"/>
        <v>45909</v>
      </c>
      <c r="F2421" s="83">
        <f t="shared" si="741"/>
        <v>0.63225</v>
      </c>
      <c r="G2421" s="83">
        <f t="shared" si="741"/>
        <v>0.7875</v>
      </c>
      <c r="I2421" s="146">
        <v>45909</v>
      </c>
      <c r="J2421" s="147">
        <v>8.4</v>
      </c>
      <c r="K2421" s="147">
        <v>3.3</v>
      </c>
      <c r="L2421" s="158">
        <v>5.058</v>
      </c>
      <c r="M2421" s="59" cm="1">
        <f t="array" ref="M2421">INDEX($BV$29:$BV$1449,MATCH($D2421,$BR$29:$BR$1449,0),)</f>
        <v>6.3</v>
      </c>
      <c r="N2421" s="150">
        <f t="shared" si="742"/>
        <v>0.0111955217912836</v>
      </c>
      <c r="O2421" s="150">
        <f t="shared" si="743"/>
        <v>0.03690036900369</v>
      </c>
      <c r="P2421" s="150">
        <f t="shared" si="729"/>
        <v>0.0383904742352699</v>
      </c>
      <c r="Q2421" s="89">
        <f t="shared" si="731"/>
        <v>-0.197142857142857</v>
      </c>
      <c r="S2421" s="82">
        <f t="shared" si="732"/>
        <v>45909</v>
      </c>
      <c r="T2421" s="83">
        <f t="shared" si="740"/>
        <v>0.378125</v>
      </c>
      <c r="U2421" s="83">
        <f t="shared" si="740"/>
        <v>0.38125</v>
      </c>
      <c r="W2421" s="146">
        <v>45909</v>
      </c>
      <c r="X2421" s="147">
        <v>7.45</v>
      </c>
      <c r="Y2421" s="147">
        <v>4.85</v>
      </c>
      <c r="Z2421" s="158">
        <v>6.05</v>
      </c>
      <c r="AA2421" s="59" cm="1">
        <f t="array" ref="AA2421">INDEX($BX$29:$BX$1449,MATCH($D2421,$BR$29:$BR$1449,0),)</f>
        <v>6.1</v>
      </c>
      <c r="AB2421" s="150">
        <f t="shared" si="733"/>
        <v>0</v>
      </c>
      <c r="AC2421" s="150">
        <f t="shared" si="736"/>
        <v>0</v>
      </c>
      <c r="AD2421" s="150">
        <f t="shared" si="739"/>
        <v>0.0105227993986972</v>
      </c>
      <c r="AE2421" s="89">
        <f t="shared" si="734"/>
        <v>-0.00819672131147542</v>
      </c>
    </row>
    <row r="2422" spans="3:31">
      <c r="C2422" s="80" t="str" cm="1">
        <f t="array" ref="C2422">_xlfn.IFS(MONTH(D2422)&lt;4,1,MONTH(D2422)&lt;7,2,MONTH(D2422)&lt;10,3,MONTH(D2422)&gt;9,4)&amp;"Q"&amp;RIGHT(YEAR(D2422),2)</f>
        <v>3Q25</v>
      </c>
      <c r="D2422" s="81">
        <f t="shared" si="738"/>
        <v>45930</v>
      </c>
      <c r="E2422" s="82">
        <f t="shared" si="730"/>
        <v>45910</v>
      </c>
      <c r="F2422" s="83">
        <f t="shared" si="741"/>
        <v>0.638875</v>
      </c>
      <c r="G2422" s="83">
        <f t="shared" si="741"/>
        <v>0.7875</v>
      </c>
      <c r="I2422" s="146">
        <v>45910</v>
      </c>
      <c r="J2422" s="147">
        <v>8.6</v>
      </c>
      <c r="K2422" s="147">
        <v>3.33</v>
      </c>
      <c r="L2422" s="158">
        <v>5.111</v>
      </c>
      <c r="M2422" s="59" cm="1">
        <f t="array" ref="M2422">INDEX($BV$29:$BV$1449,MATCH($D2422,$BR$29:$BR$1449,0),)</f>
        <v>6.3</v>
      </c>
      <c r="N2422" s="150">
        <f t="shared" si="742"/>
        <v>0.0104784499802293</v>
      </c>
      <c r="O2422" s="150">
        <f t="shared" si="743"/>
        <v>0.0439133986928104</v>
      </c>
      <c r="P2422" s="150">
        <f t="shared" si="729"/>
        <v>0.0484102564102564</v>
      </c>
      <c r="Q2422" s="89">
        <f t="shared" si="731"/>
        <v>-0.188730158730159</v>
      </c>
      <c r="S2422" s="82">
        <f t="shared" si="732"/>
        <v>45910</v>
      </c>
      <c r="T2422" s="83">
        <f t="shared" si="740"/>
        <v>0.3791875</v>
      </c>
      <c r="U2422" s="83">
        <f t="shared" si="740"/>
        <v>0.38125</v>
      </c>
      <c r="W2422" s="146">
        <v>45910</v>
      </c>
      <c r="X2422" s="147">
        <v>7.45</v>
      </c>
      <c r="Y2422" s="147">
        <v>4.9</v>
      </c>
      <c r="Z2422" s="158">
        <v>6.067</v>
      </c>
      <c r="AA2422" s="59" cm="1">
        <f t="array" ref="AA2422">INDEX($BX$29:$BX$1449,MATCH($D2422,$BR$29:$BR$1449,0),)</f>
        <v>6.1</v>
      </c>
      <c r="AB2422" s="150">
        <f t="shared" si="733"/>
        <v>0.00280991735537195</v>
      </c>
      <c r="AC2422" s="150">
        <f t="shared" si="736"/>
        <v>0.00280991735537195</v>
      </c>
      <c r="AD2422" s="150">
        <f t="shared" si="739"/>
        <v>0.0111666666666668</v>
      </c>
      <c r="AE2422" s="89">
        <f t="shared" si="734"/>
        <v>-0.00540983606557366</v>
      </c>
    </row>
    <row r="2423" spans="3:31">
      <c r="C2423" s="80" t="str" cm="1">
        <f t="array" ref="C2423">_xlfn.IFS(MONTH(D2423)&lt;4,1,MONTH(D2423)&lt;7,2,MONTH(D2423)&lt;10,3,MONTH(D2423)&gt;9,4)&amp;"Q"&amp;RIGHT(YEAR(D2423),2)</f>
        <v>3Q25</v>
      </c>
      <c r="D2423" s="81">
        <f t="shared" si="738"/>
        <v>45930</v>
      </c>
      <c r="E2423" s="82">
        <f t="shared" si="730"/>
        <v>45911</v>
      </c>
      <c r="F2423" s="83">
        <f t="shared" si="741"/>
        <v>0.646625</v>
      </c>
      <c r="G2423" s="83">
        <f t="shared" si="741"/>
        <v>0.7875</v>
      </c>
      <c r="I2423" s="146">
        <v>45911</v>
      </c>
      <c r="J2423" s="147">
        <v>8.6</v>
      </c>
      <c r="K2423" s="147">
        <v>3.35</v>
      </c>
      <c r="L2423" s="158">
        <v>5.173</v>
      </c>
      <c r="M2423" s="59" cm="1">
        <f t="array" ref="M2423">INDEX($BV$29:$BV$1449,MATCH($D2423,$BR$29:$BR$1449,0),)</f>
        <v>6.3</v>
      </c>
      <c r="N2423" s="150">
        <f t="shared" si="742"/>
        <v>0.0121306984934455</v>
      </c>
      <c r="O2423" s="150">
        <f t="shared" si="743"/>
        <v>0.0461071789686551</v>
      </c>
      <c r="P2423" s="150">
        <f t="shared" si="729"/>
        <v>0.0611282051282052</v>
      </c>
      <c r="Q2423" s="89">
        <f t="shared" si="731"/>
        <v>-0.178888888888889</v>
      </c>
      <c r="S2423" s="82">
        <f t="shared" si="732"/>
        <v>45911</v>
      </c>
      <c r="T2423" s="83">
        <f t="shared" si="740"/>
        <v>0.3833125</v>
      </c>
      <c r="U2423" s="83">
        <f t="shared" si="740"/>
        <v>0.38125</v>
      </c>
      <c r="W2423" s="146">
        <v>45911</v>
      </c>
      <c r="X2423" s="147">
        <v>7.45</v>
      </c>
      <c r="Y2423" s="147">
        <v>5</v>
      </c>
      <c r="Z2423" s="158">
        <v>6.133</v>
      </c>
      <c r="AA2423" s="59" cm="1">
        <f t="array" ref="AA2423">INDEX($BX$29:$BX$1449,MATCH($D2423,$BR$29:$BR$1449,0),)</f>
        <v>6.1</v>
      </c>
      <c r="AB2423" s="150">
        <f t="shared" si="733"/>
        <v>0.0108785231580681</v>
      </c>
      <c r="AC2423" s="150">
        <f t="shared" si="736"/>
        <v>0.0137190082644629</v>
      </c>
      <c r="AD2423" s="150">
        <f t="shared" si="739"/>
        <v>0.0192787103207579</v>
      </c>
      <c r="AE2423" s="89">
        <f t="shared" si="734"/>
        <v>0.00540983606557388</v>
      </c>
    </row>
    <row r="2424" spans="3:31">
      <c r="C2424" s="80" t="str" cm="1">
        <f t="array" ref="C2424">_xlfn.IFS(MONTH(D2424)&lt;4,1,MONTH(D2424)&lt;7,2,MONTH(D2424)&lt;10,3,MONTH(D2424)&gt;9,4)&amp;"Q"&amp;RIGHT(YEAR(D2424),2)</f>
        <v>3Q25</v>
      </c>
      <c r="D2424" s="81">
        <f t="shared" si="738"/>
        <v>45930</v>
      </c>
      <c r="E2424" s="82">
        <f t="shared" si="730"/>
        <v>45912</v>
      </c>
      <c r="F2424" s="83">
        <f t="shared" si="741"/>
        <v>0.655375</v>
      </c>
      <c r="G2424" s="83">
        <f t="shared" si="741"/>
        <v>0.7875</v>
      </c>
      <c r="I2424" s="146">
        <v>45912</v>
      </c>
      <c r="J2424" s="147">
        <v>8.6</v>
      </c>
      <c r="K2424" s="147">
        <v>3.4</v>
      </c>
      <c r="L2424" s="158">
        <v>5.243</v>
      </c>
      <c r="M2424" s="59" cm="1">
        <f t="array" ref="M2424">INDEX($BV$29:$BV$1449,MATCH($D2424,$BR$29:$BR$1449,0),)</f>
        <v>6.3</v>
      </c>
      <c r="N2424" s="150">
        <f t="shared" si="742"/>
        <v>0.013531799729364</v>
      </c>
      <c r="O2424" s="150">
        <f t="shared" si="743"/>
        <v>0.0557792992347967</v>
      </c>
      <c r="P2424" s="150">
        <f t="shared" si="729"/>
        <v>0.0790286067091994</v>
      </c>
      <c r="Q2424" s="89">
        <f t="shared" si="731"/>
        <v>-0.167777777777778</v>
      </c>
      <c r="S2424" s="82">
        <f t="shared" si="732"/>
        <v>45912</v>
      </c>
      <c r="T2424" s="83">
        <f t="shared" ref="T2424:U2439" si="744">+Z2424/16</f>
        <v>0.3875</v>
      </c>
      <c r="U2424" s="83">
        <f t="shared" si="744"/>
        <v>0.38125</v>
      </c>
      <c r="W2424" s="146">
        <v>45912</v>
      </c>
      <c r="X2424" s="147">
        <v>7.5</v>
      </c>
      <c r="Y2424" s="147">
        <v>5.1</v>
      </c>
      <c r="Z2424" s="158">
        <v>6.2</v>
      </c>
      <c r="AA2424" s="59" cm="1">
        <f t="array" ref="AA2424">INDEX($BX$29:$BX$1449,MATCH($D2424,$BR$29:$BR$1449,0),)</f>
        <v>6.1</v>
      </c>
      <c r="AB2424" s="150">
        <f t="shared" si="733"/>
        <v>0.0109245067666721</v>
      </c>
      <c r="AC2424" s="150">
        <f t="shared" si="736"/>
        <v>0.0247933884297522</v>
      </c>
      <c r="AD2424" s="150">
        <f t="shared" si="739"/>
        <v>0.0304138274887817</v>
      </c>
      <c r="AE2424" s="89">
        <f t="shared" si="734"/>
        <v>0.0163934426229508</v>
      </c>
    </row>
    <row r="2425" spans="3:31">
      <c r="C2425" s="80" t="str" cm="1">
        <f t="array" ref="C2425">_xlfn.IFS(MONTH(D2425)&lt;4,1,MONTH(D2425)&lt;7,2,MONTH(D2425)&lt;10,3,MONTH(D2425)&gt;9,4)&amp;"Q"&amp;RIGHT(YEAR(D2425),2)</f>
        <v>3Q25</v>
      </c>
      <c r="D2425" s="81">
        <f t="shared" si="738"/>
        <v>45930</v>
      </c>
      <c r="E2425" s="82">
        <f t="shared" si="730"/>
        <v>45915</v>
      </c>
      <c r="F2425" s="83">
        <f t="shared" si="741"/>
        <v>0.66675</v>
      </c>
      <c r="G2425" s="83">
        <f t="shared" si="741"/>
        <v>0.7875</v>
      </c>
      <c r="I2425" s="146">
        <v>45915</v>
      </c>
      <c r="J2425" s="147">
        <v>8.65</v>
      </c>
      <c r="K2425" s="147">
        <v>3.6</v>
      </c>
      <c r="L2425" s="158">
        <v>5.334</v>
      </c>
      <c r="M2425" s="59" cm="1">
        <f t="array" ref="M2425">INDEX($BV$29:$BV$1449,MATCH($D2425,$BR$29:$BR$1449,0),)</f>
        <v>6.3</v>
      </c>
      <c r="N2425" s="150">
        <f t="shared" si="742"/>
        <v>0.0173564753004003</v>
      </c>
      <c r="O2425" s="150">
        <f t="shared" si="743"/>
        <v>0.066373450619752</v>
      </c>
      <c r="P2425" s="150">
        <f t="shared" si="729"/>
        <v>0.0982087708462012</v>
      </c>
      <c r="Q2425" s="89">
        <f t="shared" si="731"/>
        <v>-0.153333333333333</v>
      </c>
      <c r="S2425" s="82">
        <f t="shared" si="732"/>
        <v>45915</v>
      </c>
      <c r="T2425" s="83">
        <f t="shared" si="744"/>
        <v>0.3885</v>
      </c>
      <c r="U2425" s="83">
        <f t="shared" si="744"/>
        <v>0.38125</v>
      </c>
      <c r="W2425" s="146">
        <v>45915</v>
      </c>
      <c r="X2425" s="147">
        <v>7.4</v>
      </c>
      <c r="Y2425" s="147">
        <v>5.15</v>
      </c>
      <c r="Z2425" s="158">
        <v>6.216</v>
      </c>
      <c r="AA2425" s="59" cm="1">
        <f t="array" ref="AA2425">INDEX($BX$29:$BX$1449,MATCH($D2425,$BR$29:$BR$1449,0),)</f>
        <v>6.1</v>
      </c>
      <c r="AB2425" s="150">
        <f t="shared" si="733"/>
        <v>0.00258064516129042</v>
      </c>
      <c r="AC2425" s="150">
        <f t="shared" si="736"/>
        <v>0.0274380165289256</v>
      </c>
      <c r="AD2425" s="150">
        <f t="shared" si="739"/>
        <v>0.0325581395348837</v>
      </c>
      <c r="AE2425" s="89">
        <f t="shared" si="734"/>
        <v>0.0190163934426231</v>
      </c>
    </row>
    <row r="2426" spans="3:31">
      <c r="C2426" s="80" t="str" cm="1">
        <f t="array" ref="C2426">_xlfn.IFS(MONTH(D2426)&lt;4,1,MONTH(D2426)&lt;7,2,MONTH(D2426)&lt;10,3,MONTH(D2426)&gt;9,4)&amp;"Q"&amp;RIGHT(YEAR(D2426),2)</f>
        <v>3Q25</v>
      </c>
      <c r="D2426" s="81">
        <f t="shared" si="738"/>
        <v>45930</v>
      </c>
      <c r="E2426" s="82">
        <f t="shared" si="730"/>
        <v>45916</v>
      </c>
      <c r="F2426" s="83">
        <f t="shared" ref="F2426:G2441" si="745">+L2426/8</f>
        <v>0.678875</v>
      </c>
      <c r="G2426" s="83">
        <f t="shared" si="745"/>
        <v>0.7875</v>
      </c>
      <c r="I2426" s="146">
        <v>45916</v>
      </c>
      <c r="J2426" s="147">
        <v>8.6</v>
      </c>
      <c r="K2426" s="147">
        <v>3.7</v>
      </c>
      <c r="L2426" s="158">
        <v>5.431</v>
      </c>
      <c r="M2426" s="59" cm="1">
        <f t="array" ref="M2426">INDEX($BV$29:$BV$1449,MATCH($D2426,$BR$29:$BR$1449,0),)</f>
        <v>6.3</v>
      </c>
      <c r="N2426" s="150">
        <f t="shared" si="742"/>
        <v>0.0181852268466443</v>
      </c>
      <c r="O2426" s="150">
        <f t="shared" si="743"/>
        <v>0.0737445630684066</v>
      </c>
      <c r="P2426" s="150">
        <f t="shared" si="729"/>
        <v>0.113366133661337</v>
      </c>
      <c r="Q2426" s="89">
        <f t="shared" si="731"/>
        <v>-0.137936507936508</v>
      </c>
      <c r="S2426" s="82">
        <f t="shared" si="732"/>
        <v>45916</v>
      </c>
      <c r="T2426" s="83">
        <f t="shared" si="744"/>
        <v>0.3914375</v>
      </c>
      <c r="U2426" s="83">
        <f t="shared" si="744"/>
        <v>0.38125</v>
      </c>
      <c r="W2426" s="146">
        <v>45916</v>
      </c>
      <c r="X2426" s="147">
        <v>7.4</v>
      </c>
      <c r="Y2426" s="147">
        <v>5.2</v>
      </c>
      <c r="Z2426" s="158">
        <v>6.263</v>
      </c>
      <c r="AA2426" s="59" cm="1">
        <f t="array" ref="AA2426">INDEX($BX$29:$BX$1449,MATCH($D2426,$BR$29:$BR$1449,0),)</f>
        <v>6.1</v>
      </c>
      <c r="AB2426" s="150">
        <f t="shared" si="733"/>
        <v>0.00756113256113244</v>
      </c>
      <c r="AC2426" s="150">
        <f t="shared" si="736"/>
        <v>0.0352066115702478</v>
      </c>
      <c r="AD2426" s="150">
        <f t="shared" si="739"/>
        <v>0.0352066115702478</v>
      </c>
      <c r="AE2426" s="89">
        <f t="shared" si="734"/>
        <v>0.0267213114754099</v>
      </c>
    </row>
    <row r="2427" spans="3:31">
      <c r="C2427" s="80" t="str" cm="1">
        <f t="array" ref="C2427">_xlfn.IFS(MONTH(D2427)&lt;4,1,MONTH(D2427)&lt;7,2,MONTH(D2427)&lt;10,3,MONTH(D2427)&gt;9,4)&amp;"Q"&amp;RIGHT(YEAR(D2427),2)</f>
        <v>3Q25</v>
      </c>
      <c r="D2427" s="81">
        <f t="shared" si="738"/>
        <v>45930</v>
      </c>
      <c r="E2427" s="82">
        <f t="shared" si="730"/>
        <v>45917</v>
      </c>
      <c r="F2427" s="83">
        <f t="shared" si="745"/>
        <v>0.6955</v>
      </c>
      <c r="G2427" s="83">
        <f t="shared" si="745"/>
        <v>0.7875</v>
      </c>
      <c r="I2427" s="146">
        <v>45917</v>
      </c>
      <c r="J2427" s="147">
        <v>8.6</v>
      </c>
      <c r="K2427" s="147">
        <v>3.85</v>
      </c>
      <c r="L2427" s="158">
        <v>5.564</v>
      </c>
      <c r="M2427" s="59" cm="1">
        <f t="array" ref="M2427">INDEX($BV$29:$BV$1449,MATCH($D2427,$BR$29:$BR$1449,0),)</f>
        <v>6.3</v>
      </c>
      <c r="N2427" s="150">
        <f t="shared" si="742"/>
        <v>0.0244890443748849</v>
      </c>
      <c r="O2427" s="150">
        <f t="shared" si="743"/>
        <v>0.0886323615730777</v>
      </c>
      <c r="P2427" s="150">
        <f t="shared" si="729"/>
        <v>0.136437908496732</v>
      </c>
      <c r="Q2427" s="89">
        <f t="shared" si="731"/>
        <v>-0.116825396825397</v>
      </c>
      <c r="S2427" s="82">
        <f t="shared" si="732"/>
        <v>45917</v>
      </c>
      <c r="T2427" s="83">
        <f t="shared" si="744"/>
        <v>0.40725</v>
      </c>
      <c r="U2427" s="83">
        <f t="shared" si="744"/>
        <v>0.38125</v>
      </c>
      <c r="W2427" s="146">
        <v>45917</v>
      </c>
      <c r="X2427" s="147">
        <v>7.6</v>
      </c>
      <c r="Y2427" s="147">
        <v>5.5</v>
      </c>
      <c r="Z2427" s="158">
        <v>6.516</v>
      </c>
      <c r="AA2427" s="59" cm="1">
        <f t="array" ref="AA2427">INDEX($BX$29:$BX$1449,MATCH($D2427,$BR$29:$BR$1449,0),)</f>
        <v>6.1</v>
      </c>
      <c r="AB2427" s="150">
        <f t="shared" si="733"/>
        <v>0.0403959763691522</v>
      </c>
      <c r="AC2427" s="150">
        <f t="shared" si="736"/>
        <v>0.0740069226965552</v>
      </c>
      <c r="AD2427" s="150">
        <f t="shared" si="739"/>
        <v>0.0770247933884298</v>
      </c>
      <c r="AE2427" s="89">
        <f t="shared" si="734"/>
        <v>0.0681967213114756</v>
      </c>
    </row>
    <row r="2428" spans="3:31">
      <c r="C2428" s="80" t="str" cm="1">
        <f t="array" ref="C2428">_xlfn.IFS(MONTH(D2428)&lt;4,1,MONTH(D2428)&lt;7,2,MONTH(D2428)&lt;10,3,MONTH(D2428)&gt;9,4)&amp;"Q"&amp;RIGHT(YEAR(D2428),2)</f>
        <v>3Q25</v>
      </c>
      <c r="D2428" s="81">
        <f t="shared" si="738"/>
        <v>45930</v>
      </c>
      <c r="E2428" s="82">
        <f t="shared" si="730"/>
        <v>45918</v>
      </c>
      <c r="F2428" s="83">
        <f t="shared" si="745"/>
        <v>0.70525</v>
      </c>
      <c r="G2428" s="83">
        <f t="shared" si="745"/>
        <v>0.7875</v>
      </c>
      <c r="I2428" s="146">
        <v>45918</v>
      </c>
      <c r="J2428" s="147">
        <v>8.5</v>
      </c>
      <c r="K2428" s="147">
        <v>3.95</v>
      </c>
      <c r="L2428" s="158">
        <v>5.642</v>
      </c>
      <c r="M2428" s="59" cm="1">
        <f t="array" ref="M2428">INDEX($BV$29:$BV$1449,MATCH($D2428,$BR$29:$BR$1449,0),)</f>
        <v>6.3</v>
      </c>
      <c r="N2428" s="150">
        <f t="shared" si="742"/>
        <v>0.014018691588785</v>
      </c>
      <c r="O2428" s="150">
        <f t="shared" si="743"/>
        <v>0.0906630581867389</v>
      </c>
      <c r="P2428" s="150">
        <f t="shared" si="729"/>
        <v>0.140950455005056</v>
      </c>
      <c r="Q2428" s="89">
        <f t="shared" si="731"/>
        <v>-0.104444444444444</v>
      </c>
      <c r="S2428" s="82">
        <f t="shared" si="732"/>
        <v>45918</v>
      </c>
      <c r="T2428" s="83">
        <f t="shared" si="744"/>
        <v>0.4204375</v>
      </c>
      <c r="U2428" s="83">
        <f t="shared" si="744"/>
        <v>0.38125</v>
      </c>
      <c r="W2428" s="146">
        <v>45918</v>
      </c>
      <c r="X2428" s="147">
        <v>7.8</v>
      </c>
      <c r="Y2428" s="147">
        <v>5.6</v>
      </c>
      <c r="Z2428" s="158">
        <v>6.727</v>
      </c>
      <c r="AA2428" s="59" cm="1">
        <f t="array" ref="AA2428">INDEX($BX$29:$BX$1449,MATCH($D2428,$BR$29:$BR$1449,0),)</f>
        <v>6.1</v>
      </c>
      <c r="AB2428" s="150">
        <f t="shared" si="733"/>
        <v>0.0323818293431553</v>
      </c>
      <c r="AC2428" s="150">
        <f t="shared" si="736"/>
        <v>0.0968530898418394</v>
      </c>
      <c r="AD2428" s="150">
        <f t="shared" si="739"/>
        <v>0.111900826446281</v>
      </c>
      <c r="AE2428" s="89">
        <f t="shared" si="734"/>
        <v>0.102786885245902</v>
      </c>
    </row>
    <row r="2429" spans="3:31">
      <c r="C2429" s="80" t="str" cm="1">
        <f t="array" ref="C2429">_xlfn.IFS(MONTH(D2429)&lt;4,1,MONTH(D2429)&lt;7,2,MONTH(D2429)&lt;10,3,MONTH(D2429)&gt;9,4)&amp;"Q"&amp;RIGHT(YEAR(D2429),2)</f>
        <v>3Q25</v>
      </c>
      <c r="D2429" s="81">
        <f t="shared" si="738"/>
        <v>45930</v>
      </c>
      <c r="E2429" s="82">
        <f t="shared" si="730"/>
        <v>45919</v>
      </c>
      <c r="F2429" s="83">
        <f t="shared" si="745"/>
        <v>0.7195</v>
      </c>
      <c r="G2429" s="83">
        <f t="shared" si="745"/>
        <v>0.7875</v>
      </c>
      <c r="I2429" s="146">
        <v>45919</v>
      </c>
      <c r="J2429" s="147">
        <v>8.5</v>
      </c>
      <c r="K2429" s="147">
        <v>3.9</v>
      </c>
      <c r="L2429" s="158">
        <v>5.756</v>
      </c>
      <c r="M2429" s="59" cm="1">
        <f t="array" ref="M2429">INDEX($BV$29:$BV$1449,MATCH($D2429,$BR$29:$BR$1449,0),)</f>
        <v>6.3</v>
      </c>
      <c r="N2429" s="150">
        <f t="shared" si="742"/>
        <v>0.0202056008507621</v>
      </c>
      <c r="O2429" s="150">
        <f t="shared" si="743"/>
        <v>0.0978447453747855</v>
      </c>
      <c r="P2429" s="150">
        <f t="shared" si="729"/>
        <v>0.159081755940395</v>
      </c>
      <c r="Q2429" s="89">
        <f t="shared" si="731"/>
        <v>-0.0863492063492063</v>
      </c>
      <c r="S2429" s="82">
        <f t="shared" si="732"/>
        <v>45919</v>
      </c>
      <c r="T2429" s="83">
        <f t="shared" si="744"/>
        <v>0.42775</v>
      </c>
      <c r="U2429" s="83">
        <f t="shared" si="744"/>
        <v>0.38125</v>
      </c>
      <c r="W2429" s="146">
        <v>45919</v>
      </c>
      <c r="X2429" s="147">
        <v>7.8</v>
      </c>
      <c r="Y2429" s="147">
        <v>5.6</v>
      </c>
      <c r="Z2429" s="158">
        <v>6.844</v>
      </c>
      <c r="AA2429" s="59" cm="1">
        <f t="array" ref="AA2429">INDEX($BX$29:$BX$1449,MATCH($D2429,$BR$29:$BR$1449,0),)</f>
        <v>6.1</v>
      </c>
      <c r="AB2429" s="150">
        <f t="shared" si="733"/>
        <v>0.0173925969971755</v>
      </c>
      <c r="AC2429" s="150">
        <f t="shared" si="736"/>
        <v>0.103870967741936</v>
      </c>
      <c r="AD2429" s="150">
        <f t="shared" si="739"/>
        <v>0.131239669421488</v>
      </c>
      <c r="AE2429" s="89">
        <f t="shared" si="734"/>
        <v>0.121967213114754</v>
      </c>
    </row>
    <row r="2430" spans="3:31">
      <c r="C2430" s="80" t="str" cm="1">
        <f t="array" ref="C2430">_xlfn.IFS(MONTH(D2430)&lt;4,1,MONTH(D2430)&lt;7,2,MONTH(D2430)&lt;10,3,MONTH(D2430)&gt;9,4)&amp;"Q"&amp;RIGHT(YEAR(D2430),2)</f>
        <v>3Q25</v>
      </c>
      <c r="D2430" s="81">
        <f t="shared" si="738"/>
        <v>45930</v>
      </c>
      <c r="E2430" s="82">
        <f t="shared" si="730"/>
        <v>45922</v>
      </c>
      <c r="F2430" s="83">
        <f t="shared" si="745"/>
        <v>0.7335</v>
      </c>
      <c r="G2430" s="83">
        <f t="shared" si="745"/>
        <v>0.7875</v>
      </c>
      <c r="I2430" s="146">
        <v>45922</v>
      </c>
      <c r="J2430" s="147">
        <v>8.55</v>
      </c>
      <c r="K2430" s="147">
        <v>3.95</v>
      </c>
      <c r="L2430" s="158">
        <v>5.868</v>
      </c>
      <c r="M2430" s="59" cm="1">
        <f t="array" ref="M2430">INDEX($BV$29:$BV$1449,MATCH($D2430,$BR$29:$BR$1449,0),)</f>
        <v>6.3</v>
      </c>
      <c r="N2430" s="150">
        <f t="shared" si="742"/>
        <v>0.0194579569145239</v>
      </c>
      <c r="O2430" s="150">
        <f t="shared" si="743"/>
        <v>0.100112485939258</v>
      </c>
      <c r="P2430" s="150">
        <f t="shared" si="729"/>
        <v>0.17313074770092</v>
      </c>
      <c r="Q2430" s="89">
        <f t="shared" si="731"/>
        <v>-0.0685714285714285</v>
      </c>
      <c r="S2430" s="82">
        <f t="shared" si="732"/>
        <v>45922</v>
      </c>
      <c r="T2430" s="83">
        <f t="shared" si="744"/>
        <v>0.4329375</v>
      </c>
      <c r="U2430" s="83">
        <f t="shared" si="744"/>
        <v>0.38125</v>
      </c>
      <c r="W2430" s="146">
        <v>45922</v>
      </c>
      <c r="X2430" s="147">
        <v>7.9</v>
      </c>
      <c r="Y2430" s="147">
        <v>5.7</v>
      </c>
      <c r="Z2430" s="158">
        <v>6.927</v>
      </c>
      <c r="AA2430" s="59" cm="1">
        <f t="array" ref="AA2430">INDEX($BX$29:$BX$1449,MATCH($D2430,$BR$29:$BR$1449,0),)</f>
        <v>6.1</v>
      </c>
      <c r="AB2430" s="150">
        <f t="shared" si="733"/>
        <v>0.0121274108708356</v>
      </c>
      <c r="AC2430" s="150">
        <f t="shared" si="736"/>
        <v>0.114382239382239</v>
      </c>
      <c r="AD2430" s="150">
        <f t="shared" si="739"/>
        <v>0.14495867768595</v>
      </c>
      <c r="AE2430" s="89">
        <f t="shared" si="734"/>
        <v>0.135573770491803</v>
      </c>
    </row>
    <row r="2431" spans="3:31">
      <c r="C2431" s="80" t="str" cm="1">
        <f t="array" ref="C2431">_xlfn.IFS(MONTH(D2431)&lt;4,1,MONTH(D2431)&lt;7,2,MONTH(D2431)&lt;10,3,MONTH(D2431)&gt;9,4)&amp;"Q"&amp;RIGHT(YEAR(D2431),2)</f>
        <v>3Q25</v>
      </c>
      <c r="D2431" s="81">
        <f t="shared" si="738"/>
        <v>45930</v>
      </c>
      <c r="E2431" s="82">
        <f t="shared" si="730"/>
        <v>45923</v>
      </c>
      <c r="F2431" s="83">
        <f t="shared" si="745"/>
        <v>0.743375</v>
      </c>
      <c r="G2431" s="83">
        <f t="shared" si="745"/>
        <v>0.7875</v>
      </c>
      <c r="I2431" s="146">
        <v>45923</v>
      </c>
      <c r="J2431" s="147">
        <v>8.55</v>
      </c>
      <c r="K2431" s="147">
        <v>4</v>
      </c>
      <c r="L2431" s="158">
        <v>5.947</v>
      </c>
      <c r="M2431" s="59" cm="1">
        <f t="array" ref="M2431">INDEX($BV$29:$BV$1449,MATCH($D2431,$BR$29:$BR$1449,0),)</f>
        <v>6.3</v>
      </c>
      <c r="N2431" s="150">
        <f t="shared" si="742"/>
        <v>0.0134628493524198</v>
      </c>
      <c r="O2431" s="150">
        <f t="shared" si="743"/>
        <v>0.0950101270484256</v>
      </c>
      <c r="P2431" s="150">
        <f t="shared" si="729"/>
        <v>0.175761170423092</v>
      </c>
      <c r="Q2431" s="89">
        <f t="shared" si="731"/>
        <v>-0.056031746031746</v>
      </c>
      <c r="S2431" s="82">
        <f t="shared" si="732"/>
        <v>45923</v>
      </c>
      <c r="T2431" s="83">
        <f t="shared" si="744"/>
        <v>0.4380625</v>
      </c>
      <c r="U2431" s="83">
        <f t="shared" si="744"/>
        <v>0.38125</v>
      </c>
      <c r="W2431" s="146">
        <v>45923</v>
      </c>
      <c r="X2431" s="147">
        <v>8</v>
      </c>
      <c r="Y2431" s="147">
        <v>5.8</v>
      </c>
      <c r="Z2431" s="158">
        <v>7.009</v>
      </c>
      <c r="AA2431" s="59" cm="1">
        <f t="array" ref="AA2431">INDEX($BX$29:$BX$1449,MATCH($D2431,$BR$29:$BR$1449,0),)</f>
        <v>6.1</v>
      </c>
      <c r="AB2431" s="150">
        <f t="shared" si="733"/>
        <v>0.0118377363938214</v>
      </c>
      <c r="AC2431" s="150">
        <f t="shared" si="736"/>
        <v>0.119112246527223</v>
      </c>
      <c r="AD2431" s="150">
        <f t="shared" si="739"/>
        <v>0.158512396694215</v>
      </c>
      <c r="AE2431" s="89">
        <f t="shared" si="734"/>
        <v>0.149016393442623</v>
      </c>
    </row>
    <row r="2432" spans="3:31">
      <c r="C2432" s="80" t="str" cm="1">
        <f t="array" ref="C2432">_xlfn.IFS(MONTH(D2432)&lt;4,1,MONTH(D2432)&lt;7,2,MONTH(D2432)&lt;10,3,MONTH(D2432)&gt;9,4)&amp;"Q"&amp;RIGHT(YEAR(D2432),2)</f>
        <v>3Q25</v>
      </c>
      <c r="D2432" s="81">
        <f t="shared" si="738"/>
        <v>45930</v>
      </c>
      <c r="E2432" s="82">
        <f t="shared" si="730"/>
        <v>45924</v>
      </c>
      <c r="F2432" s="83">
        <f t="shared" si="745"/>
        <v>0.754125</v>
      </c>
      <c r="G2432" s="83">
        <f t="shared" si="745"/>
        <v>0.7875</v>
      </c>
      <c r="I2432" s="146">
        <v>45924</v>
      </c>
      <c r="J2432" s="147">
        <v>8.55</v>
      </c>
      <c r="K2432" s="147">
        <v>4.2</v>
      </c>
      <c r="L2432" s="158">
        <v>6.033</v>
      </c>
      <c r="M2432" s="59" cm="1">
        <f t="array" ref="M2432">INDEX($BV$29:$BV$1449,MATCH($D2432,$BR$29:$BR$1449,0),)</f>
        <v>6.3</v>
      </c>
      <c r="N2432" s="150">
        <f t="shared" si="742"/>
        <v>0.0144610728098202</v>
      </c>
      <c r="O2432" s="150">
        <f t="shared" si="743"/>
        <v>0.0842918763479512</v>
      </c>
      <c r="P2432" s="150">
        <f t="shared" si="729"/>
        <v>0.180395225983174</v>
      </c>
      <c r="Q2432" s="89">
        <f t="shared" si="731"/>
        <v>-0.0423809523809523</v>
      </c>
      <c r="S2432" s="82">
        <f t="shared" si="732"/>
        <v>45924</v>
      </c>
      <c r="T2432" s="83">
        <f t="shared" si="744"/>
        <v>0.449375</v>
      </c>
      <c r="U2432" s="83">
        <f t="shared" si="744"/>
        <v>0.38125</v>
      </c>
      <c r="W2432" s="146">
        <v>45924</v>
      </c>
      <c r="X2432" s="147">
        <v>8.15</v>
      </c>
      <c r="Y2432" s="147">
        <v>6.1</v>
      </c>
      <c r="Z2432" s="158">
        <v>7.19</v>
      </c>
      <c r="AA2432" s="59" cm="1">
        <f t="array" ref="AA2432">INDEX($BX$29:$BX$1449,MATCH($D2432,$BR$29:$BR$1449,0),)</f>
        <v>6.1</v>
      </c>
      <c r="AB2432" s="150">
        <f t="shared" si="733"/>
        <v>0.0258239406477385</v>
      </c>
      <c r="AC2432" s="150">
        <f t="shared" si="736"/>
        <v>0.103437691835482</v>
      </c>
      <c r="AD2432" s="150">
        <f t="shared" si="739"/>
        <v>0.185099719795616</v>
      </c>
      <c r="AE2432" s="89">
        <f t="shared" si="734"/>
        <v>0.178688524590164</v>
      </c>
    </row>
    <row r="2433" spans="3:31">
      <c r="C2433" s="80" t="str" cm="1">
        <f t="array" ref="C2433">_xlfn.IFS(MONTH(D2433)&lt;4,1,MONTH(D2433)&lt;7,2,MONTH(D2433)&lt;10,3,MONTH(D2433)&gt;9,4)&amp;"Q"&amp;RIGHT(YEAR(D2433),2)</f>
        <v>3Q25</v>
      </c>
      <c r="D2433" s="81">
        <f t="shared" si="738"/>
        <v>45930</v>
      </c>
      <c r="E2433" s="82">
        <f t="shared" si="730"/>
        <v>45925</v>
      </c>
      <c r="F2433" s="83">
        <f t="shared" si="745"/>
        <v>0.771375</v>
      </c>
      <c r="G2433" s="83">
        <f t="shared" si="745"/>
        <v>0.7875</v>
      </c>
      <c r="I2433" s="146">
        <v>45925</v>
      </c>
      <c r="J2433" s="147">
        <v>8.55</v>
      </c>
      <c r="K2433" s="147">
        <v>4.6</v>
      </c>
      <c r="L2433" s="158">
        <v>6.171</v>
      </c>
      <c r="M2433" s="59" cm="1">
        <f t="array" ref="M2433">INDEX($BV$29:$BV$1449,MATCH($D2433,$BR$29:$BR$1449,0),)</f>
        <v>6.3</v>
      </c>
      <c r="N2433" s="150">
        <f t="shared" si="742"/>
        <v>0.0228741919443063</v>
      </c>
      <c r="O2433" s="150">
        <f t="shared" si="743"/>
        <v>0.0937610776320454</v>
      </c>
      <c r="P2433" s="150">
        <f t="shared" si="729"/>
        <v>0.19292480185579</v>
      </c>
      <c r="Q2433" s="89">
        <f t="shared" si="731"/>
        <v>-0.0204761904761904</v>
      </c>
      <c r="S2433" s="82">
        <f t="shared" si="732"/>
        <v>45925</v>
      </c>
      <c r="T2433" s="83">
        <f t="shared" si="744"/>
        <v>0.4631875</v>
      </c>
      <c r="U2433" s="83">
        <f t="shared" si="744"/>
        <v>0.38125</v>
      </c>
      <c r="W2433" s="146">
        <v>45925</v>
      </c>
      <c r="X2433" s="147">
        <v>8.5</v>
      </c>
      <c r="Y2433" s="147">
        <v>6.3</v>
      </c>
      <c r="Z2433" s="158">
        <v>7.411</v>
      </c>
      <c r="AA2433" s="59" cm="1">
        <f t="array" ref="AA2433">INDEX($BX$29:$BX$1449,MATCH($D2433,$BR$29:$BR$1449,0),)</f>
        <v>6.1</v>
      </c>
      <c r="AB2433" s="150">
        <f t="shared" si="733"/>
        <v>0.0307371349095966</v>
      </c>
      <c r="AC2433" s="150">
        <f t="shared" si="736"/>
        <v>0.101679797829642</v>
      </c>
      <c r="AD2433" s="150">
        <f t="shared" si="739"/>
        <v>0.208380890265775</v>
      </c>
      <c r="AE2433" s="89">
        <f t="shared" si="734"/>
        <v>0.214918032786885</v>
      </c>
    </row>
    <row r="2434" spans="3:31">
      <c r="C2434" s="80" t="str" cm="1">
        <f t="array" ref="C2434">_xlfn.IFS(MONTH(D2434)&lt;4,1,MONTH(D2434)&lt;7,2,MONTH(D2434)&lt;10,3,MONTH(D2434)&gt;9,4)&amp;"Q"&amp;RIGHT(YEAR(D2434),2)</f>
        <v>3Q25</v>
      </c>
      <c r="D2434" s="81">
        <f t="shared" si="738"/>
        <v>45930</v>
      </c>
      <c r="E2434" s="82">
        <f t="shared" si="730"/>
        <v>45926</v>
      </c>
      <c r="F2434" s="83">
        <f t="shared" si="745"/>
        <v>0.785375</v>
      </c>
      <c r="G2434" s="83">
        <f t="shared" si="745"/>
        <v>0.7875</v>
      </c>
      <c r="I2434" s="146">
        <v>45926</v>
      </c>
      <c r="J2434" s="147">
        <v>8.55</v>
      </c>
      <c r="K2434" s="147">
        <v>4.8</v>
      </c>
      <c r="L2434" s="158">
        <v>6.283</v>
      </c>
      <c r="M2434" s="59" cm="1">
        <f t="array" ref="M2434">INDEX($BV$29:$BV$1449,MATCH($D2434,$BR$29:$BR$1449,0),)</f>
        <v>6.3</v>
      </c>
      <c r="N2434" s="150">
        <f t="shared" si="742"/>
        <v>0.0181494085237401</v>
      </c>
      <c r="O2434" s="150">
        <f t="shared" si="743"/>
        <v>0.0915566365531619</v>
      </c>
      <c r="P2434" s="150">
        <f t="shared" si="729"/>
        <v>0.198359717718863</v>
      </c>
      <c r="Q2434" s="89">
        <f t="shared" si="731"/>
        <v>-0.00269841269841264</v>
      </c>
      <c r="S2434" s="82">
        <f t="shared" si="732"/>
        <v>45926</v>
      </c>
      <c r="T2434" s="83">
        <f t="shared" si="744"/>
        <v>0.4671875</v>
      </c>
      <c r="U2434" s="83">
        <f t="shared" si="744"/>
        <v>0.38125</v>
      </c>
      <c r="W2434" s="146">
        <v>45926</v>
      </c>
      <c r="X2434" s="147">
        <v>8.6</v>
      </c>
      <c r="Y2434" s="147">
        <v>6.3</v>
      </c>
      <c r="Z2434" s="158">
        <v>7.475</v>
      </c>
      <c r="AA2434" s="59" cm="1">
        <f t="array" ref="AA2434">INDEX($BX$29:$BX$1449,MATCH($D2434,$BR$29:$BR$1449,0),)</f>
        <v>6.1</v>
      </c>
      <c r="AB2434" s="150">
        <f t="shared" si="733"/>
        <v>0.00863581163135874</v>
      </c>
      <c r="AC2434" s="150">
        <f t="shared" si="736"/>
        <v>0.0921975452951489</v>
      </c>
      <c r="AD2434" s="150">
        <f t="shared" si="739"/>
        <v>0.205645161290323</v>
      </c>
      <c r="AE2434" s="89">
        <f t="shared" si="734"/>
        <v>0.225409836065574</v>
      </c>
    </row>
    <row r="2435" spans="3:31">
      <c r="C2435" s="80" t="str" cm="1">
        <f t="array" ref="C2435">_xlfn.IFS(MONTH(D2435)&lt;4,1,MONTH(D2435)&lt;7,2,MONTH(D2435)&lt;10,3,MONTH(D2435)&gt;9,4)&amp;"Q"&amp;RIGHT(YEAR(D2435),2)</f>
        <v>3Q25</v>
      </c>
      <c r="D2435" s="81">
        <f t="shared" si="738"/>
        <v>45930</v>
      </c>
      <c r="E2435" s="82">
        <f t="shared" si="730"/>
        <v>45929</v>
      </c>
      <c r="F2435" s="83">
        <f t="shared" si="745"/>
        <v>0.79375</v>
      </c>
      <c r="G2435" s="83">
        <f t="shared" si="745"/>
        <v>0.7875</v>
      </c>
      <c r="I2435" s="146">
        <v>45929</v>
      </c>
      <c r="J2435" s="147">
        <v>8.55</v>
      </c>
      <c r="K2435" s="147">
        <v>4.8</v>
      </c>
      <c r="L2435" s="158">
        <v>6.35</v>
      </c>
      <c r="M2435" s="59" cm="1">
        <f t="array" ref="M2435">INDEX($BV$29:$BV$1449,MATCH($D2435,$BR$29:$BR$1449,0),)</f>
        <v>6.3</v>
      </c>
      <c r="N2435" s="150">
        <f t="shared" si="742"/>
        <v>0.0106636956867736</v>
      </c>
      <c r="O2435" s="150">
        <f t="shared" si="743"/>
        <v>0.0821404226312201</v>
      </c>
      <c r="P2435" s="150">
        <f t="shared" si="729"/>
        <v>0.19047619047619</v>
      </c>
      <c r="Q2435" s="89">
        <f t="shared" si="731"/>
        <v>0.00793650793650791</v>
      </c>
      <c r="S2435" s="82">
        <f t="shared" si="732"/>
        <v>45929</v>
      </c>
      <c r="T2435" s="83">
        <f t="shared" si="744"/>
        <v>0.4709375</v>
      </c>
      <c r="U2435" s="83">
        <f t="shared" si="744"/>
        <v>0.38125</v>
      </c>
      <c r="W2435" s="146">
        <v>45929</v>
      </c>
      <c r="X2435" s="147">
        <v>8.6</v>
      </c>
      <c r="Y2435" s="147">
        <v>6.4</v>
      </c>
      <c r="Z2435" s="158">
        <v>7.535</v>
      </c>
      <c r="AA2435" s="59" cm="1">
        <f t="array" ref="AA2435">INDEX($BX$29:$BX$1449,MATCH($D2435,$BR$29:$BR$1449,0),)</f>
        <v>6.1</v>
      </c>
      <c r="AB2435" s="150">
        <f t="shared" si="733"/>
        <v>0.00802675585284285</v>
      </c>
      <c r="AC2435" s="150">
        <f t="shared" si="736"/>
        <v>0.0877724844810164</v>
      </c>
      <c r="AD2435" s="150">
        <f t="shared" si="739"/>
        <v>0.212194337194337</v>
      </c>
      <c r="AE2435" s="89">
        <f t="shared" si="734"/>
        <v>0.235245901639344</v>
      </c>
    </row>
    <row r="2436" spans="3:31">
      <c r="C2436" s="80" t="str" cm="1">
        <f t="array" ref="C2436">_xlfn.IFS(MONTH(D2436)&lt;4,1,MONTH(D2436)&lt;7,2,MONTH(D2436)&lt;10,3,MONTH(D2436)&gt;9,4)&amp;"Q"&amp;RIGHT(YEAR(D2436),2)</f>
        <v>3Q25</v>
      </c>
      <c r="D2436" s="81">
        <f t="shared" si="738"/>
        <v>45930</v>
      </c>
      <c r="E2436" s="82">
        <f t="shared" si="730"/>
        <v>45930</v>
      </c>
      <c r="F2436" s="83">
        <f t="shared" si="745"/>
        <v>0.794875</v>
      </c>
      <c r="G2436" s="83">
        <f t="shared" si="745"/>
        <v>0.7875</v>
      </c>
      <c r="I2436" s="146">
        <v>45930</v>
      </c>
      <c r="J2436" s="147">
        <v>8.55</v>
      </c>
      <c r="K2436" s="147">
        <v>4.6</v>
      </c>
      <c r="L2436" s="158">
        <v>6.359</v>
      </c>
      <c r="M2436" s="59" cm="1">
        <f t="array" ref="M2436">INDEX($BV$29:$BV$1449,MATCH($D2436,$BR$29:$BR$1449,0),)</f>
        <v>6.3</v>
      </c>
      <c r="N2436" s="150">
        <f t="shared" si="742"/>
        <v>0.00141732283464568</v>
      </c>
      <c r="O2436" s="150">
        <f t="shared" si="743"/>
        <v>0.0692786278796031</v>
      </c>
      <c r="P2436" s="150">
        <f t="shared" si="729"/>
        <v>0.170870926164611</v>
      </c>
      <c r="Q2436" s="89">
        <f t="shared" si="731"/>
        <v>0.00936507936507947</v>
      </c>
      <c r="S2436" s="82">
        <f t="shared" si="732"/>
        <v>45930</v>
      </c>
      <c r="T2436" s="83">
        <f t="shared" si="744"/>
        <v>0.47975</v>
      </c>
      <c r="U2436" s="83">
        <f t="shared" si="744"/>
        <v>0.38125</v>
      </c>
      <c r="W2436" s="146">
        <v>45930</v>
      </c>
      <c r="X2436" s="147">
        <v>10</v>
      </c>
      <c r="Y2436" s="147">
        <v>6.4</v>
      </c>
      <c r="Z2436" s="158">
        <v>7.676</v>
      </c>
      <c r="AA2436" s="59" cm="1">
        <f t="array" ref="AA2436">INDEX($BX$29:$BX$1449,MATCH($D2436,$BR$29:$BR$1449,0),)</f>
        <v>6.1</v>
      </c>
      <c r="AB2436" s="150">
        <f t="shared" si="733"/>
        <v>0.0187126741871269</v>
      </c>
      <c r="AC2436" s="150">
        <f t="shared" si="736"/>
        <v>0.0951633613924954</v>
      </c>
      <c r="AD2436" s="150">
        <f t="shared" si="739"/>
        <v>0.225610729682261</v>
      </c>
      <c r="AE2436" s="89">
        <f t="shared" si="734"/>
        <v>0.258360655737705</v>
      </c>
    </row>
    <row r="2437" spans="3:31">
      <c r="C2437" s="80" t="str" cm="1">
        <f t="array" ref="C2437">_xlfn.IFS(MONTH(D2437)&lt;4,1,MONTH(D2437)&lt;7,2,MONTH(D2437)&lt;10,3,MONTH(D2437)&gt;9,4)&amp;"Q"&amp;RIGHT(YEAR(D2437),2)</f>
        <v>4Q25</v>
      </c>
      <c r="D2437" s="81">
        <f t="shared" si="738"/>
        <v>45961</v>
      </c>
      <c r="E2437" s="82">
        <f t="shared" si="730"/>
        <v>45931</v>
      </c>
      <c r="F2437" s="83">
        <f t="shared" si="745"/>
        <v>0.796</v>
      </c>
      <c r="G2437" s="83">
        <f t="shared" si="745"/>
        <v>0.875</v>
      </c>
      <c r="I2437" s="146">
        <v>45931</v>
      </c>
      <c r="J2437" s="147">
        <v>8.6</v>
      </c>
      <c r="K2437" s="147">
        <v>4.6</v>
      </c>
      <c r="L2437" s="158">
        <v>6.368</v>
      </c>
      <c r="M2437" s="59" cm="1">
        <f t="array" ref="M2437">INDEX($BV$29:$BV$1449,MATCH($D2437,$BR$29:$BR$1449,0),)</f>
        <v>7</v>
      </c>
      <c r="N2437" s="150">
        <f t="shared" si="742"/>
        <v>0.00141531687372232</v>
      </c>
      <c r="O2437" s="150">
        <f t="shared" si="743"/>
        <v>0.0555279297198741</v>
      </c>
      <c r="P2437" s="150">
        <f t="shared" si="729"/>
        <v>0.14450035945363</v>
      </c>
      <c r="Q2437" s="89">
        <f t="shared" si="731"/>
        <v>-0.0902857142857142</v>
      </c>
      <c r="S2437" s="82">
        <f t="shared" si="732"/>
        <v>45931</v>
      </c>
      <c r="T2437" s="83">
        <f t="shared" si="744"/>
        <v>0.492375</v>
      </c>
      <c r="U2437" s="83">
        <f t="shared" si="744"/>
        <v>0.54375</v>
      </c>
      <c r="W2437" s="146">
        <v>45931</v>
      </c>
      <c r="X2437" s="147">
        <v>10</v>
      </c>
      <c r="Y2437" s="147">
        <v>6.6</v>
      </c>
      <c r="Z2437" s="158">
        <v>7.878</v>
      </c>
      <c r="AA2437" s="59" cm="1">
        <f t="array" ref="AA2437">INDEX($BX$29:$BX$1449,MATCH($D2437,$BR$29:$BR$1449,0),)</f>
        <v>8.7</v>
      </c>
      <c r="AB2437" s="150">
        <f t="shared" si="733"/>
        <v>0.0263157894736843</v>
      </c>
      <c r="AC2437" s="150">
        <f t="shared" si="736"/>
        <v>0.0956884561891516</v>
      </c>
      <c r="AD2437" s="150">
        <f t="shared" si="739"/>
        <v>0.20902394106814</v>
      </c>
      <c r="AE2437" s="89">
        <f t="shared" si="734"/>
        <v>-0.0944827586206896</v>
      </c>
    </row>
    <row r="2438" spans="3:31">
      <c r="C2438" s="80" t="str" cm="1">
        <f t="array" ref="C2438">_xlfn.IFS(MONTH(D2438)&lt;4,1,MONTH(D2438)&lt;7,2,MONTH(D2438)&lt;10,3,MONTH(D2438)&gt;9,4)&amp;"Q"&amp;RIGHT(YEAR(D2438),2)</f>
        <v>4Q25</v>
      </c>
      <c r="D2438" s="81">
        <f t="shared" si="738"/>
        <v>45961</v>
      </c>
      <c r="E2438" s="82">
        <f t="shared" si="730"/>
        <v>45932</v>
      </c>
      <c r="F2438" s="83">
        <f t="shared" si="745"/>
        <v>0.8055</v>
      </c>
      <c r="G2438" s="83">
        <f t="shared" si="745"/>
        <v>0.875</v>
      </c>
      <c r="I2438" s="146">
        <v>45932</v>
      </c>
      <c r="J2438" s="147">
        <v>8.6</v>
      </c>
      <c r="K2438" s="147">
        <v>4.6</v>
      </c>
      <c r="L2438" s="158">
        <v>6.444</v>
      </c>
      <c r="M2438" s="59" cm="1">
        <f t="array" ref="M2438">INDEX($BV$29:$BV$1449,MATCH($D2438,$BR$29:$BR$1449,0),)</f>
        <v>7</v>
      </c>
      <c r="N2438" s="150">
        <f t="shared" si="742"/>
        <v>0.0119346733668342</v>
      </c>
      <c r="O2438" s="150">
        <f t="shared" si="743"/>
        <v>0.0442391832766165</v>
      </c>
      <c r="P2438" s="150">
        <f t="shared" si="729"/>
        <v>0.142148174406239</v>
      </c>
      <c r="Q2438" s="89">
        <f t="shared" si="731"/>
        <v>-0.0794285714285714</v>
      </c>
      <c r="S2438" s="82">
        <f t="shared" si="732"/>
        <v>45932</v>
      </c>
      <c r="T2438" s="83">
        <f t="shared" si="744"/>
        <v>0.501375</v>
      </c>
      <c r="U2438" s="83">
        <f t="shared" si="744"/>
        <v>0.54375</v>
      </c>
      <c r="W2438" s="146">
        <v>45932</v>
      </c>
      <c r="X2438" s="147">
        <v>10</v>
      </c>
      <c r="Y2438" s="147">
        <v>6.6</v>
      </c>
      <c r="Z2438" s="158">
        <v>8.022</v>
      </c>
      <c r="AA2438" s="59" cm="1">
        <f t="array" ref="AA2438">INDEX($BX$29:$BX$1449,MATCH($D2438,$BR$29:$BR$1449,0),)</f>
        <v>8.7</v>
      </c>
      <c r="AB2438" s="150">
        <f t="shared" si="733"/>
        <v>0.0182787509520184</v>
      </c>
      <c r="AC2438" s="150">
        <f t="shared" si="736"/>
        <v>0.0824450141681285</v>
      </c>
      <c r="AD2438" s="150">
        <f t="shared" si="739"/>
        <v>0.192507804370447</v>
      </c>
      <c r="AE2438" s="89">
        <f t="shared" si="734"/>
        <v>-0.0779310344827585</v>
      </c>
    </row>
    <row r="2439" spans="3:31">
      <c r="C2439" s="80" t="str" cm="1">
        <f t="array" ref="C2439">_xlfn.IFS(MONTH(D2439)&lt;4,1,MONTH(D2439)&lt;7,2,MONTH(D2439)&lt;10,3,MONTH(D2439)&gt;9,4)&amp;"Q"&amp;RIGHT(YEAR(D2439),2)</f>
        <v>4Q25</v>
      </c>
      <c r="D2439" s="81">
        <f t="shared" si="738"/>
        <v>45961</v>
      </c>
      <c r="E2439" s="82">
        <f t="shared" si="730"/>
        <v>45933</v>
      </c>
      <c r="F2439" s="83">
        <f t="shared" si="745"/>
        <v>0.8125</v>
      </c>
      <c r="G2439" s="83">
        <f t="shared" si="745"/>
        <v>0.875</v>
      </c>
      <c r="I2439" s="146">
        <v>45933</v>
      </c>
      <c r="J2439" s="147">
        <v>8.6</v>
      </c>
      <c r="K2439" s="147">
        <v>4.6</v>
      </c>
      <c r="L2439" s="158">
        <v>6.5</v>
      </c>
      <c r="M2439" s="59" cm="1">
        <f t="array" ref="M2439">INDEX($BV$29:$BV$1449,MATCH($D2439,$BR$29:$BR$1449,0),)</f>
        <v>7</v>
      </c>
      <c r="N2439" s="150">
        <f t="shared" si="742"/>
        <v>0.00869025450031047</v>
      </c>
      <c r="O2439" s="150">
        <f t="shared" si="743"/>
        <v>0.0345376412541778</v>
      </c>
      <c r="P2439" s="150">
        <f t="shared" si="729"/>
        <v>0.129256428075052</v>
      </c>
      <c r="Q2439" s="89">
        <f t="shared" si="731"/>
        <v>-0.0714285714285714</v>
      </c>
      <c r="S2439" s="82">
        <f t="shared" si="732"/>
        <v>45933</v>
      </c>
      <c r="T2439" s="83">
        <f t="shared" si="744"/>
        <v>0.5080625</v>
      </c>
      <c r="U2439" s="83">
        <f t="shared" si="744"/>
        <v>0.54375</v>
      </c>
      <c r="W2439" s="146">
        <v>45933</v>
      </c>
      <c r="X2439" s="147">
        <v>10</v>
      </c>
      <c r="Y2439" s="147">
        <v>6.8</v>
      </c>
      <c r="Z2439" s="158">
        <v>8.129</v>
      </c>
      <c r="AA2439" s="59" cm="1">
        <f t="array" ref="AA2439">INDEX($BX$29:$BX$1449,MATCH($D2439,$BR$29:$BR$1449,0),)</f>
        <v>8.7</v>
      </c>
      <c r="AB2439" s="150">
        <f t="shared" si="733"/>
        <v>0.0133383196210421</v>
      </c>
      <c r="AC2439" s="150">
        <f t="shared" si="736"/>
        <v>0.0874916387959865</v>
      </c>
      <c r="AD2439" s="150">
        <f t="shared" si="739"/>
        <v>0.187755698421975</v>
      </c>
      <c r="AE2439" s="89">
        <f t="shared" si="734"/>
        <v>-0.0656321839080459</v>
      </c>
    </row>
    <row r="2440" spans="3:31">
      <c r="C2440" s="80" t="str" cm="1">
        <f t="array" ref="C2440">_xlfn.IFS(MONTH(D2440)&lt;4,1,MONTH(D2440)&lt;7,2,MONTH(D2440)&lt;10,3,MONTH(D2440)&gt;9,4)&amp;"Q"&amp;RIGHT(YEAR(D2440),2)</f>
        <v>4Q25</v>
      </c>
      <c r="D2440" s="81">
        <f t="shared" si="738"/>
        <v>45961</v>
      </c>
      <c r="E2440" s="82">
        <f t="shared" si="730"/>
        <v>45936</v>
      </c>
      <c r="F2440" s="83">
        <f t="shared" si="745"/>
        <v>0.8125</v>
      </c>
      <c r="G2440" s="83">
        <f t="shared" si="745"/>
        <v>0.875</v>
      </c>
      <c r="I2440" s="146">
        <v>45936</v>
      </c>
      <c r="J2440" s="147">
        <v>8.6</v>
      </c>
      <c r="K2440" s="147">
        <v>4.6</v>
      </c>
      <c r="L2440" s="158">
        <v>6.5</v>
      </c>
      <c r="M2440" s="59" cm="1">
        <f t="array" ref="M2440">INDEX($BV$29:$BV$1449,MATCH($D2440,$BR$29:$BR$1449,0),)</f>
        <v>7</v>
      </c>
      <c r="N2440" s="150">
        <f t="shared" si="742"/>
        <v>0</v>
      </c>
      <c r="O2440" s="150">
        <f t="shared" si="743"/>
        <v>0.0236220472440944</v>
      </c>
      <c r="P2440" s="150">
        <f t="shared" si="729"/>
        <v>0.107702794819359</v>
      </c>
      <c r="Q2440" s="89">
        <f t="shared" si="731"/>
        <v>-0.0714285714285714</v>
      </c>
      <c r="S2440" s="82">
        <f t="shared" si="732"/>
        <v>45936</v>
      </c>
      <c r="T2440" s="83">
        <f t="shared" ref="T2440:U2455" si="746">+Z2440/16</f>
        <v>0.5080625</v>
      </c>
      <c r="U2440" s="83">
        <f t="shared" si="746"/>
        <v>0.54375</v>
      </c>
      <c r="W2440" s="146">
        <v>45936</v>
      </c>
      <c r="X2440" s="147">
        <v>10</v>
      </c>
      <c r="Y2440" s="147">
        <v>6.8</v>
      </c>
      <c r="Z2440" s="158">
        <v>8.129</v>
      </c>
      <c r="AA2440" s="59" cm="1">
        <f t="array" ref="AA2440">INDEX($BX$29:$BX$1449,MATCH($D2440,$BR$29:$BR$1449,0),)</f>
        <v>8.7</v>
      </c>
      <c r="AB2440" s="150">
        <f t="shared" si="733"/>
        <v>0</v>
      </c>
      <c r="AC2440" s="150">
        <f t="shared" si="736"/>
        <v>0.078832116788321</v>
      </c>
      <c r="AD2440" s="150">
        <f t="shared" si="739"/>
        <v>0.173523892016746</v>
      </c>
      <c r="AE2440" s="89">
        <f t="shared" si="734"/>
        <v>-0.0656321839080459</v>
      </c>
    </row>
    <row r="2441" spans="3:31">
      <c r="C2441" s="80" t="str" cm="1">
        <f t="array" ref="C2441">_xlfn.IFS(MONTH(D2441)&lt;4,1,MONTH(D2441)&lt;7,2,MONTH(D2441)&lt;10,3,MONTH(D2441)&gt;9,4)&amp;"Q"&amp;RIGHT(YEAR(D2441),2)</f>
        <v>4Q25</v>
      </c>
      <c r="D2441" s="81">
        <f t="shared" si="738"/>
        <v>45961</v>
      </c>
      <c r="E2441" s="82">
        <f t="shared" si="730"/>
        <v>45937</v>
      </c>
      <c r="F2441" s="83">
        <f t="shared" si="745"/>
        <v>0.818</v>
      </c>
      <c r="G2441" s="83">
        <f t="shared" si="745"/>
        <v>0.875</v>
      </c>
      <c r="I2441" s="146">
        <v>45937</v>
      </c>
      <c r="J2441" s="147">
        <v>8.7</v>
      </c>
      <c r="K2441" s="147">
        <v>4.65</v>
      </c>
      <c r="L2441" s="158">
        <v>6.544</v>
      </c>
      <c r="M2441" s="59" cm="1">
        <f t="array" ref="M2441">INDEX($BV$29:$BV$1449,MATCH($D2441,$BR$29:$BR$1449,0),)</f>
        <v>7</v>
      </c>
      <c r="N2441" s="150">
        <f t="shared" si="742"/>
        <v>0.00676923076923064</v>
      </c>
      <c r="O2441" s="150">
        <f t="shared" si="743"/>
        <v>0.0290926246265135</v>
      </c>
      <c r="P2441" s="150">
        <f t="shared" si="729"/>
        <v>0.100386749621658</v>
      </c>
      <c r="Q2441" s="89">
        <f t="shared" si="731"/>
        <v>-0.0651428571428572</v>
      </c>
      <c r="S2441" s="82">
        <f t="shared" si="732"/>
        <v>45937</v>
      </c>
      <c r="T2441" s="83">
        <f t="shared" si="746"/>
        <v>0.515125</v>
      </c>
      <c r="U2441" s="83">
        <f t="shared" si="746"/>
        <v>0.54375</v>
      </c>
      <c r="W2441" s="146">
        <v>45937</v>
      </c>
      <c r="X2441" s="147">
        <v>10</v>
      </c>
      <c r="Y2441" s="147">
        <v>7</v>
      </c>
      <c r="Z2441" s="158">
        <v>8.242</v>
      </c>
      <c r="AA2441" s="59" cm="1">
        <f t="array" ref="AA2441">INDEX($BX$29:$BX$1449,MATCH($D2441,$BR$29:$BR$1449,0),)</f>
        <v>8.7</v>
      </c>
      <c r="AB2441" s="150">
        <f t="shared" si="733"/>
        <v>0.0139008488128922</v>
      </c>
      <c r="AC2441" s="150">
        <f t="shared" si="736"/>
        <v>0.0737363210005213</v>
      </c>
      <c r="AD2441" s="150">
        <f t="shared" si="739"/>
        <v>0.175916678556142</v>
      </c>
      <c r="AE2441" s="89">
        <f t="shared" si="734"/>
        <v>-0.0526436781609194</v>
      </c>
    </row>
    <row r="2442" spans="3:31">
      <c r="C2442" s="80" t="str" cm="1">
        <f t="array" ref="C2442">_xlfn.IFS(MONTH(D2442)&lt;4,1,MONTH(D2442)&lt;7,2,MONTH(D2442)&lt;10,3,MONTH(D2442)&gt;9,4)&amp;"Q"&amp;RIGHT(YEAR(D2442),2)</f>
        <v>4Q25</v>
      </c>
      <c r="D2442" s="81">
        <f t="shared" si="738"/>
        <v>45961</v>
      </c>
      <c r="E2442" s="82">
        <f t="shared" si="730"/>
        <v>45938</v>
      </c>
      <c r="F2442" s="83">
        <f t="shared" ref="F2442:G2457" si="747">+L2442/8</f>
        <v>0.823</v>
      </c>
      <c r="G2442" s="83">
        <f t="shared" si="747"/>
        <v>0.875</v>
      </c>
      <c r="I2442" s="146">
        <v>45938</v>
      </c>
      <c r="J2442" s="147">
        <v>8.7</v>
      </c>
      <c r="K2442" s="147">
        <v>4.65</v>
      </c>
      <c r="L2442" s="158">
        <v>6.584</v>
      </c>
      <c r="M2442" s="59" cm="1">
        <f t="array" ref="M2442">INDEX($BV$29:$BV$1449,MATCH($D2442,$BR$29:$BR$1449,0),)</f>
        <v>7</v>
      </c>
      <c r="N2442" s="150">
        <f t="shared" si="742"/>
        <v>0.00611246943765287</v>
      </c>
      <c r="O2442" s="150">
        <f t="shared" si="743"/>
        <v>0.0339195979899496</v>
      </c>
      <c r="P2442" s="150">
        <f t="shared" si="729"/>
        <v>0.0913310127631359</v>
      </c>
      <c r="Q2442" s="89">
        <f t="shared" si="731"/>
        <v>-0.0594285714285715</v>
      </c>
      <c r="S2442" s="82">
        <f t="shared" si="732"/>
        <v>45938</v>
      </c>
      <c r="T2442" s="83">
        <f t="shared" si="746"/>
        <v>0.5205</v>
      </c>
      <c r="U2442" s="83">
        <f t="shared" si="746"/>
        <v>0.54375</v>
      </c>
      <c r="W2442" s="146">
        <v>45938</v>
      </c>
      <c r="X2442" s="147">
        <v>10</v>
      </c>
      <c r="Y2442" s="147">
        <v>7</v>
      </c>
      <c r="Z2442" s="158">
        <v>8.328</v>
      </c>
      <c r="AA2442" s="59" cm="1">
        <f t="array" ref="AA2442">INDEX($BX$29:$BX$1449,MATCH($D2442,$BR$29:$BR$1449,0),)</f>
        <v>8.7</v>
      </c>
      <c r="AB2442" s="150">
        <f t="shared" si="733"/>
        <v>0.0104343605920891</v>
      </c>
      <c r="AC2442" s="150">
        <f t="shared" si="736"/>
        <v>0.0571210967250571</v>
      </c>
      <c r="AD2442" s="150">
        <f t="shared" si="739"/>
        <v>0.15827538247566</v>
      </c>
      <c r="AE2442" s="89">
        <f t="shared" si="734"/>
        <v>-0.0427586206896552</v>
      </c>
    </row>
    <row r="2443" spans="3:31">
      <c r="C2443" s="80" t="str" cm="1">
        <f t="array" ref="C2443">_xlfn.IFS(MONTH(D2443)&lt;4,1,MONTH(D2443)&lt;7,2,MONTH(D2443)&lt;10,3,MONTH(D2443)&gt;9,4)&amp;"Q"&amp;RIGHT(YEAR(D2443),2)</f>
        <v>4Q25</v>
      </c>
      <c r="D2443" s="81">
        <f t="shared" si="738"/>
        <v>45961</v>
      </c>
      <c r="E2443" s="82">
        <f t="shared" si="730"/>
        <v>45939</v>
      </c>
      <c r="F2443" s="83">
        <f t="shared" si="747"/>
        <v>0.84375</v>
      </c>
      <c r="G2443" s="83">
        <f t="shared" si="747"/>
        <v>0.875</v>
      </c>
      <c r="I2443" s="146">
        <v>45939</v>
      </c>
      <c r="J2443" s="147">
        <v>8.7</v>
      </c>
      <c r="K2443" s="147">
        <v>4.75</v>
      </c>
      <c r="L2443" s="158">
        <v>6.75</v>
      </c>
      <c r="M2443" s="59" cm="1">
        <f t="array" ref="M2443">INDEX($BV$29:$BV$1449,MATCH($D2443,$BR$29:$BR$1449,0),)</f>
        <v>7</v>
      </c>
      <c r="N2443" s="150">
        <f t="shared" si="742"/>
        <v>0.0252126366950183</v>
      </c>
      <c r="O2443" s="150">
        <f t="shared" si="743"/>
        <v>0.0474860335195531</v>
      </c>
      <c r="P2443" s="150">
        <f t="shared" si="729"/>
        <v>0.0938259601361204</v>
      </c>
      <c r="Q2443" s="89">
        <f t="shared" si="731"/>
        <v>-0.0357142857142857</v>
      </c>
      <c r="S2443" s="82">
        <f t="shared" si="732"/>
        <v>45939</v>
      </c>
      <c r="T2443" s="83">
        <f t="shared" si="746"/>
        <v>0.5295625</v>
      </c>
      <c r="U2443" s="83">
        <f t="shared" si="746"/>
        <v>0.54375</v>
      </c>
      <c r="W2443" s="146">
        <v>45939</v>
      </c>
      <c r="X2443" s="147">
        <v>10</v>
      </c>
      <c r="Y2443" s="147">
        <v>7</v>
      </c>
      <c r="Z2443" s="158">
        <v>8.473</v>
      </c>
      <c r="AA2443" s="59" cm="1">
        <f t="array" ref="AA2443">INDEX($BX$29:$BX$1449,MATCH($D2443,$BR$29:$BR$1449,0),)</f>
        <v>8.7</v>
      </c>
      <c r="AB2443" s="150">
        <f t="shared" si="733"/>
        <v>0.0174111431316044</v>
      </c>
      <c r="AC2443" s="150">
        <f t="shared" si="736"/>
        <v>0.056220393916729</v>
      </c>
      <c r="AD2443" s="150">
        <f t="shared" si="739"/>
        <v>0.14330049925786</v>
      </c>
      <c r="AE2443" s="89">
        <f t="shared" si="734"/>
        <v>-0.0260919540229884</v>
      </c>
    </row>
    <row r="2444" spans="3:31">
      <c r="C2444" s="80" t="str" cm="1">
        <f t="array" ref="C2444">_xlfn.IFS(MONTH(D2444)&lt;4,1,MONTH(D2444)&lt;7,2,MONTH(D2444)&lt;10,3,MONTH(D2444)&gt;9,4)&amp;"Q"&amp;RIGHT(YEAR(D2444),2)</f>
        <v>4Q25</v>
      </c>
      <c r="D2444" s="81">
        <f t="shared" si="738"/>
        <v>45961</v>
      </c>
      <c r="E2444" s="82">
        <f t="shared" si="730"/>
        <v>45940</v>
      </c>
      <c r="F2444" s="83">
        <f t="shared" si="747"/>
        <v>0.857</v>
      </c>
      <c r="G2444" s="83">
        <f t="shared" si="747"/>
        <v>0.875</v>
      </c>
      <c r="I2444" s="146">
        <v>45940</v>
      </c>
      <c r="J2444" s="147">
        <v>8.7</v>
      </c>
      <c r="K2444" s="147">
        <v>4.8</v>
      </c>
      <c r="L2444" s="158">
        <v>6.856</v>
      </c>
      <c r="M2444" s="59" cm="1">
        <f t="array" ref="M2444">INDEX($BV$29:$BV$1449,MATCH($D2444,$BR$29:$BR$1449,0),)</f>
        <v>7</v>
      </c>
      <c r="N2444" s="150">
        <f t="shared" si="742"/>
        <v>0.0157037037037038</v>
      </c>
      <c r="O2444" s="150">
        <f t="shared" si="743"/>
        <v>0.0547692307692307</v>
      </c>
      <c r="P2444" s="150">
        <f t="shared" si="729"/>
        <v>0.0911984720674837</v>
      </c>
      <c r="Q2444" s="89">
        <f t="shared" si="731"/>
        <v>-0.0205714285714286</v>
      </c>
      <c r="S2444" s="82">
        <f t="shared" si="732"/>
        <v>45940</v>
      </c>
      <c r="T2444" s="83">
        <f t="shared" si="746"/>
        <v>0.5360625</v>
      </c>
      <c r="U2444" s="83">
        <f t="shared" si="746"/>
        <v>0.54375</v>
      </c>
      <c r="W2444" s="146">
        <v>45940</v>
      </c>
      <c r="X2444" s="147">
        <v>10.2</v>
      </c>
      <c r="Y2444" s="147">
        <v>7.2</v>
      </c>
      <c r="Z2444" s="158">
        <v>8.577</v>
      </c>
      <c r="AA2444" s="59" cm="1">
        <f t="array" ref="AA2444">INDEX($BX$29:$BX$1449,MATCH($D2444,$BR$29:$BR$1449,0),)</f>
        <v>8.7</v>
      </c>
      <c r="AB2444" s="150">
        <f t="shared" si="733"/>
        <v>0.0122742830166409</v>
      </c>
      <c r="AC2444" s="150">
        <f t="shared" si="736"/>
        <v>0.0551113298068644</v>
      </c>
      <c r="AD2444" s="150">
        <f t="shared" si="739"/>
        <v>0.14742474916388</v>
      </c>
      <c r="AE2444" s="89">
        <f t="shared" si="734"/>
        <v>-0.0141379310344827</v>
      </c>
    </row>
    <row r="2445" spans="3:31">
      <c r="C2445" s="80" t="str" cm="1">
        <f t="array" ref="C2445">_xlfn.IFS(MONTH(D2445)&lt;4,1,MONTH(D2445)&lt;7,2,MONTH(D2445)&lt;10,3,MONTH(D2445)&gt;9,4)&amp;"Q"&amp;RIGHT(YEAR(D2445),2)</f>
        <v>4Q25</v>
      </c>
      <c r="D2445" s="81">
        <f t="shared" si="738"/>
        <v>45961</v>
      </c>
      <c r="E2445" s="82">
        <f t="shared" si="730"/>
        <v>45943</v>
      </c>
      <c r="F2445" s="83">
        <f t="shared" si="747"/>
        <v>0.8755</v>
      </c>
      <c r="G2445" s="83">
        <f t="shared" si="747"/>
        <v>0.875</v>
      </c>
      <c r="I2445" s="146">
        <v>45943</v>
      </c>
      <c r="J2445" s="147">
        <v>8.8</v>
      </c>
      <c r="K2445" s="147">
        <v>4.9</v>
      </c>
      <c r="L2445" s="158">
        <v>7.004</v>
      </c>
      <c r="M2445" s="59" cm="1">
        <f t="array" ref="M2445">INDEX($BV$29:$BV$1449,MATCH($D2445,$BR$29:$BR$1449,0),)</f>
        <v>7</v>
      </c>
      <c r="N2445" s="150">
        <f t="shared" si="742"/>
        <v>0.0215869311551924</v>
      </c>
      <c r="O2445" s="150">
        <f t="shared" si="743"/>
        <v>0.0775384615384616</v>
      </c>
      <c r="P2445" s="150">
        <f t="shared" si="729"/>
        <v>0.102992125984252</v>
      </c>
      <c r="Q2445" s="89">
        <f t="shared" si="731"/>
        <v>0.000571428571428445</v>
      </c>
      <c r="S2445" s="82">
        <f t="shared" si="732"/>
        <v>45943</v>
      </c>
      <c r="T2445" s="83">
        <f t="shared" si="746"/>
        <v>0.5541875</v>
      </c>
      <c r="U2445" s="83">
        <f t="shared" si="746"/>
        <v>0.54375</v>
      </c>
      <c r="W2445" s="146">
        <v>45943</v>
      </c>
      <c r="X2445" s="147">
        <v>11</v>
      </c>
      <c r="Y2445" s="147">
        <v>8</v>
      </c>
      <c r="Z2445" s="158">
        <v>8.867</v>
      </c>
      <c r="AA2445" s="59" cm="1">
        <f t="array" ref="AA2445">INDEX($BX$29:$BX$1449,MATCH($D2445,$BR$29:$BR$1449,0),)</f>
        <v>8.7</v>
      </c>
      <c r="AB2445" s="150">
        <f t="shared" si="733"/>
        <v>0.0338113559519646</v>
      </c>
      <c r="AC2445" s="150">
        <f t="shared" si="736"/>
        <v>0.090786074547915</v>
      </c>
      <c r="AD2445" s="150">
        <f t="shared" si="739"/>
        <v>0.17677504976775</v>
      </c>
      <c r="AE2445" s="89">
        <f t="shared" si="734"/>
        <v>0.0191954022988508</v>
      </c>
    </row>
    <row r="2446" spans="3:31">
      <c r="C2446" s="80" t="str" cm="1">
        <f t="array" ref="C2446">_xlfn.IFS(MONTH(D2446)&lt;4,1,MONTH(D2446)&lt;7,2,MONTH(D2446)&lt;10,3,MONTH(D2446)&gt;9,4)&amp;"Q"&amp;RIGHT(YEAR(D2446),2)</f>
        <v>4Q25</v>
      </c>
      <c r="D2446" s="81">
        <f t="shared" si="738"/>
        <v>45961</v>
      </c>
      <c r="E2446" s="82">
        <f t="shared" si="730"/>
        <v>45944</v>
      </c>
      <c r="F2446" s="83">
        <f t="shared" si="747"/>
        <v>0.882375</v>
      </c>
      <c r="G2446" s="83">
        <f t="shared" si="747"/>
        <v>0.875</v>
      </c>
      <c r="I2446" s="146">
        <v>45944</v>
      </c>
      <c r="J2446" s="147">
        <v>8.8</v>
      </c>
      <c r="K2446" s="147">
        <v>5</v>
      </c>
      <c r="L2446" s="158">
        <v>7.059</v>
      </c>
      <c r="M2446" s="59" cm="1">
        <f t="array" ref="M2446">INDEX($BV$29:$BV$1449,MATCH($D2446,$BR$29:$BR$1449,0),)</f>
        <v>7</v>
      </c>
      <c r="N2446" s="150">
        <f t="shared" si="742"/>
        <v>0.00785265562535709</v>
      </c>
      <c r="O2446" s="150">
        <f t="shared" si="743"/>
        <v>0.07869804400978</v>
      </c>
      <c r="P2446" s="150">
        <f t="shared" si="729"/>
        <v>0.110080201289511</v>
      </c>
      <c r="Q2446" s="89">
        <f t="shared" si="731"/>
        <v>0.00842857142857145</v>
      </c>
      <c r="S2446" s="82">
        <f t="shared" si="732"/>
        <v>45944</v>
      </c>
      <c r="T2446" s="83">
        <f t="shared" si="746"/>
        <v>0.5625</v>
      </c>
      <c r="U2446" s="83">
        <f t="shared" si="746"/>
        <v>0.54375</v>
      </c>
      <c r="W2446" s="146">
        <v>45944</v>
      </c>
      <c r="X2446" s="147">
        <v>11</v>
      </c>
      <c r="Y2446" s="147">
        <v>8</v>
      </c>
      <c r="Z2446" s="158">
        <v>9</v>
      </c>
      <c r="AA2446" s="59" cm="1">
        <f t="array" ref="AA2446">INDEX($BX$29:$BX$1449,MATCH($D2446,$BR$29:$BR$1449,0),)</f>
        <v>8.7</v>
      </c>
      <c r="AB2446" s="150">
        <f t="shared" si="733"/>
        <v>0.0149994361114243</v>
      </c>
      <c r="AC2446" s="150">
        <f t="shared" si="736"/>
        <v>0.0919679689395776</v>
      </c>
      <c r="AD2446" s="150">
        <f t="shared" si="739"/>
        <v>0.172485669619594</v>
      </c>
      <c r="AE2446" s="89">
        <f t="shared" si="734"/>
        <v>0.0344827586206897</v>
      </c>
    </row>
    <row r="2447" spans="3:31">
      <c r="C2447" s="80" t="str" cm="1">
        <f t="array" ref="C2447">_xlfn.IFS(MONTH(D2447)&lt;4,1,MONTH(D2447)&lt;7,2,MONTH(D2447)&lt;10,3,MONTH(D2447)&gt;9,4)&amp;"Q"&amp;RIGHT(YEAR(D2447),2)</f>
        <v>4Q25</v>
      </c>
      <c r="D2447" s="81">
        <f t="shared" si="738"/>
        <v>45961</v>
      </c>
      <c r="E2447" s="82">
        <f t="shared" si="730"/>
        <v>45945</v>
      </c>
      <c r="F2447" s="83">
        <f t="shared" si="747"/>
        <v>0.902375</v>
      </c>
      <c r="G2447" s="83">
        <f t="shared" si="747"/>
        <v>0.875</v>
      </c>
      <c r="I2447" s="146">
        <v>45945</v>
      </c>
      <c r="J2447" s="147">
        <v>9</v>
      </c>
      <c r="K2447" s="147">
        <v>5.2</v>
      </c>
      <c r="L2447" s="158">
        <v>7.219</v>
      </c>
      <c r="M2447" s="59" cm="1">
        <f t="array" ref="M2447">INDEX($BV$29:$BV$1449,MATCH($D2447,$BR$29:$BR$1449,0),)</f>
        <v>7</v>
      </c>
      <c r="N2447" s="150">
        <f t="shared" si="742"/>
        <v>0.0226661000141664</v>
      </c>
      <c r="O2447" s="150">
        <f t="shared" si="743"/>
        <v>0.096445929526124</v>
      </c>
      <c r="P2447" s="150">
        <f t="shared" ref="P2447:P2510" si="748">L2447/L2437-1</f>
        <v>0.133636934673367</v>
      </c>
      <c r="Q2447" s="89">
        <f t="shared" si="731"/>
        <v>0.0312857142857144</v>
      </c>
      <c r="S2447" s="82">
        <f t="shared" si="732"/>
        <v>45945</v>
      </c>
      <c r="T2447" s="83">
        <f t="shared" si="746"/>
        <v>0.5854375</v>
      </c>
      <c r="U2447" s="83">
        <f t="shared" si="746"/>
        <v>0.54375</v>
      </c>
      <c r="W2447" s="146">
        <v>45945</v>
      </c>
      <c r="X2447" s="147">
        <v>12.5</v>
      </c>
      <c r="Y2447" s="147">
        <v>8</v>
      </c>
      <c r="Z2447" s="158">
        <v>9.367</v>
      </c>
      <c r="AA2447" s="59" cm="1">
        <f t="array" ref="AA2447">INDEX($BX$29:$BX$1449,MATCH($D2447,$BR$29:$BR$1449,0),)</f>
        <v>8.7</v>
      </c>
      <c r="AB2447" s="150">
        <f t="shared" si="733"/>
        <v>0.0407777777777778</v>
      </c>
      <c r="AC2447" s="150">
        <f t="shared" si="736"/>
        <v>0.124759846301633</v>
      </c>
      <c r="AD2447" s="150">
        <f t="shared" si="739"/>
        <v>0.189007362274689</v>
      </c>
      <c r="AE2447" s="89">
        <f t="shared" si="734"/>
        <v>0.0766666666666669</v>
      </c>
    </row>
    <row r="2448" spans="3:31">
      <c r="C2448" s="80" t="str" cm="1">
        <f t="array" ref="C2448">_xlfn.IFS(MONTH(D2448)&lt;4,1,MONTH(D2448)&lt;7,2,MONTH(D2448)&lt;10,3,MONTH(D2448)&gt;9,4)&amp;"Q"&amp;RIGHT(YEAR(D2448),2)</f>
        <v>4Q25</v>
      </c>
      <c r="D2448" s="81">
        <f t="shared" si="738"/>
        <v>45961</v>
      </c>
      <c r="E2448" s="82">
        <f t="shared" si="730"/>
        <v>45946</v>
      </c>
      <c r="F2448" s="83">
        <f t="shared" si="747"/>
        <v>0.946125</v>
      </c>
      <c r="G2448" s="83">
        <f t="shared" si="747"/>
        <v>0.875</v>
      </c>
      <c r="I2448" s="146">
        <v>45946</v>
      </c>
      <c r="J2448" s="147">
        <v>9.5</v>
      </c>
      <c r="K2448" s="147">
        <v>5.8</v>
      </c>
      <c r="L2448" s="158">
        <v>7.569</v>
      </c>
      <c r="M2448" s="59" cm="1">
        <f t="array" ref="M2448">INDEX($BV$29:$BV$1449,MATCH($D2448,$BR$29:$BR$1449,0),)</f>
        <v>7</v>
      </c>
      <c r="N2448" s="150">
        <f t="shared" si="742"/>
        <v>0.0484831694140462</v>
      </c>
      <c r="O2448" s="150">
        <f t="shared" si="743"/>
        <v>0.121333333333333</v>
      </c>
      <c r="P2448" s="150">
        <f t="shared" si="748"/>
        <v>0.174581005586592</v>
      </c>
      <c r="Q2448" s="89">
        <f t="shared" si="731"/>
        <v>0.0812857142857142</v>
      </c>
      <c r="S2448" s="82">
        <f t="shared" si="732"/>
        <v>45946</v>
      </c>
      <c r="T2448" s="83">
        <f t="shared" si="746"/>
        <v>0.611625</v>
      </c>
      <c r="U2448" s="83">
        <f t="shared" si="746"/>
        <v>0.54375</v>
      </c>
      <c r="W2448" s="146">
        <v>45946</v>
      </c>
      <c r="X2448" s="147">
        <v>15.5</v>
      </c>
      <c r="Y2448" s="147">
        <v>8</v>
      </c>
      <c r="Z2448" s="158">
        <v>9.786</v>
      </c>
      <c r="AA2448" s="59" cm="1">
        <f t="array" ref="AA2448">INDEX($BX$29:$BX$1449,MATCH($D2448,$BR$29:$BR$1449,0),)</f>
        <v>8.7</v>
      </c>
      <c r="AB2448" s="150">
        <f t="shared" si="733"/>
        <v>0.0447315042169316</v>
      </c>
      <c r="AC2448" s="150">
        <f t="shared" si="736"/>
        <v>0.154962823085094</v>
      </c>
      <c r="AD2448" s="150">
        <f t="shared" si="739"/>
        <v>0.219895287958115</v>
      </c>
      <c r="AE2448" s="89">
        <f t="shared" si="734"/>
        <v>0.124827586206897</v>
      </c>
    </row>
    <row r="2449" spans="3:31">
      <c r="C2449" s="80" t="str" cm="1">
        <f t="array" ref="C2449">_xlfn.IFS(MONTH(D2449)&lt;4,1,MONTH(D2449)&lt;7,2,MONTH(D2449)&lt;10,3,MONTH(D2449)&gt;9,4)&amp;"Q"&amp;RIGHT(YEAR(D2449),2)</f>
        <v>4Q25</v>
      </c>
      <c r="D2449" s="81">
        <f t="shared" si="738"/>
        <v>45961</v>
      </c>
      <c r="E2449" s="82">
        <f t="shared" ref="E2449:E2512" si="749">I2449</f>
        <v>45947</v>
      </c>
      <c r="F2449" s="83">
        <f t="shared" si="747"/>
        <v>0.990375</v>
      </c>
      <c r="G2449" s="83">
        <f t="shared" si="747"/>
        <v>0.875</v>
      </c>
      <c r="I2449" s="146">
        <v>45947</v>
      </c>
      <c r="J2449" s="147">
        <v>10</v>
      </c>
      <c r="K2449" s="147">
        <v>5.8</v>
      </c>
      <c r="L2449" s="158">
        <v>7.923</v>
      </c>
      <c r="M2449" s="59" cm="1">
        <f t="array" ref="M2449">INDEX($BV$29:$BV$1449,MATCH($D2449,$BR$29:$BR$1449,0),)</f>
        <v>7</v>
      </c>
      <c r="N2449" s="150">
        <f t="shared" si="742"/>
        <v>0.0467697185889815</v>
      </c>
      <c r="O2449" s="150">
        <f t="shared" si="743"/>
        <v>0.155630105017503</v>
      </c>
      <c r="P2449" s="150">
        <f t="shared" si="748"/>
        <v>0.218923076923077</v>
      </c>
      <c r="Q2449" s="89">
        <f t="shared" ref="Q2449:Q2512" si="750">L2449/M2449-1</f>
        <v>0.131857142857143</v>
      </c>
      <c r="S2449" s="82">
        <f t="shared" si="732"/>
        <v>45947</v>
      </c>
      <c r="T2449" s="83">
        <f t="shared" si="746"/>
        <v>0.6464375</v>
      </c>
      <c r="U2449" s="83">
        <f t="shared" si="746"/>
        <v>0.54375</v>
      </c>
      <c r="W2449" s="146">
        <v>45947</v>
      </c>
      <c r="X2449" s="147">
        <v>15.5</v>
      </c>
      <c r="Y2449" s="147">
        <v>8</v>
      </c>
      <c r="Z2449" s="158">
        <v>10.343</v>
      </c>
      <c r="AA2449" s="59" cm="1">
        <f t="array" ref="AA2449">INDEX($BX$29:$BX$1449,MATCH($D2449,$BR$29:$BR$1449,0),)</f>
        <v>8.7</v>
      </c>
      <c r="AB2449" s="150">
        <f t="shared" si="733"/>
        <v>0.0569180461884324</v>
      </c>
      <c r="AC2449" s="150">
        <f t="shared" si="736"/>
        <v>0.205899498659205</v>
      </c>
      <c r="AD2449" s="150">
        <f t="shared" si="739"/>
        <v>0.272358223643745</v>
      </c>
      <c r="AE2449" s="89">
        <f t="shared" si="734"/>
        <v>0.188850574712644</v>
      </c>
    </row>
    <row r="2450" spans="3:31">
      <c r="C2450" s="80" t="str" cm="1">
        <f t="array" ref="C2450">_xlfn.IFS(MONTH(D2450)&lt;4,1,MONTH(D2450)&lt;7,2,MONTH(D2450)&lt;10,3,MONTH(D2450)&gt;9,4)&amp;"Q"&amp;RIGHT(YEAR(D2450),2)</f>
        <v>4Q25</v>
      </c>
      <c r="D2450" s="81">
        <f t="shared" si="738"/>
        <v>45961</v>
      </c>
      <c r="E2450" s="82">
        <f t="shared" si="749"/>
        <v>45950</v>
      </c>
      <c r="F2450" s="83">
        <f t="shared" si="747"/>
        <v>0.9905</v>
      </c>
      <c r="G2450" s="83">
        <f t="shared" si="747"/>
        <v>0.875</v>
      </c>
      <c r="I2450" s="146">
        <v>45950</v>
      </c>
      <c r="J2450" s="147">
        <v>10</v>
      </c>
      <c r="K2450" s="147">
        <v>5.8</v>
      </c>
      <c r="L2450" s="158">
        <v>7.924</v>
      </c>
      <c r="M2450" s="59" cm="1">
        <f t="array" ref="M2450">INDEX($BV$29:$BV$1449,MATCH($D2450,$BR$29:$BR$1449,0),)</f>
        <v>7</v>
      </c>
      <c r="N2450" s="150">
        <f t="shared" si="742"/>
        <v>0.000126214817619541</v>
      </c>
      <c r="O2450" s="150">
        <f t="shared" si="743"/>
        <v>0.131353512278698</v>
      </c>
      <c r="P2450" s="150">
        <f t="shared" si="748"/>
        <v>0.219076923076923</v>
      </c>
      <c r="Q2450" s="89">
        <f t="shared" si="750"/>
        <v>0.132</v>
      </c>
      <c r="S2450" s="82">
        <f t="shared" si="732"/>
        <v>45950</v>
      </c>
      <c r="T2450" s="83">
        <f t="shared" si="746"/>
        <v>0.6535625</v>
      </c>
      <c r="U2450" s="83">
        <f t="shared" si="746"/>
        <v>0.54375</v>
      </c>
      <c r="W2450" s="146">
        <v>45950</v>
      </c>
      <c r="X2450" s="147">
        <v>16</v>
      </c>
      <c r="Y2450" s="147">
        <v>8</v>
      </c>
      <c r="Z2450" s="158">
        <v>10.457</v>
      </c>
      <c r="AA2450" s="59" cm="1">
        <f t="array" ref="AA2450">INDEX($BX$29:$BX$1449,MATCH($D2450,$BR$29:$BR$1449,0),)</f>
        <v>8.7</v>
      </c>
      <c r="AB2450" s="150">
        <f t="shared" si="733"/>
        <v>0.0110219472106741</v>
      </c>
      <c r="AC2450" s="150">
        <f t="shared" si="736"/>
        <v>0.179316567046352</v>
      </c>
      <c r="AD2450" s="150">
        <f t="shared" si="739"/>
        <v>0.286382088817813</v>
      </c>
      <c r="AE2450" s="89">
        <f t="shared" si="734"/>
        <v>0.201954022988506</v>
      </c>
    </row>
    <row r="2451" spans="3:31">
      <c r="C2451" s="80" t="str" cm="1">
        <f t="array" ref="C2451">_xlfn.IFS(MONTH(D2451)&lt;4,1,MONTH(D2451)&lt;7,2,MONTH(D2451)&lt;10,3,MONTH(D2451)&gt;9,4)&amp;"Q"&amp;RIGHT(YEAR(D2451),2)</f>
        <v>4Q25</v>
      </c>
      <c r="D2451" s="81">
        <f t="shared" si="738"/>
        <v>45961</v>
      </c>
      <c r="E2451" s="82">
        <f t="shared" si="749"/>
        <v>45951</v>
      </c>
      <c r="F2451" s="83">
        <f t="shared" si="747"/>
        <v>0.991375</v>
      </c>
      <c r="G2451" s="83">
        <f t="shared" si="747"/>
        <v>0.875</v>
      </c>
      <c r="I2451" s="146">
        <v>45951</v>
      </c>
      <c r="J2451" s="147">
        <v>10</v>
      </c>
      <c r="K2451" s="147">
        <v>5.55</v>
      </c>
      <c r="L2451" s="158">
        <v>7.931</v>
      </c>
      <c r="M2451" s="59" cm="1">
        <f t="array" ref="M2451">INDEX($BV$29:$BV$1449,MATCH($D2451,$BR$29:$BR$1449,0),)</f>
        <v>7</v>
      </c>
      <c r="N2451" s="150">
        <f t="shared" si="742"/>
        <v>0.000883392226148416</v>
      </c>
      <c r="O2451" s="150">
        <f t="shared" si="743"/>
        <v>0.123530245077206</v>
      </c>
      <c r="P2451" s="150">
        <f t="shared" si="748"/>
        <v>0.211949877750611</v>
      </c>
      <c r="Q2451" s="89">
        <f t="shared" si="750"/>
        <v>0.133</v>
      </c>
      <c r="S2451" s="82">
        <f t="shared" si="732"/>
        <v>45951</v>
      </c>
      <c r="T2451" s="83">
        <f t="shared" si="746"/>
        <v>0.6714375</v>
      </c>
      <c r="U2451" s="83">
        <f t="shared" si="746"/>
        <v>0.54375</v>
      </c>
      <c r="W2451" s="146">
        <v>45951</v>
      </c>
      <c r="X2451" s="147">
        <v>16</v>
      </c>
      <c r="Y2451" s="147">
        <v>8.1</v>
      </c>
      <c r="Z2451" s="158">
        <v>10.743</v>
      </c>
      <c r="AA2451" s="59" cm="1">
        <f t="array" ref="AA2451">INDEX($BX$29:$BX$1449,MATCH($D2451,$BR$29:$BR$1449,0),)</f>
        <v>8.7</v>
      </c>
      <c r="AB2451" s="150">
        <f t="shared" si="733"/>
        <v>0.0273501004112078</v>
      </c>
      <c r="AC2451" s="150">
        <f t="shared" si="736"/>
        <v>0.193666666666667</v>
      </c>
      <c r="AD2451" s="150">
        <f t="shared" si="739"/>
        <v>0.303445765590876</v>
      </c>
      <c r="AE2451" s="89">
        <f t="shared" si="734"/>
        <v>0.234827586206897</v>
      </c>
    </row>
    <row r="2452" spans="3:31">
      <c r="C2452" s="80" t="str" cm="1">
        <f t="array" ref="C2452">_xlfn.IFS(MONTH(D2452)&lt;4,1,MONTH(D2452)&lt;7,2,MONTH(D2452)&lt;10,3,MONTH(D2452)&gt;9,4)&amp;"Q"&amp;RIGHT(YEAR(D2452),2)</f>
        <v>4Q25</v>
      </c>
      <c r="D2452" s="81">
        <f t="shared" si="738"/>
        <v>45961</v>
      </c>
      <c r="E2452" s="82">
        <f t="shared" si="749"/>
        <v>45952</v>
      </c>
      <c r="F2452" s="83">
        <f t="shared" si="747"/>
        <v>1.008625</v>
      </c>
      <c r="G2452" s="83">
        <f t="shared" si="747"/>
        <v>0.875</v>
      </c>
      <c r="I2452" s="146">
        <v>45952</v>
      </c>
      <c r="J2452" s="147">
        <v>10.5</v>
      </c>
      <c r="K2452" s="147">
        <v>5.55</v>
      </c>
      <c r="L2452" s="158">
        <v>8.069</v>
      </c>
      <c r="M2452" s="59" cm="1">
        <f t="array" ref="M2452">INDEX($BV$29:$BV$1449,MATCH($D2452,$BR$29:$BR$1449,0),)</f>
        <v>7</v>
      </c>
      <c r="N2452" s="150">
        <f t="shared" si="742"/>
        <v>0.017400075652503</v>
      </c>
      <c r="O2452" s="150">
        <f t="shared" si="743"/>
        <v>0.117744840005541</v>
      </c>
      <c r="P2452" s="150">
        <f t="shared" si="748"/>
        <v>0.225546780072904</v>
      </c>
      <c r="Q2452" s="89">
        <f t="shared" si="750"/>
        <v>0.152714285714286</v>
      </c>
      <c r="S2452" s="82">
        <f t="shared" ref="S2452:S2515" si="751">W2452</f>
        <v>45952</v>
      </c>
      <c r="T2452" s="83">
        <f t="shared" si="746"/>
        <v>0.7041875</v>
      </c>
      <c r="U2452" s="83">
        <f t="shared" si="746"/>
        <v>0.54375</v>
      </c>
      <c r="W2452" s="146">
        <v>45952</v>
      </c>
      <c r="X2452" s="147">
        <v>16.5</v>
      </c>
      <c r="Y2452" s="147">
        <v>8.3</v>
      </c>
      <c r="Z2452" s="158">
        <v>11.267</v>
      </c>
      <c r="AA2452" s="59" cm="1">
        <f t="array" ref="AA2452">INDEX($BX$29:$BX$1449,MATCH($D2452,$BR$29:$BR$1449,0),)</f>
        <v>8.7</v>
      </c>
      <c r="AB2452" s="150">
        <f t="shared" si="733"/>
        <v>0.0487759471283626</v>
      </c>
      <c r="AC2452" s="150">
        <f t="shared" si="736"/>
        <v>0.202839756592292</v>
      </c>
      <c r="AD2452" s="150">
        <f t="shared" si="739"/>
        <v>0.35290585975024</v>
      </c>
      <c r="AE2452" s="89">
        <f t="shared" si="734"/>
        <v>0.295057471264368</v>
      </c>
    </row>
    <row r="2453" spans="3:31">
      <c r="C2453" s="80" t="str" cm="1">
        <f t="array" ref="C2453">_xlfn.IFS(MONTH(D2453)&lt;4,1,MONTH(D2453)&lt;7,2,MONTH(D2453)&lt;10,3,MONTH(D2453)&gt;9,4)&amp;"Q"&amp;RIGHT(YEAR(D2453),2)</f>
        <v>4Q25</v>
      </c>
      <c r="D2453" s="81">
        <f t="shared" si="738"/>
        <v>45961</v>
      </c>
      <c r="E2453" s="82">
        <f t="shared" si="749"/>
        <v>45953</v>
      </c>
      <c r="F2453" s="83">
        <f t="shared" si="747"/>
        <v>1.0395</v>
      </c>
      <c r="G2453" s="83">
        <f t="shared" si="747"/>
        <v>0.875</v>
      </c>
      <c r="I2453" s="146">
        <v>45953</v>
      </c>
      <c r="J2453" s="147">
        <v>11</v>
      </c>
      <c r="K2453" s="147">
        <v>5.65</v>
      </c>
      <c r="L2453" s="158">
        <v>8.316</v>
      </c>
      <c r="M2453" s="59" cm="1">
        <f t="array" ref="M2453">INDEX($BV$29:$BV$1449,MATCH($D2453,$BR$29:$BR$1449,0),)</f>
        <v>7</v>
      </c>
      <c r="N2453" s="150">
        <f t="shared" si="742"/>
        <v>0.0306109802949559</v>
      </c>
      <c r="O2453" s="150">
        <f t="shared" si="743"/>
        <v>0.098692033293698</v>
      </c>
      <c r="P2453" s="150">
        <f t="shared" si="748"/>
        <v>0.232</v>
      </c>
      <c r="Q2453" s="89">
        <f t="shared" si="750"/>
        <v>0.188</v>
      </c>
      <c r="S2453" s="82">
        <f t="shared" si="751"/>
        <v>45953</v>
      </c>
      <c r="T2453" s="83">
        <f t="shared" si="746"/>
        <v>0.7416875</v>
      </c>
      <c r="U2453" s="83">
        <f t="shared" si="746"/>
        <v>0.54375</v>
      </c>
      <c r="W2453" s="146">
        <v>45953</v>
      </c>
      <c r="X2453" s="147">
        <v>16.5</v>
      </c>
      <c r="Y2453" s="147">
        <v>8.5</v>
      </c>
      <c r="Z2453" s="158">
        <v>11.867</v>
      </c>
      <c r="AA2453" s="59" cm="1">
        <f t="array" ref="AA2453">INDEX($BX$29:$BX$1449,MATCH($D2453,$BR$29:$BR$1449,0),)</f>
        <v>8.7</v>
      </c>
      <c r="AB2453" s="150">
        <f t="shared" ref="AB2453:AB2516" si="752">Z2453/Z2452-1</f>
        <v>0.0532528623413511</v>
      </c>
      <c r="AC2453" s="150">
        <f t="shared" si="736"/>
        <v>0.212650725526262</v>
      </c>
      <c r="AD2453" s="150">
        <f t="shared" si="739"/>
        <v>0.400566505369999</v>
      </c>
      <c r="AE2453" s="89">
        <f t="shared" si="734"/>
        <v>0.364022988505747</v>
      </c>
    </row>
    <row r="2454" spans="3:31">
      <c r="C2454" s="80" t="str" cm="1">
        <f t="array" ref="C2454">_xlfn.IFS(MONTH(D2454)&lt;4,1,MONTH(D2454)&lt;7,2,MONTH(D2454)&lt;10,3,MONTH(D2454)&gt;9,4)&amp;"Q"&amp;RIGHT(YEAR(D2454),2)</f>
        <v>4Q25</v>
      </c>
      <c r="D2454" s="81">
        <f t="shared" si="738"/>
        <v>45961</v>
      </c>
      <c r="E2454" s="82">
        <f t="shared" si="749"/>
        <v>45954</v>
      </c>
      <c r="F2454" s="83">
        <f t="shared" si="747"/>
        <v>1.06</v>
      </c>
      <c r="G2454" s="83">
        <f t="shared" si="747"/>
        <v>0.875</v>
      </c>
      <c r="I2454" s="146">
        <v>45954</v>
      </c>
      <c r="J2454" s="147">
        <v>11</v>
      </c>
      <c r="K2454" s="147">
        <v>5.65</v>
      </c>
      <c r="L2454" s="158">
        <v>8.48</v>
      </c>
      <c r="M2454" s="59" cm="1">
        <f t="array" ref="M2454">INDEX($BV$29:$BV$1449,MATCH($D2454,$BR$29:$BR$1449,0),)</f>
        <v>7</v>
      </c>
      <c r="N2454" s="150">
        <f t="shared" si="742"/>
        <v>0.0197210197210196</v>
      </c>
      <c r="O2454" s="150">
        <f t="shared" si="743"/>
        <v>0.0703016534141108</v>
      </c>
      <c r="P2454" s="150">
        <f t="shared" si="748"/>
        <v>0.236872812135356</v>
      </c>
      <c r="Q2454" s="89">
        <f t="shared" si="750"/>
        <v>0.211428571428572</v>
      </c>
      <c r="S2454" s="82">
        <f t="shared" si="751"/>
        <v>45954</v>
      </c>
      <c r="T2454" s="83">
        <f t="shared" si="746"/>
        <v>0.7884375</v>
      </c>
      <c r="U2454" s="83">
        <f t="shared" si="746"/>
        <v>0.54375</v>
      </c>
      <c r="W2454" s="146">
        <v>45954</v>
      </c>
      <c r="X2454" s="147">
        <v>16.5</v>
      </c>
      <c r="Y2454" s="147">
        <v>9</v>
      </c>
      <c r="Z2454" s="158">
        <v>12.615</v>
      </c>
      <c r="AA2454" s="59" cm="1">
        <f t="array" ref="AA2454">INDEX($BX$29:$BX$1449,MATCH($D2454,$BR$29:$BR$1449,0),)</f>
        <v>8.7</v>
      </c>
      <c r="AB2454" s="150">
        <f t="shared" si="752"/>
        <v>0.0630319373051318</v>
      </c>
      <c r="AC2454" s="150">
        <f t="shared" si="736"/>
        <v>0.219665474233781</v>
      </c>
      <c r="AD2454" s="150">
        <f t="shared" si="739"/>
        <v>0.470793983910458</v>
      </c>
      <c r="AE2454" s="89">
        <f t="shared" ref="AE2454:AE2517" si="753">Z2454/AA2454-1</f>
        <v>0.45</v>
      </c>
    </row>
    <row r="2455" spans="3:31">
      <c r="C2455" s="80" t="str" cm="1">
        <f t="array" ref="C2455">_xlfn.IFS(MONTH(D2455)&lt;4,1,MONTH(D2455)&lt;7,2,MONTH(D2455)&lt;10,3,MONTH(D2455)&gt;9,4)&amp;"Q"&amp;RIGHT(YEAR(D2455),2)</f>
        <v>4Q25</v>
      </c>
      <c r="D2455" s="81">
        <f t="shared" si="738"/>
        <v>45961</v>
      </c>
      <c r="E2455" s="82">
        <f t="shared" si="749"/>
        <v>45957</v>
      </c>
      <c r="F2455" s="83">
        <f t="shared" si="747"/>
        <v>1.077</v>
      </c>
      <c r="G2455" s="83">
        <f t="shared" si="747"/>
        <v>0.875</v>
      </c>
      <c r="I2455" s="146">
        <v>45957</v>
      </c>
      <c r="J2455" s="147">
        <v>11</v>
      </c>
      <c r="K2455" s="147">
        <v>5.75</v>
      </c>
      <c r="L2455" s="158">
        <v>8.616</v>
      </c>
      <c r="M2455" s="59" cm="1">
        <f t="array" ref="M2455">INDEX($BV$29:$BV$1449,MATCH($D2455,$BR$29:$BR$1449,0),)</f>
        <v>7</v>
      </c>
      <c r="N2455" s="150">
        <f t="shared" si="742"/>
        <v>0.0160377358490564</v>
      </c>
      <c r="O2455" s="150">
        <f t="shared" si="743"/>
        <v>0.0873296314992427</v>
      </c>
      <c r="P2455" s="150">
        <f t="shared" si="748"/>
        <v>0.230154197601371</v>
      </c>
      <c r="Q2455" s="89">
        <f t="shared" si="750"/>
        <v>0.230857142857143</v>
      </c>
      <c r="S2455" s="82">
        <f t="shared" si="751"/>
        <v>45957</v>
      </c>
      <c r="T2455" s="83">
        <f t="shared" si="746"/>
        <v>0.83125</v>
      </c>
      <c r="U2455" s="83">
        <f t="shared" si="746"/>
        <v>0.54375</v>
      </c>
      <c r="W2455" s="146">
        <v>45957</v>
      </c>
      <c r="X2455" s="147">
        <v>18</v>
      </c>
      <c r="Y2455" s="147">
        <v>9.5</v>
      </c>
      <c r="Z2455" s="158">
        <v>13.3</v>
      </c>
      <c r="AA2455" s="59" cm="1">
        <f t="array" ref="AA2455">INDEX($BX$29:$BX$1449,MATCH($D2455,$BR$29:$BR$1449,0),)</f>
        <v>8.7</v>
      </c>
      <c r="AB2455" s="150">
        <f t="shared" si="752"/>
        <v>0.0543004359889021</v>
      </c>
      <c r="AC2455" s="150">
        <f t="shared" si="736"/>
        <v>0.27187529884288</v>
      </c>
      <c r="AD2455" s="150">
        <f t="shared" si="739"/>
        <v>0.499943611142438</v>
      </c>
      <c r="AE2455" s="89">
        <f t="shared" si="753"/>
        <v>0.528735632183908</v>
      </c>
    </row>
    <row r="2456" spans="3:31">
      <c r="C2456" s="80" t="str" cm="1">
        <f t="array" ref="C2456">_xlfn.IFS(MONTH(D2456)&lt;4,1,MONTH(D2456)&lt;7,2,MONTH(D2456)&lt;10,3,MONTH(D2456)&gt;9,4)&amp;"Q"&amp;RIGHT(YEAR(D2456),2)</f>
        <v>4Q25</v>
      </c>
      <c r="D2456" s="81">
        <f t="shared" si="738"/>
        <v>45961</v>
      </c>
      <c r="E2456" s="82">
        <f t="shared" si="749"/>
        <v>45958</v>
      </c>
      <c r="F2456" s="83">
        <f t="shared" si="747"/>
        <v>1.13925</v>
      </c>
      <c r="G2456" s="83">
        <f t="shared" si="747"/>
        <v>0.875</v>
      </c>
      <c r="I2456" s="146">
        <v>45958</v>
      </c>
      <c r="J2456" s="147">
        <v>12.3</v>
      </c>
      <c r="K2456" s="147">
        <v>6</v>
      </c>
      <c r="L2456" s="158">
        <v>9.114</v>
      </c>
      <c r="M2456" s="59" cm="1">
        <f t="array" ref="M2456">INDEX($BV$29:$BV$1449,MATCH($D2456,$BR$29:$BR$1449,0),)</f>
        <v>7</v>
      </c>
      <c r="N2456" s="150">
        <f t="shared" si="742"/>
        <v>0.0577994428969362</v>
      </c>
      <c r="O2456" s="150">
        <f t="shared" si="743"/>
        <v>0.149161518093557</v>
      </c>
      <c r="P2456" s="150">
        <f t="shared" si="748"/>
        <v>0.291117722056949</v>
      </c>
      <c r="Q2456" s="89">
        <f t="shared" si="750"/>
        <v>0.302</v>
      </c>
      <c r="S2456" s="82">
        <f t="shared" si="751"/>
        <v>45958</v>
      </c>
      <c r="T2456" s="83">
        <f t="shared" ref="T2456:U2471" si="754">+Z2456/16</f>
        <v>0.875</v>
      </c>
      <c r="U2456" s="83">
        <f t="shared" si="754"/>
        <v>0.54375</v>
      </c>
      <c r="W2456" s="146">
        <v>45958</v>
      </c>
      <c r="X2456" s="147">
        <v>20</v>
      </c>
      <c r="Y2456" s="147">
        <v>9.8</v>
      </c>
      <c r="Z2456" s="158">
        <v>14</v>
      </c>
      <c r="AA2456" s="59" cm="1">
        <f t="array" ref="AA2456">INDEX($BX$29:$BX$1449,MATCH($D2456,$BR$29:$BR$1449,0),)</f>
        <v>8.7</v>
      </c>
      <c r="AB2456" s="150">
        <f t="shared" si="752"/>
        <v>0.0526315789473684</v>
      </c>
      <c r="AC2456" s="150">
        <f t="shared" si="736"/>
        <v>0.303174159918086</v>
      </c>
      <c r="AD2456" s="150">
        <f t="shared" si="739"/>
        <v>0.555555555555556</v>
      </c>
      <c r="AE2456" s="89">
        <f t="shared" si="753"/>
        <v>0.609195402298851</v>
      </c>
    </row>
    <row r="2457" spans="3:31">
      <c r="C2457" s="80" t="str" cm="1">
        <f t="array" ref="C2457">_xlfn.IFS(MONTH(D2457)&lt;4,1,MONTH(D2457)&lt;7,2,MONTH(D2457)&lt;10,3,MONTH(D2457)&gt;9,4)&amp;"Q"&amp;RIGHT(YEAR(D2457),2)</f>
        <v>4Q25</v>
      </c>
      <c r="D2457" s="81">
        <f t="shared" si="738"/>
        <v>45961</v>
      </c>
      <c r="E2457" s="82">
        <f t="shared" si="749"/>
        <v>45959</v>
      </c>
      <c r="F2457" s="83">
        <f t="shared" si="747"/>
        <v>1.190375</v>
      </c>
      <c r="G2457" s="83">
        <f t="shared" si="747"/>
        <v>0.875</v>
      </c>
      <c r="I2457" s="146">
        <v>45959</v>
      </c>
      <c r="J2457" s="147">
        <v>13.5</v>
      </c>
      <c r="K2457" s="147">
        <v>6.3</v>
      </c>
      <c r="L2457" s="158">
        <v>9.523</v>
      </c>
      <c r="M2457" s="59" cm="1">
        <f t="array" ref="M2457">INDEX($BV$29:$BV$1449,MATCH($D2457,$BR$29:$BR$1449,0),)</f>
        <v>7</v>
      </c>
      <c r="N2457" s="150">
        <f t="shared" si="742"/>
        <v>0.0448760149220977</v>
      </c>
      <c r="O2457" s="150">
        <f t="shared" si="743"/>
        <v>0.180195811129012</v>
      </c>
      <c r="P2457" s="150">
        <f t="shared" si="748"/>
        <v>0.319157778085607</v>
      </c>
      <c r="Q2457" s="89">
        <f t="shared" si="750"/>
        <v>0.360428571428571</v>
      </c>
      <c r="S2457" s="82">
        <f t="shared" si="751"/>
        <v>45959</v>
      </c>
      <c r="T2457" s="83">
        <f t="shared" si="754"/>
        <v>0.915875</v>
      </c>
      <c r="U2457" s="83">
        <f t="shared" si="754"/>
        <v>0.54375</v>
      </c>
      <c r="W2457" s="146">
        <v>45959</v>
      </c>
      <c r="X2457" s="147">
        <v>21</v>
      </c>
      <c r="Y2457" s="147">
        <v>10.3</v>
      </c>
      <c r="Z2457" s="158">
        <v>14.654</v>
      </c>
      <c r="AA2457" s="59" cm="1">
        <f t="array" ref="AA2457">INDEX($BX$29:$BX$1449,MATCH($D2457,$BR$29:$BR$1449,0),)</f>
        <v>8.7</v>
      </c>
      <c r="AB2457" s="150">
        <f t="shared" si="752"/>
        <v>0.0467142857142857</v>
      </c>
      <c r="AC2457" s="150">
        <f t="shared" ref="AC2457:AC2520" si="755">Z2457/Z2452-1</f>
        <v>0.300612407916926</v>
      </c>
      <c r="AD2457" s="150">
        <f t="shared" si="739"/>
        <v>0.56442831215971</v>
      </c>
      <c r="AE2457" s="89">
        <f t="shared" si="753"/>
        <v>0.684367816091954</v>
      </c>
    </row>
    <row r="2458" spans="3:31">
      <c r="C2458" s="80" t="str" cm="1">
        <f t="array" ref="C2458">_xlfn.IFS(MONTH(D2458)&lt;4,1,MONTH(D2458)&lt;7,2,MONTH(D2458)&lt;10,3,MONTH(D2458)&gt;9,4)&amp;"Q"&amp;RIGHT(YEAR(D2458),2)</f>
        <v>4Q25</v>
      </c>
      <c r="D2458" s="81">
        <f t="shared" si="738"/>
        <v>45961</v>
      </c>
      <c r="E2458" s="82">
        <f t="shared" si="749"/>
        <v>45960</v>
      </c>
      <c r="F2458" s="83">
        <f t="shared" ref="F2458:G2473" si="756">+L2458/8</f>
        <v>1.235375</v>
      </c>
      <c r="G2458" s="83">
        <f t="shared" si="756"/>
        <v>0.875</v>
      </c>
      <c r="I2458" s="146">
        <v>45960</v>
      </c>
      <c r="J2458" s="147">
        <v>13.5</v>
      </c>
      <c r="K2458" s="147">
        <v>6.6</v>
      </c>
      <c r="L2458" s="158">
        <v>9.883</v>
      </c>
      <c r="M2458" s="59" cm="1">
        <f t="array" ref="M2458">INDEX($BV$29:$BV$1449,MATCH($D2458,$BR$29:$BR$1449,0),)</f>
        <v>7</v>
      </c>
      <c r="N2458" s="150">
        <f t="shared" si="742"/>
        <v>0.0378032132731281</v>
      </c>
      <c r="O2458" s="150">
        <f t="shared" si="743"/>
        <v>0.188431938431938</v>
      </c>
      <c r="P2458" s="150">
        <f t="shared" si="748"/>
        <v>0.305720702866957</v>
      </c>
      <c r="Q2458" s="89">
        <f t="shared" si="750"/>
        <v>0.411857142857143</v>
      </c>
      <c r="S2458" s="82">
        <f t="shared" si="751"/>
        <v>45960</v>
      </c>
      <c r="T2458" s="83">
        <f t="shared" si="754"/>
        <v>0.9509375</v>
      </c>
      <c r="U2458" s="83">
        <f t="shared" si="754"/>
        <v>0.54375</v>
      </c>
      <c r="W2458" s="146">
        <v>45960</v>
      </c>
      <c r="X2458" s="147">
        <v>22</v>
      </c>
      <c r="Y2458" s="147">
        <v>10.5</v>
      </c>
      <c r="Z2458" s="158">
        <v>15.215</v>
      </c>
      <c r="AA2458" s="59" cm="1">
        <f t="array" ref="AA2458">INDEX($BX$29:$BX$1449,MATCH($D2458,$BR$29:$BR$1449,0),)</f>
        <v>8.7</v>
      </c>
      <c r="AB2458" s="150">
        <f t="shared" si="752"/>
        <v>0.0382830626450117</v>
      </c>
      <c r="AC2458" s="150">
        <f t="shared" si="755"/>
        <v>0.282126906547569</v>
      </c>
      <c r="AD2458" s="150">
        <f t="shared" si="739"/>
        <v>0.554772123441651</v>
      </c>
      <c r="AE2458" s="89">
        <f t="shared" si="753"/>
        <v>0.748850574712644</v>
      </c>
    </row>
    <row r="2459" spans="3:31">
      <c r="C2459" s="80" t="str" cm="1">
        <f t="array" ref="C2459">_xlfn.IFS(MONTH(D2459)&lt;4,1,MONTH(D2459)&lt;7,2,MONTH(D2459)&lt;10,3,MONTH(D2459)&gt;9,4)&amp;"Q"&amp;RIGHT(YEAR(D2459),2)</f>
        <v>4Q25</v>
      </c>
      <c r="D2459" s="81">
        <f t="shared" si="738"/>
        <v>45961</v>
      </c>
      <c r="E2459" s="82">
        <f t="shared" si="749"/>
        <v>45961</v>
      </c>
      <c r="F2459" s="83">
        <f t="shared" si="756"/>
        <v>1.25975</v>
      </c>
      <c r="G2459" s="83">
        <f t="shared" si="756"/>
        <v>0.875</v>
      </c>
      <c r="I2459" s="146">
        <v>45961</v>
      </c>
      <c r="J2459" s="147">
        <v>14</v>
      </c>
      <c r="K2459" s="147">
        <v>6.8</v>
      </c>
      <c r="L2459" s="158">
        <v>10.078</v>
      </c>
      <c r="M2459" s="59" cm="1">
        <f t="array" ref="M2459">INDEX($BV$29:$BV$1449,MATCH($D2459,$BR$29:$BR$1449,0),)</f>
        <v>7</v>
      </c>
      <c r="N2459" s="150">
        <f t="shared" si="742"/>
        <v>0.0197308509561873</v>
      </c>
      <c r="O2459" s="150">
        <f t="shared" si="743"/>
        <v>0.188443396226415</v>
      </c>
      <c r="P2459" s="150">
        <f t="shared" si="748"/>
        <v>0.271992931970213</v>
      </c>
      <c r="Q2459" s="89">
        <f t="shared" si="750"/>
        <v>0.439714285714286</v>
      </c>
      <c r="S2459" s="82">
        <f t="shared" si="751"/>
        <v>45961</v>
      </c>
      <c r="T2459" s="83">
        <f t="shared" si="754"/>
        <v>0.968</v>
      </c>
      <c r="U2459" s="83">
        <f t="shared" si="754"/>
        <v>0.54375</v>
      </c>
      <c r="W2459" s="146">
        <v>45961</v>
      </c>
      <c r="X2459" s="147">
        <v>22</v>
      </c>
      <c r="Y2459" s="147">
        <v>10.5</v>
      </c>
      <c r="Z2459" s="158">
        <v>15.488</v>
      </c>
      <c r="AA2459" s="59" cm="1">
        <f t="array" ref="AA2459">INDEX($BX$29:$BX$1449,MATCH($D2459,$BR$29:$BR$1449,0),)</f>
        <v>8.7</v>
      </c>
      <c r="AB2459" s="150">
        <f t="shared" si="752"/>
        <v>0.017942819585935</v>
      </c>
      <c r="AC2459" s="150">
        <f t="shared" si="755"/>
        <v>0.227744748315497</v>
      </c>
      <c r="AD2459" s="150">
        <f t="shared" si="739"/>
        <v>0.497437880692256</v>
      </c>
      <c r="AE2459" s="89">
        <f t="shared" si="753"/>
        <v>0.780229885057471</v>
      </c>
    </row>
    <row r="2460" spans="3:31">
      <c r="C2460" s="80" t="str" cm="1">
        <f t="array" ref="C2460">_xlfn.IFS(MONTH(D2460)&lt;4,1,MONTH(D2460)&lt;7,2,MONTH(D2460)&lt;10,3,MONTH(D2460)&gt;9,4)&amp;"Q"&amp;RIGHT(YEAR(D2460),2)</f>
        <v>4Q25</v>
      </c>
      <c r="D2460" s="81">
        <f t="shared" si="738"/>
        <v>45991</v>
      </c>
      <c r="E2460" s="82">
        <f t="shared" si="749"/>
        <v>45964</v>
      </c>
      <c r="F2460" s="83">
        <f t="shared" si="756"/>
        <v>1.2795</v>
      </c>
      <c r="G2460" s="83">
        <f t="shared" si="756"/>
        <v>1.0125</v>
      </c>
      <c r="I2460" s="146">
        <v>45964</v>
      </c>
      <c r="J2460" s="147">
        <v>14</v>
      </c>
      <c r="K2460" s="147">
        <v>7.2</v>
      </c>
      <c r="L2460" s="158">
        <v>10.236</v>
      </c>
      <c r="M2460" s="59" cm="1">
        <f t="array" ref="M2460">INDEX($BV$29:$BV$1449,MATCH($D2460,$BR$29:$BR$1449,0),)</f>
        <v>8.1</v>
      </c>
      <c r="N2460" s="150">
        <f t="shared" si="742"/>
        <v>0.0156777138321096</v>
      </c>
      <c r="O2460" s="150">
        <f t="shared" si="743"/>
        <v>0.188022284122563</v>
      </c>
      <c r="P2460" s="150">
        <f t="shared" si="748"/>
        <v>0.291771832407875</v>
      </c>
      <c r="Q2460" s="89">
        <f t="shared" si="750"/>
        <v>0.263703703703704</v>
      </c>
      <c r="S2460" s="82">
        <f t="shared" si="751"/>
        <v>45964</v>
      </c>
      <c r="T2460" s="83">
        <f t="shared" si="754"/>
        <v>0.9726875</v>
      </c>
      <c r="U2460" s="83">
        <f t="shared" si="754"/>
        <v>1.21875</v>
      </c>
      <c r="W2460" s="146">
        <v>45964</v>
      </c>
      <c r="X2460" s="147">
        <v>22</v>
      </c>
      <c r="Y2460" s="147">
        <v>10.8</v>
      </c>
      <c r="Z2460" s="158">
        <v>15.563</v>
      </c>
      <c r="AA2460" s="59" cm="1">
        <f t="array" ref="AA2460">INDEX($BX$29:$BX$1449,MATCH($D2460,$BR$29:$BR$1449,0),)</f>
        <v>19.5</v>
      </c>
      <c r="AB2460" s="150">
        <f t="shared" si="752"/>
        <v>0.00484245867768607</v>
      </c>
      <c r="AC2460" s="150">
        <f t="shared" si="755"/>
        <v>0.17015037593985</v>
      </c>
      <c r="AD2460" s="150">
        <f t="shared" si="739"/>
        <v>0.488285359089605</v>
      </c>
      <c r="AE2460" s="89">
        <f t="shared" si="753"/>
        <v>-0.201897435897436</v>
      </c>
    </row>
    <row r="2461" spans="3:31">
      <c r="C2461" s="80" t="str" cm="1">
        <f t="array" ref="C2461">_xlfn.IFS(MONTH(D2461)&lt;4,1,MONTH(D2461)&lt;7,2,MONTH(D2461)&lt;10,3,MONTH(D2461)&gt;9,4)&amp;"Q"&amp;RIGHT(YEAR(D2461),2)</f>
        <v>4Q25</v>
      </c>
      <c r="D2461" s="81">
        <f t="shared" si="738"/>
        <v>45991</v>
      </c>
      <c r="E2461" s="82">
        <f t="shared" si="749"/>
        <v>45965</v>
      </c>
      <c r="F2461" s="83">
        <f t="shared" si="756"/>
        <v>1.328625</v>
      </c>
      <c r="G2461" s="83">
        <f t="shared" si="756"/>
        <v>1.0125</v>
      </c>
      <c r="I2461" s="146">
        <v>45965</v>
      </c>
      <c r="J2461" s="147">
        <v>14.5</v>
      </c>
      <c r="K2461" s="147">
        <v>7.6</v>
      </c>
      <c r="L2461" s="158">
        <v>10.629</v>
      </c>
      <c r="M2461" s="59" cm="1">
        <f t="array" ref="M2461">INDEX($BV$29:$BV$1449,MATCH($D2461,$BR$29:$BR$1449,0),)</f>
        <v>8.1</v>
      </c>
      <c r="N2461" s="150">
        <f t="shared" si="742"/>
        <v>0.0383939038686987</v>
      </c>
      <c r="O2461" s="150">
        <f t="shared" si="743"/>
        <v>0.166227781435154</v>
      </c>
      <c r="P2461" s="150">
        <f t="shared" si="748"/>
        <v>0.340184087756903</v>
      </c>
      <c r="Q2461" s="89">
        <f t="shared" si="750"/>
        <v>0.312222222222222</v>
      </c>
      <c r="S2461" s="82">
        <f t="shared" si="751"/>
        <v>45965</v>
      </c>
      <c r="T2461" s="83">
        <f t="shared" si="754"/>
        <v>1.0078125</v>
      </c>
      <c r="U2461" s="83">
        <f t="shared" si="754"/>
        <v>1.21875</v>
      </c>
      <c r="W2461" s="146">
        <v>45965</v>
      </c>
      <c r="X2461" s="147">
        <v>24</v>
      </c>
      <c r="Y2461" s="147">
        <v>11</v>
      </c>
      <c r="Z2461" s="158">
        <v>16.125</v>
      </c>
      <c r="AA2461" s="59" cm="1">
        <f t="array" ref="AA2461">INDEX($BX$29:$BX$1449,MATCH($D2461,$BR$29:$BR$1449,0),)</f>
        <v>19.5</v>
      </c>
      <c r="AB2461" s="150">
        <f t="shared" si="752"/>
        <v>0.0361112895971214</v>
      </c>
      <c r="AC2461" s="150">
        <f t="shared" si="755"/>
        <v>0.151785714285714</v>
      </c>
      <c r="AD2461" s="150">
        <f t="shared" si="739"/>
        <v>0.500977380619938</v>
      </c>
      <c r="AE2461" s="89">
        <f t="shared" si="753"/>
        <v>-0.173076923076923</v>
      </c>
    </row>
    <row r="2462" spans="3:31">
      <c r="C2462" s="80" t="str" cm="1">
        <f t="array" ref="C2462">_xlfn.IFS(MONTH(D2462)&lt;4,1,MONTH(D2462)&lt;7,2,MONTH(D2462)&lt;10,3,MONTH(D2462)&gt;9,4)&amp;"Q"&amp;RIGHT(YEAR(D2462),2)</f>
        <v>4Q25</v>
      </c>
      <c r="D2462" s="81">
        <f t="shared" ref="D2462:D2525" si="757">EOMONTH(E2462,0)</f>
        <v>45991</v>
      </c>
      <c r="E2462" s="82">
        <f t="shared" si="749"/>
        <v>45966</v>
      </c>
      <c r="F2462" s="83">
        <f t="shared" si="756"/>
        <v>1.383875</v>
      </c>
      <c r="G2462" s="83">
        <f t="shared" si="756"/>
        <v>1.0125</v>
      </c>
      <c r="I2462" s="146">
        <v>45966</v>
      </c>
      <c r="J2462" s="147">
        <v>15.5</v>
      </c>
      <c r="K2462" s="147">
        <v>8</v>
      </c>
      <c r="L2462" s="158">
        <v>11.071</v>
      </c>
      <c r="M2462" s="59" cm="1">
        <f t="array" ref="M2462">INDEX($BV$29:$BV$1449,MATCH($D2462,$BR$29:$BR$1449,0),)</f>
        <v>8.1</v>
      </c>
      <c r="N2462" s="150">
        <f t="shared" si="742"/>
        <v>0.041584344717283</v>
      </c>
      <c r="O2462" s="150">
        <f t="shared" si="743"/>
        <v>0.162553817074451</v>
      </c>
      <c r="P2462" s="150">
        <f t="shared" si="748"/>
        <v>0.372041145123311</v>
      </c>
      <c r="Q2462" s="89">
        <f t="shared" si="750"/>
        <v>0.36679012345679</v>
      </c>
      <c r="S2462" s="82">
        <f t="shared" si="751"/>
        <v>45966</v>
      </c>
      <c r="T2462" s="83">
        <f t="shared" si="754"/>
        <v>1.0824375</v>
      </c>
      <c r="U2462" s="83">
        <f t="shared" si="754"/>
        <v>1.21875</v>
      </c>
      <c r="W2462" s="146">
        <v>45966</v>
      </c>
      <c r="X2462" s="147">
        <v>28.5</v>
      </c>
      <c r="Y2462" s="147">
        <v>11.5</v>
      </c>
      <c r="Z2462" s="158">
        <v>17.319</v>
      </c>
      <c r="AA2462" s="59" cm="1">
        <f t="array" ref="AA2462">INDEX($BX$29:$BX$1449,MATCH($D2462,$BR$29:$BR$1449,0),)</f>
        <v>19.5</v>
      </c>
      <c r="AB2462" s="150">
        <f t="shared" si="752"/>
        <v>0.074046511627907</v>
      </c>
      <c r="AC2462" s="150">
        <f t="shared" si="755"/>
        <v>0.18186160775215</v>
      </c>
      <c r="AD2462" s="150">
        <f t="shared" ref="AD2462:AD2525" si="758">Z2462/Z2452-1</f>
        <v>0.537143871483092</v>
      </c>
      <c r="AE2462" s="89">
        <f t="shared" si="753"/>
        <v>-0.111846153846154</v>
      </c>
    </row>
    <row r="2463" spans="3:31">
      <c r="C2463" s="80" t="str" cm="1">
        <f t="array" ref="C2463">_xlfn.IFS(MONTH(D2463)&lt;4,1,MONTH(D2463)&lt;7,2,MONTH(D2463)&lt;10,3,MONTH(D2463)&gt;9,4)&amp;"Q"&amp;RIGHT(YEAR(D2463),2)</f>
        <v>4Q25</v>
      </c>
      <c r="D2463" s="81">
        <f t="shared" si="757"/>
        <v>45991</v>
      </c>
      <c r="E2463" s="82">
        <f t="shared" si="749"/>
        <v>45967</v>
      </c>
      <c r="F2463" s="83">
        <f t="shared" si="756"/>
        <v>1.424125</v>
      </c>
      <c r="G2463" s="83">
        <f t="shared" si="756"/>
        <v>1.0125</v>
      </c>
      <c r="I2463" s="146">
        <v>45967</v>
      </c>
      <c r="J2463" s="147">
        <v>15.5</v>
      </c>
      <c r="K2463" s="147">
        <v>8.4</v>
      </c>
      <c r="L2463" s="158">
        <v>11.393</v>
      </c>
      <c r="M2463" s="59" cm="1">
        <f t="array" ref="M2463">INDEX($BV$29:$BV$1449,MATCH($D2463,$BR$29:$BR$1449,0),)</f>
        <v>8.1</v>
      </c>
      <c r="N2463" s="150">
        <f t="shared" si="742"/>
        <v>0.0290849968385873</v>
      </c>
      <c r="O2463" s="150">
        <f t="shared" si="743"/>
        <v>0.152787615096631</v>
      </c>
      <c r="P2463" s="150">
        <f t="shared" si="748"/>
        <v>0.37000962000962</v>
      </c>
      <c r="Q2463" s="89">
        <f t="shared" si="750"/>
        <v>0.406543209876543</v>
      </c>
      <c r="S2463" s="82">
        <f t="shared" si="751"/>
        <v>45967</v>
      </c>
      <c r="T2463" s="83">
        <f t="shared" si="754"/>
        <v>1.19725</v>
      </c>
      <c r="U2463" s="83">
        <f t="shared" si="754"/>
        <v>1.21875</v>
      </c>
      <c r="W2463" s="146">
        <v>45967</v>
      </c>
      <c r="X2463" s="147">
        <v>33</v>
      </c>
      <c r="Y2463" s="147">
        <v>12</v>
      </c>
      <c r="Z2463" s="158">
        <v>19.156</v>
      </c>
      <c r="AA2463" s="59" cm="1">
        <f t="array" ref="AA2463">INDEX($BX$29:$BX$1449,MATCH($D2463,$BR$29:$BR$1449,0),)</f>
        <v>19.5</v>
      </c>
      <c r="AB2463" s="150">
        <f t="shared" si="752"/>
        <v>0.106068479704371</v>
      </c>
      <c r="AC2463" s="150">
        <f t="shared" si="755"/>
        <v>0.259020703253368</v>
      </c>
      <c r="AD2463" s="150">
        <f t="shared" si="758"/>
        <v>0.614224319541586</v>
      </c>
      <c r="AE2463" s="89">
        <f t="shared" si="753"/>
        <v>-0.0176410256410257</v>
      </c>
    </row>
    <row r="2464" spans="3:31">
      <c r="C2464" s="80" t="str" cm="1">
        <f t="array" ref="C2464">_xlfn.IFS(MONTH(D2464)&lt;4,1,MONTH(D2464)&lt;7,2,MONTH(D2464)&lt;10,3,MONTH(D2464)&gt;9,4)&amp;"Q"&amp;RIGHT(YEAR(D2464),2)</f>
        <v>4Q25</v>
      </c>
      <c r="D2464" s="81">
        <f t="shared" si="757"/>
        <v>45991</v>
      </c>
      <c r="E2464" s="82">
        <f t="shared" si="749"/>
        <v>45968</v>
      </c>
      <c r="F2464" s="83">
        <f t="shared" si="756"/>
        <v>1.446375</v>
      </c>
      <c r="G2464" s="83">
        <f t="shared" si="756"/>
        <v>1.0125</v>
      </c>
      <c r="I2464" s="146">
        <v>45968</v>
      </c>
      <c r="J2464" s="147">
        <v>15.5</v>
      </c>
      <c r="K2464" s="147">
        <v>8.5</v>
      </c>
      <c r="L2464" s="158">
        <v>11.571</v>
      </c>
      <c r="M2464" s="59" cm="1">
        <f t="array" ref="M2464">INDEX($BV$29:$BV$1449,MATCH($D2464,$BR$29:$BR$1449,0),)</f>
        <v>8.1</v>
      </c>
      <c r="N2464" s="150">
        <f t="shared" si="742"/>
        <v>0.0156236285438427</v>
      </c>
      <c r="O2464" s="150">
        <f t="shared" si="743"/>
        <v>0.148144473109744</v>
      </c>
      <c r="P2464" s="150">
        <f t="shared" si="748"/>
        <v>0.364504716981132</v>
      </c>
      <c r="Q2464" s="89">
        <f t="shared" si="750"/>
        <v>0.428518518518519</v>
      </c>
      <c r="S2464" s="82">
        <f t="shared" si="751"/>
        <v>45968</v>
      </c>
      <c r="T2464" s="83">
        <f t="shared" si="754"/>
        <v>1.308625</v>
      </c>
      <c r="U2464" s="83">
        <f t="shared" si="754"/>
        <v>1.21875</v>
      </c>
      <c r="W2464" s="146">
        <v>45968</v>
      </c>
      <c r="X2464" s="147">
        <v>33</v>
      </c>
      <c r="Y2464" s="147">
        <v>14</v>
      </c>
      <c r="Z2464" s="158">
        <v>20.938</v>
      </c>
      <c r="AA2464" s="59" cm="1">
        <f t="array" ref="AA2464">INDEX($BX$29:$BX$1449,MATCH($D2464,$BR$29:$BR$1449,0),)</f>
        <v>19.5</v>
      </c>
      <c r="AB2464" s="150">
        <f t="shared" si="752"/>
        <v>0.0930256838588432</v>
      </c>
      <c r="AC2464" s="150">
        <f t="shared" si="755"/>
        <v>0.351885330578512</v>
      </c>
      <c r="AD2464" s="150">
        <f t="shared" si="758"/>
        <v>0.659770114942529</v>
      </c>
      <c r="AE2464" s="89">
        <f t="shared" si="753"/>
        <v>0.0737435897435896</v>
      </c>
    </row>
    <row r="2465" spans="3:31">
      <c r="C2465" s="80" t="str" cm="1">
        <f t="array" ref="C2465">_xlfn.IFS(MONTH(D2465)&lt;4,1,MONTH(D2465)&lt;7,2,MONTH(D2465)&lt;10,3,MONTH(D2465)&gt;9,4)&amp;"Q"&amp;RIGHT(YEAR(D2465),2)</f>
        <v>4Q25</v>
      </c>
      <c r="D2465" s="81">
        <f t="shared" si="757"/>
        <v>45991</v>
      </c>
      <c r="E2465" s="82">
        <f t="shared" si="749"/>
        <v>45971</v>
      </c>
      <c r="F2465" s="83">
        <f t="shared" si="756"/>
        <v>1.463375</v>
      </c>
      <c r="G2465" s="83">
        <f t="shared" si="756"/>
        <v>1.0125</v>
      </c>
      <c r="I2465" s="146">
        <v>45971</v>
      </c>
      <c r="J2465" s="147">
        <v>15.5</v>
      </c>
      <c r="K2465" s="147">
        <v>8.8</v>
      </c>
      <c r="L2465" s="158">
        <v>11.707</v>
      </c>
      <c r="M2465" s="59" cm="1">
        <f t="array" ref="M2465">INDEX($BV$29:$BV$1449,MATCH($D2465,$BR$29:$BR$1449,0),)</f>
        <v>8.1</v>
      </c>
      <c r="N2465" s="150">
        <f t="shared" si="742"/>
        <v>0.011753521735373</v>
      </c>
      <c r="O2465" s="150">
        <f t="shared" si="743"/>
        <v>0.143708479874951</v>
      </c>
      <c r="P2465" s="150">
        <f t="shared" si="748"/>
        <v>0.358751160631384</v>
      </c>
      <c r="Q2465" s="89">
        <f t="shared" si="750"/>
        <v>0.445308641975309</v>
      </c>
      <c r="S2465" s="82">
        <f t="shared" si="751"/>
        <v>45971</v>
      </c>
      <c r="T2465" s="83">
        <f t="shared" si="754"/>
        <v>1.38125</v>
      </c>
      <c r="U2465" s="83">
        <f t="shared" si="754"/>
        <v>1.21875</v>
      </c>
      <c r="W2465" s="146">
        <v>45971</v>
      </c>
      <c r="X2465" s="147">
        <v>34</v>
      </c>
      <c r="Y2465" s="147">
        <v>18</v>
      </c>
      <c r="Z2465" s="158">
        <v>22.1</v>
      </c>
      <c r="AA2465" s="59" cm="1">
        <f t="array" ref="AA2465">INDEX($BX$29:$BX$1449,MATCH($D2465,$BR$29:$BR$1449,0),)</f>
        <v>19.5</v>
      </c>
      <c r="AB2465" s="150">
        <f t="shared" si="752"/>
        <v>0.0554971821568442</v>
      </c>
      <c r="AC2465" s="150">
        <f t="shared" si="755"/>
        <v>0.420034697680396</v>
      </c>
      <c r="AD2465" s="150">
        <f t="shared" si="758"/>
        <v>0.661654135338346</v>
      </c>
      <c r="AE2465" s="89">
        <f t="shared" si="753"/>
        <v>0.133333333333333</v>
      </c>
    </row>
    <row r="2466" spans="3:31">
      <c r="C2466" s="80" t="str" cm="1">
        <f t="array" ref="C2466">_xlfn.IFS(MONTH(D2466)&lt;4,1,MONTH(D2466)&lt;7,2,MONTH(D2466)&lt;10,3,MONTH(D2466)&gt;9,4)&amp;"Q"&amp;RIGHT(YEAR(D2466),2)</f>
        <v>4Q25</v>
      </c>
      <c r="D2466" s="81">
        <f t="shared" si="757"/>
        <v>45991</v>
      </c>
      <c r="E2466" s="82">
        <f t="shared" si="749"/>
        <v>45972</v>
      </c>
      <c r="F2466" s="83">
        <f t="shared" si="756"/>
        <v>1.482125</v>
      </c>
      <c r="G2466" s="83">
        <f t="shared" si="756"/>
        <v>1.0125</v>
      </c>
      <c r="I2466" s="146">
        <v>45972</v>
      </c>
      <c r="J2466" s="147">
        <v>15.5</v>
      </c>
      <c r="K2466" s="147">
        <v>9</v>
      </c>
      <c r="L2466" s="158">
        <v>11.857</v>
      </c>
      <c r="M2466" s="59" cm="1">
        <f t="array" ref="M2466">INDEX($BV$29:$BV$1449,MATCH($D2466,$BR$29:$BR$1449,0),)</f>
        <v>8.1</v>
      </c>
      <c r="N2466" s="150">
        <f t="shared" si="742"/>
        <v>0.0128128470146065</v>
      </c>
      <c r="O2466" s="150">
        <f t="shared" si="743"/>
        <v>0.115532975820867</v>
      </c>
      <c r="P2466" s="150">
        <f t="shared" si="748"/>
        <v>0.300965547509326</v>
      </c>
      <c r="Q2466" s="89">
        <f t="shared" si="750"/>
        <v>0.463827160493827</v>
      </c>
      <c r="S2466" s="82">
        <f t="shared" si="751"/>
        <v>45972</v>
      </c>
      <c r="T2466" s="83">
        <f t="shared" si="754"/>
        <v>1.439875</v>
      </c>
      <c r="U2466" s="83">
        <f t="shared" si="754"/>
        <v>1.21875</v>
      </c>
      <c r="W2466" s="146">
        <v>45972</v>
      </c>
      <c r="X2466" s="147">
        <v>34</v>
      </c>
      <c r="Y2466" s="147">
        <v>19</v>
      </c>
      <c r="Z2466" s="158">
        <v>23.038</v>
      </c>
      <c r="AA2466" s="59" cm="1">
        <f t="array" ref="AA2466">INDEX($BX$29:$BX$1449,MATCH($D2466,$BR$29:$BR$1449,0),)</f>
        <v>19.5</v>
      </c>
      <c r="AB2466" s="150">
        <f t="shared" si="752"/>
        <v>0.0424434389140271</v>
      </c>
      <c r="AC2466" s="150">
        <f t="shared" si="755"/>
        <v>0.428713178294574</v>
      </c>
      <c r="AD2466" s="150">
        <f t="shared" si="758"/>
        <v>0.645571428571429</v>
      </c>
      <c r="AE2466" s="89">
        <f t="shared" si="753"/>
        <v>0.181435897435897</v>
      </c>
    </row>
    <row r="2467" spans="3:31">
      <c r="C2467" s="80" t="str" cm="1">
        <f t="array" ref="C2467">_xlfn.IFS(MONTH(D2467)&lt;4,1,MONTH(D2467)&lt;7,2,MONTH(D2467)&lt;10,3,MONTH(D2467)&gt;9,4)&amp;"Q"&amp;RIGHT(YEAR(D2467),2)</f>
        <v>4Q25</v>
      </c>
      <c r="D2467" s="81">
        <f t="shared" si="757"/>
        <v>45991</v>
      </c>
      <c r="E2467" s="82">
        <f t="shared" si="749"/>
        <v>45973</v>
      </c>
      <c r="F2467" s="83">
        <f t="shared" si="756"/>
        <v>1.522375</v>
      </c>
      <c r="G2467" s="83">
        <f t="shared" si="756"/>
        <v>1.0125</v>
      </c>
      <c r="I2467" s="146">
        <v>45973</v>
      </c>
      <c r="J2467" s="147">
        <v>16.5</v>
      </c>
      <c r="K2467" s="147">
        <v>9</v>
      </c>
      <c r="L2467" s="158">
        <v>12.179</v>
      </c>
      <c r="M2467" s="59" cm="1">
        <f t="array" ref="M2467">INDEX($BV$29:$BV$1449,MATCH($D2467,$BR$29:$BR$1449,0),)</f>
        <v>8.1</v>
      </c>
      <c r="N2467" s="150">
        <f t="shared" si="742"/>
        <v>0.0271569536982375</v>
      </c>
      <c r="O2467" s="150">
        <f t="shared" si="743"/>
        <v>0.100081293469425</v>
      </c>
      <c r="P2467" s="150">
        <f t="shared" si="748"/>
        <v>0.278903706815079</v>
      </c>
      <c r="Q2467" s="89">
        <f t="shared" si="750"/>
        <v>0.50358024691358</v>
      </c>
      <c r="S2467" s="82">
        <f t="shared" si="751"/>
        <v>45973</v>
      </c>
      <c r="T2467" s="83">
        <f t="shared" si="754"/>
        <v>1.4886875</v>
      </c>
      <c r="U2467" s="83">
        <f t="shared" si="754"/>
        <v>1.21875</v>
      </c>
      <c r="W2467" s="146">
        <v>45973</v>
      </c>
      <c r="X2467" s="147">
        <v>34</v>
      </c>
      <c r="Y2467" s="147">
        <v>19</v>
      </c>
      <c r="Z2467" s="158">
        <v>23.819</v>
      </c>
      <c r="AA2467" s="59" cm="1">
        <f t="array" ref="AA2467">INDEX($BX$29:$BX$1449,MATCH($D2467,$BR$29:$BR$1449,0),)</f>
        <v>19.5</v>
      </c>
      <c r="AB2467" s="150">
        <f t="shared" si="752"/>
        <v>0.0339005121972393</v>
      </c>
      <c r="AC2467" s="150">
        <f t="shared" si="755"/>
        <v>0.375310352791732</v>
      </c>
      <c r="AD2467" s="150">
        <f t="shared" si="758"/>
        <v>0.625426504708612</v>
      </c>
      <c r="AE2467" s="89">
        <f t="shared" si="753"/>
        <v>0.221487179487179</v>
      </c>
    </row>
    <row r="2468" spans="3:31">
      <c r="C2468" s="80" t="str" cm="1">
        <f t="array" ref="C2468">_xlfn.IFS(MONTH(D2468)&lt;4,1,MONTH(D2468)&lt;7,2,MONTH(D2468)&lt;10,3,MONTH(D2468)&gt;9,4)&amp;"Q"&amp;RIGHT(YEAR(D2468),2)</f>
        <v>4Q25</v>
      </c>
      <c r="D2468" s="81">
        <f t="shared" si="757"/>
        <v>45991</v>
      </c>
      <c r="E2468" s="82">
        <f t="shared" si="749"/>
        <v>45974</v>
      </c>
      <c r="F2468" s="83">
        <f t="shared" si="756"/>
        <v>1.53575</v>
      </c>
      <c r="G2468" s="83">
        <f t="shared" si="756"/>
        <v>1.0125</v>
      </c>
      <c r="I2468" s="146">
        <v>45974</v>
      </c>
      <c r="J2468" s="147">
        <v>16.5</v>
      </c>
      <c r="K2468" s="147">
        <v>8.9</v>
      </c>
      <c r="L2468" s="158">
        <v>12.286</v>
      </c>
      <c r="M2468" s="59" cm="1">
        <f t="array" ref="M2468">INDEX($BV$29:$BV$1449,MATCH($D2468,$BR$29:$BR$1449,0),)</f>
        <v>8.1</v>
      </c>
      <c r="N2468" s="150">
        <f t="shared" si="742"/>
        <v>0.00878561458247806</v>
      </c>
      <c r="O2468" s="150">
        <f t="shared" si="743"/>
        <v>0.078381462301413</v>
      </c>
      <c r="P2468" s="150">
        <f t="shared" si="748"/>
        <v>0.243144794090863</v>
      </c>
      <c r="Q2468" s="89">
        <f t="shared" si="750"/>
        <v>0.51679012345679</v>
      </c>
      <c r="S2468" s="82">
        <f t="shared" si="751"/>
        <v>45974</v>
      </c>
      <c r="T2468" s="83">
        <f t="shared" si="754"/>
        <v>1.5081875</v>
      </c>
      <c r="U2468" s="83">
        <f t="shared" si="754"/>
        <v>1.21875</v>
      </c>
      <c r="W2468" s="146">
        <v>45974</v>
      </c>
      <c r="X2468" s="147">
        <v>34</v>
      </c>
      <c r="Y2468" s="147">
        <v>19</v>
      </c>
      <c r="Z2468" s="158">
        <v>24.131</v>
      </c>
      <c r="AA2468" s="59" cm="1">
        <f t="array" ref="AA2468">INDEX($BX$29:$BX$1449,MATCH($D2468,$BR$29:$BR$1449,0),)</f>
        <v>19.5</v>
      </c>
      <c r="AB2468" s="150">
        <f t="shared" si="752"/>
        <v>0.0130987866829002</v>
      </c>
      <c r="AC2468" s="150">
        <f t="shared" si="755"/>
        <v>0.259709751513886</v>
      </c>
      <c r="AD2468" s="150">
        <f t="shared" si="758"/>
        <v>0.586000657246139</v>
      </c>
      <c r="AE2468" s="89">
        <f t="shared" si="753"/>
        <v>0.23748717948718</v>
      </c>
    </row>
    <row r="2469" spans="3:31">
      <c r="C2469" s="80" t="str" cm="1">
        <f t="array" ref="C2469">_xlfn.IFS(MONTH(D2469)&lt;4,1,MONTH(D2469)&lt;7,2,MONTH(D2469)&lt;10,3,MONTH(D2469)&gt;9,4)&amp;"Q"&amp;RIGHT(YEAR(D2469),2)</f>
        <v>4Q25</v>
      </c>
      <c r="D2469" s="81">
        <f t="shared" si="757"/>
        <v>45991</v>
      </c>
      <c r="E2469" s="82">
        <f t="shared" si="749"/>
        <v>45975</v>
      </c>
      <c r="F2469" s="83">
        <f t="shared" si="756"/>
        <v>1.567875</v>
      </c>
      <c r="G2469" s="83">
        <f t="shared" si="756"/>
        <v>1.0125</v>
      </c>
      <c r="I2469" s="146">
        <v>45975</v>
      </c>
      <c r="J2469" s="147">
        <v>16.5</v>
      </c>
      <c r="K2469" s="147">
        <v>8.8</v>
      </c>
      <c r="L2469" s="158">
        <v>12.543</v>
      </c>
      <c r="M2469" s="59" cm="1">
        <f t="array" ref="M2469">INDEX($BV$29:$BV$1449,MATCH($D2469,$BR$29:$BR$1449,0),)</f>
        <v>8.1</v>
      </c>
      <c r="N2469" s="150">
        <f t="shared" si="742"/>
        <v>0.020918118183298</v>
      </c>
      <c r="O2469" s="150">
        <f t="shared" si="743"/>
        <v>0.0840031112263417</v>
      </c>
      <c r="P2469" s="150">
        <f t="shared" si="748"/>
        <v>0.244592180988291</v>
      </c>
      <c r="Q2469" s="89">
        <f t="shared" si="750"/>
        <v>0.548518518518518</v>
      </c>
      <c r="S2469" s="82">
        <f t="shared" si="751"/>
        <v>45975</v>
      </c>
      <c r="T2469" s="83">
        <f t="shared" si="754"/>
        <v>1.5315625</v>
      </c>
      <c r="U2469" s="83">
        <f t="shared" si="754"/>
        <v>1.21875</v>
      </c>
      <c r="W2469" s="146">
        <v>45975</v>
      </c>
      <c r="X2469" s="147">
        <v>34</v>
      </c>
      <c r="Y2469" s="147">
        <v>18</v>
      </c>
      <c r="Z2469" s="158">
        <v>24.505</v>
      </c>
      <c r="AA2469" s="59" cm="1">
        <f t="array" ref="AA2469">INDEX($BX$29:$BX$1449,MATCH($D2469,$BR$29:$BR$1449,0),)</f>
        <v>19.5</v>
      </c>
      <c r="AB2469" s="150">
        <f t="shared" si="752"/>
        <v>0.0154987360656416</v>
      </c>
      <c r="AC2469" s="150">
        <f t="shared" si="755"/>
        <v>0.170360110803324</v>
      </c>
      <c r="AD2469" s="150">
        <f t="shared" si="758"/>
        <v>0.582192665289256</v>
      </c>
      <c r="AE2469" s="89">
        <f t="shared" si="753"/>
        <v>0.256666666666667</v>
      </c>
    </row>
    <row r="2470" spans="3:31">
      <c r="C2470" s="80" t="str" cm="1">
        <f t="array" ref="C2470">_xlfn.IFS(MONTH(D2470)&lt;4,1,MONTH(D2470)&lt;7,2,MONTH(D2470)&lt;10,3,MONTH(D2470)&gt;9,4)&amp;"Q"&amp;RIGHT(YEAR(D2470),2)</f>
        <v>4Q25</v>
      </c>
      <c r="D2470" s="81">
        <f t="shared" si="757"/>
        <v>45991</v>
      </c>
      <c r="E2470" s="82">
        <f t="shared" si="749"/>
        <v>45978</v>
      </c>
      <c r="F2470" s="83">
        <f t="shared" si="756"/>
        <v>1.594625</v>
      </c>
      <c r="G2470" s="83">
        <f t="shared" si="756"/>
        <v>1.0125</v>
      </c>
      <c r="I2470" s="146">
        <v>45978</v>
      </c>
      <c r="J2470" s="147">
        <v>16.5</v>
      </c>
      <c r="K2470" s="147">
        <v>8.7</v>
      </c>
      <c r="L2470" s="158">
        <v>12.757</v>
      </c>
      <c r="M2470" s="59" cm="1">
        <f t="array" ref="M2470">INDEX($BV$29:$BV$1449,MATCH($D2470,$BR$29:$BR$1449,0),)</f>
        <v>8.1</v>
      </c>
      <c r="N2470" s="150">
        <f t="shared" si="742"/>
        <v>0.0170613090967073</v>
      </c>
      <c r="O2470" s="150">
        <f t="shared" si="743"/>
        <v>0.0896899291022464</v>
      </c>
      <c r="P2470" s="150">
        <f t="shared" si="748"/>
        <v>0.246287612348574</v>
      </c>
      <c r="Q2470" s="89">
        <f t="shared" si="750"/>
        <v>0.574938271604938</v>
      </c>
      <c r="S2470" s="82">
        <f t="shared" si="751"/>
        <v>45978</v>
      </c>
      <c r="T2470" s="83">
        <f t="shared" si="754"/>
        <v>1.5479375</v>
      </c>
      <c r="U2470" s="83">
        <f t="shared" si="754"/>
        <v>1.21875</v>
      </c>
      <c r="W2470" s="146">
        <v>45978</v>
      </c>
      <c r="X2470" s="147">
        <v>34</v>
      </c>
      <c r="Y2470" s="147">
        <v>18</v>
      </c>
      <c r="Z2470" s="158">
        <v>24.767</v>
      </c>
      <c r="AA2470" s="59" cm="1">
        <f t="array" ref="AA2470">INDEX($BX$29:$BX$1449,MATCH($D2470,$BR$29:$BR$1449,0),)</f>
        <v>19.5</v>
      </c>
      <c r="AB2470" s="150">
        <f t="shared" si="752"/>
        <v>0.0106916955723322</v>
      </c>
      <c r="AC2470" s="150">
        <f t="shared" si="755"/>
        <v>0.120678733031674</v>
      </c>
      <c r="AD2470" s="150">
        <f t="shared" si="758"/>
        <v>0.591402685857482</v>
      </c>
      <c r="AE2470" s="89">
        <f t="shared" si="753"/>
        <v>0.270102564102564</v>
      </c>
    </row>
    <row r="2471" spans="3:31">
      <c r="C2471" s="80" t="str" cm="1">
        <f t="array" ref="C2471">_xlfn.IFS(MONTH(D2471)&lt;4,1,MONTH(D2471)&lt;7,2,MONTH(D2471)&lt;10,3,MONTH(D2471)&gt;9,4)&amp;"Q"&amp;RIGHT(YEAR(D2471),2)</f>
        <v>4Q25</v>
      </c>
      <c r="D2471" s="81">
        <f t="shared" si="757"/>
        <v>45991</v>
      </c>
      <c r="E2471" s="82">
        <f t="shared" si="749"/>
        <v>45979</v>
      </c>
      <c r="F2471" s="83">
        <f t="shared" si="756"/>
        <v>1.594625</v>
      </c>
      <c r="G2471" s="83">
        <f t="shared" si="756"/>
        <v>1.0125</v>
      </c>
      <c r="I2471" s="146">
        <v>45979</v>
      </c>
      <c r="J2471" s="147">
        <v>16.5</v>
      </c>
      <c r="K2471" s="147">
        <v>8.7</v>
      </c>
      <c r="L2471" s="158">
        <v>12.757</v>
      </c>
      <c r="M2471" s="59" cm="1">
        <f t="array" ref="M2471">INDEX($BV$29:$BV$1449,MATCH($D2471,$BR$29:$BR$1449,0),)</f>
        <v>8.1</v>
      </c>
      <c r="N2471" s="150">
        <f t="shared" si="742"/>
        <v>0</v>
      </c>
      <c r="O2471" s="150">
        <f t="shared" si="743"/>
        <v>0.0759045289702287</v>
      </c>
      <c r="P2471" s="150">
        <f t="shared" si="748"/>
        <v>0.200206980901308</v>
      </c>
      <c r="Q2471" s="89">
        <f t="shared" si="750"/>
        <v>0.574938271604938</v>
      </c>
      <c r="S2471" s="82">
        <f t="shared" si="751"/>
        <v>45979</v>
      </c>
      <c r="T2471" s="83">
        <f t="shared" si="754"/>
        <v>1.5520625</v>
      </c>
      <c r="U2471" s="83">
        <f t="shared" si="754"/>
        <v>1.21875</v>
      </c>
      <c r="W2471" s="146">
        <v>45979</v>
      </c>
      <c r="X2471" s="147">
        <v>35</v>
      </c>
      <c r="Y2471" s="147">
        <v>17.5</v>
      </c>
      <c r="Z2471" s="158">
        <v>24.833</v>
      </c>
      <c r="AA2471" s="59" cm="1">
        <f t="array" ref="AA2471">INDEX($BX$29:$BX$1449,MATCH($D2471,$BR$29:$BR$1449,0),)</f>
        <v>19.5</v>
      </c>
      <c r="AB2471" s="150">
        <f t="shared" si="752"/>
        <v>0.00266483627407443</v>
      </c>
      <c r="AC2471" s="150">
        <f t="shared" si="755"/>
        <v>0.0779147495442312</v>
      </c>
      <c r="AD2471" s="150">
        <f t="shared" si="758"/>
        <v>0.540031007751938</v>
      </c>
      <c r="AE2471" s="89">
        <f t="shared" si="753"/>
        <v>0.273487179487179</v>
      </c>
    </row>
    <row r="2472" spans="3:31">
      <c r="C2472" s="80" t="str" cm="1">
        <f t="array" ref="C2472">_xlfn.IFS(MONTH(D2472)&lt;4,1,MONTH(D2472)&lt;7,2,MONTH(D2472)&lt;10,3,MONTH(D2472)&gt;9,4)&amp;"Q"&amp;RIGHT(YEAR(D2472),2)</f>
        <v>4Q25</v>
      </c>
      <c r="D2472" s="81">
        <f t="shared" si="757"/>
        <v>45991</v>
      </c>
      <c r="E2472" s="82">
        <f t="shared" si="749"/>
        <v>45980</v>
      </c>
      <c r="F2472" s="83">
        <f t="shared" si="756"/>
        <v>1.602625</v>
      </c>
      <c r="G2472" s="83">
        <f t="shared" si="756"/>
        <v>1.0125</v>
      </c>
      <c r="I2472" s="146">
        <v>45980</v>
      </c>
      <c r="J2472" s="147">
        <v>16.5</v>
      </c>
      <c r="K2472" s="147">
        <v>8.7</v>
      </c>
      <c r="L2472" s="158">
        <v>12.821</v>
      </c>
      <c r="M2472" s="59" cm="1">
        <f t="array" ref="M2472">INDEX($BV$29:$BV$1449,MATCH($D2472,$BR$29:$BR$1449,0),)</f>
        <v>8.1</v>
      </c>
      <c r="N2472" s="150">
        <f t="shared" si="742"/>
        <v>0.00501685349220038</v>
      </c>
      <c r="O2472" s="150">
        <f t="shared" si="743"/>
        <v>0.0527136874948682</v>
      </c>
      <c r="P2472" s="150">
        <f t="shared" si="748"/>
        <v>0.158070634992322</v>
      </c>
      <c r="Q2472" s="89">
        <f t="shared" si="750"/>
        <v>0.58283950617284</v>
      </c>
      <c r="S2472" s="82">
        <f t="shared" si="751"/>
        <v>45980</v>
      </c>
      <c r="T2472" s="83">
        <f t="shared" ref="T2472:U2487" si="759">+Z2472/16</f>
        <v>1.5520625</v>
      </c>
      <c r="U2472" s="83">
        <f t="shared" si="759"/>
        <v>1.21875</v>
      </c>
      <c r="W2472" s="146">
        <v>45980</v>
      </c>
      <c r="X2472" s="147">
        <v>35</v>
      </c>
      <c r="Y2472" s="147">
        <v>17.5</v>
      </c>
      <c r="Z2472" s="158">
        <v>24.833</v>
      </c>
      <c r="AA2472" s="59" cm="1">
        <f t="array" ref="AA2472">INDEX($BX$29:$BX$1449,MATCH($D2472,$BR$29:$BR$1449,0),)</f>
        <v>19.5</v>
      </c>
      <c r="AB2472" s="150">
        <f t="shared" si="752"/>
        <v>0</v>
      </c>
      <c r="AC2472" s="150">
        <f t="shared" si="755"/>
        <v>0.0425710567194257</v>
      </c>
      <c r="AD2472" s="150">
        <f t="shared" si="758"/>
        <v>0.433858767827242</v>
      </c>
      <c r="AE2472" s="89">
        <f t="shared" si="753"/>
        <v>0.273487179487179</v>
      </c>
    </row>
    <row r="2473" spans="3:31">
      <c r="C2473" s="80" t="str" cm="1">
        <f t="array" ref="C2473">_xlfn.IFS(MONTH(D2473)&lt;4,1,MONTH(D2473)&lt;7,2,MONTH(D2473)&lt;10,3,MONTH(D2473)&gt;9,4)&amp;"Q"&amp;RIGHT(YEAR(D2473),2)</f>
        <v>4Q25</v>
      </c>
      <c r="D2473" s="81">
        <f t="shared" si="757"/>
        <v>45991</v>
      </c>
      <c r="E2473" s="82">
        <f t="shared" si="749"/>
        <v>45981</v>
      </c>
      <c r="F2473" s="83">
        <f t="shared" si="756"/>
        <v>1.661625</v>
      </c>
      <c r="G2473" s="83">
        <f t="shared" si="756"/>
        <v>1.0125</v>
      </c>
      <c r="I2473" s="146">
        <v>45981</v>
      </c>
      <c r="J2473" s="147">
        <v>18</v>
      </c>
      <c r="K2473" s="147">
        <v>8.65</v>
      </c>
      <c r="L2473" s="158">
        <v>13.293</v>
      </c>
      <c r="M2473" s="59" cm="1">
        <f t="array" ref="M2473">INDEX($BV$29:$BV$1449,MATCH($D2473,$BR$29:$BR$1449,0),)</f>
        <v>8.1</v>
      </c>
      <c r="N2473" s="150">
        <f t="shared" si="742"/>
        <v>0.0368146010451602</v>
      </c>
      <c r="O2473" s="150">
        <f t="shared" si="743"/>
        <v>0.0819632101579033</v>
      </c>
      <c r="P2473" s="150">
        <f t="shared" si="748"/>
        <v>0.166769068726411</v>
      </c>
      <c r="Q2473" s="89">
        <f t="shared" si="750"/>
        <v>0.641111111111111</v>
      </c>
      <c r="S2473" s="82">
        <f t="shared" si="751"/>
        <v>45981</v>
      </c>
      <c r="T2473" s="83">
        <f t="shared" si="759"/>
        <v>1.5625</v>
      </c>
      <c r="U2473" s="83">
        <f t="shared" si="759"/>
        <v>1.21875</v>
      </c>
      <c r="W2473" s="146">
        <v>45981</v>
      </c>
      <c r="X2473" s="147">
        <v>35</v>
      </c>
      <c r="Y2473" s="147">
        <v>18</v>
      </c>
      <c r="Z2473" s="158">
        <v>25</v>
      </c>
      <c r="AA2473" s="59" cm="1">
        <f t="array" ref="AA2473">INDEX($BX$29:$BX$1449,MATCH($D2473,$BR$29:$BR$1449,0),)</f>
        <v>19.5</v>
      </c>
      <c r="AB2473" s="150">
        <f t="shared" si="752"/>
        <v>0.00672492248218104</v>
      </c>
      <c r="AC2473" s="150">
        <f t="shared" si="755"/>
        <v>0.036011769093697</v>
      </c>
      <c r="AD2473" s="150">
        <f t="shared" si="758"/>
        <v>0.305074128210483</v>
      </c>
      <c r="AE2473" s="89">
        <f t="shared" si="753"/>
        <v>0.282051282051282</v>
      </c>
    </row>
    <row r="2474" spans="3:31">
      <c r="C2474" s="80" t="str" cm="1">
        <f t="array" ref="C2474">_xlfn.IFS(MONTH(D2474)&lt;4,1,MONTH(D2474)&lt;7,2,MONTH(D2474)&lt;10,3,MONTH(D2474)&gt;9,4)&amp;"Q"&amp;RIGHT(YEAR(D2474),2)</f>
        <v>4Q25</v>
      </c>
      <c r="D2474" s="81">
        <f t="shared" si="757"/>
        <v>45991</v>
      </c>
      <c r="E2474" s="82">
        <f t="shared" si="749"/>
        <v>45982</v>
      </c>
      <c r="F2474" s="83">
        <f t="shared" ref="F2474:G2489" si="760">+L2474/8</f>
        <v>1.70175</v>
      </c>
      <c r="G2474" s="83">
        <f t="shared" si="760"/>
        <v>1.0125</v>
      </c>
      <c r="I2474" s="146">
        <v>45982</v>
      </c>
      <c r="J2474" s="147">
        <v>19</v>
      </c>
      <c r="K2474" s="147">
        <v>8.7</v>
      </c>
      <c r="L2474" s="158">
        <v>13.614</v>
      </c>
      <c r="M2474" s="59" cm="1">
        <f t="array" ref="M2474">INDEX($BV$29:$BV$1449,MATCH($D2474,$BR$29:$BR$1449,0),)</f>
        <v>8.1</v>
      </c>
      <c r="N2474" s="150">
        <f t="shared" si="742"/>
        <v>0.0241480478447305</v>
      </c>
      <c r="O2474" s="150">
        <f t="shared" si="743"/>
        <v>0.0853862712269793</v>
      </c>
      <c r="P2474" s="150">
        <f t="shared" si="748"/>
        <v>0.176562094892404</v>
      </c>
      <c r="Q2474" s="89">
        <f t="shared" si="750"/>
        <v>0.680740740740741</v>
      </c>
      <c r="S2474" s="82">
        <f t="shared" si="751"/>
        <v>45982</v>
      </c>
      <c r="T2474" s="83">
        <f t="shared" si="759"/>
        <v>1.56875</v>
      </c>
      <c r="U2474" s="83">
        <f t="shared" si="759"/>
        <v>1.21875</v>
      </c>
      <c r="W2474" s="146">
        <v>45982</v>
      </c>
      <c r="X2474" s="147">
        <v>35</v>
      </c>
      <c r="Y2474" s="147">
        <v>18</v>
      </c>
      <c r="Z2474" s="158">
        <v>25.1</v>
      </c>
      <c r="AA2474" s="59" cm="1">
        <f t="array" ref="AA2474">INDEX($BX$29:$BX$1449,MATCH($D2474,$BR$29:$BR$1449,0),)</f>
        <v>19.5</v>
      </c>
      <c r="AB2474" s="150">
        <f t="shared" si="752"/>
        <v>0.004</v>
      </c>
      <c r="AC2474" s="150">
        <f t="shared" si="755"/>
        <v>0.0242807590287697</v>
      </c>
      <c r="AD2474" s="150">
        <f t="shared" si="758"/>
        <v>0.198777342630624</v>
      </c>
      <c r="AE2474" s="89">
        <f t="shared" si="753"/>
        <v>0.287179487179487</v>
      </c>
    </row>
    <row r="2475" spans="3:31">
      <c r="C2475" s="80" t="str" cm="1">
        <f t="array" ref="C2475">_xlfn.IFS(MONTH(D2475)&lt;4,1,MONTH(D2475)&lt;7,2,MONTH(D2475)&lt;10,3,MONTH(D2475)&gt;9,4)&amp;"Q"&amp;RIGHT(YEAR(D2475),2)</f>
        <v>4Q25</v>
      </c>
      <c r="D2475" s="81">
        <f t="shared" si="757"/>
        <v>45991</v>
      </c>
      <c r="E2475" s="82">
        <f t="shared" si="749"/>
        <v>45985</v>
      </c>
      <c r="F2475" s="83">
        <f t="shared" si="760"/>
        <v>1.76875</v>
      </c>
      <c r="G2475" s="83">
        <f t="shared" si="760"/>
        <v>1.0125</v>
      </c>
      <c r="I2475" s="146">
        <v>45985</v>
      </c>
      <c r="J2475" s="147">
        <v>19</v>
      </c>
      <c r="K2475" s="147">
        <v>8.7</v>
      </c>
      <c r="L2475" s="158">
        <v>14.15</v>
      </c>
      <c r="M2475" s="59" cm="1">
        <f t="array" ref="M2475">INDEX($BV$29:$BV$1449,MATCH($D2475,$BR$29:$BR$1449,0),)</f>
        <v>8.1</v>
      </c>
      <c r="N2475" s="150">
        <f t="shared" si="742"/>
        <v>0.039371235492875</v>
      </c>
      <c r="O2475" s="150">
        <f t="shared" si="743"/>
        <v>0.109194951791173</v>
      </c>
      <c r="P2475" s="150">
        <f t="shared" si="748"/>
        <v>0.208678568377894</v>
      </c>
      <c r="Q2475" s="89">
        <f t="shared" si="750"/>
        <v>0.746913580246914</v>
      </c>
      <c r="S2475" s="82">
        <f t="shared" si="751"/>
        <v>45985</v>
      </c>
      <c r="T2475" s="83">
        <f t="shared" si="759"/>
        <v>1.6104375</v>
      </c>
      <c r="U2475" s="83">
        <f t="shared" si="759"/>
        <v>1.21875</v>
      </c>
      <c r="W2475" s="146">
        <v>45985</v>
      </c>
      <c r="X2475" s="147">
        <v>36</v>
      </c>
      <c r="Y2475" s="147">
        <v>18</v>
      </c>
      <c r="Z2475" s="158">
        <v>25.767</v>
      </c>
      <c r="AA2475" s="59" cm="1">
        <f t="array" ref="AA2475">INDEX($BX$29:$BX$1449,MATCH($D2475,$BR$29:$BR$1449,0),)</f>
        <v>19.5</v>
      </c>
      <c r="AB2475" s="150">
        <f t="shared" si="752"/>
        <v>0.0265737051792827</v>
      </c>
      <c r="AC2475" s="150">
        <f t="shared" si="755"/>
        <v>0.040376307182945</v>
      </c>
      <c r="AD2475" s="150">
        <f t="shared" si="758"/>
        <v>0.165927601809955</v>
      </c>
      <c r="AE2475" s="89">
        <f t="shared" si="753"/>
        <v>0.321384615384615</v>
      </c>
    </row>
    <row r="2476" spans="3:31">
      <c r="C2476" s="80" t="str" cm="1">
        <f t="array" ref="C2476">_xlfn.IFS(MONTH(D2476)&lt;4,1,MONTH(D2476)&lt;7,2,MONTH(D2476)&lt;10,3,MONTH(D2476)&gt;9,4)&amp;"Q"&amp;RIGHT(YEAR(D2476),2)</f>
        <v>4Q25</v>
      </c>
      <c r="D2476" s="81">
        <f t="shared" si="757"/>
        <v>45991</v>
      </c>
      <c r="E2476" s="82">
        <f t="shared" si="749"/>
        <v>45986</v>
      </c>
      <c r="F2476" s="83">
        <f t="shared" si="760"/>
        <v>1.816125</v>
      </c>
      <c r="G2476" s="83">
        <f t="shared" si="760"/>
        <v>1.0125</v>
      </c>
      <c r="I2476" s="146">
        <v>45986</v>
      </c>
      <c r="J2476" s="147">
        <v>20</v>
      </c>
      <c r="K2476" s="147">
        <v>8.75</v>
      </c>
      <c r="L2476" s="158">
        <v>14.529</v>
      </c>
      <c r="M2476" s="59" cm="1">
        <f t="array" ref="M2476">INDEX($BV$29:$BV$1449,MATCH($D2476,$BR$29:$BR$1449,0),)</f>
        <v>8.1</v>
      </c>
      <c r="N2476" s="150">
        <f t="shared" ref="N2476:N2539" si="761">L2476/L2475-1</f>
        <v>0.0267844522968197</v>
      </c>
      <c r="O2476" s="150">
        <f t="shared" ref="O2476:O2539" si="762">L2476/L2471-1</f>
        <v>0.138904131065297</v>
      </c>
      <c r="P2476" s="150">
        <f t="shared" si="748"/>
        <v>0.225352112676056</v>
      </c>
      <c r="Q2476" s="89">
        <f t="shared" si="750"/>
        <v>0.793703703703704</v>
      </c>
      <c r="S2476" s="82">
        <f t="shared" si="751"/>
        <v>45986</v>
      </c>
      <c r="T2476" s="83">
        <f t="shared" si="759"/>
        <v>1.6354375</v>
      </c>
      <c r="U2476" s="83">
        <f t="shared" si="759"/>
        <v>1.21875</v>
      </c>
      <c r="W2476" s="146">
        <v>45986</v>
      </c>
      <c r="X2476" s="147">
        <v>36.5</v>
      </c>
      <c r="Y2476" s="147">
        <v>18.5</v>
      </c>
      <c r="Z2476" s="158">
        <v>26.167</v>
      </c>
      <c r="AA2476" s="59" cm="1">
        <f t="array" ref="AA2476">INDEX($BX$29:$BX$1449,MATCH($D2476,$BR$29:$BR$1449,0),)</f>
        <v>19.5</v>
      </c>
      <c r="AB2476" s="150">
        <f t="shared" si="752"/>
        <v>0.01552373190515</v>
      </c>
      <c r="AC2476" s="150">
        <f t="shared" si="755"/>
        <v>0.0537188418636494</v>
      </c>
      <c r="AD2476" s="150">
        <f t="shared" si="758"/>
        <v>0.135819081517493</v>
      </c>
      <c r="AE2476" s="89">
        <f t="shared" si="753"/>
        <v>0.341897435897436</v>
      </c>
    </row>
    <row r="2477" spans="3:31">
      <c r="C2477" s="80" t="str" cm="1">
        <f t="array" ref="C2477">_xlfn.IFS(MONTH(D2477)&lt;4,1,MONTH(D2477)&lt;7,2,MONTH(D2477)&lt;10,3,MONTH(D2477)&gt;9,4)&amp;"Q"&amp;RIGHT(YEAR(D2477),2)</f>
        <v>4Q25</v>
      </c>
      <c r="D2477" s="81">
        <f t="shared" si="757"/>
        <v>45991</v>
      </c>
      <c r="E2477" s="82">
        <f t="shared" si="749"/>
        <v>45987</v>
      </c>
      <c r="F2477" s="83">
        <f t="shared" si="760"/>
        <v>1.86425</v>
      </c>
      <c r="G2477" s="83">
        <f t="shared" si="760"/>
        <v>1.0125</v>
      </c>
      <c r="I2477" s="146">
        <v>45987</v>
      </c>
      <c r="J2477" s="147">
        <v>21.5</v>
      </c>
      <c r="K2477" s="147">
        <v>8.75</v>
      </c>
      <c r="L2477" s="158">
        <v>14.914</v>
      </c>
      <c r="M2477" s="59" cm="1">
        <f t="array" ref="M2477">INDEX($BV$29:$BV$1449,MATCH($D2477,$BR$29:$BR$1449,0),)</f>
        <v>8.1</v>
      </c>
      <c r="N2477" s="150">
        <f t="shared" si="761"/>
        <v>0.026498726684562</v>
      </c>
      <c r="O2477" s="150">
        <f t="shared" si="762"/>
        <v>0.16324779658373</v>
      </c>
      <c r="P2477" s="150">
        <f t="shared" si="748"/>
        <v>0.224566877411938</v>
      </c>
      <c r="Q2477" s="89">
        <f t="shared" si="750"/>
        <v>0.841234567901235</v>
      </c>
      <c r="S2477" s="82">
        <f t="shared" si="751"/>
        <v>45987</v>
      </c>
      <c r="T2477" s="83">
        <f t="shared" si="759"/>
        <v>1.6770625</v>
      </c>
      <c r="U2477" s="83">
        <f t="shared" si="759"/>
        <v>1.21875</v>
      </c>
      <c r="W2477" s="146">
        <v>45987</v>
      </c>
      <c r="X2477" s="147">
        <v>37</v>
      </c>
      <c r="Y2477" s="147">
        <v>19</v>
      </c>
      <c r="Z2477" s="158">
        <v>26.833</v>
      </c>
      <c r="AA2477" s="59" cm="1">
        <f t="array" ref="AA2477">INDEX($BX$29:$BX$1449,MATCH($D2477,$BR$29:$BR$1449,0),)</f>
        <v>19.5</v>
      </c>
      <c r="AB2477" s="150">
        <f t="shared" si="752"/>
        <v>0.0254519050712729</v>
      </c>
      <c r="AC2477" s="150">
        <f t="shared" si="755"/>
        <v>0.0805379937985744</v>
      </c>
      <c r="AD2477" s="150">
        <f t="shared" si="758"/>
        <v>0.126537638020068</v>
      </c>
      <c r="AE2477" s="89">
        <f t="shared" si="753"/>
        <v>0.376051282051282</v>
      </c>
    </row>
    <row r="2478" spans="3:31">
      <c r="C2478" s="80" t="str" cm="1">
        <f t="array" ref="C2478">_xlfn.IFS(MONTH(D2478)&lt;4,1,MONTH(D2478)&lt;7,2,MONTH(D2478)&lt;10,3,MONTH(D2478)&gt;9,4)&amp;"Q"&amp;RIGHT(YEAR(D2478),2)</f>
        <v>4Q25</v>
      </c>
      <c r="D2478" s="81">
        <f t="shared" si="757"/>
        <v>45991</v>
      </c>
      <c r="E2478" s="82">
        <f t="shared" si="749"/>
        <v>45988</v>
      </c>
      <c r="F2478" s="83">
        <f t="shared" si="760"/>
        <v>1.928625</v>
      </c>
      <c r="G2478" s="83">
        <f t="shared" si="760"/>
        <v>1.0125</v>
      </c>
      <c r="I2478" s="146">
        <v>45988</v>
      </c>
      <c r="J2478" s="147">
        <v>22.5</v>
      </c>
      <c r="K2478" s="147">
        <v>8.75</v>
      </c>
      <c r="L2478" s="158">
        <v>15.429</v>
      </c>
      <c r="M2478" s="59" cm="1">
        <f t="array" ref="M2478">INDEX($BV$29:$BV$1449,MATCH($D2478,$BR$29:$BR$1449,0),)</f>
        <v>8.1</v>
      </c>
      <c r="N2478" s="150">
        <f t="shared" si="761"/>
        <v>0.0345313128603997</v>
      </c>
      <c r="O2478" s="150">
        <f t="shared" si="762"/>
        <v>0.160686075378019</v>
      </c>
      <c r="P2478" s="150">
        <f t="shared" si="748"/>
        <v>0.255819632101579</v>
      </c>
      <c r="Q2478" s="89">
        <f t="shared" si="750"/>
        <v>0.904814814814815</v>
      </c>
      <c r="S2478" s="82">
        <f t="shared" si="751"/>
        <v>45988</v>
      </c>
      <c r="T2478" s="83">
        <f t="shared" si="759"/>
        <v>1.6979375</v>
      </c>
      <c r="U2478" s="83">
        <f t="shared" si="759"/>
        <v>1.21875</v>
      </c>
      <c r="W2478" s="146">
        <v>45988</v>
      </c>
      <c r="X2478" s="147">
        <v>37</v>
      </c>
      <c r="Y2478" s="147">
        <v>19</v>
      </c>
      <c r="Z2478" s="158">
        <v>27.167</v>
      </c>
      <c r="AA2478" s="59" cm="1">
        <f t="array" ref="AA2478">INDEX($BX$29:$BX$1449,MATCH($D2478,$BR$29:$BR$1449,0),)</f>
        <v>19.5</v>
      </c>
      <c r="AB2478" s="150">
        <f t="shared" si="752"/>
        <v>0.0124473595945291</v>
      </c>
      <c r="AC2478" s="150">
        <f t="shared" si="755"/>
        <v>0.0866800000000001</v>
      </c>
      <c r="AD2478" s="150">
        <f t="shared" si="758"/>
        <v>0.125813269238739</v>
      </c>
      <c r="AE2478" s="89">
        <f t="shared" si="753"/>
        <v>0.393179487179487</v>
      </c>
    </row>
    <row r="2479" spans="3:31">
      <c r="C2479" s="80" t="str" cm="1">
        <f t="array" ref="C2479">_xlfn.IFS(MONTH(D2479)&lt;4,1,MONTH(D2479)&lt;7,2,MONTH(D2479)&lt;10,3,MONTH(D2479)&gt;9,4)&amp;"Q"&amp;RIGHT(YEAR(D2479),2)</f>
        <v>4Q25</v>
      </c>
      <c r="D2479" s="81">
        <f t="shared" si="757"/>
        <v>45991</v>
      </c>
      <c r="E2479" s="82">
        <f t="shared" si="749"/>
        <v>45989</v>
      </c>
      <c r="F2479" s="83">
        <f t="shared" si="760"/>
        <v>1.9875</v>
      </c>
      <c r="G2479" s="83">
        <f t="shared" si="760"/>
        <v>1.0125</v>
      </c>
      <c r="I2479" s="146">
        <v>45989</v>
      </c>
      <c r="J2479" s="147">
        <v>22.5</v>
      </c>
      <c r="K2479" s="147">
        <v>8.8</v>
      </c>
      <c r="L2479" s="158">
        <v>15.9</v>
      </c>
      <c r="M2479" s="59" cm="1">
        <f t="array" ref="M2479">INDEX($BV$29:$BV$1449,MATCH($D2479,$BR$29:$BR$1449,0),)</f>
        <v>8.1</v>
      </c>
      <c r="N2479" s="150">
        <f t="shared" si="761"/>
        <v>0.0305269298075053</v>
      </c>
      <c r="O2479" s="150">
        <f t="shared" si="762"/>
        <v>0.167915381225209</v>
      </c>
      <c r="P2479" s="150">
        <f t="shared" si="748"/>
        <v>0.267639320736666</v>
      </c>
      <c r="Q2479" s="89">
        <f t="shared" si="750"/>
        <v>0.962962962962963</v>
      </c>
      <c r="S2479" s="82">
        <f t="shared" si="751"/>
        <v>45989</v>
      </c>
      <c r="T2479" s="83">
        <f t="shared" si="759"/>
        <v>1.6979375</v>
      </c>
      <c r="U2479" s="83">
        <f t="shared" si="759"/>
        <v>1.21875</v>
      </c>
      <c r="W2479" s="146">
        <v>45989</v>
      </c>
      <c r="X2479" s="147">
        <v>37</v>
      </c>
      <c r="Y2479" s="147">
        <v>19</v>
      </c>
      <c r="Z2479" s="158">
        <v>27.167</v>
      </c>
      <c r="AA2479" s="59" cm="1">
        <f t="array" ref="AA2479">INDEX($BX$29:$BX$1449,MATCH($D2479,$BR$29:$BR$1449,0),)</f>
        <v>19.5</v>
      </c>
      <c r="AB2479" s="150">
        <f t="shared" si="752"/>
        <v>0</v>
      </c>
      <c r="AC2479" s="150">
        <f t="shared" si="755"/>
        <v>0.0823505976095618</v>
      </c>
      <c r="AD2479" s="150">
        <f t="shared" si="758"/>
        <v>0.108630891654764</v>
      </c>
      <c r="AE2479" s="89">
        <f t="shared" si="753"/>
        <v>0.393179487179487</v>
      </c>
    </row>
    <row r="2480" spans="3:31">
      <c r="C2480" s="80" t="str" cm="1">
        <f t="array" ref="C2480">_xlfn.IFS(MONTH(D2480)&lt;4,1,MONTH(D2480)&lt;7,2,MONTH(D2480)&lt;10,3,MONTH(D2480)&gt;9,4)&amp;"Q"&amp;RIGHT(YEAR(D2480),2)</f>
        <v>4Q25</v>
      </c>
      <c r="D2480" s="81">
        <f t="shared" si="757"/>
        <v>46022</v>
      </c>
      <c r="E2480" s="82">
        <f t="shared" si="749"/>
        <v>45992</v>
      </c>
      <c r="F2480" s="83">
        <f t="shared" si="760"/>
        <v>2.03925</v>
      </c>
      <c r="G2480" s="83">
        <f t="shared" si="760"/>
        <v>1.1625</v>
      </c>
      <c r="I2480" s="146">
        <v>45992</v>
      </c>
      <c r="J2480" s="147">
        <v>23</v>
      </c>
      <c r="K2480" s="147">
        <v>9</v>
      </c>
      <c r="L2480" s="158">
        <v>16.314</v>
      </c>
      <c r="M2480" s="59" cm="1">
        <f t="array" ref="M2480">INDEX($BV$29:$BV$1449,MATCH($D2480,$BR$29:$BR$1449,0),)</f>
        <v>9.3</v>
      </c>
      <c r="N2480" s="150">
        <f t="shared" si="761"/>
        <v>0.0260377358490567</v>
      </c>
      <c r="O2480" s="150">
        <f t="shared" si="762"/>
        <v>0.152932862190813</v>
      </c>
      <c r="P2480" s="150">
        <f t="shared" si="748"/>
        <v>0.278827310496198</v>
      </c>
      <c r="Q2480" s="89">
        <f t="shared" si="750"/>
        <v>0.754193548387097</v>
      </c>
      <c r="S2480" s="82">
        <f t="shared" si="751"/>
        <v>45992</v>
      </c>
      <c r="T2480" s="83">
        <f t="shared" si="759"/>
        <v>1.7</v>
      </c>
      <c r="U2480" s="83">
        <f t="shared" si="759"/>
        <v>1.3</v>
      </c>
      <c r="W2480" s="146">
        <v>45992</v>
      </c>
      <c r="X2480" s="147">
        <v>37</v>
      </c>
      <c r="Y2480" s="147">
        <v>19</v>
      </c>
      <c r="Z2480" s="158">
        <v>27.2</v>
      </c>
      <c r="AA2480" s="59" cm="1">
        <f t="array" ref="AA2480">INDEX($BX$29:$BX$1449,MATCH($D2480,$BR$29:$BR$1449,0),)</f>
        <v>20.8</v>
      </c>
      <c r="AB2480" s="150">
        <f t="shared" si="752"/>
        <v>0.00121470902197518</v>
      </c>
      <c r="AC2480" s="150">
        <f t="shared" si="755"/>
        <v>0.0556137695501999</v>
      </c>
      <c r="AD2480" s="150">
        <f t="shared" si="758"/>
        <v>0.0982355553761054</v>
      </c>
      <c r="AE2480" s="89">
        <f t="shared" si="753"/>
        <v>0.307692307692308</v>
      </c>
    </row>
    <row r="2481" spans="3:31">
      <c r="C2481" s="80" t="str" cm="1">
        <f t="array" ref="C2481">_xlfn.IFS(MONTH(D2481)&lt;4,1,MONTH(D2481)&lt;7,2,MONTH(D2481)&lt;10,3,MONTH(D2481)&gt;9,4)&amp;"Q"&amp;RIGHT(YEAR(D2481),2)</f>
        <v>4Q25</v>
      </c>
      <c r="D2481" s="81">
        <f t="shared" si="757"/>
        <v>46022</v>
      </c>
      <c r="E2481" s="82">
        <f t="shared" si="749"/>
        <v>45993</v>
      </c>
      <c r="F2481" s="83">
        <f t="shared" si="760"/>
        <v>2.06425</v>
      </c>
      <c r="G2481" s="83">
        <f t="shared" si="760"/>
        <v>1.1625</v>
      </c>
      <c r="I2481" s="146">
        <v>45993</v>
      </c>
      <c r="J2481" s="147">
        <v>23</v>
      </c>
      <c r="K2481" s="147">
        <v>9</v>
      </c>
      <c r="L2481" s="158">
        <v>16.514</v>
      </c>
      <c r="M2481" s="59" cm="1">
        <f t="array" ref="M2481">INDEX($BV$29:$BV$1449,MATCH($D2481,$BR$29:$BR$1449,0),)</f>
        <v>9.3</v>
      </c>
      <c r="N2481" s="150">
        <f t="shared" si="761"/>
        <v>0.0122594090964816</v>
      </c>
      <c r="O2481" s="150">
        <f t="shared" si="762"/>
        <v>0.13662330511391</v>
      </c>
      <c r="P2481" s="150">
        <f t="shared" si="748"/>
        <v>0.294504977659324</v>
      </c>
      <c r="Q2481" s="89">
        <f t="shared" si="750"/>
        <v>0.775698924731183</v>
      </c>
      <c r="S2481" s="82">
        <f t="shared" si="751"/>
        <v>45993</v>
      </c>
      <c r="T2481" s="83">
        <f t="shared" si="759"/>
        <v>1.7</v>
      </c>
      <c r="U2481" s="83">
        <f t="shared" si="759"/>
        <v>1.3</v>
      </c>
      <c r="W2481" s="146">
        <v>45993</v>
      </c>
      <c r="X2481" s="147">
        <v>37</v>
      </c>
      <c r="Y2481" s="147">
        <v>19</v>
      </c>
      <c r="Z2481" s="158">
        <v>27.2</v>
      </c>
      <c r="AA2481" s="59" cm="1">
        <f t="array" ref="AA2481">INDEX($BX$29:$BX$1449,MATCH($D2481,$BR$29:$BR$1449,0),)</f>
        <v>20.8</v>
      </c>
      <c r="AB2481" s="150">
        <f t="shared" si="752"/>
        <v>0</v>
      </c>
      <c r="AC2481" s="150">
        <f t="shared" si="755"/>
        <v>0.0394772041120495</v>
      </c>
      <c r="AD2481" s="150">
        <f t="shared" si="758"/>
        <v>0.0953167156606129</v>
      </c>
      <c r="AE2481" s="89">
        <f t="shared" si="753"/>
        <v>0.307692307692308</v>
      </c>
    </row>
    <row r="2482" spans="3:31">
      <c r="C2482" s="80" t="str" cm="1">
        <f t="array" ref="C2482">_xlfn.IFS(MONTH(D2482)&lt;4,1,MONTH(D2482)&lt;7,2,MONTH(D2482)&lt;10,3,MONTH(D2482)&gt;9,4)&amp;"Q"&amp;RIGHT(YEAR(D2482),2)</f>
        <v>4Q25</v>
      </c>
      <c r="D2482" s="81">
        <f t="shared" si="757"/>
        <v>46022</v>
      </c>
      <c r="E2482" s="82">
        <f t="shared" si="749"/>
        <v>45994</v>
      </c>
      <c r="F2482" s="83">
        <f t="shared" si="760"/>
        <v>2.091125</v>
      </c>
      <c r="G2482" s="83">
        <f t="shared" si="760"/>
        <v>1.1625</v>
      </c>
      <c r="I2482" s="146">
        <v>45994</v>
      </c>
      <c r="J2482" s="147">
        <v>24</v>
      </c>
      <c r="K2482" s="147">
        <v>9</v>
      </c>
      <c r="L2482" s="158">
        <v>16.729</v>
      </c>
      <c r="M2482" s="59" cm="1">
        <f t="array" ref="M2482">INDEX($BV$29:$BV$1449,MATCH($D2482,$BR$29:$BR$1449,0),)</f>
        <v>9.3</v>
      </c>
      <c r="N2482" s="150">
        <f t="shared" si="761"/>
        <v>0.0130192563885188</v>
      </c>
      <c r="O2482" s="150">
        <f t="shared" si="762"/>
        <v>0.121697733673059</v>
      </c>
      <c r="P2482" s="150">
        <f t="shared" si="748"/>
        <v>0.304812417128149</v>
      </c>
      <c r="Q2482" s="89">
        <f t="shared" si="750"/>
        <v>0.798817204301075</v>
      </c>
      <c r="S2482" s="82">
        <f t="shared" si="751"/>
        <v>45994</v>
      </c>
      <c r="T2482" s="83">
        <f t="shared" si="759"/>
        <v>1.7</v>
      </c>
      <c r="U2482" s="83">
        <f t="shared" si="759"/>
        <v>1.3</v>
      </c>
      <c r="W2482" s="146">
        <v>45994</v>
      </c>
      <c r="X2482" s="147">
        <v>36.5</v>
      </c>
      <c r="Y2482" s="147">
        <v>19</v>
      </c>
      <c r="Z2482" s="158">
        <v>27.2</v>
      </c>
      <c r="AA2482" s="59" cm="1">
        <f t="array" ref="AA2482">INDEX($BX$29:$BX$1449,MATCH($D2482,$BR$29:$BR$1449,0),)</f>
        <v>20.8</v>
      </c>
      <c r="AB2482" s="150">
        <f t="shared" si="752"/>
        <v>0</v>
      </c>
      <c r="AC2482" s="150">
        <f t="shared" si="755"/>
        <v>0.0136771885365037</v>
      </c>
      <c r="AD2482" s="150">
        <f t="shared" si="758"/>
        <v>0.0953167156606129</v>
      </c>
      <c r="AE2482" s="89">
        <f t="shared" si="753"/>
        <v>0.307692307692308</v>
      </c>
    </row>
    <row r="2483" spans="3:31">
      <c r="C2483" s="80" t="str" cm="1">
        <f t="array" ref="C2483">_xlfn.IFS(MONTH(D2483)&lt;4,1,MONTH(D2483)&lt;7,2,MONTH(D2483)&lt;10,3,MONTH(D2483)&gt;9,4)&amp;"Q"&amp;RIGHT(YEAR(D2483),2)</f>
        <v>4Q25</v>
      </c>
      <c r="D2483" s="81">
        <f t="shared" si="757"/>
        <v>46022</v>
      </c>
      <c r="E2483" s="82">
        <f t="shared" si="749"/>
        <v>45995</v>
      </c>
      <c r="F2483" s="83">
        <f t="shared" si="760"/>
        <v>2.117875</v>
      </c>
      <c r="G2483" s="83">
        <f t="shared" si="760"/>
        <v>1.1625</v>
      </c>
      <c r="I2483" s="146">
        <v>45995</v>
      </c>
      <c r="J2483" s="147">
        <v>24</v>
      </c>
      <c r="K2483" s="147">
        <v>9</v>
      </c>
      <c r="L2483" s="158">
        <v>16.943</v>
      </c>
      <c r="M2483" s="59" cm="1">
        <f t="array" ref="M2483">INDEX($BV$29:$BV$1449,MATCH($D2483,$BR$29:$BR$1449,0),)</f>
        <v>9.3</v>
      </c>
      <c r="N2483" s="150">
        <f t="shared" si="761"/>
        <v>0.0127921573315801</v>
      </c>
      <c r="O2483" s="150">
        <f t="shared" si="762"/>
        <v>0.0981269038822996</v>
      </c>
      <c r="P2483" s="150">
        <f t="shared" si="748"/>
        <v>0.274580606334161</v>
      </c>
      <c r="Q2483" s="89">
        <f t="shared" si="750"/>
        <v>0.821827956989247</v>
      </c>
      <c r="S2483" s="82">
        <f t="shared" si="751"/>
        <v>45995</v>
      </c>
      <c r="T2483" s="83">
        <f t="shared" si="759"/>
        <v>1.6833125</v>
      </c>
      <c r="U2483" s="83">
        <f t="shared" si="759"/>
        <v>1.3</v>
      </c>
      <c r="W2483" s="146">
        <v>45995</v>
      </c>
      <c r="X2483" s="147">
        <v>36</v>
      </c>
      <c r="Y2483" s="147">
        <v>19</v>
      </c>
      <c r="Z2483" s="158">
        <v>26.933</v>
      </c>
      <c r="AA2483" s="59" cm="1">
        <f t="array" ref="AA2483">INDEX($BX$29:$BX$1449,MATCH($D2483,$BR$29:$BR$1449,0),)</f>
        <v>20.8</v>
      </c>
      <c r="AB2483" s="150">
        <f t="shared" si="752"/>
        <v>-0.00981617647058819</v>
      </c>
      <c r="AC2483" s="150">
        <f t="shared" si="755"/>
        <v>-0.00861339124673322</v>
      </c>
      <c r="AD2483" s="150">
        <f t="shared" si="758"/>
        <v>0.0773200000000001</v>
      </c>
      <c r="AE2483" s="89">
        <f t="shared" si="753"/>
        <v>0.294855769230769</v>
      </c>
    </row>
    <row r="2484" spans="3:31">
      <c r="C2484" s="80" t="str" cm="1">
        <f t="array" ref="C2484">_xlfn.IFS(MONTH(D2484)&lt;4,1,MONTH(D2484)&lt;7,2,MONTH(D2484)&lt;10,3,MONTH(D2484)&gt;9,4)&amp;"Q"&amp;RIGHT(YEAR(D2484),2)</f>
        <v>4Q25</v>
      </c>
      <c r="D2484" s="81">
        <f t="shared" si="757"/>
        <v>46022</v>
      </c>
      <c r="E2484" s="82">
        <f t="shared" si="749"/>
        <v>45996</v>
      </c>
      <c r="F2484" s="83">
        <f t="shared" si="760"/>
        <v>2.13125</v>
      </c>
      <c r="G2484" s="83">
        <f t="shared" si="760"/>
        <v>1.1625</v>
      </c>
      <c r="I2484" s="146">
        <v>45996</v>
      </c>
      <c r="J2484" s="147">
        <v>25</v>
      </c>
      <c r="K2484" s="147">
        <v>9</v>
      </c>
      <c r="L2484" s="158">
        <v>17.05</v>
      </c>
      <c r="M2484" s="59" cm="1">
        <f t="array" ref="M2484">INDEX($BV$29:$BV$1449,MATCH($D2484,$BR$29:$BR$1449,0),)</f>
        <v>9.3</v>
      </c>
      <c r="N2484" s="150">
        <f t="shared" si="761"/>
        <v>0.0063152924511598</v>
      </c>
      <c r="O2484" s="150">
        <f t="shared" si="762"/>
        <v>0.0723270440251573</v>
      </c>
      <c r="P2484" s="150">
        <f t="shared" si="748"/>
        <v>0.252387248420743</v>
      </c>
      <c r="Q2484" s="89">
        <f t="shared" si="750"/>
        <v>0.833333333333333</v>
      </c>
      <c r="S2484" s="82">
        <f t="shared" si="751"/>
        <v>45996</v>
      </c>
      <c r="T2484" s="83">
        <f t="shared" si="759"/>
        <v>1.6458125</v>
      </c>
      <c r="U2484" s="83">
        <f t="shared" si="759"/>
        <v>1.3</v>
      </c>
      <c r="W2484" s="146">
        <v>45996</v>
      </c>
      <c r="X2484" s="147">
        <v>36</v>
      </c>
      <c r="Y2484" s="147">
        <v>19.5</v>
      </c>
      <c r="Z2484" s="158">
        <v>26.333</v>
      </c>
      <c r="AA2484" s="59" cm="1">
        <f t="array" ref="AA2484">INDEX($BX$29:$BX$1449,MATCH($D2484,$BR$29:$BR$1449,0),)</f>
        <v>20.8</v>
      </c>
      <c r="AB2484" s="150">
        <f t="shared" si="752"/>
        <v>-0.0222775034344485</v>
      </c>
      <c r="AC2484" s="150">
        <f t="shared" si="755"/>
        <v>-0.0306990098281004</v>
      </c>
      <c r="AD2484" s="150">
        <f t="shared" si="758"/>
        <v>0.0491235059760955</v>
      </c>
      <c r="AE2484" s="89">
        <f t="shared" si="753"/>
        <v>0.266009615384615</v>
      </c>
    </row>
    <row r="2485" spans="3:31">
      <c r="C2485" s="80" t="str" cm="1">
        <f t="array" ref="C2485">_xlfn.IFS(MONTH(D2485)&lt;4,1,MONTH(D2485)&lt;7,2,MONTH(D2485)&lt;10,3,MONTH(D2485)&gt;9,4)&amp;"Q"&amp;RIGHT(YEAR(D2485),2)</f>
        <v>4Q25</v>
      </c>
      <c r="D2485" s="81">
        <f t="shared" si="757"/>
        <v>46022</v>
      </c>
      <c r="E2485" s="82">
        <f t="shared" si="749"/>
        <v>45999</v>
      </c>
      <c r="F2485" s="83">
        <f t="shared" si="760"/>
        <v>2.133</v>
      </c>
      <c r="G2485" s="83">
        <f t="shared" si="760"/>
        <v>1.1625</v>
      </c>
      <c r="I2485" s="146">
        <v>45999</v>
      </c>
      <c r="J2485" s="147">
        <v>25</v>
      </c>
      <c r="K2485" s="147">
        <v>9.1</v>
      </c>
      <c r="L2485" s="158">
        <v>17.064</v>
      </c>
      <c r="M2485" s="59" cm="1">
        <f t="array" ref="M2485">INDEX($BV$29:$BV$1449,MATCH($D2485,$BR$29:$BR$1449,0),)</f>
        <v>9.3</v>
      </c>
      <c r="N2485" s="150">
        <f t="shared" si="761"/>
        <v>0.000821114369501386</v>
      </c>
      <c r="O2485" s="150">
        <f t="shared" si="762"/>
        <v>0.0459727841118058</v>
      </c>
      <c r="P2485" s="150">
        <f t="shared" si="748"/>
        <v>0.205936395759717</v>
      </c>
      <c r="Q2485" s="89">
        <f t="shared" si="750"/>
        <v>0.834838709677419</v>
      </c>
      <c r="S2485" s="82">
        <f t="shared" si="751"/>
        <v>45999</v>
      </c>
      <c r="T2485" s="83">
        <f t="shared" si="759"/>
        <v>1.6458125</v>
      </c>
      <c r="U2485" s="83">
        <f t="shared" si="759"/>
        <v>1.3</v>
      </c>
      <c r="W2485" s="146">
        <v>45999</v>
      </c>
      <c r="X2485" s="147">
        <v>36</v>
      </c>
      <c r="Y2485" s="147">
        <v>19.5</v>
      </c>
      <c r="Z2485" s="158">
        <v>26.333</v>
      </c>
      <c r="AA2485" s="59" cm="1">
        <f t="array" ref="AA2485">INDEX($BX$29:$BX$1449,MATCH($D2485,$BR$29:$BR$1449,0),)</f>
        <v>20.8</v>
      </c>
      <c r="AB2485" s="150">
        <f t="shared" si="752"/>
        <v>0</v>
      </c>
      <c r="AC2485" s="150">
        <f t="shared" si="755"/>
        <v>-0.031875</v>
      </c>
      <c r="AD2485" s="150">
        <f t="shared" si="758"/>
        <v>0.0219660806457873</v>
      </c>
      <c r="AE2485" s="89">
        <f t="shared" si="753"/>
        <v>0.266009615384615</v>
      </c>
    </row>
    <row r="2486" spans="3:31">
      <c r="C2486" s="80" t="str" cm="1">
        <f t="array" ref="C2486">_xlfn.IFS(MONTH(D2486)&lt;4,1,MONTH(D2486)&lt;7,2,MONTH(D2486)&lt;10,3,MONTH(D2486)&gt;9,4)&amp;"Q"&amp;RIGHT(YEAR(D2486),2)</f>
        <v>4Q25</v>
      </c>
      <c r="D2486" s="81">
        <f t="shared" si="757"/>
        <v>46022</v>
      </c>
      <c r="E2486" s="82">
        <f t="shared" si="749"/>
        <v>46000</v>
      </c>
      <c r="F2486" s="83">
        <f t="shared" si="760"/>
        <v>2.133</v>
      </c>
      <c r="G2486" s="83">
        <f t="shared" si="760"/>
        <v>1.1625</v>
      </c>
      <c r="I2486" s="146">
        <v>46000</v>
      </c>
      <c r="J2486" s="147">
        <v>25</v>
      </c>
      <c r="K2486" s="147">
        <v>9.2</v>
      </c>
      <c r="L2486" s="158">
        <v>17.064</v>
      </c>
      <c r="M2486" s="59" cm="1">
        <f t="array" ref="M2486">INDEX($BV$29:$BV$1449,MATCH($D2486,$BR$29:$BR$1449,0),)</f>
        <v>9.3</v>
      </c>
      <c r="N2486" s="150">
        <f t="shared" si="761"/>
        <v>0</v>
      </c>
      <c r="O2486" s="150">
        <f t="shared" si="762"/>
        <v>0.0333050744822576</v>
      </c>
      <c r="P2486" s="150">
        <f t="shared" si="748"/>
        <v>0.174478628948999</v>
      </c>
      <c r="Q2486" s="89">
        <f t="shared" si="750"/>
        <v>0.834838709677419</v>
      </c>
      <c r="S2486" s="82">
        <f t="shared" si="751"/>
        <v>46000</v>
      </c>
      <c r="T2486" s="83">
        <f t="shared" si="759"/>
        <v>1.6458125</v>
      </c>
      <c r="U2486" s="83">
        <f t="shared" si="759"/>
        <v>1.3</v>
      </c>
      <c r="W2486" s="146">
        <v>46000</v>
      </c>
      <c r="X2486" s="147">
        <v>36</v>
      </c>
      <c r="Y2486" s="147">
        <v>19.5</v>
      </c>
      <c r="Z2486" s="158">
        <v>26.333</v>
      </c>
      <c r="AA2486" s="59" cm="1">
        <f t="array" ref="AA2486">INDEX($BX$29:$BX$1449,MATCH($D2486,$BR$29:$BR$1449,0),)</f>
        <v>20.8</v>
      </c>
      <c r="AB2486" s="150">
        <f t="shared" si="752"/>
        <v>0</v>
      </c>
      <c r="AC2486" s="150">
        <f t="shared" si="755"/>
        <v>-0.031875</v>
      </c>
      <c r="AD2486" s="150">
        <f t="shared" si="758"/>
        <v>0.00634386823097777</v>
      </c>
      <c r="AE2486" s="89">
        <f t="shared" si="753"/>
        <v>0.266009615384615</v>
      </c>
    </row>
    <row r="2487" spans="3:31">
      <c r="C2487" s="80" t="str" cm="1">
        <f t="array" ref="C2487">_xlfn.IFS(MONTH(D2487)&lt;4,1,MONTH(D2487)&lt;7,2,MONTH(D2487)&lt;10,3,MONTH(D2487)&gt;9,4)&amp;"Q"&amp;RIGHT(YEAR(D2487),2)</f>
        <v>4Q25</v>
      </c>
      <c r="D2487" s="81">
        <f t="shared" si="757"/>
        <v>46022</v>
      </c>
      <c r="E2487" s="82">
        <f t="shared" si="749"/>
        <v>46001</v>
      </c>
      <c r="F2487" s="83">
        <f t="shared" si="760"/>
        <v>2.15575</v>
      </c>
      <c r="G2487" s="83">
        <f t="shared" si="760"/>
        <v>1.1625</v>
      </c>
      <c r="I2487" s="146">
        <v>46001</v>
      </c>
      <c r="J2487" s="147">
        <v>25</v>
      </c>
      <c r="K2487" s="147">
        <v>9.2</v>
      </c>
      <c r="L2487" s="158">
        <v>17.246</v>
      </c>
      <c r="M2487" s="59" cm="1">
        <f t="array" ref="M2487">INDEX($BV$29:$BV$1449,MATCH($D2487,$BR$29:$BR$1449,0),)</f>
        <v>9.3</v>
      </c>
      <c r="N2487" s="150">
        <f t="shared" si="761"/>
        <v>0.0106657290201593</v>
      </c>
      <c r="O2487" s="150">
        <f t="shared" si="762"/>
        <v>0.0309044174786299</v>
      </c>
      <c r="P2487" s="150">
        <f t="shared" si="748"/>
        <v>0.156363148719324</v>
      </c>
      <c r="Q2487" s="89">
        <f t="shared" si="750"/>
        <v>0.854408602150537</v>
      </c>
      <c r="S2487" s="82">
        <f t="shared" si="751"/>
        <v>46001</v>
      </c>
      <c r="T2487" s="83">
        <f t="shared" si="759"/>
        <v>1.6416875</v>
      </c>
      <c r="U2487" s="83">
        <f t="shared" si="759"/>
        <v>1.3</v>
      </c>
      <c r="W2487" s="146">
        <v>46001</v>
      </c>
      <c r="X2487" s="147">
        <v>35</v>
      </c>
      <c r="Y2487" s="147">
        <v>19.5</v>
      </c>
      <c r="Z2487" s="158">
        <v>26.267</v>
      </c>
      <c r="AA2487" s="59" cm="1">
        <f t="array" ref="AA2487">INDEX($BX$29:$BX$1449,MATCH($D2487,$BR$29:$BR$1449,0),)</f>
        <v>20.8</v>
      </c>
      <c r="AB2487" s="150">
        <f t="shared" si="752"/>
        <v>-0.00250636084001055</v>
      </c>
      <c r="AC2487" s="150">
        <f t="shared" si="755"/>
        <v>-0.0343014705882353</v>
      </c>
      <c r="AD2487" s="150">
        <f t="shared" si="758"/>
        <v>-0.0210934297320463</v>
      </c>
      <c r="AE2487" s="89">
        <f t="shared" si="753"/>
        <v>0.262836538461538</v>
      </c>
    </row>
    <row r="2488" spans="3:31">
      <c r="C2488" s="80" t="str" cm="1">
        <f t="array" ref="C2488">_xlfn.IFS(MONTH(D2488)&lt;4,1,MONTH(D2488)&lt;7,2,MONTH(D2488)&lt;10,3,MONTH(D2488)&gt;9,4)&amp;"Q"&amp;RIGHT(YEAR(D2488),2)</f>
        <v>4Q25</v>
      </c>
      <c r="D2488" s="81">
        <f t="shared" si="757"/>
        <v>46022</v>
      </c>
      <c r="E2488" s="82">
        <f t="shared" si="749"/>
        <v>46002</v>
      </c>
      <c r="F2488" s="83">
        <f t="shared" si="760"/>
        <v>2.225</v>
      </c>
      <c r="G2488" s="83">
        <f t="shared" si="760"/>
        <v>1.1625</v>
      </c>
      <c r="I2488" s="146">
        <v>46002</v>
      </c>
      <c r="J2488" s="147">
        <v>27</v>
      </c>
      <c r="K2488" s="147">
        <v>9.3</v>
      </c>
      <c r="L2488" s="158">
        <v>17.8</v>
      </c>
      <c r="M2488" s="59" cm="1">
        <f t="array" ref="M2488">INDEX($BV$29:$BV$1449,MATCH($D2488,$BR$29:$BR$1449,0),)</f>
        <v>9.3</v>
      </c>
      <c r="N2488" s="150">
        <f t="shared" si="761"/>
        <v>0.0321233909312306</v>
      </c>
      <c r="O2488" s="150">
        <f t="shared" si="762"/>
        <v>0.0505813610340553</v>
      </c>
      <c r="P2488" s="150">
        <f t="shared" si="748"/>
        <v>0.15367165726878</v>
      </c>
      <c r="Q2488" s="89">
        <f t="shared" si="750"/>
        <v>0.913978494623656</v>
      </c>
      <c r="S2488" s="82">
        <f t="shared" si="751"/>
        <v>46002</v>
      </c>
      <c r="T2488" s="83">
        <f t="shared" ref="T2488:U2503" si="763">+Z2488/16</f>
        <v>1.625</v>
      </c>
      <c r="U2488" s="83">
        <f t="shared" si="763"/>
        <v>1.3</v>
      </c>
      <c r="W2488" s="146">
        <v>46002</v>
      </c>
      <c r="X2488" s="147">
        <v>35</v>
      </c>
      <c r="Y2488" s="147">
        <v>19.5</v>
      </c>
      <c r="Z2488" s="158">
        <v>26</v>
      </c>
      <c r="AA2488" s="59" cm="1">
        <f t="array" ref="AA2488">INDEX($BX$29:$BX$1449,MATCH($D2488,$BR$29:$BR$1449,0),)</f>
        <v>20.8</v>
      </c>
      <c r="AB2488" s="150">
        <f t="shared" si="752"/>
        <v>-0.0101648456237865</v>
      </c>
      <c r="AC2488" s="150">
        <f t="shared" si="755"/>
        <v>-0.0346415178405673</v>
      </c>
      <c r="AD2488" s="150">
        <f t="shared" si="758"/>
        <v>-0.0429565281407591</v>
      </c>
      <c r="AE2488" s="89">
        <f t="shared" si="753"/>
        <v>0.25</v>
      </c>
    </row>
    <row r="2489" spans="3:31">
      <c r="C2489" s="80" t="str" cm="1">
        <f t="array" ref="C2489">_xlfn.IFS(MONTH(D2489)&lt;4,1,MONTH(D2489)&lt;7,2,MONTH(D2489)&lt;10,3,MONTH(D2489)&gt;9,4)&amp;"Q"&amp;RIGHT(YEAR(D2489),2)</f>
        <v>4Q25</v>
      </c>
      <c r="D2489" s="81">
        <f t="shared" si="757"/>
        <v>46022</v>
      </c>
      <c r="E2489" s="82">
        <f t="shared" si="749"/>
        <v>46003</v>
      </c>
      <c r="F2489" s="83">
        <f t="shared" si="760"/>
        <v>2.325</v>
      </c>
      <c r="G2489" s="83">
        <f t="shared" si="760"/>
        <v>1.1625</v>
      </c>
      <c r="I2489" s="146">
        <v>46003</v>
      </c>
      <c r="J2489" s="147">
        <v>30</v>
      </c>
      <c r="K2489" s="147">
        <v>9.3</v>
      </c>
      <c r="L2489" s="158">
        <v>18.6</v>
      </c>
      <c r="M2489" s="59" cm="1">
        <f t="array" ref="M2489">INDEX($BV$29:$BV$1449,MATCH($D2489,$BR$29:$BR$1449,0),)</f>
        <v>9.3</v>
      </c>
      <c r="N2489" s="150">
        <f t="shared" si="761"/>
        <v>0.0449438202247192</v>
      </c>
      <c r="O2489" s="150">
        <f t="shared" si="762"/>
        <v>0.0909090909090911</v>
      </c>
      <c r="P2489" s="150">
        <f t="shared" si="748"/>
        <v>0.169811320754717</v>
      </c>
      <c r="Q2489" s="89">
        <f t="shared" si="750"/>
        <v>1</v>
      </c>
      <c r="S2489" s="82">
        <f t="shared" si="751"/>
        <v>46003</v>
      </c>
      <c r="T2489" s="83">
        <f t="shared" si="763"/>
        <v>1.6354375</v>
      </c>
      <c r="U2489" s="83">
        <f t="shared" si="763"/>
        <v>1.3</v>
      </c>
      <c r="W2489" s="146">
        <v>46003</v>
      </c>
      <c r="X2489" s="147">
        <v>35</v>
      </c>
      <c r="Y2489" s="147">
        <v>19.5</v>
      </c>
      <c r="Z2489" s="158">
        <v>26.167</v>
      </c>
      <c r="AA2489" s="59" cm="1">
        <f t="array" ref="AA2489">INDEX($BX$29:$BX$1449,MATCH($D2489,$BR$29:$BR$1449,0),)</f>
        <v>20.8</v>
      </c>
      <c r="AB2489" s="150">
        <f t="shared" si="752"/>
        <v>0.00642307692307709</v>
      </c>
      <c r="AC2489" s="150">
        <f t="shared" si="755"/>
        <v>-0.00630387726426906</v>
      </c>
      <c r="AD2489" s="150">
        <f t="shared" si="758"/>
        <v>-0.0368093643022785</v>
      </c>
      <c r="AE2489" s="89">
        <f t="shared" si="753"/>
        <v>0.258028846153846</v>
      </c>
    </row>
    <row r="2490" spans="3:31">
      <c r="C2490" s="80" t="str" cm="1">
        <f t="array" ref="C2490">_xlfn.IFS(MONTH(D2490)&lt;4,1,MONTH(D2490)&lt;7,2,MONTH(D2490)&lt;10,3,MONTH(D2490)&gt;9,4)&amp;"Q"&amp;RIGHT(YEAR(D2490),2)</f>
        <v>4Q25</v>
      </c>
      <c r="D2490" s="81">
        <f t="shared" si="757"/>
        <v>46022</v>
      </c>
      <c r="E2490" s="82">
        <f t="shared" si="749"/>
        <v>46006</v>
      </c>
      <c r="F2490" s="83">
        <f t="shared" ref="F2490:G2505" si="764">+L2490/8</f>
        <v>2.375</v>
      </c>
      <c r="G2490" s="83">
        <f t="shared" si="764"/>
        <v>1.1625</v>
      </c>
      <c r="I2490" s="146">
        <v>46006</v>
      </c>
      <c r="J2490" s="147">
        <v>30</v>
      </c>
      <c r="K2490" s="147">
        <v>9.3</v>
      </c>
      <c r="L2490" s="158">
        <v>19</v>
      </c>
      <c r="M2490" s="59" cm="1">
        <f t="array" ref="M2490">INDEX($BV$29:$BV$1449,MATCH($D2490,$BR$29:$BR$1449,0),)</f>
        <v>9.3</v>
      </c>
      <c r="N2490" s="150">
        <f t="shared" si="761"/>
        <v>0.021505376344086</v>
      </c>
      <c r="O2490" s="150">
        <f t="shared" si="762"/>
        <v>0.113455227379278</v>
      </c>
      <c r="P2490" s="150">
        <f t="shared" si="748"/>
        <v>0.164643864165747</v>
      </c>
      <c r="Q2490" s="89">
        <f t="shared" si="750"/>
        <v>1.04301075268817</v>
      </c>
      <c r="S2490" s="82">
        <f t="shared" si="751"/>
        <v>46006</v>
      </c>
      <c r="T2490" s="83">
        <f t="shared" si="763"/>
        <v>1.6416875</v>
      </c>
      <c r="U2490" s="83">
        <f t="shared" si="763"/>
        <v>1.3</v>
      </c>
      <c r="W2490" s="146">
        <v>46006</v>
      </c>
      <c r="X2490" s="147">
        <v>35</v>
      </c>
      <c r="Y2490" s="147">
        <v>19.5</v>
      </c>
      <c r="Z2490" s="158">
        <v>26.267</v>
      </c>
      <c r="AA2490" s="59" cm="1">
        <f t="array" ref="AA2490">INDEX($BX$29:$BX$1449,MATCH($D2490,$BR$29:$BR$1449,0),)</f>
        <v>20.8</v>
      </c>
      <c r="AB2490" s="150">
        <f t="shared" si="752"/>
        <v>0.00382160736805903</v>
      </c>
      <c r="AC2490" s="150">
        <f t="shared" si="755"/>
        <v>-0.00250636084001055</v>
      </c>
      <c r="AD2490" s="150">
        <f t="shared" si="758"/>
        <v>-0.0343014705882353</v>
      </c>
      <c r="AE2490" s="89">
        <f t="shared" si="753"/>
        <v>0.262836538461538</v>
      </c>
    </row>
    <row r="2491" spans="3:31">
      <c r="C2491" s="80" t="str" cm="1">
        <f t="array" ref="C2491">_xlfn.IFS(MONTH(D2491)&lt;4,1,MONTH(D2491)&lt;7,2,MONTH(D2491)&lt;10,3,MONTH(D2491)&gt;9,4)&amp;"Q"&amp;RIGHT(YEAR(D2491),2)</f>
        <v>4Q25</v>
      </c>
      <c r="D2491" s="81">
        <f t="shared" si="757"/>
        <v>46022</v>
      </c>
      <c r="E2491" s="82">
        <f t="shared" si="749"/>
        <v>46007</v>
      </c>
      <c r="F2491" s="83">
        <f t="shared" si="764"/>
        <v>2.425</v>
      </c>
      <c r="G2491" s="83">
        <f t="shared" si="764"/>
        <v>1.1625</v>
      </c>
      <c r="I2491" s="146">
        <v>46007</v>
      </c>
      <c r="J2491" s="147">
        <v>31</v>
      </c>
      <c r="K2491" s="147">
        <v>9.3</v>
      </c>
      <c r="L2491" s="158">
        <v>19.4</v>
      </c>
      <c r="M2491" s="59" cm="1">
        <f t="array" ref="M2491">INDEX($BV$29:$BV$1449,MATCH($D2491,$BR$29:$BR$1449,0),)</f>
        <v>9.3</v>
      </c>
      <c r="N2491" s="150">
        <f t="shared" si="761"/>
        <v>0.0210526315789472</v>
      </c>
      <c r="O2491" s="150">
        <f t="shared" si="762"/>
        <v>0.136896390060947</v>
      </c>
      <c r="P2491" s="150">
        <f t="shared" si="748"/>
        <v>0.174760809010536</v>
      </c>
      <c r="Q2491" s="89">
        <f t="shared" si="750"/>
        <v>1.08602150537634</v>
      </c>
      <c r="S2491" s="82">
        <f t="shared" si="751"/>
        <v>46007</v>
      </c>
      <c r="T2491" s="83">
        <f t="shared" si="763"/>
        <v>1.6458125</v>
      </c>
      <c r="U2491" s="83">
        <f t="shared" si="763"/>
        <v>1.3</v>
      </c>
      <c r="W2491" s="146">
        <v>46007</v>
      </c>
      <c r="X2491" s="147">
        <v>35</v>
      </c>
      <c r="Y2491" s="147">
        <v>19.5</v>
      </c>
      <c r="Z2491" s="158">
        <v>26.333</v>
      </c>
      <c r="AA2491" s="59" cm="1">
        <f t="array" ref="AA2491">INDEX($BX$29:$BX$1449,MATCH($D2491,$BR$29:$BR$1449,0),)</f>
        <v>20.8</v>
      </c>
      <c r="AB2491" s="150">
        <f t="shared" si="752"/>
        <v>0.00251265846880111</v>
      </c>
      <c r="AC2491" s="150">
        <f t="shared" si="755"/>
        <v>0</v>
      </c>
      <c r="AD2491" s="150">
        <f t="shared" si="758"/>
        <v>-0.031875</v>
      </c>
      <c r="AE2491" s="89">
        <f t="shared" si="753"/>
        <v>0.266009615384615</v>
      </c>
    </row>
    <row r="2492" spans="3:31">
      <c r="C2492" s="80" t="str" cm="1">
        <f t="array" ref="C2492">_xlfn.IFS(MONTH(D2492)&lt;4,1,MONTH(D2492)&lt;7,2,MONTH(D2492)&lt;10,3,MONTH(D2492)&gt;9,4)&amp;"Q"&amp;RIGHT(YEAR(D2492),2)</f>
        <v>4Q25</v>
      </c>
      <c r="D2492" s="81">
        <f t="shared" si="757"/>
        <v>46022</v>
      </c>
      <c r="E2492" s="82">
        <f t="shared" si="749"/>
        <v>46008</v>
      </c>
      <c r="F2492" s="83">
        <f t="shared" si="764"/>
        <v>2.4825</v>
      </c>
      <c r="G2492" s="83">
        <f t="shared" si="764"/>
        <v>1.1625</v>
      </c>
      <c r="I2492" s="146">
        <v>46008</v>
      </c>
      <c r="J2492" s="147">
        <v>33</v>
      </c>
      <c r="K2492" s="147">
        <v>9.3</v>
      </c>
      <c r="L2492" s="158">
        <v>19.86</v>
      </c>
      <c r="M2492" s="59" cm="1">
        <f t="array" ref="M2492">INDEX($BV$29:$BV$1449,MATCH($D2492,$BR$29:$BR$1449,0),)</f>
        <v>9.3</v>
      </c>
      <c r="N2492" s="150">
        <f t="shared" si="761"/>
        <v>0.0237113402061857</v>
      </c>
      <c r="O2492" s="150">
        <f t="shared" si="762"/>
        <v>0.151571378870463</v>
      </c>
      <c r="P2492" s="150">
        <f t="shared" si="748"/>
        <v>0.187160021519517</v>
      </c>
      <c r="Q2492" s="89">
        <f t="shared" si="750"/>
        <v>1.13548387096774</v>
      </c>
      <c r="S2492" s="82">
        <f t="shared" si="751"/>
        <v>46008</v>
      </c>
      <c r="T2492" s="83">
        <f t="shared" si="763"/>
        <v>1.6479375</v>
      </c>
      <c r="U2492" s="83">
        <f t="shared" si="763"/>
        <v>1.3</v>
      </c>
      <c r="W2492" s="146">
        <v>46008</v>
      </c>
      <c r="X2492" s="147">
        <v>34.5</v>
      </c>
      <c r="Y2492" s="147">
        <v>19.6</v>
      </c>
      <c r="Z2492" s="158">
        <v>26.367</v>
      </c>
      <c r="AA2492" s="59" cm="1">
        <f t="array" ref="AA2492">INDEX($BX$29:$BX$1449,MATCH($D2492,$BR$29:$BR$1449,0),)</f>
        <v>20.8</v>
      </c>
      <c r="AB2492" s="150">
        <f t="shared" si="752"/>
        <v>0.00129115558424808</v>
      </c>
      <c r="AC2492" s="150">
        <f t="shared" si="755"/>
        <v>0.00380705828606231</v>
      </c>
      <c r="AD2492" s="150">
        <f t="shared" si="758"/>
        <v>-0.0306249999999999</v>
      </c>
      <c r="AE2492" s="89">
        <f t="shared" si="753"/>
        <v>0.267644230769231</v>
      </c>
    </row>
    <row r="2493" spans="3:31">
      <c r="C2493" s="80" t="str" cm="1">
        <f t="array" ref="C2493">_xlfn.IFS(MONTH(D2493)&lt;4,1,MONTH(D2493)&lt;7,2,MONTH(D2493)&lt;10,3,MONTH(D2493)&gt;9,4)&amp;"Q"&amp;RIGHT(YEAR(D2493),2)</f>
        <v>4Q25</v>
      </c>
      <c r="D2493" s="81">
        <f t="shared" si="757"/>
        <v>46022</v>
      </c>
      <c r="E2493" s="82">
        <f t="shared" si="749"/>
        <v>46009</v>
      </c>
      <c r="F2493" s="83">
        <f t="shared" si="764"/>
        <v>2.5375</v>
      </c>
      <c r="G2493" s="83">
        <f t="shared" si="764"/>
        <v>1.1625</v>
      </c>
      <c r="I2493" s="146">
        <v>46009</v>
      </c>
      <c r="J2493" s="147">
        <v>33</v>
      </c>
      <c r="K2493" s="147">
        <v>9.3</v>
      </c>
      <c r="L2493" s="158">
        <v>20.3</v>
      </c>
      <c r="M2493" s="59" cm="1">
        <f t="array" ref="M2493">INDEX($BV$29:$BV$1449,MATCH($D2493,$BR$29:$BR$1449,0),)</f>
        <v>9.3</v>
      </c>
      <c r="N2493" s="150">
        <f t="shared" si="761"/>
        <v>0.0221550855991943</v>
      </c>
      <c r="O2493" s="150">
        <f t="shared" si="762"/>
        <v>0.140449438202247</v>
      </c>
      <c r="P2493" s="150">
        <f t="shared" si="748"/>
        <v>0.198134922977041</v>
      </c>
      <c r="Q2493" s="89">
        <f t="shared" si="750"/>
        <v>1.18279569892473</v>
      </c>
      <c r="S2493" s="82">
        <f t="shared" si="751"/>
        <v>46009</v>
      </c>
      <c r="T2493" s="83">
        <f t="shared" si="763"/>
        <v>1.65</v>
      </c>
      <c r="U2493" s="83">
        <f t="shared" si="763"/>
        <v>1.3</v>
      </c>
      <c r="W2493" s="146">
        <v>46009</v>
      </c>
      <c r="X2493" s="147">
        <v>34.5</v>
      </c>
      <c r="Y2493" s="147">
        <v>19.6</v>
      </c>
      <c r="Z2493" s="158">
        <v>26.4</v>
      </c>
      <c r="AA2493" s="59" cm="1">
        <f t="array" ref="AA2493">INDEX($BX$29:$BX$1449,MATCH($D2493,$BR$29:$BR$1449,0),)</f>
        <v>20.8</v>
      </c>
      <c r="AB2493" s="150">
        <f t="shared" si="752"/>
        <v>0.00125156445556929</v>
      </c>
      <c r="AC2493" s="150">
        <f t="shared" si="755"/>
        <v>0.0153846153846153</v>
      </c>
      <c r="AD2493" s="150">
        <f t="shared" si="758"/>
        <v>-0.0197898488842684</v>
      </c>
      <c r="AE2493" s="89">
        <f t="shared" si="753"/>
        <v>0.269230769230769</v>
      </c>
    </row>
    <row r="2494" spans="3:31">
      <c r="C2494" s="80" t="str" cm="1">
        <f t="array" ref="C2494">_xlfn.IFS(MONTH(D2494)&lt;4,1,MONTH(D2494)&lt;7,2,MONTH(D2494)&lt;10,3,MONTH(D2494)&gt;9,4)&amp;"Q"&amp;RIGHT(YEAR(D2494),2)</f>
        <v>4Q25</v>
      </c>
      <c r="D2494" s="81">
        <f t="shared" si="757"/>
        <v>46022</v>
      </c>
      <c r="E2494" s="82">
        <f t="shared" si="749"/>
        <v>46010</v>
      </c>
      <c r="F2494" s="83">
        <f t="shared" si="764"/>
        <v>2.59</v>
      </c>
      <c r="G2494" s="83">
        <f t="shared" si="764"/>
        <v>1.1625</v>
      </c>
      <c r="I2494" s="146">
        <v>46010</v>
      </c>
      <c r="J2494" s="147">
        <v>33</v>
      </c>
      <c r="K2494" s="147">
        <v>9</v>
      </c>
      <c r="L2494" s="158">
        <v>20.72</v>
      </c>
      <c r="M2494" s="59" cm="1">
        <f t="array" ref="M2494">INDEX($BV$29:$BV$1449,MATCH($D2494,$BR$29:$BR$1449,0),)</f>
        <v>9.3</v>
      </c>
      <c r="N2494" s="150">
        <f t="shared" si="761"/>
        <v>0.0206896551724136</v>
      </c>
      <c r="O2494" s="150">
        <f t="shared" si="762"/>
        <v>0.113978494623656</v>
      </c>
      <c r="P2494" s="150">
        <f t="shared" si="748"/>
        <v>0.21524926686217</v>
      </c>
      <c r="Q2494" s="89">
        <f t="shared" si="750"/>
        <v>1.22795698924731</v>
      </c>
      <c r="S2494" s="82">
        <f t="shared" si="751"/>
        <v>46010</v>
      </c>
      <c r="T2494" s="83">
        <f t="shared" si="763"/>
        <v>1.6520625</v>
      </c>
      <c r="U2494" s="83">
        <f t="shared" si="763"/>
        <v>1.3</v>
      </c>
      <c r="W2494" s="146">
        <v>46010</v>
      </c>
      <c r="X2494" s="147">
        <v>34.5</v>
      </c>
      <c r="Y2494" s="147">
        <v>19.6</v>
      </c>
      <c r="Z2494" s="158">
        <v>26.433</v>
      </c>
      <c r="AA2494" s="59" cm="1">
        <f t="array" ref="AA2494">INDEX($BX$29:$BX$1449,MATCH($D2494,$BR$29:$BR$1449,0),)</f>
        <v>20.8</v>
      </c>
      <c r="AB2494" s="150">
        <f t="shared" si="752"/>
        <v>0.00124999999999997</v>
      </c>
      <c r="AC2494" s="150">
        <f t="shared" si="755"/>
        <v>0.0101654755990368</v>
      </c>
      <c r="AD2494" s="150">
        <f t="shared" si="758"/>
        <v>0.00379751642425852</v>
      </c>
      <c r="AE2494" s="89">
        <f t="shared" si="753"/>
        <v>0.270817307692308</v>
      </c>
    </row>
    <row r="2495" spans="3:31">
      <c r="C2495" s="80" t="str" cm="1">
        <f t="array" ref="C2495">_xlfn.IFS(MONTH(D2495)&lt;4,1,MONTH(D2495)&lt;7,2,MONTH(D2495)&lt;10,3,MONTH(D2495)&gt;9,4)&amp;"Q"&amp;RIGHT(YEAR(D2495),2)</f>
        <v>4Q25</v>
      </c>
      <c r="D2495" s="81">
        <f t="shared" si="757"/>
        <v>46022</v>
      </c>
      <c r="E2495" s="82">
        <f t="shared" si="749"/>
        <v>46013</v>
      </c>
      <c r="F2495" s="83">
        <f t="shared" si="764"/>
        <v>2.658</v>
      </c>
      <c r="G2495" s="83">
        <f t="shared" si="764"/>
        <v>1.1625</v>
      </c>
      <c r="I2495" s="146">
        <v>46013</v>
      </c>
      <c r="J2495" s="147">
        <v>34</v>
      </c>
      <c r="K2495" s="147">
        <v>9</v>
      </c>
      <c r="L2495" s="158">
        <v>21.264</v>
      </c>
      <c r="M2495" s="59" cm="1">
        <f t="array" ref="M2495">INDEX($BV$29:$BV$1449,MATCH($D2495,$BR$29:$BR$1449,0),)</f>
        <v>9.3</v>
      </c>
      <c r="N2495" s="150">
        <f t="shared" si="761"/>
        <v>0.0262548262548263</v>
      </c>
      <c r="O2495" s="150">
        <f t="shared" si="762"/>
        <v>0.119157894736842</v>
      </c>
      <c r="P2495" s="150">
        <f t="shared" si="748"/>
        <v>0.246132208157525</v>
      </c>
      <c r="Q2495" s="89">
        <f t="shared" si="750"/>
        <v>1.28645161290323</v>
      </c>
      <c r="S2495" s="82">
        <f t="shared" si="751"/>
        <v>46013</v>
      </c>
      <c r="T2495" s="83">
        <f t="shared" si="763"/>
        <v>1.6708125</v>
      </c>
      <c r="U2495" s="83">
        <f t="shared" si="763"/>
        <v>1.3</v>
      </c>
      <c r="W2495" s="146">
        <v>46013</v>
      </c>
      <c r="X2495" s="147">
        <v>34.5</v>
      </c>
      <c r="Y2495" s="147">
        <v>19.8</v>
      </c>
      <c r="Z2495" s="158">
        <v>26.733</v>
      </c>
      <c r="AA2495" s="59" cm="1">
        <f t="array" ref="AA2495">INDEX($BX$29:$BX$1449,MATCH($D2495,$BR$29:$BR$1449,0),)</f>
        <v>20.8</v>
      </c>
      <c r="AB2495" s="150">
        <f t="shared" si="752"/>
        <v>0.0113494495516968</v>
      </c>
      <c r="AC2495" s="150">
        <f t="shared" si="755"/>
        <v>0.0177408916130506</v>
      </c>
      <c r="AD2495" s="150">
        <f t="shared" si="758"/>
        <v>0.0151900656970343</v>
      </c>
      <c r="AE2495" s="89">
        <f t="shared" si="753"/>
        <v>0.285240384615385</v>
      </c>
    </row>
    <row r="2496" spans="3:31">
      <c r="C2496" s="80" t="str" cm="1">
        <f t="array" ref="C2496">_xlfn.IFS(MONTH(D2496)&lt;4,1,MONTH(D2496)&lt;7,2,MONTH(D2496)&lt;10,3,MONTH(D2496)&gt;9,4)&amp;"Q"&amp;RIGHT(YEAR(D2496),2)</f>
        <v>4Q25</v>
      </c>
      <c r="D2496" s="81">
        <f t="shared" si="757"/>
        <v>46022</v>
      </c>
      <c r="E2496" s="82">
        <f t="shared" si="749"/>
        <v>46014</v>
      </c>
      <c r="F2496" s="83">
        <f t="shared" si="764"/>
        <v>2.71875</v>
      </c>
      <c r="G2496" s="83">
        <f t="shared" si="764"/>
        <v>1.1625</v>
      </c>
      <c r="I2496" s="146">
        <v>46014</v>
      </c>
      <c r="J2496" s="147">
        <v>36</v>
      </c>
      <c r="K2496" s="147">
        <v>9</v>
      </c>
      <c r="L2496" s="158">
        <v>21.75</v>
      </c>
      <c r="M2496" s="59" cm="1">
        <f t="array" ref="M2496">INDEX($BV$29:$BV$1449,MATCH($D2496,$BR$29:$BR$1449,0),)</f>
        <v>9.3</v>
      </c>
      <c r="N2496" s="150">
        <f t="shared" si="761"/>
        <v>0.0228555304740408</v>
      </c>
      <c r="O2496" s="150">
        <f t="shared" si="762"/>
        <v>0.121134020618557</v>
      </c>
      <c r="P2496" s="150">
        <f t="shared" si="748"/>
        <v>0.274613220815753</v>
      </c>
      <c r="Q2496" s="89">
        <f t="shared" si="750"/>
        <v>1.33870967741935</v>
      </c>
      <c r="S2496" s="82">
        <f t="shared" si="751"/>
        <v>46014</v>
      </c>
      <c r="T2496" s="83">
        <f t="shared" si="763"/>
        <v>1.6729375</v>
      </c>
      <c r="U2496" s="83">
        <f t="shared" si="763"/>
        <v>1.3</v>
      </c>
      <c r="W2496" s="146">
        <v>46014</v>
      </c>
      <c r="X2496" s="147">
        <v>34.5</v>
      </c>
      <c r="Y2496" s="147">
        <v>19.8</v>
      </c>
      <c r="Z2496" s="158">
        <v>26.767</v>
      </c>
      <c r="AA2496" s="59" cm="1">
        <f t="array" ref="AA2496">INDEX($BX$29:$BX$1449,MATCH($D2496,$BR$29:$BR$1449,0),)</f>
        <v>20.8</v>
      </c>
      <c r="AB2496" s="150">
        <f t="shared" si="752"/>
        <v>0.00127183630718575</v>
      </c>
      <c r="AC2496" s="150">
        <f t="shared" si="755"/>
        <v>0.0164812212812822</v>
      </c>
      <c r="AD2496" s="150">
        <f t="shared" si="758"/>
        <v>0.0164812212812822</v>
      </c>
      <c r="AE2496" s="89">
        <f t="shared" si="753"/>
        <v>0.286875</v>
      </c>
    </row>
    <row r="2497" spans="3:31">
      <c r="C2497" s="80" t="str" cm="1">
        <f t="array" ref="C2497">_xlfn.IFS(MONTH(D2497)&lt;4,1,MONTH(D2497)&lt;7,2,MONTH(D2497)&lt;10,3,MONTH(D2497)&gt;9,4)&amp;"Q"&amp;RIGHT(YEAR(D2497),2)</f>
        <v>4Q25</v>
      </c>
      <c r="D2497" s="81">
        <f t="shared" si="757"/>
        <v>46022</v>
      </c>
      <c r="E2497" s="82">
        <f t="shared" si="749"/>
        <v>46015</v>
      </c>
      <c r="F2497" s="83">
        <f t="shared" si="764"/>
        <v>2.779375</v>
      </c>
      <c r="G2497" s="83">
        <f t="shared" si="764"/>
        <v>1.1625</v>
      </c>
      <c r="I2497" s="146">
        <v>46015</v>
      </c>
      <c r="J2497" s="147">
        <v>36</v>
      </c>
      <c r="K2497" s="147">
        <v>9</v>
      </c>
      <c r="L2497" s="158">
        <v>22.235</v>
      </c>
      <c r="M2497" s="59" cm="1">
        <f t="array" ref="M2497">INDEX($BV$29:$BV$1449,MATCH($D2497,$BR$29:$BR$1449,0),)</f>
        <v>9.3</v>
      </c>
      <c r="N2497" s="150">
        <f t="shared" si="761"/>
        <v>0.0222988505747126</v>
      </c>
      <c r="O2497" s="150">
        <f t="shared" si="762"/>
        <v>0.119587109768379</v>
      </c>
      <c r="P2497" s="150">
        <f t="shared" si="748"/>
        <v>0.289284471761568</v>
      </c>
      <c r="Q2497" s="89">
        <f t="shared" si="750"/>
        <v>1.39086021505376</v>
      </c>
      <c r="S2497" s="82">
        <f t="shared" si="751"/>
        <v>46015</v>
      </c>
      <c r="T2497" s="83">
        <f t="shared" si="763"/>
        <v>1.7083125</v>
      </c>
      <c r="U2497" s="83">
        <f t="shared" si="763"/>
        <v>1.3</v>
      </c>
      <c r="W2497" s="146">
        <v>46015</v>
      </c>
      <c r="X2497" s="147">
        <v>36</v>
      </c>
      <c r="Y2497" s="147">
        <v>20</v>
      </c>
      <c r="Z2497" s="158">
        <v>27.333</v>
      </c>
      <c r="AA2497" s="59" cm="1">
        <f t="array" ref="AA2497">INDEX($BX$29:$BX$1449,MATCH($D2497,$BR$29:$BR$1449,0),)</f>
        <v>20.8</v>
      </c>
      <c r="AB2497" s="150">
        <f t="shared" si="752"/>
        <v>0.021145440280943</v>
      </c>
      <c r="AC2497" s="150">
        <f t="shared" si="755"/>
        <v>0.0366367049721241</v>
      </c>
      <c r="AD2497" s="150">
        <f t="shared" si="758"/>
        <v>0.0405832413294247</v>
      </c>
      <c r="AE2497" s="89">
        <f t="shared" si="753"/>
        <v>0.314086538461538</v>
      </c>
    </row>
    <row r="2498" spans="3:31">
      <c r="C2498" s="80" t="str" cm="1">
        <f t="array" ref="C2498">_xlfn.IFS(MONTH(D2498)&lt;4,1,MONTH(D2498)&lt;7,2,MONTH(D2498)&lt;10,3,MONTH(D2498)&gt;9,4)&amp;"Q"&amp;RIGHT(YEAR(D2498),2)</f>
        <v>4Q25</v>
      </c>
      <c r="D2498" s="81">
        <f t="shared" si="757"/>
        <v>46022</v>
      </c>
      <c r="E2498" s="82">
        <f t="shared" si="749"/>
        <v>46016</v>
      </c>
      <c r="F2498" s="83">
        <f t="shared" si="764"/>
        <v>2.84075</v>
      </c>
      <c r="G2498" s="83">
        <f t="shared" si="764"/>
        <v>1.1625</v>
      </c>
      <c r="I2498" s="146">
        <v>46016</v>
      </c>
      <c r="J2498" s="147">
        <v>36</v>
      </c>
      <c r="K2498" s="147">
        <v>9</v>
      </c>
      <c r="L2498" s="158">
        <v>22.726</v>
      </c>
      <c r="M2498" s="59" cm="1">
        <f t="array" ref="M2498">INDEX($BV$29:$BV$1449,MATCH($D2498,$BR$29:$BR$1449,0),)</f>
        <v>9.3</v>
      </c>
      <c r="N2498" s="150">
        <f t="shared" si="761"/>
        <v>0.0220823026759613</v>
      </c>
      <c r="O2498" s="150">
        <f t="shared" si="762"/>
        <v>0.119507389162562</v>
      </c>
      <c r="P2498" s="150">
        <f t="shared" si="748"/>
        <v>0.276741573033708</v>
      </c>
      <c r="Q2498" s="89">
        <f t="shared" si="750"/>
        <v>1.44365591397849</v>
      </c>
      <c r="S2498" s="82">
        <f t="shared" si="751"/>
        <v>46016</v>
      </c>
      <c r="T2498" s="83">
        <f t="shared" si="763"/>
        <v>1.71875</v>
      </c>
      <c r="U2498" s="83">
        <f t="shared" si="763"/>
        <v>1.3</v>
      </c>
      <c r="W2498" s="146">
        <v>46016</v>
      </c>
      <c r="X2498" s="147">
        <v>36</v>
      </c>
      <c r="Y2498" s="147">
        <v>20</v>
      </c>
      <c r="Z2498" s="158">
        <v>27.5</v>
      </c>
      <c r="AA2498" s="59" cm="1">
        <f t="array" ref="AA2498">INDEX($BX$29:$BX$1449,MATCH($D2498,$BR$29:$BR$1449,0),)</f>
        <v>20.8</v>
      </c>
      <c r="AB2498" s="150">
        <f t="shared" si="752"/>
        <v>0.00610983060769033</v>
      </c>
      <c r="AC2498" s="150">
        <f t="shared" si="755"/>
        <v>0.0416666666666667</v>
      </c>
      <c r="AD2498" s="150">
        <f t="shared" si="758"/>
        <v>0.0576923076923077</v>
      </c>
      <c r="AE2498" s="89">
        <f t="shared" si="753"/>
        <v>0.322115384615385</v>
      </c>
    </row>
    <row r="2499" spans="3:31">
      <c r="C2499" s="80" t="str" cm="1">
        <f t="array" ref="C2499">_xlfn.IFS(MONTH(D2499)&lt;4,1,MONTH(D2499)&lt;7,2,MONTH(D2499)&lt;10,3,MONTH(D2499)&gt;9,4)&amp;"Q"&amp;RIGHT(YEAR(D2499),2)</f>
        <v>4Q25</v>
      </c>
      <c r="D2499" s="81">
        <f t="shared" si="757"/>
        <v>46022</v>
      </c>
      <c r="E2499" s="82">
        <f t="shared" si="749"/>
        <v>46017</v>
      </c>
      <c r="F2499" s="83">
        <f t="shared" si="764"/>
        <v>2.892125</v>
      </c>
      <c r="G2499" s="83">
        <f t="shared" si="764"/>
        <v>1.1625</v>
      </c>
      <c r="I2499" s="146">
        <v>46017</v>
      </c>
      <c r="J2499" s="147">
        <v>36</v>
      </c>
      <c r="K2499" s="147">
        <v>9</v>
      </c>
      <c r="L2499" s="158">
        <v>23.137</v>
      </c>
      <c r="M2499" s="59" cm="1">
        <f t="array" ref="M2499">INDEX($BV$29:$BV$1449,MATCH($D2499,$BR$29:$BR$1449,0),)</f>
        <v>9.3</v>
      </c>
      <c r="N2499" s="150">
        <f t="shared" si="761"/>
        <v>0.0180850127607146</v>
      </c>
      <c r="O2499" s="150">
        <f t="shared" si="762"/>
        <v>0.116650579150579</v>
      </c>
      <c r="P2499" s="150">
        <f t="shared" si="748"/>
        <v>0.243924731182796</v>
      </c>
      <c r="Q2499" s="89">
        <f t="shared" si="750"/>
        <v>1.48784946236559</v>
      </c>
      <c r="S2499" s="82">
        <f t="shared" si="751"/>
        <v>46017</v>
      </c>
      <c r="T2499" s="83">
        <f t="shared" si="763"/>
        <v>1.7395625</v>
      </c>
      <c r="U2499" s="83">
        <f t="shared" si="763"/>
        <v>1.3</v>
      </c>
      <c r="W2499" s="146">
        <v>46017</v>
      </c>
      <c r="X2499" s="147">
        <v>36</v>
      </c>
      <c r="Y2499" s="147">
        <v>20.5</v>
      </c>
      <c r="Z2499" s="158">
        <v>27.833</v>
      </c>
      <c r="AA2499" s="59" cm="1">
        <f t="array" ref="AA2499">INDEX($BX$29:$BX$1449,MATCH($D2499,$BR$29:$BR$1449,0),)</f>
        <v>20.8</v>
      </c>
      <c r="AB2499" s="150">
        <f t="shared" si="752"/>
        <v>0.0121090909090908</v>
      </c>
      <c r="AC2499" s="150">
        <f t="shared" si="755"/>
        <v>0.052964097907918</v>
      </c>
      <c r="AD2499" s="150">
        <f t="shared" si="758"/>
        <v>0.0636679787518628</v>
      </c>
      <c r="AE2499" s="89">
        <f t="shared" si="753"/>
        <v>0.338125</v>
      </c>
    </row>
    <row r="2500" spans="3:31">
      <c r="C2500" s="80" t="str" cm="1">
        <f t="array" ref="C2500">_xlfn.IFS(MONTH(D2500)&lt;4,1,MONTH(D2500)&lt;7,2,MONTH(D2500)&lt;10,3,MONTH(D2500)&gt;9,4)&amp;"Q"&amp;RIGHT(YEAR(D2500),2)</f>
        <v>4Q25</v>
      </c>
      <c r="D2500" s="81">
        <f t="shared" si="757"/>
        <v>46022</v>
      </c>
      <c r="E2500" s="82">
        <f t="shared" si="749"/>
        <v>46020</v>
      </c>
      <c r="F2500" s="83">
        <f t="shared" si="764"/>
        <v>2.90725</v>
      </c>
      <c r="G2500" s="83">
        <f t="shared" si="764"/>
        <v>1.1625</v>
      </c>
      <c r="I2500" s="146">
        <v>46020</v>
      </c>
      <c r="J2500" s="147">
        <v>36.5</v>
      </c>
      <c r="K2500" s="147">
        <v>9.1</v>
      </c>
      <c r="L2500" s="158">
        <v>23.258</v>
      </c>
      <c r="M2500" s="59" cm="1">
        <f t="array" ref="M2500">INDEX($BV$29:$BV$1449,MATCH($D2500,$BR$29:$BR$1449,0),)</f>
        <v>9.3</v>
      </c>
      <c r="N2500" s="150">
        <f t="shared" si="761"/>
        <v>0.00522971863249344</v>
      </c>
      <c r="O2500" s="150">
        <f t="shared" si="762"/>
        <v>0.0937735139202407</v>
      </c>
      <c r="P2500" s="150">
        <f t="shared" si="748"/>
        <v>0.224105263157895</v>
      </c>
      <c r="Q2500" s="89">
        <f t="shared" si="750"/>
        <v>1.50086021505376</v>
      </c>
      <c r="S2500" s="82">
        <f t="shared" si="751"/>
        <v>46020</v>
      </c>
      <c r="T2500" s="83">
        <f t="shared" si="763"/>
        <v>1.764125</v>
      </c>
      <c r="U2500" s="83">
        <f t="shared" si="763"/>
        <v>1.3</v>
      </c>
      <c r="W2500" s="146">
        <v>46020</v>
      </c>
      <c r="X2500" s="147">
        <v>37.5</v>
      </c>
      <c r="Y2500" s="147">
        <v>20.6</v>
      </c>
      <c r="Z2500" s="158">
        <v>28.226</v>
      </c>
      <c r="AA2500" s="59" cm="1">
        <f t="array" ref="AA2500">INDEX($BX$29:$BX$1449,MATCH($D2500,$BR$29:$BR$1449,0),)</f>
        <v>20.8</v>
      </c>
      <c r="AB2500" s="150">
        <f t="shared" si="752"/>
        <v>0.014119929579995</v>
      </c>
      <c r="AC2500" s="150">
        <f t="shared" si="755"/>
        <v>0.0558485766655443</v>
      </c>
      <c r="AD2500" s="150">
        <f t="shared" si="758"/>
        <v>0.0745802718239617</v>
      </c>
      <c r="AE2500" s="89">
        <f t="shared" si="753"/>
        <v>0.357019230769231</v>
      </c>
    </row>
    <row r="2501" spans="3:31">
      <c r="C2501" s="80" t="str" cm="1">
        <f t="array" ref="C2501">_xlfn.IFS(MONTH(D2501)&lt;4,1,MONTH(D2501)&lt;7,2,MONTH(D2501)&lt;10,3,MONTH(D2501)&gt;9,4)&amp;"Q"&amp;RIGHT(YEAR(D2501),2)</f>
        <v>4Q25</v>
      </c>
      <c r="D2501" s="81">
        <f t="shared" si="757"/>
        <v>46022</v>
      </c>
      <c r="E2501" s="82">
        <f t="shared" si="749"/>
        <v>46021</v>
      </c>
      <c r="F2501" s="83">
        <f t="shared" si="764"/>
        <v>2.96825</v>
      </c>
      <c r="G2501" s="83">
        <f t="shared" si="764"/>
        <v>1.1625</v>
      </c>
      <c r="I2501" s="146">
        <v>46021</v>
      </c>
      <c r="J2501" s="147">
        <v>38</v>
      </c>
      <c r="K2501" s="147">
        <v>9.1</v>
      </c>
      <c r="L2501" s="158">
        <v>23.746</v>
      </c>
      <c r="M2501" s="59" cm="1">
        <f t="array" ref="M2501">INDEX($BV$29:$BV$1449,MATCH($D2501,$BR$29:$BR$1449,0),)</f>
        <v>9.3</v>
      </c>
      <c r="N2501" s="150">
        <f t="shared" si="761"/>
        <v>0.0209820276893973</v>
      </c>
      <c r="O2501" s="150">
        <f t="shared" si="762"/>
        <v>0.0917701149425287</v>
      </c>
      <c r="P2501" s="150">
        <f t="shared" si="748"/>
        <v>0.224020618556701</v>
      </c>
      <c r="Q2501" s="89">
        <f t="shared" si="750"/>
        <v>1.55333333333333</v>
      </c>
      <c r="S2501" s="82">
        <f t="shared" si="751"/>
        <v>46021</v>
      </c>
      <c r="T2501" s="83">
        <f t="shared" si="763"/>
        <v>1.7863125</v>
      </c>
      <c r="U2501" s="83">
        <f t="shared" si="763"/>
        <v>1.3</v>
      </c>
      <c r="W2501" s="146">
        <v>46021</v>
      </c>
      <c r="X2501" s="147">
        <v>38</v>
      </c>
      <c r="Y2501" s="147">
        <v>20.6</v>
      </c>
      <c r="Z2501" s="158">
        <v>28.581</v>
      </c>
      <c r="AA2501" s="59" cm="1">
        <f t="array" ref="AA2501">INDEX($BX$29:$BX$1449,MATCH($D2501,$BR$29:$BR$1449,0),)</f>
        <v>20.8</v>
      </c>
      <c r="AB2501" s="150">
        <f t="shared" si="752"/>
        <v>0.012577056614469</v>
      </c>
      <c r="AC2501" s="150">
        <f t="shared" si="755"/>
        <v>0.0677700153173684</v>
      </c>
      <c r="AD2501" s="150">
        <f t="shared" si="758"/>
        <v>0.0853681692173318</v>
      </c>
      <c r="AE2501" s="89">
        <f t="shared" si="753"/>
        <v>0.374086538461538</v>
      </c>
    </row>
    <row r="2502" spans="3:31">
      <c r="C2502" s="80" t="str" cm="1">
        <f t="array" ref="C2502">_xlfn.IFS(MONTH(D2502)&lt;4,1,MONTH(D2502)&lt;7,2,MONTH(D2502)&lt;10,3,MONTH(D2502)&gt;9,4)&amp;"Q"&amp;RIGHT(YEAR(D2502),2)</f>
        <v>4Q25</v>
      </c>
      <c r="D2502" s="81">
        <f t="shared" si="757"/>
        <v>46022</v>
      </c>
      <c r="E2502" s="82">
        <f t="shared" si="749"/>
        <v>46022</v>
      </c>
      <c r="F2502" s="83">
        <f t="shared" si="764"/>
        <v>3.022875</v>
      </c>
      <c r="G2502" s="83">
        <f t="shared" si="764"/>
        <v>1.1625</v>
      </c>
      <c r="I2502" s="146">
        <v>46022</v>
      </c>
      <c r="J2502" s="147">
        <v>38</v>
      </c>
      <c r="K2502" s="147">
        <v>9.2</v>
      </c>
      <c r="L2502" s="158">
        <v>24.183</v>
      </c>
      <c r="M2502" s="59" cm="1">
        <f t="array" ref="M2502">INDEX($BV$29:$BV$1449,MATCH($D2502,$BR$29:$BR$1449,0),)</f>
        <v>9.3</v>
      </c>
      <c r="N2502" s="150">
        <f t="shared" si="761"/>
        <v>0.0184030994693845</v>
      </c>
      <c r="O2502" s="150">
        <f t="shared" si="762"/>
        <v>0.0876096244659321</v>
      </c>
      <c r="P2502" s="150">
        <f t="shared" si="748"/>
        <v>0.217673716012085</v>
      </c>
      <c r="Q2502" s="89">
        <f t="shared" si="750"/>
        <v>1.60032258064516</v>
      </c>
      <c r="S2502" s="82">
        <f t="shared" si="751"/>
        <v>46022</v>
      </c>
      <c r="T2502" s="83">
        <f t="shared" si="763"/>
        <v>1.8206875</v>
      </c>
      <c r="U2502" s="83">
        <f t="shared" si="763"/>
        <v>1.3</v>
      </c>
      <c r="W2502" s="146">
        <v>46022</v>
      </c>
      <c r="X2502" s="147">
        <v>41</v>
      </c>
      <c r="Y2502" s="147">
        <v>21</v>
      </c>
      <c r="Z2502" s="158">
        <v>29.131</v>
      </c>
      <c r="AA2502" s="59" cm="1">
        <f t="array" ref="AA2502">INDEX($BX$29:$BX$1449,MATCH($D2502,$BR$29:$BR$1449,0),)</f>
        <v>20.8</v>
      </c>
      <c r="AB2502" s="150">
        <f t="shared" si="752"/>
        <v>0.0192435534096078</v>
      </c>
      <c r="AC2502" s="150">
        <f t="shared" si="755"/>
        <v>0.065781290015732</v>
      </c>
      <c r="AD2502" s="150">
        <f t="shared" si="758"/>
        <v>0.104828004702848</v>
      </c>
      <c r="AE2502" s="89">
        <f t="shared" si="753"/>
        <v>0.400528846153846</v>
      </c>
    </row>
    <row r="2503" spans="3:31">
      <c r="C2503" s="80" t="str" cm="1">
        <f t="array" ref="C2503">_xlfn.IFS(MONTH(D2503)&lt;4,1,MONTH(D2503)&lt;7,2,MONTH(D2503)&lt;10,3,MONTH(D2503)&gt;9,4)&amp;"Q"&amp;RIGHT(YEAR(D2503),2)</f>
        <v>1Q26</v>
      </c>
      <c r="D2503" s="81">
        <f t="shared" si="757"/>
        <v>46053</v>
      </c>
      <c r="E2503" s="82">
        <f t="shared" si="749"/>
        <v>46024</v>
      </c>
      <c r="F2503" s="83">
        <f t="shared" si="764"/>
        <v>3.062</v>
      </c>
      <c r="G2503" s="83">
        <f t="shared" si="764"/>
        <v>1.4375</v>
      </c>
      <c r="I2503" s="146">
        <v>46024</v>
      </c>
      <c r="J2503" s="147">
        <v>38</v>
      </c>
      <c r="K2503" s="147">
        <v>9.2</v>
      </c>
      <c r="L2503" s="158">
        <v>24.496</v>
      </c>
      <c r="M2503" s="59" cm="1">
        <f t="array" ref="M2503">INDEX($BV$29:$BV$1449,MATCH($D2503,$BR$29:$BR$1449,0),)</f>
        <v>11.5</v>
      </c>
      <c r="N2503" s="150">
        <f t="shared" si="761"/>
        <v>0.0129429764710747</v>
      </c>
      <c r="O2503" s="150">
        <f t="shared" si="762"/>
        <v>0.0778843615242453</v>
      </c>
      <c r="P2503" s="150">
        <f t="shared" si="748"/>
        <v>0.206699507389162</v>
      </c>
      <c r="Q2503" s="89">
        <f t="shared" si="750"/>
        <v>1.13008695652174</v>
      </c>
      <c r="S2503" s="82">
        <f t="shared" si="751"/>
        <v>46024</v>
      </c>
      <c r="T2503" s="83">
        <f t="shared" si="763"/>
        <v>1.8626875</v>
      </c>
      <c r="U2503" s="83">
        <f t="shared" si="763"/>
        <v>1.78125</v>
      </c>
      <c r="W2503" s="146">
        <v>46024</v>
      </c>
      <c r="X2503" s="147">
        <v>42</v>
      </c>
      <c r="Y2503" s="147">
        <v>21</v>
      </c>
      <c r="Z2503" s="158">
        <v>29.803</v>
      </c>
      <c r="AA2503" s="59" cm="1">
        <f t="array" ref="AA2503">INDEX($BX$29:$BX$1449,MATCH($D2503,$BR$29:$BR$1449,0),)</f>
        <v>28.5</v>
      </c>
      <c r="AB2503" s="150">
        <f t="shared" si="752"/>
        <v>0.0230682091243006</v>
      </c>
      <c r="AC2503" s="150">
        <f t="shared" si="755"/>
        <v>0.0837454545454546</v>
      </c>
      <c r="AD2503" s="150">
        <f t="shared" si="758"/>
        <v>0.128901515151515</v>
      </c>
      <c r="AE2503" s="89">
        <f t="shared" si="753"/>
        <v>0.045719298245614</v>
      </c>
    </row>
    <row r="2504" spans="3:31">
      <c r="C2504" s="80" t="str" cm="1">
        <f t="array" ref="C2504">_xlfn.IFS(MONTH(D2504)&lt;4,1,MONTH(D2504)&lt;7,2,MONTH(D2504)&lt;10,3,MONTH(D2504)&gt;9,4)&amp;"Q"&amp;RIGHT(YEAR(D2504),2)</f>
        <v>1Q26</v>
      </c>
      <c r="D2504" s="81">
        <f t="shared" si="757"/>
        <v>46053</v>
      </c>
      <c r="E2504" s="82">
        <f t="shared" si="749"/>
        <v>46027</v>
      </c>
      <c r="F2504" s="83">
        <f t="shared" si="764"/>
        <v>3.122875</v>
      </c>
      <c r="G2504" s="83">
        <f t="shared" si="764"/>
        <v>1.4375</v>
      </c>
      <c r="I2504" s="146">
        <v>46027</v>
      </c>
      <c r="J2504" s="147">
        <v>38</v>
      </c>
      <c r="K2504" s="147">
        <v>9.2</v>
      </c>
      <c r="L2504" s="158">
        <v>24.983</v>
      </c>
      <c r="M2504" s="59" cm="1">
        <f t="array" ref="M2504">INDEX($BV$29:$BV$1449,MATCH($D2504,$BR$29:$BR$1449,0),)</f>
        <v>11.5</v>
      </c>
      <c r="N2504" s="150">
        <f t="shared" si="761"/>
        <v>0.0198807968647943</v>
      </c>
      <c r="O2504" s="150">
        <f t="shared" si="762"/>
        <v>0.0797856247568829</v>
      </c>
      <c r="P2504" s="150">
        <f t="shared" si="748"/>
        <v>0.205743243243243</v>
      </c>
      <c r="Q2504" s="89">
        <f t="shared" si="750"/>
        <v>1.1724347826087</v>
      </c>
      <c r="S2504" s="82">
        <f t="shared" si="751"/>
        <v>46027</v>
      </c>
      <c r="T2504" s="83">
        <f t="shared" ref="T2504:U2519" si="765">+Z2504/16</f>
        <v>1.909</v>
      </c>
      <c r="U2504" s="83">
        <f t="shared" si="765"/>
        <v>1.78125</v>
      </c>
      <c r="W2504" s="146">
        <v>46027</v>
      </c>
      <c r="X2504" s="147">
        <v>42</v>
      </c>
      <c r="Y2504" s="147">
        <v>22</v>
      </c>
      <c r="Z2504" s="158">
        <v>30.544</v>
      </c>
      <c r="AA2504" s="59" cm="1">
        <f t="array" ref="AA2504">INDEX($BX$29:$BX$1449,MATCH($D2504,$BR$29:$BR$1449,0),)</f>
        <v>28.5</v>
      </c>
      <c r="AB2504" s="150">
        <f t="shared" si="752"/>
        <v>0.0248632687984431</v>
      </c>
      <c r="AC2504" s="150">
        <f t="shared" si="755"/>
        <v>0.0974023641001689</v>
      </c>
      <c r="AD2504" s="150">
        <f t="shared" si="758"/>
        <v>0.155525290356751</v>
      </c>
      <c r="AE2504" s="89">
        <f t="shared" si="753"/>
        <v>0.0717192982456141</v>
      </c>
    </row>
    <row r="2505" spans="3:31">
      <c r="C2505" s="80" t="str" cm="1">
        <f t="array" ref="C2505">_xlfn.IFS(MONTH(D2505)&lt;4,1,MONTH(D2505)&lt;7,2,MONTH(D2505)&lt;10,3,MONTH(D2505)&gt;9,4)&amp;"Q"&amp;RIGHT(YEAR(D2505),2)</f>
        <v>1Q26</v>
      </c>
      <c r="D2505" s="81">
        <f t="shared" si="757"/>
        <v>46053</v>
      </c>
      <c r="E2505" s="82">
        <f t="shared" si="749"/>
        <v>46028</v>
      </c>
      <c r="F2505" s="83">
        <f t="shared" si="764"/>
        <v>3.13575</v>
      </c>
      <c r="G2505" s="83">
        <f t="shared" si="764"/>
        <v>1.4375</v>
      </c>
      <c r="I2505" s="146">
        <v>46028</v>
      </c>
      <c r="J2505" s="147">
        <v>38</v>
      </c>
      <c r="K2505" s="147">
        <v>9.2</v>
      </c>
      <c r="L2505" s="158">
        <v>25.086</v>
      </c>
      <c r="M2505" s="59" cm="1">
        <f t="array" ref="M2505">INDEX($BV$29:$BV$1449,MATCH($D2505,$BR$29:$BR$1449,0),)</f>
        <v>11.5</v>
      </c>
      <c r="N2505" s="150">
        <f t="shared" si="761"/>
        <v>0.00412280350638428</v>
      </c>
      <c r="O2505" s="150">
        <f t="shared" si="762"/>
        <v>0.0785966119184796</v>
      </c>
      <c r="P2505" s="150">
        <f t="shared" si="748"/>
        <v>0.179740406320542</v>
      </c>
      <c r="Q2505" s="89">
        <f t="shared" si="750"/>
        <v>1.18139130434783</v>
      </c>
      <c r="S2505" s="82">
        <f t="shared" si="751"/>
        <v>46028</v>
      </c>
      <c r="T2505" s="83">
        <f t="shared" si="765"/>
        <v>1.942125</v>
      </c>
      <c r="U2505" s="83">
        <f t="shared" si="765"/>
        <v>1.78125</v>
      </c>
      <c r="W2505" s="146">
        <v>46028</v>
      </c>
      <c r="X2505" s="147">
        <v>42</v>
      </c>
      <c r="Y2505" s="147">
        <v>22.5</v>
      </c>
      <c r="Z2505" s="158">
        <v>31.074</v>
      </c>
      <c r="AA2505" s="59" cm="1">
        <f t="array" ref="AA2505">INDEX($BX$29:$BX$1449,MATCH($D2505,$BR$29:$BR$1449,0),)</f>
        <v>28.5</v>
      </c>
      <c r="AB2505" s="150">
        <f t="shared" si="752"/>
        <v>0.017352016762703</v>
      </c>
      <c r="AC2505" s="150">
        <f t="shared" si="755"/>
        <v>0.100899879543683</v>
      </c>
      <c r="AD2505" s="150">
        <f t="shared" si="758"/>
        <v>0.162383570867467</v>
      </c>
      <c r="AE2505" s="89">
        <f t="shared" si="753"/>
        <v>0.0903157894736843</v>
      </c>
    </row>
    <row r="2506" spans="3:31">
      <c r="C2506" s="80" t="str" cm="1">
        <f t="array" ref="C2506">_xlfn.IFS(MONTH(D2506)&lt;4,1,MONTH(D2506)&lt;7,2,MONTH(D2506)&lt;10,3,MONTH(D2506)&gt;9,4)&amp;"Q"&amp;RIGHT(YEAR(D2506),2)</f>
        <v>1Q26</v>
      </c>
      <c r="D2506" s="81">
        <f t="shared" si="757"/>
        <v>46053</v>
      </c>
      <c r="E2506" s="82">
        <f t="shared" si="749"/>
        <v>46029</v>
      </c>
      <c r="F2506" s="83">
        <f t="shared" ref="F2506:G2521" si="766">+L2506/8</f>
        <v>3.175875</v>
      </c>
      <c r="G2506" s="83">
        <f t="shared" si="766"/>
        <v>1.4375</v>
      </c>
      <c r="I2506" s="146">
        <v>46029</v>
      </c>
      <c r="J2506" s="147">
        <v>38</v>
      </c>
      <c r="K2506" s="147">
        <v>9.2</v>
      </c>
      <c r="L2506" s="158">
        <v>25.407</v>
      </c>
      <c r="M2506" s="59" cm="1">
        <f t="array" ref="M2506">INDEX($BV$29:$BV$1449,MATCH($D2506,$BR$29:$BR$1449,0),)</f>
        <v>11.5</v>
      </c>
      <c r="N2506" s="150">
        <f t="shared" si="761"/>
        <v>0.0127959818225305</v>
      </c>
      <c r="O2506" s="150">
        <f t="shared" si="762"/>
        <v>0.0699486229259665</v>
      </c>
      <c r="P2506" s="150">
        <f t="shared" si="748"/>
        <v>0.168137931034483</v>
      </c>
      <c r="Q2506" s="89">
        <f t="shared" si="750"/>
        <v>1.20930434782609</v>
      </c>
      <c r="S2506" s="82">
        <f t="shared" si="751"/>
        <v>46029</v>
      </c>
      <c r="T2506" s="83">
        <f t="shared" si="765"/>
        <v>1.9671875</v>
      </c>
      <c r="U2506" s="83">
        <f t="shared" si="765"/>
        <v>1.78125</v>
      </c>
      <c r="W2506" s="146">
        <v>46029</v>
      </c>
      <c r="X2506" s="147">
        <v>42</v>
      </c>
      <c r="Y2506" s="147">
        <v>23</v>
      </c>
      <c r="Z2506" s="158">
        <v>31.475</v>
      </c>
      <c r="AA2506" s="59" cm="1">
        <f t="array" ref="AA2506">INDEX($BX$29:$BX$1449,MATCH($D2506,$BR$29:$BR$1449,0),)</f>
        <v>28.5</v>
      </c>
      <c r="AB2506" s="150">
        <f t="shared" si="752"/>
        <v>0.0129046791529897</v>
      </c>
      <c r="AC2506" s="150">
        <f t="shared" si="755"/>
        <v>0.101256079213464</v>
      </c>
      <c r="AD2506" s="150">
        <f t="shared" si="758"/>
        <v>0.175888220570105</v>
      </c>
      <c r="AE2506" s="89">
        <f t="shared" si="753"/>
        <v>0.104385964912281</v>
      </c>
    </row>
    <row r="2507" spans="3:31">
      <c r="C2507" s="80" t="str" cm="1">
        <f t="array" ref="C2507">_xlfn.IFS(MONTH(D2507)&lt;4,1,MONTH(D2507)&lt;7,2,MONTH(D2507)&lt;10,3,MONTH(D2507)&gt;9,4)&amp;"Q"&amp;RIGHT(YEAR(D2507),2)</f>
        <v>1Q26</v>
      </c>
      <c r="D2507" s="81">
        <f t="shared" si="757"/>
        <v>46053</v>
      </c>
      <c r="E2507" s="82">
        <f t="shared" si="749"/>
        <v>46030</v>
      </c>
      <c r="F2507" s="83">
        <f t="shared" si="766"/>
        <v>3.27675</v>
      </c>
      <c r="G2507" s="83">
        <f t="shared" si="766"/>
        <v>1.4375</v>
      </c>
      <c r="I2507" s="146">
        <v>46030</v>
      </c>
      <c r="J2507" s="147">
        <v>40</v>
      </c>
      <c r="K2507" s="147">
        <v>9.3</v>
      </c>
      <c r="L2507" s="158">
        <v>26.214</v>
      </c>
      <c r="M2507" s="59" cm="1">
        <f t="array" ref="M2507">INDEX($BV$29:$BV$1449,MATCH($D2507,$BR$29:$BR$1449,0),)</f>
        <v>11.5</v>
      </c>
      <c r="N2507" s="150">
        <f t="shared" si="761"/>
        <v>0.0317628999881923</v>
      </c>
      <c r="O2507" s="150">
        <f t="shared" si="762"/>
        <v>0.0839846172931398</v>
      </c>
      <c r="P2507" s="150">
        <f t="shared" si="748"/>
        <v>0.178952102541039</v>
      </c>
      <c r="Q2507" s="89">
        <f t="shared" si="750"/>
        <v>1.27947826086957</v>
      </c>
      <c r="S2507" s="82">
        <f t="shared" si="751"/>
        <v>46030</v>
      </c>
      <c r="T2507" s="83">
        <f t="shared" si="765"/>
        <v>1.9785</v>
      </c>
      <c r="U2507" s="83">
        <f t="shared" si="765"/>
        <v>1.78125</v>
      </c>
      <c r="W2507" s="146">
        <v>46030</v>
      </c>
      <c r="X2507" s="147">
        <v>42</v>
      </c>
      <c r="Y2507" s="147">
        <v>23</v>
      </c>
      <c r="Z2507" s="158">
        <v>31.656</v>
      </c>
      <c r="AA2507" s="59" cm="1">
        <f t="array" ref="AA2507">INDEX($BX$29:$BX$1449,MATCH($D2507,$BR$29:$BR$1449,0),)</f>
        <v>28.5</v>
      </c>
      <c r="AB2507" s="150">
        <f t="shared" si="752"/>
        <v>0.00575059571088166</v>
      </c>
      <c r="AC2507" s="150">
        <f t="shared" si="755"/>
        <v>0.0866774226768734</v>
      </c>
      <c r="AD2507" s="150">
        <f t="shared" si="758"/>
        <v>0.158160465371529</v>
      </c>
      <c r="AE2507" s="89">
        <f t="shared" si="753"/>
        <v>0.110736842105263</v>
      </c>
    </row>
    <row r="2508" spans="3:31">
      <c r="C2508" s="80" t="str" cm="1">
        <f t="array" ref="C2508">_xlfn.IFS(MONTH(D2508)&lt;4,1,MONTH(D2508)&lt;7,2,MONTH(D2508)&lt;10,3,MONTH(D2508)&gt;9,4)&amp;"Q"&amp;RIGHT(YEAR(D2508),2)</f>
        <v>1Q26</v>
      </c>
      <c r="D2508" s="81">
        <f t="shared" si="757"/>
        <v>46053</v>
      </c>
      <c r="E2508" s="82">
        <f t="shared" si="749"/>
        <v>46031</v>
      </c>
      <c r="F2508" s="83">
        <f t="shared" si="766"/>
        <v>3.352625</v>
      </c>
      <c r="G2508" s="83">
        <f t="shared" si="766"/>
        <v>1.4375</v>
      </c>
      <c r="I2508" s="146">
        <v>46031</v>
      </c>
      <c r="J2508" s="147">
        <v>40</v>
      </c>
      <c r="K2508" s="147">
        <v>9.3</v>
      </c>
      <c r="L2508" s="158">
        <v>26.821</v>
      </c>
      <c r="M2508" s="59" cm="1">
        <f t="array" ref="M2508">INDEX($BV$29:$BV$1449,MATCH($D2508,$BR$29:$BR$1449,0),)</f>
        <v>11.5</v>
      </c>
      <c r="N2508" s="150">
        <f t="shared" si="761"/>
        <v>0.023155565728237</v>
      </c>
      <c r="O2508" s="150">
        <f t="shared" si="762"/>
        <v>0.0949134552580013</v>
      </c>
      <c r="P2508" s="150">
        <f t="shared" si="748"/>
        <v>0.180190090645076</v>
      </c>
      <c r="Q2508" s="89">
        <f t="shared" si="750"/>
        <v>1.33226086956522</v>
      </c>
      <c r="S2508" s="82">
        <f t="shared" si="751"/>
        <v>46031</v>
      </c>
      <c r="T2508" s="83">
        <f t="shared" si="765"/>
        <v>1.9863125</v>
      </c>
      <c r="U2508" s="83">
        <f t="shared" si="765"/>
        <v>1.78125</v>
      </c>
      <c r="W2508" s="146">
        <v>46031</v>
      </c>
      <c r="X2508" s="147">
        <v>42</v>
      </c>
      <c r="Y2508" s="147">
        <v>23.5</v>
      </c>
      <c r="Z2508" s="158">
        <v>31.781</v>
      </c>
      <c r="AA2508" s="59" cm="1">
        <f t="array" ref="AA2508">INDEX($BX$29:$BX$1449,MATCH($D2508,$BR$29:$BR$1449,0),)</f>
        <v>28.5</v>
      </c>
      <c r="AB2508" s="150">
        <f t="shared" si="752"/>
        <v>0.00394869850897139</v>
      </c>
      <c r="AC2508" s="150">
        <f t="shared" si="755"/>
        <v>0.066369157467369</v>
      </c>
      <c r="AD2508" s="150">
        <f t="shared" si="758"/>
        <v>0.155672727272727</v>
      </c>
      <c r="AE2508" s="89">
        <f t="shared" si="753"/>
        <v>0.115122807017544</v>
      </c>
    </row>
    <row r="2509" spans="3:31">
      <c r="C2509" s="80" t="str" cm="1">
        <f t="array" ref="C2509">_xlfn.IFS(MONTH(D2509)&lt;4,1,MONTH(D2509)&lt;7,2,MONTH(D2509)&lt;10,3,MONTH(D2509)&gt;9,4)&amp;"Q"&amp;RIGHT(YEAR(D2509),2)</f>
        <v>1Q26</v>
      </c>
      <c r="D2509" s="81">
        <f t="shared" si="757"/>
        <v>46053</v>
      </c>
      <c r="E2509" s="82">
        <f t="shared" si="749"/>
        <v>46034</v>
      </c>
      <c r="F2509" s="83">
        <f t="shared" si="766"/>
        <v>3.40175</v>
      </c>
      <c r="G2509" s="83">
        <f t="shared" si="766"/>
        <v>1.4375</v>
      </c>
      <c r="I2509" s="146">
        <v>46034</v>
      </c>
      <c r="J2509" s="147">
        <v>40</v>
      </c>
      <c r="K2509" s="147">
        <v>9.3</v>
      </c>
      <c r="L2509" s="158">
        <v>27.214</v>
      </c>
      <c r="M2509" s="59" cm="1">
        <f t="array" ref="M2509">INDEX($BV$29:$BV$1449,MATCH($D2509,$BR$29:$BR$1449,0),)</f>
        <v>11.5</v>
      </c>
      <c r="N2509" s="150">
        <f t="shared" si="761"/>
        <v>0.0146526975131427</v>
      </c>
      <c r="O2509" s="150">
        <f t="shared" si="762"/>
        <v>0.0893007244926549</v>
      </c>
      <c r="P2509" s="150">
        <f t="shared" si="748"/>
        <v>0.176211263344427</v>
      </c>
      <c r="Q2509" s="89">
        <f t="shared" si="750"/>
        <v>1.3664347826087</v>
      </c>
      <c r="S2509" s="82">
        <f t="shared" si="751"/>
        <v>46034</v>
      </c>
      <c r="T2509" s="83">
        <f t="shared" si="765"/>
        <v>2.03125</v>
      </c>
      <c r="U2509" s="83">
        <f t="shared" si="765"/>
        <v>1.78125</v>
      </c>
      <c r="W2509" s="146">
        <v>46034</v>
      </c>
      <c r="X2509" s="147">
        <v>45</v>
      </c>
      <c r="Y2509" s="147">
        <v>24</v>
      </c>
      <c r="Z2509" s="158">
        <v>32.5</v>
      </c>
      <c r="AA2509" s="59" cm="1">
        <f t="array" ref="AA2509">INDEX($BX$29:$BX$1449,MATCH($D2509,$BR$29:$BR$1449,0),)</f>
        <v>28.5</v>
      </c>
      <c r="AB2509" s="150">
        <f t="shared" si="752"/>
        <v>0.0226235801264907</v>
      </c>
      <c r="AC2509" s="150">
        <f t="shared" si="755"/>
        <v>0.0640387637506548</v>
      </c>
      <c r="AD2509" s="150">
        <f t="shared" si="758"/>
        <v>0.16767865483419</v>
      </c>
      <c r="AE2509" s="89">
        <f t="shared" si="753"/>
        <v>0.140350877192982</v>
      </c>
    </row>
    <row r="2510" spans="3:31">
      <c r="C2510" s="80" t="str" cm="1">
        <f t="array" ref="C2510">_xlfn.IFS(MONTH(D2510)&lt;4,1,MONTH(D2510)&lt;7,2,MONTH(D2510)&lt;10,3,MONTH(D2510)&gt;9,4)&amp;"Q"&amp;RIGHT(YEAR(D2510),2)</f>
        <v>1Q26</v>
      </c>
      <c r="D2510" s="81">
        <f t="shared" si="757"/>
        <v>46053</v>
      </c>
      <c r="E2510" s="82">
        <f t="shared" si="749"/>
        <v>46035</v>
      </c>
      <c r="F2510" s="83">
        <f t="shared" si="766"/>
        <v>3.482125</v>
      </c>
      <c r="G2510" s="83">
        <f t="shared" si="766"/>
        <v>1.4375</v>
      </c>
      <c r="I2510" s="146">
        <v>46035</v>
      </c>
      <c r="J2510" s="147">
        <v>43</v>
      </c>
      <c r="K2510" s="147">
        <v>9.5</v>
      </c>
      <c r="L2510" s="158">
        <v>27.857</v>
      </c>
      <c r="M2510" s="59" cm="1">
        <f t="array" ref="M2510">INDEX($BV$29:$BV$1449,MATCH($D2510,$BR$29:$BR$1449,0),)</f>
        <v>11.5</v>
      </c>
      <c r="N2510" s="150">
        <f t="shared" si="761"/>
        <v>0.023627544646138</v>
      </c>
      <c r="O2510" s="150">
        <f t="shared" si="762"/>
        <v>0.110460017539664</v>
      </c>
      <c r="P2510" s="150">
        <f t="shared" si="748"/>
        <v>0.197738412589217</v>
      </c>
      <c r="Q2510" s="89">
        <f t="shared" si="750"/>
        <v>1.42234782608696</v>
      </c>
      <c r="S2510" s="82">
        <f t="shared" si="751"/>
        <v>46035</v>
      </c>
      <c r="T2510" s="83">
        <f t="shared" si="765"/>
        <v>2.087875</v>
      </c>
      <c r="U2510" s="83">
        <f t="shared" si="765"/>
        <v>1.78125</v>
      </c>
      <c r="W2510" s="146">
        <v>46035</v>
      </c>
      <c r="X2510" s="147">
        <v>48.5</v>
      </c>
      <c r="Y2510" s="147">
        <v>24.5</v>
      </c>
      <c r="Z2510" s="158">
        <v>33.406</v>
      </c>
      <c r="AA2510" s="59" cm="1">
        <f t="array" ref="AA2510">INDEX($BX$29:$BX$1449,MATCH($D2510,$BR$29:$BR$1449,0),)</f>
        <v>28.5</v>
      </c>
      <c r="AB2510" s="150">
        <f t="shared" si="752"/>
        <v>0.0278769230769231</v>
      </c>
      <c r="AC2510" s="150">
        <f t="shared" si="755"/>
        <v>0.0750466628049171</v>
      </c>
      <c r="AD2510" s="150">
        <f t="shared" si="758"/>
        <v>0.183518741585772</v>
      </c>
      <c r="AE2510" s="89">
        <f t="shared" si="753"/>
        <v>0.172140350877193</v>
      </c>
    </row>
    <row r="2511" spans="3:31">
      <c r="C2511" s="80" t="str" cm="1">
        <f t="array" ref="C2511">_xlfn.IFS(MONTH(D2511)&lt;4,1,MONTH(D2511)&lt;7,2,MONTH(D2511)&lt;10,3,MONTH(D2511)&gt;9,4)&amp;"Q"&amp;RIGHT(YEAR(D2511),2)</f>
        <v>1Q26</v>
      </c>
      <c r="D2511" s="81">
        <f t="shared" si="757"/>
        <v>46053</v>
      </c>
      <c r="E2511" s="82">
        <f t="shared" si="749"/>
        <v>46036</v>
      </c>
      <c r="F2511" s="83">
        <f t="shared" si="766"/>
        <v>3.544625</v>
      </c>
      <c r="G2511" s="83">
        <f t="shared" si="766"/>
        <v>1.4375</v>
      </c>
      <c r="I2511" s="146">
        <v>46036</v>
      </c>
      <c r="J2511" s="147">
        <v>45</v>
      </c>
      <c r="K2511" s="147">
        <v>9.5</v>
      </c>
      <c r="L2511" s="158">
        <v>28.357</v>
      </c>
      <c r="M2511" s="59" cm="1">
        <f t="array" ref="M2511">INDEX($BV$29:$BV$1449,MATCH($D2511,$BR$29:$BR$1449,0),)</f>
        <v>11.5</v>
      </c>
      <c r="N2511" s="150">
        <f t="shared" si="761"/>
        <v>0.0179488099938974</v>
      </c>
      <c r="O2511" s="150">
        <f t="shared" si="762"/>
        <v>0.116109733538001</v>
      </c>
      <c r="P2511" s="150">
        <f t="shared" ref="P2511:P2574" si="767">L2511/L2501-1</f>
        <v>0.194180072433252</v>
      </c>
      <c r="Q2511" s="89">
        <f t="shared" si="750"/>
        <v>1.46582608695652</v>
      </c>
      <c r="S2511" s="82">
        <f t="shared" si="751"/>
        <v>46036</v>
      </c>
      <c r="T2511" s="83">
        <f t="shared" si="765"/>
        <v>2.1296875</v>
      </c>
      <c r="U2511" s="83">
        <f t="shared" si="765"/>
        <v>1.78125</v>
      </c>
      <c r="W2511" s="146">
        <v>46036</v>
      </c>
      <c r="X2511" s="147">
        <v>50</v>
      </c>
      <c r="Y2511" s="147">
        <v>24.5</v>
      </c>
      <c r="Z2511" s="158">
        <v>34.075</v>
      </c>
      <c r="AA2511" s="59" cm="1">
        <f t="array" ref="AA2511">INDEX($BX$29:$BX$1449,MATCH($D2511,$BR$29:$BR$1449,0),)</f>
        <v>28.5</v>
      </c>
      <c r="AB2511" s="150">
        <f t="shared" si="752"/>
        <v>0.0200263425731906</v>
      </c>
      <c r="AC2511" s="150">
        <f t="shared" si="755"/>
        <v>0.0826052422557586</v>
      </c>
      <c r="AD2511" s="150">
        <f t="shared" si="758"/>
        <v>0.192225604422519</v>
      </c>
      <c r="AE2511" s="89">
        <f t="shared" si="753"/>
        <v>0.195614035087719</v>
      </c>
    </row>
    <row r="2512" spans="3:31">
      <c r="C2512" s="80" t="str" cm="1">
        <f t="array" ref="C2512">_xlfn.IFS(MONTH(D2512)&lt;4,1,MONTH(D2512)&lt;7,2,MONTH(D2512)&lt;10,3,MONTH(D2512)&gt;9,4)&amp;"Q"&amp;RIGHT(YEAR(D2512),2)</f>
        <v>1Q26</v>
      </c>
      <c r="D2512" s="81">
        <f t="shared" si="757"/>
        <v>46053</v>
      </c>
      <c r="E2512" s="82">
        <f t="shared" si="749"/>
        <v>46037</v>
      </c>
      <c r="F2512" s="83">
        <f t="shared" si="766"/>
        <v>3.5625</v>
      </c>
      <c r="G2512" s="83">
        <f t="shared" si="766"/>
        <v>1.4375</v>
      </c>
      <c r="I2512" s="146">
        <v>46037</v>
      </c>
      <c r="J2512" s="147">
        <v>45</v>
      </c>
      <c r="K2512" s="147">
        <v>9.5</v>
      </c>
      <c r="L2512" s="158">
        <v>28.5</v>
      </c>
      <c r="M2512" s="59" cm="1">
        <f t="array" ref="M2512">INDEX($BV$29:$BV$1449,MATCH($D2512,$BR$29:$BR$1449,0),)</f>
        <v>11.5</v>
      </c>
      <c r="N2512" s="150">
        <f t="shared" si="761"/>
        <v>0.00504284656345888</v>
      </c>
      <c r="O2512" s="150">
        <f t="shared" si="762"/>
        <v>0.0872053101396202</v>
      </c>
      <c r="P2512" s="150">
        <f t="shared" si="767"/>
        <v>0.178513832030765</v>
      </c>
      <c r="Q2512" s="89">
        <f t="shared" si="750"/>
        <v>1.47826086956522</v>
      </c>
      <c r="S2512" s="82">
        <f t="shared" si="751"/>
        <v>46037</v>
      </c>
      <c r="T2512" s="83">
        <f t="shared" si="765"/>
        <v>2.15625</v>
      </c>
      <c r="U2512" s="83">
        <f t="shared" si="765"/>
        <v>1.78125</v>
      </c>
      <c r="W2512" s="146">
        <v>46037</v>
      </c>
      <c r="X2512" s="147">
        <v>50</v>
      </c>
      <c r="Y2512" s="147">
        <v>24.5</v>
      </c>
      <c r="Z2512" s="158">
        <v>34.5</v>
      </c>
      <c r="AA2512" s="59" cm="1">
        <f t="array" ref="AA2512">INDEX($BX$29:$BX$1449,MATCH($D2512,$BR$29:$BR$1449,0),)</f>
        <v>28.5</v>
      </c>
      <c r="AB2512" s="150">
        <f t="shared" si="752"/>
        <v>0.0124724871606749</v>
      </c>
      <c r="AC2512" s="150">
        <f t="shared" si="755"/>
        <v>0.0898407884761183</v>
      </c>
      <c r="AD2512" s="150">
        <f t="shared" si="758"/>
        <v>0.18430537914936</v>
      </c>
      <c r="AE2512" s="89">
        <f t="shared" si="753"/>
        <v>0.210526315789474</v>
      </c>
    </row>
    <row r="2513" spans="3:31">
      <c r="C2513" s="80" t="str" cm="1">
        <f t="array" ref="C2513">_xlfn.IFS(MONTH(D2513)&lt;4,1,MONTH(D2513)&lt;7,2,MONTH(D2513)&lt;10,3,MONTH(D2513)&gt;9,4)&amp;"Q"&amp;RIGHT(YEAR(D2513),2)</f>
        <v>1Q26</v>
      </c>
      <c r="D2513" s="81">
        <f t="shared" si="757"/>
        <v>46053</v>
      </c>
      <c r="E2513" s="82">
        <f t="shared" ref="E2513:E2576" si="768">I2513</f>
        <v>46038</v>
      </c>
      <c r="F2513" s="83">
        <f t="shared" si="766"/>
        <v>3.610625</v>
      </c>
      <c r="G2513" s="83">
        <f t="shared" si="766"/>
        <v>1.4375</v>
      </c>
      <c r="I2513" s="146">
        <v>46038</v>
      </c>
      <c r="J2513" s="147">
        <v>46</v>
      </c>
      <c r="K2513" s="147">
        <v>9.5</v>
      </c>
      <c r="L2513" s="158">
        <v>28.885</v>
      </c>
      <c r="M2513" s="59" cm="1">
        <f t="array" ref="M2513">INDEX($BV$29:$BV$1449,MATCH($D2513,$BR$29:$BR$1449,0),)</f>
        <v>11.5</v>
      </c>
      <c r="N2513" s="150">
        <f t="shared" si="761"/>
        <v>0.0135087719298246</v>
      </c>
      <c r="O2513" s="150">
        <f t="shared" si="762"/>
        <v>0.0769546251071922</v>
      </c>
      <c r="P2513" s="150">
        <f t="shared" si="767"/>
        <v>0.179172109732201</v>
      </c>
      <c r="Q2513" s="89">
        <f t="shared" ref="Q2513:Q2576" si="769">L2513/M2513-1</f>
        <v>1.51173913043478</v>
      </c>
      <c r="S2513" s="82">
        <f t="shared" si="751"/>
        <v>46038</v>
      </c>
      <c r="T2513" s="83">
        <f t="shared" si="765"/>
        <v>2.1875</v>
      </c>
      <c r="U2513" s="83">
        <f t="shared" si="765"/>
        <v>1.78125</v>
      </c>
      <c r="W2513" s="146">
        <v>46038</v>
      </c>
      <c r="X2513" s="147">
        <v>50</v>
      </c>
      <c r="Y2513" s="147">
        <v>24.5</v>
      </c>
      <c r="Z2513" s="158">
        <v>35</v>
      </c>
      <c r="AA2513" s="59" cm="1">
        <f t="array" ref="AA2513">INDEX($BX$29:$BX$1449,MATCH($D2513,$BR$29:$BR$1449,0),)</f>
        <v>28.5</v>
      </c>
      <c r="AB2513" s="150">
        <f t="shared" si="752"/>
        <v>0.0144927536231885</v>
      </c>
      <c r="AC2513" s="150">
        <f t="shared" si="755"/>
        <v>0.101286932443913</v>
      </c>
      <c r="AD2513" s="150">
        <f t="shared" si="758"/>
        <v>0.174378418280039</v>
      </c>
      <c r="AE2513" s="89">
        <f t="shared" si="753"/>
        <v>0.228070175438597</v>
      </c>
    </row>
    <row r="2514" spans="3:31">
      <c r="C2514" s="80" t="str" cm="1">
        <f t="array" ref="C2514">_xlfn.IFS(MONTH(D2514)&lt;4,1,MONTH(D2514)&lt;7,2,MONTH(D2514)&lt;10,3,MONTH(D2514)&gt;9,4)&amp;"Q"&amp;RIGHT(YEAR(D2514),2)</f>
        <v>1Q26</v>
      </c>
      <c r="D2514" s="81">
        <f t="shared" si="757"/>
        <v>46053</v>
      </c>
      <c r="E2514" s="82">
        <f t="shared" si="768"/>
        <v>46041</v>
      </c>
      <c r="F2514" s="83">
        <f t="shared" si="766"/>
        <v>3.6875</v>
      </c>
      <c r="G2514" s="83">
        <f t="shared" si="766"/>
        <v>1.4375</v>
      </c>
      <c r="I2514" s="146">
        <v>46041</v>
      </c>
      <c r="J2514" s="147">
        <v>46.5</v>
      </c>
      <c r="K2514" s="147">
        <v>10</v>
      </c>
      <c r="L2514" s="158">
        <v>29.5</v>
      </c>
      <c r="M2514" s="59" cm="1">
        <f t="array" ref="M2514">INDEX($BV$29:$BV$1449,MATCH($D2514,$BR$29:$BR$1449,0),)</f>
        <v>11.5</v>
      </c>
      <c r="N2514" s="150">
        <f t="shared" si="761"/>
        <v>0.0212913276787259</v>
      </c>
      <c r="O2514" s="150">
        <f t="shared" si="762"/>
        <v>0.0840008818990225</v>
      </c>
      <c r="P2514" s="150">
        <f t="shared" si="767"/>
        <v>0.180802946003282</v>
      </c>
      <c r="Q2514" s="89">
        <f t="shared" si="769"/>
        <v>1.56521739130435</v>
      </c>
      <c r="S2514" s="82">
        <f t="shared" si="751"/>
        <v>46041</v>
      </c>
      <c r="T2514" s="83">
        <f t="shared" si="765"/>
        <v>2.2083125</v>
      </c>
      <c r="U2514" s="83">
        <f t="shared" si="765"/>
        <v>1.78125</v>
      </c>
      <c r="W2514" s="146">
        <v>46041</v>
      </c>
      <c r="X2514" s="147">
        <v>53</v>
      </c>
      <c r="Y2514" s="147">
        <v>25</v>
      </c>
      <c r="Z2514" s="158">
        <v>35.333</v>
      </c>
      <c r="AA2514" s="59" cm="1">
        <f t="array" ref="AA2514">INDEX($BX$29:$BX$1449,MATCH($D2514,$BR$29:$BR$1449,0),)</f>
        <v>28.5</v>
      </c>
      <c r="AB2514" s="150">
        <f t="shared" si="752"/>
        <v>0.00951428571428559</v>
      </c>
      <c r="AC2514" s="150">
        <f t="shared" si="755"/>
        <v>0.0871692307692307</v>
      </c>
      <c r="AD2514" s="150">
        <f t="shared" si="758"/>
        <v>0.156790204295443</v>
      </c>
      <c r="AE2514" s="89">
        <f t="shared" si="753"/>
        <v>0.239754385964912</v>
      </c>
    </row>
    <row r="2515" spans="3:31">
      <c r="C2515" s="80" t="str" cm="1">
        <f t="array" ref="C2515">_xlfn.IFS(MONTH(D2515)&lt;4,1,MONTH(D2515)&lt;7,2,MONTH(D2515)&lt;10,3,MONTH(D2515)&gt;9,4)&amp;"Q"&amp;RIGHT(YEAR(D2515),2)</f>
        <v>1Q26</v>
      </c>
      <c r="D2515" s="81">
        <f t="shared" si="757"/>
        <v>46053</v>
      </c>
      <c r="E2515" s="82">
        <f t="shared" si="768"/>
        <v>46042</v>
      </c>
      <c r="F2515" s="83">
        <f t="shared" si="766"/>
        <v>3.759625</v>
      </c>
      <c r="G2515" s="83">
        <f t="shared" si="766"/>
        <v>1.4375</v>
      </c>
      <c r="I2515" s="146">
        <v>46042</v>
      </c>
      <c r="J2515" s="147">
        <v>46</v>
      </c>
      <c r="K2515" s="147">
        <v>10</v>
      </c>
      <c r="L2515" s="158">
        <v>30.077</v>
      </c>
      <c r="M2515" s="59" cm="1">
        <f t="array" ref="M2515">INDEX($BV$29:$BV$1449,MATCH($D2515,$BR$29:$BR$1449,0),)</f>
        <v>11.5</v>
      </c>
      <c r="N2515" s="150">
        <f t="shared" si="761"/>
        <v>0.0195593220338983</v>
      </c>
      <c r="O2515" s="150">
        <f t="shared" si="762"/>
        <v>0.0796927163729046</v>
      </c>
      <c r="P2515" s="150">
        <f t="shared" si="767"/>
        <v>0.198955592760903</v>
      </c>
      <c r="Q2515" s="89">
        <f t="shared" si="769"/>
        <v>1.61539130434783</v>
      </c>
      <c r="S2515" s="82">
        <f t="shared" si="751"/>
        <v>46042</v>
      </c>
      <c r="T2515" s="83">
        <f t="shared" si="765"/>
        <v>2.2708125</v>
      </c>
      <c r="U2515" s="83">
        <f t="shared" si="765"/>
        <v>1.78125</v>
      </c>
      <c r="W2515" s="146">
        <v>46042</v>
      </c>
      <c r="X2515" s="147">
        <v>54</v>
      </c>
      <c r="Y2515" s="147">
        <v>25.5</v>
      </c>
      <c r="Z2515" s="158">
        <v>36.333</v>
      </c>
      <c r="AA2515" s="59" cm="1">
        <f t="array" ref="AA2515">INDEX($BX$29:$BX$1449,MATCH($D2515,$BR$29:$BR$1449,0),)</f>
        <v>28.5</v>
      </c>
      <c r="AB2515" s="150">
        <f t="shared" si="752"/>
        <v>0.0283021537939037</v>
      </c>
      <c r="AC2515" s="150">
        <f t="shared" si="755"/>
        <v>0.0876189906004909</v>
      </c>
      <c r="AD2515" s="150">
        <f t="shared" si="758"/>
        <v>0.16924116624831</v>
      </c>
      <c r="AE2515" s="89">
        <f t="shared" si="753"/>
        <v>0.274842105263158</v>
      </c>
    </row>
    <row r="2516" spans="3:31">
      <c r="C2516" s="80" t="str" cm="1">
        <f t="array" ref="C2516">_xlfn.IFS(MONTH(D2516)&lt;4,1,MONTH(D2516)&lt;7,2,MONTH(D2516)&lt;10,3,MONTH(D2516)&gt;9,4)&amp;"Q"&amp;RIGHT(YEAR(D2516),2)</f>
        <v>1Q26</v>
      </c>
      <c r="D2516" s="81">
        <f t="shared" si="757"/>
        <v>46053</v>
      </c>
      <c r="E2516" s="82">
        <f t="shared" si="768"/>
        <v>46043</v>
      </c>
      <c r="F2516" s="83">
        <f t="shared" si="766"/>
        <v>3.7875</v>
      </c>
      <c r="G2516" s="83">
        <f t="shared" si="766"/>
        <v>1.4375</v>
      </c>
      <c r="I2516" s="146">
        <v>46043</v>
      </c>
      <c r="J2516" s="147">
        <v>46</v>
      </c>
      <c r="K2516" s="147">
        <v>10.3</v>
      </c>
      <c r="L2516" s="158">
        <v>30.3</v>
      </c>
      <c r="M2516" s="59" cm="1">
        <f t="array" ref="M2516">INDEX($BV$29:$BV$1449,MATCH($D2516,$BR$29:$BR$1449,0),)</f>
        <v>11.5</v>
      </c>
      <c r="N2516" s="150">
        <f t="shared" si="761"/>
        <v>0.00741430328822679</v>
      </c>
      <c r="O2516" s="150">
        <f t="shared" si="762"/>
        <v>0.0685192368727299</v>
      </c>
      <c r="P2516" s="150">
        <f t="shared" si="767"/>
        <v>0.192584720746251</v>
      </c>
      <c r="Q2516" s="89">
        <f t="shared" si="769"/>
        <v>1.63478260869565</v>
      </c>
      <c r="S2516" s="82">
        <f t="shared" ref="S2516:S2579" si="770">W2516</f>
        <v>46043</v>
      </c>
      <c r="T2516" s="83">
        <f t="shared" si="765"/>
        <v>2.2916875</v>
      </c>
      <c r="U2516" s="83">
        <f t="shared" si="765"/>
        <v>1.78125</v>
      </c>
      <c r="W2516" s="146">
        <v>46043</v>
      </c>
      <c r="X2516" s="147">
        <v>55</v>
      </c>
      <c r="Y2516" s="147">
        <v>25.5</v>
      </c>
      <c r="Z2516" s="158">
        <v>36.667</v>
      </c>
      <c r="AA2516" s="59" cm="1">
        <f t="array" ref="AA2516">INDEX($BX$29:$BX$1449,MATCH($D2516,$BR$29:$BR$1449,0),)</f>
        <v>28.5</v>
      </c>
      <c r="AB2516" s="150">
        <f t="shared" si="752"/>
        <v>0.00919274488756794</v>
      </c>
      <c r="AC2516" s="150">
        <f t="shared" si="755"/>
        <v>0.0760674981658107</v>
      </c>
      <c r="AD2516" s="150">
        <f t="shared" si="758"/>
        <v>0.164956314535345</v>
      </c>
      <c r="AE2516" s="89">
        <f t="shared" si="753"/>
        <v>0.286561403508772</v>
      </c>
    </row>
    <row r="2517" spans="3:31">
      <c r="C2517" s="80" t="str" cm="1">
        <f t="array" ref="C2517">_xlfn.IFS(MONTH(D2517)&lt;4,1,MONTH(D2517)&lt;7,2,MONTH(D2517)&lt;10,3,MONTH(D2517)&gt;9,4)&amp;"Q"&amp;RIGHT(YEAR(D2517),2)</f>
        <v>1Q26</v>
      </c>
      <c r="D2517" s="81">
        <f t="shared" si="757"/>
        <v>46053</v>
      </c>
      <c r="E2517" s="82">
        <f t="shared" si="768"/>
        <v>46044</v>
      </c>
      <c r="F2517" s="83">
        <f t="shared" si="766"/>
        <v>3.7875</v>
      </c>
      <c r="G2517" s="83">
        <f t="shared" si="766"/>
        <v>1.4375</v>
      </c>
      <c r="I2517" s="146">
        <v>46044</v>
      </c>
      <c r="J2517" s="147">
        <v>46</v>
      </c>
      <c r="K2517" s="147">
        <v>10.3</v>
      </c>
      <c r="L2517" s="158">
        <v>30.3</v>
      </c>
      <c r="M2517" s="59" cm="1">
        <f t="array" ref="M2517">INDEX($BV$29:$BV$1449,MATCH($D2517,$BR$29:$BR$1449,0),)</f>
        <v>11.5</v>
      </c>
      <c r="N2517" s="150">
        <f t="shared" si="761"/>
        <v>0</v>
      </c>
      <c r="O2517" s="150">
        <f t="shared" si="762"/>
        <v>0.0631578947368421</v>
      </c>
      <c r="P2517" s="150">
        <f t="shared" si="767"/>
        <v>0.155870908674754</v>
      </c>
      <c r="Q2517" s="89">
        <f t="shared" si="769"/>
        <v>1.63478260869565</v>
      </c>
      <c r="S2517" s="82">
        <f t="shared" si="770"/>
        <v>46044</v>
      </c>
      <c r="T2517" s="83">
        <f t="shared" si="765"/>
        <v>2.2916875</v>
      </c>
      <c r="U2517" s="83">
        <f t="shared" si="765"/>
        <v>1.78125</v>
      </c>
      <c r="W2517" s="146">
        <v>46044</v>
      </c>
      <c r="X2517" s="147">
        <v>55</v>
      </c>
      <c r="Y2517" s="147">
        <v>25.5</v>
      </c>
      <c r="Z2517" s="158">
        <v>36.667</v>
      </c>
      <c r="AA2517" s="59" cm="1">
        <f t="array" ref="AA2517">INDEX($BX$29:$BX$1449,MATCH($D2517,$BR$29:$BR$1449,0),)</f>
        <v>28.5</v>
      </c>
      <c r="AB2517" s="150">
        <f t="shared" ref="AB2517:AB2580" si="771">Z2517/Z2516-1</f>
        <v>0</v>
      </c>
      <c r="AC2517" s="150">
        <f t="shared" si="755"/>
        <v>0.0628115942028986</v>
      </c>
      <c r="AD2517" s="150">
        <f t="shared" si="758"/>
        <v>0.158295425827647</v>
      </c>
      <c r="AE2517" s="89">
        <f t="shared" si="753"/>
        <v>0.286561403508772</v>
      </c>
    </row>
    <row r="2518" spans="3:31">
      <c r="C2518" s="80" t="str" cm="1">
        <f t="array" ref="C2518">_xlfn.IFS(MONTH(D2518)&lt;4,1,MONTH(D2518)&lt;7,2,MONTH(D2518)&lt;10,3,MONTH(D2518)&gt;9,4)&amp;"Q"&amp;RIGHT(YEAR(D2518),2)</f>
        <v>1Q26</v>
      </c>
      <c r="D2518" s="81">
        <f t="shared" si="757"/>
        <v>46053</v>
      </c>
      <c r="E2518" s="82">
        <f t="shared" si="768"/>
        <v>46045</v>
      </c>
      <c r="F2518" s="83">
        <f t="shared" si="766"/>
        <v>3.8375</v>
      </c>
      <c r="G2518" s="83">
        <f t="shared" si="766"/>
        <v>1.4375</v>
      </c>
      <c r="I2518" s="146">
        <v>46045</v>
      </c>
      <c r="J2518" s="147">
        <v>45</v>
      </c>
      <c r="K2518" s="147">
        <v>10.3</v>
      </c>
      <c r="L2518" s="158">
        <v>30.7</v>
      </c>
      <c r="M2518" s="59" cm="1">
        <f t="array" ref="M2518">INDEX($BV$29:$BV$1449,MATCH($D2518,$BR$29:$BR$1449,0),)</f>
        <v>11.5</v>
      </c>
      <c r="N2518" s="150">
        <f t="shared" si="761"/>
        <v>0.0132013201320131</v>
      </c>
      <c r="O2518" s="150">
        <f t="shared" si="762"/>
        <v>0.0628353816859961</v>
      </c>
      <c r="P2518" s="150">
        <f t="shared" si="767"/>
        <v>0.144625480034301</v>
      </c>
      <c r="Q2518" s="89">
        <f t="shared" si="769"/>
        <v>1.6695652173913</v>
      </c>
      <c r="S2518" s="82">
        <f t="shared" si="770"/>
        <v>46045</v>
      </c>
      <c r="T2518" s="83">
        <f t="shared" si="765"/>
        <v>2.2916875</v>
      </c>
      <c r="U2518" s="83">
        <f t="shared" si="765"/>
        <v>1.78125</v>
      </c>
      <c r="W2518" s="146">
        <v>46045</v>
      </c>
      <c r="X2518" s="147">
        <v>55</v>
      </c>
      <c r="Y2518" s="147">
        <v>25.5</v>
      </c>
      <c r="Z2518" s="158">
        <v>36.667</v>
      </c>
      <c r="AA2518" s="59" cm="1">
        <f t="array" ref="AA2518">INDEX($BX$29:$BX$1449,MATCH($D2518,$BR$29:$BR$1449,0),)</f>
        <v>28.5</v>
      </c>
      <c r="AB2518" s="150">
        <f t="shared" si="771"/>
        <v>0</v>
      </c>
      <c r="AC2518" s="150">
        <f t="shared" si="755"/>
        <v>0.0476285714285716</v>
      </c>
      <c r="AD2518" s="150">
        <f t="shared" si="758"/>
        <v>0.15373965576917</v>
      </c>
      <c r="AE2518" s="89">
        <f t="shared" ref="AE2518:AE2581" si="772">Z2518/AA2518-1</f>
        <v>0.286561403508772</v>
      </c>
    </row>
    <row r="2519" spans="3:31">
      <c r="C2519" s="80" t="str" cm="1">
        <f t="array" ref="C2519">_xlfn.IFS(MONTH(D2519)&lt;4,1,MONTH(D2519)&lt;7,2,MONTH(D2519)&lt;10,3,MONTH(D2519)&gt;9,4)&amp;"Q"&amp;RIGHT(YEAR(D2519),2)</f>
        <v>1Q26</v>
      </c>
      <c r="D2519" s="81">
        <f t="shared" si="757"/>
        <v>46053</v>
      </c>
      <c r="E2519" s="82">
        <f t="shared" si="768"/>
        <v>46048</v>
      </c>
      <c r="F2519" s="83">
        <f t="shared" si="766"/>
        <v>3.8625</v>
      </c>
      <c r="G2519" s="83">
        <f t="shared" si="766"/>
        <v>1.4375</v>
      </c>
      <c r="I2519" s="146">
        <v>46048</v>
      </c>
      <c r="J2519" s="147">
        <v>45</v>
      </c>
      <c r="K2519" s="147">
        <v>10.3</v>
      </c>
      <c r="L2519" s="158">
        <v>30.9</v>
      </c>
      <c r="M2519" s="59" cm="1">
        <f t="array" ref="M2519">INDEX($BV$29:$BV$1449,MATCH($D2519,$BR$29:$BR$1449,0),)</f>
        <v>11.5</v>
      </c>
      <c r="N2519" s="150">
        <f t="shared" si="761"/>
        <v>0.00651465798045603</v>
      </c>
      <c r="O2519" s="150">
        <f t="shared" si="762"/>
        <v>0.047457627118644</v>
      </c>
      <c r="P2519" s="150">
        <f t="shared" si="767"/>
        <v>0.135444991548468</v>
      </c>
      <c r="Q2519" s="89">
        <f t="shared" si="769"/>
        <v>1.68695652173913</v>
      </c>
      <c r="S2519" s="82">
        <f t="shared" si="770"/>
        <v>46048</v>
      </c>
      <c r="T2519" s="83">
        <f t="shared" si="765"/>
        <v>2.2916875</v>
      </c>
      <c r="U2519" s="83">
        <f t="shared" si="765"/>
        <v>1.78125</v>
      </c>
      <c r="W2519" s="146">
        <v>46048</v>
      </c>
      <c r="X2519" s="147">
        <v>55</v>
      </c>
      <c r="Y2519" s="147">
        <v>26</v>
      </c>
      <c r="Z2519" s="158">
        <v>36.667</v>
      </c>
      <c r="AA2519" s="59" cm="1">
        <f t="array" ref="AA2519">INDEX($BX$29:$BX$1449,MATCH($D2519,$BR$29:$BR$1449,0),)</f>
        <v>28.5</v>
      </c>
      <c r="AB2519" s="150">
        <f t="shared" si="771"/>
        <v>0</v>
      </c>
      <c r="AC2519" s="150">
        <f t="shared" si="755"/>
        <v>0.0377550731610676</v>
      </c>
      <c r="AD2519" s="150">
        <f t="shared" si="758"/>
        <v>0.128215384615385</v>
      </c>
      <c r="AE2519" s="89">
        <f t="shared" si="772"/>
        <v>0.286561403508772</v>
      </c>
    </row>
    <row r="2520" spans="3:31">
      <c r="C2520" s="80" t="str" cm="1">
        <f t="array" ref="C2520">_xlfn.IFS(MONTH(D2520)&lt;4,1,MONTH(D2520)&lt;7,2,MONTH(D2520)&lt;10,3,MONTH(D2520)&gt;9,4)&amp;"Q"&amp;RIGHT(YEAR(D2520),2)</f>
        <v>1Q26</v>
      </c>
      <c r="D2520" s="81">
        <f t="shared" si="757"/>
        <v>46053</v>
      </c>
      <c r="E2520" s="82">
        <f t="shared" si="768"/>
        <v>46049</v>
      </c>
      <c r="F2520" s="83">
        <f t="shared" si="766"/>
        <v>3.8625</v>
      </c>
      <c r="G2520" s="83">
        <f t="shared" si="766"/>
        <v>1.4375</v>
      </c>
      <c r="I2520" s="146">
        <v>46049</v>
      </c>
      <c r="J2520" s="147">
        <v>45</v>
      </c>
      <c r="K2520" s="147">
        <v>10.3</v>
      </c>
      <c r="L2520" s="158">
        <v>30.9</v>
      </c>
      <c r="M2520" s="59" cm="1">
        <f t="array" ref="M2520">INDEX($BV$29:$BV$1449,MATCH($D2520,$BR$29:$BR$1449,0),)</f>
        <v>11.5</v>
      </c>
      <c r="N2520" s="150">
        <f t="shared" si="761"/>
        <v>0</v>
      </c>
      <c r="O2520" s="150">
        <f t="shared" si="762"/>
        <v>0.0273631013731421</v>
      </c>
      <c r="P2520" s="150">
        <f t="shared" si="767"/>
        <v>0.109236457622859</v>
      </c>
      <c r="Q2520" s="89">
        <f t="shared" si="769"/>
        <v>1.68695652173913</v>
      </c>
      <c r="S2520" s="82">
        <f t="shared" si="770"/>
        <v>46049</v>
      </c>
      <c r="T2520" s="83">
        <f t="shared" ref="T2520:U2535" si="773">+Z2520/16</f>
        <v>2.2875</v>
      </c>
      <c r="U2520" s="83">
        <f t="shared" si="773"/>
        <v>1.78125</v>
      </c>
      <c r="W2520" s="146">
        <v>46049</v>
      </c>
      <c r="X2520" s="147">
        <v>55</v>
      </c>
      <c r="Y2520" s="147">
        <v>26</v>
      </c>
      <c r="Z2520" s="158">
        <v>36.6</v>
      </c>
      <c r="AA2520" s="59" cm="1">
        <f t="array" ref="AA2520">INDEX($BX$29:$BX$1449,MATCH($D2520,$BR$29:$BR$1449,0),)</f>
        <v>28.5</v>
      </c>
      <c r="AB2520" s="150">
        <f t="shared" si="771"/>
        <v>-0.00182725611585355</v>
      </c>
      <c r="AC2520" s="150">
        <f t="shared" si="755"/>
        <v>0.00734869127239701</v>
      </c>
      <c r="AD2520" s="150">
        <f t="shared" si="758"/>
        <v>0.09561156678441</v>
      </c>
      <c r="AE2520" s="89">
        <f t="shared" si="772"/>
        <v>0.284210526315789</v>
      </c>
    </row>
    <row r="2521" spans="3:31">
      <c r="C2521" s="80" t="str" cm="1">
        <f t="array" ref="C2521">_xlfn.IFS(MONTH(D2521)&lt;4,1,MONTH(D2521)&lt;7,2,MONTH(D2521)&lt;10,3,MONTH(D2521)&gt;9,4)&amp;"Q"&amp;RIGHT(YEAR(D2521),2)</f>
        <v>1Q26</v>
      </c>
      <c r="D2521" s="81">
        <f t="shared" si="757"/>
        <v>46053</v>
      </c>
      <c r="E2521" s="82">
        <f t="shared" si="768"/>
        <v>46050</v>
      </c>
      <c r="F2521" s="83">
        <f t="shared" si="766"/>
        <v>3.8575</v>
      </c>
      <c r="G2521" s="83">
        <f t="shared" si="766"/>
        <v>1.4375</v>
      </c>
      <c r="I2521" s="146">
        <v>46050</v>
      </c>
      <c r="J2521" s="147">
        <v>45</v>
      </c>
      <c r="K2521" s="147">
        <v>10.3</v>
      </c>
      <c r="L2521" s="158">
        <v>30.86</v>
      </c>
      <c r="M2521" s="59" cm="1">
        <f t="array" ref="M2521">INDEX($BV$29:$BV$1449,MATCH($D2521,$BR$29:$BR$1449,0),)</f>
        <v>11.5</v>
      </c>
      <c r="N2521" s="150">
        <f t="shared" si="761"/>
        <v>-0.00129449838187701</v>
      </c>
      <c r="O2521" s="150">
        <f t="shared" si="762"/>
        <v>0.0184818481848184</v>
      </c>
      <c r="P2521" s="150">
        <f t="shared" si="767"/>
        <v>0.0882674471911697</v>
      </c>
      <c r="Q2521" s="89">
        <f t="shared" si="769"/>
        <v>1.68347826086957</v>
      </c>
      <c r="S2521" s="82">
        <f t="shared" si="770"/>
        <v>46050</v>
      </c>
      <c r="T2521" s="83">
        <f t="shared" si="773"/>
        <v>2.2875</v>
      </c>
      <c r="U2521" s="83">
        <f t="shared" si="773"/>
        <v>1.78125</v>
      </c>
      <c r="W2521" s="146">
        <v>46050</v>
      </c>
      <c r="X2521" s="147">
        <v>55</v>
      </c>
      <c r="Y2521" s="147">
        <v>26</v>
      </c>
      <c r="Z2521" s="158">
        <v>36.6</v>
      </c>
      <c r="AA2521" s="59" cm="1">
        <f t="array" ref="AA2521">INDEX($BX$29:$BX$1449,MATCH($D2521,$BR$29:$BR$1449,0),)</f>
        <v>28.5</v>
      </c>
      <c r="AB2521" s="150">
        <f t="shared" si="771"/>
        <v>0</v>
      </c>
      <c r="AC2521" s="150">
        <f t="shared" ref="AC2521:AC2584" si="774">Z2521/Z2516-1</f>
        <v>-0.00182725611585355</v>
      </c>
      <c r="AD2521" s="150">
        <f t="shared" si="758"/>
        <v>0.0741012472487159</v>
      </c>
      <c r="AE2521" s="89">
        <f t="shared" si="772"/>
        <v>0.284210526315789</v>
      </c>
    </row>
    <row r="2522" spans="3:31">
      <c r="C2522" s="80" t="str" cm="1">
        <f t="array" ref="C2522">_xlfn.IFS(MONTH(D2522)&lt;4,1,MONTH(D2522)&lt;7,2,MONTH(D2522)&lt;10,3,MONTH(D2522)&gt;9,4)&amp;"Q"&amp;RIGHT(YEAR(D2522),2)</f>
        <v>1Q26</v>
      </c>
      <c r="D2522" s="81">
        <f t="shared" si="757"/>
        <v>46053</v>
      </c>
      <c r="E2522" s="82">
        <f t="shared" si="768"/>
        <v>46051</v>
      </c>
      <c r="F2522" s="83">
        <f t="shared" ref="F2522:G2537" si="775">+L2522/8</f>
        <v>3.8575</v>
      </c>
      <c r="G2522" s="83">
        <f t="shared" si="775"/>
        <v>1.4375</v>
      </c>
      <c r="I2522" s="146">
        <v>46051</v>
      </c>
      <c r="J2522" s="147">
        <v>45</v>
      </c>
      <c r="K2522" s="147">
        <v>10.3</v>
      </c>
      <c r="L2522" s="158">
        <v>30.86</v>
      </c>
      <c r="M2522" s="59" cm="1">
        <f t="array" ref="M2522">INDEX($BV$29:$BV$1449,MATCH($D2522,$BR$29:$BR$1449,0),)</f>
        <v>11.5</v>
      </c>
      <c r="N2522" s="150">
        <f t="shared" si="761"/>
        <v>0</v>
      </c>
      <c r="O2522" s="150">
        <f t="shared" si="762"/>
        <v>0.0184818481848184</v>
      </c>
      <c r="P2522" s="150">
        <f t="shared" si="767"/>
        <v>0.0828070175438596</v>
      </c>
      <c r="Q2522" s="89">
        <f t="shared" si="769"/>
        <v>1.68347826086957</v>
      </c>
      <c r="S2522" s="82">
        <f t="shared" si="770"/>
        <v>46051</v>
      </c>
      <c r="T2522" s="83">
        <f t="shared" si="773"/>
        <v>2.2833125</v>
      </c>
      <c r="U2522" s="83">
        <f t="shared" si="773"/>
        <v>1.78125</v>
      </c>
      <c r="W2522" s="146">
        <v>46051</v>
      </c>
      <c r="X2522" s="147">
        <v>55</v>
      </c>
      <c r="Y2522" s="147">
        <v>26</v>
      </c>
      <c r="Z2522" s="158">
        <v>36.533</v>
      </c>
      <c r="AA2522" s="59" cm="1">
        <f t="array" ref="AA2522">INDEX($BX$29:$BX$1449,MATCH($D2522,$BR$29:$BR$1449,0),)</f>
        <v>28.5</v>
      </c>
      <c r="AB2522" s="150">
        <f t="shared" si="771"/>
        <v>-0.00183060109289623</v>
      </c>
      <c r="AC2522" s="150">
        <f t="shared" si="774"/>
        <v>-0.00365451223170699</v>
      </c>
      <c r="AD2522" s="150">
        <f t="shared" si="758"/>
        <v>0.0589275362318842</v>
      </c>
      <c r="AE2522" s="89">
        <f t="shared" si="772"/>
        <v>0.281859649122807</v>
      </c>
    </row>
    <row r="2523" spans="3:31">
      <c r="C2523" s="80" t="str" cm="1">
        <f t="array" ref="C2523">_xlfn.IFS(MONTH(D2523)&lt;4,1,MONTH(D2523)&lt;7,2,MONTH(D2523)&lt;10,3,MONTH(D2523)&gt;9,4)&amp;"Q"&amp;RIGHT(YEAR(D2523),2)</f>
        <v>1Q26</v>
      </c>
      <c r="D2523" s="81">
        <f t="shared" si="757"/>
        <v>46053</v>
      </c>
      <c r="E2523" s="82">
        <f t="shared" si="768"/>
        <v>46052</v>
      </c>
      <c r="F2523" s="83">
        <f t="shared" si="775"/>
        <v>3.845</v>
      </c>
      <c r="G2523" s="83">
        <f t="shared" si="775"/>
        <v>1.4375</v>
      </c>
      <c r="I2523" s="146">
        <v>46052</v>
      </c>
      <c r="J2523" s="147">
        <v>43.5</v>
      </c>
      <c r="K2523" s="147">
        <v>10.3</v>
      </c>
      <c r="L2523" s="158">
        <v>30.76</v>
      </c>
      <c r="M2523" s="59" cm="1">
        <f t="array" ref="M2523">INDEX($BV$29:$BV$1449,MATCH($D2523,$BR$29:$BR$1449,0),)</f>
        <v>11.5</v>
      </c>
      <c r="N2523" s="150">
        <f t="shared" si="761"/>
        <v>-0.00324044069993512</v>
      </c>
      <c r="O2523" s="150">
        <f t="shared" si="762"/>
        <v>0.00195439739413694</v>
      </c>
      <c r="P2523" s="150">
        <f t="shared" si="767"/>
        <v>0.0649125843863596</v>
      </c>
      <c r="Q2523" s="89">
        <f t="shared" si="769"/>
        <v>1.67478260869565</v>
      </c>
      <c r="S2523" s="82">
        <f t="shared" si="770"/>
        <v>46052</v>
      </c>
      <c r="T2523" s="83">
        <f t="shared" si="773"/>
        <v>2.3229375</v>
      </c>
      <c r="U2523" s="83">
        <f t="shared" si="773"/>
        <v>1.78125</v>
      </c>
      <c r="W2523" s="146">
        <v>46052</v>
      </c>
      <c r="X2523" s="147">
        <v>55</v>
      </c>
      <c r="Y2523" s="147">
        <v>26</v>
      </c>
      <c r="Z2523" s="158">
        <v>37.167</v>
      </c>
      <c r="AA2523" s="59" cm="1">
        <f t="array" ref="AA2523">INDEX($BX$29:$BX$1449,MATCH($D2523,$BR$29:$BR$1449,0),)</f>
        <v>28.5</v>
      </c>
      <c r="AB2523" s="150">
        <f t="shared" si="771"/>
        <v>0.0173541729395341</v>
      </c>
      <c r="AC2523" s="150">
        <f t="shared" si="774"/>
        <v>0.0136362396705485</v>
      </c>
      <c r="AD2523" s="150">
        <f t="shared" si="758"/>
        <v>0.0619142857142858</v>
      </c>
      <c r="AE2523" s="89">
        <f t="shared" si="772"/>
        <v>0.304105263157895</v>
      </c>
    </row>
    <row r="2524" spans="3:31">
      <c r="C2524" s="80" t="str" cm="1">
        <f t="array" ref="C2524">_xlfn.IFS(MONTH(D2524)&lt;4,1,MONTH(D2524)&lt;7,2,MONTH(D2524)&lt;10,3,MONTH(D2524)&gt;9,4)&amp;"Q"&amp;RIGHT(YEAR(D2524),2)</f>
        <v>1Q26</v>
      </c>
      <c r="D2524" s="81">
        <f t="shared" si="757"/>
        <v>46081</v>
      </c>
      <c r="E2524" s="82">
        <f t="shared" si="768"/>
        <v>46055</v>
      </c>
      <c r="F2524" s="83">
        <f t="shared" si="775"/>
        <v>3.8625</v>
      </c>
      <c r="G2524" s="83">
        <f t="shared" si="775"/>
        <v>1.625</v>
      </c>
      <c r="I2524" s="146">
        <v>46055</v>
      </c>
      <c r="J2524" s="147">
        <v>45</v>
      </c>
      <c r="K2524" s="147">
        <v>10.5</v>
      </c>
      <c r="L2524" s="158">
        <v>30.9</v>
      </c>
      <c r="M2524" s="59" cm="1">
        <f t="array" ref="M2524">INDEX($BV$29:$BV$1449,MATCH($D2524,$BR$29:$BR$1449,0),)</f>
        <v>13</v>
      </c>
      <c r="N2524" s="150">
        <f t="shared" si="761"/>
        <v>0.00455136540962275</v>
      </c>
      <c r="O2524" s="150">
        <f t="shared" si="762"/>
        <v>0</v>
      </c>
      <c r="P2524" s="150">
        <f t="shared" si="767"/>
        <v>0.047457627118644</v>
      </c>
      <c r="Q2524" s="89">
        <f t="shared" si="769"/>
        <v>1.37692307692308</v>
      </c>
      <c r="S2524" s="82">
        <f t="shared" si="770"/>
        <v>46055</v>
      </c>
      <c r="T2524" s="83">
        <f t="shared" si="773"/>
        <v>2.3854375</v>
      </c>
      <c r="U2524" s="83">
        <f t="shared" si="773"/>
        <v>1.875</v>
      </c>
      <c r="W2524" s="146">
        <v>46055</v>
      </c>
      <c r="X2524" s="147">
        <v>54.8</v>
      </c>
      <c r="Y2524" s="147">
        <v>25.8</v>
      </c>
      <c r="Z2524" s="158">
        <v>38.167</v>
      </c>
      <c r="AA2524" s="59" cm="1">
        <f t="array" ref="AA2524">INDEX($BX$29:$BX$1449,MATCH($D2524,$BR$29:$BR$1449,0),)</f>
        <v>30</v>
      </c>
      <c r="AB2524" s="150">
        <f t="shared" si="771"/>
        <v>0.0269055882906879</v>
      </c>
      <c r="AC2524" s="150">
        <f t="shared" si="774"/>
        <v>0.0409087190116453</v>
      </c>
      <c r="AD2524" s="150">
        <f t="shared" si="758"/>
        <v>0.0802083038519232</v>
      </c>
      <c r="AE2524" s="89">
        <f t="shared" si="772"/>
        <v>0.272233333333333</v>
      </c>
    </row>
    <row r="2525" spans="3:31">
      <c r="C2525" s="80" t="str" cm="1">
        <f t="array" ref="C2525">_xlfn.IFS(MONTH(D2525)&lt;4,1,MONTH(D2525)&lt;7,2,MONTH(D2525)&lt;10,3,MONTH(D2525)&gt;9,4)&amp;"Q"&amp;RIGHT(YEAR(D2525),2)</f>
        <v>1Q26</v>
      </c>
      <c r="D2525" s="81">
        <f t="shared" si="757"/>
        <v>46081</v>
      </c>
      <c r="E2525" s="82">
        <f t="shared" si="768"/>
        <v>46056</v>
      </c>
      <c r="F2525" s="83">
        <f t="shared" si="775"/>
        <v>3.86</v>
      </c>
      <c r="G2525" s="83">
        <f t="shared" si="775"/>
        <v>1.625</v>
      </c>
      <c r="I2525" s="146">
        <v>46056</v>
      </c>
      <c r="J2525" s="147">
        <v>45</v>
      </c>
      <c r="K2525" s="147">
        <v>10.5</v>
      </c>
      <c r="L2525" s="158">
        <v>30.88</v>
      </c>
      <c r="M2525" s="59" cm="1">
        <f t="array" ref="M2525">INDEX($BV$29:$BV$1449,MATCH($D2525,$BR$29:$BR$1449,0),)</f>
        <v>13</v>
      </c>
      <c r="N2525" s="150">
        <f t="shared" si="761"/>
        <v>-0.000647249190938504</v>
      </c>
      <c r="O2525" s="150">
        <f t="shared" si="762"/>
        <v>-0.000647249190938504</v>
      </c>
      <c r="P2525" s="150">
        <f t="shared" si="767"/>
        <v>0.0266981414369782</v>
      </c>
      <c r="Q2525" s="89">
        <f t="shared" si="769"/>
        <v>1.37538461538462</v>
      </c>
      <c r="S2525" s="82">
        <f t="shared" si="770"/>
        <v>46056</v>
      </c>
      <c r="T2525" s="83">
        <f t="shared" si="773"/>
        <v>2.375</v>
      </c>
      <c r="U2525" s="83">
        <f t="shared" si="773"/>
        <v>1.875</v>
      </c>
      <c r="W2525" s="146">
        <v>46056</v>
      </c>
      <c r="X2525" s="147">
        <v>53</v>
      </c>
      <c r="Y2525" s="147">
        <v>25.8</v>
      </c>
      <c r="Z2525" s="158">
        <v>38</v>
      </c>
      <c r="AA2525" s="59" cm="1">
        <f t="array" ref="AA2525">INDEX($BX$29:$BX$1449,MATCH($D2525,$BR$29:$BR$1449,0),)</f>
        <v>30</v>
      </c>
      <c r="AB2525" s="150">
        <f t="shared" si="771"/>
        <v>-0.00437550763748795</v>
      </c>
      <c r="AC2525" s="150">
        <f t="shared" si="774"/>
        <v>0.0382513661202186</v>
      </c>
      <c r="AD2525" s="150">
        <f t="shared" si="758"/>
        <v>0.0458811548729805</v>
      </c>
      <c r="AE2525" s="89">
        <f t="shared" si="772"/>
        <v>0.266666666666667</v>
      </c>
    </row>
    <row r="2526" spans="3:31">
      <c r="C2526" s="80" t="str" cm="1">
        <f t="array" ref="C2526">_xlfn.IFS(MONTH(D2526)&lt;4,1,MONTH(D2526)&lt;7,2,MONTH(D2526)&lt;10,3,MONTH(D2526)&gt;9,4)&amp;"Q"&amp;RIGHT(YEAR(D2526),2)</f>
        <v>1Q26</v>
      </c>
      <c r="D2526" s="81">
        <f t="shared" ref="D2526:D2589" si="776">EOMONTH(E2526,0)</f>
        <v>46081</v>
      </c>
      <c r="E2526" s="82">
        <f t="shared" si="768"/>
        <v>46057</v>
      </c>
      <c r="F2526" s="83">
        <f t="shared" si="775"/>
        <v>3.8575</v>
      </c>
      <c r="G2526" s="83">
        <f t="shared" si="775"/>
        <v>1.625</v>
      </c>
      <c r="I2526" s="146">
        <v>46057</v>
      </c>
      <c r="J2526" s="147">
        <v>45</v>
      </c>
      <c r="K2526" s="147">
        <v>10.7</v>
      </c>
      <c r="L2526" s="158">
        <v>30.86</v>
      </c>
      <c r="M2526" s="59" cm="1">
        <f t="array" ref="M2526">INDEX($BV$29:$BV$1449,MATCH($D2526,$BR$29:$BR$1449,0),)</f>
        <v>13</v>
      </c>
      <c r="N2526" s="150">
        <f t="shared" si="761"/>
        <v>-0.000647668393782386</v>
      </c>
      <c r="O2526" s="150">
        <f t="shared" si="762"/>
        <v>0</v>
      </c>
      <c r="P2526" s="150">
        <f t="shared" si="767"/>
        <v>0.0184818481848184</v>
      </c>
      <c r="Q2526" s="89">
        <f t="shared" si="769"/>
        <v>1.37384615384615</v>
      </c>
      <c r="S2526" s="82">
        <f t="shared" si="770"/>
        <v>46057</v>
      </c>
      <c r="T2526" s="83">
        <f t="shared" si="773"/>
        <v>2.3729375</v>
      </c>
      <c r="U2526" s="83">
        <f t="shared" si="773"/>
        <v>1.875</v>
      </c>
      <c r="W2526" s="146">
        <v>46057</v>
      </c>
      <c r="X2526" s="147">
        <v>52</v>
      </c>
      <c r="Y2526" s="147">
        <v>25.8</v>
      </c>
      <c r="Z2526" s="158">
        <v>37.967</v>
      </c>
      <c r="AA2526" s="59" cm="1">
        <f t="array" ref="AA2526">INDEX($BX$29:$BX$1449,MATCH($D2526,$BR$29:$BR$1449,0),)</f>
        <v>30</v>
      </c>
      <c r="AB2526" s="150">
        <f t="shared" si="771"/>
        <v>-0.000868421052631629</v>
      </c>
      <c r="AC2526" s="150">
        <f t="shared" si="774"/>
        <v>0.0373497267759562</v>
      </c>
      <c r="AD2526" s="150">
        <f t="shared" ref="AD2526:AD2589" si="777">Z2526/Z2516-1</f>
        <v>0.0354542231434258</v>
      </c>
      <c r="AE2526" s="89">
        <f t="shared" si="772"/>
        <v>0.265566666666667</v>
      </c>
    </row>
    <row r="2527" spans="3:31">
      <c r="C2527" s="80" t="str" cm="1">
        <f t="array" ref="C2527">_xlfn.IFS(MONTH(D2527)&lt;4,1,MONTH(D2527)&lt;7,2,MONTH(D2527)&lt;10,3,MONTH(D2527)&gt;9,4)&amp;"Q"&amp;RIGHT(YEAR(D2527),2)</f>
        <v>1Q26</v>
      </c>
      <c r="D2527" s="81">
        <f t="shared" si="776"/>
        <v>46081</v>
      </c>
      <c r="E2527" s="82">
        <f t="shared" si="768"/>
        <v>46058</v>
      </c>
      <c r="F2527" s="83">
        <f t="shared" si="775"/>
        <v>3.855</v>
      </c>
      <c r="G2527" s="83">
        <f t="shared" si="775"/>
        <v>1.625</v>
      </c>
      <c r="I2527" s="146">
        <v>46058</v>
      </c>
      <c r="J2527" s="147">
        <v>45</v>
      </c>
      <c r="K2527" s="147">
        <v>10.7</v>
      </c>
      <c r="L2527" s="158">
        <v>30.84</v>
      </c>
      <c r="M2527" s="59" cm="1">
        <f t="array" ref="M2527">INDEX($BV$29:$BV$1449,MATCH($D2527,$BR$29:$BR$1449,0),)</f>
        <v>13</v>
      </c>
      <c r="N2527" s="150">
        <f t="shared" si="761"/>
        <v>-0.000648088139987069</v>
      </c>
      <c r="O2527" s="150">
        <f t="shared" si="762"/>
        <v>-0.000648088139987069</v>
      </c>
      <c r="P2527" s="150">
        <f t="shared" si="767"/>
        <v>0.0178217821782178</v>
      </c>
      <c r="Q2527" s="89">
        <f t="shared" si="769"/>
        <v>1.37230769230769</v>
      </c>
      <c r="S2527" s="82">
        <f t="shared" si="770"/>
        <v>46058</v>
      </c>
      <c r="T2527" s="83">
        <f t="shared" si="773"/>
        <v>2.3708125</v>
      </c>
      <c r="U2527" s="83">
        <f t="shared" si="773"/>
        <v>1.875</v>
      </c>
      <c r="W2527" s="146">
        <v>46058</v>
      </c>
      <c r="X2527" s="147">
        <v>52</v>
      </c>
      <c r="Y2527" s="147">
        <v>25.5</v>
      </c>
      <c r="Z2527" s="158">
        <v>37.933</v>
      </c>
      <c r="AA2527" s="59" cm="1">
        <f t="array" ref="AA2527">INDEX($BX$29:$BX$1449,MATCH($D2527,$BR$29:$BR$1449,0),)</f>
        <v>30</v>
      </c>
      <c r="AB2527" s="150">
        <f t="shared" si="771"/>
        <v>-0.000895514525772301</v>
      </c>
      <c r="AC2527" s="150">
        <f t="shared" si="774"/>
        <v>0.0383215175320943</v>
      </c>
      <c r="AD2527" s="150">
        <f t="shared" si="777"/>
        <v>0.0345269588458286</v>
      </c>
      <c r="AE2527" s="89">
        <f t="shared" si="772"/>
        <v>0.264433333333333</v>
      </c>
    </row>
    <row r="2528" spans="3:31">
      <c r="C2528" s="80" t="str" cm="1">
        <f t="array" ref="C2528">_xlfn.IFS(MONTH(D2528)&lt;4,1,MONTH(D2528)&lt;7,2,MONTH(D2528)&lt;10,3,MONTH(D2528)&gt;9,4)&amp;"Q"&amp;RIGHT(YEAR(D2528),2)</f>
        <v>1Q26</v>
      </c>
      <c r="D2528" s="81">
        <f t="shared" si="776"/>
        <v>46081</v>
      </c>
      <c r="E2528" s="82">
        <f t="shared" si="768"/>
        <v>46059</v>
      </c>
      <c r="F2528" s="83">
        <f t="shared" si="775"/>
        <v>3.875</v>
      </c>
      <c r="G2528" s="83">
        <f t="shared" si="775"/>
        <v>1.625</v>
      </c>
      <c r="I2528" s="146">
        <v>46059</v>
      </c>
      <c r="J2528" s="147">
        <v>47</v>
      </c>
      <c r="K2528" s="147">
        <v>10.7</v>
      </c>
      <c r="L2528" s="158">
        <v>31</v>
      </c>
      <c r="M2528" s="59" cm="1">
        <f t="array" ref="M2528">INDEX($BV$29:$BV$1449,MATCH($D2528,$BR$29:$BR$1449,0),)</f>
        <v>13</v>
      </c>
      <c r="N2528" s="150">
        <f t="shared" si="761"/>
        <v>0.00518806744487676</v>
      </c>
      <c r="O2528" s="150">
        <f t="shared" si="762"/>
        <v>0.00780234070221053</v>
      </c>
      <c r="P2528" s="150">
        <f t="shared" si="767"/>
        <v>0.00977198697068404</v>
      </c>
      <c r="Q2528" s="89">
        <f t="shared" si="769"/>
        <v>1.38461538461538</v>
      </c>
      <c r="S2528" s="82">
        <f t="shared" si="770"/>
        <v>46059</v>
      </c>
      <c r="T2528" s="83">
        <f t="shared" si="773"/>
        <v>2.375</v>
      </c>
      <c r="U2528" s="83">
        <f t="shared" si="773"/>
        <v>1.875</v>
      </c>
      <c r="W2528" s="146">
        <v>46059</v>
      </c>
      <c r="X2528" s="147">
        <v>53</v>
      </c>
      <c r="Y2528" s="147">
        <v>25.5</v>
      </c>
      <c r="Z2528" s="158">
        <v>38</v>
      </c>
      <c r="AA2528" s="59" cm="1">
        <f t="array" ref="AA2528">INDEX($BX$29:$BX$1449,MATCH($D2528,$BR$29:$BR$1449,0),)</f>
        <v>30</v>
      </c>
      <c r="AB2528" s="150">
        <f t="shared" si="771"/>
        <v>0.00176627211135427</v>
      </c>
      <c r="AC2528" s="150">
        <f t="shared" si="774"/>
        <v>0.022412355046143</v>
      </c>
      <c r="AD2528" s="150">
        <f t="shared" si="777"/>
        <v>0.0363542149616822</v>
      </c>
      <c r="AE2528" s="89">
        <f t="shared" si="772"/>
        <v>0.266666666666667</v>
      </c>
    </row>
    <row r="2529" spans="3:31">
      <c r="C2529" s="80" t="str" cm="1">
        <f t="array" ref="C2529">_xlfn.IFS(MONTH(D2529)&lt;4,1,MONTH(D2529)&lt;7,2,MONTH(D2529)&lt;10,3,MONTH(D2529)&gt;9,4)&amp;"Q"&amp;RIGHT(YEAR(D2529),2)</f>
        <v>1Q26</v>
      </c>
      <c r="D2529" s="81">
        <f t="shared" si="776"/>
        <v>46081</v>
      </c>
      <c r="E2529" s="82">
        <f t="shared" si="768"/>
        <v>46062</v>
      </c>
      <c r="F2529" s="83">
        <f t="shared" si="775"/>
        <v>3.8625</v>
      </c>
      <c r="G2529" s="83">
        <f t="shared" si="775"/>
        <v>1.625</v>
      </c>
      <c r="I2529" s="146">
        <v>46062</v>
      </c>
      <c r="J2529" s="147">
        <v>46.5</v>
      </c>
      <c r="K2529" s="147">
        <v>10.5</v>
      </c>
      <c r="L2529" s="158">
        <v>30.9</v>
      </c>
      <c r="M2529" s="59" cm="1">
        <f t="array" ref="M2529">INDEX($BV$29:$BV$1449,MATCH($D2529,$BR$29:$BR$1449,0),)</f>
        <v>13</v>
      </c>
      <c r="N2529" s="150">
        <f t="shared" si="761"/>
        <v>-0.00322580645161297</v>
      </c>
      <c r="O2529" s="150">
        <f t="shared" si="762"/>
        <v>0</v>
      </c>
      <c r="P2529" s="150">
        <f t="shared" si="767"/>
        <v>0</v>
      </c>
      <c r="Q2529" s="89">
        <f t="shared" si="769"/>
        <v>1.37692307692308</v>
      </c>
      <c r="S2529" s="82">
        <f t="shared" si="770"/>
        <v>46062</v>
      </c>
      <c r="T2529" s="83">
        <f t="shared" si="773"/>
        <v>2.3645625</v>
      </c>
      <c r="U2529" s="83">
        <f t="shared" si="773"/>
        <v>1.875</v>
      </c>
      <c r="W2529" s="146">
        <v>46062</v>
      </c>
      <c r="X2529" s="147">
        <v>53</v>
      </c>
      <c r="Y2529" s="147">
        <v>25</v>
      </c>
      <c r="Z2529" s="158">
        <v>37.833</v>
      </c>
      <c r="AA2529" s="59" cm="1">
        <f t="array" ref="AA2529">INDEX($BX$29:$BX$1449,MATCH($D2529,$BR$29:$BR$1449,0),)</f>
        <v>30</v>
      </c>
      <c r="AB2529" s="150">
        <f t="shared" si="771"/>
        <v>-0.00439473684210534</v>
      </c>
      <c r="AC2529" s="150">
        <f t="shared" si="774"/>
        <v>-0.00875101527497579</v>
      </c>
      <c r="AD2529" s="150">
        <f t="shared" si="777"/>
        <v>0.031799710911719</v>
      </c>
      <c r="AE2529" s="89">
        <f t="shared" si="772"/>
        <v>0.2611</v>
      </c>
    </row>
    <row r="2530" spans="3:31">
      <c r="C2530" s="80" t="str" cm="1">
        <f t="array" ref="C2530">_xlfn.IFS(MONTH(D2530)&lt;4,1,MONTH(D2530)&lt;7,2,MONTH(D2530)&lt;10,3,MONTH(D2530)&gt;9,4)&amp;"Q"&amp;RIGHT(YEAR(D2530),2)</f>
        <v>1Q26</v>
      </c>
      <c r="D2530" s="81">
        <f t="shared" si="776"/>
        <v>46081</v>
      </c>
      <c r="E2530" s="82">
        <f t="shared" si="768"/>
        <v>46063</v>
      </c>
      <c r="F2530" s="83">
        <f t="shared" si="775"/>
        <v>3.8875</v>
      </c>
      <c r="G2530" s="83">
        <f t="shared" si="775"/>
        <v>1.625</v>
      </c>
      <c r="I2530" s="146">
        <v>46063</v>
      </c>
      <c r="J2530" s="147">
        <v>46</v>
      </c>
      <c r="K2530" s="147">
        <v>10.5</v>
      </c>
      <c r="L2530" s="158">
        <v>31.1</v>
      </c>
      <c r="M2530" s="59" cm="1">
        <f t="array" ref="M2530">INDEX($BV$29:$BV$1449,MATCH($D2530,$BR$29:$BR$1449,0),)</f>
        <v>13</v>
      </c>
      <c r="N2530" s="150">
        <f t="shared" si="761"/>
        <v>0.00647249190938526</v>
      </c>
      <c r="O2530" s="150">
        <f t="shared" si="762"/>
        <v>0.00712435233160624</v>
      </c>
      <c r="P2530" s="150">
        <f t="shared" si="767"/>
        <v>0.00647249190938526</v>
      </c>
      <c r="Q2530" s="89">
        <f t="shared" si="769"/>
        <v>1.39230769230769</v>
      </c>
      <c r="S2530" s="82">
        <f t="shared" si="770"/>
        <v>46063</v>
      </c>
      <c r="T2530" s="83">
        <f t="shared" si="773"/>
        <v>2.375</v>
      </c>
      <c r="U2530" s="83">
        <f t="shared" si="773"/>
        <v>1.875</v>
      </c>
      <c r="W2530" s="146">
        <v>46063</v>
      </c>
      <c r="X2530" s="147">
        <v>53</v>
      </c>
      <c r="Y2530" s="147">
        <v>25</v>
      </c>
      <c r="Z2530" s="158">
        <v>38</v>
      </c>
      <c r="AA2530" s="59" cm="1">
        <f t="array" ref="AA2530">INDEX($BX$29:$BX$1449,MATCH($D2530,$BR$29:$BR$1449,0),)</f>
        <v>30</v>
      </c>
      <c r="AB2530" s="150">
        <f t="shared" si="771"/>
        <v>0.00441413580736394</v>
      </c>
      <c r="AC2530" s="150">
        <f t="shared" si="774"/>
        <v>0</v>
      </c>
      <c r="AD2530" s="150">
        <f t="shared" si="777"/>
        <v>0.0382513661202186</v>
      </c>
      <c r="AE2530" s="89">
        <f t="shared" si="772"/>
        <v>0.266666666666667</v>
      </c>
    </row>
    <row r="2531" spans="3:31">
      <c r="C2531" s="80" t="str" cm="1">
        <f t="array" ref="C2531">_xlfn.IFS(MONTH(D2531)&lt;4,1,MONTH(D2531)&lt;7,2,MONTH(D2531)&lt;10,3,MONTH(D2531)&gt;9,4)&amp;"Q"&amp;RIGHT(YEAR(D2531),2)</f>
        <v>1Q26</v>
      </c>
      <c r="D2531" s="81">
        <f t="shared" si="776"/>
        <v>46081</v>
      </c>
      <c r="E2531" s="82">
        <f t="shared" si="768"/>
        <v>46064</v>
      </c>
      <c r="F2531" s="83">
        <f t="shared" si="775"/>
        <v>3.9175</v>
      </c>
      <c r="G2531" s="83">
        <f t="shared" si="775"/>
        <v>1.625</v>
      </c>
      <c r="I2531" s="146">
        <v>46064</v>
      </c>
      <c r="J2531" s="147">
        <v>46</v>
      </c>
      <c r="K2531" s="147">
        <v>10.5</v>
      </c>
      <c r="L2531" s="158">
        <v>31.34</v>
      </c>
      <c r="M2531" s="59" cm="1">
        <f t="array" ref="M2531">INDEX($BV$29:$BV$1449,MATCH($D2531,$BR$29:$BR$1449,0),)</f>
        <v>13</v>
      </c>
      <c r="N2531" s="150">
        <f t="shared" si="761"/>
        <v>0.00771704180064314</v>
      </c>
      <c r="O2531" s="150">
        <f t="shared" si="762"/>
        <v>0.015554115359689</v>
      </c>
      <c r="P2531" s="150">
        <f t="shared" si="767"/>
        <v>0.015554115359689</v>
      </c>
      <c r="Q2531" s="89">
        <f t="shared" si="769"/>
        <v>1.41076923076923</v>
      </c>
      <c r="S2531" s="82">
        <f t="shared" si="770"/>
        <v>46064</v>
      </c>
      <c r="T2531" s="83">
        <f t="shared" si="773"/>
        <v>2.3770625</v>
      </c>
      <c r="U2531" s="83">
        <f t="shared" si="773"/>
        <v>1.875</v>
      </c>
      <c r="W2531" s="146">
        <v>46064</v>
      </c>
      <c r="X2531" s="147">
        <v>53</v>
      </c>
      <c r="Y2531" s="147">
        <v>25</v>
      </c>
      <c r="Z2531" s="158">
        <v>38.033</v>
      </c>
      <c r="AA2531" s="59" cm="1">
        <f t="array" ref="AA2531">INDEX($BX$29:$BX$1449,MATCH($D2531,$BR$29:$BR$1449,0),)</f>
        <v>30</v>
      </c>
      <c r="AB2531" s="150">
        <f t="shared" si="771"/>
        <v>0.000868421052631518</v>
      </c>
      <c r="AC2531" s="150">
        <f t="shared" si="774"/>
        <v>0.0017383517264995</v>
      </c>
      <c r="AD2531" s="150">
        <f t="shared" si="777"/>
        <v>0.0391530054644809</v>
      </c>
      <c r="AE2531" s="89">
        <f t="shared" si="772"/>
        <v>0.267766666666667</v>
      </c>
    </row>
    <row r="2532" spans="3:31">
      <c r="C2532" s="80" t="str" cm="1">
        <f t="array" ref="C2532">_xlfn.IFS(MONTH(D2532)&lt;4,1,MONTH(D2532)&lt;7,2,MONTH(D2532)&lt;10,3,MONTH(D2532)&gt;9,4)&amp;"Q"&amp;RIGHT(YEAR(D2532),2)</f>
        <v>1Q26</v>
      </c>
      <c r="D2532" s="81">
        <f t="shared" si="776"/>
        <v>46081</v>
      </c>
      <c r="E2532" s="82">
        <f t="shared" si="768"/>
        <v>46065</v>
      </c>
      <c r="F2532" s="83">
        <f t="shared" si="775"/>
        <v>3.9175</v>
      </c>
      <c r="G2532" s="83">
        <f t="shared" si="775"/>
        <v>1.625</v>
      </c>
      <c r="I2532" s="146">
        <v>46065</v>
      </c>
      <c r="J2532" s="147">
        <v>46</v>
      </c>
      <c r="K2532" s="147">
        <v>10.5</v>
      </c>
      <c r="L2532" s="158">
        <v>31.34</v>
      </c>
      <c r="M2532" s="59" cm="1">
        <f t="array" ref="M2532">INDEX($BV$29:$BV$1449,MATCH($D2532,$BR$29:$BR$1449,0),)</f>
        <v>13</v>
      </c>
      <c r="N2532" s="150">
        <f t="shared" si="761"/>
        <v>0</v>
      </c>
      <c r="O2532" s="150">
        <f t="shared" si="762"/>
        <v>0.0162127107652399</v>
      </c>
      <c r="P2532" s="150">
        <f t="shared" si="767"/>
        <v>0.015554115359689</v>
      </c>
      <c r="Q2532" s="89">
        <f t="shared" si="769"/>
        <v>1.41076923076923</v>
      </c>
      <c r="S2532" s="82">
        <f t="shared" si="770"/>
        <v>46065</v>
      </c>
      <c r="T2532" s="83">
        <f t="shared" si="773"/>
        <v>2.3770625</v>
      </c>
      <c r="U2532" s="83">
        <f t="shared" si="773"/>
        <v>1.875</v>
      </c>
      <c r="W2532" s="146">
        <v>46065</v>
      </c>
      <c r="X2532" s="147">
        <v>53</v>
      </c>
      <c r="Y2532" s="147">
        <v>25</v>
      </c>
      <c r="Z2532" s="158">
        <v>38.033</v>
      </c>
      <c r="AA2532" s="59" cm="1">
        <f t="array" ref="AA2532">INDEX($BX$29:$BX$1449,MATCH($D2532,$BR$29:$BR$1449,0),)</f>
        <v>30</v>
      </c>
      <c r="AB2532" s="150">
        <f t="shared" si="771"/>
        <v>0</v>
      </c>
      <c r="AC2532" s="150">
        <f t="shared" si="774"/>
        <v>0.00263622703187205</v>
      </c>
      <c r="AD2532" s="150">
        <f t="shared" si="777"/>
        <v>0.0410587687843866</v>
      </c>
      <c r="AE2532" s="89">
        <f t="shared" si="772"/>
        <v>0.267766666666667</v>
      </c>
    </row>
    <row r="2533" spans="3:31">
      <c r="C2533" s="80" t="str" cm="1">
        <f t="array" ref="C2533">_xlfn.IFS(MONTH(D2533)&lt;4,1,MONTH(D2533)&lt;7,2,MONTH(D2533)&lt;10,3,MONTH(D2533)&gt;9,4)&amp;"Q"&amp;RIGHT(YEAR(D2533),2)</f>
        <v>1Q26</v>
      </c>
      <c r="D2533" s="81">
        <f t="shared" si="776"/>
        <v>46081</v>
      </c>
      <c r="E2533" s="82">
        <f t="shared" si="768"/>
        <v>46066</v>
      </c>
      <c r="F2533" s="83">
        <f t="shared" si="775"/>
        <v>3.925</v>
      </c>
      <c r="G2533" s="83">
        <f t="shared" si="775"/>
        <v>1.625</v>
      </c>
      <c r="I2533" s="146">
        <v>46066</v>
      </c>
      <c r="J2533" s="147">
        <v>46</v>
      </c>
      <c r="K2533" s="147">
        <v>10.5</v>
      </c>
      <c r="L2533" s="158">
        <v>31.4</v>
      </c>
      <c r="M2533" s="59" cm="1">
        <f t="array" ref="M2533">INDEX($BV$29:$BV$1449,MATCH($D2533,$BR$29:$BR$1449,0),)</f>
        <v>13</v>
      </c>
      <c r="N2533" s="150">
        <f t="shared" si="761"/>
        <v>0.00191448627951485</v>
      </c>
      <c r="O2533" s="150">
        <f t="shared" si="762"/>
        <v>0.0129032258064516</v>
      </c>
      <c r="P2533" s="150">
        <f t="shared" si="767"/>
        <v>0.0208062418725616</v>
      </c>
      <c r="Q2533" s="89">
        <f t="shared" si="769"/>
        <v>1.41538461538462</v>
      </c>
      <c r="S2533" s="82">
        <f t="shared" si="770"/>
        <v>46066</v>
      </c>
      <c r="T2533" s="83">
        <f t="shared" si="773"/>
        <v>2.3791875</v>
      </c>
      <c r="U2533" s="83">
        <f t="shared" si="773"/>
        <v>1.875</v>
      </c>
      <c r="W2533" s="146">
        <v>46066</v>
      </c>
      <c r="X2533" s="147">
        <v>53</v>
      </c>
      <c r="Y2533" s="147">
        <v>25</v>
      </c>
      <c r="Z2533" s="158">
        <v>38.067</v>
      </c>
      <c r="AA2533" s="59" cm="1">
        <f t="array" ref="AA2533">INDEX($BX$29:$BX$1449,MATCH($D2533,$BR$29:$BR$1449,0),)</f>
        <v>30</v>
      </c>
      <c r="AB2533" s="150">
        <f t="shared" si="771"/>
        <v>0.000893960507979852</v>
      </c>
      <c r="AC2533" s="150">
        <f t="shared" si="774"/>
        <v>0.0017631578947368</v>
      </c>
      <c r="AD2533" s="150">
        <f t="shared" si="777"/>
        <v>0.0242150294616192</v>
      </c>
      <c r="AE2533" s="89">
        <f t="shared" si="772"/>
        <v>0.2689</v>
      </c>
    </row>
    <row r="2534" spans="3:31">
      <c r="C2534" s="80" t="str" cm="1">
        <f t="array" ref="C2534">_xlfn.IFS(MONTH(D2534)&lt;4,1,MONTH(D2534)&lt;7,2,MONTH(D2534)&lt;10,3,MONTH(D2534)&gt;9,4)&amp;"Q"&amp;RIGHT(YEAR(D2534),2)</f>
        <v>1Q26</v>
      </c>
      <c r="D2534" s="81">
        <f t="shared" si="776"/>
        <v>46081</v>
      </c>
      <c r="E2534" s="82">
        <f t="shared" si="768"/>
        <v>46076</v>
      </c>
      <c r="F2534" s="83">
        <f t="shared" si="775"/>
        <v>3.9375</v>
      </c>
      <c r="G2534" s="83">
        <f t="shared" si="775"/>
        <v>1.625</v>
      </c>
      <c r="I2534" s="146">
        <v>46076</v>
      </c>
      <c r="J2534" s="147">
        <v>46</v>
      </c>
      <c r="K2534" s="147">
        <v>10.5</v>
      </c>
      <c r="L2534" s="158">
        <v>31.5</v>
      </c>
      <c r="M2534" s="59" cm="1">
        <f t="array" ref="M2534">INDEX($BV$29:$BV$1449,MATCH($D2534,$BR$29:$BR$1449,0),)</f>
        <v>13</v>
      </c>
      <c r="N2534" s="150">
        <f t="shared" si="761"/>
        <v>0.00318471337579629</v>
      </c>
      <c r="O2534" s="150">
        <f t="shared" si="762"/>
        <v>0.0194174757281553</v>
      </c>
      <c r="P2534" s="150">
        <f t="shared" si="767"/>
        <v>0.0194174757281553</v>
      </c>
      <c r="Q2534" s="89">
        <f t="shared" si="769"/>
        <v>1.42307692307692</v>
      </c>
      <c r="S2534" s="82">
        <f t="shared" si="770"/>
        <v>46076</v>
      </c>
      <c r="T2534" s="83">
        <f t="shared" si="773"/>
        <v>2.38125</v>
      </c>
      <c r="U2534" s="83">
        <f t="shared" si="773"/>
        <v>1.875</v>
      </c>
      <c r="W2534" s="146">
        <v>46076</v>
      </c>
      <c r="X2534" s="147">
        <v>53</v>
      </c>
      <c r="Y2534" s="147">
        <v>25</v>
      </c>
      <c r="Z2534" s="158">
        <v>38.1</v>
      </c>
      <c r="AA2534" s="59" cm="1">
        <f t="array" ref="AA2534">INDEX($BX$29:$BX$1449,MATCH($D2534,$BR$29:$BR$1449,0),)</f>
        <v>30</v>
      </c>
      <c r="AB2534" s="150">
        <f t="shared" si="771"/>
        <v>0.000866892584127976</v>
      </c>
      <c r="AC2534" s="150">
        <f t="shared" si="774"/>
        <v>0.00705733090159399</v>
      </c>
      <c r="AD2534" s="150">
        <f t="shared" si="777"/>
        <v>-0.00175544318390231</v>
      </c>
      <c r="AE2534" s="89">
        <f t="shared" si="772"/>
        <v>0.27</v>
      </c>
    </row>
    <row r="2535" spans="3:31">
      <c r="C2535" s="80" t="str" cm="1">
        <f t="array" ref="C2535">_xlfn.IFS(MONTH(D2535)&lt;4,1,MONTH(D2535)&lt;7,2,MONTH(D2535)&lt;10,3,MONTH(D2535)&gt;9,4)&amp;"Q"&amp;RIGHT(YEAR(D2535),2)</f>
        <v>1Q26</v>
      </c>
      <c r="D2535" s="81">
        <f t="shared" si="776"/>
        <v>46081</v>
      </c>
      <c r="E2535" s="82">
        <f t="shared" si="768"/>
        <v>46077</v>
      </c>
      <c r="F2535" s="83">
        <f t="shared" si="775"/>
        <v>3.9875</v>
      </c>
      <c r="G2535" s="83">
        <f t="shared" si="775"/>
        <v>1.625</v>
      </c>
      <c r="I2535" s="146">
        <v>46077</v>
      </c>
      <c r="J2535" s="147">
        <v>48</v>
      </c>
      <c r="K2535" s="147">
        <v>10.8</v>
      </c>
      <c r="L2535" s="158">
        <v>31.9</v>
      </c>
      <c r="M2535" s="59" cm="1">
        <f t="array" ref="M2535">INDEX($BV$29:$BV$1449,MATCH($D2535,$BR$29:$BR$1449,0),)</f>
        <v>13</v>
      </c>
      <c r="N2535" s="150">
        <f t="shared" si="761"/>
        <v>0.0126984126984127</v>
      </c>
      <c r="O2535" s="150">
        <f t="shared" si="762"/>
        <v>0.0257234726688103</v>
      </c>
      <c r="P2535" s="150">
        <f t="shared" si="767"/>
        <v>0.0330310880829014</v>
      </c>
      <c r="Q2535" s="89">
        <f t="shared" si="769"/>
        <v>1.45384615384615</v>
      </c>
      <c r="S2535" s="82">
        <f t="shared" si="770"/>
        <v>46077</v>
      </c>
      <c r="T2535" s="83">
        <f t="shared" si="773"/>
        <v>2.3854375</v>
      </c>
      <c r="U2535" s="83">
        <f t="shared" si="773"/>
        <v>1.875</v>
      </c>
      <c r="W2535" s="146">
        <v>46077</v>
      </c>
      <c r="X2535" s="147">
        <v>53.5</v>
      </c>
      <c r="Y2535" s="147">
        <v>25</v>
      </c>
      <c r="Z2535" s="158">
        <v>38.167</v>
      </c>
      <c r="AA2535" s="59" cm="1">
        <f t="array" ref="AA2535">INDEX($BX$29:$BX$1449,MATCH($D2535,$BR$29:$BR$1449,0),)</f>
        <v>30</v>
      </c>
      <c r="AB2535" s="150">
        <f t="shared" si="771"/>
        <v>0.00175853018372707</v>
      </c>
      <c r="AC2535" s="150">
        <f t="shared" si="774"/>
        <v>0.00439473684210534</v>
      </c>
      <c r="AD2535" s="150">
        <f t="shared" si="777"/>
        <v>0.00439473684210534</v>
      </c>
      <c r="AE2535" s="89">
        <f t="shared" si="772"/>
        <v>0.272233333333333</v>
      </c>
    </row>
    <row r="2536" spans="3:31">
      <c r="C2536" s="80" t="str" cm="1">
        <f t="array" ref="C2536">_xlfn.IFS(MONTH(D2536)&lt;4,1,MONTH(D2536)&lt;7,2,MONTH(D2536)&lt;10,3,MONTH(D2536)&gt;9,4)&amp;"Q"&amp;RIGHT(YEAR(D2536),2)</f>
        <v>1Q26</v>
      </c>
      <c r="D2536" s="81">
        <f t="shared" si="776"/>
        <v>46081</v>
      </c>
      <c r="E2536" s="82">
        <f t="shared" si="768"/>
        <v>46078</v>
      </c>
      <c r="F2536" s="83">
        <f t="shared" si="775"/>
        <v>4.0425</v>
      </c>
      <c r="G2536" s="83">
        <f t="shared" si="775"/>
        <v>1.625</v>
      </c>
      <c r="I2536" s="146">
        <v>46078</v>
      </c>
      <c r="J2536" s="147">
        <v>48</v>
      </c>
      <c r="K2536" s="147">
        <v>10.8</v>
      </c>
      <c r="L2536" s="158">
        <v>32.34</v>
      </c>
      <c r="M2536" s="59" cm="1">
        <f t="array" ref="M2536">INDEX($BV$29:$BV$1449,MATCH($D2536,$BR$29:$BR$1449,0),)</f>
        <v>13</v>
      </c>
      <c r="N2536" s="150">
        <f t="shared" si="761"/>
        <v>0.0137931034482761</v>
      </c>
      <c r="O2536" s="150">
        <f t="shared" si="762"/>
        <v>0.0319081046585834</v>
      </c>
      <c r="P2536" s="150">
        <f t="shared" si="767"/>
        <v>0.0479585223590409</v>
      </c>
      <c r="Q2536" s="89">
        <f t="shared" si="769"/>
        <v>1.48769230769231</v>
      </c>
      <c r="S2536" s="82">
        <f t="shared" si="770"/>
        <v>46078</v>
      </c>
      <c r="T2536" s="83">
        <f t="shared" ref="T2536:U2551" si="778">+Z2536/16</f>
        <v>2.4166875</v>
      </c>
      <c r="U2536" s="83">
        <f t="shared" si="778"/>
        <v>1.875</v>
      </c>
      <c r="W2536" s="146">
        <v>46078</v>
      </c>
      <c r="X2536" s="147">
        <v>54</v>
      </c>
      <c r="Y2536" s="147">
        <v>25</v>
      </c>
      <c r="Z2536" s="158">
        <v>38.667</v>
      </c>
      <c r="AA2536" s="59" cm="1">
        <f t="array" ref="AA2536">INDEX($BX$29:$BX$1449,MATCH($D2536,$BR$29:$BR$1449,0),)</f>
        <v>30</v>
      </c>
      <c r="AB2536" s="150">
        <f t="shared" si="771"/>
        <v>0.0131003222679278</v>
      </c>
      <c r="AC2536" s="150">
        <f t="shared" si="774"/>
        <v>0.0166697341782136</v>
      </c>
      <c r="AD2536" s="150">
        <f t="shared" si="777"/>
        <v>0.0184370637659022</v>
      </c>
      <c r="AE2536" s="89">
        <f t="shared" si="772"/>
        <v>0.2889</v>
      </c>
    </row>
    <row r="2537" spans="3:31">
      <c r="C2537" s="80" t="str" cm="1">
        <f t="array" ref="C2537">_xlfn.IFS(MONTH(D2537)&lt;4,1,MONTH(D2537)&lt;7,2,MONTH(D2537)&lt;10,3,MONTH(D2537)&gt;9,4)&amp;"Q"&amp;RIGHT(YEAR(D2537),2)</f>
        <v>1Q26</v>
      </c>
      <c r="D2537" s="81">
        <f t="shared" si="776"/>
        <v>46081</v>
      </c>
      <c r="E2537" s="82">
        <f t="shared" si="768"/>
        <v>46079</v>
      </c>
      <c r="F2537" s="83">
        <f t="shared" si="775"/>
        <v>4.1</v>
      </c>
      <c r="G2537" s="83">
        <f t="shared" si="775"/>
        <v>1.625</v>
      </c>
      <c r="I2537" s="146">
        <v>46079</v>
      </c>
      <c r="J2537" s="147">
        <v>48</v>
      </c>
      <c r="K2537" s="147">
        <v>10.8</v>
      </c>
      <c r="L2537" s="158">
        <v>32.8</v>
      </c>
      <c r="M2537" s="59" cm="1">
        <f t="array" ref="M2537">INDEX($BV$29:$BV$1449,MATCH($D2537,$BR$29:$BR$1449,0),)</f>
        <v>13</v>
      </c>
      <c r="N2537" s="150">
        <f t="shared" si="761"/>
        <v>0.0142238713667284</v>
      </c>
      <c r="O2537" s="150">
        <f t="shared" si="762"/>
        <v>0.0465858328015316</v>
      </c>
      <c r="P2537" s="150">
        <f t="shared" si="767"/>
        <v>0.0635538261997406</v>
      </c>
      <c r="Q2537" s="89">
        <f t="shared" si="769"/>
        <v>1.52307692307692</v>
      </c>
      <c r="S2537" s="82">
        <f t="shared" si="770"/>
        <v>46079</v>
      </c>
      <c r="T2537" s="83">
        <f t="shared" si="778"/>
        <v>2.4583125</v>
      </c>
      <c r="U2537" s="83">
        <f t="shared" si="778"/>
        <v>1.875</v>
      </c>
      <c r="W2537" s="146">
        <v>46079</v>
      </c>
      <c r="X2537" s="147">
        <v>55</v>
      </c>
      <c r="Y2537" s="147">
        <v>25</v>
      </c>
      <c r="Z2537" s="158">
        <v>39.333</v>
      </c>
      <c r="AA2537" s="59" cm="1">
        <f t="array" ref="AA2537">INDEX($BX$29:$BX$1449,MATCH($D2537,$BR$29:$BR$1449,0),)</f>
        <v>30</v>
      </c>
      <c r="AB2537" s="150">
        <f t="shared" si="771"/>
        <v>0.0172239894483668</v>
      </c>
      <c r="AC2537" s="150">
        <f t="shared" si="774"/>
        <v>0.0341808429521731</v>
      </c>
      <c r="AD2537" s="150">
        <f t="shared" si="777"/>
        <v>0.0369071784462078</v>
      </c>
      <c r="AE2537" s="89">
        <f t="shared" si="772"/>
        <v>0.3111</v>
      </c>
    </row>
    <row r="2538" spans="3:31">
      <c r="C2538" s="80" t="str" cm="1">
        <f t="array" ref="C2538">_xlfn.IFS(MONTH(D2538)&lt;4,1,MONTH(D2538)&lt;7,2,MONTH(D2538)&lt;10,3,MONTH(D2538)&gt;9,4)&amp;"Q"&amp;RIGHT(YEAR(D2538),2)</f>
        <v>1Q26</v>
      </c>
      <c r="D2538" s="81">
        <f t="shared" si="776"/>
        <v>46081</v>
      </c>
      <c r="E2538" s="82">
        <f t="shared" si="768"/>
        <v>46080</v>
      </c>
      <c r="F2538" s="83">
        <f t="shared" ref="F2538:G2553" si="779">+L2538/8</f>
        <v>4.1125</v>
      </c>
      <c r="G2538" s="83">
        <f t="shared" si="779"/>
        <v>1.625</v>
      </c>
      <c r="I2538" s="146">
        <v>46080</v>
      </c>
      <c r="J2538" s="147">
        <v>48</v>
      </c>
      <c r="K2538" s="147">
        <v>10.8</v>
      </c>
      <c r="L2538" s="158">
        <v>32.9</v>
      </c>
      <c r="M2538" s="59" cm="1">
        <f t="array" ref="M2538">INDEX($BV$29:$BV$1449,MATCH($D2538,$BR$29:$BR$1449,0),)</f>
        <v>13</v>
      </c>
      <c r="N2538" s="150">
        <f t="shared" si="761"/>
        <v>0.00304878048780499</v>
      </c>
      <c r="O2538" s="150">
        <f t="shared" si="762"/>
        <v>0.0477707006369428</v>
      </c>
      <c r="P2538" s="150">
        <f t="shared" si="767"/>
        <v>0.0612903225806452</v>
      </c>
      <c r="Q2538" s="89">
        <f t="shared" si="769"/>
        <v>1.53076923076923</v>
      </c>
      <c r="S2538" s="82">
        <f t="shared" si="770"/>
        <v>46080</v>
      </c>
      <c r="T2538" s="83">
        <f t="shared" si="778"/>
        <v>2.46875</v>
      </c>
      <c r="U2538" s="83">
        <f t="shared" si="778"/>
        <v>1.875</v>
      </c>
      <c r="W2538" s="146">
        <v>46080</v>
      </c>
      <c r="X2538" s="147">
        <v>55</v>
      </c>
      <c r="Y2538" s="147">
        <v>25</v>
      </c>
      <c r="Z2538" s="158">
        <v>39.5</v>
      </c>
      <c r="AA2538" s="59" cm="1">
        <f t="array" ref="AA2538">INDEX($BX$29:$BX$1449,MATCH($D2538,$BR$29:$BR$1449,0),)</f>
        <v>30</v>
      </c>
      <c r="AB2538" s="150">
        <f t="shared" si="771"/>
        <v>0.0042457986932094</v>
      </c>
      <c r="AC2538" s="150">
        <f t="shared" si="774"/>
        <v>0.0376441537289516</v>
      </c>
      <c r="AD2538" s="150">
        <f t="shared" si="777"/>
        <v>0.0394736842105263</v>
      </c>
      <c r="AE2538" s="89">
        <f t="shared" si="772"/>
        <v>0.316666666666667</v>
      </c>
    </row>
    <row r="2539" spans="3:31">
      <c r="C2539" s="80" t="str" cm="1">
        <f t="array" ref="C2539">_xlfn.IFS(MONTH(D2539)&lt;4,1,MONTH(D2539)&lt;7,2,MONTH(D2539)&lt;10,3,MONTH(D2539)&gt;9,4)&amp;"Q"&amp;RIGHT(YEAR(D2539),2)</f>
        <v>1Q26</v>
      </c>
      <c r="D2539" s="81">
        <f t="shared" si="776"/>
        <v>46112</v>
      </c>
      <c r="E2539" s="82">
        <f t="shared" si="768"/>
        <v>46083</v>
      </c>
      <c r="F2539" s="83">
        <f t="shared" si="779"/>
        <v>4.1275</v>
      </c>
      <c r="G2539" s="83">
        <f t="shared" si="779"/>
        <v>1.625</v>
      </c>
      <c r="I2539" s="146">
        <v>46083</v>
      </c>
      <c r="J2539" s="147">
        <v>48</v>
      </c>
      <c r="K2539" s="147">
        <v>11</v>
      </c>
      <c r="L2539" s="158">
        <v>33.02</v>
      </c>
      <c r="M2539" s="59" cm="1">
        <f t="array" ref="M2539">INDEX($BV$29:$BV$1449,MATCH($D2539,$BR$29:$BR$1449,0),)</f>
        <v>13</v>
      </c>
      <c r="N2539" s="150">
        <f t="shared" si="761"/>
        <v>0.00364741641337396</v>
      </c>
      <c r="O2539" s="150">
        <f t="shared" si="762"/>
        <v>0.0482539682539684</v>
      </c>
      <c r="P2539" s="150">
        <f t="shared" si="767"/>
        <v>0.0686084142394823</v>
      </c>
      <c r="Q2539" s="89">
        <f t="shared" si="769"/>
        <v>1.54</v>
      </c>
      <c r="S2539" s="82">
        <f t="shared" si="770"/>
        <v>46083</v>
      </c>
      <c r="T2539" s="83">
        <f t="shared" si="778"/>
        <v>2.4583125</v>
      </c>
      <c r="U2539" s="83">
        <f t="shared" si="778"/>
        <v>1.9375</v>
      </c>
      <c r="W2539" s="146">
        <v>46083</v>
      </c>
      <c r="X2539" s="147">
        <v>51</v>
      </c>
      <c r="Y2539" s="147">
        <v>25</v>
      </c>
      <c r="Z2539" s="158">
        <v>39.333</v>
      </c>
      <c r="AA2539" s="59" cm="1">
        <f t="array" ref="AA2539">INDEX($BX$29:$BX$1449,MATCH($D2539,$BR$29:$BR$1449,0),)</f>
        <v>31</v>
      </c>
      <c r="AB2539" s="150">
        <f t="shared" si="771"/>
        <v>-0.00422784810126586</v>
      </c>
      <c r="AC2539" s="150">
        <f t="shared" si="774"/>
        <v>0.0323622047244094</v>
      </c>
      <c r="AD2539" s="150">
        <f t="shared" si="777"/>
        <v>0.0396479264134486</v>
      </c>
      <c r="AE2539" s="89">
        <f t="shared" si="772"/>
        <v>0.268806451612903</v>
      </c>
    </row>
    <row r="2540" spans="3:31">
      <c r="C2540" s="80" t="str" cm="1">
        <f t="array" ref="C2540">_xlfn.IFS(MONTH(D2540)&lt;4,1,MONTH(D2540)&lt;7,2,MONTH(D2540)&lt;10,3,MONTH(D2540)&gt;9,4)&amp;"Q"&amp;RIGHT(YEAR(D2540),2)</f>
        <v>1Q26</v>
      </c>
      <c r="D2540" s="81">
        <f t="shared" si="776"/>
        <v>46112</v>
      </c>
      <c r="E2540" s="82">
        <f t="shared" si="768"/>
        <v>46084</v>
      </c>
      <c r="F2540" s="83">
        <f t="shared" si="779"/>
        <v>4.1275</v>
      </c>
      <c r="G2540" s="83">
        <f t="shared" si="779"/>
        <v>1.625</v>
      </c>
      <c r="I2540" s="146">
        <v>46084</v>
      </c>
      <c r="J2540" s="147">
        <v>48.5</v>
      </c>
      <c r="K2540" s="147">
        <v>11</v>
      </c>
      <c r="L2540" s="158">
        <v>33.02</v>
      </c>
      <c r="M2540" s="59" cm="1">
        <f t="array" ref="M2540">INDEX($BV$29:$BV$1449,MATCH($D2540,$BR$29:$BR$1449,0),)</f>
        <v>13</v>
      </c>
      <c r="N2540" s="150">
        <f t="shared" ref="N2540:N2602" si="780">L2540/L2539-1</f>
        <v>0</v>
      </c>
      <c r="O2540" s="150">
        <f t="shared" ref="O2540:O2602" si="781">L2540/L2535-1</f>
        <v>0.0351097178683386</v>
      </c>
      <c r="P2540" s="150">
        <f t="shared" si="767"/>
        <v>0.0617363344051447</v>
      </c>
      <c r="Q2540" s="89">
        <f t="shared" si="769"/>
        <v>1.54</v>
      </c>
      <c r="S2540" s="82">
        <f t="shared" si="770"/>
        <v>46084</v>
      </c>
      <c r="T2540" s="83">
        <f t="shared" si="778"/>
        <v>2.4479375</v>
      </c>
      <c r="U2540" s="83">
        <f t="shared" si="778"/>
        <v>1.9375</v>
      </c>
      <c r="W2540" s="146">
        <v>46084</v>
      </c>
      <c r="X2540" s="147">
        <v>51</v>
      </c>
      <c r="Y2540" s="147">
        <v>25.5</v>
      </c>
      <c r="Z2540" s="158">
        <v>39.167</v>
      </c>
      <c r="AA2540" s="59" cm="1">
        <f t="array" ref="AA2540">INDEX($BX$29:$BX$1449,MATCH($D2540,$BR$29:$BR$1449,0),)</f>
        <v>31</v>
      </c>
      <c r="AB2540" s="150">
        <f t="shared" si="771"/>
        <v>-0.00422037474893844</v>
      </c>
      <c r="AC2540" s="150">
        <f t="shared" si="774"/>
        <v>0.0262006445358556</v>
      </c>
      <c r="AD2540" s="150">
        <f t="shared" si="777"/>
        <v>0.0307105263157894</v>
      </c>
      <c r="AE2540" s="89">
        <f t="shared" si="772"/>
        <v>0.263451612903226</v>
      </c>
    </row>
    <row r="2541" spans="3:31">
      <c r="C2541" s="80" t="str" cm="1">
        <f t="array" ref="C2541">_xlfn.IFS(MONTH(D2541)&lt;4,1,MONTH(D2541)&lt;7,2,MONTH(D2541)&lt;10,3,MONTH(D2541)&gt;9,4)&amp;"Q"&amp;RIGHT(YEAR(D2541),2)</f>
        <v>1Q26</v>
      </c>
      <c r="D2541" s="81">
        <f t="shared" si="776"/>
        <v>46112</v>
      </c>
      <c r="E2541" s="82">
        <f t="shared" si="768"/>
        <v>46085</v>
      </c>
      <c r="F2541" s="83">
        <f t="shared" si="779"/>
        <v>4.1225</v>
      </c>
      <c r="G2541" s="83">
        <f t="shared" si="779"/>
        <v>1.625</v>
      </c>
      <c r="I2541" s="146">
        <v>46085</v>
      </c>
      <c r="J2541" s="147">
        <v>48.5</v>
      </c>
      <c r="K2541" s="147">
        <v>11</v>
      </c>
      <c r="L2541" s="158">
        <v>32.98</v>
      </c>
      <c r="M2541" s="59" cm="1">
        <f t="array" ref="M2541">INDEX($BV$29:$BV$1449,MATCH($D2541,$BR$29:$BR$1449,0),)</f>
        <v>13</v>
      </c>
      <c r="N2541" s="150">
        <f t="shared" si="780"/>
        <v>-0.00121138703815893</v>
      </c>
      <c r="O2541" s="150">
        <f t="shared" si="781"/>
        <v>0.0197897340754483</v>
      </c>
      <c r="P2541" s="150">
        <f t="shared" si="767"/>
        <v>0.0523292916400764</v>
      </c>
      <c r="Q2541" s="89">
        <f t="shared" si="769"/>
        <v>1.53692307692308</v>
      </c>
      <c r="S2541" s="82">
        <f t="shared" si="770"/>
        <v>46085</v>
      </c>
      <c r="T2541" s="83">
        <f t="shared" si="778"/>
        <v>2.45</v>
      </c>
      <c r="U2541" s="83">
        <f t="shared" si="778"/>
        <v>1.9375</v>
      </c>
      <c r="W2541" s="146">
        <v>46085</v>
      </c>
      <c r="X2541" s="147">
        <v>51</v>
      </c>
      <c r="Y2541" s="147">
        <v>25.5</v>
      </c>
      <c r="Z2541" s="158">
        <v>39.2</v>
      </c>
      <c r="AA2541" s="59" cm="1">
        <f t="array" ref="AA2541">INDEX($BX$29:$BX$1449,MATCH($D2541,$BR$29:$BR$1449,0),)</f>
        <v>31</v>
      </c>
      <c r="AB2541" s="150">
        <f t="shared" si="771"/>
        <v>0.00084254602088496</v>
      </c>
      <c r="AC2541" s="150">
        <f t="shared" si="774"/>
        <v>0.0137843639278972</v>
      </c>
      <c r="AD2541" s="150">
        <f t="shared" si="777"/>
        <v>0.0306838797886047</v>
      </c>
      <c r="AE2541" s="89">
        <f t="shared" si="772"/>
        <v>0.264516129032258</v>
      </c>
    </row>
    <row r="2542" spans="3:31">
      <c r="C2542" s="80" t="str" cm="1">
        <f t="array" ref="C2542">_xlfn.IFS(MONTH(D2542)&lt;4,1,MONTH(D2542)&lt;7,2,MONTH(D2542)&lt;10,3,MONTH(D2542)&gt;9,4)&amp;"Q"&amp;RIGHT(YEAR(D2542),2)</f>
        <v>1Q26</v>
      </c>
      <c r="D2542" s="81">
        <f t="shared" si="776"/>
        <v>46112</v>
      </c>
      <c r="E2542" s="82">
        <f t="shared" si="768"/>
        <v>46086</v>
      </c>
      <c r="F2542" s="83">
        <f t="shared" si="779"/>
        <v>4.14</v>
      </c>
      <c r="G2542" s="83">
        <f t="shared" si="779"/>
        <v>1.625</v>
      </c>
      <c r="I2542" s="146">
        <v>46086</v>
      </c>
      <c r="J2542" s="147">
        <v>48.5</v>
      </c>
      <c r="K2542" s="147">
        <v>11</v>
      </c>
      <c r="L2542" s="158">
        <v>33.12</v>
      </c>
      <c r="M2542" s="59" cm="1">
        <f t="array" ref="M2542">INDEX($BV$29:$BV$1449,MATCH($D2542,$BR$29:$BR$1449,0),)</f>
        <v>13</v>
      </c>
      <c r="N2542" s="150">
        <f t="shared" si="780"/>
        <v>0.00424499696785929</v>
      </c>
      <c r="O2542" s="150">
        <f t="shared" si="781"/>
        <v>0.00975609756097562</v>
      </c>
      <c r="P2542" s="150">
        <f t="shared" si="767"/>
        <v>0.0567964262922782</v>
      </c>
      <c r="Q2542" s="89">
        <f t="shared" si="769"/>
        <v>1.54769230769231</v>
      </c>
      <c r="S2542" s="82">
        <f t="shared" si="770"/>
        <v>46086</v>
      </c>
      <c r="T2542" s="83">
        <f t="shared" si="778"/>
        <v>2.46875</v>
      </c>
      <c r="U2542" s="83">
        <f t="shared" si="778"/>
        <v>1.9375</v>
      </c>
      <c r="W2542" s="146">
        <v>46086</v>
      </c>
      <c r="X2542" s="147">
        <v>52</v>
      </c>
      <c r="Y2542" s="147">
        <v>25.5</v>
      </c>
      <c r="Z2542" s="158">
        <v>39.5</v>
      </c>
      <c r="AA2542" s="59" cm="1">
        <f t="array" ref="AA2542">INDEX($BX$29:$BX$1449,MATCH($D2542,$BR$29:$BR$1449,0),)</f>
        <v>31</v>
      </c>
      <c r="AB2542" s="150">
        <f t="shared" si="771"/>
        <v>0.00765306122448983</v>
      </c>
      <c r="AC2542" s="150">
        <f t="shared" si="774"/>
        <v>0.0042457986932094</v>
      </c>
      <c r="AD2542" s="150">
        <f t="shared" si="777"/>
        <v>0.0385717666237215</v>
      </c>
      <c r="AE2542" s="89">
        <f t="shared" si="772"/>
        <v>0.274193548387097</v>
      </c>
    </row>
    <row r="2543" spans="3:31">
      <c r="C2543" s="80" t="str" cm="1">
        <f t="array" ref="C2543">_xlfn.IFS(MONTH(D2543)&lt;4,1,MONTH(D2543)&lt;7,2,MONTH(D2543)&lt;10,3,MONTH(D2543)&gt;9,4)&amp;"Q"&amp;RIGHT(YEAR(D2543),2)</f>
        <v>1Q26</v>
      </c>
      <c r="D2543" s="81">
        <f t="shared" si="776"/>
        <v>46112</v>
      </c>
      <c r="E2543" s="82">
        <f t="shared" si="768"/>
        <v>46087</v>
      </c>
      <c r="F2543" s="83">
        <f t="shared" si="779"/>
        <v>4.165</v>
      </c>
      <c r="G2543" s="83">
        <f t="shared" si="779"/>
        <v>1.625</v>
      </c>
      <c r="I2543" s="146">
        <v>46087</v>
      </c>
      <c r="J2543" s="147">
        <v>48.5</v>
      </c>
      <c r="K2543" s="147">
        <v>11.5</v>
      </c>
      <c r="L2543" s="158">
        <v>33.32</v>
      </c>
      <c r="M2543" s="59" cm="1">
        <f t="array" ref="M2543">INDEX($BV$29:$BV$1449,MATCH($D2543,$BR$29:$BR$1449,0),)</f>
        <v>13</v>
      </c>
      <c r="N2543" s="150">
        <f t="shared" si="780"/>
        <v>0.0060386473429952</v>
      </c>
      <c r="O2543" s="150">
        <f t="shared" si="781"/>
        <v>0.0127659574468086</v>
      </c>
      <c r="P2543" s="150">
        <f t="shared" si="767"/>
        <v>0.0611464968152866</v>
      </c>
      <c r="Q2543" s="89">
        <f t="shared" si="769"/>
        <v>1.56307692307692</v>
      </c>
      <c r="S2543" s="82">
        <f t="shared" si="770"/>
        <v>46087</v>
      </c>
      <c r="T2543" s="83">
        <f t="shared" si="778"/>
        <v>2.4791875</v>
      </c>
      <c r="U2543" s="83">
        <f t="shared" si="778"/>
        <v>1.9375</v>
      </c>
      <c r="W2543" s="146">
        <v>46087</v>
      </c>
      <c r="X2543" s="147">
        <v>52</v>
      </c>
      <c r="Y2543" s="147">
        <v>26</v>
      </c>
      <c r="Z2543" s="158">
        <v>39.667</v>
      </c>
      <c r="AA2543" s="59" cm="1">
        <f t="array" ref="AA2543">INDEX($BX$29:$BX$1449,MATCH($D2543,$BR$29:$BR$1449,0),)</f>
        <v>31</v>
      </c>
      <c r="AB2543" s="150">
        <f t="shared" si="771"/>
        <v>0.00422784810126586</v>
      </c>
      <c r="AC2543" s="150">
        <f t="shared" si="774"/>
        <v>0.00422784810126586</v>
      </c>
      <c r="AD2543" s="150">
        <f t="shared" si="777"/>
        <v>0.0420311555940842</v>
      </c>
      <c r="AE2543" s="89">
        <f t="shared" si="772"/>
        <v>0.27958064516129</v>
      </c>
    </row>
    <row r="2544" spans="3:31">
      <c r="C2544" s="80" t="str" cm="1">
        <f t="array" ref="C2544">_xlfn.IFS(MONTH(D2544)&lt;4,1,MONTH(D2544)&lt;7,2,MONTH(D2544)&lt;10,3,MONTH(D2544)&gt;9,4)&amp;"Q"&amp;RIGHT(YEAR(D2544),2)</f>
        <v>1Q26</v>
      </c>
      <c r="D2544" s="81">
        <f t="shared" si="776"/>
        <v>46112</v>
      </c>
      <c r="E2544" s="82">
        <f t="shared" si="768"/>
        <v>46090</v>
      </c>
      <c r="F2544" s="83">
        <f t="shared" si="779"/>
        <v>4.1625</v>
      </c>
      <c r="G2544" s="83">
        <f t="shared" si="779"/>
        <v>1.625</v>
      </c>
      <c r="I2544" s="146">
        <v>46090</v>
      </c>
      <c r="J2544" s="147">
        <v>48</v>
      </c>
      <c r="K2544" s="147">
        <v>11.7</v>
      </c>
      <c r="L2544" s="158">
        <v>33.3</v>
      </c>
      <c r="M2544" s="59" cm="1">
        <f t="array" ref="M2544">INDEX($BV$29:$BV$1449,MATCH($D2544,$BR$29:$BR$1449,0),)</f>
        <v>13</v>
      </c>
      <c r="N2544" s="150">
        <f t="shared" si="780"/>
        <v>-0.00060024009603854</v>
      </c>
      <c r="O2544" s="150">
        <f t="shared" si="781"/>
        <v>0.00847970926711072</v>
      </c>
      <c r="P2544" s="150">
        <f t="shared" si="767"/>
        <v>0.0571428571428572</v>
      </c>
      <c r="Q2544" s="89">
        <f t="shared" si="769"/>
        <v>1.56153846153846</v>
      </c>
      <c r="S2544" s="82">
        <f t="shared" si="770"/>
        <v>46090</v>
      </c>
      <c r="T2544" s="83">
        <f t="shared" si="778"/>
        <v>2.4801875</v>
      </c>
      <c r="U2544" s="83">
        <f t="shared" si="778"/>
        <v>1.9375</v>
      </c>
      <c r="W2544" s="146">
        <v>46090</v>
      </c>
      <c r="X2544" s="147">
        <v>52</v>
      </c>
      <c r="Y2544" s="147">
        <v>26.5</v>
      </c>
      <c r="Z2544" s="158">
        <v>39.683</v>
      </c>
      <c r="AA2544" s="59" cm="1">
        <f t="array" ref="AA2544">INDEX($BX$29:$BX$1449,MATCH($D2544,$BR$29:$BR$1449,0),)</f>
        <v>31</v>
      </c>
      <c r="AB2544" s="150">
        <f t="shared" si="771"/>
        <v>0.000403357954975148</v>
      </c>
      <c r="AC2544" s="150">
        <f t="shared" si="774"/>
        <v>0.00889838049475</v>
      </c>
      <c r="AD2544" s="150">
        <f t="shared" si="777"/>
        <v>0.0415485564304461</v>
      </c>
      <c r="AE2544" s="89">
        <f t="shared" si="772"/>
        <v>0.280096774193548</v>
      </c>
    </row>
    <row r="2545" spans="3:31">
      <c r="C2545" s="80" t="str" cm="1">
        <f t="array" ref="C2545">_xlfn.IFS(MONTH(D2545)&lt;4,1,MONTH(D2545)&lt;7,2,MONTH(D2545)&lt;10,3,MONTH(D2545)&gt;9,4)&amp;"Q"&amp;RIGHT(YEAR(D2545),2)</f>
        <v>1Q26</v>
      </c>
      <c r="D2545" s="81">
        <f t="shared" si="776"/>
        <v>46112</v>
      </c>
      <c r="E2545" s="82">
        <f t="shared" si="768"/>
        <v>46091</v>
      </c>
      <c r="F2545" s="83">
        <f t="shared" si="779"/>
        <v>4.16</v>
      </c>
      <c r="G2545" s="83">
        <f t="shared" si="779"/>
        <v>1.625</v>
      </c>
      <c r="I2545" s="146">
        <v>46091</v>
      </c>
      <c r="J2545" s="147">
        <v>48</v>
      </c>
      <c r="K2545" s="147">
        <v>11.7</v>
      </c>
      <c r="L2545" s="158">
        <v>33.28</v>
      </c>
      <c r="M2545" s="59" cm="1">
        <f t="array" ref="M2545">INDEX($BV$29:$BV$1449,MATCH($D2545,$BR$29:$BR$1449,0),)</f>
        <v>13</v>
      </c>
      <c r="N2545" s="150">
        <f t="shared" si="780"/>
        <v>-0.00060060060060052</v>
      </c>
      <c r="O2545" s="150">
        <f t="shared" si="781"/>
        <v>0.00787401574803148</v>
      </c>
      <c r="P2545" s="150">
        <f t="shared" si="767"/>
        <v>0.0432601880877743</v>
      </c>
      <c r="Q2545" s="89">
        <f t="shared" si="769"/>
        <v>1.56</v>
      </c>
      <c r="S2545" s="82">
        <f t="shared" si="770"/>
        <v>46091</v>
      </c>
      <c r="T2545" s="83">
        <f t="shared" si="778"/>
        <v>2.4801875</v>
      </c>
      <c r="U2545" s="83">
        <f t="shared" si="778"/>
        <v>1.9375</v>
      </c>
      <c r="W2545" s="146">
        <v>46091</v>
      </c>
      <c r="X2545" s="147">
        <v>52</v>
      </c>
      <c r="Y2545" s="147">
        <v>26.5</v>
      </c>
      <c r="Z2545" s="158">
        <v>39.683</v>
      </c>
      <c r="AA2545" s="59" cm="1">
        <f t="array" ref="AA2545">INDEX($BX$29:$BX$1449,MATCH($D2545,$BR$29:$BR$1449,0),)</f>
        <v>31</v>
      </c>
      <c r="AB2545" s="150">
        <f t="shared" si="771"/>
        <v>0</v>
      </c>
      <c r="AC2545" s="150">
        <f t="shared" si="774"/>
        <v>0.0131743559629278</v>
      </c>
      <c r="AD2545" s="150">
        <f t="shared" si="777"/>
        <v>0.0397201771163571</v>
      </c>
      <c r="AE2545" s="89">
        <f t="shared" si="772"/>
        <v>0.280096774193548</v>
      </c>
    </row>
    <row r="2546" spans="3:31">
      <c r="C2546" s="80" t="str" cm="1">
        <f t="array" ref="C2546">_xlfn.IFS(MONTH(D2546)&lt;4,1,MONTH(D2546)&lt;7,2,MONTH(D2546)&lt;10,3,MONTH(D2546)&gt;9,4)&amp;"Q"&amp;RIGHT(YEAR(D2546),2)</f>
        <v>1Q26</v>
      </c>
      <c r="D2546" s="81">
        <f t="shared" si="776"/>
        <v>46112</v>
      </c>
      <c r="E2546" s="82">
        <f t="shared" si="768"/>
        <v>46092</v>
      </c>
      <c r="F2546" s="83">
        <f t="shared" si="779"/>
        <v>4.175</v>
      </c>
      <c r="G2546" s="83">
        <f t="shared" si="779"/>
        <v>1.625</v>
      </c>
      <c r="I2546" s="146">
        <v>46092</v>
      </c>
      <c r="J2546" s="147">
        <v>48</v>
      </c>
      <c r="K2546" s="147">
        <v>11.7</v>
      </c>
      <c r="L2546" s="158">
        <v>33.4</v>
      </c>
      <c r="M2546" s="59" cm="1">
        <f t="array" ref="M2546">INDEX($BV$29:$BV$1449,MATCH($D2546,$BR$29:$BR$1449,0),)</f>
        <v>13</v>
      </c>
      <c r="N2546" s="150">
        <f t="shared" si="780"/>
        <v>0.00360576923076916</v>
      </c>
      <c r="O2546" s="150">
        <f t="shared" si="781"/>
        <v>0.0127349909035779</v>
      </c>
      <c r="P2546" s="150">
        <f t="shared" si="767"/>
        <v>0.0327767470624611</v>
      </c>
      <c r="Q2546" s="89">
        <f t="shared" si="769"/>
        <v>1.56923076923077</v>
      </c>
      <c r="S2546" s="82">
        <f t="shared" si="770"/>
        <v>46092</v>
      </c>
      <c r="T2546" s="83">
        <f t="shared" si="778"/>
        <v>2.4729375</v>
      </c>
      <c r="U2546" s="83">
        <f t="shared" si="778"/>
        <v>1.9375</v>
      </c>
      <c r="W2546" s="146">
        <v>46092</v>
      </c>
      <c r="X2546" s="147">
        <v>52</v>
      </c>
      <c r="Y2546" s="147">
        <v>26</v>
      </c>
      <c r="Z2546" s="158">
        <v>39.567</v>
      </c>
      <c r="AA2546" s="59" cm="1">
        <f t="array" ref="AA2546">INDEX($BX$29:$BX$1449,MATCH($D2546,$BR$29:$BR$1449,0),)</f>
        <v>31</v>
      </c>
      <c r="AB2546" s="150">
        <f t="shared" si="771"/>
        <v>-0.0029231660912733</v>
      </c>
      <c r="AC2546" s="150">
        <f t="shared" si="774"/>
        <v>0.00936224489795912</v>
      </c>
      <c r="AD2546" s="150">
        <f t="shared" si="777"/>
        <v>0.0232756614167118</v>
      </c>
      <c r="AE2546" s="89">
        <f t="shared" si="772"/>
        <v>0.276354838709677</v>
      </c>
    </row>
    <row r="2547" spans="3:31">
      <c r="C2547" s="80" t="str" cm="1">
        <f t="array" ref="C2547">_xlfn.IFS(MONTH(D2547)&lt;4,1,MONTH(D2547)&lt;7,2,MONTH(D2547)&lt;10,3,MONTH(D2547)&gt;9,4)&amp;"Q"&amp;RIGHT(YEAR(D2547),2)</f>
        <v>1Q26</v>
      </c>
      <c r="D2547" s="81">
        <f t="shared" si="776"/>
        <v>46112</v>
      </c>
      <c r="E2547" s="82">
        <f t="shared" si="768"/>
        <v>46093</v>
      </c>
      <c r="F2547" s="83">
        <f t="shared" si="779"/>
        <v>4.2</v>
      </c>
      <c r="G2547" s="83">
        <f t="shared" si="779"/>
        <v>1.625</v>
      </c>
      <c r="I2547" s="146">
        <v>46093</v>
      </c>
      <c r="J2547" s="147">
        <v>48</v>
      </c>
      <c r="K2547" s="147">
        <v>11.75</v>
      </c>
      <c r="L2547" s="158">
        <v>33.6</v>
      </c>
      <c r="M2547" s="59" cm="1">
        <f t="array" ref="M2547">INDEX($BV$29:$BV$1449,MATCH($D2547,$BR$29:$BR$1449,0),)</f>
        <v>13</v>
      </c>
      <c r="N2547" s="150">
        <f t="shared" si="780"/>
        <v>0.00598802395209597</v>
      </c>
      <c r="O2547" s="150">
        <f t="shared" si="781"/>
        <v>0.0144927536231885</v>
      </c>
      <c r="P2547" s="150">
        <f t="shared" si="767"/>
        <v>0.024390243902439</v>
      </c>
      <c r="Q2547" s="89">
        <f t="shared" si="769"/>
        <v>1.58461538461538</v>
      </c>
      <c r="S2547" s="82">
        <f t="shared" si="770"/>
        <v>46093</v>
      </c>
      <c r="T2547" s="83">
        <f t="shared" si="778"/>
        <v>2.4479375</v>
      </c>
      <c r="U2547" s="83">
        <f t="shared" si="778"/>
        <v>1.9375</v>
      </c>
      <c r="W2547" s="146">
        <v>46093</v>
      </c>
      <c r="X2547" s="147">
        <v>52</v>
      </c>
      <c r="Y2547" s="147">
        <v>25.5</v>
      </c>
      <c r="Z2547" s="158">
        <v>39.167</v>
      </c>
      <c r="AA2547" s="59" cm="1">
        <f t="array" ref="AA2547">INDEX($BX$29:$BX$1449,MATCH($D2547,$BR$29:$BR$1449,0),)</f>
        <v>31</v>
      </c>
      <c r="AB2547" s="150">
        <f t="shared" si="771"/>
        <v>-0.0101094346298682</v>
      </c>
      <c r="AC2547" s="150">
        <f t="shared" si="774"/>
        <v>-0.00843037974683536</v>
      </c>
      <c r="AD2547" s="150">
        <f t="shared" si="777"/>
        <v>-0.00422037474893844</v>
      </c>
      <c r="AE2547" s="89">
        <f t="shared" si="772"/>
        <v>0.263451612903226</v>
      </c>
    </row>
    <row r="2548" spans="3:31">
      <c r="C2548" s="80" t="str" cm="1">
        <f t="array" ref="C2548">_xlfn.IFS(MONTH(D2548)&lt;4,1,MONTH(D2548)&lt;7,2,MONTH(D2548)&lt;10,3,MONTH(D2548)&gt;9,4)&amp;"Q"&amp;RIGHT(YEAR(D2548),2)</f>
        <v>1Q26</v>
      </c>
      <c r="D2548" s="81">
        <f t="shared" si="776"/>
        <v>46112</v>
      </c>
      <c r="E2548" s="82">
        <f t="shared" si="768"/>
        <v>46094</v>
      </c>
      <c r="F2548" s="83">
        <f t="shared" si="779"/>
        <v>4.2</v>
      </c>
      <c r="G2548" s="83">
        <f t="shared" si="779"/>
        <v>1.625</v>
      </c>
      <c r="I2548" s="146">
        <v>46094</v>
      </c>
      <c r="J2548" s="147">
        <v>48</v>
      </c>
      <c r="K2548" s="147">
        <v>11.75</v>
      </c>
      <c r="L2548" s="158">
        <v>33.6</v>
      </c>
      <c r="M2548" s="59" cm="1">
        <f t="array" ref="M2548">INDEX($BV$29:$BV$1449,MATCH($D2548,$BR$29:$BR$1449,0),)</f>
        <v>13</v>
      </c>
      <c r="N2548" s="150">
        <f t="shared" si="780"/>
        <v>0</v>
      </c>
      <c r="O2548" s="150">
        <f t="shared" si="781"/>
        <v>0.00840336134453779</v>
      </c>
      <c r="P2548" s="150">
        <f t="shared" si="767"/>
        <v>0.021276595744681</v>
      </c>
      <c r="Q2548" s="89">
        <f t="shared" si="769"/>
        <v>1.58461538461538</v>
      </c>
      <c r="S2548" s="82">
        <f t="shared" si="770"/>
        <v>46094</v>
      </c>
      <c r="T2548" s="83">
        <f t="shared" si="778"/>
        <v>2.4583125</v>
      </c>
      <c r="U2548" s="83">
        <f t="shared" si="778"/>
        <v>1.9375</v>
      </c>
      <c r="W2548" s="146">
        <v>46094</v>
      </c>
      <c r="X2548" s="147">
        <v>51</v>
      </c>
      <c r="Y2548" s="147">
        <v>25.3</v>
      </c>
      <c r="Z2548" s="158">
        <v>39.333</v>
      </c>
      <c r="AA2548" s="59" cm="1">
        <f t="array" ref="AA2548">INDEX($BX$29:$BX$1449,MATCH($D2548,$BR$29:$BR$1449,0),)</f>
        <v>31</v>
      </c>
      <c r="AB2548" s="150">
        <f t="shared" si="771"/>
        <v>0.00423826180202713</v>
      </c>
      <c r="AC2548" s="150">
        <f t="shared" si="774"/>
        <v>-0.00842009731010673</v>
      </c>
      <c r="AD2548" s="150">
        <f t="shared" si="777"/>
        <v>-0.00422784810126586</v>
      </c>
      <c r="AE2548" s="89">
        <f t="shared" si="772"/>
        <v>0.268806451612903</v>
      </c>
    </row>
    <row r="2549" spans="3:31">
      <c r="C2549" s="80" t="str" cm="1">
        <f t="array" ref="C2549">_xlfn.IFS(MONTH(D2549)&lt;4,1,MONTH(D2549)&lt;7,2,MONTH(D2549)&lt;10,3,MONTH(D2549)&gt;9,4)&amp;"Q"&amp;RIGHT(YEAR(D2549),2)</f>
        <v>1Q26</v>
      </c>
      <c r="D2549" s="81">
        <f t="shared" si="776"/>
        <v>46112</v>
      </c>
      <c r="E2549" s="82">
        <f t="shared" si="768"/>
        <v>46097</v>
      </c>
      <c r="F2549" s="83">
        <f t="shared" si="779"/>
        <v>4.1975</v>
      </c>
      <c r="G2549" s="83">
        <f t="shared" si="779"/>
        <v>1.625</v>
      </c>
      <c r="I2549" s="146">
        <v>46097</v>
      </c>
      <c r="J2549" s="147">
        <v>48</v>
      </c>
      <c r="K2549" s="147">
        <v>11.7</v>
      </c>
      <c r="L2549" s="158">
        <v>33.58</v>
      </c>
      <c r="M2549" s="59" cm="1">
        <f t="array" ref="M2549">INDEX($BV$29:$BV$1449,MATCH($D2549,$BR$29:$BR$1449,0),)</f>
        <v>13</v>
      </c>
      <c r="N2549" s="150">
        <f t="shared" si="780"/>
        <v>-0.000595238095238204</v>
      </c>
      <c r="O2549" s="150">
        <f t="shared" si="781"/>
        <v>0.0084084084084084</v>
      </c>
      <c r="P2549" s="150">
        <f t="shared" si="767"/>
        <v>0.0169594185342214</v>
      </c>
      <c r="Q2549" s="89">
        <f t="shared" si="769"/>
        <v>1.58307692307692</v>
      </c>
      <c r="S2549" s="82">
        <f t="shared" si="770"/>
        <v>46097</v>
      </c>
      <c r="T2549" s="83">
        <f t="shared" si="778"/>
        <v>2.46875</v>
      </c>
      <c r="U2549" s="83">
        <f t="shared" si="778"/>
        <v>1.9375</v>
      </c>
      <c r="W2549" s="146">
        <v>46097</v>
      </c>
      <c r="X2549" s="147">
        <v>51</v>
      </c>
      <c r="Y2549" s="147">
        <v>25.5</v>
      </c>
      <c r="Z2549" s="158">
        <v>39.5</v>
      </c>
      <c r="AA2549" s="59" cm="1">
        <f t="array" ref="AA2549">INDEX($BX$29:$BX$1449,MATCH($D2549,$BR$29:$BR$1449,0),)</f>
        <v>31</v>
      </c>
      <c r="AB2549" s="150">
        <f t="shared" si="771"/>
        <v>0.0042457986932094</v>
      </c>
      <c r="AC2549" s="150">
        <f t="shared" si="774"/>
        <v>-0.00461154650606055</v>
      </c>
      <c r="AD2549" s="150">
        <f t="shared" si="777"/>
        <v>0.0042457986932094</v>
      </c>
      <c r="AE2549" s="89">
        <f t="shared" si="772"/>
        <v>0.274193548387097</v>
      </c>
    </row>
    <row r="2550" spans="3:31">
      <c r="C2550" s="80" t="str" cm="1">
        <f t="array" ref="C2550">_xlfn.IFS(MONTH(D2550)&lt;4,1,MONTH(D2550)&lt;7,2,MONTH(D2550)&lt;10,3,MONTH(D2550)&gt;9,4)&amp;"Q"&amp;RIGHT(YEAR(D2550),2)</f>
        <v>1Q26</v>
      </c>
      <c r="D2550" s="81">
        <f t="shared" si="776"/>
        <v>46112</v>
      </c>
      <c r="E2550" s="82">
        <f t="shared" si="768"/>
        <v>46098</v>
      </c>
      <c r="F2550" s="83">
        <f t="shared" si="779"/>
        <v>4.235</v>
      </c>
      <c r="G2550" s="83">
        <f t="shared" si="779"/>
        <v>1.625</v>
      </c>
      <c r="I2550" s="146">
        <v>46098</v>
      </c>
      <c r="J2550" s="147">
        <v>48</v>
      </c>
      <c r="K2550" s="147">
        <v>11.7</v>
      </c>
      <c r="L2550" s="158">
        <v>33.88</v>
      </c>
      <c r="M2550" s="59" cm="1">
        <f t="array" ref="M2550">INDEX($BV$29:$BV$1449,MATCH($D2550,$BR$29:$BR$1449,0),)</f>
        <v>13</v>
      </c>
      <c r="N2550" s="150">
        <f t="shared" si="780"/>
        <v>0.00893388921977389</v>
      </c>
      <c r="O2550" s="150">
        <f t="shared" si="781"/>
        <v>0.0180288461538463</v>
      </c>
      <c r="P2550" s="150">
        <f t="shared" si="767"/>
        <v>0.0260448213204119</v>
      </c>
      <c r="Q2550" s="89">
        <f t="shared" si="769"/>
        <v>1.60615384615385</v>
      </c>
      <c r="S2550" s="82">
        <f t="shared" si="770"/>
        <v>46098</v>
      </c>
      <c r="T2550" s="83">
        <f t="shared" si="778"/>
        <v>2.4791875</v>
      </c>
      <c r="U2550" s="83">
        <f t="shared" si="778"/>
        <v>1.9375</v>
      </c>
      <c r="W2550" s="146">
        <v>46098</v>
      </c>
      <c r="X2550" s="147">
        <v>53.5</v>
      </c>
      <c r="Y2550" s="147">
        <v>25.5</v>
      </c>
      <c r="Z2550" s="158">
        <v>39.667</v>
      </c>
      <c r="AA2550" s="59" cm="1">
        <f t="array" ref="AA2550">INDEX($BX$29:$BX$1449,MATCH($D2550,$BR$29:$BR$1449,0),)</f>
        <v>31</v>
      </c>
      <c r="AB2550" s="150">
        <f t="shared" si="771"/>
        <v>0.00422784810126586</v>
      </c>
      <c r="AC2550" s="150">
        <f t="shared" si="774"/>
        <v>-0.000403195322934202</v>
      </c>
      <c r="AD2550" s="150">
        <f t="shared" si="777"/>
        <v>0.0127658488012867</v>
      </c>
      <c r="AE2550" s="89">
        <f t="shared" si="772"/>
        <v>0.27958064516129</v>
      </c>
    </row>
    <row r="2551" spans="3:31">
      <c r="C2551" s="80" t="str" cm="1">
        <f t="array" ref="C2551">_xlfn.IFS(MONTH(D2551)&lt;4,1,MONTH(D2551)&lt;7,2,MONTH(D2551)&lt;10,3,MONTH(D2551)&gt;9,4)&amp;"Q"&amp;RIGHT(YEAR(D2551),2)</f>
        <v>1Q26</v>
      </c>
      <c r="D2551" s="81">
        <f t="shared" si="776"/>
        <v>46112</v>
      </c>
      <c r="E2551" s="82">
        <f t="shared" si="768"/>
        <v>46099</v>
      </c>
      <c r="F2551" s="83">
        <f t="shared" si="779"/>
        <v>4.2625</v>
      </c>
      <c r="G2551" s="83">
        <f t="shared" si="779"/>
        <v>1.625</v>
      </c>
      <c r="I2551" s="146">
        <v>46099</v>
      </c>
      <c r="J2551" s="147">
        <v>48</v>
      </c>
      <c r="K2551" s="147">
        <v>11.7</v>
      </c>
      <c r="L2551" s="158">
        <v>34.1</v>
      </c>
      <c r="M2551" s="59" cm="1">
        <f t="array" ref="M2551">INDEX($BV$29:$BV$1449,MATCH($D2551,$BR$29:$BR$1449,0),)</f>
        <v>13</v>
      </c>
      <c r="N2551" s="150">
        <f t="shared" si="780"/>
        <v>0.00649350649350655</v>
      </c>
      <c r="O2551" s="150">
        <f t="shared" si="781"/>
        <v>0.0209580838323353</v>
      </c>
      <c r="P2551" s="150">
        <f t="shared" si="767"/>
        <v>0.0339599757428746</v>
      </c>
      <c r="Q2551" s="89">
        <f t="shared" si="769"/>
        <v>1.62307692307692</v>
      </c>
      <c r="S2551" s="82">
        <f t="shared" si="770"/>
        <v>46099</v>
      </c>
      <c r="T2551" s="83">
        <f t="shared" si="778"/>
        <v>2.4895625</v>
      </c>
      <c r="U2551" s="83">
        <f t="shared" si="778"/>
        <v>1.9375</v>
      </c>
      <c r="W2551" s="146">
        <v>46099</v>
      </c>
      <c r="X2551" s="147">
        <v>53.5</v>
      </c>
      <c r="Y2551" s="147">
        <v>25.5</v>
      </c>
      <c r="Z2551" s="158">
        <v>39.833</v>
      </c>
      <c r="AA2551" s="59" cm="1">
        <f t="array" ref="AA2551">INDEX($BX$29:$BX$1449,MATCH($D2551,$BR$29:$BR$1449,0),)</f>
        <v>31</v>
      </c>
      <c r="AB2551" s="150">
        <f t="shared" si="771"/>
        <v>0.00418483878286735</v>
      </c>
      <c r="AC2551" s="150">
        <f t="shared" si="774"/>
        <v>0.00672277402886245</v>
      </c>
      <c r="AD2551" s="150">
        <f t="shared" si="777"/>
        <v>0.0161479591836733</v>
      </c>
      <c r="AE2551" s="89">
        <f t="shared" si="772"/>
        <v>0.284935483870968</v>
      </c>
    </row>
    <row r="2552" spans="3:31">
      <c r="C2552" s="80" t="str" cm="1">
        <f t="array" ref="C2552">_xlfn.IFS(MONTH(D2552)&lt;4,1,MONTH(D2552)&lt;7,2,MONTH(D2552)&lt;10,3,MONTH(D2552)&gt;9,4)&amp;"Q"&amp;RIGHT(YEAR(D2552),2)</f>
        <v>1Q26</v>
      </c>
      <c r="D2552" s="81">
        <f t="shared" si="776"/>
        <v>46112</v>
      </c>
      <c r="E2552" s="82">
        <f t="shared" si="768"/>
        <v>46100</v>
      </c>
      <c r="F2552" s="83">
        <f t="shared" si="779"/>
        <v>4.2625</v>
      </c>
      <c r="G2552" s="83">
        <f t="shared" si="779"/>
        <v>1.625</v>
      </c>
      <c r="I2552" s="146">
        <v>46100</v>
      </c>
      <c r="J2552" s="147">
        <v>48</v>
      </c>
      <c r="K2552" s="147">
        <v>11.7</v>
      </c>
      <c r="L2552" s="158">
        <v>34.1</v>
      </c>
      <c r="M2552" s="59" cm="1">
        <f t="array" ref="M2552">INDEX($BV$29:$BV$1449,MATCH($D2552,$BR$29:$BR$1449,0),)</f>
        <v>13</v>
      </c>
      <c r="N2552" s="150">
        <f t="shared" si="780"/>
        <v>0</v>
      </c>
      <c r="O2552" s="150">
        <f t="shared" si="781"/>
        <v>0.0148809523809523</v>
      </c>
      <c r="P2552" s="150">
        <f t="shared" si="767"/>
        <v>0.0295893719806763</v>
      </c>
      <c r="Q2552" s="89">
        <f t="shared" si="769"/>
        <v>1.62307692307692</v>
      </c>
      <c r="S2552" s="82">
        <f t="shared" si="770"/>
        <v>46100</v>
      </c>
      <c r="T2552" s="83">
        <f t="shared" ref="T2552:U2567" si="782">+Z2552/16</f>
        <v>2.4895625</v>
      </c>
      <c r="U2552" s="83">
        <f t="shared" si="782"/>
        <v>1.9375</v>
      </c>
      <c r="W2552" s="146">
        <v>46100</v>
      </c>
      <c r="X2552" s="147">
        <v>53.5</v>
      </c>
      <c r="Y2552" s="147">
        <v>25.5</v>
      </c>
      <c r="Z2552" s="158">
        <v>39.833</v>
      </c>
      <c r="AA2552" s="59" cm="1">
        <f t="array" ref="AA2552">INDEX($BX$29:$BX$1449,MATCH($D2552,$BR$29:$BR$1449,0),)</f>
        <v>31</v>
      </c>
      <c r="AB2552" s="150">
        <f t="shared" si="771"/>
        <v>0</v>
      </c>
      <c r="AC2552" s="150">
        <f t="shared" si="774"/>
        <v>0.0170041106033139</v>
      </c>
      <c r="AD2552" s="150">
        <f t="shared" si="777"/>
        <v>0.00843037974683547</v>
      </c>
      <c r="AE2552" s="89">
        <f t="shared" si="772"/>
        <v>0.284935483870968</v>
      </c>
    </row>
    <row r="2553" spans="3:31">
      <c r="C2553" s="80" t="str" cm="1">
        <f t="array" ref="C2553">_xlfn.IFS(MONTH(D2553)&lt;4,1,MONTH(D2553)&lt;7,2,MONTH(D2553)&lt;10,3,MONTH(D2553)&gt;9,4)&amp;"Q"&amp;RIGHT(YEAR(D2553),2)</f>
        <v>1Q26</v>
      </c>
      <c r="D2553" s="81">
        <f t="shared" si="776"/>
        <v>46112</v>
      </c>
      <c r="E2553" s="82">
        <f t="shared" si="768"/>
        <v>46101</v>
      </c>
      <c r="F2553" s="83">
        <f t="shared" si="779"/>
        <v>4.2625</v>
      </c>
      <c r="G2553" s="83">
        <f t="shared" si="779"/>
        <v>1.625</v>
      </c>
      <c r="I2553" s="146">
        <v>46101</v>
      </c>
      <c r="J2553" s="147">
        <v>48</v>
      </c>
      <c r="K2553" s="147">
        <v>11.7</v>
      </c>
      <c r="L2553" s="158">
        <v>34.1</v>
      </c>
      <c r="M2553" s="59" cm="1">
        <f t="array" ref="M2553">INDEX($BV$29:$BV$1449,MATCH($D2553,$BR$29:$BR$1449,0),)</f>
        <v>13</v>
      </c>
      <c r="N2553" s="150">
        <f t="shared" si="780"/>
        <v>0</v>
      </c>
      <c r="O2553" s="150">
        <f t="shared" si="781"/>
        <v>0.0148809523809523</v>
      </c>
      <c r="P2553" s="150">
        <f t="shared" si="767"/>
        <v>0.0234093637454982</v>
      </c>
      <c r="Q2553" s="89">
        <f t="shared" si="769"/>
        <v>1.62307692307692</v>
      </c>
      <c r="S2553" s="82">
        <f t="shared" si="770"/>
        <v>46101</v>
      </c>
      <c r="T2553" s="83">
        <f t="shared" si="782"/>
        <v>2.4479375</v>
      </c>
      <c r="U2553" s="83">
        <f t="shared" si="782"/>
        <v>1.9375</v>
      </c>
      <c r="W2553" s="146">
        <v>46101</v>
      </c>
      <c r="X2553" s="147">
        <v>53.5</v>
      </c>
      <c r="Y2553" s="147">
        <v>25.5</v>
      </c>
      <c r="Z2553" s="158">
        <v>39.167</v>
      </c>
      <c r="AA2553" s="59" cm="1">
        <f t="array" ref="AA2553">INDEX($BX$29:$BX$1449,MATCH($D2553,$BR$29:$BR$1449,0),)</f>
        <v>31</v>
      </c>
      <c r="AB2553" s="150">
        <f t="shared" si="771"/>
        <v>-0.0167198051866542</v>
      </c>
      <c r="AC2553" s="150">
        <f t="shared" si="774"/>
        <v>-0.00422037474893844</v>
      </c>
      <c r="AD2553" s="150">
        <f t="shared" si="777"/>
        <v>-0.012604936092974</v>
      </c>
      <c r="AE2553" s="89">
        <f t="shared" si="772"/>
        <v>0.263451612903226</v>
      </c>
    </row>
    <row r="2554" spans="3:31">
      <c r="C2554" s="80" t="str" cm="1">
        <f t="array" ref="C2554">_xlfn.IFS(MONTH(D2554)&lt;4,1,MONTH(D2554)&lt;7,2,MONTH(D2554)&lt;10,3,MONTH(D2554)&gt;9,4)&amp;"Q"&amp;RIGHT(YEAR(D2554),2)</f>
        <v>1Q26</v>
      </c>
      <c r="D2554" s="81">
        <f t="shared" si="776"/>
        <v>46112</v>
      </c>
      <c r="E2554" s="82">
        <f t="shared" si="768"/>
        <v>46104</v>
      </c>
      <c r="F2554" s="83">
        <f t="shared" ref="F2554:G2569" si="783">+L2554/8</f>
        <v>4.25</v>
      </c>
      <c r="G2554" s="83">
        <f t="shared" si="783"/>
        <v>1.625</v>
      </c>
      <c r="I2554" s="146">
        <v>46104</v>
      </c>
      <c r="J2554" s="147">
        <v>47.5</v>
      </c>
      <c r="K2554" s="147">
        <v>11.6</v>
      </c>
      <c r="L2554" s="158">
        <v>34</v>
      </c>
      <c r="M2554" s="59" cm="1">
        <f t="array" ref="M2554">INDEX($BV$29:$BV$1449,MATCH($D2554,$BR$29:$BR$1449,0),)</f>
        <v>13</v>
      </c>
      <c r="N2554" s="150">
        <f t="shared" si="780"/>
        <v>-0.00293255131964809</v>
      </c>
      <c r="O2554" s="150">
        <f t="shared" si="781"/>
        <v>0.0125074449076832</v>
      </c>
      <c r="P2554" s="150">
        <f t="shared" si="767"/>
        <v>0.0210210210210211</v>
      </c>
      <c r="Q2554" s="89">
        <f t="shared" si="769"/>
        <v>1.61538461538462</v>
      </c>
      <c r="S2554" s="82">
        <f t="shared" si="770"/>
        <v>46104</v>
      </c>
      <c r="T2554" s="83">
        <f t="shared" si="782"/>
        <v>2.4166875</v>
      </c>
      <c r="U2554" s="83">
        <f t="shared" si="782"/>
        <v>1.9375</v>
      </c>
      <c r="W2554" s="146">
        <v>46104</v>
      </c>
      <c r="X2554" s="147">
        <v>52</v>
      </c>
      <c r="Y2554" s="147">
        <v>25</v>
      </c>
      <c r="Z2554" s="158">
        <v>38.667</v>
      </c>
      <c r="AA2554" s="59" cm="1">
        <f t="array" ref="AA2554">INDEX($BX$29:$BX$1449,MATCH($D2554,$BR$29:$BR$1449,0),)</f>
        <v>31</v>
      </c>
      <c r="AB2554" s="150">
        <f t="shared" si="771"/>
        <v>-0.0127658488012868</v>
      </c>
      <c r="AC2554" s="150">
        <f t="shared" si="774"/>
        <v>-0.0210886075949367</v>
      </c>
      <c r="AD2554" s="150">
        <f t="shared" si="777"/>
        <v>-0.0256029030063251</v>
      </c>
      <c r="AE2554" s="89">
        <f t="shared" si="772"/>
        <v>0.247322580645161</v>
      </c>
    </row>
    <row r="2555" spans="3:31">
      <c r="C2555" s="80" t="str" cm="1">
        <f t="array" ref="C2555">_xlfn.IFS(MONTH(D2555)&lt;4,1,MONTH(D2555)&lt;7,2,MONTH(D2555)&lt;10,3,MONTH(D2555)&gt;9,4)&amp;"Q"&amp;RIGHT(YEAR(D2555),2)</f>
        <v>1Q26</v>
      </c>
      <c r="D2555" s="81">
        <f t="shared" si="776"/>
        <v>46112</v>
      </c>
      <c r="E2555" s="82">
        <f t="shared" si="768"/>
        <v>46105</v>
      </c>
      <c r="F2555" s="83">
        <f t="shared" si="783"/>
        <v>4.25</v>
      </c>
      <c r="G2555" s="83">
        <f t="shared" si="783"/>
        <v>1.625</v>
      </c>
      <c r="I2555" s="146">
        <v>46105</v>
      </c>
      <c r="J2555" s="147">
        <v>47.5</v>
      </c>
      <c r="K2555" s="147">
        <v>12</v>
      </c>
      <c r="L2555" s="158">
        <v>34</v>
      </c>
      <c r="M2555" s="59" cm="1">
        <f t="array" ref="M2555">INDEX($BV$29:$BV$1449,MATCH($D2555,$BR$29:$BR$1449,0),)</f>
        <v>13</v>
      </c>
      <c r="N2555" s="150">
        <f t="shared" si="780"/>
        <v>0</v>
      </c>
      <c r="O2555" s="150">
        <f t="shared" si="781"/>
        <v>0.00354191263282155</v>
      </c>
      <c r="P2555" s="150">
        <f t="shared" si="767"/>
        <v>0.0216346153846154</v>
      </c>
      <c r="Q2555" s="89">
        <f t="shared" si="769"/>
        <v>1.61538461538462</v>
      </c>
      <c r="S2555" s="82">
        <f t="shared" si="770"/>
        <v>46105</v>
      </c>
      <c r="T2555" s="83">
        <f t="shared" si="782"/>
        <v>2.3854375</v>
      </c>
      <c r="U2555" s="83">
        <f t="shared" si="782"/>
        <v>1.9375</v>
      </c>
      <c r="W2555" s="146">
        <v>46105</v>
      </c>
      <c r="X2555" s="147">
        <v>50</v>
      </c>
      <c r="Y2555" s="147">
        <v>25</v>
      </c>
      <c r="Z2555" s="158">
        <v>38.167</v>
      </c>
      <c r="AA2555" s="59" cm="1">
        <f t="array" ref="AA2555">INDEX($BX$29:$BX$1449,MATCH($D2555,$BR$29:$BR$1449,0),)</f>
        <v>31</v>
      </c>
      <c r="AB2555" s="150">
        <f t="shared" si="771"/>
        <v>-0.0129309230092844</v>
      </c>
      <c r="AC2555" s="150">
        <f t="shared" si="774"/>
        <v>-0.037814808278922</v>
      </c>
      <c r="AD2555" s="150">
        <f t="shared" si="777"/>
        <v>-0.0382027568480205</v>
      </c>
      <c r="AE2555" s="89">
        <f t="shared" si="772"/>
        <v>0.231193548387097</v>
      </c>
    </row>
    <row r="2556" spans="3:31">
      <c r="C2556" s="80" t="str" cm="1">
        <f t="array" ref="C2556">_xlfn.IFS(MONTH(D2556)&lt;4,1,MONTH(D2556)&lt;7,2,MONTH(D2556)&lt;10,3,MONTH(D2556)&gt;9,4)&amp;"Q"&amp;RIGHT(YEAR(D2556),2)</f>
        <v>1Q26</v>
      </c>
      <c r="D2556" s="81">
        <f t="shared" si="776"/>
        <v>46112</v>
      </c>
      <c r="E2556" s="82">
        <f t="shared" si="768"/>
        <v>46106</v>
      </c>
      <c r="F2556" s="83">
        <f t="shared" si="783"/>
        <v>4.25</v>
      </c>
      <c r="G2556" s="83">
        <f t="shared" si="783"/>
        <v>1.625</v>
      </c>
      <c r="I2556" s="146">
        <v>46106</v>
      </c>
      <c r="J2556" s="147">
        <v>47.5</v>
      </c>
      <c r="K2556" s="147">
        <v>12</v>
      </c>
      <c r="L2556" s="158">
        <v>34</v>
      </c>
      <c r="M2556" s="59" cm="1">
        <f t="array" ref="M2556">INDEX($BV$29:$BV$1449,MATCH($D2556,$BR$29:$BR$1449,0),)</f>
        <v>13</v>
      </c>
      <c r="N2556" s="150">
        <f t="shared" si="780"/>
        <v>0</v>
      </c>
      <c r="O2556" s="150">
        <f t="shared" si="781"/>
        <v>-0.00293255131964809</v>
      </c>
      <c r="P2556" s="150">
        <f t="shared" si="767"/>
        <v>0.0179640718562875</v>
      </c>
      <c r="Q2556" s="89">
        <f t="shared" si="769"/>
        <v>1.61538461538462</v>
      </c>
      <c r="S2556" s="82">
        <f t="shared" si="770"/>
        <v>46106</v>
      </c>
      <c r="T2556" s="83">
        <f t="shared" si="782"/>
        <v>2.3854375</v>
      </c>
      <c r="U2556" s="83">
        <f t="shared" si="782"/>
        <v>1.9375</v>
      </c>
      <c r="W2556" s="146">
        <v>46106</v>
      </c>
      <c r="X2556" s="147">
        <v>50</v>
      </c>
      <c r="Y2556" s="147">
        <v>25</v>
      </c>
      <c r="Z2556" s="158">
        <v>38.167</v>
      </c>
      <c r="AA2556" s="59" cm="1">
        <f t="array" ref="AA2556">INDEX($BX$29:$BX$1449,MATCH($D2556,$BR$29:$BR$1449,0),)</f>
        <v>31</v>
      </c>
      <c r="AB2556" s="150">
        <f t="shared" si="771"/>
        <v>0</v>
      </c>
      <c r="AC2556" s="150">
        <f t="shared" si="774"/>
        <v>-0.0418246177792282</v>
      </c>
      <c r="AD2556" s="150">
        <f t="shared" si="777"/>
        <v>-0.0353830212045391</v>
      </c>
      <c r="AE2556" s="89">
        <f t="shared" si="772"/>
        <v>0.231193548387097</v>
      </c>
    </row>
    <row r="2557" spans="3:31">
      <c r="C2557" s="80" t="str" cm="1">
        <f t="array" ref="C2557">_xlfn.IFS(MONTH(D2557)&lt;4,1,MONTH(D2557)&lt;7,2,MONTH(D2557)&lt;10,3,MONTH(D2557)&gt;9,4)&amp;"Q"&amp;RIGHT(YEAR(D2557),2)</f>
        <v>1Q26</v>
      </c>
      <c r="D2557" s="81">
        <f t="shared" si="776"/>
        <v>46112</v>
      </c>
      <c r="E2557" s="82">
        <f t="shared" si="768"/>
        <v>46107</v>
      </c>
      <c r="F2557" s="83">
        <f t="shared" si="783"/>
        <v>4.25</v>
      </c>
      <c r="G2557" s="83">
        <f t="shared" si="783"/>
        <v>1.625</v>
      </c>
      <c r="I2557" s="146">
        <v>46107</v>
      </c>
      <c r="J2557" s="147">
        <v>47.5</v>
      </c>
      <c r="K2557" s="147">
        <v>12</v>
      </c>
      <c r="L2557" s="158">
        <v>34</v>
      </c>
      <c r="M2557" s="59" cm="1">
        <f t="array" ref="M2557">INDEX($BV$29:$BV$1449,MATCH($D2557,$BR$29:$BR$1449,0),)</f>
        <v>13</v>
      </c>
      <c r="N2557" s="150">
        <f t="shared" si="780"/>
        <v>0</v>
      </c>
      <c r="O2557" s="150">
        <f t="shared" si="781"/>
        <v>-0.00293255131964809</v>
      </c>
      <c r="P2557" s="150">
        <f t="shared" si="767"/>
        <v>0.0119047619047619</v>
      </c>
      <c r="Q2557" s="89">
        <f t="shared" si="769"/>
        <v>1.61538461538462</v>
      </c>
      <c r="S2557" s="82">
        <f t="shared" si="770"/>
        <v>46107</v>
      </c>
      <c r="T2557" s="83">
        <f t="shared" si="782"/>
        <v>2.36375</v>
      </c>
      <c r="U2557" s="83">
        <f t="shared" si="782"/>
        <v>1.9375</v>
      </c>
      <c r="W2557" s="146">
        <v>46107</v>
      </c>
      <c r="X2557" s="147">
        <v>50</v>
      </c>
      <c r="Y2557" s="147">
        <v>25</v>
      </c>
      <c r="Z2557" s="158">
        <v>37.82</v>
      </c>
      <c r="AA2557" s="59" cm="1">
        <f t="array" ref="AA2557">INDEX($BX$29:$BX$1449,MATCH($D2557,$BR$29:$BR$1449,0),)</f>
        <v>31</v>
      </c>
      <c r="AB2557" s="150">
        <f t="shared" si="771"/>
        <v>-0.00909162365394189</v>
      </c>
      <c r="AC2557" s="150">
        <f t="shared" si="774"/>
        <v>-0.0505359877488514</v>
      </c>
      <c r="AD2557" s="150">
        <f t="shared" si="777"/>
        <v>-0.0343911966706667</v>
      </c>
      <c r="AE2557" s="89">
        <f t="shared" si="772"/>
        <v>0.22</v>
      </c>
    </row>
    <row r="2558" spans="3:31">
      <c r="C2558" s="80" t="str" cm="1">
        <f t="array" ref="C2558">_xlfn.IFS(MONTH(D2558)&lt;4,1,MONTH(D2558)&lt;7,2,MONTH(D2558)&lt;10,3,MONTH(D2558)&gt;9,4)&amp;"Q"&amp;RIGHT(YEAR(D2558),2)</f>
        <v>1Q26</v>
      </c>
      <c r="D2558" s="81">
        <f t="shared" si="776"/>
        <v>46112</v>
      </c>
      <c r="E2558" s="82">
        <f t="shared" si="768"/>
        <v>46108</v>
      </c>
      <c r="F2558" s="83">
        <f t="shared" si="783"/>
        <v>4.25</v>
      </c>
      <c r="G2558" s="83">
        <f t="shared" si="783"/>
        <v>1.625</v>
      </c>
      <c r="I2558" s="146">
        <v>46108</v>
      </c>
      <c r="J2558" s="147">
        <v>48.5</v>
      </c>
      <c r="K2558" s="147">
        <v>12.2</v>
      </c>
      <c r="L2558" s="158">
        <v>34</v>
      </c>
      <c r="M2558" s="59" cm="1">
        <f t="array" ref="M2558">INDEX($BV$29:$BV$1449,MATCH($D2558,$BR$29:$BR$1449,0),)</f>
        <v>13</v>
      </c>
      <c r="N2558" s="150">
        <f t="shared" si="780"/>
        <v>0</v>
      </c>
      <c r="O2558" s="150">
        <f t="shared" si="781"/>
        <v>-0.00293255131964809</v>
      </c>
      <c r="P2558" s="150">
        <f t="shared" si="767"/>
        <v>0.0119047619047619</v>
      </c>
      <c r="Q2558" s="89">
        <f t="shared" si="769"/>
        <v>1.61538461538462</v>
      </c>
      <c r="S2558" s="82">
        <f t="shared" si="770"/>
        <v>46108</v>
      </c>
      <c r="T2558" s="83">
        <f t="shared" si="782"/>
        <v>2.341125</v>
      </c>
      <c r="U2558" s="83">
        <f t="shared" si="782"/>
        <v>1.9375</v>
      </c>
      <c r="W2558" s="146">
        <v>46108</v>
      </c>
      <c r="X2558" s="147">
        <v>48</v>
      </c>
      <c r="Y2558" s="147">
        <v>26</v>
      </c>
      <c r="Z2558" s="158">
        <v>37.458</v>
      </c>
      <c r="AA2558" s="59" cm="1">
        <f t="array" ref="AA2558">INDEX($BX$29:$BX$1449,MATCH($D2558,$BR$29:$BR$1449,0),)</f>
        <v>31</v>
      </c>
      <c r="AB2558" s="150">
        <f t="shared" si="771"/>
        <v>-0.00957165520888426</v>
      </c>
      <c r="AC2558" s="150">
        <f t="shared" si="774"/>
        <v>-0.0436336712027984</v>
      </c>
      <c r="AD2558" s="150">
        <f t="shared" si="777"/>
        <v>-0.047669895507589</v>
      </c>
      <c r="AE2558" s="89">
        <f t="shared" si="772"/>
        <v>0.208322580645161</v>
      </c>
    </row>
    <row r="2559" spans="3:31">
      <c r="C2559" s="80" t="str" cm="1">
        <f t="array" ref="C2559">_xlfn.IFS(MONTH(D2559)&lt;4,1,MONTH(D2559)&lt;7,2,MONTH(D2559)&lt;10,3,MONTH(D2559)&gt;9,4)&amp;"Q"&amp;RIGHT(YEAR(D2559),2)</f>
        <v>1Q26</v>
      </c>
      <c r="D2559" s="81">
        <f t="shared" si="776"/>
        <v>46112</v>
      </c>
      <c r="E2559" s="82">
        <f t="shared" si="768"/>
        <v>46111</v>
      </c>
      <c r="F2559" s="83">
        <f t="shared" si="783"/>
        <v>4.25</v>
      </c>
      <c r="G2559" s="83">
        <f t="shared" si="783"/>
        <v>1.625</v>
      </c>
      <c r="I2559" s="146">
        <v>46111</v>
      </c>
      <c r="J2559" s="147">
        <v>48.5</v>
      </c>
      <c r="K2559" s="147">
        <v>12</v>
      </c>
      <c r="L2559" s="158">
        <v>34</v>
      </c>
      <c r="M2559" s="59" cm="1">
        <f t="array" ref="M2559">INDEX($BV$29:$BV$1449,MATCH($D2559,$BR$29:$BR$1449,0),)</f>
        <v>13</v>
      </c>
      <c r="N2559" s="150">
        <f t="shared" si="780"/>
        <v>0</v>
      </c>
      <c r="O2559" s="150">
        <f t="shared" si="781"/>
        <v>0</v>
      </c>
      <c r="P2559" s="150">
        <f t="shared" si="767"/>
        <v>0.0125074449076832</v>
      </c>
      <c r="Q2559" s="89">
        <f t="shared" si="769"/>
        <v>1.61538461538462</v>
      </c>
      <c r="S2559" s="82">
        <f t="shared" si="770"/>
        <v>46111</v>
      </c>
      <c r="T2559" s="83">
        <f t="shared" si="782"/>
        <v>2.341125</v>
      </c>
      <c r="U2559" s="83">
        <f t="shared" si="782"/>
        <v>1.9375</v>
      </c>
      <c r="W2559" s="146">
        <v>46111</v>
      </c>
      <c r="X2559" s="147">
        <v>48</v>
      </c>
      <c r="Y2559" s="147">
        <v>25.8</v>
      </c>
      <c r="Z2559" s="158">
        <v>37.458</v>
      </c>
      <c r="AA2559" s="59" cm="1">
        <f t="array" ref="AA2559">INDEX($BX$29:$BX$1449,MATCH($D2559,$BR$29:$BR$1449,0),)</f>
        <v>31</v>
      </c>
      <c r="AB2559" s="150">
        <f t="shared" si="771"/>
        <v>0</v>
      </c>
      <c r="AC2559" s="150">
        <f t="shared" si="774"/>
        <v>-0.0312669718364498</v>
      </c>
      <c r="AD2559" s="150">
        <f t="shared" si="777"/>
        <v>-0.0516962025316456</v>
      </c>
      <c r="AE2559" s="89">
        <f t="shared" si="772"/>
        <v>0.208322580645161</v>
      </c>
    </row>
    <row r="2560" spans="3:31">
      <c r="C2560" s="80" t="str" cm="1">
        <f t="array" ref="C2560">_xlfn.IFS(MONTH(D2560)&lt;4,1,MONTH(D2560)&lt;7,2,MONTH(D2560)&lt;10,3,MONTH(D2560)&gt;9,4)&amp;"Q"&amp;RIGHT(YEAR(D2560),2)</f>
        <v>1Q26</v>
      </c>
      <c r="D2560" s="81">
        <f t="shared" si="776"/>
        <v>46112</v>
      </c>
      <c r="E2560" s="82">
        <f t="shared" si="768"/>
        <v>46112</v>
      </c>
      <c r="F2560" s="83">
        <f t="shared" si="783"/>
        <v>4.245</v>
      </c>
      <c r="G2560" s="83">
        <f t="shared" si="783"/>
        <v>1.625</v>
      </c>
      <c r="I2560" s="146">
        <v>46112</v>
      </c>
      <c r="J2560" s="147">
        <v>48.5</v>
      </c>
      <c r="K2560" s="147">
        <v>12</v>
      </c>
      <c r="L2560" s="158">
        <v>33.96</v>
      </c>
      <c r="M2560" s="59" cm="1">
        <f t="array" ref="M2560">INDEX($BV$29:$BV$1449,MATCH($D2560,$BR$29:$BR$1449,0),)</f>
        <v>13</v>
      </c>
      <c r="N2560" s="150">
        <f t="shared" si="780"/>
        <v>-0.00117647058823522</v>
      </c>
      <c r="O2560" s="150">
        <f t="shared" si="781"/>
        <v>-0.00117647058823522</v>
      </c>
      <c r="P2560" s="150">
        <f t="shared" si="767"/>
        <v>0.00236127508854778</v>
      </c>
      <c r="Q2560" s="89">
        <f t="shared" si="769"/>
        <v>1.61230769230769</v>
      </c>
      <c r="S2560" s="82">
        <f t="shared" si="770"/>
        <v>46112</v>
      </c>
      <c r="T2560" s="83">
        <f t="shared" si="782"/>
        <v>2.339125</v>
      </c>
      <c r="U2560" s="83">
        <f t="shared" si="782"/>
        <v>1.9375</v>
      </c>
      <c r="W2560" s="146">
        <v>46112</v>
      </c>
      <c r="X2560" s="147">
        <v>48</v>
      </c>
      <c r="Y2560" s="147">
        <v>25.8</v>
      </c>
      <c r="Z2560" s="158">
        <v>37.426</v>
      </c>
      <c r="AA2560" s="59" cm="1">
        <f t="array" ref="AA2560">INDEX($BX$29:$BX$1449,MATCH($D2560,$BR$29:$BR$1449,0),)</f>
        <v>31</v>
      </c>
      <c r="AB2560" s="150">
        <f t="shared" si="771"/>
        <v>-0.000854290138288083</v>
      </c>
      <c r="AC2560" s="150">
        <f t="shared" si="774"/>
        <v>-0.019414677601069</v>
      </c>
      <c r="AD2560" s="150">
        <f t="shared" si="777"/>
        <v>-0.0564953235687095</v>
      </c>
      <c r="AE2560" s="89">
        <f t="shared" si="772"/>
        <v>0.207290322580645</v>
      </c>
    </row>
    <row r="2561" spans="3:31">
      <c r="C2561" s="80" t="str" cm="1">
        <f t="array" ref="C2561">_xlfn.IFS(MONTH(D2561)&lt;4,1,MONTH(D2561)&lt;7,2,MONTH(D2561)&lt;10,3,MONTH(D2561)&gt;9,4)&amp;"Q"&amp;RIGHT(YEAR(D2561),2)</f>
        <v>2Q26</v>
      </c>
      <c r="D2561" s="81">
        <f t="shared" si="776"/>
        <v>46142</v>
      </c>
      <c r="E2561" s="82">
        <f t="shared" si="768"/>
        <v>46113</v>
      </c>
      <c r="F2561" s="83">
        <f t="shared" si="783"/>
        <v>4.245</v>
      </c>
      <c r="G2561" s="83">
        <f t="shared" si="783"/>
        <v>2</v>
      </c>
      <c r="I2561" s="146">
        <v>46113</v>
      </c>
      <c r="J2561" s="147">
        <v>48.5</v>
      </c>
      <c r="K2561" s="147">
        <v>12</v>
      </c>
      <c r="L2561" s="158">
        <v>33.96</v>
      </c>
      <c r="M2561" s="59" cm="1">
        <f t="array" ref="M2561">INDEX($BV$29:$BV$1449,MATCH($D2561,$BR$29:$BR$1449,0),)</f>
        <v>16</v>
      </c>
      <c r="N2561" s="150">
        <f t="shared" si="780"/>
        <v>0</v>
      </c>
      <c r="O2561" s="150">
        <f t="shared" si="781"/>
        <v>-0.00117647058823522</v>
      </c>
      <c r="P2561" s="150">
        <f t="shared" si="767"/>
        <v>-0.00410557184750737</v>
      </c>
      <c r="Q2561" s="89">
        <f t="shared" si="769"/>
        <v>1.1225</v>
      </c>
      <c r="S2561" s="82">
        <f t="shared" si="770"/>
        <v>46113</v>
      </c>
      <c r="T2561" s="83">
        <f t="shared" si="782"/>
        <v>2.3166875</v>
      </c>
      <c r="U2561" s="83">
        <f t="shared" si="782"/>
        <v>2.1875</v>
      </c>
      <c r="W2561" s="146">
        <v>46113</v>
      </c>
      <c r="X2561" s="147">
        <v>48</v>
      </c>
      <c r="Y2561" s="147">
        <v>25.8</v>
      </c>
      <c r="Z2561" s="158">
        <v>37.067</v>
      </c>
      <c r="AA2561" s="59" cm="1">
        <f t="array" ref="AA2561">INDEX($BX$29:$BX$1449,MATCH($D2561,$BR$29:$BR$1449,0),)</f>
        <v>35</v>
      </c>
      <c r="AB2561" s="150">
        <f t="shared" si="771"/>
        <v>-0.00959226206380592</v>
      </c>
      <c r="AC2561" s="150">
        <f t="shared" si="774"/>
        <v>-0.0288207089894412</v>
      </c>
      <c r="AD2561" s="150">
        <f t="shared" si="777"/>
        <v>-0.0694399116310597</v>
      </c>
      <c r="AE2561" s="89">
        <f t="shared" si="772"/>
        <v>0.0590571428571429</v>
      </c>
    </row>
    <row r="2562" spans="3:31">
      <c r="C2562" s="80" t="str" cm="1">
        <f t="array" ref="C2562">_xlfn.IFS(MONTH(D2562)&lt;4,1,MONTH(D2562)&lt;7,2,MONTH(D2562)&lt;10,3,MONTH(D2562)&gt;9,4)&amp;"Q"&amp;RIGHT(YEAR(D2562),2)</f>
        <v>2Q26</v>
      </c>
      <c r="D2562" s="81">
        <f t="shared" si="776"/>
        <v>46142</v>
      </c>
      <c r="E2562" s="82">
        <f t="shared" si="768"/>
        <v>46114</v>
      </c>
      <c r="F2562" s="83">
        <f t="shared" si="783"/>
        <v>4.2075</v>
      </c>
      <c r="G2562" s="83">
        <f t="shared" si="783"/>
        <v>2</v>
      </c>
      <c r="I2562" s="146">
        <v>46114</v>
      </c>
      <c r="J2562" s="147">
        <v>48.5</v>
      </c>
      <c r="K2562" s="147">
        <v>12</v>
      </c>
      <c r="L2562" s="158">
        <v>33.66</v>
      </c>
      <c r="M2562" s="59" cm="1">
        <f t="array" ref="M2562">INDEX($BV$29:$BV$1449,MATCH($D2562,$BR$29:$BR$1449,0),)</f>
        <v>16</v>
      </c>
      <c r="N2562" s="150">
        <f t="shared" si="780"/>
        <v>-0.00883392226148427</v>
      </c>
      <c r="O2562" s="150">
        <f t="shared" si="781"/>
        <v>-0.0100000000000001</v>
      </c>
      <c r="P2562" s="150">
        <f t="shared" si="767"/>
        <v>-0.0129032258064518</v>
      </c>
      <c r="Q2562" s="89">
        <f t="shared" si="769"/>
        <v>1.10375</v>
      </c>
      <c r="S2562" s="82">
        <f t="shared" si="770"/>
        <v>46114</v>
      </c>
      <c r="T2562" s="83">
        <f t="shared" si="782"/>
        <v>2.3125</v>
      </c>
      <c r="U2562" s="83">
        <f t="shared" si="782"/>
        <v>2.1875</v>
      </c>
      <c r="W2562" s="146">
        <v>46114</v>
      </c>
      <c r="X2562" s="147">
        <v>48</v>
      </c>
      <c r="Y2562" s="147">
        <v>25.8</v>
      </c>
      <c r="Z2562" s="158">
        <v>37</v>
      </c>
      <c r="AA2562" s="59" cm="1">
        <f t="array" ref="AA2562">INDEX($BX$29:$BX$1449,MATCH($D2562,$BR$29:$BR$1449,0),)</f>
        <v>35</v>
      </c>
      <c r="AB2562" s="150">
        <f t="shared" si="771"/>
        <v>-0.00180753770199904</v>
      </c>
      <c r="AC2562" s="150">
        <f t="shared" si="774"/>
        <v>-0.0216816499206769</v>
      </c>
      <c r="AD2562" s="150">
        <f t="shared" si="777"/>
        <v>-0.0711219340747621</v>
      </c>
      <c r="AE2562" s="89">
        <f t="shared" si="772"/>
        <v>0.0571428571428572</v>
      </c>
    </row>
    <row r="2563" spans="3:31">
      <c r="C2563" s="80" t="str" cm="1">
        <f t="array" ref="C2563">_xlfn.IFS(MONTH(D2563)&lt;4,1,MONTH(D2563)&lt;7,2,MONTH(D2563)&lt;10,3,MONTH(D2563)&gt;9,4)&amp;"Q"&amp;RIGHT(YEAR(D2563),2)</f>
        <v>2Q26</v>
      </c>
      <c r="D2563" s="81">
        <f t="shared" si="776"/>
        <v>46142</v>
      </c>
      <c r="E2563" s="82">
        <f t="shared" si="768"/>
        <v>46115</v>
      </c>
      <c r="F2563" s="83">
        <f t="shared" si="783"/>
        <v>4.2</v>
      </c>
      <c r="G2563" s="83">
        <f t="shared" si="783"/>
        <v>2</v>
      </c>
      <c r="I2563" s="146">
        <v>46115</v>
      </c>
      <c r="J2563" s="147">
        <v>48.5</v>
      </c>
      <c r="K2563" s="147">
        <v>12</v>
      </c>
      <c r="L2563" s="158">
        <v>33.6</v>
      </c>
      <c r="M2563" s="59" cm="1">
        <f t="array" ref="M2563">INDEX($BV$29:$BV$1449,MATCH($D2563,$BR$29:$BR$1449,0),)</f>
        <v>16</v>
      </c>
      <c r="N2563" s="150">
        <f t="shared" si="780"/>
        <v>-0.00178253119429572</v>
      </c>
      <c r="O2563" s="150">
        <f t="shared" si="781"/>
        <v>-0.0117647058823529</v>
      </c>
      <c r="P2563" s="150">
        <f t="shared" si="767"/>
        <v>-0.0146627565982405</v>
      </c>
      <c r="Q2563" s="89">
        <f t="shared" si="769"/>
        <v>1.1</v>
      </c>
      <c r="S2563" s="82">
        <f t="shared" si="770"/>
        <v>46115</v>
      </c>
      <c r="T2563" s="83">
        <f t="shared" si="782"/>
        <v>2.3125</v>
      </c>
      <c r="U2563" s="83">
        <f t="shared" si="782"/>
        <v>2.1875</v>
      </c>
      <c r="W2563" s="146">
        <v>46115</v>
      </c>
      <c r="X2563" s="147">
        <v>48</v>
      </c>
      <c r="Y2563" s="147">
        <v>26</v>
      </c>
      <c r="Z2563" s="158">
        <v>37</v>
      </c>
      <c r="AA2563" s="59" cm="1">
        <f t="array" ref="AA2563">INDEX($BX$29:$BX$1449,MATCH($D2563,$BR$29:$BR$1449,0),)</f>
        <v>35</v>
      </c>
      <c r="AB2563" s="150">
        <f t="shared" si="771"/>
        <v>0</v>
      </c>
      <c r="AC2563" s="150">
        <f t="shared" si="774"/>
        <v>-0.0122270276042501</v>
      </c>
      <c r="AD2563" s="150">
        <f t="shared" si="777"/>
        <v>-0.055327188704777</v>
      </c>
      <c r="AE2563" s="89">
        <f t="shared" si="772"/>
        <v>0.0571428571428572</v>
      </c>
    </row>
    <row r="2564" spans="3:31">
      <c r="C2564" s="80" t="str" cm="1">
        <f t="array" ref="C2564">_xlfn.IFS(MONTH(D2564)&lt;4,1,MONTH(D2564)&lt;7,2,MONTH(D2564)&lt;10,3,MONTH(D2564)&gt;9,4)&amp;"Q"&amp;RIGHT(YEAR(D2564),2)</f>
        <v>2Q26</v>
      </c>
      <c r="D2564" s="81">
        <f t="shared" si="776"/>
        <v>46142</v>
      </c>
      <c r="E2564" s="82">
        <f t="shared" si="768"/>
        <v>46119</v>
      </c>
      <c r="F2564" s="83">
        <f t="shared" si="783"/>
        <v>4.195</v>
      </c>
      <c r="G2564" s="83">
        <f t="shared" si="783"/>
        <v>2</v>
      </c>
      <c r="I2564" s="146">
        <v>46119</v>
      </c>
      <c r="J2564" s="147">
        <v>49</v>
      </c>
      <c r="K2564" s="147">
        <v>12.5</v>
      </c>
      <c r="L2564" s="158">
        <v>33.56</v>
      </c>
      <c r="M2564" s="59" cm="1">
        <f t="array" ref="M2564">INDEX($BV$29:$BV$1449,MATCH($D2564,$BR$29:$BR$1449,0),)</f>
        <v>16</v>
      </c>
      <c r="N2564" s="150">
        <f t="shared" si="780"/>
        <v>-0.00119047619047619</v>
      </c>
      <c r="O2564" s="150">
        <f t="shared" si="781"/>
        <v>-0.0129411764705881</v>
      </c>
      <c r="P2564" s="150">
        <f t="shared" si="767"/>
        <v>-0.0129411764705881</v>
      </c>
      <c r="Q2564" s="89">
        <f t="shared" si="769"/>
        <v>1.0975</v>
      </c>
      <c r="S2564" s="82">
        <f t="shared" si="770"/>
        <v>46119</v>
      </c>
      <c r="T2564" s="83">
        <f t="shared" si="782"/>
        <v>2.3125</v>
      </c>
      <c r="U2564" s="83">
        <f t="shared" si="782"/>
        <v>2.1875</v>
      </c>
      <c r="W2564" s="146">
        <v>46119</v>
      </c>
      <c r="X2564" s="147">
        <v>48.5</v>
      </c>
      <c r="Y2564" s="147">
        <v>26.2</v>
      </c>
      <c r="Z2564" s="158">
        <v>37</v>
      </c>
      <c r="AA2564" s="59" cm="1">
        <f t="array" ref="AA2564">INDEX($BX$29:$BX$1449,MATCH($D2564,$BR$29:$BR$1449,0),)</f>
        <v>35</v>
      </c>
      <c r="AB2564" s="150">
        <f t="shared" si="771"/>
        <v>0</v>
      </c>
      <c r="AC2564" s="150">
        <f t="shared" si="774"/>
        <v>-0.0122270276042501</v>
      </c>
      <c r="AD2564" s="150">
        <f t="shared" si="777"/>
        <v>-0.0431116973129543</v>
      </c>
      <c r="AE2564" s="89">
        <f t="shared" si="772"/>
        <v>0.0571428571428572</v>
      </c>
    </row>
    <row r="2565" spans="3:31">
      <c r="C2565" s="80" t="str" cm="1">
        <f t="array" ref="C2565">_xlfn.IFS(MONTH(D2565)&lt;4,1,MONTH(D2565)&lt;7,2,MONTH(D2565)&lt;10,3,MONTH(D2565)&gt;9,4)&amp;"Q"&amp;RIGHT(YEAR(D2565),2)</f>
        <v>2Q26</v>
      </c>
      <c r="D2565" s="81">
        <f t="shared" si="776"/>
        <v>46142</v>
      </c>
      <c r="E2565" s="82">
        <f t="shared" si="768"/>
        <v>46120</v>
      </c>
      <c r="F2565" s="83">
        <f t="shared" si="783"/>
        <v>4.195</v>
      </c>
      <c r="G2565" s="83">
        <f t="shared" si="783"/>
        <v>2</v>
      </c>
      <c r="I2565" s="146">
        <v>46120</v>
      </c>
      <c r="J2565" s="147">
        <v>49</v>
      </c>
      <c r="K2565" s="147">
        <v>12.5</v>
      </c>
      <c r="L2565" s="158">
        <v>33.56</v>
      </c>
      <c r="M2565" s="59" cm="1">
        <f t="array" ref="M2565">INDEX($BV$29:$BV$1449,MATCH($D2565,$BR$29:$BR$1449,0),)</f>
        <v>16</v>
      </c>
      <c r="N2565" s="150">
        <f t="shared" si="780"/>
        <v>0</v>
      </c>
      <c r="O2565" s="150">
        <f t="shared" si="781"/>
        <v>-0.0117785630153121</v>
      </c>
      <c r="P2565" s="150">
        <f t="shared" si="767"/>
        <v>-0.0129411764705881</v>
      </c>
      <c r="Q2565" s="89">
        <f t="shared" si="769"/>
        <v>1.0975</v>
      </c>
      <c r="S2565" s="82">
        <f t="shared" si="770"/>
        <v>46120</v>
      </c>
      <c r="T2565" s="83">
        <f t="shared" si="782"/>
        <v>2.3125</v>
      </c>
      <c r="U2565" s="83">
        <f t="shared" si="782"/>
        <v>2.1875</v>
      </c>
      <c r="W2565" s="146">
        <v>46120</v>
      </c>
      <c r="X2565" s="147">
        <v>48.5</v>
      </c>
      <c r="Y2565" s="147">
        <v>26.2</v>
      </c>
      <c r="Z2565" s="158">
        <v>37</v>
      </c>
      <c r="AA2565" s="59" cm="1">
        <f t="array" ref="AA2565">INDEX($BX$29:$BX$1449,MATCH($D2565,$BR$29:$BR$1449,0),)</f>
        <v>35</v>
      </c>
      <c r="AB2565" s="150">
        <f t="shared" si="771"/>
        <v>0</v>
      </c>
      <c r="AC2565" s="150">
        <f t="shared" si="774"/>
        <v>-0.0113824613904773</v>
      </c>
      <c r="AD2565" s="150">
        <f t="shared" si="777"/>
        <v>-0.0305761521733435</v>
      </c>
      <c r="AE2565" s="89">
        <f t="shared" si="772"/>
        <v>0.0571428571428572</v>
      </c>
    </row>
    <row r="2566" spans="3:31">
      <c r="C2566" s="80" t="str" cm="1">
        <f t="array" ref="C2566">_xlfn.IFS(MONTH(D2566)&lt;4,1,MONTH(D2566)&lt;7,2,MONTH(D2566)&lt;10,3,MONTH(D2566)&gt;9,4)&amp;"Q"&amp;RIGHT(YEAR(D2566),2)</f>
        <v>2Q26</v>
      </c>
      <c r="D2566" s="81">
        <f t="shared" si="776"/>
        <v>46142</v>
      </c>
      <c r="E2566" s="82">
        <f t="shared" si="768"/>
        <v>46121</v>
      </c>
      <c r="F2566" s="83">
        <f t="shared" si="783"/>
        <v>4.1875</v>
      </c>
      <c r="G2566" s="83">
        <f t="shared" si="783"/>
        <v>2</v>
      </c>
      <c r="I2566" s="146">
        <v>46121</v>
      </c>
      <c r="J2566" s="147">
        <v>49</v>
      </c>
      <c r="K2566" s="147">
        <v>13</v>
      </c>
      <c r="L2566" s="158">
        <v>33.5</v>
      </c>
      <c r="M2566" s="59" cm="1">
        <f t="array" ref="M2566">INDEX($BV$29:$BV$1449,MATCH($D2566,$BR$29:$BR$1449,0),)</f>
        <v>16</v>
      </c>
      <c r="N2566" s="150">
        <f t="shared" si="780"/>
        <v>-0.00178784266984511</v>
      </c>
      <c r="O2566" s="150">
        <f t="shared" si="781"/>
        <v>-0.0135453474676089</v>
      </c>
      <c r="P2566" s="150">
        <f t="shared" si="767"/>
        <v>-0.0147058823529411</v>
      </c>
      <c r="Q2566" s="89">
        <f t="shared" si="769"/>
        <v>1.09375</v>
      </c>
      <c r="S2566" s="82">
        <f t="shared" si="770"/>
        <v>46121</v>
      </c>
      <c r="T2566" s="83">
        <f t="shared" si="782"/>
        <v>2.3141875</v>
      </c>
      <c r="U2566" s="83">
        <f t="shared" si="782"/>
        <v>2.1875</v>
      </c>
      <c r="W2566" s="146">
        <v>46121</v>
      </c>
      <c r="X2566" s="147">
        <v>48.5</v>
      </c>
      <c r="Y2566" s="147">
        <v>26.5</v>
      </c>
      <c r="Z2566" s="158">
        <v>37.027</v>
      </c>
      <c r="AA2566" s="59" cm="1">
        <f t="array" ref="AA2566">INDEX($BX$29:$BX$1449,MATCH($D2566,$BR$29:$BR$1449,0),)</f>
        <v>35</v>
      </c>
      <c r="AB2566" s="150">
        <f t="shared" si="771"/>
        <v>0.000729729729729733</v>
      </c>
      <c r="AC2566" s="150">
        <f t="shared" si="774"/>
        <v>-0.00107912698626811</v>
      </c>
      <c r="AD2566" s="150">
        <f t="shared" si="777"/>
        <v>-0.0298687347708754</v>
      </c>
      <c r="AE2566" s="89">
        <f t="shared" si="772"/>
        <v>0.0579142857142858</v>
      </c>
    </row>
    <row r="2567" spans="3:31">
      <c r="C2567" s="80" t="str" cm="1">
        <f t="array" ref="C2567">_xlfn.IFS(MONTH(D2567)&lt;4,1,MONTH(D2567)&lt;7,2,MONTH(D2567)&lt;10,3,MONTH(D2567)&gt;9,4)&amp;"Q"&amp;RIGHT(YEAR(D2567),2)</f>
        <v>2Q26</v>
      </c>
      <c r="D2567" s="81">
        <f t="shared" si="776"/>
        <v>46142</v>
      </c>
      <c r="E2567" s="82">
        <f t="shared" si="768"/>
        <v>46122</v>
      </c>
      <c r="F2567" s="83">
        <f t="shared" si="783"/>
        <v>4.175</v>
      </c>
      <c r="G2567" s="83">
        <f t="shared" si="783"/>
        <v>2</v>
      </c>
      <c r="I2567" s="146">
        <v>46122</v>
      </c>
      <c r="J2567" s="147">
        <v>49</v>
      </c>
      <c r="K2567" s="147">
        <v>13</v>
      </c>
      <c r="L2567" s="158">
        <v>33.4</v>
      </c>
      <c r="M2567" s="59" cm="1">
        <f t="array" ref="M2567">INDEX($BV$29:$BV$1449,MATCH($D2567,$BR$29:$BR$1449,0),)</f>
        <v>16</v>
      </c>
      <c r="N2567" s="150">
        <f t="shared" si="780"/>
        <v>-0.0029850746268657</v>
      </c>
      <c r="O2567" s="150">
        <f t="shared" si="781"/>
        <v>-0.00772430184194883</v>
      </c>
      <c r="P2567" s="150">
        <f t="shared" si="767"/>
        <v>-0.0176470588235295</v>
      </c>
      <c r="Q2567" s="89">
        <f t="shared" si="769"/>
        <v>1.0875</v>
      </c>
      <c r="S2567" s="82">
        <f t="shared" si="770"/>
        <v>46122</v>
      </c>
      <c r="T2567" s="83">
        <f t="shared" si="782"/>
        <v>2.3145625</v>
      </c>
      <c r="U2567" s="83">
        <f t="shared" si="782"/>
        <v>2.1875</v>
      </c>
      <c r="W2567" s="146">
        <v>46122</v>
      </c>
      <c r="X2567" s="147">
        <v>48.5</v>
      </c>
      <c r="Y2567" s="147">
        <v>26.5</v>
      </c>
      <c r="Z2567" s="158">
        <v>37.033</v>
      </c>
      <c r="AA2567" s="59" cm="1">
        <f t="array" ref="AA2567">INDEX($BX$29:$BX$1449,MATCH($D2567,$BR$29:$BR$1449,0),)</f>
        <v>35</v>
      </c>
      <c r="AB2567" s="150">
        <f t="shared" si="771"/>
        <v>0.000162043913900733</v>
      </c>
      <c r="AC2567" s="150">
        <f t="shared" si="774"/>
        <v>0.000891891891891872</v>
      </c>
      <c r="AD2567" s="150">
        <f t="shared" si="777"/>
        <v>-0.0208090957165521</v>
      </c>
      <c r="AE2567" s="89">
        <f t="shared" si="772"/>
        <v>0.0580857142857143</v>
      </c>
    </row>
    <row r="2568" spans="3:31">
      <c r="C2568" s="80" t="str" cm="1">
        <f t="array" ref="C2568">_xlfn.IFS(MONTH(D2568)&lt;4,1,MONTH(D2568)&lt;7,2,MONTH(D2568)&lt;10,3,MONTH(D2568)&gt;9,4)&amp;"Q"&amp;RIGHT(YEAR(D2568),2)</f>
        <v>2Q26</v>
      </c>
      <c r="D2568" s="81">
        <f t="shared" si="776"/>
        <v>46142</v>
      </c>
      <c r="E2568" s="82">
        <f t="shared" si="768"/>
        <v>46125</v>
      </c>
      <c r="F2568" s="83">
        <f t="shared" si="783"/>
        <v>4.175</v>
      </c>
      <c r="G2568" s="83">
        <f t="shared" si="783"/>
        <v>2</v>
      </c>
      <c r="I2568" s="146">
        <v>46125</v>
      </c>
      <c r="J2568" s="147">
        <v>49.3</v>
      </c>
      <c r="K2568" s="147">
        <v>13.2</v>
      </c>
      <c r="L2568" s="158">
        <v>33.4</v>
      </c>
      <c r="M2568" s="59" cm="1">
        <f t="array" ref="M2568">INDEX($BV$29:$BV$1449,MATCH($D2568,$BR$29:$BR$1449,0),)</f>
        <v>16</v>
      </c>
      <c r="N2568" s="150">
        <f t="shared" si="780"/>
        <v>0</v>
      </c>
      <c r="O2568" s="150">
        <f t="shared" si="781"/>
        <v>-0.00595238095238104</v>
      </c>
      <c r="P2568" s="150">
        <f t="shared" si="767"/>
        <v>-0.0176470588235295</v>
      </c>
      <c r="Q2568" s="89">
        <f t="shared" si="769"/>
        <v>1.0875</v>
      </c>
      <c r="S2568" s="82">
        <f t="shared" si="770"/>
        <v>46125</v>
      </c>
      <c r="T2568" s="83">
        <f t="shared" ref="T2568:U2583" si="784">+Z2568/16</f>
        <v>2.31875</v>
      </c>
      <c r="U2568" s="83">
        <f t="shared" si="784"/>
        <v>2.1875</v>
      </c>
      <c r="W2568" s="146">
        <v>46125</v>
      </c>
      <c r="X2568" s="147">
        <v>49</v>
      </c>
      <c r="Y2568" s="147">
        <v>26.5</v>
      </c>
      <c r="Z2568" s="158">
        <v>37.1</v>
      </c>
      <c r="AA2568" s="59" cm="1">
        <f t="array" ref="AA2568">INDEX($BX$29:$BX$1449,MATCH($D2568,$BR$29:$BR$1449,0),)</f>
        <v>35</v>
      </c>
      <c r="AB2568" s="150">
        <f t="shared" si="771"/>
        <v>0.00180919720249517</v>
      </c>
      <c r="AC2568" s="150">
        <f t="shared" si="774"/>
        <v>0.00270270270270268</v>
      </c>
      <c r="AD2568" s="150">
        <f t="shared" si="777"/>
        <v>-0.0095573709220993</v>
      </c>
      <c r="AE2568" s="89">
        <f t="shared" si="772"/>
        <v>0.0600000000000001</v>
      </c>
    </row>
    <row r="2569" spans="3:31">
      <c r="C2569" s="80" t="str" cm="1">
        <f t="array" ref="C2569">_xlfn.IFS(MONTH(D2569)&lt;4,1,MONTH(D2569)&lt;7,2,MONTH(D2569)&lt;10,3,MONTH(D2569)&gt;9,4)&amp;"Q"&amp;RIGHT(YEAR(D2569),2)</f>
        <v>2Q26</v>
      </c>
      <c r="D2569" s="81">
        <f t="shared" si="776"/>
        <v>46142</v>
      </c>
      <c r="E2569" s="82">
        <f t="shared" si="768"/>
        <v>46126</v>
      </c>
      <c r="F2569" s="83">
        <f t="shared" si="783"/>
        <v>4.175</v>
      </c>
      <c r="G2569" s="83">
        <f t="shared" si="783"/>
        <v>2</v>
      </c>
      <c r="I2569" s="146">
        <v>46126</v>
      </c>
      <c r="J2569" s="147">
        <v>49.3</v>
      </c>
      <c r="K2569" s="147">
        <v>13.5</v>
      </c>
      <c r="L2569" s="158">
        <v>33.4</v>
      </c>
      <c r="M2569" s="59" cm="1">
        <f t="array" ref="M2569">INDEX($BV$29:$BV$1449,MATCH($D2569,$BR$29:$BR$1449,0),)</f>
        <v>16</v>
      </c>
      <c r="N2569" s="150">
        <f t="shared" si="780"/>
        <v>0</v>
      </c>
      <c r="O2569" s="150">
        <f t="shared" si="781"/>
        <v>-0.00476758045292025</v>
      </c>
      <c r="P2569" s="150">
        <f t="shared" si="767"/>
        <v>-0.0176470588235295</v>
      </c>
      <c r="Q2569" s="89">
        <f t="shared" si="769"/>
        <v>1.0875</v>
      </c>
      <c r="S2569" s="82">
        <f t="shared" si="770"/>
        <v>46126</v>
      </c>
      <c r="T2569" s="83">
        <f t="shared" si="784"/>
        <v>2.325</v>
      </c>
      <c r="U2569" s="83">
        <f t="shared" si="784"/>
        <v>2.1875</v>
      </c>
      <c r="W2569" s="146">
        <v>46126</v>
      </c>
      <c r="X2569" s="147">
        <v>49</v>
      </c>
      <c r="Y2569" s="147">
        <v>26.5</v>
      </c>
      <c r="Z2569" s="158">
        <v>37.2</v>
      </c>
      <c r="AA2569" s="59" cm="1">
        <f t="array" ref="AA2569">INDEX($BX$29:$BX$1449,MATCH($D2569,$BR$29:$BR$1449,0),)</f>
        <v>35</v>
      </c>
      <c r="AB2569" s="150">
        <f t="shared" si="771"/>
        <v>0.00269541778975735</v>
      </c>
      <c r="AC2569" s="150">
        <f t="shared" si="774"/>
        <v>0.00540540540540557</v>
      </c>
      <c r="AD2569" s="150">
        <f t="shared" si="777"/>
        <v>-0.00688771423994861</v>
      </c>
      <c r="AE2569" s="89">
        <f t="shared" si="772"/>
        <v>0.0628571428571429</v>
      </c>
    </row>
    <row r="2570" spans="3:31">
      <c r="C2570" s="80" t="str" cm="1">
        <f t="array" ref="C2570">_xlfn.IFS(MONTH(D2570)&lt;4,1,MONTH(D2570)&lt;7,2,MONTH(D2570)&lt;10,3,MONTH(D2570)&gt;9,4)&amp;"Q"&amp;RIGHT(YEAR(D2570),2)</f>
        <v>2Q26</v>
      </c>
      <c r="D2570" s="81">
        <f t="shared" si="776"/>
        <v>46142</v>
      </c>
      <c r="E2570" s="82">
        <f t="shared" si="768"/>
        <v>46127</v>
      </c>
      <c r="F2570" s="83">
        <f t="shared" ref="F2570:G2585" si="785">+L2570/8</f>
        <v>4.15</v>
      </c>
      <c r="G2570" s="83">
        <f t="shared" si="785"/>
        <v>2</v>
      </c>
      <c r="I2570" s="146">
        <v>46127</v>
      </c>
      <c r="J2570" s="147">
        <v>49.3</v>
      </c>
      <c r="K2570" s="147">
        <v>14</v>
      </c>
      <c r="L2570" s="158">
        <v>33.2</v>
      </c>
      <c r="M2570" s="59" cm="1">
        <f t="array" ref="M2570">INDEX($BV$29:$BV$1449,MATCH($D2570,$BR$29:$BR$1449,0),)</f>
        <v>16</v>
      </c>
      <c r="N2570" s="150">
        <f t="shared" si="780"/>
        <v>-0.00598802395209563</v>
      </c>
      <c r="O2570" s="150">
        <f t="shared" si="781"/>
        <v>-0.0107270560190703</v>
      </c>
      <c r="P2570" s="150">
        <f t="shared" si="767"/>
        <v>-0.022379269729093</v>
      </c>
      <c r="Q2570" s="89">
        <f t="shared" si="769"/>
        <v>1.075</v>
      </c>
      <c r="S2570" s="82">
        <f t="shared" si="770"/>
        <v>46127</v>
      </c>
      <c r="T2570" s="83">
        <f t="shared" si="784"/>
        <v>2.3395625</v>
      </c>
      <c r="U2570" s="83">
        <f t="shared" si="784"/>
        <v>2.1875</v>
      </c>
      <c r="W2570" s="146">
        <v>46127</v>
      </c>
      <c r="X2570" s="147">
        <v>49.5</v>
      </c>
      <c r="Y2570" s="147">
        <v>27</v>
      </c>
      <c r="Z2570" s="158">
        <v>37.433</v>
      </c>
      <c r="AA2570" s="59" cm="1">
        <f t="array" ref="AA2570">INDEX($BX$29:$BX$1449,MATCH($D2570,$BR$29:$BR$1449,0),)</f>
        <v>35</v>
      </c>
      <c r="AB2570" s="150">
        <f t="shared" si="771"/>
        <v>0.00626344086021491</v>
      </c>
      <c r="AC2570" s="150">
        <f t="shared" si="774"/>
        <v>0.0117027027027028</v>
      </c>
      <c r="AD2570" s="150">
        <f t="shared" si="777"/>
        <v>0.000187035750547793</v>
      </c>
      <c r="AE2570" s="89">
        <f t="shared" si="772"/>
        <v>0.0695142857142856</v>
      </c>
    </row>
    <row r="2571" spans="3:31">
      <c r="C2571" s="80" t="str" cm="1">
        <f t="array" ref="C2571">_xlfn.IFS(MONTH(D2571)&lt;4,1,MONTH(D2571)&lt;7,2,MONTH(D2571)&lt;10,3,MONTH(D2571)&gt;9,4)&amp;"Q"&amp;RIGHT(YEAR(D2571),2)</f>
        <v>2Q26</v>
      </c>
      <c r="D2571" s="81">
        <f t="shared" si="776"/>
        <v>46142</v>
      </c>
      <c r="E2571" s="82">
        <f t="shared" si="768"/>
        <v>46128</v>
      </c>
      <c r="F2571" s="83">
        <f t="shared" si="785"/>
        <v>4.1375</v>
      </c>
      <c r="G2571" s="83">
        <f t="shared" si="785"/>
        <v>2</v>
      </c>
      <c r="I2571" s="146">
        <v>46128</v>
      </c>
      <c r="J2571" s="147">
        <v>49.3</v>
      </c>
      <c r="K2571" s="147">
        <v>14.5</v>
      </c>
      <c r="L2571" s="158">
        <v>33.1</v>
      </c>
      <c r="M2571" s="59" cm="1">
        <f t="array" ref="M2571">INDEX($BV$29:$BV$1449,MATCH($D2571,$BR$29:$BR$1449,0),)</f>
        <v>16</v>
      </c>
      <c r="N2571" s="150">
        <f t="shared" si="780"/>
        <v>-0.00301204819277112</v>
      </c>
      <c r="O2571" s="150">
        <f t="shared" si="781"/>
        <v>-0.0119402985074627</v>
      </c>
      <c r="P2571" s="150">
        <f t="shared" si="767"/>
        <v>-0.025323910482921</v>
      </c>
      <c r="Q2571" s="89">
        <f t="shared" si="769"/>
        <v>1.06875</v>
      </c>
      <c r="S2571" s="82">
        <f t="shared" si="770"/>
        <v>46128</v>
      </c>
      <c r="T2571" s="83">
        <f t="shared" si="784"/>
        <v>2.35625</v>
      </c>
      <c r="U2571" s="83">
        <f t="shared" si="784"/>
        <v>2.1875</v>
      </c>
      <c r="W2571" s="146">
        <v>46128</v>
      </c>
      <c r="X2571" s="147">
        <v>49.5</v>
      </c>
      <c r="Y2571" s="147">
        <v>28</v>
      </c>
      <c r="Z2571" s="158">
        <v>37.7</v>
      </c>
      <c r="AA2571" s="59" cm="1">
        <f t="array" ref="AA2571">INDEX($BX$29:$BX$1449,MATCH($D2571,$BR$29:$BR$1449,0),)</f>
        <v>35</v>
      </c>
      <c r="AB2571" s="150">
        <f t="shared" si="771"/>
        <v>0.00713274383565321</v>
      </c>
      <c r="AC2571" s="150">
        <f t="shared" si="774"/>
        <v>0.0181759256758582</v>
      </c>
      <c r="AD2571" s="150">
        <f t="shared" si="777"/>
        <v>0.0170771845576929</v>
      </c>
      <c r="AE2571" s="89">
        <f t="shared" si="772"/>
        <v>0.0771428571428572</v>
      </c>
    </row>
    <row r="2572" spans="3:31">
      <c r="C2572" s="80" t="str" cm="1">
        <f t="array" ref="C2572">_xlfn.IFS(MONTH(D2572)&lt;4,1,MONTH(D2572)&lt;7,2,MONTH(D2572)&lt;10,3,MONTH(D2572)&gt;9,4)&amp;"Q"&amp;RIGHT(YEAR(D2572),2)</f>
        <v>2Q26</v>
      </c>
      <c r="D2572" s="81">
        <f t="shared" si="776"/>
        <v>46142</v>
      </c>
      <c r="E2572" s="82">
        <f t="shared" si="768"/>
        <v>46129</v>
      </c>
      <c r="F2572" s="83">
        <f t="shared" si="785"/>
        <v>4.125</v>
      </c>
      <c r="G2572" s="83">
        <f t="shared" si="785"/>
        <v>2</v>
      </c>
      <c r="I2572" s="146">
        <v>46129</v>
      </c>
      <c r="J2572" s="147">
        <v>50</v>
      </c>
      <c r="K2572" s="147">
        <v>14.5</v>
      </c>
      <c r="L2572" s="158">
        <v>33</v>
      </c>
      <c r="M2572" s="59" cm="1">
        <f t="array" ref="M2572">INDEX($BV$29:$BV$1449,MATCH($D2572,$BR$29:$BR$1449,0),)</f>
        <v>16</v>
      </c>
      <c r="N2572" s="150">
        <f t="shared" si="780"/>
        <v>-0.00302114803625386</v>
      </c>
      <c r="O2572" s="150">
        <f t="shared" si="781"/>
        <v>-0.0119760479041916</v>
      </c>
      <c r="P2572" s="150">
        <f t="shared" si="767"/>
        <v>-0.0196078431372548</v>
      </c>
      <c r="Q2572" s="89">
        <f t="shared" si="769"/>
        <v>1.0625</v>
      </c>
      <c r="S2572" s="82">
        <f t="shared" si="770"/>
        <v>46129</v>
      </c>
      <c r="T2572" s="83">
        <f t="shared" si="784"/>
        <v>2.40625</v>
      </c>
      <c r="U2572" s="83">
        <f t="shared" si="784"/>
        <v>2.1875</v>
      </c>
      <c r="W2572" s="146">
        <v>46129</v>
      </c>
      <c r="X2572" s="147">
        <v>49.5</v>
      </c>
      <c r="Y2572" s="147">
        <v>28</v>
      </c>
      <c r="Z2572" s="158">
        <v>38.5</v>
      </c>
      <c r="AA2572" s="59" cm="1">
        <f t="array" ref="AA2572">INDEX($BX$29:$BX$1449,MATCH($D2572,$BR$29:$BR$1449,0),)</f>
        <v>35</v>
      </c>
      <c r="AB2572" s="150">
        <f t="shared" si="771"/>
        <v>0.0212201591511936</v>
      </c>
      <c r="AC2572" s="150">
        <f t="shared" si="774"/>
        <v>0.0396133178516458</v>
      </c>
      <c r="AD2572" s="150">
        <f t="shared" si="777"/>
        <v>0.0405405405405406</v>
      </c>
      <c r="AE2572" s="89">
        <f t="shared" si="772"/>
        <v>0.1</v>
      </c>
    </row>
    <row r="2573" spans="3:31">
      <c r="C2573" s="80" t="str" cm="1">
        <f t="array" ref="C2573">_xlfn.IFS(MONTH(D2573)&lt;4,1,MONTH(D2573)&lt;7,2,MONTH(D2573)&lt;10,3,MONTH(D2573)&gt;9,4)&amp;"Q"&amp;RIGHT(YEAR(D2573),2)</f>
        <v>2Q26</v>
      </c>
      <c r="D2573" s="81">
        <f t="shared" si="776"/>
        <v>46142</v>
      </c>
      <c r="E2573" s="82">
        <f t="shared" si="768"/>
        <v>46132</v>
      </c>
      <c r="F2573" s="83">
        <f t="shared" si="785"/>
        <v>4.125</v>
      </c>
      <c r="G2573" s="83">
        <f t="shared" si="785"/>
        <v>2</v>
      </c>
      <c r="I2573" s="146">
        <v>46132</v>
      </c>
      <c r="J2573" s="147">
        <v>51</v>
      </c>
      <c r="K2573" s="147">
        <v>15</v>
      </c>
      <c r="L2573" s="158">
        <v>33</v>
      </c>
      <c r="M2573" s="59" cm="1">
        <f t="array" ref="M2573">INDEX($BV$29:$BV$1449,MATCH($D2573,$BR$29:$BR$1449,0),)</f>
        <v>16</v>
      </c>
      <c r="N2573" s="150">
        <f t="shared" si="780"/>
        <v>0</v>
      </c>
      <c r="O2573" s="150">
        <f t="shared" si="781"/>
        <v>-0.0119760479041916</v>
      </c>
      <c r="P2573" s="150">
        <f t="shared" si="767"/>
        <v>-0.0178571428571429</v>
      </c>
      <c r="Q2573" s="89">
        <f t="shared" si="769"/>
        <v>1.0625</v>
      </c>
      <c r="S2573" s="82">
        <f t="shared" si="770"/>
        <v>46132</v>
      </c>
      <c r="T2573" s="83">
        <f t="shared" si="784"/>
        <v>2.4166875</v>
      </c>
      <c r="U2573" s="83">
        <f t="shared" si="784"/>
        <v>2.1875</v>
      </c>
      <c r="W2573" s="146">
        <v>46132</v>
      </c>
      <c r="X2573" s="147">
        <v>50</v>
      </c>
      <c r="Y2573" s="147">
        <v>28.5</v>
      </c>
      <c r="Z2573" s="158">
        <v>38.667</v>
      </c>
      <c r="AA2573" s="59" cm="1">
        <f t="array" ref="AA2573">INDEX($BX$29:$BX$1449,MATCH($D2573,$BR$29:$BR$1449,0),)</f>
        <v>35</v>
      </c>
      <c r="AB2573" s="150">
        <f t="shared" si="771"/>
        <v>0.00433766233766231</v>
      </c>
      <c r="AC2573" s="150">
        <f t="shared" si="774"/>
        <v>0.0422371967654986</v>
      </c>
      <c r="AD2573" s="150">
        <f t="shared" si="777"/>
        <v>0.045054054054054</v>
      </c>
      <c r="AE2573" s="89">
        <f t="shared" si="772"/>
        <v>0.104771428571429</v>
      </c>
    </row>
    <row r="2574" spans="3:31">
      <c r="C2574" s="80" t="str" cm="1">
        <f t="array" ref="C2574">_xlfn.IFS(MONTH(D2574)&lt;4,1,MONTH(D2574)&lt;7,2,MONTH(D2574)&lt;10,3,MONTH(D2574)&gt;9,4)&amp;"Q"&amp;RIGHT(YEAR(D2574),2)</f>
        <v>2Q26</v>
      </c>
      <c r="D2574" s="81">
        <f t="shared" si="776"/>
        <v>46142</v>
      </c>
      <c r="E2574" s="82">
        <f t="shared" si="768"/>
        <v>46133</v>
      </c>
      <c r="F2574" s="83">
        <f t="shared" si="785"/>
        <v>4.125</v>
      </c>
      <c r="G2574" s="83">
        <f t="shared" si="785"/>
        <v>2</v>
      </c>
      <c r="I2574" s="146">
        <v>46133</v>
      </c>
      <c r="J2574" s="147">
        <v>51</v>
      </c>
      <c r="K2574" s="147">
        <v>15</v>
      </c>
      <c r="L2574" s="158">
        <v>33</v>
      </c>
      <c r="M2574" s="59" cm="1">
        <f t="array" ref="M2574">INDEX($BV$29:$BV$1449,MATCH($D2574,$BR$29:$BR$1449,0),)</f>
        <v>16</v>
      </c>
      <c r="N2574" s="150">
        <f t="shared" si="780"/>
        <v>0</v>
      </c>
      <c r="O2574" s="150">
        <f t="shared" si="781"/>
        <v>-0.0119760479041916</v>
      </c>
      <c r="P2574" s="150">
        <f t="shared" si="767"/>
        <v>-0.0166865315852206</v>
      </c>
      <c r="Q2574" s="89">
        <f t="shared" si="769"/>
        <v>1.0625</v>
      </c>
      <c r="S2574" s="82">
        <f t="shared" si="770"/>
        <v>46133</v>
      </c>
      <c r="T2574" s="83">
        <f t="shared" si="784"/>
        <v>2.4270625</v>
      </c>
      <c r="U2574" s="83">
        <f t="shared" si="784"/>
        <v>2.1875</v>
      </c>
      <c r="W2574" s="146">
        <v>46133</v>
      </c>
      <c r="X2574" s="147">
        <v>50</v>
      </c>
      <c r="Y2574" s="147">
        <v>28.5</v>
      </c>
      <c r="Z2574" s="158">
        <v>38.833</v>
      </c>
      <c r="AA2574" s="59" cm="1">
        <f t="array" ref="AA2574">INDEX($BX$29:$BX$1449,MATCH($D2574,$BR$29:$BR$1449,0),)</f>
        <v>35</v>
      </c>
      <c r="AB2574" s="150">
        <f t="shared" si="771"/>
        <v>0.00429306643908234</v>
      </c>
      <c r="AC2574" s="150">
        <f t="shared" si="774"/>
        <v>0.0438978494623654</v>
      </c>
      <c r="AD2574" s="150">
        <f t="shared" si="777"/>
        <v>0.0495405405405405</v>
      </c>
      <c r="AE2574" s="89">
        <f t="shared" si="772"/>
        <v>0.109514285714286</v>
      </c>
    </row>
    <row r="2575" spans="3:31">
      <c r="C2575" s="80" t="str" cm="1">
        <f t="array" ref="C2575">_xlfn.IFS(MONTH(D2575)&lt;4,1,MONTH(D2575)&lt;7,2,MONTH(D2575)&lt;10,3,MONTH(D2575)&gt;9,4)&amp;"Q"&amp;RIGHT(YEAR(D2575),2)</f>
        <v>2Q26</v>
      </c>
      <c r="D2575" s="81">
        <f t="shared" si="776"/>
        <v>46142</v>
      </c>
      <c r="E2575" s="82">
        <f t="shared" si="768"/>
        <v>46134</v>
      </c>
      <c r="F2575" s="83">
        <f t="shared" si="785"/>
        <v>4.1</v>
      </c>
      <c r="G2575" s="83">
        <f t="shared" si="785"/>
        <v>2</v>
      </c>
      <c r="I2575" s="146">
        <v>46134</v>
      </c>
      <c r="J2575" s="147">
        <v>51</v>
      </c>
      <c r="K2575" s="147">
        <v>15</v>
      </c>
      <c r="L2575" s="158">
        <v>32.8</v>
      </c>
      <c r="M2575" s="59" cm="1">
        <f t="array" ref="M2575">INDEX($BV$29:$BV$1449,MATCH($D2575,$BR$29:$BR$1449,0),)</f>
        <v>16</v>
      </c>
      <c r="N2575" s="150">
        <f t="shared" si="780"/>
        <v>-0.0060606060606061</v>
      </c>
      <c r="O2575" s="150">
        <f t="shared" si="781"/>
        <v>-0.0120481927710845</v>
      </c>
      <c r="P2575" s="150">
        <f t="shared" ref="P2575:P2602" si="786">L2575/L2565-1</f>
        <v>-0.0226460071513709</v>
      </c>
      <c r="Q2575" s="89">
        <f t="shared" si="769"/>
        <v>1.05</v>
      </c>
      <c r="S2575" s="82">
        <f t="shared" si="770"/>
        <v>46134</v>
      </c>
      <c r="T2575" s="83">
        <f t="shared" si="784"/>
        <v>2.4270625</v>
      </c>
      <c r="U2575" s="83">
        <f t="shared" si="784"/>
        <v>2.1875</v>
      </c>
      <c r="W2575" s="146">
        <v>46134</v>
      </c>
      <c r="X2575" s="147">
        <v>50.5</v>
      </c>
      <c r="Y2575" s="147">
        <v>28.5</v>
      </c>
      <c r="Z2575" s="158">
        <v>38.833</v>
      </c>
      <c r="AA2575" s="59" cm="1">
        <f t="array" ref="AA2575">INDEX($BX$29:$BX$1449,MATCH($D2575,$BR$29:$BR$1449,0),)</f>
        <v>35</v>
      </c>
      <c r="AB2575" s="150">
        <f t="shared" si="771"/>
        <v>0</v>
      </c>
      <c r="AC2575" s="150">
        <f t="shared" si="774"/>
        <v>0.037400154943499</v>
      </c>
      <c r="AD2575" s="150">
        <f t="shared" si="777"/>
        <v>0.0495405405405405</v>
      </c>
      <c r="AE2575" s="89">
        <f t="shared" si="772"/>
        <v>0.109514285714286</v>
      </c>
    </row>
    <row r="2576" spans="3:31">
      <c r="C2576" s="80" t="str" cm="1">
        <f t="array" ref="C2576">_xlfn.IFS(MONTH(D2576)&lt;4,1,MONTH(D2576)&lt;7,2,MONTH(D2576)&lt;10,3,MONTH(D2576)&gt;9,4)&amp;"Q"&amp;RIGHT(YEAR(D2576),2)</f>
        <v>2Q26</v>
      </c>
      <c r="D2576" s="81">
        <f t="shared" si="776"/>
        <v>46142</v>
      </c>
      <c r="E2576" s="82">
        <f t="shared" si="768"/>
        <v>46135</v>
      </c>
      <c r="F2576" s="83">
        <f t="shared" si="785"/>
        <v>4.075</v>
      </c>
      <c r="G2576" s="83">
        <f t="shared" si="785"/>
        <v>2</v>
      </c>
      <c r="I2576" s="146">
        <v>46135</v>
      </c>
      <c r="J2576" s="147">
        <v>51</v>
      </c>
      <c r="K2576" s="147">
        <v>15</v>
      </c>
      <c r="L2576" s="158">
        <v>32.6</v>
      </c>
      <c r="M2576" s="59" cm="1">
        <f t="array" ref="M2576">INDEX($BV$29:$BV$1449,MATCH($D2576,$BR$29:$BR$1449,0),)</f>
        <v>16</v>
      </c>
      <c r="N2576" s="150">
        <f t="shared" si="780"/>
        <v>-0.00609756097560965</v>
      </c>
      <c r="O2576" s="150">
        <f t="shared" si="781"/>
        <v>-0.0151057401812689</v>
      </c>
      <c r="P2576" s="150">
        <f t="shared" si="786"/>
        <v>-0.026865671641791</v>
      </c>
      <c r="Q2576" s="89">
        <f t="shared" si="769"/>
        <v>1.0375</v>
      </c>
      <c r="S2576" s="82">
        <f t="shared" si="770"/>
        <v>46135</v>
      </c>
      <c r="T2576" s="83">
        <f t="shared" si="784"/>
        <v>2.4166875</v>
      </c>
      <c r="U2576" s="83">
        <f t="shared" si="784"/>
        <v>2.1875</v>
      </c>
      <c r="W2576" s="146">
        <v>46135</v>
      </c>
      <c r="X2576" s="147">
        <v>50.5</v>
      </c>
      <c r="Y2576" s="147">
        <v>28.5</v>
      </c>
      <c r="Z2576" s="158">
        <v>38.667</v>
      </c>
      <c r="AA2576" s="59" cm="1">
        <f t="array" ref="AA2576">INDEX($BX$29:$BX$1449,MATCH($D2576,$BR$29:$BR$1449,0),)</f>
        <v>35</v>
      </c>
      <c r="AB2576" s="150">
        <f t="shared" si="771"/>
        <v>-0.00427471480441888</v>
      </c>
      <c r="AC2576" s="150">
        <f t="shared" si="774"/>
        <v>0.0256498673740053</v>
      </c>
      <c r="AD2576" s="150">
        <f t="shared" si="777"/>
        <v>0.0442920031328491</v>
      </c>
      <c r="AE2576" s="89">
        <f t="shared" si="772"/>
        <v>0.104771428571429</v>
      </c>
    </row>
    <row r="2577" spans="3:31">
      <c r="C2577" s="80" t="str" cm="1">
        <f t="array" ref="C2577">_xlfn.IFS(MONTH(D2577)&lt;4,1,MONTH(D2577)&lt;7,2,MONTH(D2577)&lt;10,3,MONTH(D2577)&gt;9,4)&amp;"Q"&amp;RIGHT(YEAR(D2577),2)</f>
        <v>2Q26</v>
      </c>
      <c r="D2577" s="81">
        <f t="shared" si="776"/>
        <v>46142</v>
      </c>
      <c r="E2577" s="82">
        <f t="shared" ref="E2577:E2602" si="787">I2577</f>
        <v>46136</v>
      </c>
      <c r="F2577" s="83">
        <f t="shared" si="785"/>
        <v>4.0625</v>
      </c>
      <c r="G2577" s="83">
        <f t="shared" si="785"/>
        <v>2</v>
      </c>
      <c r="I2577" s="146">
        <v>46136</v>
      </c>
      <c r="J2577" s="147">
        <v>51</v>
      </c>
      <c r="K2577" s="147">
        <v>15.2</v>
      </c>
      <c r="L2577" s="158">
        <v>32.5</v>
      </c>
      <c r="M2577" s="59" cm="1">
        <f t="array" ref="M2577">INDEX($BV$29:$BV$1449,MATCH($D2577,$BR$29:$BR$1449,0),)</f>
        <v>16</v>
      </c>
      <c r="N2577" s="150">
        <f t="shared" si="780"/>
        <v>-0.00306748466257678</v>
      </c>
      <c r="O2577" s="150">
        <f t="shared" si="781"/>
        <v>-0.0151515151515151</v>
      </c>
      <c r="P2577" s="150">
        <f t="shared" si="786"/>
        <v>-0.0269461077844311</v>
      </c>
      <c r="Q2577" s="89">
        <f t="shared" ref="Q2577:Q2602" si="788">L2577/M2577-1</f>
        <v>1.03125</v>
      </c>
      <c r="S2577" s="82">
        <f t="shared" si="770"/>
        <v>46136</v>
      </c>
      <c r="T2577" s="83">
        <f t="shared" si="784"/>
        <v>2.40625</v>
      </c>
      <c r="U2577" s="83">
        <f t="shared" si="784"/>
        <v>2.1875</v>
      </c>
      <c r="W2577" s="146">
        <v>46136</v>
      </c>
      <c r="X2577" s="147">
        <v>50.6</v>
      </c>
      <c r="Y2577" s="147">
        <v>28.5</v>
      </c>
      <c r="Z2577" s="158">
        <v>38.5</v>
      </c>
      <c r="AA2577" s="59" cm="1">
        <f t="array" ref="AA2577">INDEX($BX$29:$BX$1449,MATCH($D2577,$BR$29:$BR$1449,0),)</f>
        <v>35</v>
      </c>
      <c r="AB2577" s="150">
        <f t="shared" si="771"/>
        <v>-0.00431892828510105</v>
      </c>
      <c r="AC2577" s="150">
        <f t="shared" si="774"/>
        <v>0</v>
      </c>
      <c r="AD2577" s="150">
        <f t="shared" si="777"/>
        <v>0.0396133178516458</v>
      </c>
      <c r="AE2577" s="89">
        <f t="shared" si="772"/>
        <v>0.1</v>
      </c>
    </row>
    <row r="2578" spans="3:31">
      <c r="C2578" s="80" t="str" cm="1">
        <f t="array" ref="C2578">_xlfn.IFS(MONTH(D2578)&lt;4,1,MONTH(D2578)&lt;7,2,MONTH(D2578)&lt;10,3,MONTH(D2578)&gt;9,4)&amp;"Q"&amp;RIGHT(YEAR(D2578),2)</f>
        <v>2Q26</v>
      </c>
      <c r="D2578" s="81">
        <f t="shared" si="776"/>
        <v>46142</v>
      </c>
      <c r="E2578" s="82">
        <f t="shared" si="787"/>
        <v>46139</v>
      </c>
      <c r="F2578" s="83">
        <f t="shared" si="785"/>
        <v>4.0625</v>
      </c>
      <c r="G2578" s="83">
        <f t="shared" si="785"/>
        <v>2</v>
      </c>
      <c r="I2578" s="146">
        <v>46139</v>
      </c>
      <c r="J2578" s="147">
        <v>51</v>
      </c>
      <c r="K2578" s="147">
        <v>15.2</v>
      </c>
      <c r="L2578" s="158">
        <v>32.5</v>
      </c>
      <c r="M2578" s="59" cm="1">
        <f t="array" ref="M2578">INDEX($BV$29:$BV$1449,MATCH($D2578,$BR$29:$BR$1449,0),)</f>
        <v>16</v>
      </c>
      <c r="N2578" s="150">
        <f t="shared" si="780"/>
        <v>0</v>
      </c>
      <c r="O2578" s="150">
        <f t="shared" si="781"/>
        <v>-0.0151515151515151</v>
      </c>
      <c r="P2578" s="150">
        <f t="shared" si="786"/>
        <v>-0.0269461077844311</v>
      </c>
      <c r="Q2578" s="89">
        <f t="shared" si="788"/>
        <v>1.03125</v>
      </c>
      <c r="S2578" s="82">
        <f t="shared" si="770"/>
        <v>46139</v>
      </c>
      <c r="T2578" s="83">
        <f t="shared" si="784"/>
        <v>2.4020625</v>
      </c>
      <c r="U2578" s="83">
        <f t="shared" si="784"/>
        <v>2.1875</v>
      </c>
      <c r="W2578" s="146">
        <v>46139</v>
      </c>
      <c r="X2578" s="147">
        <v>50.8</v>
      </c>
      <c r="Y2578" s="147">
        <v>28.55</v>
      </c>
      <c r="Z2578" s="158">
        <v>38.433</v>
      </c>
      <c r="AA2578" s="59" cm="1">
        <f t="array" ref="AA2578">INDEX($BX$29:$BX$1449,MATCH($D2578,$BR$29:$BR$1449,0),)</f>
        <v>35</v>
      </c>
      <c r="AB2578" s="150">
        <f t="shared" si="771"/>
        <v>-0.00174025974025971</v>
      </c>
      <c r="AC2578" s="150">
        <f t="shared" si="774"/>
        <v>-0.00605167196834511</v>
      </c>
      <c r="AD2578" s="150">
        <f t="shared" si="777"/>
        <v>0.0359299191374662</v>
      </c>
      <c r="AE2578" s="89">
        <f t="shared" si="772"/>
        <v>0.0980857142857143</v>
      </c>
    </row>
    <row r="2579" spans="3:31">
      <c r="C2579" s="80" t="str" cm="1">
        <f t="array" ref="C2579">_xlfn.IFS(MONTH(D2579)&lt;4,1,MONTH(D2579)&lt;7,2,MONTH(D2579)&lt;10,3,MONTH(D2579)&gt;9,4)&amp;"Q"&amp;RIGHT(YEAR(D2579),2)</f>
        <v>2Q26</v>
      </c>
      <c r="D2579" s="81">
        <f t="shared" si="776"/>
        <v>46142</v>
      </c>
      <c r="E2579" s="82">
        <f t="shared" si="787"/>
        <v>46140</v>
      </c>
      <c r="F2579" s="83">
        <f t="shared" si="785"/>
        <v>4.0625</v>
      </c>
      <c r="G2579" s="83">
        <f t="shared" si="785"/>
        <v>2</v>
      </c>
      <c r="I2579" s="146">
        <v>46140</v>
      </c>
      <c r="J2579" s="147">
        <v>51</v>
      </c>
      <c r="K2579" s="147">
        <v>15.2</v>
      </c>
      <c r="L2579" s="158">
        <v>32.5</v>
      </c>
      <c r="M2579" s="59" cm="1">
        <f t="array" ref="M2579">INDEX($BV$29:$BV$1449,MATCH($D2579,$BR$29:$BR$1449,0),)</f>
        <v>16</v>
      </c>
      <c r="N2579" s="150">
        <f t="shared" si="780"/>
        <v>0</v>
      </c>
      <c r="O2579" s="150">
        <f t="shared" si="781"/>
        <v>-0.0151515151515151</v>
      </c>
      <c r="P2579" s="150">
        <f t="shared" si="786"/>
        <v>-0.0269461077844311</v>
      </c>
      <c r="Q2579" s="89">
        <f t="shared" si="788"/>
        <v>1.03125</v>
      </c>
      <c r="S2579" s="82">
        <f t="shared" si="770"/>
        <v>46140</v>
      </c>
      <c r="T2579" s="83">
        <f t="shared" si="784"/>
        <v>2.40625</v>
      </c>
      <c r="U2579" s="83">
        <f t="shared" si="784"/>
        <v>2.1875</v>
      </c>
      <c r="W2579" s="146">
        <v>46140</v>
      </c>
      <c r="X2579" s="147">
        <v>50.8</v>
      </c>
      <c r="Y2579" s="147">
        <v>28.9</v>
      </c>
      <c r="Z2579" s="158">
        <v>38.5</v>
      </c>
      <c r="AA2579" s="59" cm="1">
        <f t="array" ref="AA2579">INDEX($BX$29:$BX$1449,MATCH($D2579,$BR$29:$BR$1449,0),)</f>
        <v>35</v>
      </c>
      <c r="AB2579" s="150">
        <f t="shared" si="771"/>
        <v>0.00174329352379465</v>
      </c>
      <c r="AC2579" s="150">
        <f t="shared" si="774"/>
        <v>-0.00857518090284037</v>
      </c>
      <c r="AD2579" s="150">
        <f t="shared" si="777"/>
        <v>0.0349462365591398</v>
      </c>
      <c r="AE2579" s="89">
        <f t="shared" si="772"/>
        <v>0.1</v>
      </c>
    </row>
    <row r="2580" spans="3:31">
      <c r="C2580" s="80" t="str" cm="1">
        <f t="array" ref="C2580">_xlfn.IFS(MONTH(D2580)&lt;4,1,MONTH(D2580)&lt;7,2,MONTH(D2580)&lt;10,3,MONTH(D2580)&gt;9,4)&amp;"Q"&amp;RIGHT(YEAR(D2580),2)</f>
        <v>2Q26</v>
      </c>
      <c r="D2580" s="81">
        <f t="shared" si="776"/>
        <v>46142</v>
      </c>
      <c r="E2580" s="82">
        <f t="shared" si="787"/>
        <v>46141</v>
      </c>
      <c r="F2580" s="83">
        <f t="shared" si="785"/>
        <v>4.06</v>
      </c>
      <c r="G2580" s="83">
        <f t="shared" si="785"/>
        <v>2</v>
      </c>
      <c r="I2580" s="146">
        <v>46141</v>
      </c>
      <c r="J2580" s="147">
        <v>51</v>
      </c>
      <c r="K2580" s="147">
        <v>15.3</v>
      </c>
      <c r="L2580" s="158">
        <v>32.48</v>
      </c>
      <c r="M2580" s="59" cm="1">
        <f t="array" ref="M2580">INDEX($BV$29:$BV$1449,MATCH($D2580,$BR$29:$BR$1449,0),)</f>
        <v>16</v>
      </c>
      <c r="N2580" s="150">
        <f t="shared" si="780"/>
        <v>-0.000615384615384684</v>
      </c>
      <c r="O2580" s="150">
        <f t="shared" si="781"/>
        <v>-0.00975609756097562</v>
      </c>
      <c r="P2580" s="150">
        <f t="shared" si="786"/>
        <v>-0.021686746987952</v>
      </c>
      <c r="Q2580" s="89">
        <f t="shared" si="788"/>
        <v>1.03</v>
      </c>
      <c r="S2580" s="82">
        <f t="shared" ref="S2580:S2602" si="789">W2580</f>
        <v>46141</v>
      </c>
      <c r="T2580" s="83">
        <f t="shared" si="784"/>
        <v>2.4291875</v>
      </c>
      <c r="U2580" s="83">
        <f t="shared" si="784"/>
        <v>2.1875</v>
      </c>
      <c r="W2580" s="146">
        <v>46141</v>
      </c>
      <c r="X2580" s="147">
        <v>51</v>
      </c>
      <c r="Y2580" s="147">
        <v>28.5</v>
      </c>
      <c r="Z2580" s="158">
        <v>38.867</v>
      </c>
      <c r="AA2580" s="59" cm="1">
        <f t="array" ref="AA2580">INDEX($BX$29:$BX$1449,MATCH($D2580,$BR$29:$BR$1449,0),)</f>
        <v>35</v>
      </c>
      <c r="AB2580" s="150">
        <f t="shared" si="771"/>
        <v>0.0095324675324675</v>
      </c>
      <c r="AC2580" s="150">
        <f t="shared" si="774"/>
        <v>0.000875543996085693</v>
      </c>
      <c r="AD2580" s="150">
        <f t="shared" si="777"/>
        <v>0.0383084444206983</v>
      </c>
      <c r="AE2580" s="89">
        <f t="shared" si="772"/>
        <v>0.110485714285714</v>
      </c>
    </row>
    <row r="2581" spans="3:31">
      <c r="C2581" s="80" t="str" cm="1">
        <f t="array" ref="C2581">_xlfn.IFS(MONTH(D2581)&lt;4,1,MONTH(D2581)&lt;7,2,MONTH(D2581)&lt;10,3,MONTH(D2581)&gt;9,4)&amp;"Q"&amp;RIGHT(YEAR(D2581),2)</f>
        <v>2Q26</v>
      </c>
      <c r="D2581" s="81">
        <f t="shared" si="776"/>
        <v>46142</v>
      </c>
      <c r="E2581" s="82">
        <f t="shared" si="787"/>
        <v>46142</v>
      </c>
      <c r="F2581" s="83">
        <f t="shared" si="785"/>
        <v>4.06</v>
      </c>
      <c r="G2581" s="83">
        <f t="shared" si="785"/>
        <v>2</v>
      </c>
      <c r="I2581" s="146">
        <v>46142</v>
      </c>
      <c r="J2581" s="147">
        <v>51</v>
      </c>
      <c r="K2581" s="147">
        <v>15.3</v>
      </c>
      <c r="L2581" s="158">
        <v>32.48</v>
      </c>
      <c r="M2581" s="59" cm="1">
        <f t="array" ref="M2581">INDEX($BV$29:$BV$1449,MATCH($D2581,$BR$29:$BR$1449,0),)</f>
        <v>16</v>
      </c>
      <c r="N2581" s="150">
        <f t="shared" si="780"/>
        <v>0</v>
      </c>
      <c r="O2581" s="150">
        <f t="shared" si="781"/>
        <v>-0.00368098159509211</v>
      </c>
      <c r="P2581" s="150">
        <f t="shared" si="786"/>
        <v>-0.0187311178247735</v>
      </c>
      <c r="Q2581" s="89">
        <f t="shared" si="788"/>
        <v>1.03</v>
      </c>
      <c r="S2581" s="82">
        <f t="shared" si="789"/>
        <v>46142</v>
      </c>
      <c r="T2581" s="83">
        <f t="shared" si="784"/>
        <v>2.4375</v>
      </c>
      <c r="U2581" s="83">
        <f t="shared" si="784"/>
        <v>2.1875</v>
      </c>
      <c r="W2581" s="146">
        <v>46142</v>
      </c>
      <c r="X2581" s="147">
        <v>51</v>
      </c>
      <c r="Y2581" s="147">
        <v>28.5</v>
      </c>
      <c r="Z2581" s="158">
        <v>39</v>
      </c>
      <c r="AA2581" s="59" cm="1">
        <f t="array" ref="AA2581">INDEX($BX$29:$BX$1449,MATCH($D2581,$BR$29:$BR$1449,0),)</f>
        <v>35</v>
      </c>
      <c r="AB2581" s="150">
        <f t="shared" ref="AB2581:AB2602" si="790">Z2581/Z2580-1</f>
        <v>0.00342192605552283</v>
      </c>
      <c r="AC2581" s="150">
        <f t="shared" si="774"/>
        <v>0.00861199472418339</v>
      </c>
      <c r="AD2581" s="150">
        <f t="shared" si="777"/>
        <v>0.0344827586206895</v>
      </c>
      <c r="AE2581" s="89">
        <f t="shared" si="772"/>
        <v>0.114285714285714</v>
      </c>
    </row>
    <row r="2582" spans="3:31">
      <c r="C2582" s="80" t="str" cm="1">
        <f t="array" ref="C2582">_xlfn.IFS(MONTH(D2582)&lt;4,1,MONTH(D2582)&lt;7,2,MONTH(D2582)&lt;10,3,MONTH(D2582)&gt;9,4)&amp;"Q"&amp;RIGHT(YEAR(D2582),2)</f>
        <v>2Q26</v>
      </c>
      <c r="D2582" s="81">
        <f t="shared" si="776"/>
        <v>46173</v>
      </c>
      <c r="E2582" s="82">
        <f t="shared" si="787"/>
        <v>46146</v>
      </c>
      <c r="F2582" s="83">
        <f t="shared" si="785"/>
        <v>4.05</v>
      </c>
      <c r="G2582" s="83">
        <f t="shared" si="785"/>
        <v>2.5</v>
      </c>
      <c r="I2582" s="146">
        <v>46146</v>
      </c>
      <c r="J2582" s="147">
        <v>51.5</v>
      </c>
      <c r="K2582" s="147">
        <v>15.4</v>
      </c>
      <c r="L2582" s="158">
        <v>32.4</v>
      </c>
      <c r="M2582" s="59" cm="1">
        <f t="array" ref="M2582">INDEX($BV$29:$BV$1449,MATCH($D2582,$BR$29:$BR$1449,0),)</f>
        <v>20</v>
      </c>
      <c r="N2582" s="150">
        <f t="shared" si="780"/>
        <v>-0.00246305418719206</v>
      </c>
      <c r="O2582" s="150">
        <f t="shared" si="781"/>
        <v>-0.00307692307692309</v>
      </c>
      <c r="P2582" s="150">
        <f t="shared" si="786"/>
        <v>-0.0181818181818182</v>
      </c>
      <c r="Q2582" s="89">
        <f t="shared" si="788"/>
        <v>0.62</v>
      </c>
      <c r="S2582" s="82">
        <f t="shared" si="789"/>
        <v>46146</v>
      </c>
      <c r="T2582" s="83">
        <f t="shared" si="784"/>
        <v>2.4270625</v>
      </c>
      <c r="U2582" s="83">
        <f t="shared" si="784"/>
        <v>2.34375</v>
      </c>
      <c r="W2582" s="146">
        <v>46146</v>
      </c>
      <c r="X2582" s="147">
        <v>51</v>
      </c>
      <c r="Y2582" s="147">
        <v>28</v>
      </c>
      <c r="Z2582" s="158">
        <v>38.833</v>
      </c>
      <c r="AA2582" s="59" cm="1">
        <f t="array" ref="AA2582">INDEX($BX$29:$BX$1449,MATCH($D2582,$BR$29:$BR$1449,0),)</f>
        <v>37.5</v>
      </c>
      <c r="AB2582" s="150">
        <f t="shared" si="790"/>
        <v>-0.00428205128205128</v>
      </c>
      <c r="AC2582" s="150">
        <f t="shared" si="774"/>
        <v>0.00864935064935057</v>
      </c>
      <c r="AD2582" s="150">
        <f t="shared" si="777"/>
        <v>0.00864935064935057</v>
      </c>
      <c r="AE2582" s="89">
        <f t="shared" ref="AE2582:AE2602" si="791">Z2582/AA2582-1</f>
        <v>0.0355466666666666</v>
      </c>
    </row>
    <row r="2583" spans="3:31">
      <c r="C2583" s="80" t="str" cm="1">
        <f t="array" ref="C2583">_xlfn.IFS(MONTH(D2583)&lt;4,1,MONTH(D2583)&lt;7,2,MONTH(D2583)&lt;10,3,MONTH(D2583)&gt;9,4)&amp;"Q"&amp;RIGHT(YEAR(D2583),2)</f>
        <v>2Q26</v>
      </c>
      <c r="D2583" s="81">
        <f t="shared" si="776"/>
        <v>46173</v>
      </c>
      <c r="E2583" s="82">
        <f t="shared" si="787"/>
        <v>46147</v>
      </c>
      <c r="F2583" s="83">
        <f t="shared" si="785"/>
        <v>4.05</v>
      </c>
      <c r="G2583" s="83">
        <f t="shared" si="785"/>
        <v>2.5</v>
      </c>
      <c r="I2583" s="146">
        <v>46147</v>
      </c>
      <c r="J2583" s="147">
        <v>51.5</v>
      </c>
      <c r="K2583" s="147">
        <v>15.4</v>
      </c>
      <c r="L2583" s="158">
        <v>32.4</v>
      </c>
      <c r="M2583" s="59" cm="1">
        <f t="array" ref="M2583">INDEX($BV$29:$BV$1449,MATCH($D2583,$BR$29:$BR$1449,0),)</f>
        <v>20</v>
      </c>
      <c r="N2583" s="150">
        <f t="shared" si="780"/>
        <v>0</v>
      </c>
      <c r="O2583" s="150">
        <f t="shared" si="781"/>
        <v>-0.00307692307692309</v>
      </c>
      <c r="P2583" s="150">
        <f t="shared" si="786"/>
        <v>-0.0181818181818182</v>
      </c>
      <c r="Q2583" s="89">
        <f t="shared" si="788"/>
        <v>0.62</v>
      </c>
      <c r="S2583" s="82">
        <f t="shared" si="789"/>
        <v>46147</v>
      </c>
      <c r="T2583" s="83">
        <f t="shared" si="784"/>
        <v>2.4270625</v>
      </c>
      <c r="U2583" s="83">
        <f t="shared" si="784"/>
        <v>2.34375</v>
      </c>
      <c r="W2583" s="146">
        <v>46147</v>
      </c>
      <c r="X2583" s="147">
        <v>51</v>
      </c>
      <c r="Y2583" s="147">
        <v>28</v>
      </c>
      <c r="Z2583" s="158">
        <v>38.833</v>
      </c>
      <c r="AA2583" s="59" cm="1">
        <f t="array" ref="AA2583">INDEX($BX$29:$BX$1449,MATCH($D2583,$BR$29:$BR$1449,0),)</f>
        <v>37.5</v>
      </c>
      <c r="AB2583" s="150">
        <f t="shared" si="790"/>
        <v>0</v>
      </c>
      <c r="AC2583" s="150">
        <f t="shared" si="774"/>
        <v>0.0104077225301173</v>
      </c>
      <c r="AD2583" s="150">
        <f t="shared" si="777"/>
        <v>0.00429306643908234</v>
      </c>
      <c r="AE2583" s="89">
        <f t="shared" si="791"/>
        <v>0.0355466666666666</v>
      </c>
    </row>
    <row r="2584" spans="3:31">
      <c r="C2584" s="80" t="str" cm="1">
        <f t="array" ref="C2584">_xlfn.IFS(MONTH(D2584)&lt;4,1,MONTH(D2584)&lt;7,2,MONTH(D2584)&lt;10,3,MONTH(D2584)&gt;9,4)&amp;"Q"&amp;RIGHT(YEAR(D2584),2)</f>
        <v>2Q26</v>
      </c>
      <c r="D2584" s="81">
        <f t="shared" si="776"/>
        <v>46173</v>
      </c>
      <c r="E2584" s="82">
        <f t="shared" si="787"/>
        <v>46148</v>
      </c>
      <c r="F2584" s="83">
        <f t="shared" si="785"/>
        <v>4</v>
      </c>
      <c r="G2584" s="83">
        <f t="shared" si="785"/>
        <v>2.5</v>
      </c>
      <c r="I2584" s="146">
        <v>46148</v>
      </c>
      <c r="J2584" s="147">
        <v>51.5</v>
      </c>
      <c r="K2584" s="147">
        <v>15.4</v>
      </c>
      <c r="L2584" s="158">
        <v>32</v>
      </c>
      <c r="M2584" s="59" cm="1">
        <f t="array" ref="M2584">INDEX($BV$29:$BV$1449,MATCH($D2584,$BR$29:$BR$1449,0),)</f>
        <v>20</v>
      </c>
      <c r="N2584" s="150">
        <f t="shared" si="780"/>
        <v>-0.0123456790123456</v>
      </c>
      <c r="O2584" s="150">
        <f t="shared" si="781"/>
        <v>-0.0153846153846153</v>
      </c>
      <c r="P2584" s="150">
        <f t="shared" si="786"/>
        <v>-0.0303030303030303</v>
      </c>
      <c r="Q2584" s="89">
        <f t="shared" si="788"/>
        <v>0.6</v>
      </c>
      <c r="S2584" s="82">
        <f t="shared" si="789"/>
        <v>46148</v>
      </c>
      <c r="T2584" s="83">
        <f t="shared" ref="T2584:U2599" si="792">+Z2584/16</f>
        <v>2.4270625</v>
      </c>
      <c r="U2584" s="83">
        <f t="shared" si="792"/>
        <v>2.34375</v>
      </c>
      <c r="W2584" s="146">
        <v>46148</v>
      </c>
      <c r="X2584" s="147">
        <v>51</v>
      </c>
      <c r="Y2584" s="147">
        <v>28</v>
      </c>
      <c r="Z2584" s="158">
        <v>38.833</v>
      </c>
      <c r="AA2584" s="59" cm="1">
        <f t="array" ref="AA2584">INDEX($BX$29:$BX$1449,MATCH($D2584,$BR$29:$BR$1449,0),)</f>
        <v>37.5</v>
      </c>
      <c r="AB2584" s="150">
        <f t="shared" si="790"/>
        <v>0</v>
      </c>
      <c r="AC2584" s="150">
        <f t="shared" si="774"/>
        <v>0.00864935064935057</v>
      </c>
      <c r="AD2584" s="150">
        <f t="shared" si="777"/>
        <v>0</v>
      </c>
      <c r="AE2584" s="89">
        <f t="shared" si="791"/>
        <v>0.0355466666666666</v>
      </c>
    </row>
    <row r="2585" spans="3:31">
      <c r="C2585" s="80" t="str" cm="1">
        <f t="array" ref="C2585">_xlfn.IFS(MONTH(D2585)&lt;4,1,MONTH(D2585)&lt;7,2,MONTH(D2585)&lt;10,3,MONTH(D2585)&gt;9,4)&amp;"Q"&amp;RIGHT(YEAR(D2585),2)</f>
        <v>2Q26</v>
      </c>
      <c r="D2585" s="81">
        <f t="shared" si="776"/>
        <v>46173</v>
      </c>
      <c r="E2585" s="82">
        <f t="shared" si="787"/>
        <v>46149</v>
      </c>
      <c r="F2585" s="83">
        <f t="shared" si="785"/>
        <v>4</v>
      </c>
      <c r="G2585" s="83">
        <f t="shared" si="785"/>
        <v>2.5</v>
      </c>
      <c r="I2585" s="146">
        <v>46149</v>
      </c>
      <c r="J2585" s="147">
        <v>51.5</v>
      </c>
      <c r="K2585" s="147">
        <v>15.7</v>
      </c>
      <c r="L2585" s="158">
        <v>32</v>
      </c>
      <c r="M2585" s="59" cm="1">
        <f t="array" ref="M2585">INDEX($BV$29:$BV$1449,MATCH($D2585,$BR$29:$BR$1449,0),)</f>
        <v>20</v>
      </c>
      <c r="N2585" s="150">
        <f t="shared" si="780"/>
        <v>0</v>
      </c>
      <c r="O2585" s="150">
        <f t="shared" si="781"/>
        <v>-0.0147783251231526</v>
      </c>
      <c r="P2585" s="150">
        <f t="shared" si="786"/>
        <v>-0.0243902439024389</v>
      </c>
      <c r="Q2585" s="89">
        <f t="shared" si="788"/>
        <v>0.6</v>
      </c>
      <c r="S2585" s="82">
        <f t="shared" si="789"/>
        <v>46149</v>
      </c>
      <c r="T2585" s="83">
        <f t="shared" si="792"/>
        <v>2.4375</v>
      </c>
      <c r="U2585" s="83">
        <f t="shared" si="792"/>
        <v>2.34375</v>
      </c>
      <c r="W2585" s="146">
        <v>46149</v>
      </c>
      <c r="X2585" s="147">
        <v>51</v>
      </c>
      <c r="Y2585" s="147">
        <v>28</v>
      </c>
      <c r="Z2585" s="158">
        <v>39</v>
      </c>
      <c r="AA2585" s="59" cm="1">
        <f t="array" ref="AA2585">INDEX($BX$29:$BX$1449,MATCH($D2585,$BR$29:$BR$1449,0),)</f>
        <v>37.5</v>
      </c>
      <c r="AB2585" s="150">
        <f t="shared" si="790"/>
        <v>0.00430046609842138</v>
      </c>
      <c r="AC2585" s="150">
        <f t="shared" ref="AC2585:AC2602" si="793">Z2585/Z2580-1</f>
        <v>0.00342192605552283</v>
      </c>
      <c r="AD2585" s="150">
        <f t="shared" si="777"/>
        <v>0.00430046609842138</v>
      </c>
      <c r="AE2585" s="89">
        <f t="shared" si="791"/>
        <v>0.04</v>
      </c>
    </row>
    <row r="2586" spans="3:31">
      <c r="C2586" s="80" t="str" cm="1">
        <f t="array" ref="C2586">_xlfn.IFS(MONTH(D2586)&lt;4,1,MONTH(D2586)&lt;7,2,MONTH(D2586)&lt;10,3,MONTH(D2586)&gt;9,4)&amp;"Q"&amp;RIGHT(YEAR(D2586),2)</f>
        <v>2Q26</v>
      </c>
      <c r="D2586" s="81">
        <f t="shared" si="776"/>
        <v>46173</v>
      </c>
      <c r="E2586" s="82">
        <f t="shared" si="787"/>
        <v>46150</v>
      </c>
      <c r="F2586" s="83">
        <f t="shared" ref="F2586:G2601" si="794">+L2586/8</f>
        <v>4.0125</v>
      </c>
      <c r="G2586" s="83">
        <f t="shared" si="794"/>
        <v>2.5</v>
      </c>
      <c r="I2586" s="146">
        <v>46150</v>
      </c>
      <c r="J2586" s="147">
        <v>52</v>
      </c>
      <c r="K2586" s="147">
        <v>16</v>
      </c>
      <c r="L2586" s="158">
        <v>32.1</v>
      </c>
      <c r="M2586" s="59" cm="1">
        <f t="array" ref="M2586">INDEX($BV$29:$BV$1449,MATCH($D2586,$BR$29:$BR$1449,0),)</f>
        <v>20</v>
      </c>
      <c r="N2586" s="150">
        <f t="shared" si="780"/>
        <v>0.00312500000000004</v>
      </c>
      <c r="O2586" s="150">
        <f t="shared" si="781"/>
        <v>-0.0116995073891625</v>
      </c>
      <c r="P2586" s="150">
        <f t="shared" si="786"/>
        <v>-0.0153374233128835</v>
      </c>
      <c r="Q2586" s="89">
        <f t="shared" si="788"/>
        <v>0.605</v>
      </c>
      <c r="S2586" s="82">
        <f t="shared" si="789"/>
        <v>46150</v>
      </c>
      <c r="T2586" s="83">
        <f t="shared" si="792"/>
        <v>2.4895625</v>
      </c>
      <c r="U2586" s="83">
        <f t="shared" si="792"/>
        <v>2.34375</v>
      </c>
      <c r="W2586" s="146">
        <v>46150</v>
      </c>
      <c r="X2586" s="147">
        <v>52</v>
      </c>
      <c r="Y2586" s="147">
        <v>29</v>
      </c>
      <c r="Z2586" s="158">
        <v>39.833</v>
      </c>
      <c r="AA2586" s="59" cm="1">
        <f t="array" ref="AA2586">INDEX($BX$29:$BX$1449,MATCH($D2586,$BR$29:$BR$1449,0),)</f>
        <v>37.5</v>
      </c>
      <c r="AB2586" s="150">
        <f t="shared" si="790"/>
        <v>0.0213589743589744</v>
      </c>
      <c r="AC2586" s="150">
        <f t="shared" si="793"/>
        <v>0.0213589743589744</v>
      </c>
      <c r="AD2586" s="150">
        <f t="shared" si="777"/>
        <v>0.0301549124576512</v>
      </c>
      <c r="AE2586" s="89">
        <f t="shared" si="791"/>
        <v>0.0622133333333332</v>
      </c>
    </row>
    <row r="2587" spans="3:31">
      <c r="C2587" s="80" t="str" cm="1">
        <f t="array" ref="C2587">_xlfn.IFS(MONTH(D2587)&lt;4,1,MONTH(D2587)&lt;7,2,MONTH(D2587)&lt;10,3,MONTH(D2587)&gt;9,4)&amp;"Q"&amp;RIGHT(YEAR(D2587),2)</f>
        <v>2Q26</v>
      </c>
      <c r="D2587" s="81">
        <f t="shared" si="776"/>
        <v>46173</v>
      </c>
      <c r="E2587" s="82">
        <f t="shared" si="787"/>
        <v>46153</v>
      </c>
      <c r="F2587" s="83">
        <f t="shared" si="794"/>
        <v>4.0375</v>
      </c>
      <c r="G2587" s="83">
        <f t="shared" si="794"/>
        <v>2.5</v>
      </c>
      <c r="I2587" s="146">
        <v>46153</v>
      </c>
      <c r="J2587" s="147">
        <v>52.8</v>
      </c>
      <c r="K2587" s="147">
        <v>16.2</v>
      </c>
      <c r="L2587" s="158">
        <v>32.3</v>
      </c>
      <c r="M2587" s="59" cm="1">
        <f t="array" ref="M2587">INDEX($BV$29:$BV$1449,MATCH($D2587,$BR$29:$BR$1449,0),)</f>
        <v>20</v>
      </c>
      <c r="N2587" s="150">
        <f t="shared" si="780"/>
        <v>0.00623052959501535</v>
      </c>
      <c r="O2587" s="150">
        <f t="shared" si="781"/>
        <v>-0.00308641975308643</v>
      </c>
      <c r="P2587" s="150">
        <f t="shared" si="786"/>
        <v>-0.00615384615384629</v>
      </c>
      <c r="Q2587" s="89">
        <f t="shared" si="788"/>
        <v>0.615</v>
      </c>
      <c r="S2587" s="82">
        <f t="shared" si="789"/>
        <v>46153</v>
      </c>
      <c r="T2587" s="83">
        <f t="shared" si="792"/>
        <v>2.5125</v>
      </c>
      <c r="U2587" s="83">
        <f t="shared" si="792"/>
        <v>2.34375</v>
      </c>
      <c r="W2587" s="146">
        <v>46153</v>
      </c>
      <c r="X2587" s="147">
        <v>52</v>
      </c>
      <c r="Y2587" s="147">
        <v>29.5</v>
      </c>
      <c r="Z2587" s="158">
        <v>40.2</v>
      </c>
      <c r="AA2587" s="59" cm="1">
        <f t="array" ref="AA2587">INDEX($BX$29:$BX$1449,MATCH($D2587,$BR$29:$BR$1449,0),)</f>
        <v>37.5</v>
      </c>
      <c r="AB2587" s="150">
        <f t="shared" si="790"/>
        <v>0.00921346622147468</v>
      </c>
      <c r="AC2587" s="150">
        <f t="shared" si="793"/>
        <v>0.0352020189014499</v>
      </c>
      <c r="AD2587" s="150">
        <f t="shared" si="777"/>
        <v>0.0441558441558443</v>
      </c>
      <c r="AE2587" s="89">
        <f t="shared" si="791"/>
        <v>0.0720000000000001</v>
      </c>
    </row>
    <row r="2588" spans="3:31">
      <c r="C2588" s="80" t="str" cm="1">
        <f t="array" ref="C2588">_xlfn.IFS(MONTH(D2588)&lt;4,1,MONTH(D2588)&lt;7,2,MONTH(D2588)&lt;10,3,MONTH(D2588)&gt;9,4)&amp;"Q"&amp;RIGHT(YEAR(D2588),2)</f>
        <v>2Q26</v>
      </c>
      <c r="D2588" s="81">
        <f t="shared" si="776"/>
        <v>46173</v>
      </c>
      <c r="E2588" s="82">
        <f t="shared" si="787"/>
        <v>46154</v>
      </c>
      <c r="F2588" s="83">
        <f t="shared" si="794"/>
        <v>4.0375</v>
      </c>
      <c r="G2588" s="83">
        <f t="shared" si="794"/>
        <v>2.5</v>
      </c>
      <c r="I2588" s="146">
        <v>46154</v>
      </c>
      <c r="J2588" s="147">
        <v>52.8</v>
      </c>
      <c r="K2588" s="147">
        <v>16.2</v>
      </c>
      <c r="L2588" s="158">
        <v>32.3</v>
      </c>
      <c r="M2588" s="59" cm="1">
        <f t="array" ref="M2588">INDEX($BV$29:$BV$1449,MATCH($D2588,$BR$29:$BR$1449,0),)</f>
        <v>20</v>
      </c>
      <c r="N2588" s="150">
        <f t="shared" si="780"/>
        <v>0</v>
      </c>
      <c r="O2588" s="150">
        <f t="shared" si="781"/>
        <v>-0.00308641975308643</v>
      </c>
      <c r="P2588" s="150">
        <f t="shared" si="786"/>
        <v>-0.00615384615384629</v>
      </c>
      <c r="Q2588" s="89">
        <f t="shared" si="788"/>
        <v>0.615</v>
      </c>
      <c r="S2588" s="82">
        <f t="shared" si="789"/>
        <v>46154</v>
      </c>
      <c r="T2588" s="83">
        <f t="shared" si="792"/>
        <v>2.5166875</v>
      </c>
      <c r="U2588" s="83">
        <f t="shared" si="792"/>
        <v>2.34375</v>
      </c>
      <c r="W2588" s="146">
        <v>46154</v>
      </c>
      <c r="X2588" s="147">
        <v>52</v>
      </c>
      <c r="Y2588" s="147">
        <v>29.5</v>
      </c>
      <c r="Z2588" s="158">
        <v>40.267</v>
      </c>
      <c r="AA2588" s="59" cm="1">
        <f t="array" ref="AA2588">INDEX($BX$29:$BX$1449,MATCH($D2588,$BR$29:$BR$1449,0),)</f>
        <v>37.5</v>
      </c>
      <c r="AB2588" s="150">
        <f t="shared" si="790"/>
        <v>0.00166666666666671</v>
      </c>
      <c r="AC2588" s="150">
        <f t="shared" si="793"/>
        <v>0.036927355599619</v>
      </c>
      <c r="AD2588" s="150">
        <f t="shared" si="777"/>
        <v>0.047719407800588</v>
      </c>
      <c r="AE2588" s="89">
        <f t="shared" si="791"/>
        <v>0.0737866666666667</v>
      </c>
    </row>
    <row r="2589" spans="3:31">
      <c r="C2589" s="80" t="str" cm="1">
        <f t="array" ref="C2589">_xlfn.IFS(MONTH(D2589)&lt;4,1,MONTH(D2589)&lt;7,2,MONTH(D2589)&lt;10,3,MONTH(D2589)&gt;9,4)&amp;"Q"&amp;RIGHT(YEAR(D2589),2)</f>
        <v>2Q26</v>
      </c>
      <c r="D2589" s="81">
        <f t="shared" si="776"/>
        <v>46173</v>
      </c>
      <c r="E2589" s="82">
        <f t="shared" si="787"/>
        <v>46155</v>
      </c>
      <c r="F2589" s="83">
        <f t="shared" si="794"/>
        <v>4.025</v>
      </c>
      <c r="G2589" s="83">
        <f t="shared" si="794"/>
        <v>2.5</v>
      </c>
      <c r="I2589" s="146">
        <v>46155</v>
      </c>
      <c r="J2589" s="147">
        <v>52.8</v>
      </c>
      <c r="K2589" s="147">
        <v>16.2</v>
      </c>
      <c r="L2589" s="158">
        <v>32.2</v>
      </c>
      <c r="M2589" s="59" cm="1">
        <f t="array" ref="M2589">INDEX($BV$29:$BV$1449,MATCH($D2589,$BR$29:$BR$1449,0),)</f>
        <v>20</v>
      </c>
      <c r="N2589" s="150">
        <f t="shared" si="780"/>
        <v>-0.00309597523219796</v>
      </c>
      <c r="O2589" s="150">
        <f t="shared" si="781"/>
        <v>0.00625000000000009</v>
      </c>
      <c r="P2589" s="150">
        <f t="shared" si="786"/>
        <v>-0.00923076923076915</v>
      </c>
      <c r="Q2589" s="89">
        <f t="shared" si="788"/>
        <v>0.61</v>
      </c>
      <c r="S2589" s="82">
        <f t="shared" si="789"/>
        <v>46155</v>
      </c>
      <c r="T2589" s="83">
        <f t="shared" si="792"/>
        <v>2.5229375</v>
      </c>
      <c r="U2589" s="83">
        <f t="shared" si="792"/>
        <v>2.34375</v>
      </c>
      <c r="W2589" s="146">
        <v>46155</v>
      </c>
      <c r="X2589" s="147">
        <v>52</v>
      </c>
      <c r="Y2589" s="147">
        <v>29.5</v>
      </c>
      <c r="Z2589" s="158">
        <v>40.367</v>
      </c>
      <c r="AA2589" s="59" cm="1">
        <f t="array" ref="AA2589">INDEX($BX$29:$BX$1449,MATCH($D2589,$BR$29:$BR$1449,0),)</f>
        <v>37.5</v>
      </c>
      <c r="AB2589" s="150">
        <f t="shared" si="790"/>
        <v>0.00248342315047045</v>
      </c>
      <c r="AC2589" s="150">
        <f t="shared" si="793"/>
        <v>0.0395024849998713</v>
      </c>
      <c r="AD2589" s="150">
        <f t="shared" si="777"/>
        <v>0.0484935064935064</v>
      </c>
      <c r="AE2589" s="89">
        <f t="shared" si="791"/>
        <v>0.0764533333333333</v>
      </c>
    </row>
    <row r="2590" spans="3:31">
      <c r="C2590" s="80" t="str" cm="1">
        <f t="array" ref="C2590">_xlfn.IFS(MONTH(D2590)&lt;4,1,MONTH(D2590)&lt;7,2,MONTH(D2590)&lt;10,3,MONTH(D2590)&gt;9,4)&amp;"Q"&amp;RIGHT(YEAR(D2590),2)</f>
        <v>2Q26</v>
      </c>
      <c r="D2590" s="81">
        <f t="shared" ref="D2590:D2602" si="795">EOMONTH(E2590,0)</f>
        <v>46173</v>
      </c>
      <c r="E2590" s="82">
        <f t="shared" si="787"/>
        <v>46156</v>
      </c>
      <c r="F2590" s="83">
        <f t="shared" si="794"/>
        <v>4</v>
      </c>
      <c r="G2590" s="83">
        <f t="shared" si="794"/>
        <v>2.5</v>
      </c>
      <c r="I2590" s="146">
        <v>46156</v>
      </c>
      <c r="J2590" s="147">
        <v>52.8</v>
      </c>
      <c r="K2590" s="147">
        <v>16.4</v>
      </c>
      <c r="L2590" s="158">
        <v>32</v>
      </c>
      <c r="M2590" s="59" cm="1">
        <f t="array" ref="M2590">INDEX($BV$29:$BV$1449,MATCH($D2590,$BR$29:$BR$1449,0),)</f>
        <v>20</v>
      </c>
      <c r="N2590" s="150">
        <f t="shared" si="780"/>
        <v>-0.00621118012422373</v>
      </c>
      <c r="O2590" s="150">
        <f t="shared" si="781"/>
        <v>0</v>
      </c>
      <c r="P2590" s="150">
        <f t="shared" si="786"/>
        <v>-0.0147783251231526</v>
      </c>
      <c r="Q2590" s="89">
        <f t="shared" si="788"/>
        <v>0.6</v>
      </c>
      <c r="S2590" s="82">
        <f t="shared" si="789"/>
        <v>46156</v>
      </c>
      <c r="T2590" s="83">
        <f t="shared" si="792"/>
        <v>2.54375</v>
      </c>
      <c r="U2590" s="83">
        <f t="shared" si="792"/>
        <v>2.34375</v>
      </c>
      <c r="W2590" s="146">
        <v>46156</v>
      </c>
      <c r="X2590" s="147">
        <v>52.5</v>
      </c>
      <c r="Y2590" s="147">
        <v>30</v>
      </c>
      <c r="Z2590" s="158">
        <v>40.7</v>
      </c>
      <c r="AA2590" s="59" cm="1">
        <f t="array" ref="AA2590">INDEX($BX$29:$BX$1449,MATCH($D2590,$BR$29:$BR$1449,0),)</f>
        <v>37.5</v>
      </c>
      <c r="AB2590" s="150">
        <f t="shared" si="790"/>
        <v>0.00824931255728711</v>
      </c>
      <c r="AC2590" s="150">
        <f t="shared" si="793"/>
        <v>0.0435897435897437</v>
      </c>
      <c r="AD2590" s="150">
        <f t="shared" ref="AD2590:AD2602" si="796">Z2590/Z2580-1</f>
        <v>0.0471608305246096</v>
      </c>
      <c r="AE2590" s="89">
        <f t="shared" si="791"/>
        <v>0.0853333333333335</v>
      </c>
    </row>
    <row r="2591" spans="3:31">
      <c r="C2591" s="80" t="str" cm="1">
        <f t="array" ref="C2591">_xlfn.IFS(MONTH(D2591)&lt;4,1,MONTH(D2591)&lt;7,2,MONTH(D2591)&lt;10,3,MONTH(D2591)&gt;9,4)&amp;"Q"&amp;RIGHT(YEAR(D2591),2)</f>
        <v>2Q26</v>
      </c>
      <c r="D2591" s="81">
        <f t="shared" si="795"/>
        <v>46173</v>
      </c>
      <c r="E2591" s="82">
        <f t="shared" si="787"/>
        <v>46157</v>
      </c>
      <c r="F2591" s="83">
        <f t="shared" si="794"/>
        <v>4</v>
      </c>
      <c r="G2591" s="83">
        <f t="shared" si="794"/>
        <v>2.5</v>
      </c>
      <c r="I2591" s="146">
        <v>46157</v>
      </c>
      <c r="J2591" s="147">
        <v>52.8</v>
      </c>
      <c r="K2591" s="147">
        <v>16.4</v>
      </c>
      <c r="L2591" s="158">
        <v>32</v>
      </c>
      <c r="M2591" s="59" cm="1">
        <f t="array" ref="M2591">INDEX($BV$29:$BV$1449,MATCH($D2591,$BR$29:$BR$1449,0),)</f>
        <v>20</v>
      </c>
      <c r="N2591" s="150">
        <f t="shared" si="780"/>
        <v>0</v>
      </c>
      <c r="O2591" s="150">
        <f t="shared" si="781"/>
        <v>-0.00311526479750779</v>
      </c>
      <c r="P2591" s="150">
        <f t="shared" si="786"/>
        <v>-0.0147783251231526</v>
      </c>
      <c r="Q2591" s="89">
        <f t="shared" si="788"/>
        <v>0.6</v>
      </c>
      <c r="S2591" s="82">
        <f t="shared" si="789"/>
        <v>46157</v>
      </c>
      <c r="T2591" s="83">
        <f t="shared" si="792"/>
        <v>2.5729375</v>
      </c>
      <c r="U2591" s="83">
        <f t="shared" si="792"/>
        <v>2.34375</v>
      </c>
      <c r="W2591" s="146">
        <v>46157</v>
      </c>
      <c r="X2591" s="147">
        <v>52.5</v>
      </c>
      <c r="Y2591" s="147">
        <v>30</v>
      </c>
      <c r="Z2591" s="158">
        <v>41.167</v>
      </c>
      <c r="AA2591" s="59" cm="1">
        <f t="array" ref="AA2591">INDEX($BX$29:$BX$1449,MATCH($D2591,$BR$29:$BR$1449,0),)</f>
        <v>37.5</v>
      </c>
      <c r="AB2591" s="150">
        <f t="shared" si="790"/>
        <v>0.0114742014742015</v>
      </c>
      <c r="AC2591" s="150">
        <f t="shared" si="793"/>
        <v>0.0334898199984939</v>
      </c>
      <c r="AD2591" s="150">
        <f t="shared" si="796"/>
        <v>0.0555641025641027</v>
      </c>
      <c r="AE2591" s="89">
        <f t="shared" si="791"/>
        <v>0.0977866666666667</v>
      </c>
    </row>
    <row r="2592" spans="3:31">
      <c r="C2592" s="80" t="str" cm="1">
        <f t="array" ref="C2592">_xlfn.IFS(MONTH(D2592)&lt;4,1,MONTH(D2592)&lt;7,2,MONTH(D2592)&lt;10,3,MONTH(D2592)&gt;9,4)&amp;"Q"&amp;RIGHT(YEAR(D2592),2)</f>
        <v>2Q26</v>
      </c>
      <c r="D2592" s="81">
        <f t="shared" si="795"/>
        <v>46173</v>
      </c>
      <c r="E2592" s="82">
        <f t="shared" si="787"/>
        <v>46160</v>
      </c>
      <c r="F2592" s="83">
        <f t="shared" si="794"/>
        <v>4</v>
      </c>
      <c r="G2592" s="83">
        <f t="shared" si="794"/>
        <v>2.5</v>
      </c>
      <c r="I2592" s="146">
        <v>46160</v>
      </c>
      <c r="J2592" s="147">
        <v>53</v>
      </c>
      <c r="K2592" s="147">
        <v>16.4</v>
      </c>
      <c r="L2592" s="158">
        <v>32</v>
      </c>
      <c r="M2592" s="59" cm="1">
        <f t="array" ref="M2592">INDEX($BV$29:$BV$1449,MATCH($D2592,$BR$29:$BR$1449,0),)</f>
        <v>20</v>
      </c>
      <c r="N2592" s="150">
        <f t="shared" si="780"/>
        <v>0</v>
      </c>
      <c r="O2592" s="150">
        <f t="shared" si="781"/>
        <v>-0.00928792569659431</v>
      </c>
      <c r="P2592" s="150">
        <f t="shared" si="786"/>
        <v>-0.0123456790123456</v>
      </c>
      <c r="Q2592" s="89">
        <f t="shared" si="788"/>
        <v>0.6</v>
      </c>
      <c r="S2592" s="82">
        <f t="shared" si="789"/>
        <v>46160</v>
      </c>
      <c r="T2592" s="83">
        <f t="shared" si="792"/>
        <v>2.5791875</v>
      </c>
      <c r="U2592" s="83">
        <f t="shared" si="792"/>
        <v>2.34375</v>
      </c>
      <c r="W2592" s="146">
        <v>46160</v>
      </c>
      <c r="X2592" s="147">
        <v>53</v>
      </c>
      <c r="Y2592" s="147">
        <v>29.8</v>
      </c>
      <c r="Z2592" s="158">
        <v>41.267</v>
      </c>
      <c r="AA2592" s="59" cm="1">
        <f t="array" ref="AA2592">INDEX($BX$29:$BX$1449,MATCH($D2592,$BR$29:$BR$1449,0),)</f>
        <v>37.5</v>
      </c>
      <c r="AB2592" s="150">
        <f t="shared" si="790"/>
        <v>0.0024291301285011</v>
      </c>
      <c r="AC2592" s="150">
        <f t="shared" si="793"/>
        <v>0.026542288557214</v>
      </c>
      <c r="AD2592" s="150">
        <f t="shared" si="796"/>
        <v>0.0626786496021425</v>
      </c>
      <c r="AE2592" s="89">
        <f t="shared" si="791"/>
        <v>0.100453333333334</v>
      </c>
    </row>
    <row r="2593" spans="3:31">
      <c r="C2593" s="80" t="str" cm="1">
        <f t="array" ref="C2593">_xlfn.IFS(MONTH(D2593)&lt;4,1,MONTH(D2593)&lt;7,2,MONTH(D2593)&lt;10,3,MONTH(D2593)&gt;9,4)&amp;"Q"&amp;RIGHT(YEAR(D2593),2)</f>
        <v>2Q26</v>
      </c>
      <c r="D2593" s="81">
        <f t="shared" si="795"/>
        <v>46173</v>
      </c>
      <c r="E2593" s="82">
        <f t="shared" si="787"/>
        <v>46161</v>
      </c>
      <c r="F2593" s="83">
        <f t="shared" si="794"/>
        <v>4</v>
      </c>
      <c r="G2593" s="83">
        <f t="shared" si="794"/>
        <v>2.5</v>
      </c>
      <c r="I2593" s="146">
        <v>46161</v>
      </c>
      <c r="J2593" s="147">
        <v>53</v>
      </c>
      <c r="K2593" s="147">
        <v>16.4</v>
      </c>
      <c r="L2593" s="158">
        <v>32</v>
      </c>
      <c r="M2593" s="59" cm="1">
        <f t="array" ref="M2593">INDEX($BV$29:$BV$1449,MATCH($D2593,$BR$29:$BR$1449,0),)</f>
        <v>20</v>
      </c>
      <c r="N2593" s="150">
        <f t="shared" si="780"/>
        <v>0</v>
      </c>
      <c r="O2593" s="150">
        <f t="shared" si="781"/>
        <v>-0.00928792569659431</v>
      </c>
      <c r="P2593" s="150">
        <f t="shared" si="786"/>
        <v>-0.0123456790123456</v>
      </c>
      <c r="Q2593" s="89">
        <f t="shared" si="788"/>
        <v>0.6</v>
      </c>
      <c r="S2593" s="82">
        <f t="shared" si="789"/>
        <v>46161</v>
      </c>
      <c r="T2593" s="83">
        <f t="shared" si="792"/>
        <v>2.56875</v>
      </c>
      <c r="U2593" s="83">
        <f t="shared" si="792"/>
        <v>2.34375</v>
      </c>
      <c r="W2593" s="146">
        <v>46161</v>
      </c>
      <c r="X2593" s="147">
        <v>53</v>
      </c>
      <c r="Y2593" s="147">
        <v>29.8</v>
      </c>
      <c r="Z2593" s="158">
        <v>41.1</v>
      </c>
      <c r="AA2593" s="59" cm="1">
        <f t="array" ref="AA2593">INDEX($BX$29:$BX$1449,MATCH($D2593,$BR$29:$BR$1449,0),)</f>
        <v>37.5</v>
      </c>
      <c r="AB2593" s="150">
        <f t="shared" si="790"/>
        <v>-0.00404681706932908</v>
      </c>
      <c r="AC2593" s="150">
        <f t="shared" si="793"/>
        <v>0.0206869148434201</v>
      </c>
      <c r="AD2593" s="150">
        <f t="shared" si="796"/>
        <v>0.0583781835037211</v>
      </c>
      <c r="AE2593" s="89">
        <f t="shared" si="791"/>
        <v>0.0960000000000001</v>
      </c>
    </row>
    <row r="2594" spans="3:31">
      <c r="C2594" s="80" t="str" cm="1">
        <f t="array" ref="C2594">_xlfn.IFS(MONTH(D2594)&lt;4,1,MONTH(D2594)&lt;7,2,MONTH(D2594)&lt;10,3,MONTH(D2594)&gt;9,4)&amp;"Q"&amp;RIGHT(YEAR(D2594),2)</f>
        <v>2Q26</v>
      </c>
      <c r="D2594" s="81">
        <f t="shared" si="795"/>
        <v>46173</v>
      </c>
      <c r="E2594" s="82">
        <f t="shared" si="787"/>
        <v>46162</v>
      </c>
      <c r="F2594" s="83">
        <f t="shared" si="794"/>
        <v>4.05</v>
      </c>
      <c r="G2594" s="83">
        <f t="shared" si="794"/>
        <v>2.5</v>
      </c>
      <c r="I2594" s="146">
        <v>46162</v>
      </c>
      <c r="J2594" s="147">
        <v>53</v>
      </c>
      <c r="K2594" s="147">
        <v>16.4</v>
      </c>
      <c r="L2594" s="158">
        <v>32.4</v>
      </c>
      <c r="M2594" s="59" cm="1">
        <f t="array" ref="M2594">INDEX($BV$29:$BV$1449,MATCH($D2594,$BR$29:$BR$1449,0),)</f>
        <v>20</v>
      </c>
      <c r="N2594" s="150">
        <f t="shared" si="780"/>
        <v>0.0125</v>
      </c>
      <c r="O2594" s="150">
        <f t="shared" si="781"/>
        <v>0.0062111801242235</v>
      </c>
      <c r="P2594" s="150">
        <f t="shared" si="786"/>
        <v>0.0125</v>
      </c>
      <c r="Q2594" s="89">
        <f t="shared" si="788"/>
        <v>0.62</v>
      </c>
      <c r="S2594" s="82">
        <f t="shared" si="789"/>
        <v>46162</v>
      </c>
      <c r="T2594" s="83">
        <f t="shared" si="792"/>
        <v>2.5729375</v>
      </c>
      <c r="U2594" s="83">
        <f t="shared" si="792"/>
        <v>2.34375</v>
      </c>
      <c r="W2594" s="146">
        <v>46162</v>
      </c>
      <c r="X2594" s="147">
        <v>53</v>
      </c>
      <c r="Y2594" s="147">
        <v>30</v>
      </c>
      <c r="Z2594" s="158">
        <v>41.167</v>
      </c>
      <c r="AA2594" s="59" cm="1">
        <f t="array" ref="AA2594">INDEX($BX$29:$BX$1449,MATCH($D2594,$BR$29:$BR$1449,0),)</f>
        <v>37.5</v>
      </c>
      <c r="AB2594" s="150">
        <f t="shared" si="790"/>
        <v>0.00163017031630175</v>
      </c>
      <c r="AC2594" s="150">
        <f t="shared" si="793"/>
        <v>0.0198181683057945</v>
      </c>
      <c r="AD2594" s="150">
        <f t="shared" si="796"/>
        <v>0.0601035202018902</v>
      </c>
      <c r="AE2594" s="89">
        <f t="shared" si="791"/>
        <v>0.0977866666666667</v>
      </c>
    </row>
    <row r="2595" spans="3:31">
      <c r="C2595" s="80" t="str" cm="1">
        <f t="array" ref="C2595">_xlfn.IFS(MONTH(D2595)&lt;4,1,MONTH(D2595)&lt;7,2,MONTH(D2595)&lt;10,3,MONTH(D2595)&gt;9,4)&amp;"Q"&amp;RIGHT(YEAR(D2595),2)</f>
        <v>2Q26</v>
      </c>
      <c r="D2595" s="81">
        <f t="shared" si="795"/>
        <v>46173</v>
      </c>
      <c r="E2595" s="82">
        <f t="shared" si="787"/>
        <v>46163</v>
      </c>
      <c r="F2595" s="83">
        <f t="shared" si="794"/>
        <v>4.1125</v>
      </c>
      <c r="G2595" s="83">
        <f t="shared" si="794"/>
        <v>2.5</v>
      </c>
      <c r="I2595" s="146">
        <v>46163</v>
      </c>
      <c r="J2595" s="147">
        <v>53.5</v>
      </c>
      <c r="K2595" s="147">
        <v>16.5</v>
      </c>
      <c r="L2595" s="158">
        <v>32.9</v>
      </c>
      <c r="M2595" s="59" cm="1">
        <f t="array" ref="M2595">INDEX($BV$29:$BV$1449,MATCH($D2595,$BR$29:$BR$1449,0),)</f>
        <v>20</v>
      </c>
      <c r="N2595" s="150">
        <f t="shared" si="780"/>
        <v>0.0154320987654322</v>
      </c>
      <c r="O2595" s="150">
        <f t="shared" si="781"/>
        <v>0.028125</v>
      </c>
      <c r="P2595" s="150">
        <f t="shared" si="786"/>
        <v>0.028125</v>
      </c>
      <c r="Q2595" s="89">
        <f t="shared" si="788"/>
        <v>0.645</v>
      </c>
      <c r="S2595" s="82">
        <f t="shared" si="789"/>
        <v>46163</v>
      </c>
      <c r="T2595" s="83">
        <f t="shared" si="792"/>
        <v>2.5833125</v>
      </c>
      <c r="U2595" s="83">
        <f t="shared" si="792"/>
        <v>2.34375</v>
      </c>
      <c r="W2595" s="146">
        <v>46163</v>
      </c>
      <c r="X2595" s="147">
        <v>52.5</v>
      </c>
      <c r="Y2595" s="147">
        <v>30.5</v>
      </c>
      <c r="Z2595" s="158">
        <v>41.333</v>
      </c>
      <c r="AA2595" s="59" cm="1">
        <f t="array" ref="AA2595">INDEX($BX$29:$BX$1449,MATCH($D2595,$BR$29:$BR$1449,0),)</f>
        <v>37.5</v>
      </c>
      <c r="AB2595" s="150">
        <f t="shared" si="790"/>
        <v>0.00403235601331153</v>
      </c>
      <c r="AC2595" s="150">
        <f t="shared" si="793"/>
        <v>0.0155528255528254</v>
      </c>
      <c r="AD2595" s="150">
        <f t="shared" si="796"/>
        <v>0.0598205128205127</v>
      </c>
      <c r="AE2595" s="89">
        <f t="shared" si="791"/>
        <v>0.102213333333333</v>
      </c>
    </row>
    <row r="2596" spans="3:31">
      <c r="C2596" s="80" t="str" cm="1">
        <f t="array" ref="C2596">_xlfn.IFS(MONTH(D2596)&lt;4,1,MONTH(D2596)&lt;7,2,MONTH(D2596)&lt;10,3,MONTH(D2596)&gt;9,4)&amp;"Q"&amp;RIGHT(YEAR(D2596),2)</f>
        <v>2Q26</v>
      </c>
      <c r="D2596" s="81">
        <f t="shared" si="795"/>
        <v>46173</v>
      </c>
      <c r="E2596" s="82">
        <f t="shared" si="787"/>
        <v>46164</v>
      </c>
      <c r="F2596" s="83">
        <f t="shared" si="794"/>
        <v>4.1625</v>
      </c>
      <c r="G2596" s="83">
        <f t="shared" si="794"/>
        <v>2.5</v>
      </c>
      <c r="I2596" s="146">
        <v>46164</v>
      </c>
      <c r="J2596" s="147">
        <v>53.5</v>
      </c>
      <c r="K2596" s="147">
        <v>16.5</v>
      </c>
      <c r="L2596" s="158">
        <v>33.3</v>
      </c>
      <c r="M2596" s="59" cm="1">
        <f t="array" ref="M2596">INDEX($BV$29:$BV$1449,MATCH($D2596,$BR$29:$BR$1449,0),)</f>
        <v>20</v>
      </c>
      <c r="N2596" s="150">
        <f t="shared" si="780"/>
        <v>0.0121580547112461</v>
      </c>
      <c r="O2596" s="150">
        <f t="shared" si="781"/>
        <v>0.0406249999999999</v>
      </c>
      <c r="P2596" s="150">
        <f t="shared" si="786"/>
        <v>0.0373831775700932</v>
      </c>
      <c r="Q2596" s="89">
        <f t="shared" si="788"/>
        <v>0.665</v>
      </c>
      <c r="S2596" s="82">
        <f t="shared" si="789"/>
        <v>46164</v>
      </c>
      <c r="T2596" s="83">
        <f t="shared" si="792"/>
        <v>2.59375</v>
      </c>
      <c r="U2596" s="83">
        <f t="shared" si="792"/>
        <v>2.34375</v>
      </c>
      <c r="W2596" s="146">
        <v>46164</v>
      </c>
      <c r="X2596" s="147">
        <v>52.5</v>
      </c>
      <c r="Y2596" s="147">
        <v>30.5</v>
      </c>
      <c r="Z2596" s="158">
        <v>41.5</v>
      </c>
      <c r="AA2596" s="59" cm="1">
        <f t="array" ref="AA2596">INDEX($BX$29:$BX$1449,MATCH($D2596,$BR$29:$BR$1449,0),)</f>
        <v>37.5</v>
      </c>
      <c r="AB2596" s="150">
        <f t="shared" si="790"/>
        <v>0.00404035516415457</v>
      </c>
      <c r="AC2596" s="150">
        <f t="shared" si="793"/>
        <v>0.00808900332790818</v>
      </c>
      <c r="AD2596" s="150">
        <f t="shared" si="796"/>
        <v>0.0418497225918208</v>
      </c>
      <c r="AE2596" s="89">
        <f t="shared" si="791"/>
        <v>0.106666666666667</v>
      </c>
    </row>
    <row r="2597" spans="3:31">
      <c r="C2597" s="80" t="str" cm="1">
        <f t="array" ref="C2597">_xlfn.IFS(MONTH(D2597)&lt;4,1,MONTH(D2597)&lt;7,2,MONTH(D2597)&lt;10,3,MONTH(D2597)&gt;9,4)&amp;"Q"&amp;RIGHT(YEAR(D2597),2)</f>
        <v>2Q26</v>
      </c>
      <c r="D2597" s="81">
        <f t="shared" si="795"/>
        <v>46173</v>
      </c>
      <c r="E2597" s="82">
        <f t="shared" si="787"/>
        <v>46167</v>
      </c>
      <c r="F2597" s="83">
        <f t="shared" si="794"/>
        <v>4.1875</v>
      </c>
      <c r="G2597" s="83">
        <f t="shared" si="794"/>
        <v>2.5</v>
      </c>
      <c r="I2597" s="146">
        <v>46167</v>
      </c>
      <c r="J2597" s="147">
        <v>53.5</v>
      </c>
      <c r="K2597" s="147">
        <v>16.5</v>
      </c>
      <c r="L2597" s="158">
        <v>33.5</v>
      </c>
      <c r="M2597" s="59" cm="1">
        <f t="array" ref="M2597">INDEX($BV$29:$BV$1449,MATCH($D2597,$BR$29:$BR$1449,0),)</f>
        <v>20</v>
      </c>
      <c r="N2597" s="150">
        <f t="shared" si="780"/>
        <v>0.00600600600600609</v>
      </c>
      <c r="O2597" s="150">
        <f t="shared" si="781"/>
        <v>0.046875</v>
      </c>
      <c r="P2597" s="150">
        <f t="shared" si="786"/>
        <v>0.0371517027863777</v>
      </c>
      <c r="Q2597" s="89">
        <f t="shared" si="788"/>
        <v>0.675</v>
      </c>
      <c r="S2597" s="82">
        <f t="shared" si="789"/>
        <v>46167</v>
      </c>
      <c r="T2597" s="83">
        <f t="shared" si="792"/>
        <v>2.6041875</v>
      </c>
      <c r="U2597" s="83">
        <f t="shared" si="792"/>
        <v>2.34375</v>
      </c>
      <c r="W2597" s="146">
        <v>46167</v>
      </c>
      <c r="X2597" s="147">
        <v>52.5</v>
      </c>
      <c r="Y2597" s="147">
        <v>30.5</v>
      </c>
      <c r="Z2597" s="158">
        <v>41.667</v>
      </c>
      <c r="AA2597" s="59" cm="1">
        <f t="array" ref="AA2597">INDEX($BX$29:$BX$1449,MATCH($D2597,$BR$29:$BR$1449,0),)</f>
        <v>37.5</v>
      </c>
      <c r="AB2597" s="150">
        <f t="shared" si="790"/>
        <v>0.00402409638554224</v>
      </c>
      <c r="AC2597" s="150">
        <f t="shared" si="793"/>
        <v>0.0096929750163568</v>
      </c>
      <c r="AD2597" s="150">
        <f t="shared" si="796"/>
        <v>0.0364925373134328</v>
      </c>
      <c r="AE2597" s="89">
        <f t="shared" si="791"/>
        <v>0.11112</v>
      </c>
    </row>
    <row r="2598" spans="3:31">
      <c r="C2598" s="80" t="str" cm="1">
        <f t="array" ref="C2598">_xlfn.IFS(MONTH(D2598)&lt;4,1,MONTH(D2598)&lt;7,2,MONTH(D2598)&lt;10,3,MONTH(D2598)&gt;9,4)&amp;"Q"&amp;RIGHT(YEAR(D2598),2)</f>
        <v>2Q26</v>
      </c>
      <c r="D2598" s="81">
        <f t="shared" si="795"/>
        <v>46173</v>
      </c>
      <c r="E2598" s="82">
        <f t="shared" si="787"/>
        <v>46168</v>
      </c>
      <c r="F2598" s="83">
        <f t="shared" si="794"/>
        <v>4.2</v>
      </c>
      <c r="G2598" s="83">
        <f t="shared" si="794"/>
        <v>2.5</v>
      </c>
      <c r="I2598" s="146">
        <v>46168</v>
      </c>
      <c r="J2598" s="147">
        <v>53</v>
      </c>
      <c r="K2598" s="147">
        <v>16.7</v>
      </c>
      <c r="L2598" s="158">
        <v>33.6</v>
      </c>
      <c r="M2598" s="59" cm="1">
        <f t="array" ref="M2598">INDEX($BV$29:$BV$1449,MATCH($D2598,$BR$29:$BR$1449,0),)</f>
        <v>20</v>
      </c>
      <c r="N2598" s="150">
        <f t="shared" si="780"/>
        <v>0.00298507462686581</v>
      </c>
      <c r="O2598" s="150">
        <f t="shared" si="781"/>
        <v>0.05</v>
      </c>
      <c r="P2598" s="150">
        <f t="shared" si="786"/>
        <v>0.0402476780185761</v>
      </c>
      <c r="Q2598" s="89">
        <f t="shared" si="788"/>
        <v>0.68</v>
      </c>
      <c r="S2598" s="82">
        <f t="shared" si="789"/>
        <v>46168</v>
      </c>
      <c r="T2598" s="83">
        <f t="shared" si="792"/>
        <v>2.6041875</v>
      </c>
      <c r="U2598" s="83">
        <f t="shared" si="792"/>
        <v>2.34375</v>
      </c>
      <c r="W2598" s="146">
        <v>46168</v>
      </c>
      <c r="X2598" s="147">
        <v>52.5</v>
      </c>
      <c r="Y2598" s="147">
        <v>30.5</v>
      </c>
      <c r="Z2598" s="158">
        <v>41.667</v>
      </c>
      <c r="AA2598" s="59" cm="1">
        <f t="array" ref="AA2598">INDEX($BX$29:$BX$1449,MATCH($D2598,$BR$29:$BR$1449,0),)</f>
        <v>37.5</v>
      </c>
      <c r="AB2598" s="150">
        <f t="shared" si="790"/>
        <v>0</v>
      </c>
      <c r="AC2598" s="150">
        <f t="shared" si="793"/>
        <v>0.0137956204379561</v>
      </c>
      <c r="AD2598" s="150">
        <f t="shared" si="796"/>
        <v>0.0347679241065886</v>
      </c>
      <c r="AE2598" s="89">
        <f t="shared" si="791"/>
        <v>0.11112</v>
      </c>
    </row>
    <row r="2599" spans="3:31">
      <c r="C2599" s="80" t="str" cm="1">
        <f t="array" ref="C2599">_xlfn.IFS(MONTH(D2599)&lt;4,1,MONTH(D2599)&lt;7,2,MONTH(D2599)&lt;10,3,MONTH(D2599)&gt;9,4)&amp;"Q"&amp;RIGHT(YEAR(D2599),2)</f>
        <v>2Q26</v>
      </c>
      <c r="D2599" s="81">
        <f t="shared" si="795"/>
        <v>46173</v>
      </c>
      <c r="E2599" s="82">
        <f t="shared" si="787"/>
        <v>46169</v>
      </c>
      <c r="F2599" s="83">
        <f t="shared" si="794"/>
        <v>4.2</v>
      </c>
      <c r="G2599" s="83">
        <f t="shared" si="794"/>
        <v>2.5</v>
      </c>
      <c r="I2599" s="146">
        <v>46169</v>
      </c>
      <c r="J2599" s="147">
        <v>53</v>
      </c>
      <c r="K2599" s="147">
        <v>16.7</v>
      </c>
      <c r="L2599" s="158">
        <v>33.6</v>
      </c>
      <c r="M2599" s="59" cm="1">
        <f t="array" ref="M2599">INDEX($BV$29:$BV$1449,MATCH($D2599,$BR$29:$BR$1449,0),)</f>
        <v>20</v>
      </c>
      <c r="N2599" s="150">
        <f t="shared" si="780"/>
        <v>0</v>
      </c>
      <c r="O2599" s="150">
        <f t="shared" si="781"/>
        <v>0.0370370370370372</v>
      </c>
      <c r="P2599" s="150">
        <f t="shared" si="786"/>
        <v>0.0434782608695652</v>
      </c>
      <c r="Q2599" s="89">
        <f t="shared" si="788"/>
        <v>0.68</v>
      </c>
      <c r="S2599" s="82">
        <f t="shared" si="789"/>
        <v>46169</v>
      </c>
      <c r="T2599" s="83">
        <f t="shared" si="792"/>
        <v>2.6041875</v>
      </c>
      <c r="U2599" s="83">
        <f t="shared" si="792"/>
        <v>2.34375</v>
      </c>
      <c r="W2599" s="146">
        <v>46169</v>
      </c>
      <c r="X2599" s="147">
        <v>52.5</v>
      </c>
      <c r="Y2599" s="147">
        <v>30.5</v>
      </c>
      <c r="Z2599" s="158">
        <v>41.667</v>
      </c>
      <c r="AA2599" s="59" cm="1">
        <f t="array" ref="AA2599">INDEX($BX$29:$BX$1449,MATCH($D2599,$BR$29:$BR$1449,0),)</f>
        <v>37.5</v>
      </c>
      <c r="AB2599" s="150">
        <f t="shared" si="790"/>
        <v>0</v>
      </c>
      <c r="AC2599" s="150">
        <f t="shared" si="793"/>
        <v>0.0121456506425048</v>
      </c>
      <c r="AD2599" s="150">
        <f t="shared" si="796"/>
        <v>0.0322045234969159</v>
      </c>
      <c r="AE2599" s="89">
        <f t="shared" si="791"/>
        <v>0.11112</v>
      </c>
    </row>
    <row r="2600" spans="3:31">
      <c r="C2600" s="80" t="str" cm="1">
        <f t="array" ref="C2600">_xlfn.IFS(MONTH(D2600)&lt;4,1,MONTH(D2600)&lt;7,2,MONTH(D2600)&lt;10,3,MONTH(D2600)&gt;9,4)&amp;"Q"&amp;RIGHT(YEAR(D2600),2)</f>
        <v>2Q26</v>
      </c>
      <c r="D2600" s="81">
        <f t="shared" si="795"/>
        <v>46173</v>
      </c>
      <c r="E2600" s="82">
        <f t="shared" si="787"/>
        <v>46170</v>
      </c>
      <c r="F2600" s="83">
        <f t="shared" si="794"/>
        <v>4.225</v>
      </c>
      <c r="G2600" s="83">
        <f t="shared" si="794"/>
        <v>2.5</v>
      </c>
      <c r="I2600" s="146">
        <v>46170</v>
      </c>
      <c r="J2600" s="147">
        <v>53</v>
      </c>
      <c r="K2600" s="147">
        <v>16.8</v>
      </c>
      <c r="L2600" s="158">
        <v>33.8</v>
      </c>
      <c r="M2600" s="59" cm="1">
        <f t="array" ref="M2600">INDEX($BV$29:$BV$1449,MATCH($D2600,$BR$29:$BR$1449,0),)</f>
        <v>20</v>
      </c>
      <c r="N2600" s="150">
        <f t="shared" si="780"/>
        <v>0.00595238095238093</v>
      </c>
      <c r="O2600" s="150">
        <f t="shared" si="781"/>
        <v>0.0273556231003038</v>
      </c>
      <c r="P2600" s="150">
        <f t="shared" si="786"/>
        <v>0.0562499999999999</v>
      </c>
      <c r="Q2600" s="89">
        <f t="shared" si="788"/>
        <v>0.69</v>
      </c>
      <c r="S2600" s="82">
        <f t="shared" si="789"/>
        <v>46170</v>
      </c>
      <c r="T2600" s="83">
        <f t="shared" ref="T2600:U2602" si="797">+Z2600/16</f>
        <v>2.6145625</v>
      </c>
      <c r="U2600" s="83">
        <f t="shared" si="797"/>
        <v>2.34375</v>
      </c>
      <c r="W2600" s="146">
        <v>46170</v>
      </c>
      <c r="X2600" s="147">
        <v>52.6</v>
      </c>
      <c r="Y2600" s="147">
        <v>30</v>
      </c>
      <c r="Z2600" s="158">
        <v>41.833</v>
      </c>
      <c r="AA2600" s="59" cm="1">
        <f t="array" ref="AA2600">INDEX($BX$29:$BX$1449,MATCH($D2600,$BR$29:$BR$1449,0),)</f>
        <v>37.5</v>
      </c>
      <c r="AB2600" s="150">
        <f t="shared" si="790"/>
        <v>0.00398396812825497</v>
      </c>
      <c r="AC2600" s="150">
        <f t="shared" si="793"/>
        <v>0.0120968717489658</v>
      </c>
      <c r="AD2600" s="150">
        <f t="shared" si="796"/>
        <v>0.0278378378378377</v>
      </c>
      <c r="AE2600" s="89">
        <f t="shared" si="791"/>
        <v>0.115546666666667</v>
      </c>
    </row>
    <row r="2601" spans="3:31">
      <c r="C2601" s="80" t="str" cm="1">
        <f t="array" ref="C2601">_xlfn.IFS(MONTH(D2601)&lt;4,1,MONTH(D2601)&lt;7,2,MONTH(D2601)&lt;10,3,MONTH(D2601)&gt;9,4)&amp;"Q"&amp;RIGHT(YEAR(D2601),2)</f>
        <v>2Q26</v>
      </c>
      <c r="D2601" s="81">
        <f t="shared" si="795"/>
        <v>46173</v>
      </c>
      <c r="E2601" s="82">
        <f t="shared" si="787"/>
        <v>46171</v>
      </c>
      <c r="F2601" s="83">
        <f t="shared" si="794"/>
        <v>4.2625</v>
      </c>
      <c r="G2601" s="83">
        <f t="shared" si="794"/>
        <v>2.5</v>
      </c>
      <c r="I2601" s="146">
        <v>46171</v>
      </c>
      <c r="J2601" s="147">
        <v>53</v>
      </c>
      <c r="K2601" s="147">
        <v>16.8</v>
      </c>
      <c r="L2601" s="158">
        <v>34.1</v>
      </c>
      <c r="M2601" s="59" cm="1">
        <f t="array" ref="M2601">INDEX($BV$29:$BV$1449,MATCH($D2601,$BR$29:$BR$1449,0),)</f>
        <v>20</v>
      </c>
      <c r="N2601" s="150">
        <f t="shared" si="780"/>
        <v>0.00887573964497057</v>
      </c>
      <c r="O2601" s="150">
        <f t="shared" si="781"/>
        <v>0.0240240240240241</v>
      </c>
      <c r="P2601" s="150">
        <f t="shared" si="786"/>
        <v>0.065625</v>
      </c>
      <c r="Q2601" s="89">
        <f t="shared" si="788"/>
        <v>0.705</v>
      </c>
      <c r="S2601" s="82">
        <f t="shared" si="789"/>
        <v>46171</v>
      </c>
      <c r="T2601" s="83">
        <f t="shared" si="797"/>
        <v>2.61875</v>
      </c>
      <c r="U2601" s="83">
        <f t="shared" si="797"/>
        <v>2.34375</v>
      </c>
      <c r="W2601" s="146">
        <v>46171</v>
      </c>
      <c r="X2601" s="147">
        <v>52.6</v>
      </c>
      <c r="Y2601" s="147">
        <v>30</v>
      </c>
      <c r="Z2601" s="158">
        <v>41.9</v>
      </c>
      <c r="AA2601" s="59" cm="1">
        <f t="array" ref="AA2601">INDEX($BX$29:$BX$1449,MATCH($D2601,$BR$29:$BR$1449,0),)</f>
        <v>37.5</v>
      </c>
      <c r="AB2601" s="150">
        <f t="shared" si="790"/>
        <v>0.00160160638730189</v>
      </c>
      <c r="AC2601" s="150">
        <f t="shared" si="793"/>
        <v>0.00963855421686755</v>
      </c>
      <c r="AD2601" s="150">
        <f t="shared" si="796"/>
        <v>0.0178055238419121</v>
      </c>
      <c r="AE2601" s="89">
        <f t="shared" si="791"/>
        <v>0.117333333333333</v>
      </c>
    </row>
    <row r="2602" spans="3:31">
      <c r="C2602" s="80" t="str" cm="1">
        <f t="array" ref="C2602">_xlfn.IFS(MONTH(D2602)&lt;4,1,MONTH(D2602)&lt;7,2,MONTH(D2602)&lt;10,3,MONTH(D2602)&gt;9,4)&amp;"Q"&amp;RIGHT(YEAR(D2602),2)</f>
        <v>2Q26</v>
      </c>
      <c r="D2602" s="81">
        <f t="shared" si="795"/>
        <v>46203</v>
      </c>
      <c r="E2602" s="82">
        <f t="shared" si="787"/>
        <v>46174</v>
      </c>
      <c r="F2602" s="83">
        <f t="shared" ref="F2602:G2602" si="798">+L2602/8</f>
        <v>4.3125</v>
      </c>
      <c r="G2602" s="83" t="e">
        <f t="shared" si="798"/>
        <v>#N/A</v>
      </c>
      <c r="I2602" s="146">
        <v>46174</v>
      </c>
      <c r="J2602" s="147">
        <v>53.5</v>
      </c>
      <c r="K2602" s="147">
        <v>17</v>
      </c>
      <c r="L2602" s="158">
        <v>34.5</v>
      </c>
      <c r="M2602" s="59" t="e" cm="1">
        <f t="array" ref="M2602">INDEX($BV$29:$BV$1449,MATCH($D2602,$BR$29:$BR$1449,0),)</f>
        <v>#N/A</v>
      </c>
      <c r="N2602" s="150">
        <f t="shared" si="780"/>
        <v>0.0117302052785924</v>
      </c>
      <c r="O2602" s="150">
        <f t="shared" si="781"/>
        <v>0.0298507462686568</v>
      </c>
      <c r="P2602" s="150">
        <f t="shared" si="786"/>
        <v>0.078125</v>
      </c>
      <c r="Q2602" s="89" t="e">
        <f t="shared" si="788"/>
        <v>#N/A</v>
      </c>
      <c r="S2602" s="82">
        <f t="shared" si="789"/>
        <v>46174</v>
      </c>
      <c r="T2602" s="83">
        <f t="shared" si="797"/>
        <v>2.6416875</v>
      </c>
      <c r="U2602" s="83" t="e">
        <f t="shared" si="797"/>
        <v>#N/A</v>
      </c>
      <c r="W2602" s="146">
        <v>46174</v>
      </c>
      <c r="X2602" s="147">
        <v>53</v>
      </c>
      <c r="Y2602" s="147">
        <v>30.5</v>
      </c>
      <c r="Z2602" s="158">
        <v>42.267</v>
      </c>
      <c r="AA2602" s="59" t="e" cm="1">
        <f t="array" ref="AA2602">INDEX($BX$29:$BX$1449,MATCH($D2602,$BR$29:$BR$1449,0),)</f>
        <v>#N/A</v>
      </c>
      <c r="AB2602" s="150">
        <f t="shared" si="790"/>
        <v>0.00875894988066839</v>
      </c>
      <c r="AC2602" s="150">
        <f t="shared" si="793"/>
        <v>0.0143998848009217</v>
      </c>
      <c r="AD2602" s="150">
        <f t="shared" si="796"/>
        <v>0.0242324375408922</v>
      </c>
      <c r="AE2602" s="89" t="e">
        <f t="shared" si="791"/>
        <v>#N/A</v>
      </c>
    </row>
  </sheetData>
  <pageMargins left="0.7" right="0.7" top="0.75" bottom="0.75" header="0.3" footer="0.3"/>
  <pageSetup paperSize="1" orientation="landscape"/>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9:EC1621"/>
  <sheetViews>
    <sheetView zoomScale="85" zoomScaleNormal="85" workbookViewId="0">
      <pane ySplit="26" topLeftCell="A659" activePane="bottomLeft" state="frozen"/>
      <selection/>
      <selection pane="bottomLeft" activeCell="V29" sqref="V29"/>
    </sheetView>
  </sheetViews>
  <sheetFormatPr defaultColWidth="9.14285714285714" defaultRowHeight="15.2"/>
  <cols>
    <col min="1" max="2" width="1.85714285714286" style="2" customWidth="1"/>
    <col min="3" max="4" width="8.85714285714286" style="2" customWidth="1"/>
    <col min="5" max="5" width="16.1428571428571" style="2" customWidth="1"/>
    <col min="6" max="8" width="13.4285714285714" style="2" customWidth="1"/>
    <col min="9" max="24" width="8.85714285714286" style="2" customWidth="1"/>
    <col min="25" max="25" width="10.1428571428571" style="2" customWidth="1"/>
    <col min="26" max="28" width="8.85714285714286" style="2" customWidth="1"/>
    <col min="29" max="29" width="5" style="2" customWidth="1"/>
    <col min="30" max="32" width="8.85714285714286" style="2" customWidth="1"/>
    <col min="33" max="35" width="1.85714285714286" style="2" customWidth="1"/>
    <col min="36" max="37" width="8.85714285714286" style="2" customWidth="1"/>
    <col min="38" max="38" width="15.4285714285714" style="2" customWidth="1"/>
    <col min="39" max="44" width="10.8571428571429" style="2" customWidth="1"/>
    <col min="45" max="47" width="8.85714285714286" style="2" customWidth="1"/>
    <col min="48" max="51" width="9.57142857142857" style="2" customWidth="1"/>
    <col min="52" max="52" width="9.14285714285714" style="2"/>
    <col min="53" max="53" width="10.8571428571429" style="2" customWidth="1"/>
    <col min="54" max="62" width="9.14285714285714" style="2"/>
    <col min="63" max="80" width="8.85714285714286" style="2" customWidth="1"/>
    <col min="81" max="81" width="10.4285714285714" style="2" customWidth="1"/>
    <col min="82" max="119" width="9.14285714285714" style="2"/>
    <col min="120" max="120" width="10.8571428571429" style="2" hidden="1" customWidth="1" outlineLevel="1"/>
    <col min="121" max="123" width="9.14285714285714" style="2" hidden="1" customWidth="1" outlineLevel="1"/>
    <col min="124" max="124" width="1.85714285714286" style="2" hidden="1" customWidth="1" outlineLevel="1"/>
    <col min="125" max="128" width="9.14285714285714" style="2" hidden="1" customWidth="1" outlineLevel="1"/>
    <col min="129" max="129" width="1.85714285714286" style="2" hidden="1" customWidth="1" outlineLevel="1"/>
    <col min="130" max="133" width="9.14285714285714" style="2" hidden="1" customWidth="1" outlineLevel="1"/>
    <col min="134" max="134" width="9.14285714285714" style="2" collapsed="1"/>
    <col min="135" max="16384" width="9.14285714285714" style="2"/>
  </cols>
  <sheetData>
    <row r="19" spans="1:133">
      <c r="B19" s="2" t="s">
        <v>102</v>
      </c>
      <c r="BU19" s="3"/>
      <c r="BV19" s="3"/>
    </row>
    <row r="20" s="1" customFormat="1" spans="1:133">
      <c r="A20" s="2"/>
      <c r="B20" s="2"/>
      <c r="C20" s="4"/>
      <c r="D20" s="2"/>
      <c r="E20" s="4" t="s">
        <v>211</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2"/>
      <c r="AH20" s="2"/>
      <c r="AI20" s="2"/>
      <c r="AJ20" s="2"/>
      <c r="AK20" s="2"/>
      <c r="AL20" s="4" t="s">
        <v>212</v>
      </c>
      <c r="AM20" s="4"/>
      <c r="AN20" s="4"/>
      <c r="AO20" s="4"/>
      <c r="AP20" s="4"/>
      <c r="AQ20" s="4"/>
      <c r="AV20" s="4"/>
      <c r="AW20" s="4"/>
      <c r="AX20" s="4"/>
      <c r="AY20" s="4"/>
    </row>
    <row r="21" spans="1:133">
      <c r="F21" s="5"/>
      <c r="G21" s="5"/>
      <c r="H21" s="5"/>
      <c r="BA21" s="6" t="s">
        <v>105</v>
      </c>
      <c r="BB21" s="6"/>
      <c r="CD21" s="6" t="s">
        <v>105</v>
      </c>
      <c r="CE21" s="6"/>
      <c r="CF21" s="6"/>
      <c r="CG21" s="6"/>
    </row>
    <row r="22" spans="1:133">
      <c r="E22" s="7" t="s">
        <v>213</v>
      </c>
      <c r="F22" s="7"/>
      <c r="G22" s="7"/>
      <c r="H22" s="7"/>
      <c r="I22" s="6" t="s">
        <v>214</v>
      </c>
      <c r="J22" s="6"/>
      <c r="K22" s="6"/>
      <c r="M22" s="6" t="s">
        <v>215</v>
      </c>
      <c r="N22" s="6"/>
      <c r="O22" s="6"/>
      <c r="P22" s="6"/>
      <c r="Q22" s="6"/>
      <c r="R22" s="6"/>
      <c r="S22" s="6"/>
      <c r="T22" s="6"/>
      <c r="U22" s="6"/>
      <c r="Z22" s="7" t="s">
        <v>216</v>
      </c>
      <c r="AA22" s="7"/>
      <c r="AB22" s="7"/>
      <c r="AD22" s="6" t="s">
        <v>215</v>
      </c>
      <c r="AE22" s="6"/>
      <c r="AF22" s="6"/>
      <c r="AL22" s="7" t="s">
        <v>217</v>
      </c>
      <c r="AM22" s="7"/>
      <c r="AN22" s="7"/>
      <c r="AO22" s="7"/>
      <c r="AP22" s="7"/>
      <c r="AR22" s="7" t="s">
        <v>214</v>
      </c>
      <c r="AS22" s="7"/>
      <c r="AT22" s="7"/>
      <c r="AU22" s="7"/>
      <c r="AV22" s="6" t="s">
        <v>30</v>
      </c>
      <c r="AW22" s="6"/>
      <c r="AX22" s="6"/>
      <c r="AY22" s="6"/>
      <c r="BA22" s="7" t="s">
        <v>218</v>
      </c>
      <c r="BB22" s="7"/>
      <c r="BC22" s="7"/>
      <c r="BD22" s="7"/>
      <c r="BE22" s="7"/>
      <c r="BF22" s="7"/>
      <c r="BG22" s="7"/>
      <c r="BH22" s="7"/>
      <c r="BI22" s="7"/>
      <c r="BK22" s="7" t="s">
        <v>219</v>
      </c>
      <c r="BL22" s="7"/>
      <c r="BM22" s="7"/>
      <c r="BN22" s="7"/>
      <c r="BO22" s="7"/>
      <c r="BP22" s="7"/>
      <c r="BR22" s="7" t="s">
        <v>214</v>
      </c>
      <c r="BS22" s="7"/>
      <c r="BT22" s="7"/>
      <c r="BU22" s="7"/>
      <c r="BV22" s="7"/>
      <c r="BW22" s="6" t="s">
        <v>31</v>
      </c>
      <c r="BX22" s="6"/>
      <c r="BY22" s="6"/>
      <c r="BZ22" s="6"/>
      <c r="CA22" s="6"/>
      <c r="CD22" s="7" t="s">
        <v>218</v>
      </c>
      <c r="CE22" s="7"/>
      <c r="CF22" s="7"/>
      <c r="CG22" s="7"/>
      <c r="DP22" s="7" t="s">
        <v>220</v>
      </c>
      <c r="DQ22" s="7"/>
      <c r="DR22" s="7"/>
      <c r="DS22" s="7"/>
      <c r="DU22" s="7" t="s">
        <v>220</v>
      </c>
      <c r="DV22" s="7"/>
      <c r="DW22" s="7"/>
      <c r="DX22" s="7"/>
      <c r="DZ22" s="7" t="s">
        <v>220</v>
      </c>
      <c r="EA22" s="7"/>
      <c r="EB22" s="7"/>
      <c r="EC22" s="7"/>
    </row>
    <row r="23" spans="1:133">
      <c r="F23" s="8" t="s">
        <v>83</v>
      </c>
      <c r="G23" s="8" t="s">
        <v>221</v>
      </c>
      <c r="H23" s="8" t="s">
        <v>222</v>
      </c>
      <c r="I23" s="8" t="s">
        <v>83</v>
      </c>
      <c r="J23" s="8" t="s">
        <v>221</v>
      </c>
      <c r="K23" s="8" t="s">
        <v>222</v>
      </c>
      <c r="M23" s="8" t="s">
        <v>83</v>
      </c>
      <c r="P23" s="8" t="s">
        <v>221</v>
      </c>
      <c r="S23" s="8" t="s">
        <v>222</v>
      </c>
      <c r="Z23" s="8" t="s">
        <v>223</v>
      </c>
      <c r="AM23" s="8" t="s">
        <v>83</v>
      </c>
      <c r="AN23" s="8" t="s">
        <v>221</v>
      </c>
      <c r="AO23" s="8"/>
      <c r="AP23" s="8" t="s">
        <v>224</v>
      </c>
      <c r="AR23" s="8" t="s">
        <v>83</v>
      </c>
      <c r="AS23" s="8" t="s">
        <v>221</v>
      </c>
      <c r="AT23" s="8" t="s">
        <v>225</v>
      </c>
      <c r="AU23" s="8" t="s">
        <v>224</v>
      </c>
      <c r="AV23" s="8" t="str">
        <f>AR23&amp;" MoM"</f>
        <v>3D TLC 256Gb MoM</v>
      </c>
      <c r="AW23" s="8" t="str">
        <f t="shared" ref="AW23:AY23" si="0">AS23&amp;" MoM"</f>
        <v>3D TLC 512Gb MoM</v>
      </c>
      <c r="AX23" s="8" t="str">
        <f t="shared" si="0"/>
        <v>3D TLC 1Tb MoM</v>
      </c>
      <c r="AY23" s="8" t="str">
        <f t="shared" si="0"/>
        <v>3D QLC 1Tb MoM</v>
      </c>
      <c r="BB23" s="8" t="s">
        <v>226</v>
      </c>
      <c r="BD23" s="8" t="s">
        <v>227</v>
      </c>
      <c r="BF23" s="8" t="s">
        <v>227</v>
      </c>
      <c r="BJ23" s="9"/>
      <c r="BL23" s="8" t="s">
        <v>228</v>
      </c>
      <c r="BM23" s="8" t="s">
        <v>223</v>
      </c>
      <c r="BN23" s="8" t="s">
        <v>229</v>
      </c>
      <c r="BO23" s="8" t="s">
        <v>230</v>
      </c>
      <c r="BP23" s="8" t="s">
        <v>231</v>
      </c>
      <c r="BR23" s="8" t="s">
        <v>223</v>
      </c>
      <c r="BS23" s="8" t="s">
        <v>228</v>
      </c>
      <c r="BT23" s="8" t="s">
        <v>229</v>
      </c>
      <c r="BU23" s="8" t="s">
        <v>230</v>
      </c>
      <c r="BV23" s="8" t="s">
        <v>231</v>
      </c>
      <c r="BW23" s="8" t="s">
        <v>232</v>
      </c>
      <c r="BX23" s="8" t="s">
        <v>233</v>
      </c>
      <c r="BY23" s="8" t="s">
        <v>234</v>
      </c>
      <c r="BZ23" s="8" t="s">
        <v>235</v>
      </c>
      <c r="CA23" s="8" t="s">
        <v>236</v>
      </c>
      <c r="CD23" s="8" t="s">
        <v>223</v>
      </c>
    </row>
    <row r="24" spans="1:133">
      <c r="F24" s="8"/>
      <c r="G24" s="8"/>
      <c r="H24" s="8"/>
      <c r="I24" s="8"/>
      <c r="J24" s="8"/>
      <c r="K24" s="8"/>
      <c r="M24" s="8" t="str">
        <f>M23&amp;" WoW"</f>
        <v>3D TLC 256Gb WoW</v>
      </c>
      <c r="P24" s="8" t="str">
        <f>P23&amp;" WoW"</f>
        <v>3D TLC 512Gb WoW</v>
      </c>
      <c r="S24" s="8" t="str">
        <f>S23&amp;" WoW"</f>
        <v>3D TLC/QLC 1Tb WoW</v>
      </c>
      <c r="Z24" s="8"/>
      <c r="AM24" s="8"/>
      <c r="AN24" s="8"/>
      <c r="AO24" s="8"/>
      <c r="AP24" s="8"/>
      <c r="AV24" s="8"/>
      <c r="AW24" s="8"/>
      <c r="AX24" s="8"/>
      <c r="AY24" s="8"/>
      <c r="BB24" s="8"/>
      <c r="BD24" s="8"/>
      <c r="BF24" s="8"/>
      <c r="BJ24" s="9"/>
      <c r="BL24" s="8"/>
      <c r="BN24" s="8"/>
      <c r="BO24" s="8"/>
      <c r="BP24" s="8"/>
      <c r="BR24" s="8"/>
      <c r="BS24" s="8"/>
      <c r="BT24" s="8"/>
      <c r="BU24" s="8"/>
      <c r="BV24" s="8"/>
      <c r="BW24" s="8"/>
      <c r="BX24" s="8"/>
      <c r="BY24" s="8"/>
      <c r="BZ24" s="8"/>
      <c r="CA24" s="8"/>
      <c r="CD24" s="8"/>
    </row>
    <row r="25" ht="16.8" spans="1:133">
      <c r="M25" s="10" t="str">
        <f>F26</f>
        <v>256Gb 3D TLC</v>
      </c>
      <c r="P25" s="10" t="str">
        <f>G26</f>
        <v>512Gb 3D TLC</v>
      </c>
      <c r="S25" s="10" t="str">
        <f>H26</f>
        <v>1Tb 3D TLC/QLC</v>
      </c>
      <c r="AL25" s="2" t="s">
        <v>237</v>
      </c>
      <c r="AM25" s="2" t="s">
        <v>113</v>
      </c>
      <c r="AR25" s="2" t="s">
        <v>237</v>
      </c>
      <c r="BA25" s="11"/>
      <c r="BB25" s="12" t="str">
        <f>AR26</f>
        <v>256Gb 3D TLC</v>
      </c>
      <c r="BC25" s="13"/>
      <c r="BD25" s="12" t="str">
        <f>AS26</f>
        <v>512Gb 3D TLC</v>
      </c>
      <c r="BE25" s="14"/>
      <c r="BF25" s="12" t="s">
        <v>81</v>
      </c>
      <c r="BG25" s="14"/>
      <c r="BH25" s="12" t="str">
        <f>AO26</f>
        <v>1Tb 3D TLC</v>
      </c>
      <c r="BI25" s="12" t="str">
        <f>AU26</f>
        <v>1Tb 3D QLC</v>
      </c>
      <c r="BJ25" s="15"/>
      <c r="CD25" s="12" t="str">
        <f>BR26</f>
        <v>128GB TLC eMMC</v>
      </c>
      <c r="CE25" s="13"/>
      <c r="DP25" s="2" t="s">
        <v>238</v>
      </c>
      <c r="DU25" s="2" t="s">
        <v>239</v>
      </c>
      <c r="DZ25" s="2" t="s">
        <v>240</v>
      </c>
    </row>
    <row r="26" ht="46" spans="1:133">
      <c r="C26" s="16" t="s">
        <v>152</v>
      </c>
      <c r="D26" s="17" t="s">
        <v>153</v>
      </c>
      <c r="E26" s="18"/>
      <c r="F26" s="18" t="s">
        <v>84</v>
      </c>
      <c r="G26" s="18" t="s">
        <v>82</v>
      </c>
      <c r="H26" s="18" t="s">
        <v>81</v>
      </c>
      <c r="I26" s="18" t="str">
        <f>F26</f>
        <v>256Gb 3D TLC</v>
      </c>
      <c r="J26" s="18" t="str">
        <f>G26</f>
        <v>512Gb 3D TLC</v>
      </c>
      <c r="K26" s="18" t="str">
        <f>H26</f>
        <v>1Tb 3D TLC/QLC</v>
      </c>
      <c r="M26" s="19" t="s">
        <v>161</v>
      </c>
      <c r="N26" s="19" t="s">
        <v>162</v>
      </c>
      <c r="O26" s="19" t="s">
        <v>168</v>
      </c>
      <c r="P26" s="19" t="str">
        <f>M26</f>
        <v>1W Delta</v>
      </c>
      <c r="Q26" s="19" t="str">
        <f t="shared" ref="Q26:S26" si="1">N26</f>
        <v>2W Delta</v>
      </c>
      <c r="R26" s="19" t="str">
        <f t="shared" si="1"/>
        <v>3W Delta</v>
      </c>
      <c r="S26" s="19" t="str">
        <f t="shared" si="1"/>
        <v>1W Delta</v>
      </c>
      <c r="T26" s="19" t="str">
        <f t="shared" ref="T26:U26" si="2">Q26</f>
        <v>2W Delta</v>
      </c>
      <c r="U26" s="19" t="str">
        <f t="shared" si="2"/>
        <v>3W Delta</v>
      </c>
      <c r="W26" s="16" t="s">
        <v>152</v>
      </c>
      <c r="X26" s="17" t="s">
        <v>153</v>
      </c>
      <c r="Z26" s="19" t="s">
        <v>92</v>
      </c>
      <c r="AD26" s="19" t="str">
        <f>M26</f>
        <v>1W Delta</v>
      </c>
      <c r="AE26" s="19" t="str">
        <f>N26</f>
        <v>2W Delta</v>
      </c>
      <c r="AF26" s="19" t="str">
        <f>O26</f>
        <v>3W Delta</v>
      </c>
      <c r="AJ26" s="16" t="s">
        <v>152</v>
      </c>
      <c r="AK26" s="17" t="s">
        <v>153</v>
      </c>
      <c r="AL26" s="18" t="s">
        <v>154</v>
      </c>
      <c r="AM26" s="18" t="s">
        <v>84</v>
      </c>
      <c r="AN26" s="18" t="s">
        <v>82</v>
      </c>
      <c r="AO26" s="18" t="s">
        <v>87</v>
      </c>
      <c r="AP26" s="18" t="s">
        <v>86</v>
      </c>
      <c r="AQ26" s="20"/>
      <c r="AR26" s="18" t="str">
        <f>AM26</f>
        <v>256Gb 3D TLC</v>
      </c>
      <c r="AS26" s="18" t="str">
        <f>AN26</f>
        <v>512Gb 3D TLC</v>
      </c>
      <c r="AT26" s="18" t="s">
        <v>87</v>
      </c>
      <c r="AU26" s="18" t="str">
        <f t="shared" ref="AU26" si="3">AP26</f>
        <v>1Tb 3D QLC</v>
      </c>
      <c r="AV26" s="18" t="str">
        <f>AM26</f>
        <v>256Gb 3D TLC</v>
      </c>
      <c r="AW26" s="18" t="str">
        <f>AN26</f>
        <v>512Gb 3D TLC</v>
      </c>
      <c r="AX26" s="18" t="s">
        <v>87</v>
      </c>
      <c r="AY26" s="18" t="str">
        <f>AP26</f>
        <v>1Tb 3D QLC</v>
      </c>
      <c r="BA26" s="21"/>
      <c r="BB26" s="22" t="s">
        <v>136</v>
      </c>
      <c r="BC26" s="23" t="s">
        <v>137</v>
      </c>
      <c r="BD26" s="22" t="str">
        <f>BB26</f>
        <v>Spot</v>
      </c>
      <c r="BE26" s="23" t="str">
        <f t="shared" ref="BE26:BF26" si="4">BC26</f>
        <v>Contract</v>
      </c>
      <c r="BF26" s="22" t="str">
        <f t="shared" si="4"/>
        <v>Spot</v>
      </c>
      <c r="BG26" s="23" t="str">
        <f t="shared" ref="BG26" si="5">BE26</f>
        <v>Contract</v>
      </c>
      <c r="BH26" s="23" t="s">
        <v>137</v>
      </c>
      <c r="BI26" s="15" t="s">
        <v>137</v>
      </c>
      <c r="BK26" s="18" t="s">
        <v>154</v>
      </c>
      <c r="BL26" s="18" t="s">
        <v>92</v>
      </c>
      <c r="BM26" s="18" t="s">
        <v>241</v>
      </c>
      <c r="BN26" s="18" t="s">
        <v>91</v>
      </c>
      <c r="BO26" s="18" t="s">
        <v>90</v>
      </c>
      <c r="BP26" s="18" t="s">
        <v>89</v>
      </c>
      <c r="BR26" s="18" t="str">
        <f>BL26</f>
        <v>128GB TLC eMMC</v>
      </c>
      <c r="BS26" s="18" t="str">
        <f>BM26</f>
        <v>16GB MLC eMMC</v>
      </c>
      <c r="BT26" s="18" t="str">
        <f t="shared" ref="BT26:BU26" si="6">BN26</f>
        <v>128GB UFS</v>
      </c>
      <c r="BU26" s="18" t="str">
        <f t="shared" si="6"/>
        <v>256GB UFS</v>
      </c>
      <c r="BV26" s="18" t="s">
        <v>89</v>
      </c>
      <c r="BW26" s="18" t="str">
        <f>BR26</f>
        <v>128GB TLC eMMC</v>
      </c>
      <c r="BX26" s="18" t="str">
        <f>BS26</f>
        <v>16GB MLC eMMC</v>
      </c>
      <c r="BY26" s="18" t="str">
        <f>BT26</f>
        <v>128GB UFS</v>
      </c>
      <c r="BZ26" s="18" t="str">
        <f>BU26</f>
        <v>256GB UFS</v>
      </c>
      <c r="CA26" s="18" t="str">
        <f>BV26</f>
        <v>512GB UFS</v>
      </c>
      <c r="CD26" s="22" t="s">
        <v>136</v>
      </c>
      <c r="CE26" s="23" t="s">
        <v>137</v>
      </c>
      <c r="DP26" s="18" t="s">
        <v>154</v>
      </c>
      <c r="DQ26" s="18" t="s">
        <v>157</v>
      </c>
      <c r="DR26" s="18" t="s">
        <v>158</v>
      </c>
      <c r="DS26" s="18" t="s">
        <v>159</v>
      </c>
      <c r="DU26" s="24" t="s">
        <v>154</v>
      </c>
      <c r="DV26" s="24" t="s">
        <v>157</v>
      </c>
      <c r="DW26" s="24" t="s">
        <v>158</v>
      </c>
      <c r="DX26" s="24" t="s">
        <v>159</v>
      </c>
      <c r="DZ26" s="18" t="s">
        <v>154</v>
      </c>
      <c r="EA26" s="18" t="s">
        <v>157</v>
      </c>
      <c r="EB26" s="18" t="s">
        <v>158</v>
      </c>
      <c r="EC26" s="18" t="s">
        <v>159</v>
      </c>
    </row>
    <row r="27" ht="16.8" spans="1:133">
      <c r="C27" s="5" t="str" cm="1">
        <f t="array" ref="C27">_xlfn.IFS(MONTH(D27)&lt;4,1,MONTH(D27)&lt;7,2,MONTH(D27)&lt;10,3,MONTH(D27)&gt;9,4)&amp;"Q"&amp;RIGHT(YEAR(D27),2)</f>
        <v>1Q19</v>
      </c>
      <c r="D27" s="2">
        <f>EOMONTH(E27,0)</f>
        <v>43496</v>
      </c>
      <c r="E27" s="25">
        <v>43479</v>
      </c>
      <c r="F27" s="26">
        <v>2.427</v>
      </c>
      <c r="G27" s="26">
        <v>4.9</v>
      </c>
      <c r="H27" s="27"/>
      <c r="I27" s="28">
        <f>F27/256*8</f>
        <v>0.07584375</v>
      </c>
      <c r="J27" s="28">
        <f t="shared" ref="J27:J90" si="7">G27/512*8</f>
        <v>0.0765625</v>
      </c>
      <c r="K27" s="28">
        <f t="shared" ref="K27:K90" si="8">H27/1024*8</f>
        <v>0</v>
      </c>
      <c r="W27" s="5" t="str" cm="1">
        <f t="array" ref="W27">_xlfn.IFS(MONTH(X27)&lt;4,1,MONTH(X27)&lt;7,2,MONTH(X27)&lt;10,3,MONTH(X27)&gt;9,4)&amp;"Q"&amp;RIGHT(YEAR(X27),2)</f>
        <v>1Q19</v>
      </c>
      <c r="X27" s="2">
        <f>EOMONTH(Y27,0)</f>
        <v>43496</v>
      </c>
      <c r="Y27" s="25">
        <v>43472</v>
      </c>
      <c r="Z27" s="29">
        <v>49.5</v>
      </c>
      <c r="AJ27" s="5" t="str" cm="1">
        <f t="array" ref="AJ27">_xlfn.IFS(MONTH(AK27)&lt;4,1,MONTH(AK27)&lt;7,2,MONTH(AK27)&lt;10,3,MONTH(AK27)&gt;9,4)&amp;"Q"&amp;RIGHT(YEAR(AK27),2)</f>
        <v>3Q17</v>
      </c>
      <c r="AK27" s="2">
        <f>EOMONTH(AL27,0)</f>
        <v>43008</v>
      </c>
      <c r="AL27" s="25">
        <v>43008</v>
      </c>
      <c r="AM27" s="26">
        <v>9.275</v>
      </c>
      <c r="AN27" s="26"/>
      <c r="AO27" s="26"/>
      <c r="AP27" s="26"/>
      <c r="AQ27" s="27"/>
      <c r="AR27" s="30">
        <f t="shared" ref="AR27:AR90" si="9">AM27/256*8</f>
        <v>0.28984375</v>
      </c>
      <c r="AS27" s="31"/>
      <c r="AT27" s="31"/>
      <c r="AU27" s="31"/>
      <c r="AV27" s="26"/>
      <c r="AW27" s="26"/>
      <c r="AX27" s="26"/>
      <c r="AY27" s="26"/>
      <c r="BA27" s="25">
        <f>E27</f>
        <v>43479</v>
      </c>
      <c r="BB27" s="28">
        <f>F27</f>
        <v>2.427</v>
      </c>
      <c r="BC27" s="28">
        <f t="shared" ref="BC27:BC90" si="10">INDEX($AM:$AQ,MATCH($D27,$AK:$AK,0),MATCH(BB$25,$AM$26:$AQ$26,0))</f>
        <v>2.59</v>
      </c>
      <c r="BD27" s="28">
        <f>G27</f>
        <v>4.9</v>
      </c>
      <c r="BE27" s="28">
        <f t="shared" ref="BE27:BE90" si="11">INDEX($AM:$AQ,MATCH($D27,$AK:$AK,0),MATCH(BD$25,$AM$26:$AQ$26,0))</f>
        <v>5.39</v>
      </c>
      <c r="BF27" s="28"/>
      <c r="BG27" s="28"/>
      <c r="BH27" s="28"/>
      <c r="BI27" s="28"/>
      <c r="BK27" s="32" t="s">
        <v>242</v>
      </c>
      <c r="BL27" s="32"/>
      <c r="BM27" s="32"/>
      <c r="BN27" s="32">
        <v>31.4</v>
      </c>
      <c r="BO27" s="33"/>
      <c r="BP27" s="33"/>
      <c r="BR27" s="33"/>
      <c r="BS27" s="33"/>
      <c r="BT27" s="34">
        <f t="shared" ref="BT27:BT66" si="12">BN27/128</f>
        <v>0.2453125</v>
      </c>
      <c r="BU27" s="33"/>
      <c r="BV27" s="33"/>
      <c r="BW27" s="26"/>
      <c r="BX27" s="26"/>
      <c r="BY27" s="26"/>
      <c r="BZ27" s="26"/>
      <c r="CA27" s="26"/>
      <c r="CC27" s="25">
        <f t="shared" ref="CC27:CD58" si="13">Y27</f>
        <v>43472</v>
      </c>
      <c r="CD27" s="29">
        <f t="shared" si="13"/>
        <v>49.5</v>
      </c>
      <c r="CE27" s="29">
        <f>INDEX($BL$27:$BQ$89,MATCH($W27,$BK$27:$BK$89,0),MATCH(CD$25,$BL$26:$BQ$26,0))</f>
        <v>24.06</v>
      </c>
      <c r="DP27" s="35">
        <v>43514</v>
      </c>
      <c r="DQ27" s="26">
        <v>3</v>
      </c>
      <c r="DR27" s="26">
        <v>2.9</v>
      </c>
      <c r="DS27" s="26">
        <v>2.94</v>
      </c>
      <c r="DU27" s="35">
        <v>43514</v>
      </c>
      <c r="DV27" s="26">
        <v>6</v>
      </c>
      <c r="DW27" s="26">
        <v>5.7</v>
      </c>
      <c r="DX27" s="26">
        <v>5.85</v>
      </c>
      <c r="DZ27" s="35">
        <v>43514</v>
      </c>
      <c r="EA27" s="26">
        <v>11.2</v>
      </c>
      <c r="EB27" s="26">
        <v>11</v>
      </c>
      <c r="EC27" s="26">
        <v>11.1</v>
      </c>
    </row>
    <row r="28" ht="16.8" spans="1:133">
      <c r="C28" s="5" t="str" cm="1">
        <f t="array" ref="C28">_xlfn.IFS(MONTH(D28)&lt;4,1,MONTH(D28)&lt;7,2,MONTH(D28)&lt;10,3,MONTH(D28)&gt;9,4)&amp;"Q"&amp;RIGHT(YEAR(D28),2)</f>
        <v>1Q19</v>
      </c>
      <c r="D28" s="2">
        <f t="shared" ref="D28:D91" si="14">EOMONTH(E28,0)</f>
        <v>43496</v>
      </c>
      <c r="E28" s="25">
        <v>43493</v>
      </c>
      <c r="F28" s="26">
        <v>2.42</v>
      </c>
      <c r="G28" s="26">
        <v>4.89</v>
      </c>
      <c r="H28" s="27"/>
      <c r="I28" s="28">
        <f t="shared" ref="I28:I91" si="15">F28/256*8</f>
        <v>0.075625</v>
      </c>
      <c r="J28" s="28">
        <f t="shared" si="7"/>
        <v>0.07640625</v>
      </c>
      <c r="K28" s="28">
        <f t="shared" si="8"/>
        <v>0</v>
      </c>
      <c r="M28" s="36">
        <f>$F28/$F27-1</f>
        <v>-0.00288421920065929</v>
      </c>
      <c r="N28" s="36"/>
      <c r="P28" s="36">
        <f>$G28/$G27-1</f>
        <v>-0.00204081632653075</v>
      </c>
      <c r="Q28" s="36"/>
      <c r="S28" s="36"/>
      <c r="T28" s="36"/>
      <c r="U28" s="36"/>
      <c r="W28" s="5" t="str" cm="1">
        <f t="array" ref="W28">_xlfn.IFS(MONTH(X28)&lt;4,1,MONTH(X28)&lt;7,2,MONTH(X28)&lt;10,3,MONTH(X28)&gt;9,4)&amp;"Q"&amp;RIGHT(YEAR(X28),2)</f>
        <v>1Q19</v>
      </c>
      <c r="X28" s="2">
        <f t="shared" ref="X28:X91" si="16">EOMONTH(Y28,0)</f>
        <v>43496</v>
      </c>
      <c r="Y28" s="25">
        <v>43479</v>
      </c>
      <c r="Z28" s="29">
        <v>49.5</v>
      </c>
      <c r="AD28" s="36">
        <f>Z28/Z27-1</f>
        <v>0</v>
      </c>
      <c r="AJ28" s="5" t="str" cm="1">
        <f t="array" ref="AJ28">_xlfn.IFS(MONTH(AK28)&lt;4,1,MONTH(AK28)&lt;7,2,MONTH(AK28)&lt;10,3,MONTH(AK28)&gt;9,4)&amp;"Q"&amp;RIGHT(YEAR(AK28),2)</f>
        <v>4Q17</v>
      </c>
      <c r="AK28" s="2">
        <f t="shared" ref="AK28:AK91" si="17">EOMONTH(AL28,0)</f>
        <v>43039</v>
      </c>
      <c r="AL28" s="25">
        <f t="shared" ref="AL28:AL30" si="18">EOMONTH(AL27,1)</f>
        <v>43039</v>
      </c>
      <c r="AM28" s="26">
        <v>9.302</v>
      </c>
      <c r="AN28" s="26"/>
      <c r="AO28" s="26"/>
      <c r="AP28" s="26"/>
      <c r="AQ28" s="27"/>
      <c r="AR28" s="30">
        <f t="shared" si="9"/>
        <v>0.2906875</v>
      </c>
      <c r="AS28" s="31"/>
      <c r="AT28" s="31"/>
      <c r="AU28" s="31"/>
      <c r="AV28" s="37">
        <f t="shared" ref="AV28:AW43" si="19">AR28/AR27-1</f>
        <v>0.002911051212938</v>
      </c>
      <c r="AW28" s="26"/>
      <c r="AX28" s="26"/>
      <c r="AY28" s="26"/>
      <c r="BA28" s="25">
        <f t="shared" ref="BA28:BB43" si="20">E28</f>
        <v>43493</v>
      </c>
      <c r="BB28" s="28">
        <f t="shared" si="20"/>
        <v>2.42</v>
      </c>
      <c r="BC28" s="28">
        <f t="shared" si="10"/>
        <v>2.59</v>
      </c>
      <c r="BD28" s="28">
        <f t="shared" ref="BD28:BD91" si="21">G28</f>
        <v>4.89</v>
      </c>
      <c r="BE28" s="28">
        <f t="shared" si="11"/>
        <v>5.39</v>
      </c>
      <c r="BF28" s="28"/>
      <c r="BG28" s="28"/>
      <c r="BH28" s="28"/>
      <c r="BI28" s="28"/>
      <c r="BK28" s="32" t="s">
        <v>243</v>
      </c>
      <c r="BL28" s="32"/>
      <c r="BM28" s="32"/>
      <c r="BN28" s="32">
        <v>35.4</v>
      </c>
      <c r="BO28" s="33"/>
      <c r="BP28" s="33"/>
      <c r="BR28" s="33"/>
      <c r="BS28" s="33"/>
      <c r="BT28" s="34">
        <f t="shared" si="12"/>
        <v>0.2765625</v>
      </c>
      <c r="BU28" s="33"/>
      <c r="BV28" s="33"/>
      <c r="BW28" s="37"/>
      <c r="BX28" s="37"/>
      <c r="BY28" s="37">
        <f t="shared" ref="BY28:CA48" si="22">BT28/BT27-1</f>
        <v>0.127388535031847</v>
      </c>
      <c r="BZ28" s="37"/>
      <c r="CA28" s="37"/>
      <c r="CC28" s="25">
        <f t="shared" si="13"/>
        <v>43479</v>
      </c>
      <c r="CD28" s="29">
        <f t="shared" si="13"/>
        <v>49.5</v>
      </c>
      <c r="CE28" s="29">
        <f t="shared" ref="CE28:CE91" si="23">INDEX($BL$27:$BQ$89,MATCH($W28,$BK$27:$BK$89,0),MATCH(CD$25,$BL$26:$BQ$26,0))</f>
        <v>24.06</v>
      </c>
      <c r="DP28" s="35">
        <v>43515</v>
      </c>
      <c r="DQ28" s="26">
        <v>3</v>
      </c>
      <c r="DR28" s="26">
        <v>2.9</v>
      </c>
      <c r="DS28" s="26">
        <v>2.94</v>
      </c>
      <c r="DU28" s="35">
        <v>43515</v>
      </c>
      <c r="DV28" s="26">
        <v>6</v>
      </c>
      <c r="DW28" s="26">
        <v>5.7</v>
      </c>
      <c r="DX28" s="26">
        <v>5.84</v>
      </c>
      <c r="DZ28" s="35">
        <v>43515</v>
      </c>
      <c r="EA28" s="26">
        <v>11.2</v>
      </c>
      <c r="EB28" s="26">
        <v>11</v>
      </c>
      <c r="EC28" s="26">
        <v>11.1</v>
      </c>
    </row>
    <row r="29" ht="16.8" spans="1:133">
      <c r="C29" s="5" t="str" cm="1">
        <f t="array" ref="C29">_xlfn.IFS(MONTH(D29)&lt;4,1,MONTH(D29)&lt;7,2,MONTH(D29)&lt;10,3,MONTH(D29)&gt;9,4)&amp;"Q"&amp;RIGHT(YEAR(D29),2)</f>
        <v>1Q19</v>
      </c>
      <c r="D29" s="2">
        <f t="shared" si="14"/>
        <v>43524</v>
      </c>
      <c r="E29" s="25">
        <v>43507</v>
      </c>
      <c r="F29" s="26">
        <v>2.412</v>
      </c>
      <c r="G29" s="26">
        <v>4.865</v>
      </c>
      <c r="H29" s="27"/>
      <c r="I29" s="28">
        <f t="shared" si="15"/>
        <v>0.075375</v>
      </c>
      <c r="J29" s="28">
        <f t="shared" si="7"/>
        <v>0.076015625</v>
      </c>
      <c r="K29" s="28">
        <f t="shared" si="8"/>
        <v>0</v>
      </c>
      <c r="M29" s="36">
        <f t="shared" ref="M29:M92" si="24">$F29/$F28-1</f>
        <v>-0.00330578512396695</v>
      </c>
      <c r="N29" s="36">
        <f>$F29/$F27-1</f>
        <v>-0.00618046971569841</v>
      </c>
      <c r="P29" s="36">
        <f>$G29/$G28-1</f>
        <v>-0.00511247443762775</v>
      </c>
      <c r="Q29" s="36">
        <f>$G29/$G27-1</f>
        <v>-0.00714285714285712</v>
      </c>
      <c r="S29" s="36"/>
      <c r="T29" s="36"/>
      <c r="U29" s="36"/>
      <c r="W29" s="5" t="str" cm="1">
        <f t="array" ref="W29">_xlfn.IFS(MONTH(X29)&lt;4,1,MONTH(X29)&lt;7,2,MONTH(X29)&lt;10,3,MONTH(X29)&gt;9,4)&amp;"Q"&amp;RIGHT(YEAR(X29),2)</f>
        <v>1Q19</v>
      </c>
      <c r="X29" s="2">
        <f t="shared" si="16"/>
        <v>43496</v>
      </c>
      <c r="Y29" s="25">
        <v>43486</v>
      </c>
      <c r="Z29" s="29">
        <v>50.5</v>
      </c>
      <c r="AD29" s="36">
        <f t="shared" ref="AD29:AD92" si="25">Z29/Z28-1</f>
        <v>0.0202020202020201</v>
      </c>
      <c r="AE29" s="36">
        <f>Z29/Z27-1</f>
        <v>0.0202020202020201</v>
      </c>
      <c r="AF29" s="36"/>
      <c r="AJ29" s="5" t="str" cm="1">
        <f t="array" ref="AJ29">_xlfn.IFS(MONTH(AK29)&lt;4,1,MONTH(AK29)&lt;7,2,MONTH(AK29)&lt;10,3,MONTH(AK29)&gt;9,4)&amp;"Q"&amp;RIGHT(YEAR(AK29),2)</f>
        <v>4Q17</v>
      </c>
      <c r="AK29" s="2">
        <f t="shared" si="17"/>
        <v>43069</v>
      </c>
      <c r="AL29" s="25">
        <f t="shared" si="18"/>
        <v>43069</v>
      </c>
      <c r="AM29" s="26">
        <v>9.19</v>
      </c>
      <c r="AN29" s="26"/>
      <c r="AO29" s="26"/>
      <c r="AP29" s="26"/>
      <c r="AQ29" s="27"/>
      <c r="AR29" s="30">
        <f t="shared" si="9"/>
        <v>0.2871875</v>
      </c>
      <c r="AS29" s="31"/>
      <c r="AT29" s="31"/>
      <c r="AU29" s="31"/>
      <c r="AV29" s="37">
        <f t="shared" si="19"/>
        <v>-0.0120404214147495</v>
      </c>
      <c r="AW29" s="26"/>
      <c r="AX29" s="26"/>
      <c r="AY29" s="26"/>
      <c r="BA29" s="25">
        <f t="shared" si="20"/>
        <v>43507</v>
      </c>
      <c r="BB29" s="28">
        <f t="shared" si="20"/>
        <v>2.412</v>
      </c>
      <c r="BC29" s="28">
        <f t="shared" si="10"/>
        <v>2.44</v>
      </c>
      <c r="BD29" s="28">
        <f t="shared" si="21"/>
        <v>4.865</v>
      </c>
      <c r="BE29" s="28">
        <f t="shared" si="11"/>
        <v>4.86</v>
      </c>
      <c r="BF29" s="28"/>
      <c r="BG29" s="28"/>
      <c r="BH29" s="28"/>
      <c r="BI29" s="28"/>
      <c r="BK29" s="32" t="s">
        <v>244</v>
      </c>
      <c r="BL29" s="32"/>
      <c r="BM29" s="32"/>
      <c r="BN29" s="32">
        <v>42.1</v>
      </c>
      <c r="BO29" s="33"/>
      <c r="BP29" s="33"/>
      <c r="BR29" s="33"/>
      <c r="BS29" s="33"/>
      <c r="BT29" s="34">
        <f t="shared" si="12"/>
        <v>0.32890625</v>
      </c>
      <c r="BU29" s="33"/>
      <c r="BV29" s="33"/>
      <c r="BW29" s="37"/>
      <c r="BX29" s="37"/>
      <c r="BY29" s="37">
        <f t="shared" si="22"/>
        <v>0.189265536723164</v>
      </c>
      <c r="BZ29" s="37"/>
      <c r="CA29" s="37"/>
      <c r="CC29" s="25">
        <f t="shared" si="13"/>
        <v>43486</v>
      </c>
      <c r="CD29" s="29">
        <f t="shared" si="13"/>
        <v>50.5</v>
      </c>
      <c r="CE29" s="29">
        <f t="shared" si="23"/>
        <v>24.06</v>
      </c>
      <c r="DP29" s="35">
        <v>43516</v>
      </c>
      <c r="DQ29" s="26">
        <v>3</v>
      </c>
      <c r="DR29" s="26">
        <v>2.9</v>
      </c>
      <c r="DS29" s="26">
        <v>2.94</v>
      </c>
      <c r="DU29" s="35">
        <v>43516</v>
      </c>
      <c r="DV29" s="26">
        <v>5.95</v>
      </c>
      <c r="DW29" s="26">
        <v>5.7</v>
      </c>
      <c r="DX29" s="26">
        <v>5.825</v>
      </c>
      <c r="DZ29" s="35">
        <v>43516</v>
      </c>
      <c r="EA29" s="26">
        <v>11.2</v>
      </c>
      <c r="EB29" s="26">
        <v>11</v>
      </c>
      <c r="EC29" s="26">
        <v>11.1</v>
      </c>
    </row>
    <row r="30" ht="16.8" spans="1:133">
      <c r="C30" s="5" t="str" cm="1">
        <f t="array" ref="C30">_xlfn.IFS(MONTH(D30)&lt;4,1,MONTH(D30)&lt;7,2,MONTH(D30)&lt;10,3,MONTH(D30)&gt;9,4)&amp;"Q"&amp;RIGHT(YEAR(D30),2)</f>
        <v>1Q19</v>
      </c>
      <c r="D30" s="2">
        <f t="shared" si="14"/>
        <v>43524</v>
      </c>
      <c r="E30" s="25">
        <v>43514</v>
      </c>
      <c r="F30" s="26">
        <v>2.405</v>
      </c>
      <c r="G30" s="26">
        <v>4.86</v>
      </c>
      <c r="H30" s="27"/>
      <c r="I30" s="28">
        <f t="shared" si="15"/>
        <v>0.07515625</v>
      </c>
      <c r="J30" s="28">
        <f t="shared" si="7"/>
        <v>0.0759375</v>
      </c>
      <c r="K30" s="28">
        <f t="shared" si="8"/>
        <v>0</v>
      </c>
      <c r="M30" s="36">
        <f t="shared" si="24"/>
        <v>-0.00290215588723053</v>
      </c>
      <c r="N30" s="36">
        <f>$F30/$F28-1</f>
        <v>-0.00619834710743805</v>
      </c>
      <c r="O30" s="36">
        <f>$F30/$F27-1</f>
        <v>-0.0090646889163577</v>
      </c>
      <c r="P30" s="36">
        <f>$G30/$G29-1</f>
        <v>-0.00102774922918802</v>
      </c>
      <c r="Q30" s="36">
        <f>$G30/$G28-1</f>
        <v>-0.00613496932515323</v>
      </c>
      <c r="R30" s="36">
        <f>$G30/$G27-1</f>
        <v>-0.00816326530612244</v>
      </c>
      <c r="S30" s="36"/>
      <c r="T30" s="36"/>
      <c r="U30" s="36"/>
      <c r="W30" s="5" t="str" cm="1">
        <f t="array" ref="W30">_xlfn.IFS(MONTH(X30)&lt;4,1,MONTH(X30)&lt;7,2,MONTH(X30)&lt;10,3,MONTH(X30)&gt;9,4)&amp;"Q"&amp;RIGHT(YEAR(X30),2)</f>
        <v>1Q19</v>
      </c>
      <c r="X30" s="2">
        <f t="shared" si="16"/>
        <v>43496</v>
      </c>
      <c r="Y30" s="25">
        <v>43493</v>
      </c>
      <c r="Z30" s="29">
        <v>51</v>
      </c>
      <c r="AD30" s="36">
        <f t="shared" si="25"/>
        <v>0.00990099009900991</v>
      </c>
      <c r="AE30" s="36">
        <f>Z30/Z28-1</f>
        <v>0.0303030303030303</v>
      </c>
      <c r="AF30" s="36">
        <f>Z30/Z27-1</f>
        <v>0.0303030303030303</v>
      </c>
      <c r="AJ30" s="5" t="str" cm="1">
        <f t="array" ref="AJ30">_xlfn.IFS(MONTH(AK30)&lt;4,1,MONTH(AK30)&lt;7,2,MONTH(AK30)&lt;10,3,MONTH(AK30)&gt;9,4)&amp;"Q"&amp;RIGHT(YEAR(AK30),2)</f>
        <v>4Q17</v>
      </c>
      <c r="AK30" s="2">
        <f t="shared" si="17"/>
        <v>43100</v>
      </c>
      <c r="AL30" s="25">
        <f t="shared" si="18"/>
        <v>43100</v>
      </c>
      <c r="AM30" s="26">
        <v>8.87</v>
      </c>
      <c r="AN30" s="26"/>
      <c r="AO30" s="26"/>
      <c r="AP30" s="26"/>
      <c r="AQ30" s="27"/>
      <c r="AR30" s="30">
        <f t="shared" si="9"/>
        <v>0.2771875</v>
      </c>
      <c r="AS30" s="31"/>
      <c r="AT30" s="31"/>
      <c r="AU30" s="31"/>
      <c r="AV30" s="37">
        <f t="shared" si="19"/>
        <v>-0.0348204570184985</v>
      </c>
      <c r="AW30" s="26"/>
      <c r="AX30" s="26"/>
      <c r="AY30" s="26"/>
      <c r="BA30" s="25">
        <f t="shared" si="20"/>
        <v>43514</v>
      </c>
      <c r="BB30" s="28">
        <f t="shared" si="20"/>
        <v>2.405</v>
      </c>
      <c r="BC30" s="28">
        <f t="shared" si="10"/>
        <v>2.44</v>
      </c>
      <c r="BD30" s="28">
        <f t="shared" si="21"/>
        <v>4.86</v>
      </c>
      <c r="BE30" s="28">
        <f t="shared" si="11"/>
        <v>4.86</v>
      </c>
      <c r="BF30" s="28"/>
      <c r="BG30" s="28"/>
      <c r="BH30" s="28"/>
      <c r="BI30" s="28"/>
      <c r="BK30" s="32" t="s">
        <v>245</v>
      </c>
      <c r="BL30" s="32">
        <v>41</v>
      </c>
      <c r="BM30" s="32">
        <v>5.76</v>
      </c>
      <c r="BN30" s="32">
        <v>42.2</v>
      </c>
      <c r="BO30" s="33"/>
      <c r="BP30" s="33"/>
      <c r="BR30" s="38">
        <f t="shared" ref="BR30:BR66" si="26">BL30/128</f>
        <v>0.3203125</v>
      </c>
      <c r="BS30" s="38">
        <f t="shared" ref="BS30:BS66" si="27">BM30/16</f>
        <v>0.36</v>
      </c>
      <c r="BT30" s="38">
        <f t="shared" si="12"/>
        <v>0.3296875</v>
      </c>
      <c r="BU30" s="39"/>
      <c r="BV30" s="39"/>
      <c r="BW30" s="37"/>
      <c r="BX30" s="37"/>
      <c r="BY30" s="37">
        <f t="shared" si="22"/>
        <v>0.00237529691211402</v>
      </c>
      <c r="BZ30" s="37"/>
      <c r="CA30" s="37"/>
      <c r="CC30" s="25">
        <f t="shared" si="13"/>
        <v>43493</v>
      </c>
      <c r="CD30" s="29">
        <f t="shared" si="13"/>
        <v>51</v>
      </c>
      <c r="CE30" s="29">
        <f t="shared" si="23"/>
        <v>24.06</v>
      </c>
      <c r="DP30" s="35">
        <v>43517</v>
      </c>
      <c r="DQ30" s="26">
        <v>3</v>
      </c>
      <c r="DR30" s="26">
        <v>2.9</v>
      </c>
      <c r="DS30" s="26">
        <v>2.94</v>
      </c>
      <c r="DU30" s="35">
        <v>43517</v>
      </c>
      <c r="DV30" s="26">
        <v>5.95</v>
      </c>
      <c r="DW30" s="26">
        <v>5.7</v>
      </c>
      <c r="DX30" s="26">
        <v>5.815</v>
      </c>
      <c r="DZ30" s="35">
        <v>43517</v>
      </c>
      <c r="EA30" s="26">
        <v>11.2</v>
      </c>
      <c r="EB30" s="26">
        <v>11</v>
      </c>
      <c r="EC30" s="26">
        <v>11.1</v>
      </c>
    </row>
    <row r="31" ht="16.8" spans="1:133">
      <c r="C31" s="5" t="str" cm="1">
        <f t="array" ref="C31">_xlfn.IFS(MONTH(D31)&lt;4,1,MONTH(D31)&lt;7,2,MONTH(D31)&lt;10,3,MONTH(D31)&gt;9,4)&amp;"Q"&amp;RIGHT(YEAR(D31),2)</f>
        <v>1Q19</v>
      </c>
      <c r="D31" s="2">
        <f t="shared" si="14"/>
        <v>43524</v>
      </c>
      <c r="E31" s="25">
        <v>43521</v>
      </c>
      <c r="F31" s="26">
        <v>2.379</v>
      </c>
      <c r="G31" s="26">
        <v>4.798</v>
      </c>
      <c r="H31" s="27"/>
      <c r="I31" s="28">
        <f t="shared" si="15"/>
        <v>0.07434375</v>
      </c>
      <c r="J31" s="28">
        <f t="shared" si="7"/>
        <v>0.07496875</v>
      </c>
      <c r="K31" s="28">
        <f t="shared" si="8"/>
        <v>0</v>
      </c>
      <c r="M31" s="36">
        <f t="shared" si="24"/>
        <v>-0.0108108108108107</v>
      </c>
      <c r="N31" s="36">
        <f t="shared" ref="N31:N94" si="28">$F31/$F29-1</f>
        <v>-0.013681592039801</v>
      </c>
      <c r="O31" s="36">
        <f t="shared" ref="O31:O94" si="29">$F31/$F28-1</f>
        <v>-0.0169421487603305</v>
      </c>
      <c r="P31" s="36">
        <f t="shared" ref="P31:P94" si="30">$G31/$G30-1</f>
        <v>-0.0127572016460906</v>
      </c>
      <c r="Q31" s="36">
        <f t="shared" ref="Q31:Q94" si="31">$G31/$G29-1</f>
        <v>-0.0137718396711203</v>
      </c>
      <c r="R31" s="36">
        <f t="shared" ref="R31:R94" si="32">$G31/$G28-1</f>
        <v>-0.0188139059304703</v>
      </c>
      <c r="S31" s="36"/>
      <c r="T31" s="36"/>
      <c r="U31" s="36"/>
      <c r="W31" s="5" t="str" cm="1">
        <f t="array" ref="W31">_xlfn.IFS(MONTH(X31)&lt;4,1,MONTH(X31)&lt;7,2,MONTH(X31)&lt;10,3,MONTH(X31)&gt;9,4)&amp;"Q"&amp;RIGHT(YEAR(X31),2)</f>
        <v>1Q19</v>
      </c>
      <c r="X31" s="2">
        <f t="shared" si="16"/>
        <v>43524</v>
      </c>
      <c r="Y31" s="25">
        <v>43497</v>
      </c>
      <c r="Z31" s="29">
        <v>51</v>
      </c>
      <c r="AD31" s="36">
        <f t="shared" si="25"/>
        <v>0</v>
      </c>
      <c r="AE31" s="36">
        <f t="shared" ref="AE31:AE94" si="33">Z31/Z29-1</f>
        <v>0.00990099009900991</v>
      </c>
      <c r="AF31" s="36">
        <f t="shared" ref="AF31:AF94" si="34">Z31/Z28-1</f>
        <v>0.0303030303030303</v>
      </c>
      <c r="AJ31" s="5" t="str" cm="1">
        <f t="array" ref="AJ31">_xlfn.IFS(MONTH(AK31)&lt;4,1,MONTH(AK31)&lt;7,2,MONTH(AK31)&lt;10,3,MONTH(AK31)&gt;9,4)&amp;"Q"&amp;RIGHT(YEAR(AK31),2)</f>
        <v>1Q18</v>
      </c>
      <c r="AK31" s="2">
        <f t="shared" si="17"/>
        <v>43131</v>
      </c>
      <c r="AL31" s="25">
        <f t="shared" ref="AL31:AL94" si="35">EOMONTH(AL30,1)</f>
        <v>43131</v>
      </c>
      <c r="AM31" s="26">
        <v>7.83</v>
      </c>
      <c r="AN31" s="26"/>
      <c r="AO31" s="26"/>
      <c r="AP31" s="26"/>
      <c r="AQ31" s="27"/>
      <c r="AR31" s="30">
        <f t="shared" si="9"/>
        <v>0.2446875</v>
      </c>
      <c r="AS31" s="31"/>
      <c r="AT31" s="31"/>
      <c r="AU31" s="31"/>
      <c r="AV31" s="37">
        <f t="shared" si="19"/>
        <v>-0.117249154453213</v>
      </c>
      <c r="AW31" s="26"/>
      <c r="AX31" s="26"/>
      <c r="AY31" s="26"/>
      <c r="BA31" s="25">
        <f t="shared" si="20"/>
        <v>43521</v>
      </c>
      <c r="BB31" s="28">
        <f t="shared" si="20"/>
        <v>2.379</v>
      </c>
      <c r="BC31" s="28">
        <f t="shared" si="10"/>
        <v>2.44</v>
      </c>
      <c r="BD31" s="28">
        <f t="shared" si="21"/>
        <v>4.798</v>
      </c>
      <c r="BE31" s="28">
        <f t="shared" si="11"/>
        <v>4.86</v>
      </c>
      <c r="BF31" s="28"/>
      <c r="BG31" s="28"/>
      <c r="BH31" s="28"/>
      <c r="BI31" s="28"/>
      <c r="BK31" s="32" t="s">
        <v>194</v>
      </c>
      <c r="BL31" s="32">
        <v>41</v>
      </c>
      <c r="BM31" s="32">
        <v>5.86</v>
      </c>
      <c r="BN31" s="32">
        <v>42.2</v>
      </c>
      <c r="BO31" s="33"/>
      <c r="BP31" s="33"/>
      <c r="BR31" s="38">
        <f t="shared" si="26"/>
        <v>0.3203125</v>
      </c>
      <c r="BS31" s="38">
        <f t="shared" si="27"/>
        <v>0.36625</v>
      </c>
      <c r="BT31" s="38">
        <f t="shared" si="12"/>
        <v>0.3296875</v>
      </c>
      <c r="BU31" s="39"/>
      <c r="BV31" s="39"/>
      <c r="BW31" s="37">
        <f t="shared" ref="BW31:BX48" si="36">BR31/BR30-1</f>
        <v>0</v>
      </c>
      <c r="BX31" s="37">
        <f t="shared" si="36"/>
        <v>0.0173611111111112</v>
      </c>
      <c r="BY31" s="37">
        <f t="shared" si="22"/>
        <v>0</v>
      </c>
      <c r="BZ31" s="37"/>
      <c r="CA31" s="37"/>
      <c r="CC31" s="25">
        <f t="shared" si="13"/>
        <v>43497</v>
      </c>
      <c r="CD31" s="29">
        <f t="shared" si="13"/>
        <v>51</v>
      </c>
      <c r="CE31" s="29">
        <f t="shared" si="23"/>
        <v>24.06</v>
      </c>
      <c r="DP31" s="35">
        <v>43518</v>
      </c>
      <c r="DQ31" s="26">
        <v>3</v>
      </c>
      <c r="DR31" s="26">
        <v>2.9</v>
      </c>
      <c r="DS31" s="26">
        <v>2.94</v>
      </c>
      <c r="DU31" s="35">
        <v>43518</v>
      </c>
      <c r="DV31" s="26">
        <v>5.95</v>
      </c>
      <c r="DW31" s="26">
        <v>5.7</v>
      </c>
      <c r="DX31" s="26">
        <v>5.815</v>
      </c>
      <c r="DZ31" s="35">
        <v>43518</v>
      </c>
      <c r="EA31" s="26">
        <v>11.2</v>
      </c>
      <c r="EB31" s="26">
        <v>11</v>
      </c>
      <c r="EC31" s="26">
        <v>11.1</v>
      </c>
    </row>
    <row r="32" ht="16.8" spans="1:133">
      <c r="C32" s="5" t="str" cm="1">
        <f t="array" ref="C32">_xlfn.IFS(MONTH(D32)&lt;4,1,MONTH(D32)&lt;7,2,MONTH(D32)&lt;10,3,MONTH(D32)&gt;9,4)&amp;"Q"&amp;RIGHT(YEAR(D32),2)</f>
        <v>1Q19</v>
      </c>
      <c r="D32" s="2">
        <f t="shared" si="14"/>
        <v>43555</v>
      </c>
      <c r="E32" s="25">
        <v>43528</v>
      </c>
      <c r="F32" s="26">
        <v>2.368</v>
      </c>
      <c r="G32" s="26">
        <v>4.778</v>
      </c>
      <c r="H32" s="27"/>
      <c r="I32" s="28">
        <f t="shared" si="15"/>
        <v>0.074</v>
      </c>
      <c r="J32" s="28">
        <f t="shared" si="7"/>
        <v>0.07465625</v>
      </c>
      <c r="K32" s="28">
        <f t="shared" si="8"/>
        <v>0</v>
      </c>
      <c r="M32" s="36">
        <f t="shared" si="24"/>
        <v>-0.00462379150903747</v>
      </c>
      <c r="N32" s="36">
        <f t="shared" si="28"/>
        <v>-0.0153846153846153</v>
      </c>
      <c r="O32" s="36">
        <f t="shared" si="29"/>
        <v>-0.0182421227197347</v>
      </c>
      <c r="P32" s="36">
        <f t="shared" si="30"/>
        <v>-0.00416840350145908</v>
      </c>
      <c r="Q32" s="36">
        <f t="shared" si="31"/>
        <v>-0.0168724279835393</v>
      </c>
      <c r="R32" s="36">
        <f t="shared" si="32"/>
        <v>-0.0178828365878727</v>
      </c>
      <c r="S32" s="36"/>
      <c r="T32" s="36"/>
      <c r="U32" s="36"/>
      <c r="W32" s="5" t="str" cm="1">
        <f t="array" ref="W32">_xlfn.IFS(MONTH(X32)&lt;4,1,MONTH(X32)&lt;7,2,MONTH(X32)&lt;10,3,MONTH(X32)&gt;9,4)&amp;"Q"&amp;RIGHT(YEAR(X32),2)</f>
        <v>1Q19</v>
      </c>
      <c r="X32" s="2">
        <f t="shared" si="16"/>
        <v>43524</v>
      </c>
      <c r="Y32" s="25">
        <v>43507</v>
      </c>
      <c r="Z32" s="29">
        <v>51</v>
      </c>
      <c r="AD32" s="36">
        <f t="shared" si="25"/>
        <v>0</v>
      </c>
      <c r="AE32" s="36">
        <f t="shared" si="33"/>
        <v>0</v>
      </c>
      <c r="AF32" s="36">
        <f t="shared" si="34"/>
        <v>0.00990099009900991</v>
      </c>
      <c r="AJ32" s="5" t="str" cm="1">
        <f t="array" ref="AJ32">_xlfn.IFS(MONTH(AK32)&lt;4,1,MONTH(AK32)&lt;7,2,MONTH(AK32)&lt;10,3,MONTH(AK32)&gt;9,4)&amp;"Q"&amp;RIGHT(YEAR(AK32),2)</f>
        <v>1Q18</v>
      </c>
      <c r="AK32" s="2">
        <f t="shared" si="17"/>
        <v>43159</v>
      </c>
      <c r="AL32" s="25">
        <f t="shared" si="35"/>
        <v>43159</v>
      </c>
      <c r="AM32" s="26">
        <v>7.33</v>
      </c>
      <c r="AN32" s="26"/>
      <c r="AO32" s="26"/>
      <c r="AP32" s="26"/>
      <c r="AQ32" s="27"/>
      <c r="AR32" s="30">
        <f t="shared" si="9"/>
        <v>0.2290625</v>
      </c>
      <c r="AS32" s="31"/>
      <c r="AT32" s="31"/>
      <c r="AU32" s="31"/>
      <c r="AV32" s="37">
        <f t="shared" si="19"/>
        <v>-0.0638569604086845</v>
      </c>
      <c r="AW32" s="26"/>
      <c r="AX32" s="26"/>
      <c r="AY32" s="26"/>
      <c r="BA32" s="25">
        <f t="shared" si="20"/>
        <v>43528</v>
      </c>
      <c r="BB32" s="28">
        <f t="shared" si="20"/>
        <v>2.368</v>
      </c>
      <c r="BC32" s="28">
        <f t="shared" si="10"/>
        <v>2.19</v>
      </c>
      <c r="BD32" s="28">
        <f t="shared" si="21"/>
        <v>4.778</v>
      </c>
      <c r="BE32" s="28">
        <f t="shared" si="11"/>
        <v>4.37</v>
      </c>
      <c r="BF32" s="28"/>
      <c r="BG32" s="28"/>
      <c r="BH32" s="28"/>
      <c r="BI32" s="28"/>
      <c r="BK32" s="32" t="s">
        <v>195</v>
      </c>
      <c r="BL32" s="32">
        <v>41</v>
      </c>
      <c r="BM32" s="32">
        <v>6.02</v>
      </c>
      <c r="BN32" s="32">
        <v>43.2</v>
      </c>
      <c r="BO32" s="33"/>
      <c r="BP32" s="33"/>
      <c r="BR32" s="38">
        <f t="shared" si="26"/>
        <v>0.3203125</v>
      </c>
      <c r="BS32" s="38">
        <f t="shared" si="27"/>
        <v>0.37625</v>
      </c>
      <c r="BT32" s="38">
        <f t="shared" si="12"/>
        <v>0.3375</v>
      </c>
      <c r="BU32" s="39"/>
      <c r="BV32" s="39"/>
      <c r="BW32" s="37">
        <f t="shared" si="36"/>
        <v>0</v>
      </c>
      <c r="BX32" s="37">
        <f t="shared" si="36"/>
        <v>0.0273037542662116</v>
      </c>
      <c r="BY32" s="37">
        <f t="shared" si="22"/>
        <v>0.0236966824644549</v>
      </c>
      <c r="BZ32" s="37"/>
      <c r="CA32" s="37"/>
      <c r="CC32" s="25">
        <f t="shared" si="13"/>
        <v>43507</v>
      </c>
      <c r="CD32" s="29">
        <f t="shared" si="13"/>
        <v>51</v>
      </c>
      <c r="CE32" s="29">
        <f t="shared" si="23"/>
        <v>24.06</v>
      </c>
      <c r="DP32" s="35">
        <v>43521</v>
      </c>
      <c r="DQ32" s="26">
        <v>3</v>
      </c>
      <c r="DR32" s="26">
        <v>2.9</v>
      </c>
      <c r="DS32" s="26">
        <v>2.935</v>
      </c>
      <c r="DU32" s="35">
        <v>43521</v>
      </c>
      <c r="DV32" s="26">
        <v>5.95</v>
      </c>
      <c r="DW32" s="26">
        <v>5.7</v>
      </c>
      <c r="DX32" s="26">
        <v>5.815</v>
      </c>
      <c r="DZ32" s="35">
        <v>43521</v>
      </c>
      <c r="EA32" s="26">
        <v>11.2</v>
      </c>
      <c r="EB32" s="26">
        <v>11</v>
      </c>
      <c r="EC32" s="26">
        <v>11.1</v>
      </c>
    </row>
    <row r="33" ht="16.8" spans="3:133">
      <c r="C33" s="5" t="str" cm="1">
        <f t="array" ref="C33">_xlfn.IFS(MONTH(D33)&lt;4,1,MONTH(D33)&lt;7,2,MONTH(D33)&lt;10,3,MONTH(D33)&gt;9,4)&amp;"Q"&amp;RIGHT(YEAR(D33),2)</f>
        <v>1Q19</v>
      </c>
      <c r="D33" s="2">
        <f t="shared" si="14"/>
        <v>43555</v>
      </c>
      <c r="E33" s="25">
        <v>43535</v>
      </c>
      <c r="F33" s="26">
        <v>2.333</v>
      </c>
      <c r="G33" s="26">
        <v>4.768</v>
      </c>
      <c r="H33" s="27"/>
      <c r="I33" s="28">
        <f t="shared" si="15"/>
        <v>0.07290625</v>
      </c>
      <c r="J33" s="28">
        <f t="shared" si="7"/>
        <v>0.0745</v>
      </c>
      <c r="K33" s="28">
        <f t="shared" si="8"/>
        <v>0</v>
      </c>
      <c r="M33" s="36">
        <f t="shared" si="24"/>
        <v>-0.0147804054054053</v>
      </c>
      <c r="N33" s="36">
        <f t="shared" si="28"/>
        <v>-0.0193358554014291</v>
      </c>
      <c r="O33" s="36">
        <f t="shared" si="29"/>
        <v>-0.0299376299376298</v>
      </c>
      <c r="P33" s="36">
        <f t="shared" si="30"/>
        <v>-0.00209292591042276</v>
      </c>
      <c r="Q33" s="36">
        <f t="shared" si="31"/>
        <v>-0.00625260525218851</v>
      </c>
      <c r="R33" s="36">
        <f t="shared" si="32"/>
        <v>-0.0189300411522635</v>
      </c>
      <c r="S33" s="36"/>
      <c r="T33" s="36"/>
      <c r="U33" s="36"/>
      <c r="W33" s="5" t="str" cm="1">
        <f t="array" ref="W33">_xlfn.IFS(MONTH(X33)&lt;4,1,MONTH(X33)&lt;7,2,MONTH(X33)&lt;10,3,MONTH(X33)&gt;9,4)&amp;"Q"&amp;RIGHT(YEAR(X33),2)</f>
        <v>1Q19</v>
      </c>
      <c r="X33" s="2">
        <f t="shared" si="16"/>
        <v>43524</v>
      </c>
      <c r="Y33" s="25">
        <v>43514</v>
      </c>
      <c r="Z33" s="29">
        <v>51</v>
      </c>
      <c r="AD33" s="36">
        <f t="shared" si="25"/>
        <v>0</v>
      </c>
      <c r="AE33" s="36">
        <f t="shared" si="33"/>
        <v>0</v>
      </c>
      <c r="AF33" s="36">
        <f t="shared" si="34"/>
        <v>0</v>
      </c>
      <c r="AJ33" s="5" t="str" cm="1">
        <f t="array" ref="AJ33">_xlfn.IFS(MONTH(AK33)&lt;4,1,MONTH(AK33)&lt;7,2,MONTH(AK33)&lt;10,3,MONTH(AK33)&gt;9,4)&amp;"Q"&amp;RIGHT(YEAR(AK33),2)</f>
        <v>1Q18</v>
      </c>
      <c r="AK33" s="2">
        <f t="shared" si="17"/>
        <v>43190</v>
      </c>
      <c r="AL33" s="25">
        <f t="shared" si="35"/>
        <v>43190</v>
      </c>
      <c r="AM33" s="26">
        <v>6.85</v>
      </c>
      <c r="AN33" s="26"/>
      <c r="AO33" s="26"/>
      <c r="AP33" s="26"/>
      <c r="AQ33" s="27"/>
      <c r="AR33" s="30">
        <f t="shared" si="9"/>
        <v>0.2140625</v>
      </c>
      <c r="AS33" s="31"/>
      <c r="AT33" s="31"/>
      <c r="AU33" s="31"/>
      <c r="AV33" s="37">
        <f t="shared" si="19"/>
        <v>-0.0654843110504776</v>
      </c>
      <c r="AW33" s="26"/>
      <c r="AX33" s="26"/>
      <c r="AY33" s="26"/>
      <c r="BA33" s="25">
        <f t="shared" si="20"/>
        <v>43535</v>
      </c>
      <c r="BB33" s="28">
        <f t="shared" si="20"/>
        <v>2.333</v>
      </c>
      <c r="BC33" s="28">
        <f t="shared" si="10"/>
        <v>2.19</v>
      </c>
      <c r="BD33" s="28">
        <f t="shared" si="21"/>
        <v>4.768</v>
      </c>
      <c r="BE33" s="28">
        <f t="shared" si="11"/>
        <v>4.37</v>
      </c>
      <c r="BF33" s="28"/>
      <c r="BG33" s="28"/>
      <c r="BH33" s="28"/>
      <c r="BI33" s="28"/>
      <c r="BK33" s="32" t="s">
        <v>196</v>
      </c>
      <c r="BL33" s="32">
        <v>39.7</v>
      </c>
      <c r="BM33" s="32">
        <v>6.06</v>
      </c>
      <c r="BN33" s="32">
        <v>42</v>
      </c>
      <c r="BO33" s="33"/>
      <c r="BP33" s="33"/>
      <c r="BR33" s="38">
        <f t="shared" si="26"/>
        <v>0.31015625</v>
      </c>
      <c r="BS33" s="38">
        <f t="shared" si="27"/>
        <v>0.37875</v>
      </c>
      <c r="BT33" s="38">
        <f t="shared" si="12"/>
        <v>0.328125</v>
      </c>
      <c r="BU33" s="39"/>
      <c r="BV33" s="39"/>
      <c r="BW33" s="37">
        <f t="shared" si="36"/>
        <v>-0.0317073170731706</v>
      </c>
      <c r="BX33" s="37">
        <f t="shared" si="36"/>
        <v>0.00664451827242529</v>
      </c>
      <c r="BY33" s="37">
        <f t="shared" si="22"/>
        <v>-0.0277777777777778</v>
      </c>
      <c r="BZ33" s="37"/>
      <c r="CA33" s="37"/>
      <c r="CC33" s="25">
        <f t="shared" si="13"/>
        <v>43514</v>
      </c>
      <c r="CD33" s="29">
        <f t="shared" si="13"/>
        <v>51</v>
      </c>
      <c r="CE33" s="29">
        <f t="shared" si="23"/>
        <v>24.06</v>
      </c>
      <c r="DP33" s="35">
        <v>43522</v>
      </c>
      <c r="DQ33" s="26">
        <v>3</v>
      </c>
      <c r="DR33" s="26">
        <v>2.9</v>
      </c>
      <c r="DS33" s="26">
        <v>2.935</v>
      </c>
      <c r="DU33" s="35">
        <v>43522</v>
      </c>
      <c r="DV33" s="26">
        <v>5.95</v>
      </c>
      <c r="DW33" s="26">
        <v>5.7</v>
      </c>
      <c r="DX33" s="26">
        <v>5.815</v>
      </c>
      <c r="DZ33" s="35">
        <v>43522</v>
      </c>
      <c r="EA33" s="26">
        <v>11.2</v>
      </c>
      <c r="EB33" s="26">
        <v>11</v>
      </c>
      <c r="EC33" s="26">
        <v>11.1</v>
      </c>
    </row>
    <row r="34" ht="16.8" spans="3:133">
      <c r="C34" s="5" t="str" cm="1">
        <f t="array" ref="C34">_xlfn.IFS(MONTH(D34)&lt;4,1,MONTH(D34)&lt;7,2,MONTH(D34)&lt;10,3,MONTH(D34)&gt;9,4)&amp;"Q"&amp;RIGHT(YEAR(D34),2)</f>
        <v>1Q19</v>
      </c>
      <c r="D34" s="2">
        <f t="shared" si="14"/>
        <v>43555</v>
      </c>
      <c r="E34" s="25">
        <v>43542</v>
      </c>
      <c r="F34" s="26">
        <v>2.321</v>
      </c>
      <c r="G34" s="26">
        <v>4.758</v>
      </c>
      <c r="H34" s="27"/>
      <c r="I34" s="28">
        <f t="shared" si="15"/>
        <v>0.07253125</v>
      </c>
      <c r="J34" s="28">
        <f t="shared" si="7"/>
        <v>0.07434375</v>
      </c>
      <c r="K34" s="28">
        <f t="shared" si="8"/>
        <v>0</v>
      </c>
      <c r="M34" s="36">
        <f t="shared" si="24"/>
        <v>-0.00514359194170599</v>
      </c>
      <c r="N34" s="36">
        <f t="shared" si="28"/>
        <v>-0.0198479729729728</v>
      </c>
      <c r="O34" s="36">
        <f t="shared" si="29"/>
        <v>-0.0243799915931062</v>
      </c>
      <c r="P34" s="36">
        <f t="shared" si="30"/>
        <v>-0.00209731543624159</v>
      </c>
      <c r="Q34" s="36">
        <f t="shared" si="31"/>
        <v>-0.00418585182084541</v>
      </c>
      <c r="R34" s="36">
        <f t="shared" si="32"/>
        <v>-0.00833680700291795</v>
      </c>
      <c r="S34" s="36"/>
      <c r="T34" s="36"/>
      <c r="U34" s="36"/>
      <c r="W34" s="5" t="str" cm="1">
        <f t="array" ref="W34">_xlfn.IFS(MONTH(X34)&lt;4,1,MONTH(X34)&lt;7,2,MONTH(X34)&lt;10,3,MONTH(X34)&gt;9,4)&amp;"Q"&amp;RIGHT(YEAR(X34),2)</f>
        <v>1Q19</v>
      </c>
      <c r="X34" s="2">
        <f t="shared" si="16"/>
        <v>43524</v>
      </c>
      <c r="Y34" s="25">
        <v>43521</v>
      </c>
      <c r="Z34" s="29">
        <v>51</v>
      </c>
      <c r="AD34" s="36">
        <f t="shared" si="25"/>
        <v>0</v>
      </c>
      <c r="AE34" s="36">
        <f t="shared" si="33"/>
        <v>0</v>
      </c>
      <c r="AF34" s="36">
        <f t="shared" si="34"/>
        <v>0</v>
      </c>
      <c r="AJ34" s="5" t="str" cm="1">
        <f t="array" ref="AJ34">_xlfn.IFS(MONTH(AK34)&lt;4,1,MONTH(AK34)&lt;7,2,MONTH(AK34)&lt;10,3,MONTH(AK34)&gt;9,4)&amp;"Q"&amp;RIGHT(YEAR(AK34),2)</f>
        <v>2Q18</v>
      </c>
      <c r="AK34" s="2">
        <f t="shared" si="17"/>
        <v>43220</v>
      </c>
      <c r="AL34" s="25">
        <f t="shared" si="35"/>
        <v>43220</v>
      </c>
      <c r="AM34" s="26">
        <v>6.35</v>
      </c>
      <c r="AN34" s="26"/>
      <c r="AO34" s="26"/>
      <c r="AP34" s="26"/>
      <c r="AQ34" s="27"/>
      <c r="AR34" s="30">
        <f t="shared" si="9"/>
        <v>0.1984375</v>
      </c>
      <c r="AS34" s="31"/>
      <c r="AT34" s="31"/>
      <c r="AU34" s="31"/>
      <c r="AV34" s="37">
        <f t="shared" si="19"/>
        <v>-0.072992700729927</v>
      </c>
      <c r="AW34" s="26"/>
      <c r="AX34" s="26"/>
      <c r="AY34" s="26"/>
      <c r="BA34" s="25">
        <f t="shared" si="20"/>
        <v>43542</v>
      </c>
      <c r="BB34" s="28">
        <f t="shared" si="20"/>
        <v>2.321</v>
      </c>
      <c r="BC34" s="28">
        <f t="shared" si="10"/>
        <v>2.19</v>
      </c>
      <c r="BD34" s="28">
        <f t="shared" si="21"/>
        <v>4.758</v>
      </c>
      <c r="BE34" s="28">
        <f t="shared" si="11"/>
        <v>4.37</v>
      </c>
      <c r="BF34" s="28"/>
      <c r="BG34" s="28"/>
      <c r="BH34" s="28"/>
      <c r="BI34" s="28"/>
      <c r="BK34" s="32" t="s">
        <v>197</v>
      </c>
      <c r="BL34" s="32">
        <v>38.1</v>
      </c>
      <c r="BM34" s="32">
        <v>6.06</v>
      </c>
      <c r="BN34" s="32">
        <v>36.5</v>
      </c>
      <c r="BO34" s="32">
        <v>78</v>
      </c>
      <c r="BP34" s="32"/>
      <c r="BR34" s="38">
        <f t="shared" si="26"/>
        <v>0.29765625</v>
      </c>
      <c r="BS34" s="38">
        <f t="shared" si="27"/>
        <v>0.37875</v>
      </c>
      <c r="BT34" s="38">
        <f t="shared" si="12"/>
        <v>0.28515625</v>
      </c>
      <c r="BU34" s="38">
        <f t="shared" ref="BU34:BU66" si="37">BO34/256</f>
        <v>0.3046875</v>
      </c>
      <c r="BV34" s="38"/>
      <c r="BW34" s="37">
        <f t="shared" si="36"/>
        <v>-0.0403022670025189</v>
      </c>
      <c r="BX34" s="37">
        <f t="shared" si="36"/>
        <v>0</v>
      </c>
      <c r="BY34" s="37">
        <f t="shared" si="22"/>
        <v>-0.130952380952381</v>
      </c>
      <c r="BZ34" s="37"/>
      <c r="CA34" s="37"/>
      <c r="CC34" s="25">
        <f t="shared" si="13"/>
        <v>43521</v>
      </c>
      <c r="CD34" s="29">
        <f t="shared" si="13"/>
        <v>51</v>
      </c>
      <c r="CE34" s="29">
        <f t="shared" si="23"/>
        <v>24.06</v>
      </c>
      <c r="CJ34" s="40"/>
      <c r="DP34" s="35">
        <v>43523</v>
      </c>
      <c r="DQ34" s="26">
        <v>3</v>
      </c>
      <c r="DR34" s="26">
        <v>2.9</v>
      </c>
      <c r="DS34" s="26">
        <v>2.93</v>
      </c>
      <c r="DU34" s="35">
        <v>43523</v>
      </c>
      <c r="DV34" s="26">
        <v>5.95</v>
      </c>
      <c r="DW34" s="26">
        <v>5.7</v>
      </c>
      <c r="DX34" s="26">
        <v>5.81</v>
      </c>
      <c r="DZ34" s="35">
        <v>43523</v>
      </c>
      <c r="EA34" s="26">
        <v>11.2</v>
      </c>
      <c r="EB34" s="26">
        <v>11</v>
      </c>
      <c r="EC34" s="26">
        <v>11.08</v>
      </c>
    </row>
    <row r="35" ht="16.8" spans="3:133">
      <c r="C35" s="5" t="str" cm="1">
        <f t="array" ref="C35">_xlfn.IFS(MONTH(D35)&lt;4,1,MONTH(D35)&lt;7,2,MONTH(D35)&lt;10,3,MONTH(D35)&gt;9,4)&amp;"Q"&amp;RIGHT(YEAR(D35),2)</f>
        <v>1Q19</v>
      </c>
      <c r="D35" s="2">
        <f t="shared" si="14"/>
        <v>43555</v>
      </c>
      <c r="E35" s="25">
        <v>43549</v>
      </c>
      <c r="F35" s="26">
        <v>2.225</v>
      </c>
      <c r="G35" s="26">
        <v>4.48</v>
      </c>
      <c r="H35" s="27"/>
      <c r="I35" s="28">
        <f t="shared" si="15"/>
        <v>0.06953125</v>
      </c>
      <c r="J35" s="28">
        <f t="shared" si="7"/>
        <v>0.07</v>
      </c>
      <c r="K35" s="28">
        <f t="shared" si="8"/>
        <v>0</v>
      </c>
      <c r="M35" s="36">
        <f t="shared" si="24"/>
        <v>-0.041361482119776</v>
      </c>
      <c r="N35" s="36">
        <f t="shared" si="28"/>
        <v>-0.0462923274753536</v>
      </c>
      <c r="O35" s="36">
        <f t="shared" si="29"/>
        <v>-0.0603885135135134</v>
      </c>
      <c r="P35" s="36">
        <f t="shared" si="30"/>
        <v>-0.0584279108869272</v>
      </c>
      <c r="Q35" s="36">
        <f t="shared" si="31"/>
        <v>-0.0604026845637583</v>
      </c>
      <c r="R35" s="36">
        <f t="shared" si="32"/>
        <v>-0.0623691921305984</v>
      </c>
      <c r="S35" s="36"/>
      <c r="T35" s="36"/>
      <c r="U35" s="36"/>
      <c r="W35" s="5" t="str" cm="1">
        <f t="array" ref="W35">_xlfn.IFS(MONTH(X35)&lt;4,1,MONTH(X35)&lt;7,2,MONTH(X35)&lt;10,3,MONTH(X35)&gt;9,4)&amp;"Q"&amp;RIGHT(YEAR(X35),2)</f>
        <v>1Q19</v>
      </c>
      <c r="X35" s="2">
        <f t="shared" si="16"/>
        <v>43555</v>
      </c>
      <c r="Y35" s="25">
        <v>43528</v>
      </c>
      <c r="Z35" s="29">
        <v>51</v>
      </c>
      <c r="AD35" s="36">
        <f t="shared" si="25"/>
        <v>0</v>
      </c>
      <c r="AE35" s="36">
        <f t="shared" si="33"/>
        <v>0</v>
      </c>
      <c r="AF35" s="36">
        <f t="shared" si="34"/>
        <v>0</v>
      </c>
      <c r="AJ35" s="5" t="str" cm="1">
        <f t="array" ref="AJ35">_xlfn.IFS(MONTH(AK35)&lt;4,1,MONTH(AK35)&lt;7,2,MONTH(AK35)&lt;10,3,MONTH(AK35)&gt;9,4)&amp;"Q"&amp;RIGHT(YEAR(AK35),2)</f>
        <v>2Q18</v>
      </c>
      <c r="AK35" s="2">
        <f t="shared" si="17"/>
        <v>43251</v>
      </c>
      <c r="AL35" s="25">
        <f t="shared" si="35"/>
        <v>43251</v>
      </c>
      <c r="AM35" s="26">
        <v>5.64</v>
      </c>
      <c r="AN35" s="26"/>
      <c r="AO35" s="26"/>
      <c r="AP35" s="26"/>
      <c r="AQ35" s="27"/>
      <c r="AR35" s="30">
        <f t="shared" si="9"/>
        <v>0.17625</v>
      </c>
      <c r="AS35" s="31"/>
      <c r="AT35" s="31"/>
      <c r="AU35" s="31"/>
      <c r="AV35" s="37">
        <f t="shared" si="19"/>
        <v>-0.111811023622047</v>
      </c>
      <c r="AW35" s="26"/>
      <c r="AX35" s="26"/>
      <c r="AY35" s="26"/>
      <c r="BA35" s="25">
        <f t="shared" si="20"/>
        <v>43549</v>
      </c>
      <c r="BB35" s="28">
        <f t="shared" si="20"/>
        <v>2.225</v>
      </c>
      <c r="BC35" s="28">
        <f t="shared" si="10"/>
        <v>2.19</v>
      </c>
      <c r="BD35" s="28">
        <f t="shared" si="21"/>
        <v>4.48</v>
      </c>
      <c r="BE35" s="28">
        <f t="shared" si="11"/>
        <v>4.37</v>
      </c>
      <c r="BF35" s="28"/>
      <c r="BG35" s="28"/>
      <c r="BH35" s="28"/>
      <c r="BI35" s="28"/>
      <c r="BK35" s="32" t="s">
        <v>198</v>
      </c>
      <c r="BL35" s="32">
        <v>35.4</v>
      </c>
      <c r="BM35" s="32">
        <v>5.64</v>
      </c>
      <c r="BN35" s="32">
        <v>33.9</v>
      </c>
      <c r="BO35" s="32">
        <v>69.5</v>
      </c>
      <c r="BP35" s="32"/>
      <c r="BR35" s="38">
        <f t="shared" si="26"/>
        <v>0.2765625</v>
      </c>
      <c r="BS35" s="38">
        <f t="shared" si="27"/>
        <v>0.3525</v>
      </c>
      <c r="BT35" s="38">
        <f t="shared" si="12"/>
        <v>0.26484375</v>
      </c>
      <c r="BU35" s="38">
        <f t="shared" si="37"/>
        <v>0.271484375</v>
      </c>
      <c r="BV35" s="38"/>
      <c r="BW35" s="37">
        <f t="shared" si="36"/>
        <v>-0.0708661417322836</v>
      </c>
      <c r="BX35" s="37">
        <f t="shared" si="36"/>
        <v>-0.0693069306930693</v>
      </c>
      <c r="BY35" s="37">
        <f t="shared" si="22"/>
        <v>-0.0712328767123288</v>
      </c>
      <c r="BZ35" s="37">
        <f t="shared" si="22"/>
        <v>-0.108974358974359</v>
      </c>
      <c r="CA35" s="37"/>
      <c r="CC35" s="25">
        <f t="shared" si="13"/>
        <v>43528</v>
      </c>
      <c r="CD35" s="29">
        <f t="shared" si="13"/>
        <v>51</v>
      </c>
      <c r="CE35" s="29">
        <f t="shared" si="23"/>
        <v>24.06</v>
      </c>
      <c r="CJ35" s="40"/>
      <c r="DP35" s="35">
        <v>43524</v>
      </c>
      <c r="DQ35" s="26">
        <v>3</v>
      </c>
      <c r="DR35" s="26">
        <v>2.9</v>
      </c>
      <c r="DS35" s="26">
        <v>2.93</v>
      </c>
      <c r="DU35" s="35">
        <v>43524</v>
      </c>
      <c r="DV35" s="26">
        <v>5.95</v>
      </c>
      <c r="DW35" s="26">
        <v>5.7</v>
      </c>
      <c r="DX35" s="26">
        <v>5.8</v>
      </c>
      <c r="DZ35" s="35">
        <v>43524</v>
      </c>
      <c r="EA35" s="26">
        <v>11.2</v>
      </c>
      <c r="EB35" s="26">
        <v>11</v>
      </c>
      <c r="EC35" s="26">
        <v>11.08</v>
      </c>
    </row>
    <row r="36" ht="16.8" spans="3:133">
      <c r="C36" s="5" t="str" cm="1">
        <f t="array" ref="C36">_xlfn.IFS(MONTH(D36)&lt;4,1,MONTH(D36)&lt;7,2,MONTH(D36)&lt;10,3,MONTH(D36)&gt;9,4)&amp;"Q"&amp;RIGHT(YEAR(D36),2)</f>
        <v>2Q19</v>
      </c>
      <c r="D36" s="2">
        <f t="shared" si="14"/>
        <v>43585</v>
      </c>
      <c r="E36" s="25">
        <v>43556</v>
      </c>
      <c r="F36" s="26">
        <v>2.134</v>
      </c>
      <c r="G36" s="26">
        <v>4.342</v>
      </c>
      <c r="H36" s="27"/>
      <c r="I36" s="28">
        <f t="shared" si="15"/>
        <v>0.0666875</v>
      </c>
      <c r="J36" s="28">
        <f t="shared" si="7"/>
        <v>0.06784375</v>
      </c>
      <c r="K36" s="28">
        <f t="shared" si="8"/>
        <v>0</v>
      </c>
      <c r="M36" s="36">
        <f t="shared" si="24"/>
        <v>-0.0408988764044945</v>
      </c>
      <c r="N36" s="36">
        <f t="shared" si="28"/>
        <v>-0.0805687203791471</v>
      </c>
      <c r="O36" s="36">
        <f t="shared" si="29"/>
        <v>-0.0852978996999573</v>
      </c>
      <c r="P36" s="36">
        <f t="shared" si="30"/>
        <v>-0.0308035714285716</v>
      </c>
      <c r="Q36" s="36">
        <f t="shared" si="31"/>
        <v>-0.0874316939890711</v>
      </c>
      <c r="R36" s="36">
        <f t="shared" si="32"/>
        <v>-0.0893456375838927</v>
      </c>
      <c r="S36" s="36"/>
      <c r="T36" s="36"/>
      <c r="U36" s="36"/>
      <c r="W36" s="5" t="str" cm="1">
        <f t="array" ref="W36">_xlfn.IFS(MONTH(X36)&lt;4,1,MONTH(X36)&lt;7,2,MONTH(X36)&lt;10,3,MONTH(X36)&gt;9,4)&amp;"Q"&amp;RIGHT(YEAR(X36),2)</f>
        <v>1Q19</v>
      </c>
      <c r="X36" s="2">
        <f t="shared" si="16"/>
        <v>43555</v>
      </c>
      <c r="Y36" s="25">
        <v>43535</v>
      </c>
      <c r="Z36" s="29">
        <v>51</v>
      </c>
      <c r="AD36" s="36">
        <f t="shared" si="25"/>
        <v>0</v>
      </c>
      <c r="AE36" s="36">
        <f t="shared" si="33"/>
        <v>0</v>
      </c>
      <c r="AF36" s="36">
        <f t="shared" si="34"/>
        <v>0</v>
      </c>
      <c r="AJ36" s="5" t="str" cm="1">
        <f t="array" ref="AJ36">_xlfn.IFS(MONTH(AK36)&lt;4,1,MONTH(AK36)&lt;7,2,MONTH(AK36)&lt;10,3,MONTH(AK36)&gt;9,4)&amp;"Q"&amp;RIGHT(YEAR(AK36),2)</f>
        <v>2Q18</v>
      </c>
      <c r="AK36" s="2">
        <f t="shared" si="17"/>
        <v>43281</v>
      </c>
      <c r="AL36" s="25">
        <f t="shared" si="35"/>
        <v>43281</v>
      </c>
      <c r="AM36" s="26">
        <v>5.27</v>
      </c>
      <c r="AN36" s="26"/>
      <c r="AO36" s="26"/>
      <c r="AP36" s="26"/>
      <c r="AQ36" s="27"/>
      <c r="AR36" s="30">
        <f t="shared" si="9"/>
        <v>0.1646875</v>
      </c>
      <c r="AS36" s="31"/>
      <c r="AT36" s="31"/>
      <c r="AU36" s="31"/>
      <c r="AV36" s="37">
        <f t="shared" si="19"/>
        <v>-0.0656028368794327</v>
      </c>
      <c r="AW36" s="26"/>
      <c r="AX36" s="26"/>
      <c r="AY36" s="26"/>
      <c r="BA36" s="25">
        <f t="shared" si="20"/>
        <v>43556</v>
      </c>
      <c r="BB36" s="28">
        <f t="shared" si="20"/>
        <v>2.134</v>
      </c>
      <c r="BC36" s="28">
        <f t="shared" si="10"/>
        <v>2.02</v>
      </c>
      <c r="BD36" s="28">
        <f t="shared" si="21"/>
        <v>4.342</v>
      </c>
      <c r="BE36" s="28">
        <f t="shared" si="11"/>
        <v>4.04</v>
      </c>
      <c r="BF36" s="28"/>
      <c r="BG36" s="28"/>
      <c r="BH36" s="28"/>
      <c r="BI36" s="28"/>
      <c r="BK36" s="32" t="s">
        <v>199</v>
      </c>
      <c r="BL36" s="41">
        <v>29.6</v>
      </c>
      <c r="BM36" s="41">
        <v>4.86</v>
      </c>
      <c r="BN36" s="41">
        <v>28.7</v>
      </c>
      <c r="BO36" s="41">
        <v>57.6</v>
      </c>
      <c r="BP36" s="41"/>
      <c r="BR36" s="38">
        <f t="shared" si="26"/>
        <v>0.23125</v>
      </c>
      <c r="BS36" s="38">
        <f t="shared" si="27"/>
        <v>0.30375</v>
      </c>
      <c r="BT36" s="38">
        <f t="shared" si="12"/>
        <v>0.22421875</v>
      </c>
      <c r="BU36" s="38">
        <f t="shared" si="37"/>
        <v>0.225</v>
      </c>
      <c r="BV36" s="38"/>
      <c r="BW36" s="37">
        <f t="shared" si="36"/>
        <v>-0.163841807909604</v>
      </c>
      <c r="BX36" s="37">
        <f t="shared" si="36"/>
        <v>-0.138297872340425</v>
      </c>
      <c r="BY36" s="37">
        <f t="shared" si="22"/>
        <v>-0.153392330383481</v>
      </c>
      <c r="BZ36" s="37">
        <f t="shared" si="22"/>
        <v>-0.171223021582734</v>
      </c>
      <c r="CA36" s="37"/>
      <c r="CC36" s="25">
        <f t="shared" si="13"/>
        <v>43535</v>
      </c>
      <c r="CD36" s="29">
        <f t="shared" si="13"/>
        <v>51</v>
      </c>
      <c r="CE36" s="29">
        <f t="shared" si="23"/>
        <v>24.06</v>
      </c>
      <c r="CJ36" s="40"/>
      <c r="CS36" s="36"/>
      <c r="DP36" s="35">
        <v>43525</v>
      </c>
      <c r="DQ36" s="26">
        <v>3</v>
      </c>
      <c r="DR36" s="26">
        <v>2.9</v>
      </c>
      <c r="DS36" s="26">
        <v>2.925</v>
      </c>
      <c r="DU36" s="35">
        <v>43525</v>
      </c>
      <c r="DV36" s="26">
        <v>5.95</v>
      </c>
      <c r="DW36" s="26">
        <v>5.7</v>
      </c>
      <c r="DX36" s="26">
        <v>5.8</v>
      </c>
      <c r="DZ36" s="35">
        <v>43525</v>
      </c>
      <c r="EA36" s="26">
        <v>11.2</v>
      </c>
      <c r="EB36" s="26">
        <v>11</v>
      </c>
      <c r="EC36" s="26">
        <v>11.08</v>
      </c>
    </row>
    <row r="37" ht="16.8" spans="3:133">
      <c r="C37" s="5" t="str" cm="1">
        <f t="array" ref="C37">_xlfn.IFS(MONTH(D37)&lt;4,1,MONTH(D37)&lt;7,2,MONTH(D37)&lt;10,3,MONTH(D37)&gt;9,4)&amp;"Q"&amp;RIGHT(YEAR(D37),2)</f>
        <v>2Q19</v>
      </c>
      <c r="D37" s="2">
        <f t="shared" si="14"/>
        <v>43585</v>
      </c>
      <c r="E37" s="25">
        <v>43563</v>
      </c>
      <c r="F37" s="26">
        <v>2.124</v>
      </c>
      <c r="G37" s="26">
        <v>4.325</v>
      </c>
      <c r="H37" s="27"/>
      <c r="I37" s="28">
        <f t="shared" si="15"/>
        <v>0.066375</v>
      </c>
      <c r="J37" s="28">
        <f t="shared" si="7"/>
        <v>0.067578125</v>
      </c>
      <c r="K37" s="28">
        <f t="shared" si="8"/>
        <v>0</v>
      </c>
      <c r="M37" s="36">
        <f t="shared" si="24"/>
        <v>-0.0046860356138706</v>
      </c>
      <c r="N37" s="36">
        <f t="shared" si="28"/>
        <v>-0.0453932584269663</v>
      </c>
      <c r="O37" s="36">
        <f t="shared" si="29"/>
        <v>-0.0848772080999569</v>
      </c>
      <c r="P37" s="36">
        <f t="shared" si="30"/>
        <v>-0.00391524643021635</v>
      </c>
      <c r="Q37" s="36">
        <f t="shared" si="31"/>
        <v>-0.0345982142857143</v>
      </c>
      <c r="R37" s="36">
        <f t="shared" si="32"/>
        <v>-0.091004623791509</v>
      </c>
      <c r="S37" s="36"/>
      <c r="T37" s="36"/>
      <c r="U37" s="36"/>
      <c r="W37" s="5" t="str" cm="1">
        <f t="array" ref="W37">_xlfn.IFS(MONTH(X37)&lt;4,1,MONTH(X37)&lt;7,2,MONTH(X37)&lt;10,3,MONTH(X37)&gt;9,4)&amp;"Q"&amp;RIGHT(YEAR(X37),2)</f>
        <v>1Q19</v>
      </c>
      <c r="X37" s="2">
        <f t="shared" si="16"/>
        <v>43555</v>
      </c>
      <c r="Y37" s="25">
        <v>43542</v>
      </c>
      <c r="Z37" s="29">
        <v>51</v>
      </c>
      <c r="AD37" s="36">
        <f t="shared" si="25"/>
        <v>0</v>
      </c>
      <c r="AE37" s="36">
        <f t="shared" si="33"/>
        <v>0</v>
      </c>
      <c r="AF37" s="36">
        <f t="shared" si="34"/>
        <v>0</v>
      </c>
      <c r="AJ37" s="5" t="str" cm="1">
        <f t="array" ref="AJ37">_xlfn.IFS(MONTH(AK37)&lt;4,1,MONTH(AK37)&lt;7,2,MONTH(AK37)&lt;10,3,MONTH(AK37)&gt;9,4)&amp;"Q"&amp;RIGHT(YEAR(AK37),2)</f>
        <v>3Q18</v>
      </c>
      <c r="AK37" s="2">
        <f t="shared" si="17"/>
        <v>43312</v>
      </c>
      <c r="AL37" s="25">
        <f t="shared" si="35"/>
        <v>43312</v>
      </c>
      <c r="AM37" s="26">
        <v>4.76</v>
      </c>
      <c r="AN37" s="26">
        <v>9.13</v>
      </c>
      <c r="AO37" s="26"/>
      <c r="AP37" s="26"/>
      <c r="AQ37" s="27"/>
      <c r="AR37" s="30">
        <f t="shared" si="9"/>
        <v>0.14875</v>
      </c>
      <c r="AS37" s="30">
        <f t="shared" ref="AS37:AS100" si="38">AN37/512*8</f>
        <v>0.14265625</v>
      </c>
      <c r="AT37" s="30"/>
      <c r="AU37" s="30"/>
      <c r="AV37" s="37">
        <f t="shared" si="19"/>
        <v>-0.096774193548387</v>
      </c>
      <c r="AW37" s="26"/>
      <c r="AX37" s="26"/>
      <c r="AY37" s="26"/>
      <c r="BA37" s="25">
        <f t="shared" si="20"/>
        <v>43563</v>
      </c>
      <c r="BB37" s="28">
        <f t="shared" si="20"/>
        <v>2.124</v>
      </c>
      <c r="BC37" s="28">
        <f t="shared" si="10"/>
        <v>2.02</v>
      </c>
      <c r="BD37" s="28">
        <f t="shared" si="21"/>
        <v>4.325</v>
      </c>
      <c r="BE37" s="28">
        <f t="shared" si="11"/>
        <v>4.04</v>
      </c>
      <c r="BF37" s="28"/>
      <c r="BG37" s="28"/>
      <c r="BH37" s="28"/>
      <c r="BI37" s="28"/>
      <c r="BK37" s="32" t="s">
        <v>200</v>
      </c>
      <c r="BL37" s="32">
        <v>24.06</v>
      </c>
      <c r="BM37" s="32">
        <v>4.4</v>
      </c>
      <c r="BN37" s="32">
        <v>23.8</v>
      </c>
      <c r="BO37" s="32">
        <v>36.2</v>
      </c>
      <c r="BP37" s="32"/>
      <c r="BR37" s="38">
        <f t="shared" si="26"/>
        <v>0.18796875</v>
      </c>
      <c r="BS37" s="38">
        <f t="shared" si="27"/>
        <v>0.275</v>
      </c>
      <c r="BT37" s="38">
        <f t="shared" si="12"/>
        <v>0.1859375</v>
      </c>
      <c r="BU37" s="38">
        <f t="shared" si="37"/>
        <v>0.14140625</v>
      </c>
      <c r="BV37" s="38"/>
      <c r="BW37" s="37">
        <f t="shared" si="36"/>
        <v>-0.187162162162162</v>
      </c>
      <c r="BX37" s="37">
        <f t="shared" si="36"/>
        <v>-0.0946502057613169</v>
      </c>
      <c r="BY37" s="37">
        <f t="shared" si="22"/>
        <v>-0.170731707317073</v>
      </c>
      <c r="BZ37" s="37">
        <f t="shared" si="22"/>
        <v>-0.371527777777778</v>
      </c>
      <c r="CA37" s="37"/>
      <c r="CC37" s="25">
        <f t="shared" si="13"/>
        <v>43542</v>
      </c>
      <c r="CD37" s="29">
        <f t="shared" si="13"/>
        <v>51</v>
      </c>
      <c r="CE37" s="29">
        <f t="shared" si="23"/>
        <v>24.06</v>
      </c>
      <c r="DP37" s="35">
        <v>43528</v>
      </c>
      <c r="DQ37" s="26">
        <v>3</v>
      </c>
      <c r="DR37" s="26">
        <v>2.9</v>
      </c>
      <c r="DS37" s="26">
        <v>2.925</v>
      </c>
      <c r="DU37" s="35">
        <v>43528</v>
      </c>
      <c r="DV37" s="26">
        <v>5.95</v>
      </c>
      <c r="DW37" s="26">
        <v>5.7</v>
      </c>
      <c r="DX37" s="26">
        <v>5.8</v>
      </c>
      <c r="DZ37" s="35">
        <v>43528</v>
      </c>
      <c r="EA37" s="26">
        <v>11.2</v>
      </c>
      <c r="EB37" s="26">
        <v>11</v>
      </c>
      <c r="EC37" s="26">
        <v>11.08</v>
      </c>
    </row>
    <row r="38" ht="16.8" spans="3:133">
      <c r="C38" s="5" t="str" cm="1">
        <f t="array" ref="C38">_xlfn.IFS(MONTH(D38)&lt;4,1,MONTH(D38)&lt;7,2,MONTH(D38)&lt;10,3,MONTH(D38)&gt;9,4)&amp;"Q"&amp;RIGHT(YEAR(D38),2)</f>
        <v>2Q19</v>
      </c>
      <c r="D38" s="2">
        <f t="shared" si="14"/>
        <v>43585</v>
      </c>
      <c r="E38" s="25">
        <v>43570</v>
      </c>
      <c r="F38" s="26">
        <v>2.092</v>
      </c>
      <c r="G38" s="26">
        <v>4.242</v>
      </c>
      <c r="H38" s="27"/>
      <c r="I38" s="28">
        <f t="shared" si="15"/>
        <v>0.065375</v>
      </c>
      <c r="J38" s="28">
        <f t="shared" si="7"/>
        <v>0.06628125</v>
      </c>
      <c r="K38" s="28">
        <f t="shared" si="8"/>
        <v>0</v>
      </c>
      <c r="M38" s="36">
        <f t="shared" si="24"/>
        <v>-0.0150659133709982</v>
      </c>
      <c r="N38" s="36">
        <f t="shared" si="28"/>
        <v>-0.0196813495782567</v>
      </c>
      <c r="O38" s="36">
        <f t="shared" si="29"/>
        <v>-0.0597752808988764</v>
      </c>
      <c r="P38" s="36">
        <f t="shared" si="30"/>
        <v>-0.0191907514450868</v>
      </c>
      <c r="Q38" s="36">
        <f t="shared" si="31"/>
        <v>-0.0230308613542146</v>
      </c>
      <c r="R38" s="36">
        <f t="shared" si="32"/>
        <v>-0.0531250000000001</v>
      </c>
      <c r="S38" s="36"/>
      <c r="T38" s="36"/>
      <c r="U38" s="36"/>
      <c r="W38" s="5" t="str" cm="1">
        <f t="array" ref="W38">_xlfn.IFS(MONTH(X38)&lt;4,1,MONTH(X38)&lt;7,2,MONTH(X38)&lt;10,3,MONTH(X38)&gt;9,4)&amp;"Q"&amp;RIGHT(YEAR(X38),2)</f>
        <v>1Q19</v>
      </c>
      <c r="X38" s="2">
        <f t="shared" si="16"/>
        <v>43555</v>
      </c>
      <c r="Y38" s="25">
        <v>43549</v>
      </c>
      <c r="Z38" s="29">
        <v>51</v>
      </c>
      <c r="AD38" s="36">
        <f t="shared" si="25"/>
        <v>0</v>
      </c>
      <c r="AE38" s="36">
        <f t="shared" si="33"/>
        <v>0</v>
      </c>
      <c r="AF38" s="36">
        <f t="shared" si="34"/>
        <v>0</v>
      </c>
      <c r="AJ38" s="5" t="str" cm="1">
        <f t="array" ref="AJ38">_xlfn.IFS(MONTH(AK38)&lt;4,1,MONTH(AK38)&lt;7,2,MONTH(AK38)&lt;10,3,MONTH(AK38)&gt;9,4)&amp;"Q"&amp;RIGHT(YEAR(AK38),2)</f>
        <v>3Q18</v>
      </c>
      <c r="AK38" s="2">
        <f t="shared" si="17"/>
        <v>43343</v>
      </c>
      <c r="AL38" s="25">
        <f t="shared" si="35"/>
        <v>43343</v>
      </c>
      <c r="AM38" s="26">
        <v>4.15</v>
      </c>
      <c r="AN38" s="26">
        <v>8.42</v>
      </c>
      <c r="AO38" s="26"/>
      <c r="AP38" s="26"/>
      <c r="AQ38" s="27"/>
      <c r="AR38" s="30">
        <f t="shared" si="9"/>
        <v>0.1296875</v>
      </c>
      <c r="AS38" s="30">
        <f t="shared" si="38"/>
        <v>0.1315625</v>
      </c>
      <c r="AT38" s="30"/>
      <c r="AU38" s="30"/>
      <c r="AV38" s="37">
        <f t="shared" si="19"/>
        <v>-0.128151260504202</v>
      </c>
      <c r="AW38" s="37">
        <f>AS38/AS37-1</f>
        <v>-0.0777656078860899</v>
      </c>
      <c r="AX38" s="37"/>
      <c r="AY38" s="37"/>
      <c r="BA38" s="25">
        <f t="shared" si="20"/>
        <v>43570</v>
      </c>
      <c r="BB38" s="28">
        <f t="shared" si="20"/>
        <v>2.092</v>
      </c>
      <c r="BC38" s="28">
        <f t="shared" si="10"/>
        <v>2.02</v>
      </c>
      <c r="BD38" s="28">
        <f t="shared" si="21"/>
        <v>4.242</v>
      </c>
      <c r="BE38" s="28">
        <f t="shared" si="11"/>
        <v>4.04</v>
      </c>
      <c r="BF38" s="28"/>
      <c r="BG38" s="28"/>
      <c r="BH38" s="28"/>
      <c r="BI38" s="28"/>
      <c r="BK38" s="32" t="s">
        <v>201</v>
      </c>
      <c r="BL38" s="32">
        <v>18.71</v>
      </c>
      <c r="BM38" s="32">
        <v>3.61</v>
      </c>
      <c r="BN38" s="32">
        <v>18.54</v>
      </c>
      <c r="BO38" s="32">
        <v>27.36</v>
      </c>
      <c r="BP38" s="32"/>
      <c r="BR38" s="38">
        <f t="shared" si="26"/>
        <v>0.146171875</v>
      </c>
      <c r="BS38" s="38">
        <f t="shared" si="27"/>
        <v>0.225625</v>
      </c>
      <c r="BT38" s="38">
        <f t="shared" si="12"/>
        <v>0.14484375</v>
      </c>
      <c r="BU38" s="38">
        <f t="shared" si="37"/>
        <v>0.106875</v>
      </c>
      <c r="BV38" s="38"/>
      <c r="BW38" s="37">
        <f t="shared" si="36"/>
        <v>-0.22236076475478</v>
      </c>
      <c r="BX38" s="37">
        <f t="shared" si="36"/>
        <v>-0.179545454545455</v>
      </c>
      <c r="BY38" s="37">
        <f t="shared" si="22"/>
        <v>-0.221008403361345</v>
      </c>
      <c r="BZ38" s="37">
        <f t="shared" si="22"/>
        <v>-0.244198895027624</v>
      </c>
      <c r="CA38" s="37"/>
      <c r="CC38" s="25">
        <f t="shared" si="13"/>
        <v>43549</v>
      </c>
      <c r="CD38" s="29">
        <f t="shared" si="13"/>
        <v>51</v>
      </c>
      <c r="CE38" s="29">
        <f t="shared" si="23"/>
        <v>24.06</v>
      </c>
      <c r="DP38" s="35">
        <v>43529</v>
      </c>
      <c r="DQ38" s="26">
        <v>3</v>
      </c>
      <c r="DR38" s="26">
        <v>2.9</v>
      </c>
      <c r="DS38" s="26">
        <v>2.925</v>
      </c>
      <c r="DU38" s="35">
        <v>43529</v>
      </c>
      <c r="DV38" s="26">
        <v>5.95</v>
      </c>
      <c r="DW38" s="26">
        <v>5.7</v>
      </c>
      <c r="DX38" s="26">
        <v>5.795</v>
      </c>
      <c r="DZ38" s="35">
        <v>43529</v>
      </c>
      <c r="EA38" s="26">
        <v>11.2</v>
      </c>
      <c r="EB38" s="26">
        <v>11</v>
      </c>
      <c r="EC38" s="26">
        <v>11.05</v>
      </c>
    </row>
    <row r="39" ht="16.8" spans="3:133">
      <c r="C39" s="5" t="str" cm="1">
        <f t="array" ref="C39">_xlfn.IFS(MONTH(D39)&lt;4,1,MONTH(D39)&lt;7,2,MONTH(D39)&lt;10,3,MONTH(D39)&gt;9,4)&amp;"Q"&amp;RIGHT(YEAR(D39),2)</f>
        <v>2Q19</v>
      </c>
      <c r="D39" s="2">
        <f t="shared" si="14"/>
        <v>43585</v>
      </c>
      <c r="E39" s="25">
        <v>43577</v>
      </c>
      <c r="F39" s="26">
        <v>2.05</v>
      </c>
      <c r="G39" s="26">
        <v>4.125</v>
      </c>
      <c r="H39" s="27"/>
      <c r="I39" s="28">
        <f t="shared" si="15"/>
        <v>0.0640625</v>
      </c>
      <c r="J39" s="28">
        <f t="shared" si="7"/>
        <v>0.064453125</v>
      </c>
      <c r="K39" s="28">
        <f t="shared" si="8"/>
        <v>0</v>
      </c>
      <c r="M39" s="36">
        <f t="shared" si="24"/>
        <v>-0.0200764818355642</v>
      </c>
      <c r="N39" s="36">
        <f t="shared" si="28"/>
        <v>-0.0348399246704333</v>
      </c>
      <c r="O39" s="36">
        <f t="shared" si="29"/>
        <v>-0.0393626991565136</v>
      </c>
      <c r="P39" s="36">
        <f t="shared" si="30"/>
        <v>-0.0275813295615276</v>
      </c>
      <c r="Q39" s="36">
        <f t="shared" si="31"/>
        <v>-0.0462427745664741</v>
      </c>
      <c r="R39" s="36">
        <f t="shared" si="32"/>
        <v>-0.0499769691386457</v>
      </c>
      <c r="S39" s="36"/>
      <c r="T39" s="36"/>
      <c r="U39" s="36"/>
      <c r="W39" s="5" t="str" cm="1">
        <f t="array" ref="W39">_xlfn.IFS(MONTH(X39)&lt;4,1,MONTH(X39)&lt;7,2,MONTH(X39)&lt;10,3,MONTH(X39)&gt;9,4)&amp;"Q"&amp;RIGHT(YEAR(X39),2)</f>
        <v>2Q19</v>
      </c>
      <c r="X39" s="2">
        <f t="shared" si="16"/>
        <v>43585</v>
      </c>
      <c r="Y39" s="25">
        <v>43556</v>
      </c>
      <c r="Z39" s="29">
        <v>51</v>
      </c>
      <c r="AD39" s="36">
        <f t="shared" si="25"/>
        <v>0</v>
      </c>
      <c r="AE39" s="36">
        <f t="shared" si="33"/>
        <v>0</v>
      </c>
      <c r="AF39" s="36">
        <f t="shared" si="34"/>
        <v>0</v>
      </c>
      <c r="AJ39" s="5" t="str" cm="1">
        <f t="array" ref="AJ39">_xlfn.IFS(MONTH(AK39)&lt;4,1,MONTH(AK39)&lt;7,2,MONTH(AK39)&lt;10,3,MONTH(AK39)&gt;9,4)&amp;"Q"&amp;RIGHT(YEAR(AK39),2)</f>
        <v>3Q18</v>
      </c>
      <c r="AK39" s="2">
        <f t="shared" si="17"/>
        <v>43373</v>
      </c>
      <c r="AL39" s="25">
        <f t="shared" si="35"/>
        <v>43373</v>
      </c>
      <c r="AM39" s="26">
        <v>3.86</v>
      </c>
      <c r="AN39" s="26">
        <v>8.33</v>
      </c>
      <c r="AO39" s="26"/>
      <c r="AP39" s="26"/>
      <c r="AQ39" s="27"/>
      <c r="AR39" s="30">
        <f t="shared" si="9"/>
        <v>0.120625</v>
      </c>
      <c r="AS39" s="30">
        <f t="shared" si="38"/>
        <v>0.13015625</v>
      </c>
      <c r="AT39" s="30"/>
      <c r="AU39" s="30"/>
      <c r="AV39" s="37">
        <f t="shared" si="19"/>
        <v>-0.0698795180722893</v>
      </c>
      <c r="AW39" s="37">
        <f t="shared" si="19"/>
        <v>-0.0106888361045131</v>
      </c>
      <c r="AX39" s="37"/>
      <c r="AY39" s="37"/>
      <c r="BA39" s="25">
        <f t="shared" si="20"/>
        <v>43577</v>
      </c>
      <c r="BB39" s="28">
        <f t="shared" si="20"/>
        <v>2.05</v>
      </c>
      <c r="BC39" s="28">
        <f t="shared" si="10"/>
        <v>2.02</v>
      </c>
      <c r="BD39" s="28">
        <f t="shared" si="21"/>
        <v>4.125</v>
      </c>
      <c r="BE39" s="28">
        <f t="shared" si="11"/>
        <v>4.04</v>
      </c>
      <c r="BF39" s="28"/>
      <c r="BG39" s="28"/>
      <c r="BH39" s="28"/>
      <c r="BI39" s="28"/>
      <c r="BK39" s="32" t="s">
        <v>202</v>
      </c>
      <c r="BL39" s="32">
        <v>17.82</v>
      </c>
      <c r="BM39" s="32">
        <v>3.15</v>
      </c>
      <c r="BN39" s="32">
        <v>17.36</v>
      </c>
      <c r="BO39" s="32">
        <v>26.3</v>
      </c>
      <c r="BP39" s="32"/>
      <c r="BR39" s="38">
        <f t="shared" si="26"/>
        <v>0.13921875</v>
      </c>
      <c r="BS39" s="38">
        <f t="shared" si="27"/>
        <v>0.196875</v>
      </c>
      <c r="BT39" s="38">
        <f t="shared" si="12"/>
        <v>0.135625</v>
      </c>
      <c r="BU39" s="38">
        <f t="shared" si="37"/>
        <v>0.102734375</v>
      </c>
      <c r="BV39" s="38"/>
      <c r="BW39" s="37">
        <f t="shared" si="36"/>
        <v>-0.0475681453768039</v>
      </c>
      <c r="BX39" s="37">
        <f t="shared" si="36"/>
        <v>-0.127423822714681</v>
      </c>
      <c r="BY39" s="37">
        <f t="shared" si="22"/>
        <v>-0.0636461704422869</v>
      </c>
      <c r="BZ39" s="37">
        <f t="shared" si="22"/>
        <v>-0.0387426900584795</v>
      </c>
      <c r="CA39" s="37"/>
      <c r="CC39" s="25">
        <f t="shared" si="13"/>
        <v>43556</v>
      </c>
      <c r="CD39" s="29">
        <f t="shared" si="13"/>
        <v>51</v>
      </c>
      <c r="CE39" s="29">
        <f t="shared" si="23"/>
        <v>18.71</v>
      </c>
      <c r="DP39" s="35">
        <v>43530</v>
      </c>
      <c r="DQ39" s="26">
        <v>3</v>
      </c>
      <c r="DR39" s="26">
        <v>2.9</v>
      </c>
      <c r="DS39" s="26">
        <v>2.925</v>
      </c>
      <c r="DU39" s="35">
        <v>43530</v>
      </c>
      <c r="DV39" s="26">
        <v>5.95</v>
      </c>
      <c r="DW39" s="26">
        <v>5.7</v>
      </c>
      <c r="DX39" s="26">
        <v>5.795</v>
      </c>
      <c r="DZ39" s="35">
        <v>43530</v>
      </c>
      <c r="EA39" s="26">
        <v>11.2</v>
      </c>
      <c r="EB39" s="26">
        <v>11</v>
      </c>
      <c r="EC39" s="26">
        <v>11.05</v>
      </c>
    </row>
    <row r="40" ht="16.8" spans="3:133">
      <c r="C40" s="5" t="str" cm="1">
        <f t="array" ref="C40">_xlfn.IFS(MONTH(D40)&lt;4,1,MONTH(D40)&lt;7,2,MONTH(D40)&lt;10,3,MONTH(D40)&gt;9,4)&amp;"Q"&amp;RIGHT(YEAR(D40),2)</f>
        <v>2Q19</v>
      </c>
      <c r="D40" s="2">
        <f t="shared" si="14"/>
        <v>43585</v>
      </c>
      <c r="E40" s="25">
        <v>43584</v>
      </c>
      <c r="F40" s="26">
        <v>1.971</v>
      </c>
      <c r="G40" s="26">
        <v>3.975</v>
      </c>
      <c r="H40" s="27"/>
      <c r="I40" s="28">
        <f t="shared" si="15"/>
        <v>0.06159375</v>
      </c>
      <c r="J40" s="28">
        <f t="shared" si="7"/>
        <v>0.062109375</v>
      </c>
      <c r="K40" s="28">
        <f t="shared" si="8"/>
        <v>0</v>
      </c>
      <c r="M40" s="36">
        <f t="shared" si="24"/>
        <v>-0.0385365853658536</v>
      </c>
      <c r="N40" s="36">
        <f t="shared" si="28"/>
        <v>-0.0578393881453155</v>
      </c>
      <c r="O40" s="36">
        <f t="shared" si="29"/>
        <v>-0.0720338983050848</v>
      </c>
      <c r="P40" s="36">
        <f t="shared" si="30"/>
        <v>-0.0363636363636364</v>
      </c>
      <c r="Q40" s="36">
        <f t="shared" si="31"/>
        <v>-0.062942008486563</v>
      </c>
      <c r="R40" s="36">
        <f t="shared" si="32"/>
        <v>-0.0809248554913296</v>
      </c>
      <c r="S40" s="36"/>
      <c r="T40" s="36"/>
      <c r="U40" s="36"/>
      <c r="W40" s="5" t="str" cm="1">
        <f t="array" ref="W40">_xlfn.IFS(MONTH(X40)&lt;4,1,MONTH(X40)&lt;7,2,MONTH(X40)&lt;10,3,MONTH(X40)&gt;9,4)&amp;"Q"&amp;RIGHT(YEAR(X40),2)</f>
        <v>2Q19</v>
      </c>
      <c r="X40" s="2">
        <f t="shared" si="16"/>
        <v>43585</v>
      </c>
      <c r="Y40" s="25">
        <v>43563</v>
      </c>
      <c r="Z40" s="29">
        <v>51</v>
      </c>
      <c r="AD40" s="36">
        <f t="shared" si="25"/>
        <v>0</v>
      </c>
      <c r="AE40" s="36">
        <f t="shared" si="33"/>
        <v>0</v>
      </c>
      <c r="AF40" s="36">
        <f t="shared" si="34"/>
        <v>0</v>
      </c>
      <c r="AJ40" s="5" t="str" cm="1">
        <f t="array" ref="AJ40">_xlfn.IFS(MONTH(AK40)&lt;4,1,MONTH(AK40)&lt;7,2,MONTH(AK40)&lt;10,3,MONTH(AK40)&gt;9,4)&amp;"Q"&amp;RIGHT(YEAR(AK40),2)</f>
        <v>4Q18</v>
      </c>
      <c r="AK40" s="2">
        <f t="shared" si="17"/>
        <v>43404</v>
      </c>
      <c r="AL40" s="25">
        <f t="shared" si="35"/>
        <v>43404</v>
      </c>
      <c r="AM40" s="26">
        <v>3.34</v>
      </c>
      <c r="AN40" s="26">
        <v>6.96</v>
      </c>
      <c r="AO40" s="26"/>
      <c r="AP40" s="26"/>
      <c r="AQ40" s="27"/>
      <c r="AR40" s="30">
        <f t="shared" si="9"/>
        <v>0.104375</v>
      </c>
      <c r="AS40" s="30">
        <f t="shared" si="38"/>
        <v>0.10875</v>
      </c>
      <c r="AT40" s="30"/>
      <c r="AU40" s="30"/>
      <c r="AV40" s="37">
        <f t="shared" si="19"/>
        <v>-0.134715025906736</v>
      </c>
      <c r="AW40" s="37">
        <f t="shared" si="19"/>
        <v>-0.164465786314526</v>
      </c>
      <c r="AX40" s="37"/>
      <c r="AY40" s="37"/>
      <c r="BA40" s="25">
        <f t="shared" si="20"/>
        <v>43584</v>
      </c>
      <c r="BB40" s="28">
        <f t="shared" si="20"/>
        <v>1.971</v>
      </c>
      <c r="BC40" s="28">
        <f t="shared" si="10"/>
        <v>2.02</v>
      </c>
      <c r="BD40" s="28">
        <f t="shared" si="21"/>
        <v>3.975</v>
      </c>
      <c r="BE40" s="28">
        <f t="shared" si="11"/>
        <v>4.04</v>
      </c>
      <c r="BF40" s="28"/>
      <c r="BG40" s="28"/>
      <c r="BH40" s="28"/>
      <c r="BI40" s="28"/>
      <c r="BK40" s="32" t="s">
        <v>203</v>
      </c>
      <c r="BL40" s="32">
        <v>17.82</v>
      </c>
      <c r="BM40" s="42">
        <v>3.56</v>
      </c>
      <c r="BN40" s="43">
        <v>17.39</v>
      </c>
      <c r="BO40" s="43">
        <v>26.7</v>
      </c>
      <c r="BP40" s="43"/>
      <c r="BR40" s="38">
        <f t="shared" si="26"/>
        <v>0.13921875</v>
      </c>
      <c r="BS40" s="38">
        <f t="shared" si="27"/>
        <v>0.2225</v>
      </c>
      <c r="BT40" s="38">
        <f t="shared" si="12"/>
        <v>0.135859375</v>
      </c>
      <c r="BU40" s="38">
        <f t="shared" si="37"/>
        <v>0.104296875</v>
      </c>
      <c r="BV40" s="38"/>
      <c r="BW40" s="37">
        <f t="shared" si="36"/>
        <v>0</v>
      </c>
      <c r="BX40" s="37">
        <f t="shared" si="36"/>
        <v>0.13015873015873</v>
      </c>
      <c r="BY40" s="37">
        <f t="shared" si="22"/>
        <v>0.00172811059907851</v>
      </c>
      <c r="BZ40" s="37">
        <f t="shared" si="22"/>
        <v>0.0152091254752851</v>
      </c>
      <c r="CA40" s="37"/>
      <c r="CC40" s="25">
        <f t="shared" si="13"/>
        <v>43563</v>
      </c>
      <c r="CD40" s="29">
        <f t="shared" si="13"/>
        <v>51</v>
      </c>
      <c r="CE40" s="29">
        <f t="shared" si="23"/>
        <v>18.71</v>
      </c>
      <c r="DP40" s="35">
        <v>43531</v>
      </c>
      <c r="DQ40" s="26">
        <v>3</v>
      </c>
      <c r="DR40" s="26">
        <v>2.9</v>
      </c>
      <c r="DS40" s="26">
        <v>2.925</v>
      </c>
      <c r="DU40" s="35">
        <v>43531</v>
      </c>
      <c r="DV40" s="26">
        <v>5.95</v>
      </c>
      <c r="DW40" s="26">
        <v>5.7</v>
      </c>
      <c r="DX40" s="26">
        <v>5.795</v>
      </c>
      <c r="DZ40" s="35">
        <v>43531</v>
      </c>
      <c r="EA40" s="26">
        <v>11.2</v>
      </c>
      <c r="EB40" s="26">
        <v>11</v>
      </c>
      <c r="EC40" s="26">
        <v>11.05</v>
      </c>
    </row>
    <row r="41" ht="16.8" spans="3:133">
      <c r="C41" s="5" t="str" cm="1">
        <f t="array" ref="C41">_xlfn.IFS(MONTH(D41)&lt;4,1,MONTH(D41)&lt;7,2,MONTH(D41)&lt;10,3,MONTH(D41)&gt;9,4)&amp;"Q"&amp;RIGHT(YEAR(D41),2)</f>
        <v>2Q19</v>
      </c>
      <c r="D41" s="2">
        <f t="shared" si="14"/>
        <v>43616</v>
      </c>
      <c r="E41" s="25">
        <v>43591</v>
      </c>
      <c r="F41" s="26">
        <v>1.946</v>
      </c>
      <c r="G41" s="26">
        <v>3.908</v>
      </c>
      <c r="H41" s="27"/>
      <c r="I41" s="28">
        <f t="shared" si="15"/>
        <v>0.0608125</v>
      </c>
      <c r="J41" s="28">
        <f t="shared" si="7"/>
        <v>0.0610625</v>
      </c>
      <c r="K41" s="28">
        <f t="shared" si="8"/>
        <v>0</v>
      </c>
      <c r="M41" s="36">
        <f t="shared" si="24"/>
        <v>-0.0126839167935059</v>
      </c>
      <c r="N41" s="36">
        <f t="shared" si="28"/>
        <v>-0.0507317073170731</v>
      </c>
      <c r="O41" s="36">
        <f t="shared" si="29"/>
        <v>-0.0697896749521989</v>
      </c>
      <c r="P41" s="36">
        <f t="shared" si="30"/>
        <v>-0.0168553459119497</v>
      </c>
      <c r="Q41" s="36">
        <f t="shared" si="31"/>
        <v>-0.0526060606060607</v>
      </c>
      <c r="R41" s="36">
        <f t="shared" si="32"/>
        <v>-0.0787364450730788</v>
      </c>
      <c r="S41" s="36"/>
      <c r="T41" s="36"/>
      <c r="U41" s="36"/>
      <c r="W41" s="5" t="str" cm="1">
        <f t="array" ref="W41">_xlfn.IFS(MONTH(X41)&lt;4,1,MONTH(X41)&lt;7,2,MONTH(X41)&lt;10,3,MONTH(X41)&gt;9,4)&amp;"Q"&amp;RIGHT(YEAR(X41),2)</f>
        <v>2Q19</v>
      </c>
      <c r="X41" s="2">
        <f t="shared" si="16"/>
        <v>43585</v>
      </c>
      <c r="Y41" s="25">
        <v>43570</v>
      </c>
      <c r="Z41" s="29">
        <v>51</v>
      </c>
      <c r="AD41" s="36">
        <f t="shared" si="25"/>
        <v>0</v>
      </c>
      <c r="AE41" s="36">
        <f t="shared" si="33"/>
        <v>0</v>
      </c>
      <c r="AF41" s="36">
        <f t="shared" si="34"/>
        <v>0</v>
      </c>
      <c r="AJ41" s="5" t="str" cm="1">
        <f t="array" ref="AJ41">_xlfn.IFS(MONTH(AK41)&lt;4,1,MONTH(AK41)&lt;7,2,MONTH(AK41)&lt;10,3,MONTH(AK41)&gt;9,4)&amp;"Q"&amp;RIGHT(YEAR(AK41),2)</f>
        <v>4Q18</v>
      </c>
      <c r="AK41" s="2">
        <f t="shared" si="17"/>
        <v>43434</v>
      </c>
      <c r="AL41" s="44">
        <f t="shared" si="35"/>
        <v>43434</v>
      </c>
      <c r="AM41" s="45">
        <v>2.86</v>
      </c>
      <c r="AN41" s="45">
        <v>6.07</v>
      </c>
      <c r="AO41" s="45"/>
      <c r="AP41" s="45"/>
      <c r="AQ41" s="27"/>
      <c r="AR41" s="30">
        <f t="shared" si="9"/>
        <v>0.089375</v>
      </c>
      <c r="AS41" s="30">
        <f t="shared" si="38"/>
        <v>0.09484375</v>
      </c>
      <c r="AT41" s="30"/>
      <c r="AU41" s="30"/>
      <c r="AV41" s="37">
        <f t="shared" si="19"/>
        <v>-0.143712574850299</v>
      </c>
      <c r="AW41" s="37">
        <f t="shared" si="19"/>
        <v>-0.127873563218391</v>
      </c>
      <c r="AX41" s="37"/>
      <c r="AY41" s="37"/>
      <c r="BA41" s="25">
        <f t="shared" si="20"/>
        <v>43591</v>
      </c>
      <c r="BB41" s="28">
        <f t="shared" si="20"/>
        <v>1.946</v>
      </c>
      <c r="BC41" s="28">
        <f t="shared" si="10"/>
        <v>1.95</v>
      </c>
      <c r="BD41" s="28">
        <f t="shared" si="21"/>
        <v>3.908</v>
      </c>
      <c r="BE41" s="28">
        <f t="shared" si="11"/>
        <v>3.88</v>
      </c>
      <c r="BF41" s="28"/>
      <c r="BG41" s="28"/>
      <c r="BH41" s="28"/>
      <c r="BI41" s="28"/>
      <c r="BK41" s="32" t="s">
        <v>204</v>
      </c>
      <c r="BL41" s="32">
        <v>18.38</v>
      </c>
      <c r="BM41" s="32">
        <v>3.91</v>
      </c>
      <c r="BN41" s="32">
        <v>17.54</v>
      </c>
      <c r="BO41" s="32">
        <v>27.38</v>
      </c>
      <c r="BP41" s="32"/>
      <c r="BR41" s="38">
        <f t="shared" si="26"/>
        <v>0.14359375</v>
      </c>
      <c r="BS41" s="38">
        <f t="shared" si="27"/>
        <v>0.244375</v>
      </c>
      <c r="BT41" s="38">
        <f t="shared" si="12"/>
        <v>0.13703125</v>
      </c>
      <c r="BU41" s="38">
        <f t="shared" si="37"/>
        <v>0.106953125</v>
      </c>
      <c r="BV41" s="38"/>
      <c r="BW41" s="37">
        <f t="shared" si="36"/>
        <v>0.0314253647586979</v>
      </c>
      <c r="BX41" s="37">
        <f t="shared" si="36"/>
        <v>0.098314606741573</v>
      </c>
      <c r="BY41" s="37">
        <f t="shared" si="22"/>
        <v>0.00862564692351908</v>
      </c>
      <c r="BZ41" s="37">
        <f t="shared" si="22"/>
        <v>0.0254681647940074</v>
      </c>
      <c r="CA41" s="37"/>
      <c r="CC41" s="25">
        <f t="shared" si="13"/>
        <v>43570</v>
      </c>
      <c r="CD41" s="29">
        <f t="shared" si="13"/>
        <v>51</v>
      </c>
      <c r="CE41" s="29">
        <f t="shared" si="23"/>
        <v>18.71</v>
      </c>
      <c r="DP41" s="35">
        <v>43532</v>
      </c>
      <c r="DQ41" s="26">
        <v>3</v>
      </c>
      <c r="DR41" s="26">
        <v>2.9</v>
      </c>
      <c r="DS41" s="26">
        <v>2.925</v>
      </c>
      <c r="DU41" s="35">
        <v>43532</v>
      </c>
      <c r="DV41" s="26">
        <v>5.95</v>
      </c>
      <c r="DW41" s="26">
        <v>5.7</v>
      </c>
      <c r="DX41" s="26">
        <v>5.795</v>
      </c>
      <c r="DZ41" s="35">
        <v>43532</v>
      </c>
      <c r="EA41" s="26">
        <v>11.2</v>
      </c>
      <c r="EB41" s="26">
        <v>11</v>
      </c>
      <c r="EC41" s="26">
        <v>11.05</v>
      </c>
    </row>
    <row r="42" ht="16.8" spans="3:133">
      <c r="C42" s="5" t="str" cm="1">
        <f t="array" ref="C42">_xlfn.IFS(MONTH(D42)&lt;4,1,MONTH(D42)&lt;7,2,MONTH(D42)&lt;10,3,MONTH(D42)&gt;9,4)&amp;"Q"&amp;RIGHT(YEAR(D42),2)</f>
        <v>2Q19</v>
      </c>
      <c r="D42" s="2">
        <f t="shared" si="14"/>
        <v>43616</v>
      </c>
      <c r="E42" s="25">
        <v>43598</v>
      </c>
      <c r="F42" s="26">
        <v>1.93</v>
      </c>
      <c r="G42" s="26">
        <v>3.885</v>
      </c>
      <c r="H42" s="27"/>
      <c r="I42" s="28">
        <f t="shared" si="15"/>
        <v>0.0603125</v>
      </c>
      <c r="J42" s="28">
        <f t="shared" si="7"/>
        <v>0.060703125</v>
      </c>
      <c r="K42" s="28">
        <f t="shared" si="8"/>
        <v>0</v>
      </c>
      <c r="M42" s="36">
        <f t="shared" si="24"/>
        <v>-0.00822199383350464</v>
      </c>
      <c r="N42" s="36">
        <f t="shared" si="28"/>
        <v>-0.0208016235413496</v>
      </c>
      <c r="O42" s="36">
        <f t="shared" si="29"/>
        <v>-0.0585365853658536</v>
      </c>
      <c r="P42" s="36">
        <f t="shared" si="30"/>
        <v>-0.00588536335721601</v>
      </c>
      <c r="Q42" s="36">
        <f t="shared" si="31"/>
        <v>-0.0226415094339624</v>
      </c>
      <c r="R42" s="36">
        <f t="shared" si="32"/>
        <v>-0.0581818181818182</v>
      </c>
      <c r="S42" s="36"/>
      <c r="T42" s="36"/>
      <c r="U42" s="36"/>
      <c r="W42" s="5" t="str" cm="1">
        <f t="array" ref="W42">_xlfn.IFS(MONTH(X42)&lt;4,1,MONTH(X42)&lt;7,2,MONTH(X42)&lt;10,3,MONTH(X42)&gt;9,4)&amp;"Q"&amp;RIGHT(YEAR(X42),2)</f>
        <v>2Q19</v>
      </c>
      <c r="X42" s="2">
        <f t="shared" si="16"/>
        <v>43585</v>
      </c>
      <c r="Y42" s="25">
        <v>43577</v>
      </c>
      <c r="Z42" s="29">
        <v>51</v>
      </c>
      <c r="AD42" s="36">
        <f t="shared" si="25"/>
        <v>0</v>
      </c>
      <c r="AE42" s="36">
        <f t="shared" si="33"/>
        <v>0</v>
      </c>
      <c r="AF42" s="36">
        <f t="shared" si="34"/>
        <v>0</v>
      </c>
      <c r="AJ42" s="5" t="str" cm="1">
        <f t="array" ref="AJ42">_xlfn.IFS(MONTH(AK42)&lt;4,1,MONTH(AK42)&lt;7,2,MONTH(AK42)&lt;10,3,MONTH(AK42)&gt;9,4)&amp;"Q"&amp;RIGHT(YEAR(AK42),2)</f>
        <v>4Q18</v>
      </c>
      <c r="AK42" s="2">
        <f t="shared" si="17"/>
        <v>43465</v>
      </c>
      <c r="AL42" s="44">
        <f t="shared" si="35"/>
        <v>43465</v>
      </c>
      <c r="AM42" s="45">
        <v>2.69</v>
      </c>
      <c r="AN42" s="45">
        <v>5.67</v>
      </c>
      <c r="AO42" s="45"/>
      <c r="AP42" s="45"/>
      <c r="AQ42" s="27"/>
      <c r="AR42" s="30">
        <f t="shared" si="9"/>
        <v>0.0840625</v>
      </c>
      <c r="AS42" s="30">
        <f t="shared" si="38"/>
        <v>0.08859375</v>
      </c>
      <c r="AT42" s="30"/>
      <c r="AU42" s="30"/>
      <c r="AV42" s="37">
        <f t="shared" si="19"/>
        <v>-0.0594405594405594</v>
      </c>
      <c r="AW42" s="37">
        <f t="shared" si="19"/>
        <v>-0.0658978583196047</v>
      </c>
      <c r="AX42" s="37"/>
      <c r="AY42" s="37"/>
      <c r="BA42" s="25">
        <f t="shared" si="20"/>
        <v>43598</v>
      </c>
      <c r="BB42" s="28">
        <f t="shared" si="20"/>
        <v>1.93</v>
      </c>
      <c r="BC42" s="28">
        <f t="shared" si="10"/>
        <v>1.95</v>
      </c>
      <c r="BD42" s="28">
        <f t="shared" si="21"/>
        <v>3.885</v>
      </c>
      <c r="BE42" s="28">
        <f t="shared" si="11"/>
        <v>3.88</v>
      </c>
      <c r="BF42" s="28"/>
      <c r="BG42" s="28"/>
      <c r="BH42" s="28"/>
      <c r="BI42" s="28"/>
      <c r="BK42" s="32" t="s">
        <v>205</v>
      </c>
      <c r="BL42" s="32">
        <v>19.1</v>
      </c>
      <c r="BM42" s="32">
        <v>4.15</v>
      </c>
      <c r="BN42" s="32">
        <v>17.96</v>
      </c>
      <c r="BO42" s="32">
        <v>27.96</v>
      </c>
      <c r="BP42" s="32"/>
      <c r="BR42" s="38">
        <f t="shared" si="26"/>
        <v>0.14921875</v>
      </c>
      <c r="BS42" s="38">
        <f t="shared" si="27"/>
        <v>0.259375</v>
      </c>
      <c r="BT42" s="38">
        <f t="shared" si="12"/>
        <v>0.1403125</v>
      </c>
      <c r="BU42" s="38">
        <f t="shared" si="37"/>
        <v>0.10921875</v>
      </c>
      <c r="BV42" s="38"/>
      <c r="BW42" s="37">
        <f t="shared" si="36"/>
        <v>0.0391730141458109</v>
      </c>
      <c r="BX42" s="37">
        <f t="shared" si="36"/>
        <v>0.0613810741687979</v>
      </c>
      <c r="BY42" s="37">
        <f t="shared" si="22"/>
        <v>0.0239452679589511</v>
      </c>
      <c r="BZ42" s="37">
        <f t="shared" si="22"/>
        <v>0.02118334550767</v>
      </c>
      <c r="CA42" s="37"/>
      <c r="CC42" s="25">
        <f t="shared" si="13"/>
        <v>43577</v>
      </c>
      <c r="CD42" s="29">
        <f t="shared" si="13"/>
        <v>51</v>
      </c>
      <c r="CE42" s="29">
        <f t="shared" si="23"/>
        <v>18.71</v>
      </c>
      <c r="DP42" s="35">
        <v>43535</v>
      </c>
      <c r="DQ42" s="26">
        <v>3</v>
      </c>
      <c r="DR42" s="26">
        <v>2.9</v>
      </c>
      <c r="DS42" s="26">
        <v>2.925</v>
      </c>
      <c r="DU42" s="35">
        <v>43535</v>
      </c>
      <c r="DV42" s="26">
        <v>5.95</v>
      </c>
      <c r="DW42" s="26">
        <v>5.7</v>
      </c>
      <c r="DX42" s="26">
        <v>5.795</v>
      </c>
      <c r="DZ42" s="35">
        <v>43535</v>
      </c>
      <c r="EA42" s="26">
        <v>11.2</v>
      </c>
      <c r="EB42" s="26">
        <v>11</v>
      </c>
      <c r="EC42" s="26">
        <v>11.05</v>
      </c>
    </row>
    <row r="43" ht="16.8" spans="3:133">
      <c r="C43" s="5" t="str" cm="1">
        <f t="array" ref="C43">_xlfn.IFS(MONTH(D43)&lt;4,1,MONTH(D43)&lt;7,2,MONTH(D43)&lt;10,3,MONTH(D43)&gt;9,4)&amp;"Q"&amp;RIGHT(YEAR(D43),2)</f>
        <v>2Q19</v>
      </c>
      <c r="D43" s="2">
        <f t="shared" si="14"/>
        <v>43616</v>
      </c>
      <c r="E43" s="25">
        <v>43605</v>
      </c>
      <c r="F43" s="26">
        <v>1.922</v>
      </c>
      <c r="G43" s="26">
        <v>3.877</v>
      </c>
      <c r="H43" s="27"/>
      <c r="I43" s="28">
        <f t="shared" si="15"/>
        <v>0.0600625</v>
      </c>
      <c r="J43" s="28">
        <f t="shared" si="7"/>
        <v>0.060578125</v>
      </c>
      <c r="K43" s="28">
        <f t="shared" si="8"/>
        <v>0</v>
      </c>
      <c r="M43" s="36">
        <f t="shared" si="24"/>
        <v>-0.00414507772020722</v>
      </c>
      <c r="N43" s="36">
        <f t="shared" si="28"/>
        <v>-0.012332990750257</v>
      </c>
      <c r="O43" s="36">
        <f t="shared" si="29"/>
        <v>-0.0248604769152715</v>
      </c>
      <c r="P43" s="36">
        <f t="shared" si="30"/>
        <v>-0.00205920205920207</v>
      </c>
      <c r="Q43" s="36">
        <f t="shared" si="31"/>
        <v>-0.00793244626407374</v>
      </c>
      <c r="R43" s="36">
        <f t="shared" si="32"/>
        <v>-0.0246540880503145</v>
      </c>
      <c r="S43" s="36"/>
      <c r="T43" s="36"/>
      <c r="U43" s="36"/>
      <c r="W43" s="5" t="str" cm="1">
        <f t="array" ref="W43">_xlfn.IFS(MONTH(X43)&lt;4,1,MONTH(X43)&lt;7,2,MONTH(X43)&lt;10,3,MONTH(X43)&gt;9,4)&amp;"Q"&amp;RIGHT(YEAR(X43),2)</f>
        <v>2Q19</v>
      </c>
      <c r="X43" s="2">
        <f t="shared" si="16"/>
        <v>43585</v>
      </c>
      <c r="Y43" s="25">
        <v>43584</v>
      </c>
      <c r="Z43" s="29">
        <v>51</v>
      </c>
      <c r="AD43" s="36">
        <f t="shared" si="25"/>
        <v>0</v>
      </c>
      <c r="AE43" s="36">
        <f t="shared" si="33"/>
        <v>0</v>
      </c>
      <c r="AF43" s="36">
        <f t="shared" si="34"/>
        <v>0</v>
      </c>
      <c r="AJ43" s="5" t="str" cm="1">
        <f t="array" ref="AJ43">_xlfn.IFS(MONTH(AK43)&lt;4,1,MONTH(AK43)&lt;7,2,MONTH(AK43)&lt;10,3,MONTH(AK43)&gt;9,4)&amp;"Q"&amp;RIGHT(YEAR(AK43),2)</f>
        <v>1Q19</v>
      </c>
      <c r="AK43" s="2">
        <f t="shared" si="17"/>
        <v>43496</v>
      </c>
      <c r="AL43" s="44">
        <f t="shared" si="35"/>
        <v>43496</v>
      </c>
      <c r="AM43" s="45">
        <v>2.59</v>
      </c>
      <c r="AN43" s="45">
        <v>5.39</v>
      </c>
      <c r="AO43" s="45"/>
      <c r="AP43" s="45"/>
      <c r="AQ43" s="27"/>
      <c r="AR43" s="30">
        <f t="shared" si="9"/>
        <v>0.0809375</v>
      </c>
      <c r="AS43" s="30">
        <f t="shared" si="38"/>
        <v>0.08421875</v>
      </c>
      <c r="AT43" s="30"/>
      <c r="AU43" s="30"/>
      <c r="AV43" s="37">
        <f t="shared" si="19"/>
        <v>-0.0371747211895911</v>
      </c>
      <c r="AW43" s="37">
        <f t="shared" si="19"/>
        <v>-0.0493827160493827</v>
      </c>
      <c r="AX43" s="37"/>
      <c r="AY43" s="37"/>
      <c r="BA43" s="25">
        <f t="shared" si="20"/>
        <v>43605</v>
      </c>
      <c r="BB43" s="28">
        <f t="shared" si="20"/>
        <v>1.922</v>
      </c>
      <c r="BC43" s="28">
        <f t="shared" si="10"/>
        <v>1.95</v>
      </c>
      <c r="BD43" s="28">
        <f t="shared" si="21"/>
        <v>3.877</v>
      </c>
      <c r="BE43" s="28">
        <f t="shared" si="11"/>
        <v>3.88</v>
      </c>
      <c r="BF43" s="28"/>
      <c r="BG43" s="28"/>
      <c r="BH43" s="28"/>
      <c r="BI43" s="28"/>
      <c r="BK43" s="32" t="s">
        <v>206</v>
      </c>
      <c r="BL43" s="32">
        <v>19.1</v>
      </c>
      <c r="BM43" s="32">
        <v>3.59</v>
      </c>
      <c r="BN43" s="32">
        <v>17.58</v>
      </c>
      <c r="BO43" s="32">
        <v>27.56</v>
      </c>
      <c r="BP43" s="32">
        <v>58.7</v>
      </c>
      <c r="BR43" s="38">
        <f t="shared" si="26"/>
        <v>0.14921875</v>
      </c>
      <c r="BS43" s="38">
        <f t="shared" si="27"/>
        <v>0.224375</v>
      </c>
      <c r="BT43" s="38">
        <f t="shared" si="12"/>
        <v>0.13734375</v>
      </c>
      <c r="BU43" s="38">
        <f t="shared" si="37"/>
        <v>0.10765625</v>
      </c>
      <c r="BV43" s="38">
        <f>BP43/512</f>
        <v>0.1146484375</v>
      </c>
      <c r="BW43" s="37">
        <f t="shared" si="36"/>
        <v>0</v>
      </c>
      <c r="BX43" s="37">
        <f t="shared" si="36"/>
        <v>-0.134939759036145</v>
      </c>
      <c r="BY43" s="37">
        <f t="shared" si="22"/>
        <v>-0.0211581291759467</v>
      </c>
      <c r="BZ43" s="37">
        <f t="shared" si="22"/>
        <v>-0.0143061516452075</v>
      </c>
      <c r="CA43" s="37"/>
      <c r="CC43" s="25">
        <f t="shared" si="13"/>
        <v>43584</v>
      </c>
      <c r="CD43" s="29">
        <f t="shared" si="13"/>
        <v>51</v>
      </c>
      <c r="CE43" s="29">
        <f t="shared" si="23"/>
        <v>18.71</v>
      </c>
      <c r="DP43" s="35">
        <v>43536</v>
      </c>
      <c r="DQ43" s="26">
        <v>3</v>
      </c>
      <c r="DR43" s="26">
        <v>2.9</v>
      </c>
      <c r="DS43" s="26">
        <v>2.925</v>
      </c>
      <c r="DU43" s="35">
        <v>43536</v>
      </c>
      <c r="DV43" s="26">
        <v>5.95</v>
      </c>
      <c r="DW43" s="26">
        <v>5.7</v>
      </c>
      <c r="DX43" s="26">
        <v>5.795</v>
      </c>
      <c r="DZ43" s="35">
        <v>43536</v>
      </c>
      <c r="EA43" s="26">
        <v>11.2</v>
      </c>
      <c r="EB43" s="26">
        <v>11</v>
      </c>
      <c r="EC43" s="26">
        <v>11.05</v>
      </c>
    </row>
    <row r="44" ht="16.8" spans="3:133">
      <c r="C44" s="5" t="str" cm="1">
        <f t="array" ref="C44">_xlfn.IFS(MONTH(D44)&lt;4,1,MONTH(D44)&lt;7,2,MONTH(D44)&lt;10,3,MONTH(D44)&gt;9,4)&amp;"Q"&amp;RIGHT(YEAR(D44),2)</f>
        <v>2Q19</v>
      </c>
      <c r="D44" s="2">
        <f t="shared" si="14"/>
        <v>43616</v>
      </c>
      <c r="E44" s="25">
        <v>43612</v>
      </c>
      <c r="F44" s="26">
        <v>1.921</v>
      </c>
      <c r="G44" s="26">
        <v>3.846</v>
      </c>
      <c r="H44" s="27"/>
      <c r="I44" s="28">
        <f t="shared" si="15"/>
        <v>0.06003125</v>
      </c>
      <c r="J44" s="28">
        <f t="shared" si="7"/>
        <v>0.06009375</v>
      </c>
      <c r="K44" s="28">
        <f t="shared" si="8"/>
        <v>0</v>
      </c>
      <c r="M44" s="36">
        <f t="shared" si="24"/>
        <v>-0.000520291363163339</v>
      </c>
      <c r="N44" s="36">
        <f t="shared" si="28"/>
        <v>-0.00466321243523315</v>
      </c>
      <c r="O44" s="36">
        <f t="shared" si="29"/>
        <v>-0.0128468653648509</v>
      </c>
      <c r="P44" s="36">
        <f t="shared" si="30"/>
        <v>-0.00799587309775596</v>
      </c>
      <c r="Q44" s="36">
        <f t="shared" si="31"/>
        <v>-0.01003861003861</v>
      </c>
      <c r="R44" s="36">
        <f t="shared" si="32"/>
        <v>-0.0158648925281474</v>
      </c>
      <c r="S44" s="36"/>
      <c r="T44" s="36"/>
      <c r="U44" s="36"/>
      <c r="W44" s="5" t="str" cm="1">
        <f t="array" ref="W44">_xlfn.IFS(MONTH(X44)&lt;4,1,MONTH(X44)&lt;7,2,MONTH(X44)&lt;10,3,MONTH(X44)&gt;9,4)&amp;"Q"&amp;RIGHT(YEAR(X44),2)</f>
        <v>2Q19</v>
      </c>
      <c r="X44" s="2">
        <f t="shared" si="16"/>
        <v>43616</v>
      </c>
      <c r="Y44" s="25">
        <v>43591</v>
      </c>
      <c r="Z44" s="29">
        <v>51</v>
      </c>
      <c r="AD44" s="36">
        <f t="shared" si="25"/>
        <v>0</v>
      </c>
      <c r="AE44" s="36">
        <f t="shared" si="33"/>
        <v>0</v>
      </c>
      <c r="AF44" s="36">
        <f t="shared" si="34"/>
        <v>0</v>
      </c>
      <c r="AJ44" s="5" t="str" cm="1">
        <f t="array" ref="AJ44">_xlfn.IFS(MONTH(AK44)&lt;4,1,MONTH(AK44)&lt;7,2,MONTH(AK44)&lt;10,3,MONTH(AK44)&gt;9,4)&amp;"Q"&amp;RIGHT(YEAR(AK44),2)</f>
        <v>1Q19</v>
      </c>
      <c r="AK44" s="2">
        <f t="shared" si="17"/>
        <v>43524</v>
      </c>
      <c r="AL44" s="44">
        <f t="shared" si="35"/>
        <v>43524</v>
      </c>
      <c r="AM44" s="45">
        <v>2.44</v>
      </c>
      <c r="AN44" s="45">
        <v>4.86</v>
      </c>
      <c r="AO44" s="45"/>
      <c r="AP44" s="45"/>
      <c r="AQ44" s="27"/>
      <c r="AR44" s="30">
        <f t="shared" si="9"/>
        <v>0.07625</v>
      </c>
      <c r="AS44" s="30">
        <f t="shared" si="38"/>
        <v>0.0759375</v>
      </c>
      <c r="AT44" s="30"/>
      <c r="AU44" s="30"/>
      <c r="AV44" s="37">
        <f t="shared" ref="AV44:AW81" si="39">AR44/AR43-1</f>
        <v>-0.0579150579150579</v>
      </c>
      <c r="AW44" s="37">
        <f t="shared" si="39"/>
        <v>-0.098330241187384</v>
      </c>
      <c r="AX44" s="37"/>
      <c r="AY44" s="37"/>
      <c r="BA44" s="25">
        <f t="shared" ref="BA44:BB107" si="40">E44</f>
        <v>43612</v>
      </c>
      <c r="BB44" s="28">
        <f t="shared" si="40"/>
        <v>1.921</v>
      </c>
      <c r="BC44" s="28">
        <f t="shared" si="10"/>
        <v>1.95</v>
      </c>
      <c r="BD44" s="28">
        <f t="shared" si="21"/>
        <v>3.846</v>
      </c>
      <c r="BE44" s="28">
        <f t="shared" si="11"/>
        <v>3.88</v>
      </c>
      <c r="BF44" s="28"/>
      <c r="BG44" s="28"/>
      <c r="BH44" s="28"/>
      <c r="BI44" s="28"/>
      <c r="BK44" s="32" t="s">
        <v>207</v>
      </c>
      <c r="BL44" s="32">
        <v>19</v>
      </c>
      <c r="BM44" s="32">
        <v>3.47</v>
      </c>
      <c r="BN44" s="32">
        <v>17.3</v>
      </c>
      <c r="BO44" s="32">
        <v>27.26</v>
      </c>
      <c r="BP44" s="32">
        <v>56.4</v>
      </c>
      <c r="BR44" s="38">
        <f t="shared" si="26"/>
        <v>0.1484375</v>
      </c>
      <c r="BS44" s="38">
        <f t="shared" si="27"/>
        <v>0.216875</v>
      </c>
      <c r="BT44" s="38">
        <f t="shared" si="12"/>
        <v>0.13515625</v>
      </c>
      <c r="BU44" s="38">
        <f t="shared" si="37"/>
        <v>0.106484375</v>
      </c>
      <c r="BV44" s="38">
        <f t="shared" ref="BV44:BV66" si="41">BP44/512</f>
        <v>0.11015625</v>
      </c>
      <c r="BW44" s="37">
        <f t="shared" si="36"/>
        <v>-0.0052356020942409</v>
      </c>
      <c r="BX44" s="37">
        <f t="shared" si="36"/>
        <v>-0.0334261838440111</v>
      </c>
      <c r="BY44" s="37">
        <f t="shared" si="22"/>
        <v>-0.0159271899886233</v>
      </c>
      <c r="BZ44" s="37">
        <f t="shared" si="22"/>
        <v>-0.0108853410740202</v>
      </c>
      <c r="CA44" s="37">
        <f t="shared" si="22"/>
        <v>-0.0391822827938672</v>
      </c>
      <c r="CC44" s="25">
        <f t="shared" si="13"/>
        <v>43591</v>
      </c>
      <c r="CD44" s="29">
        <f t="shared" si="13"/>
        <v>51</v>
      </c>
      <c r="CE44" s="29">
        <f t="shared" si="23"/>
        <v>18.71</v>
      </c>
      <c r="DP44" s="35">
        <v>43537</v>
      </c>
      <c r="DQ44" s="26">
        <v>3</v>
      </c>
      <c r="DR44" s="26">
        <v>2.9</v>
      </c>
      <c r="DS44" s="26">
        <v>2.925</v>
      </c>
      <c r="DU44" s="35">
        <v>43537</v>
      </c>
      <c r="DV44" s="26">
        <v>5.95</v>
      </c>
      <c r="DW44" s="26">
        <v>5.7</v>
      </c>
      <c r="DX44" s="26">
        <v>5.795</v>
      </c>
      <c r="DZ44" s="35">
        <v>43537</v>
      </c>
      <c r="EA44" s="26">
        <v>11.2</v>
      </c>
      <c r="EB44" s="26">
        <v>11</v>
      </c>
      <c r="EC44" s="26">
        <v>11.05</v>
      </c>
    </row>
    <row r="45" ht="16.8" spans="3:133">
      <c r="C45" s="5" t="str" cm="1">
        <f t="array" ref="C45">_xlfn.IFS(MONTH(D45)&lt;4,1,MONTH(D45)&lt;7,2,MONTH(D45)&lt;10,3,MONTH(D45)&gt;9,4)&amp;"Q"&amp;RIGHT(YEAR(D45),2)</f>
        <v>2Q19</v>
      </c>
      <c r="D45" s="2">
        <f t="shared" si="14"/>
        <v>43646</v>
      </c>
      <c r="E45" s="25">
        <v>43619</v>
      </c>
      <c r="F45" s="26">
        <v>1.893</v>
      </c>
      <c r="G45" s="26">
        <v>3.808</v>
      </c>
      <c r="H45" s="27"/>
      <c r="I45" s="28">
        <f t="shared" si="15"/>
        <v>0.05915625</v>
      </c>
      <c r="J45" s="28">
        <f t="shared" si="7"/>
        <v>0.0595</v>
      </c>
      <c r="K45" s="28">
        <f t="shared" si="8"/>
        <v>0</v>
      </c>
      <c r="M45" s="36">
        <f t="shared" si="24"/>
        <v>-0.0145757418011453</v>
      </c>
      <c r="N45" s="36">
        <f t="shared" si="28"/>
        <v>-0.0150884495317377</v>
      </c>
      <c r="O45" s="36">
        <f t="shared" si="29"/>
        <v>-0.0191709844559586</v>
      </c>
      <c r="P45" s="36">
        <f t="shared" si="30"/>
        <v>-0.00988039521580875</v>
      </c>
      <c r="Q45" s="36">
        <f t="shared" si="31"/>
        <v>-0.0177972659272634</v>
      </c>
      <c r="R45" s="36">
        <f t="shared" si="32"/>
        <v>-0.0198198198198198</v>
      </c>
      <c r="S45" s="36"/>
      <c r="T45" s="36"/>
      <c r="U45" s="36"/>
      <c r="W45" s="5" t="str" cm="1">
        <f t="array" ref="W45">_xlfn.IFS(MONTH(X45)&lt;4,1,MONTH(X45)&lt;7,2,MONTH(X45)&lt;10,3,MONTH(X45)&gt;9,4)&amp;"Q"&amp;RIGHT(YEAR(X45),2)</f>
        <v>2Q19</v>
      </c>
      <c r="X45" s="2">
        <f t="shared" si="16"/>
        <v>43616</v>
      </c>
      <c r="Y45" s="25">
        <v>43598</v>
      </c>
      <c r="Z45" s="29">
        <v>51</v>
      </c>
      <c r="AD45" s="36">
        <f t="shared" si="25"/>
        <v>0</v>
      </c>
      <c r="AE45" s="36">
        <f t="shared" si="33"/>
        <v>0</v>
      </c>
      <c r="AF45" s="36">
        <f t="shared" si="34"/>
        <v>0</v>
      </c>
      <c r="AJ45" s="5" t="str" cm="1">
        <f t="array" ref="AJ45">_xlfn.IFS(MONTH(AK45)&lt;4,1,MONTH(AK45)&lt;7,2,MONTH(AK45)&lt;10,3,MONTH(AK45)&gt;9,4)&amp;"Q"&amp;RIGHT(YEAR(AK45),2)</f>
        <v>1Q19</v>
      </c>
      <c r="AK45" s="2">
        <f t="shared" si="17"/>
        <v>43555</v>
      </c>
      <c r="AL45" s="44">
        <f t="shared" si="35"/>
        <v>43555</v>
      </c>
      <c r="AM45" s="45">
        <v>2.19</v>
      </c>
      <c r="AN45" s="45">
        <v>4.37</v>
      </c>
      <c r="AO45" s="45"/>
      <c r="AP45" s="45"/>
      <c r="AQ45" s="27"/>
      <c r="AR45" s="30">
        <f t="shared" si="9"/>
        <v>0.0684375</v>
      </c>
      <c r="AS45" s="30">
        <f t="shared" si="38"/>
        <v>0.06828125</v>
      </c>
      <c r="AT45" s="30"/>
      <c r="AU45" s="30"/>
      <c r="AV45" s="37">
        <f t="shared" si="39"/>
        <v>-0.102459016393443</v>
      </c>
      <c r="AW45" s="37">
        <f t="shared" si="39"/>
        <v>-0.10082304526749</v>
      </c>
      <c r="AX45" s="37"/>
      <c r="AY45" s="37"/>
      <c r="BA45" s="25">
        <f t="shared" si="40"/>
        <v>43619</v>
      </c>
      <c r="BB45" s="28">
        <f t="shared" si="40"/>
        <v>1.893</v>
      </c>
      <c r="BC45" s="28">
        <f t="shared" si="10"/>
        <v>1.92</v>
      </c>
      <c r="BD45" s="28">
        <f t="shared" si="21"/>
        <v>3.808</v>
      </c>
      <c r="BE45" s="28">
        <f t="shared" si="11"/>
        <v>3.82</v>
      </c>
      <c r="BF45" s="28"/>
      <c r="BG45" s="28"/>
      <c r="BH45" s="28"/>
      <c r="BI45" s="28"/>
      <c r="BK45" s="32" t="s">
        <v>208</v>
      </c>
      <c r="BL45" s="32">
        <v>19</v>
      </c>
      <c r="BM45" s="32">
        <v>3.54</v>
      </c>
      <c r="BN45" s="32">
        <v>16.56</v>
      </c>
      <c r="BO45" s="32">
        <v>26.38</v>
      </c>
      <c r="BP45" s="32">
        <v>53.7</v>
      </c>
      <c r="BR45" s="38">
        <f t="shared" si="26"/>
        <v>0.1484375</v>
      </c>
      <c r="BS45" s="38">
        <f t="shared" si="27"/>
        <v>0.22125</v>
      </c>
      <c r="BT45" s="38">
        <f t="shared" si="12"/>
        <v>0.129375</v>
      </c>
      <c r="BU45" s="38">
        <f t="shared" si="37"/>
        <v>0.103046875</v>
      </c>
      <c r="BV45" s="38">
        <f t="shared" si="41"/>
        <v>0.1048828125</v>
      </c>
      <c r="BW45" s="37">
        <f t="shared" si="36"/>
        <v>0</v>
      </c>
      <c r="BX45" s="37">
        <f t="shared" si="36"/>
        <v>0.0201729106628241</v>
      </c>
      <c r="BY45" s="37">
        <f t="shared" si="22"/>
        <v>-0.0427745664739886</v>
      </c>
      <c r="BZ45" s="37">
        <f t="shared" si="22"/>
        <v>-0.0322817314746883</v>
      </c>
      <c r="CA45" s="37">
        <f t="shared" si="22"/>
        <v>-0.0478723404255318</v>
      </c>
      <c r="CC45" s="25">
        <f t="shared" si="13"/>
        <v>43598</v>
      </c>
      <c r="CD45" s="29">
        <f t="shared" si="13"/>
        <v>51</v>
      </c>
      <c r="CE45" s="29">
        <f t="shared" si="23"/>
        <v>18.71</v>
      </c>
      <c r="DP45" s="35">
        <v>43538</v>
      </c>
      <c r="DQ45" s="26">
        <v>3</v>
      </c>
      <c r="DR45" s="26">
        <v>2.9</v>
      </c>
      <c r="DS45" s="26">
        <v>2.925</v>
      </c>
      <c r="DU45" s="35">
        <v>43538</v>
      </c>
      <c r="DV45" s="26">
        <v>5.95</v>
      </c>
      <c r="DW45" s="26">
        <v>5.7</v>
      </c>
      <c r="DX45" s="26">
        <v>5.795</v>
      </c>
      <c r="DZ45" s="35">
        <v>43538</v>
      </c>
      <c r="EA45" s="26">
        <v>11.2</v>
      </c>
      <c r="EB45" s="26">
        <v>11</v>
      </c>
      <c r="EC45" s="26">
        <v>11.05</v>
      </c>
    </row>
    <row r="46" ht="16.8" spans="3:133">
      <c r="C46" s="5" t="str" cm="1">
        <f t="array" ref="C46">_xlfn.IFS(MONTH(D46)&lt;4,1,MONTH(D46)&lt;7,2,MONTH(D46)&lt;10,3,MONTH(D46)&gt;9,4)&amp;"Q"&amp;RIGHT(YEAR(D46),2)</f>
        <v>2Q19</v>
      </c>
      <c r="D46" s="2">
        <f t="shared" si="14"/>
        <v>43646</v>
      </c>
      <c r="E46" s="25">
        <v>43626</v>
      </c>
      <c r="F46" s="26">
        <v>1.883</v>
      </c>
      <c r="G46" s="26">
        <v>3.793</v>
      </c>
      <c r="H46" s="27"/>
      <c r="I46" s="28">
        <f t="shared" si="15"/>
        <v>0.05884375</v>
      </c>
      <c r="J46" s="28">
        <f t="shared" si="7"/>
        <v>0.059265625</v>
      </c>
      <c r="K46" s="28">
        <f t="shared" si="8"/>
        <v>0</v>
      </c>
      <c r="M46" s="36">
        <f t="shared" si="24"/>
        <v>-0.00528262017960912</v>
      </c>
      <c r="N46" s="36">
        <f t="shared" si="28"/>
        <v>-0.0197813638729828</v>
      </c>
      <c r="O46" s="36">
        <f t="shared" si="29"/>
        <v>-0.0202913631633714</v>
      </c>
      <c r="P46" s="36">
        <f t="shared" si="30"/>
        <v>-0.00393907563025198</v>
      </c>
      <c r="Q46" s="36">
        <f t="shared" si="31"/>
        <v>-0.0137805512220489</v>
      </c>
      <c r="R46" s="36">
        <f t="shared" si="32"/>
        <v>-0.0216662367810162</v>
      </c>
      <c r="S46" s="36"/>
      <c r="T46" s="36"/>
      <c r="U46" s="36"/>
      <c r="W46" s="5" t="str" cm="1">
        <f t="array" ref="W46">_xlfn.IFS(MONTH(X46)&lt;4,1,MONTH(X46)&lt;7,2,MONTH(X46)&lt;10,3,MONTH(X46)&gt;9,4)&amp;"Q"&amp;RIGHT(YEAR(X46),2)</f>
        <v>2Q19</v>
      </c>
      <c r="X46" s="2">
        <f t="shared" si="16"/>
        <v>43616</v>
      </c>
      <c r="Y46" s="25">
        <v>43605</v>
      </c>
      <c r="Z46" s="29">
        <v>51</v>
      </c>
      <c r="AD46" s="36">
        <f t="shared" si="25"/>
        <v>0</v>
      </c>
      <c r="AE46" s="36">
        <f t="shared" si="33"/>
        <v>0</v>
      </c>
      <c r="AF46" s="36">
        <f t="shared" si="34"/>
        <v>0</v>
      </c>
      <c r="AJ46" s="5" t="str" cm="1">
        <f t="array" ref="AJ46">_xlfn.IFS(MONTH(AK46)&lt;4,1,MONTH(AK46)&lt;7,2,MONTH(AK46)&lt;10,3,MONTH(AK46)&gt;9,4)&amp;"Q"&amp;RIGHT(YEAR(AK46),2)</f>
        <v>2Q19</v>
      </c>
      <c r="AK46" s="2">
        <f t="shared" si="17"/>
        <v>43585</v>
      </c>
      <c r="AL46" s="44">
        <f t="shared" si="35"/>
        <v>43585</v>
      </c>
      <c r="AM46" s="45">
        <v>2.02</v>
      </c>
      <c r="AN46" s="45">
        <v>4.04</v>
      </c>
      <c r="AO46" s="45"/>
      <c r="AP46" s="45"/>
      <c r="AQ46" s="27"/>
      <c r="AR46" s="30">
        <f t="shared" si="9"/>
        <v>0.063125</v>
      </c>
      <c r="AS46" s="30">
        <f t="shared" si="38"/>
        <v>0.063125</v>
      </c>
      <c r="AT46" s="30"/>
      <c r="AU46" s="30"/>
      <c r="AV46" s="37">
        <f t="shared" si="39"/>
        <v>-0.0776255707762556</v>
      </c>
      <c r="AW46" s="37">
        <f t="shared" si="39"/>
        <v>-0.0755148741418764</v>
      </c>
      <c r="AX46" s="37"/>
      <c r="AY46" s="37"/>
      <c r="BA46" s="25">
        <f t="shared" si="40"/>
        <v>43626</v>
      </c>
      <c r="BB46" s="28">
        <f t="shared" si="40"/>
        <v>1.883</v>
      </c>
      <c r="BC46" s="28">
        <f t="shared" si="10"/>
        <v>1.92</v>
      </c>
      <c r="BD46" s="28">
        <f t="shared" si="21"/>
        <v>3.793</v>
      </c>
      <c r="BE46" s="28">
        <f t="shared" si="11"/>
        <v>3.82</v>
      </c>
      <c r="BF46" s="28"/>
      <c r="BG46" s="28"/>
      <c r="BH46" s="28"/>
      <c r="BI46" s="28"/>
      <c r="BK46" s="32" t="s">
        <v>209</v>
      </c>
      <c r="BL46" s="32">
        <v>19.62</v>
      </c>
      <c r="BM46" s="32">
        <v>4.01</v>
      </c>
      <c r="BN46" s="32">
        <v>17.28</v>
      </c>
      <c r="BO46" s="32">
        <v>27.5</v>
      </c>
      <c r="BP46" s="32">
        <v>55.2</v>
      </c>
      <c r="BR46" s="38">
        <f t="shared" si="26"/>
        <v>0.15328125</v>
      </c>
      <c r="BS46" s="38">
        <f t="shared" si="27"/>
        <v>0.250625</v>
      </c>
      <c r="BT46" s="38">
        <f t="shared" si="12"/>
        <v>0.135</v>
      </c>
      <c r="BU46" s="38">
        <f t="shared" si="37"/>
        <v>0.107421875</v>
      </c>
      <c r="BV46" s="38">
        <f t="shared" si="41"/>
        <v>0.1078125</v>
      </c>
      <c r="BW46" s="37">
        <f t="shared" si="36"/>
        <v>0.0326315789473686</v>
      </c>
      <c r="BX46" s="37">
        <f t="shared" si="36"/>
        <v>0.132768361581921</v>
      </c>
      <c r="BY46" s="37">
        <f t="shared" si="22"/>
        <v>0.0434782608695654</v>
      </c>
      <c r="BZ46" s="37">
        <f t="shared" si="22"/>
        <v>0.0424564063684609</v>
      </c>
      <c r="CA46" s="37">
        <f t="shared" si="22"/>
        <v>0.0279329608938548</v>
      </c>
      <c r="CC46" s="25">
        <f t="shared" si="13"/>
        <v>43605</v>
      </c>
      <c r="CD46" s="29">
        <f t="shared" si="13"/>
        <v>51</v>
      </c>
      <c r="CE46" s="29">
        <f t="shared" si="23"/>
        <v>18.71</v>
      </c>
      <c r="DP46" s="35">
        <v>43539</v>
      </c>
      <c r="DQ46" s="26">
        <v>3</v>
      </c>
      <c r="DR46" s="26">
        <v>2.9</v>
      </c>
      <c r="DS46" s="26">
        <v>2.925</v>
      </c>
      <c r="DU46" s="35">
        <v>43539</v>
      </c>
      <c r="DV46" s="26">
        <v>5.9</v>
      </c>
      <c r="DW46" s="26">
        <v>5.7</v>
      </c>
      <c r="DX46" s="26">
        <v>5.79</v>
      </c>
      <c r="DZ46" s="35">
        <v>43539</v>
      </c>
      <c r="EA46" s="26">
        <v>11.2</v>
      </c>
      <c r="EB46" s="26">
        <v>11</v>
      </c>
      <c r="EC46" s="26">
        <v>11.05</v>
      </c>
    </row>
    <row r="47" ht="16.8" spans="3:133">
      <c r="C47" s="5" t="str" cm="1">
        <f t="array" ref="C47">_xlfn.IFS(MONTH(D47)&lt;4,1,MONTH(D47)&lt;7,2,MONTH(D47)&lt;10,3,MONTH(D47)&gt;9,4)&amp;"Q"&amp;RIGHT(YEAR(D47),2)</f>
        <v>2Q19</v>
      </c>
      <c r="D47" s="2">
        <f t="shared" si="14"/>
        <v>43646</v>
      </c>
      <c r="E47" s="25">
        <v>43633</v>
      </c>
      <c r="F47" s="26">
        <v>1.822</v>
      </c>
      <c r="G47" s="26">
        <v>3.707</v>
      </c>
      <c r="H47" s="27"/>
      <c r="I47" s="28">
        <f t="shared" si="15"/>
        <v>0.0569375</v>
      </c>
      <c r="J47" s="28">
        <f t="shared" si="7"/>
        <v>0.057921875</v>
      </c>
      <c r="K47" s="28">
        <f t="shared" si="8"/>
        <v>0</v>
      </c>
      <c r="M47" s="36">
        <f t="shared" si="24"/>
        <v>-0.0323951141795008</v>
      </c>
      <c r="N47" s="36">
        <f t="shared" si="28"/>
        <v>-0.0375066032752245</v>
      </c>
      <c r="O47" s="36">
        <f t="shared" si="29"/>
        <v>-0.0515356585111921</v>
      </c>
      <c r="P47" s="36">
        <f t="shared" si="30"/>
        <v>-0.0226733456366993</v>
      </c>
      <c r="Q47" s="36">
        <f t="shared" si="31"/>
        <v>-0.0265231092436975</v>
      </c>
      <c r="R47" s="36">
        <f t="shared" si="32"/>
        <v>-0.0361414456578264</v>
      </c>
      <c r="S47" s="36"/>
      <c r="T47" s="36"/>
      <c r="U47" s="36"/>
      <c r="W47" s="5" t="str" cm="1">
        <f t="array" ref="W47">_xlfn.IFS(MONTH(X47)&lt;4,1,MONTH(X47)&lt;7,2,MONTH(X47)&lt;10,3,MONTH(X47)&gt;9,4)&amp;"Q"&amp;RIGHT(YEAR(X47),2)</f>
        <v>2Q19</v>
      </c>
      <c r="X47" s="2">
        <f t="shared" si="16"/>
        <v>43616</v>
      </c>
      <c r="Y47" s="25">
        <v>43612</v>
      </c>
      <c r="Z47" s="29">
        <v>51</v>
      </c>
      <c r="AD47" s="36">
        <f t="shared" si="25"/>
        <v>0</v>
      </c>
      <c r="AE47" s="36">
        <f t="shared" si="33"/>
        <v>0</v>
      </c>
      <c r="AF47" s="36">
        <f t="shared" si="34"/>
        <v>0</v>
      </c>
      <c r="AJ47" s="5" t="str" cm="1">
        <f t="array" ref="AJ47">_xlfn.IFS(MONTH(AK47)&lt;4,1,MONTH(AK47)&lt;7,2,MONTH(AK47)&lt;10,3,MONTH(AK47)&gt;9,4)&amp;"Q"&amp;RIGHT(YEAR(AK47),2)</f>
        <v>2Q19</v>
      </c>
      <c r="AK47" s="2">
        <f t="shared" si="17"/>
        <v>43616</v>
      </c>
      <c r="AL47" s="44">
        <f t="shared" si="35"/>
        <v>43616</v>
      </c>
      <c r="AM47" s="45">
        <v>1.95</v>
      </c>
      <c r="AN47" s="45">
        <v>3.88</v>
      </c>
      <c r="AO47" s="45"/>
      <c r="AP47" s="45"/>
      <c r="AQ47" s="27"/>
      <c r="AR47" s="30">
        <f t="shared" si="9"/>
        <v>0.0609375</v>
      </c>
      <c r="AS47" s="30">
        <f t="shared" si="38"/>
        <v>0.060625</v>
      </c>
      <c r="AT47" s="30"/>
      <c r="AU47" s="30"/>
      <c r="AV47" s="37">
        <f t="shared" si="39"/>
        <v>-0.0346534653465347</v>
      </c>
      <c r="AW47" s="37">
        <f t="shared" si="39"/>
        <v>-0.0396039603960396</v>
      </c>
      <c r="AX47" s="37"/>
      <c r="AY47" s="37"/>
      <c r="BA47" s="25">
        <f t="shared" si="40"/>
        <v>43633</v>
      </c>
      <c r="BB47" s="28">
        <f t="shared" si="40"/>
        <v>1.822</v>
      </c>
      <c r="BC47" s="28">
        <f t="shared" si="10"/>
        <v>1.92</v>
      </c>
      <c r="BD47" s="28">
        <f t="shared" si="21"/>
        <v>3.707</v>
      </c>
      <c r="BE47" s="28">
        <f t="shared" si="11"/>
        <v>3.82</v>
      </c>
      <c r="BF47" s="28"/>
      <c r="BG47" s="28"/>
      <c r="BH47" s="28"/>
      <c r="BI47" s="28"/>
      <c r="BK47" s="32" t="s">
        <v>210</v>
      </c>
      <c r="BL47" s="32">
        <v>20</v>
      </c>
      <c r="BM47" s="32">
        <v>4.22</v>
      </c>
      <c r="BN47" s="32">
        <v>18.04</v>
      </c>
      <c r="BO47" s="32">
        <v>29.08</v>
      </c>
      <c r="BP47" s="32">
        <v>56.9</v>
      </c>
      <c r="BR47" s="38">
        <f t="shared" si="26"/>
        <v>0.15625</v>
      </c>
      <c r="BS47" s="38">
        <f t="shared" si="27"/>
        <v>0.26375</v>
      </c>
      <c r="BT47" s="38">
        <f t="shared" si="12"/>
        <v>0.1409375</v>
      </c>
      <c r="BU47" s="38">
        <f t="shared" si="37"/>
        <v>0.11359375</v>
      </c>
      <c r="BV47" s="38">
        <f t="shared" si="41"/>
        <v>0.1111328125</v>
      </c>
      <c r="BW47" s="37">
        <f t="shared" si="36"/>
        <v>0.019367991845056</v>
      </c>
      <c r="BX47" s="37">
        <f t="shared" si="36"/>
        <v>0.0523690773067331</v>
      </c>
      <c r="BY47" s="37">
        <f t="shared" si="22"/>
        <v>0.0439814814814814</v>
      </c>
      <c r="BZ47" s="37">
        <f t="shared" si="22"/>
        <v>0.0574545454545454</v>
      </c>
      <c r="CA47" s="37">
        <f t="shared" si="22"/>
        <v>0.0307971014492754</v>
      </c>
      <c r="CC47" s="25">
        <f t="shared" si="13"/>
        <v>43612</v>
      </c>
      <c r="CD47" s="29">
        <f t="shared" si="13"/>
        <v>51</v>
      </c>
      <c r="CE47" s="29">
        <f t="shared" si="23"/>
        <v>18.71</v>
      </c>
      <c r="DP47" s="35">
        <v>43542</v>
      </c>
      <c r="DQ47" s="26">
        <v>3</v>
      </c>
      <c r="DR47" s="26">
        <v>2.85</v>
      </c>
      <c r="DS47" s="26">
        <v>2.915</v>
      </c>
      <c r="DU47" s="35">
        <v>43542</v>
      </c>
      <c r="DV47" s="26">
        <v>5.85</v>
      </c>
      <c r="DW47" s="26">
        <v>5.7</v>
      </c>
      <c r="DX47" s="26">
        <v>5.775</v>
      </c>
      <c r="DZ47" s="35">
        <v>43542</v>
      </c>
      <c r="EA47" s="26">
        <v>11.2</v>
      </c>
      <c r="EB47" s="26">
        <v>11</v>
      </c>
      <c r="EC47" s="26">
        <v>11.05</v>
      </c>
    </row>
    <row r="48" ht="16.8" spans="3:133">
      <c r="C48" s="5" t="str" cm="1">
        <f t="array" ref="C48">_xlfn.IFS(MONTH(D48)&lt;4,1,MONTH(D48)&lt;7,2,MONTH(D48)&lt;10,3,MONTH(D48)&gt;9,4)&amp;"Q"&amp;RIGHT(YEAR(D48),2)</f>
        <v>2Q19</v>
      </c>
      <c r="D48" s="2">
        <f t="shared" si="14"/>
        <v>43646</v>
      </c>
      <c r="E48" s="25">
        <v>43640</v>
      </c>
      <c r="F48" s="26">
        <v>1.821</v>
      </c>
      <c r="G48" s="26">
        <v>3.693</v>
      </c>
      <c r="H48" s="27"/>
      <c r="I48" s="28">
        <f t="shared" si="15"/>
        <v>0.05690625</v>
      </c>
      <c r="J48" s="28">
        <f t="shared" si="7"/>
        <v>0.057703125</v>
      </c>
      <c r="K48" s="28">
        <f t="shared" si="8"/>
        <v>0</v>
      </c>
      <c r="M48" s="36">
        <f t="shared" si="24"/>
        <v>-0.000548847420417164</v>
      </c>
      <c r="N48" s="36">
        <f t="shared" si="28"/>
        <v>-0.0329261816250664</v>
      </c>
      <c r="O48" s="36">
        <f t="shared" si="29"/>
        <v>-0.0380348652931854</v>
      </c>
      <c r="P48" s="36">
        <f t="shared" si="30"/>
        <v>-0.0037766387914755</v>
      </c>
      <c r="Q48" s="36">
        <f t="shared" si="31"/>
        <v>-0.0263643553915107</v>
      </c>
      <c r="R48" s="36">
        <f t="shared" si="32"/>
        <v>-0.0301995798319327</v>
      </c>
      <c r="S48" s="36"/>
      <c r="T48" s="36"/>
      <c r="U48" s="36"/>
      <c r="W48" s="5" t="str" cm="1">
        <f t="array" ref="W48">_xlfn.IFS(MONTH(X48)&lt;4,1,MONTH(X48)&lt;7,2,MONTH(X48)&lt;10,3,MONTH(X48)&gt;9,4)&amp;"Q"&amp;RIGHT(YEAR(X48),2)</f>
        <v>2Q19</v>
      </c>
      <c r="X48" s="2">
        <f t="shared" si="16"/>
        <v>43646</v>
      </c>
      <c r="Y48" s="25">
        <v>43619</v>
      </c>
      <c r="Z48" s="29">
        <v>51</v>
      </c>
      <c r="AD48" s="36">
        <f t="shared" si="25"/>
        <v>0</v>
      </c>
      <c r="AE48" s="36">
        <f t="shared" si="33"/>
        <v>0</v>
      </c>
      <c r="AF48" s="36">
        <f t="shared" si="34"/>
        <v>0</v>
      </c>
      <c r="AJ48" s="5" t="str" cm="1">
        <f t="array" ref="AJ48">_xlfn.IFS(MONTH(AK48)&lt;4,1,MONTH(AK48)&lt;7,2,MONTH(AK48)&lt;10,3,MONTH(AK48)&gt;9,4)&amp;"Q"&amp;RIGHT(YEAR(AK48),2)</f>
        <v>2Q19</v>
      </c>
      <c r="AK48" s="2">
        <f t="shared" si="17"/>
        <v>43646</v>
      </c>
      <c r="AL48" s="44">
        <f t="shared" si="35"/>
        <v>43646</v>
      </c>
      <c r="AM48" s="45">
        <v>1.92</v>
      </c>
      <c r="AN48" s="45">
        <v>3.82</v>
      </c>
      <c r="AO48" s="45"/>
      <c r="AP48" s="45"/>
      <c r="AQ48" s="27"/>
      <c r="AR48" s="30">
        <f t="shared" si="9"/>
        <v>0.06</v>
      </c>
      <c r="AS48" s="30">
        <f t="shared" si="38"/>
        <v>0.0596875</v>
      </c>
      <c r="AT48" s="30"/>
      <c r="AU48" s="30"/>
      <c r="AV48" s="37">
        <f t="shared" si="39"/>
        <v>-0.0153846153846154</v>
      </c>
      <c r="AW48" s="37">
        <f t="shared" si="39"/>
        <v>-0.0154639175257733</v>
      </c>
      <c r="AX48" s="37"/>
      <c r="AY48" s="37"/>
      <c r="BA48" s="25">
        <f t="shared" si="40"/>
        <v>43640</v>
      </c>
      <c r="BB48" s="28">
        <f t="shared" si="40"/>
        <v>1.821</v>
      </c>
      <c r="BC48" s="28">
        <f t="shared" si="10"/>
        <v>1.92</v>
      </c>
      <c r="BD48" s="28">
        <f t="shared" si="21"/>
        <v>3.693</v>
      </c>
      <c r="BE48" s="28">
        <f t="shared" si="11"/>
        <v>3.82</v>
      </c>
      <c r="BF48" s="28"/>
      <c r="BG48" s="28"/>
      <c r="BH48" s="28"/>
      <c r="BI48" s="28"/>
      <c r="BK48" s="35" t="str">
        <f t="shared" ref="BK48:BK66" si="42">LEFT(BK44,1)&amp;"Q"&amp;RIGHT(BK44,2)+1</f>
        <v>4Q21</v>
      </c>
      <c r="BL48" s="32">
        <v>19.3</v>
      </c>
      <c r="BM48" s="32">
        <v>3.93</v>
      </c>
      <c r="BN48" s="32">
        <v>16.94</v>
      </c>
      <c r="BO48" s="32">
        <v>27.58</v>
      </c>
      <c r="BP48" s="32">
        <v>54.42</v>
      </c>
      <c r="BR48" s="38">
        <f t="shared" si="26"/>
        <v>0.15078125</v>
      </c>
      <c r="BS48" s="38">
        <f t="shared" si="27"/>
        <v>0.245625</v>
      </c>
      <c r="BT48" s="38">
        <f t="shared" si="12"/>
        <v>0.13234375</v>
      </c>
      <c r="BU48" s="38">
        <f t="shared" si="37"/>
        <v>0.107734375</v>
      </c>
      <c r="BV48" s="38">
        <f t="shared" si="41"/>
        <v>0.1062890625</v>
      </c>
      <c r="BW48" s="37">
        <f t="shared" si="36"/>
        <v>-0.0349999999999999</v>
      </c>
      <c r="BX48" s="37">
        <f t="shared" si="36"/>
        <v>-0.0687203791469193</v>
      </c>
      <c r="BY48" s="37">
        <f t="shared" si="22"/>
        <v>-0.0609756097560974</v>
      </c>
      <c r="BZ48" s="37">
        <f t="shared" si="22"/>
        <v>-0.0515818431911967</v>
      </c>
      <c r="CA48" s="37">
        <f t="shared" si="22"/>
        <v>-0.043585237258348</v>
      </c>
      <c r="CC48" s="25">
        <f t="shared" si="13"/>
        <v>43619</v>
      </c>
      <c r="CD48" s="29">
        <f t="shared" si="13"/>
        <v>51</v>
      </c>
      <c r="CE48" s="29">
        <f t="shared" si="23"/>
        <v>18.71</v>
      </c>
      <c r="DP48" s="35">
        <v>43543</v>
      </c>
      <c r="DQ48" s="26">
        <v>3</v>
      </c>
      <c r="DR48" s="26">
        <v>2.85</v>
      </c>
      <c r="DS48" s="26">
        <v>2.915</v>
      </c>
      <c r="DU48" s="35">
        <v>43543</v>
      </c>
      <c r="DV48" s="26">
        <v>5.85</v>
      </c>
      <c r="DW48" s="26">
        <v>5.7</v>
      </c>
      <c r="DX48" s="26">
        <v>5.775</v>
      </c>
      <c r="DZ48" s="35">
        <v>43543</v>
      </c>
      <c r="EA48" s="26">
        <v>11.2</v>
      </c>
      <c r="EB48" s="26">
        <v>11</v>
      </c>
      <c r="EC48" s="26">
        <v>11.05</v>
      </c>
    </row>
    <row r="49" ht="16.8" spans="3:133">
      <c r="C49" s="5" t="str" cm="1">
        <f t="array" ref="C49">_xlfn.IFS(MONTH(D49)&lt;4,1,MONTH(D49)&lt;7,2,MONTH(D49)&lt;10,3,MONTH(D49)&gt;9,4)&amp;"Q"&amp;RIGHT(YEAR(D49),2)</f>
        <v>3Q19</v>
      </c>
      <c r="D49" s="2">
        <f t="shared" si="14"/>
        <v>43677</v>
      </c>
      <c r="E49" s="25">
        <v>43647</v>
      </c>
      <c r="F49" s="26">
        <v>1.797</v>
      </c>
      <c r="G49" s="26">
        <v>3.66</v>
      </c>
      <c r="H49" s="27"/>
      <c r="I49" s="28">
        <f t="shared" si="15"/>
        <v>0.05615625</v>
      </c>
      <c r="J49" s="28">
        <f t="shared" si="7"/>
        <v>0.0571875</v>
      </c>
      <c r="K49" s="28">
        <f t="shared" si="8"/>
        <v>0</v>
      </c>
      <c r="M49" s="36">
        <f t="shared" si="24"/>
        <v>-0.0131795716639209</v>
      </c>
      <c r="N49" s="36">
        <f t="shared" si="28"/>
        <v>-0.0137211855104282</v>
      </c>
      <c r="O49" s="36">
        <f t="shared" si="29"/>
        <v>-0.0456718003186405</v>
      </c>
      <c r="P49" s="36">
        <f t="shared" si="30"/>
        <v>-0.00893582453290009</v>
      </c>
      <c r="Q49" s="36">
        <f t="shared" si="31"/>
        <v>-0.0126787159428108</v>
      </c>
      <c r="R49" s="36">
        <f t="shared" si="32"/>
        <v>-0.0350645926707092</v>
      </c>
      <c r="S49" s="36"/>
      <c r="T49" s="36"/>
      <c r="U49" s="36"/>
      <c r="W49" s="5" t="str" cm="1">
        <f t="array" ref="W49">_xlfn.IFS(MONTH(X49)&lt;4,1,MONTH(X49)&lt;7,2,MONTH(X49)&lt;10,3,MONTH(X49)&gt;9,4)&amp;"Q"&amp;RIGHT(YEAR(X49),2)</f>
        <v>2Q19</v>
      </c>
      <c r="X49" s="2">
        <f t="shared" si="16"/>
        <v>43646</v>
      </c>
      <c r="Y49" s="25">
        <v>43626</v>
      </c>
      <c r="Z49" s="29">
        <v>51</v>
      </c>
      <c r="AD49" s="36">
        <f t="shared" si="25"/>
        <v>0</v>
      </c>
      <c r="AE49" s="36">
        <f t="shared" si="33"/>
        <v>0</v>
      </c>
      <c r="AF49" s="36">
        <f t="shared" si="34"/>
        <v>0</v>
      </c>
      <c r="AJ49" s="5" t="str" cm="1">
        <f t="array" ref="AJ49">_xlfn.IFS(MONTH(AK49)&lt;4,1,MONTH(AK49)&lt;7,2,MONTH(AK49)&lt;10,3,MONTH(AK49)&gt;9,4)&amp;"Q"&amp;RIGHT(YEAR(AK49),2)</f>
        <v>3Q19</v>
      </c>
      <c r="AK49" s="2">
        <f t="shared" si="17"/>
        <v>43677</v>
      </c>
      <c r="AL49" s="44">
        <f t="shared" si="35"/>
        <v>43677</v>
      </c>
      <c r="AM49" s="45">
        <v>2.26</v>
      </c>
      <c r="AN49" s="45">
        <v>4.48</v>
      </c>
      <c r="AO49" s="45"/>
      <c r="AP49" s="45"/>
      <c r="AQ49" s="27"/>
      <c r="AR49" s="30">
        <f t="shared" si="9"/>
        <v>0.070625</v>
      </c>
      <c r="AS49" s="30">
        <f t="shared" si="38"/>
        <v>0.07</v>
      </c>
      <c r="AT49" s="30"/>
      <c r="AU49" s="30"/>
      <c r="AV49" s="37">
        <f t="shared" si="39"/>
        <v>0.177083333333333</v>
      </c>
      <c r="AW49" s="37">
        <f t="shared" si="39"/>
        <v>0.172774869109948</v>
      </c>
      <c r="AX49" s="37"/>
      <c r="AY49" s="37"/>
      <c r="BA49" s="25">
        <f t="shared" si="40"/>
        <v>43647</v>
      </c>
      <c r="BB49" s="28">
        <f t="shared" si="40"/>
        <v>1.797</v>
      </c>
      <c r="BC49" s="28">
        <f t="shared" si="10"/>
        <v>2.26</v>
      </c>
      <c r="BD49" s="28">
        <f t="shared" si="21"/>
        <v>3.66</v>
      </c>
      <c r="BE49" s="28">
        <f t="shared" si="11"/>
        <v>4.48</v>
      </c>
      <c r="BF49" s="28"/>
      <c r="BG49" s="28"/>
      <c r="BH49" s="28"/>
      <c r="BI49" s="28"/>
      <c r="BK49" s="35" t="str">
        <f t="shared" si="42"/>
        <v>1Q22</v>
      </c>
      <c r="BL49" s="32">
        <v>18.64</v>
      </c>
      <c r="BM49" s="32">
        <v>3.83</v>
      </c>
      <c r="BN49" s="32">
        <v>15.58</v>
      </c>
      <c r="BO49" s="32">
        <v>25.3</v>
      </c>
      <c r="BP49" s="32">
        <v>50.2</v>
      </c>
      <c r="BR49" s="38">
        <f t="shared" si="26"/>
        <v>0.145625</v>
      </c>
      <c r="BS49" s="38">
        <f t="shared" si="27"/>
        <v>0.239375</v>
      </c>
      <c r="BT49" s="38">
        <f t="shared" si="12"/>
        <v>0.12171875</v>
      </c>
      <c r="BU49" s="38">
        <f t="shared" si="37"/>
        <v>0.098828125</v>
      </c>
      <c r="BV49" s="38">
        <f t="shared" si="41"/>
        <v>0.098046875</v>
      </c>
      <c r="BW49" s="46">
        <f t="shared" ref="BW49:CA64" si="43">BR49/BR48-1</f>
        <v>-0.0341968911917099</v>
      </c>
      <c r="BX49" s="46">
        <f t="shared" si="43"/>
        <v>-0.0254452926208651</v>
      </c>
      <c r="BY49" s="46">
        <f t="shared" si="43"/>
        <v>-0.0802833530106258</v>
      </c>
      <c r="BZ49" s="46">
        <f t="shared" si="43"/>
        <v>-0.0826686004350978</v>
      </c>
      <c r="CA49" s="46">
        <f t="shared" si="43"/>
        <v>-0.0775450202131569</v>
      </c>
      <c r="CC49" s="25">
        <f t="shared" si="13"/>
        <v>43626</v>
      </c>
      <c r="CD49" s="29">
        <f t="shared" si="13"/>
        <v>51</v>
      </c>
      <c r="CE49" s="29">
        <f t="shared" si="23"/>
        <v>18.71</v>
      </c>
      <c r="CX49" s="47"/>
      <c r="DP49" s="35">
        <v>43544</v>
      </c>
      <c r="DQ49" s="26">
        <v>3</v>
      </c>
      <c r="DR49" s="26">
        <v>2.85</v>
      </c>
      <c r="DS49" s="26">
        <v>2.915</v>
      </c>
      <c r="DU49" s="35">
        <v>43544</v>
      </c>
      <c r="DV49" s="26">
        <v>5.85</v>
      </c>
      <c r="DW49" s="26">
        <v>5.7</v>
      </c>
      <c r="DX49" s="26">
        <v>5.775</v>
      </c>
      <c r="DZ49" s="35">
        <v>43544</v>
      </c>
      <c r="EA49" s="26">
        <v>11.2</v>
      </c>
      <c r="EB49" s="26">
        <v>11</v>
      </c>
      <c r="EC49" s="26">
        <v>11.05</v>
      </c>
    </row>
    <row r="50" ht="16.8" spans="3:133">
      <c r="C50" s="5" t="str" cm="1">
        <f t="array" ref="C50">_xlfn.IFS(MONTH(D50)&lt;4,1,MONTH(D50)&lt;7,2,MONTH(D50)&lt;10,3,MONTH(D50)&gt;9,4)&amp;"Q"&amp;RIGHT(YEAR(D50),2)</f>
        <v>3Q19</v>
      </c>
      <c r="D50" s="2">
        <f t="shared" si="14"/>
        <v>43677</v>
      </c>
      <c r="E50" s="25">
        <v>43654</v>
      </c>
      <c r="F50" s="26">
        <v>1.801</v>
      </c>
      <c r="G50" s="26">
        <v>3.66</v>
      </c>
      <c r="H50" s="27"/>
      <c r="I50" s="28">
        <f t="shared" si="15"/>
        <v>0.05628125</v>
      </c>
      <c r="J50" s="28">
        <f t="shared" si="7"/>
        <v>0.0571875</v>
      </c>
      <c r="K50" s="28">
        <f t="shared" si="8"/>
        <v>0</v>
      </c>
      <c r="M50" s="36">
        <f t="shared" si="24"/>
        <v>0.00222593210907074</v>
      </c>
      <c r="N50" s="36">
        <f t="shared" si="28"/>
        <v>-0.0109829763866007</v>
      </c>
      <c r="O50" s="36">
        <f t="shared" si="29"/>
        <v>-0.0115257958287597</v>
      </c>
      <c r="P50" s="36">
        <f t="shared" si="30"/>
        <v>0</v>
      </c>
      <c r="Q50" s="36">
        <f t="shared" si="31"/>
        <v>-0.00893582453290009</v>
      </c>
      <c r="R50" s="36">
        <f t="shared" si="32"/>
        <v>-0.0126787159428108</v>
      </c>
      <c r="S50" s="36"/>
      <c r="T50" s="36"/>
      <c r="U50" s="36"/>
      <c r="W50" s="5" t="str" cm="1">
        <f t="array" ref="W50">_xlfn.IFS(MONTH(X50)&lt;4,1,MONTH(X50)&lt;7,2,MONTH(X50)&lt;10,3,MONTH(X50)&gt;9,4)&amp;"Q"&amp;RIGHT(YEAR(X50),2)</f>
        <v>2Q19</v>
      </c>
      <c r="X50" s="2">
        <f t="shared" si="16"/>
        <v>43646</v>
      </c>
      <c r="Y50" s="25">
        <v>43633</v>
      </c>
      <c r="Z50" s="29">
        <v>30.3</v>
      </c>
      <c r="AD50" s="36">
        <f t="shared" si="25"/>
        <v>-0.405882352941176</v>
      </c>
      <c r="AE50" s="36">
        <f t="shared" si="33"/>
        <v>-0.405882352941176</v>
      </c>
      <c r="AF50" s="36">
        <f t="shared" si="34"/>
        <v>-0.405882352941176</v>
      </c>
      <c r="AJ50" s="5" t="str" cm="1">
        <f t="array" ref="AJ50">_xlfn.IFS(MONTH(AK50)&lt;4,1,MONTH(AK50)&lt;7,2,MONTH(AK50)&lt;10,3,MONTH(AK50)&gt;9,4)&amp;"Q"&amp;RIGHT(YEAR(AK50),2)</f>
        <v>3Q19</v>
      </c>
      <c r="AK50" s="2">
        <f t="shared" si="17"/>
        <v>43708</v>
      </c>
      <c r="AL50" s="44">
        <f t="shared" si="35"/>
        <v>43708</v>
      </c>
      <c r="AM50" s="45">
        <v>2.35</v>
      </c>
      <c r="AN50" s="45">
        <v>4.5</v>
      </c>
      <c r="AO50" s="45"/>
      <c r="AP50" s="45"/>
      <c r="AQ50" s="27"/>
      <c r="AR50" s="30">
        <f t="shared" si="9"/>
        <v>0.0734375</v>
      </c>
      <c r="AS50" s="30">
        <f t="shared" si="38"/>
        <v>0.0703125</v>
      </c>
      <c r="AT50" s="30"/>
      <c r="AU50" s="30"/>
      <c r="AV50" s="37">
        <f t="shared" si="39"/>
        <v>0.0398230088495577</v>
      </c>
      <c r="AW50" s="37">
        <f t="shared" si="39"/>
        <v>0.00446428571428559</v>
      </c>
      <c r="AX50" s="37"/>
      <c r="AY50" s="37"/>
      <c r="BA50" s="25">
        <f t="shared" si="40"/>
        <v>43654</v>
      </c>
      <c r="BB50" s="28">
        <f t="shared" si="40"/>
        <v>1.801</v>
      </c>
      <c r="BC50" s="28">
        <f t="shared" si="10"/>
        <v>2.26</v>
      </c>
      <c r="BD50" s="28">
        <f t="shared" si="21"/>
        <v>3.66</v>
      </c>
      <c r="BE50" s="28">
        <f t="shared" si="11"/>
        <v>4.48</v>
      </c>
      <c r="BF50" s="28"/>
      <c r="BG50" s="28"/>
      <c r="BH50" s="28"/>
      <c r="BI50" s="28"/>
      <c r="BK50" s="35" t="str">
        <f t="shared" si="42"/>
        <v>2Q22</v>
      </c>
      <c r="BL50" s="32">
        <v>18.72</v>
      </c>
      <c r="BM50" s="32">
        <v>3.99</v>
      </c>
      <c r="BN50" s="32">
        <v>15.9</v>
      </c>
      <c r="BO50" s="32">
        <v>25.8</v>
      </c>
      <c r="BP50" s="32">
        <v>50.9</v>
      </c>
      <c r="BR50" s="38">
        <f t="shared" si="26"/>
        <v>0.14625</v>
      </c>
      <c r="BS50" s="38">
        <f t="shared" si="27"/>
        <v>0.249375</v>
      </c>
      <c r="BT50" s="38">
        <f t="shared" si="12"/>
        <v>0.12421875</v>
      </c>
      <c r="BU50" s="38">
        <f t="shared" si="37"/>
        <v>0.10078125</v>
      </c>
      <c r="BV50" s="38">
        <f t="shared" si="41"/>
        <v>0.0994140625</v>
      </c>
      <c r="BW50" s="46">
        <f t="shared" si="43"/>
        <v>0.0042918454935621</v>
      </c>
      <c r="BX50" s="46">
        <f t="shared" si="43"/>
        <v>0.04177545691906</v>
      </c>
      <c r="BY50" s="46">
        <f t="shared" si="43"/>
        <v>0.0205391527599488</v>
      </c>
      <c r="BZ50" s="46">
        <f t="shared" si="43"/>
        <v>0.0197628458498025</v>
      </c>
      <c r="CA50" s="46">
        <f t="shared" si="43"/>
        <v>0.0139442231075697</v>
      </c>
      <c r="CC50" s="25">
        <f t="shared" si="13"/>
        <v>43633</v>
      </c>
      <c r="CD50" s="29">
        <f t="shared" si="13"/>
        <v>30.3</v>
      </c>
      <c r="CE50" s="29">
        <f t="shared" si="23"/>
        <v>18.71</v>
      </c>
      <c r="CX50" s="47"/>
      <c r="DP50" s="35">
        <v>43545</v>
      </c>
      <c r="DQ50" s="26">
        <v>3</v>
      </c>
      <c r="DR50" s="26">
        <v>2.85</v>
      </c>
      <c r="DS50" s="26">
        <v>2.915</v>
      </c>
      <c r="DU50" s="35">
        <v>43545</v>
      </c>
      <c r="DV50" s="26">
        <v>5.85</v>
      </c>
      <c r="DW50" s="26">
        <v>5.7</v>
      </c>
      <c r="DX50" s="26">
        <v>5.775</v>
      </c>
      <c r="DZ50" s="35">
        <v>43545</v>
      </c>
      <c r="EA50" s="26">
        <v>11.2</v>
      </c>
      <c r="EB50" s="26">
        <v>11</v>
      </c>
      <c r="EC50" s="26">
        <v>11.05</v>
      </c>
    </row>
    <row r="51" ht="16.8" spans="3:133">
      <c r="C51" s="5" t="str" cm="1">
        <f t="array" ref="C51">_xlfn.IFS(MONTH(D51)&lt;4,1,MONTH(D51)&lt;7,2,MONTH(D51)&lt;10,3,MONTH(D51)&gt;9,4)&amp;"Q"&amp;RIGHT(YEAR(D51),2)</f>
        <v>3Q19</v>
      </c>
      <c r="D51" s="2">
        <f t="shared" si="14"/>
        <v>43677</v>
      </c>
      <c r="E51" s="25">
        <v>43661</v>
      </c>
      <c r="F51" s="26">
        <v>1.965</v>
      </c>
      <c r="G51" s="26">
        <v>3.92</v>
      </c>
      <c r="H51" s="27"/>
      <c r="I51" s="28">
        <f t="shared" si="15"/>
        <v>0.06140625</v>
      </c>
      <c r="J51" s="28">
        <f t="shared" si="7"/>
        <v>0.06125</v>
      </c>
      <c r="K51" s="28">
        <f t="shared" si="8"/>
        <v>0</v>
      </c>
      <c r="M51" s="36">
        <f t="shared" si="24"/>
        <v>0.09106052193226</v>
      </c>
      <c r="N51" s="36">
        <f t="shared" si="28"/>
        <v>0.0934891485809684</v>
      </c>
      <c r="O51" s="36">
        <f t="shared" si="29"/>
        <v>0.0790774299835255</v>
      </c>
      <c r="P51" s="36">
        <f t="shared" si="30"/>
        <v>0.0710382513661201</v>
      </c>
      <c r="Q51" s="36">
        <f t="shared" si="31"/>
        <v>0.0710382513661201</v>
      </c>
      <c r="R51" s="36">
        <f t="shared" si="32"/>
        <v>0.0614676414838884</v>
      </c>
      <c r="S51" s="36"/>
      <c r="T51" s="36"/>
      <c r="U51" s="36"/>
      <c r="W51" s="5" t="str" cm="1">
        <f t="array" ref="W51">_xlfn.IFS(MONTH(X51)&lt;4,1,MONTH(X51)&lt;7,2,MONTH(X51)&lt;10,3,MONTH(X51)&gt;9,4)&amp;"Q"&amp;RIGHT(YEAR(X51),2)</f>
        <v>2Q19</v>
      </c>
      <c r="X51" s="2">
        <f t="shared" si="16"/>
        <v>43646</v>
      </c>
      <c r="Y51" s="25">
        <v>43640</v>
      </c>
      <c r="Z51" s="29">
        <v>29.619</v>
      </c>
      <c r="AD51" s="36">
        <f t="shared" si="25"/>
        <v>-0.0224752475247525</v>
      </c>
      <c r="AE51" s="36">
        <f t="shared" si="33"/>
        <v>-0.419235294117647</v>
      </c>
      <c r="AF51" s="36">
        <f t="shared" si="34"/>
        <v>-0.419235294117647</v>
      </c>
      <c r="AJ51" s="5" t="str" cm="1">
        <f t="array" ref="AJ51">_xlfn.IFS(MONTH(AK51)&lt;4,1,MONTH(AK51)&lt;7,2,MONTH(AK51)&lt;10,3,MONTH(AK51)&gt;9,4)&amp;"Q"&amp;RIGHT(YEAR(AK51),2)</f>
        <v>3Q19</v>
      </c>
      <c r="AK51" s="2">
        <f t="shared" si="17"/>
        <v>43738</v>
      </c>
      <c r="AL51" s="44">
        <f t="shared" si="35"/>
        <v>43738</v>
      </c>
      <c r="AM51" s="45">
        <v>2.35</v>
      </c>
      <c r="AN51" s="45">
        <v>4.5</v>
      </c>
      <c r="AO51" s="45"/>
      <c r="AP51" s="45"/>
      <c r="AQ51" s="27"/>
      <c r="AR51" s="30">
        <f t="shared" si="9"/>
        <v>0.0734375</v>
      </c>
      <c r="AS51" s="30">
        <f t="shared" si="38"/>
        <v>0.0703125</v>
      </c>
      <c r="AT51" s="30"/>
      <c r="AU51" s="30"/>
      <c r="AV51" s="37">
        <f t="shared" si="39"/>
        <v>0</v>
      </c>
      <c r="AW51" s="37">
        <f t="shared" si="39"/>
        <v>0</v>
      </c>
      <c r="AX51" s="37"/>
      <c r="AY51" s="37"/>
      <c r="BA51" s="25">
        <f t="shared" si="40"/>
        <v>43661</v>
      </c>
      <c r="BB51" s="28">
        <f t="shared" si="40"/>
        <v>1.965</v>
      </c>
      <c r="BC51" s="28">
        <f t="shared" si="10"/>
        <v>2.26</v>
      </c>
      <c r="BD51" s="28">
        <f t="shared" si="21"/>
        <v>3.92</v>
      </c>
      <c r="BE51" s="28">
        <f t="shared" si="11"/>
        <v>4.48</v>
      </c>
      <c r="BF51" s="28"/>
      <c r="BG51" s="28"/>
      <c r="BH51" s="28"/>
      <c r="BI51" s="28"/>
      <c r="BK51" s="35" t="str">
        <f t="shared" si="42"/>
        <v>3Q22</v>
      </c>
      <c r="BL51" s="26">
        <v>16.03</v>
      </c>
      <c r="BM51" s="26">
        <v>3.7</v>
      </c>
      <c r="BN51" s="26">
        <v>13.26</v>
      </c>
      <c r="BO51" s="26">
        <v>24.26</v>
      </c>
      <c r="BP51" s="26">
        <v>48.8</v>
      </c>
      <c r="BR51" s="38">
        <f t="shared" si="26"/>
        <v>0.125234375</v>
      </c>
      <c r="BS51" s="38">
        <f t="shared" si="27"/>
        <v>0.23125</v>
      </c>
      <c r="BT51" s="38">
        <f t="shared" si="12"/>
        <v>0.10359375</v>
      </c>
      <c r="BU51" s="38">
        <f t="shared" si="37"/>
        <v>0.094765625</v>
      </c>
      <c r="BV51" s="38">
        <f t="shared" si="41"/>
        <v>0.0953125</v>
      </c>
      <c r="BW51" s="46">
        <f t="shared" si="43"/>
        <v>-0.143696581196581</v>
      </c>
      <c r="BX51" s="46">
        <f t="shared" si="43"/>
        <v>-0.0726817042606517</v>
      </c>
      <c r="BY51" s="46">
        <f t="shared" si="43"/>
        <v>-0.166037735849057</v>
      </c>
      <c r="BZ51" s="46">
        <f t="shared" si="43"/>
        <v>-0.0596899224806201</v>
      </c>
      <c r="CA51" s="46">
        <f t="shared" si="43"/>
        <v>-0.0412573673870335</v>
      </c>
      <c r="CC51" s="25">
        <f t="shared" si="13"/>
        <v>43640</v>
      </c>
      <c r="CD51" s="29">
        <f t="shared" si="13"/>
        <v>29.619</v>
      </c>
      <c r="CE51" s="29">
        <f t="shared" si="23"/>
        <v>18.71</v>
      </c>
      <c r="CX51" s="47"/>
      <c r="DP51" s="35">
        <v>43546</v>
      </c>
      <c r="DQ51" s="26">
        <v>3</v>
      </c>
      <c r="DR51" s="26">
        <v>2.85</v>
      </c>
      <c r="DS51" s="26">
        <v>2.915</v>
      </c>
      <c r="DU51" s="35">
        <v>43546</v>
      </c>
      <c r="DV51" s="26">
        <v>5.85</v>
      </c>
      <c r="DW51" s="26">
        <v>5.7</v>
      </c>
      <c r="DX51" s="26">
        <v>5.775</v>
      </c>
      <c r="DZ51" s="35">
        <v>43546</v>
      </c>
      <c r="EA51" s="26">
        <v>11.2</v>
      </c>
      <c r="EB51" s="26">
        <v>11</v>
      </c>
      <c r="EC51" s="26">
        <v>11.05</v>
      </c>
    </row>
    <row r="52" ht="16.8" spans="3:133">
      <c r="C52" s="5" t="str" cm="1">
        <f t="array" ref="C52">_xlfn.IFS(MONTH(D52)&lt;4,1,MONTH(D52)&lt;7,2,MONTH(D52)&lt;10,3,MONTH(D52)&gt;9,4)&amp;"Q"&amp;RIGHT(YEAR(D52),2)</f>
        <v>3Q19</v>
      </c>
      <c r="D52" s="2">
        <f t="shared" si="14"/>
        <v>43677</v>
      </c>
      <c r="E52" s="25">
        <v>43668</v>
      </c>
      <c r="F52" s="26">
        <v>2.06</v>
      </c>
      <c r="G52" s="26">
        <v>4.023</v>
      </c>
      <c r="H52" s="27"/>
      <c r="I52" s="28">
        <f t="shared" si="15"/>
        <v>0.064375</v>
      </c>
      <c r="J52" s="28">
        <f t="shared" si="7"/>
        <v>0.062859375</v>
      </c>
      <c r="K52" s="28">
        <f t="shared" si="8"/>
        <v>0</v>
      </c>
      <c r="M52" s="36">
        <f t="shared" si="24"/>
        <v>0.0483460559796438</v>
      </c>
      <c r="N52" s="36">
        <f t="shared" si="28"/>
        <v>0.143808995002776</v>
      </c>
      <c r="O52" s="36">
        <f t="shared" si="29"/>
        <v>0.146355036171397</v>
      </c>
      <c r="P52" s="36">
        <f t="shared" si="30"/>
        <v>0.0262755102040815</v>
      </c>
      <c r="Q52" s="36">
        <f t="shared" si="31"/>
        <v>0.0991803278688523</v>
      </c>
      <c r="R52" s="36">
        <f t="shared" si="32"/>
        <v>0.0991803278688523</v>
      </c>
      <c r="S52" s="36"/>
      <c r="T52" s="36"/>
      <c r="U52" s="36"/>
      <c r="W52" s="5" t="str" cm="1">
        <f t="array" ref="W52">_xlfn.IFS(MONTH(X52)&lt;4,1,MONTH(X52)&lt;7,2,MONTH(X52)&lt;10,3,MONTH(X52)&gt;9,4)&amp;"Q"&amp;RIGHT(YEAR(X52),2)</f>
        <v>3Q19</v>
      </c>
      <c r="X52" s="2">
        <f t="shared" si="16"/>
        <v>43677</v>
      </c>
      <c r="Y52" s="25">
        <v>43647</v>
      </c>
      <c r="Z52" s="29">
        <v>29.619</v>
      </c>
      <c r="AD52" s="36">
        <f t="shared" si="25"/>
        <v>0</v>
      </c>
      <c r="AE52" s="36">
        <f t="shared" si="33"/>
        <v>-0.0224752475247525</v>
      </c>
      <c r="AF52" s="36">
        <f t="shared" si="34"/>
        <v>-0.419235294117647</v>
      </c>
      <c r="AJ52" s="5" t="str" cm="1">
        <f t="array" ref="AJ52">_xlfn.IFS(MONTH(AK52)&lt;4,1,MONTH(AK52)&lt;7,2,MONTH(AK52)&lt;10,3,MONTH(AK52)&gt;9,4)&amp;"Q"&amp;RIGHT(YEAR(AK52),2)</f>
        <v>4Q19</v>
      </c>
      <c r="AK52" s="2">
        <f t="shared" si="17"/>
        <v>43769</v>
      </c>
      <c r="AL52" s="44">
        <f t="shared" si="35"/>
        <v>43769</v>
      </c>
      <c r="AM52" s="45">
        <v>2.34</v>
      </c>
      <c r="AN52" s="45">
        <v>4.41</v>
      </c>
      <c r="AO52" s="45"/>
      <c r="AP52" s="45"/>
      <c r="AQ52" s="27"/>
      <c r="AR52" s="30">
        <f t="shared" si="9"/>
        <v>0.073125</v>
      </c>
      <c r="AS52" s="30">
        <f t="shared" si="38"/>
        <v>0.06890625</v>
      </c>
      <c r="AT52" s="30"/>
      <c r="AU52" s="30"/>
      <c r="AV52" s="37">
        <f t="shared" si="39"/>
        <v>-0.00425531914893629</v>
      </c>
      <c r="AW52" s="37">
        <f t="shared" si="39"/>
        <v>-0.02</v>
      </c>
      <c r="AX52" s="37"/>
      <c r="AY52" s="37"/>
      <c r="BA52" s="25">
        <f t="shared" si="40"/>
        <v>43668</v>
      </c>
      <c r="BB52" s="28">
        <f t="shared" si="40"/>
        <v>2.06</v>
      </c>
      <c r="BC52" s="28">
        <f t="shared" si="10"/>
        <v>2.26</v>
      </c>
      <c r="BD52" s="28">
        <f t="shared" si="21"/>
        <v>4.023</v>
      </c>
      <c r="BE52" s="28">
        <f t="shared" si="11"/>
        <v>4.48</v>
      </c>
      <c r="BF52" s="28"/>
      <c r="BG52" s="28"/>
      <c r="BH52" s="28"/>
      <c r="BI52" s="28"/>
      <c r="BK52" s="35" t="str">
        <f t="shared" si="42"/>
        <v>4Q22</v>
      </c>
      <c r="BL52" s="26">
        <v>13.5</v>
      </c>
      <c r="BM52" s="26">
        <v>3.04</v>
      </c>
      <c r="BN52" s="26">
        <v>9.88</v>
      </c>
      <c r="BO52" s="26">
        <v>18.18</v>
      </c>
      <c r="BP52" s="26">
        <v>36.37</v>
      </c>
      <c r="BR52" s="38">
        <f t="shared" si="26"/>
        <v>0.10546875</v>
      </c>
      <c r="BS52" s="38">
        <f t="shared" si="27"/>
        <v>0.19</v>
      </c>
      <c r="BT52" s="38">
        <f t="shared" si="12"/>
        <v>0.0771875</v>
      </c>
      <c r="BU52" s="38">
        <f t="shared" si="37"/>
        <v>0.071015625</v>
      </c>
      <c r="BV52" s="38">
        <f t="shared" si="41"/>
        <v>0.07103515625</v>
      </c>
      <c r="BW52" s="46">
        <f t="shared" si="43"/>
        <v>-0.157829070492826</v>
      </c>
      <c r="BX52" s="46">
        <f t="shared" si="43"/>
        <v>-0.178378378378378</v>
      </c>
      <c r="BY52" s="46">
        <f t="shared" si="43"/>
        <v>-0.254901960784314</v>
      </c>
      <c r="BZ52" s="46">
        <f t="shared" si="43"/>
        <v>-0.250618301731245</v>
      </c>
      <c r="CA52" s="46">
        <f t="shared" si="43"/>
        <v>-0.254713114754098</v>
      </c>
      <c r="CC52" s="25">
        <f t="shared" si="13"/>
        <v>43647</v>
      </c>
      <c r="CD52" s="29">
        <f t="shared" si="13"/>
        <v>29.619</v>
      </c>
      <c r="CE52" s="29">
        <f t="shared" si="23"/>
        <v>17.82</v>
      </c>
      <c r="CX52" s="47"/>
      <c r="DP52" s="35">
        <v>43549</v>
      </c>
      <c r="DQ52" s="26">
        <v>3</v>
      </c>
      <c r="DR52" s="26">
        <v>2.85</v>
      </c>
      <c r="DS52" s="26">
        <v>2.915</v>
      </c>
      <c r="DU52" s="35">
        <v>43549</v>
      </c>
      <c r="DV52" s="26">
        <v>5.85</v>
      </c>
      <c r="DW52" s="26">
        <v>5.7</v>
      </c>
      <c r="DX52" s="26">
        <v>5.775</v>
      </c>
      <c r="DZ52" s="35">
        <v>43549</v>
      </c>
      <c r="EA52" s="26">
        <v>11.2</v>
      </c>
      <c r="EB52" s="26">
        <v>11</v>
      </c>
      <c r="EC52" s="26">
        <v>11.05</v>
      </c>
    </row>
    <row r="53" ht="16.8" spans="3:133">
      <c r="C53" s="5" t="str" cm="1">
        <f t="array" ref="C53">_xlfn.IFS(MONTH(D53)&lt;4,1,MONTH(D53)&lt;7,2,MONTH(D53)&lt;10,3,MONTH(D53)&gt;9,4)&amp;"Q"&amp;RIGHT(YEAR(D53),2)</f>
        <v>3Q19</v>
      </c>
      <c r="D53" s="2">
        <f t="shared" si="14"/>
        <v>43677</v>
      </c>
      <c r="E53" s="25">
        <v>43675</v>
      </c>
      <c r="F53" s="26">
        <v>2.236</v>
      </c>
      <c r="G53" s="26">
        <v>4.433</v>
      </c>
      <c r="H53" s="27"/>
      <c r="I53" s="28">
        <f t="shared" si="15"/>
        <v>0.069875</v>
      </c>
      <c r="J53" s="28">
        <f t="shared" si="7"/>
        <v>0.069265625</v>
      </c>
      <c r="K53" s="28">
        <f t="shared" si="8"/>
        <v>0</v>
      </c>
      <c r="M53" s="36">
        <f t="shared" si="24"/>
        <v>0.0854368932038836</v>
      </c>
      <c r="N53" s="36">
        <f t="shared" si="28"/>
        <v>0.137913486005089</v>
      </c>
      <c r="O53" s="36">
        <f t="shared" si="29"/>
        <v>0.24153248195447</v>
      </c>
      <c r="P53" s="36">
        <f t="shared" si="30"/>
        <v>0.101913994531444</v>
      </c>
      <c r="Q53" s="36">
        <f t="shared" si="31"/>
        <v>0.130867346938776</v>
      </c>
      <c r="R53" s="36">
        <f t="shared" si="32"/>
        <v>0.21120218579235</v>
      </c>
      <c r="S53" s="36"/>
      <c r="T53" s="36"/>
      <c r="U53" s="36"/>
      <c r="W53" s="5" t="str" cm="1">
        <f t="array" ref="W53">_xlfn.IFS(MONTH(X53)&lt;4,1,MONTH(X53)&lt;7,2,MONTH(X53)&lt;10,3,MONTH(X53)&gt;9,4)&amp;"Q"&amp;RIGHT(YEAR(X53),2)</f>
        <v>3Q19</v>
      </c>
      <c r="X53" s="2">
        <f t="shared" si="16"/>
        <v>43677</v>
      </c>
      <c r="Y53" s="25">
        <v>43654</v>
      </c>
      <c r="Z53" s="29">
        <v>29.667</v>
      </c>
      <c r="AD53" s="36">
        <f t="shared" si="25"/>
        <v>0.00162058138357146</v>
      </c>
      <c r="AE53" s="36">
        <f t="shared" si="33"/>
        <v>0.00162058138357146</v>
      </c>
      <c r="AF53" s="36">
        <f t="shared" si="34"/>
        <v>-0.0208910891089109</v>
      </c>
      <c r="AJ53" s="5" t="str" cm="1">
        <f t="array" ref="AJ53">_xlfn.IFS(MONTH(AK53)&lt;4,1,MONTH(AK53)&lt;7,2,MONTH(AK53)&lt;10,3,MONTH(AK53)&gt;9,4)&amp;"Q"&amp;RIGHT(YEAR(AK53),2)</f>
        <v>4Q19</v>
      </c>
      <c r="AK53" s="2">
        <f t="shared" si="17"/>
        <v>43799</v>
      </c>
      <c r="AL53" s="44">
        <f t="shared" si="35"/>
        <v>43799</v>
      </c>
      <c r="AM53" s="45">
        <v>2.36</v>
      </c>
      <c r="AN53" s="45">
        <v>4.5</v>
      </c>
      <c r="AO53" s="45"/>
      <c r="AP53" s="45"/>
      <c r="AQ53" s="27"/>
      <c r="AR53" s="30">
        <f t="shared" si="9"/>
        <v>0.07375</v>
      </c>
      <c r="AS53" s="30">
        <f t="shared" si="38"/>
        <v>0.0703125</v>
      </c>
      <c r="AT53" s="30"/>
      <c r="AU53" s="30"/>
      <c r="AV53" s="37">
        <f t="shared" si="39"/>
        <v>0.00854700854700852</v>
      </c>
      <c r="AW53" s="37">
        <f t="shared" si="39"/>
        <v>0.0204081632653061</v>
      </c>
      <c r="AX53" s="37"/>
      <c r="AY53" s="37"/>
      <c r="BA53" s="25">
        <f t="shared" si="40"/>
        <v>43675</v>
      </c>
      <c r="BB53" s="28">
        <f t="shared" si="40"/>
        <v>2.236</v>
      </c>
      <c r="BC53" s="28">
        <f t="shared" si="10"/>
        <v>2.26</v>
      </c>
      <c r="BD53" s="28">
        <f t="shared" si="21"/>
        <v>4.433</v>
      </c>
      <c r="BE53" s="28">
        <f t="shared" si="11"/>
        <v>4.48</v>
      </c>
      <c r="BF53" s="28"/>
      <c r="BG53" s="28"/>
      <c r="BH53" s="28"/>
      <c r="BI53" s="28"/>
      <c r="BK53" s="35" t="str">
        <f t="shared" si="42"/>
        <v>1Q23</v>
      </c>
      <c r="BL53" s="26">
        <v>12.12</v>
      </c>
      <c r="BM53" s="26">
        <v>2.72</v>
      </c>
      <c r="BN53" s="26">
        <v>8.4</v>
      </c>
      <c r="BO53" s="26">
        <v>15.46</v>
      </c>
      <c r="BP53" s="26">
        <v>30.92</v>
      </c>
      <c r="BR53" s="38">
        <f t="shared" si="26"/>
        <v>0.0946875</v>
      </c>
      <c r="BS53" s="38">
        <f t="shared" si="27"/>
        <v>0.17</v>
      </c>
      <c r="BT53" s="38">
        <f t="shared" si="12"/>
        <v>0.065625</v>
      </c>
      <c r="BU53" s="38">
        <f t="shared" si="37"/>
        <v>0.060390625</v>
      </c>
      <c r="BV53" s="38">
        <f t="shared" si="41"/>
        <v>0.060390625</v>
      </c>
      <c r="BW53" s="46">
        <f t="shared" si="43"/>
        <v>-0.102222222222222</v>
      </c>
      <c r="BX53" s="46">
        <f t="shared" si="43"/>
        <v>-0.105263157894737</v>
      </c>
      <c r="BY53" s="46">
        <f t="shared" si="43"/>
        <v>-0.149797570850203</v>
      </c>
      <c r="BZ53" s="46">
        <f t="shared" si="43"/>
        <v>-0.14961496149615</v>
      </c>
      <c r="CA53" s="46">
        <f t="shared" si="43"/>
        <v>-0.149848776464119</v>
      </c>
      <c r="CC53" s="25">
        <f t="shared" si="13"/>
        <v>43654</v>
      </c>
      <c r="CD53" s="29">
        <f t="shared" si="13"/>
        <v>29.667</v>
      </c>
      <c r="CE53" s="29">
        <f t="shared" si="23"/>
        <v>17.82</v>
      </c>
      <c r="DP53" s="35">
        <v>43550</v>
      </c>
      <c r="DQ53" s="26">
        <v>3</v>
      </c>
      <c r="DR53" s="26">
        <v>2.85</v>
      </c>
      <c r="DS53" s="26">
        <v>2.915</v>
      </c>
      <c r="DU53" s="35">
        <v>43550</v>
      </c>
      <c r="DV53" s="26">
        <v>5.85</v>
      </c>
      <c r="DW53" s="26">
        <v>5.7</v>
      </c>
      <c r="DX53" s="26">
        <v>5.775</v>
      </c>
      <c r="DZ53" s="35">
        <v>43550</v>
      </c>
      <c r="EA53" s="26">
        <v>11.2</v>
      </c>
      <c r="EB53" s="26">
        <v>11</v>
      </c>
      <c r="EC53" s="26">
        <v>11.05</v>
      </c>
    </row>
    <row r="54" ht="16.8" spans="3:133">
      <c r="C54" s="5" t="str" cm="1">
        <f t="array" ref="C54">_xlfn.IFS(MONTH(D54)&lt;4,1,MONTH(D54)&lt;7,2,MONTH(D54)&lt;10,3,MONTH(D54)&gt;9,4)&amp;"Q"&amp;RIGHT(YEAR(D54),2)</f>
        <v>3Q19</v>
      </c>
      <c r="D54" s="2">
        <f t="shared" si="14"/>
        <v>43708</v>
      </c>
      <c r="E54" s="25">
        <v>43682</v>
      </c>
      <c r="F54" s="26">
        <v>2.274</v>
      </c>
      <c r="G54" s="26">
        <v>4.517</v>
      </c>
      <c r="H54" s="27"/>
      <c r="I54" s="28">
        <f t="shared" si="15"/>
        <v>0.0710625</v>
      </c>
      <c r="J54" s="28">
        <f t="shared" si="7"/>
        <v>0.070578125</v>
      </c>
      <c r="K54" s="28">
        <f t="shared" si="8"/>
        <v>0</v>
      </c>
      <c r="M54" s="36">
        <f t="shared" si="24"/>
        <v>0.016994633273703</v>
      </c>
      <c r="N54" s="36">
        <f t="shared" si="28"/>
        <v>0.103883495145631</v>
      </c>
      <c r="O54" s="36">
        <f t="shared" si="29"/>
        <v>0.157251908396947</v>
      </c>
      <c r="P54" s="36">
        <f t="shared" si="30"/>
        <v>0.0189487931423415</v>
      </c>
      <c r="Q54" s="36">
        <f t="shared" si="31"/>
        <v>0.122793934874472</v>
      </c>
      <c r="R54" s="36">
        <f t="shared" si="32"/>
        <v>0.152295918367347</v>
      </c>
      <c r="S54" s="36"/>
      <c r="T54" s="36"/>
      <c r="U54" s="36"/>
      <c r="W54" s="5" t="str" cm="1">
        <f t="array" ref="W54">_xlfn.IFS(MONTH(X54)&lt;4,1,MONTH(X54)&lt;7,2,MONTH(X54)&lt;10,3,MONTH(X54)&gt;9,4)&amp;"Q"&amp;RIGHT(YEAR(X54),2)</f>
        <v>3Q19</v>
      </c>
      <c r="X54" s="2">
        <f t="shared" si="16"/>
        <v>43677</v>
      </c>
      <c r="Y54" s="25">
        <v>43661</v>
      </c>
      <c r="Z54" s="29">
        <v>29.667</v>
      </c>
      <c r="AD54" s="36">
        <f t="shared" si="25"/>
        <v>0</v>
      </c>
      <c r="AE54" s="36">
        <f t="shared" si="33"/>
        <v>0.00162058138357146</v>
      </c>
      <c r="AF54" s="36">
        <f t="shared" si="34"/>
        <v>0.00162058138357146</v>
      </c>
      <c r="AJ54" s="5" t="str" cm="1">
        <f t="array" ref="AJ54">_xlfn.IFS(MONTH(AK54)&lt;4,1,MONTH(AK54)&lt;7,2,MONTH(AK54)&lt;10,3,MONTH(AK54)&gt;9,4)&amp;"Q"&amp;RIGHT(YEAR(AK54),2)</f>
        <v>4Q19</v>
      </c>
      <c r="AK54" s="2">
        <f t="shared" si="17"/>
        <v>43830</v>
      </c>
      <c r="AL54" s="44">
        <f t="shared" si="35"/>
        <v>43830</v>
      </c>
      <c r="AM54" s="45">
        <v>2.7</v>
      </c>
      <c r="AN54" s="45">
        <v>4.71</v>
      </c>
      <c r="AO54" s="45"/>
      <c r="AP54" s="45"/>
      <c r="AQ54" s="27"/>
      <c r="AR54" s="30">
        <f t="shared" si="9"/>
        <v>0.084375</v>
      </c>
      <c r="AS54" s="30">
        <f t="shared" si="38"/>
        <v>0.07359375</v>
      </c>
      <c r="AT54" s="30"/>
      <c r="AU54" s="30"/>
      <c r="AV54" s="37">
        <f t="shared" si="39"/>
        <v>0.14406779661017</v>
      </c>
      <c r="AW54" s="37">
        <f t="shared" si="39"/>
        <v>0.0466666666666666</v>
      </c>
      <c r="AX54" s="37"/>
      <c r="AY54" s="37"/>
      <c r="BA54" s="25">
        <f t="shared" si="40"/>
        <v>43682</v>
      </c>
      <c r="BB54" s="28">
        <f t="shared" si="40"/>
        <v>2.274</v>
      </c>
      <c r="BC54" s="28">
        <f t="shared" si="10"/>
        <v>2.35</v>
      </c>
      <c r="BD54" s="28">
        <f t="shared" si="21"/>
        <v>4.517</v>
      </c>
      <c r="BE54" s="28">
        <f t="shared" si="11"/>
        <v>4.5</v>
      </c>
      <c r="BF54" s="28"/>
      <c r="BG54" s="28"/>
      <c r="BH54" s="28"/>
      <c r="BI54" s="28"/>
      <c r="BK54" s="35" t="str">
        <f t="shared" si="42"/>
        <v>2Q23</v>
      </c>
      <c r="BL54" s="26">
        <v>9.7</v>
      </c>
      <c r="BM54" s="26">
        <v>2.47</v>
      </c>
      <c r="BN54" s="26">
        <v>6.88</v>
      </c>
      <c r="BO54" s="26">
        <v>12.38</v>
      </c>
      <c r="BP54" s="26">
        <v>24.5</v>
      </c>
      <c r="BR54" s="38">
        <f t="shared" si="26"/>
        <v>0.07578125</v>
      </c>
      <c r="BS54" s="38">
        <f t="shared" si="27"/>
        <v>0.154375</v>
      </c>
      <c r="BT54" s="38">
        <f t="shared" si="12"/>
        <v>0.05375</v>
      </c>
      <c r="BU54" s="38">
        <f t="shared" si="37"/>
        <v>0.048359375</v>
      </c>
      <c r="BV54" s="38">
        <f t="shared" si="41"/>
        <v>0.0478515625</v>
      </c>
      <c r="BW54" s="46">
        <f t="shared" si="43"/>
        <v>-0.1996699669967</v>
      </c>
      <c r="BX54" s="46">
        <f t="shared" si="43"/>
        <v>-0.0919117647058824</v>
      </c>
      <c r="BY54" s="46">
        <f t="shared" si="43"/>
        <v>-0.180952380952381</v>
      </c>
      <c r="BZ54" s="46">
        <f t="shared" si="43"/>
        <v>-0.199223803363519</v>
      </c>
      <c r="CA54" s="46">
        <f t="shared" si="43"/>
        <v>-0.207632600258732</v>
      </c>
      <c r="CC54" s="25">
        <f t="shared" si="13"/>
        <v>43661</v>
      </c>
      <c r="CD54" s="29">
        <f t="shared" si="13"/>
        <v>29.667</v>
      </c>
      <c r="CE54" s="29">
        <f t="shared" si="23"/>
        <v>17.82</v>
      </c>
      <c r="DP54" s="35">
        <v>43551</v>
      </c>
      <c r="DQ54" s="26">
        <v>3</v>
      </c>
      <c r="DR54" s="26">
        <v>2.85</v>
      </c>
      <c r="DS54" s="26">
        <v>2.915</v>
      </c>
      <c r="DU54" s="35">
        <v>43551</v>
      </c>
      <c r="DV54" s="26">
        <v>5.85</v>
      </c>
      <c r="DW54" s="26">
        <v>5.7</v>
      </c>
      <c r="DX54" s="26">
        <v>5.775</v>
      </c>
      <c r="DZ54" s="35">
        <v>43551</v>
      </c>
      <c r="EA54" s="26">
        <v>11.2</v>
      </c>
      <c r="EB54" s="26">
        <v>11</v>
      </c>
      <c r="EC54" s="26">
        <v>11.05</v>
      </c>
    </row>
    <row r="55" ht="16.8" spans="3:133">
      <c r="C55" s="5" t="str" cm="1">
        <f t="array" ref="C55">_xlfn.IFS(MONTH(D55)&lt;4,1,MONTH(D55)&lt;7,2,MONTH(D55)&lt;10,3,MONTH(D55)&gt;9,4)&amp;"Q"&amp;RIGHT(YEAR(D55),2)</f>
        <v>3Q19</v>
      </c>
      <c r="D55" s="2">
        <f t="shared" si="14"/>
        <v>43708</v>
      </c>
      <c r="E55" s="25">
        <v>43689</v>
      </c>
      <c r="F55" s="26">
        <v>2.29</v>
      </c>
      <c r="G55" s="26">
        <v>4.538</v>
      </c>
      <c r="H55" s="27"/>
      <c r="I55" s="28">
        <f t="shared" si="15"/>
        <v>0.0715625</v>
      </c>
      <c r="J55" s="28">
        <f t="shared" si="7"/>
        <v>0.07090625</v>
      </c>
      <c r="K55" s="28">
        <f t="shared" si="8"/>
        <v>0</v>
      </c>
      <c r="M55" s="36">
        <f t="shared" si="24"/>
        <v>0.00703605980650845</v>
      </c>
      <c r="N55" s="36">
        <f t="shared" si="28"/>
        <v>0.0241502683363148</v>
      </c>
      <c r="O55" s="36">
        <f t="shared" si="29"/>
        <v>0.111650485436893</v>
      </c>
      <c r="P55" s="36">
        <f t="shared" si="30"/>
        <v>0.00464910338720381</v>
      </c>
      <c r="Q55" s="36">
        <f t="shared" si="31"/>
        <v>0.023685991427927</v>
      </c>
      <c r="R55" s="36">
        <f t="shared" si="32"/>
        <v>0.128013919960229</v>
      </c>
      <c r="S55" s="36"/>
      <c r="T55" s="36"/>
      <c r="U55" s="36"/>
      <c r="W55" s="5" t="str" cm="1">
        <f t="array" ref="W55">_xlfn.IFS(MONTH(X55)&lt;4,1,MONTH(X55)&lt;7,2,MONTH(X55)&lt;10,3,MONTH(X55)&gt;9,4)&amp;"Q"&amp;RIGHT(YEAR(X55),2)</f>
        <v>3Q19</v>
      </c>
      <c r="X55" s="2">
        <f t="shared" si="16"/>
        <v>43677</v>
      </c>
      <c r="Y55" s="25">
        <v>43668</v>
      </c>
      <c r="Z55" s="29">
        <v>31.667</v>
      </c>
      <c r="AD55" s="36">
        <f t="shared" si="25"/>
        <v>0.0674149728654734</v>
      </c>
      <c r="AE55" s="36">
        <f t="shared" si="33"/>
        <v>0.0674149728654734</v>
      </c>
      <c r="AF55" s="36">
        <f t="shared" si="34"/>
        <v>0.0691448056990447</v>
      </c>
      <c r="AJ55" s="5" t="str" cm="1">
        <f t="array" ref="AJ55">_xlfn.IFS(MONTH(AK55)&lt;4,1,MONTH(AK55)&lt;7,2,MONTH(AK55)&lt;10,3,MONTH(AK55)&gt;9,4)&amp;"Q"&amp;RIGHT(YEAR(AK55),2)</f>
        <v>1Q20</v>
      </c>
      <c r="AK55" s="2">
        <f t="shared" si="17"/>
        <v>43861</v>
      </c>
      <c r="AL55" s="44">
        <f t="shared" si="35"/>
        <v>43861</v>
      </c>
      <c r="AM55" s="45">
        <v>2.93</v>
      </c>
      <c r="AN55" s="45">
        <v>5.27</v>
      </c>
      <c r="AO55" s="45"/>
      <c r="AP55" s="45"/>
      <c r="AQ55" s="27"/>
      <c r="AR55" s="30">
        <f t="shared" si="9"/>
        <v>0.0915625</v>
      </c>
      <c r="AS55" s="30">
        <f t="shared" si="38"/>
        <v>0.08234375</v>
      </c>
      <c r="AT55" s="30"/>
      <c r="AU55" s="30"/>
      <c r="AV55" s="37">
        <f t="shared" si="39"/>
        <v>0.0851851851851853</v>
      </c>
      <c r="AW55" s="37">
        <f t="shared" si="39"/>
        <v>0.118895966029724</v>
      </c>
      <c r="AX55" s="37"/>
      <c r="AY55" s="37"/>
      <c r="BA55" s="25">
        <f t="shared" si="40"/>
        <v>43689</v>
      </c>
      <c r="BB55" s="28">
        <f t="shared" si="40"/>
        <v>2.29</v>
      </c>
      <c r="BC55" s="28">
        <f t="shared" si="10"/>
        <v>2.35</v>
      </c>
      <c r="BD55" s="28">
        <f t="shared" si="21"/>
        <v>4.538</v>
      </c>
      <c r="BE55" s="28">
        <f t="shared" si="11"/>
        <v>4.5</v>
      </c>
      <c r="BF55" s="28"/>
      <c r="BG55" s="28"/>
      <c r="BH55" s="28"/>
      <c r="BI55" s="28"/>
      <c r="BK55" s="35" t="str">
        <f t="shared" si="42"/>
        <v>3Q23</v>
      </c>
      <c r="BL55" s="26">
        <v>9.11</v>
      </c>
      <c r="BM55" s="26">
        <v>2.47</v>
      </c>
      <c r="BN55" s="26">
        <v>6.46</v>
      </c>
      <c r="BO55" s="26">
        <v>11.4</v>
      </c>
      <c r="BP55" s="26">
        <v>22.55</v>
      </c>
      <c r="BR55" s="38">
        <f t="shared" si="26"/>
        <v>0.071171875</v>
      </c>
      <c r="BS55" s="38">
        <f t="shared" si="27"/>
        <v>0.154375</v>
      </c>
      <c r="BT55" s="38">
        <f t="shared" si="12"/>
        <v>0.05046875</v>
      </c>
      <c r="BU55" s="38">
        <f t="shared" si="37"/>
        <v>0.04453125</v>
      </c>
      <c r="BV55" s="38">
        <f t="shared" si="41"/>
        <v>0.04404296875</v>
      </c>
      <c r="BW55" s="46">
        <f t="shared" si="43"/>
        <v>-0.0608247422680412</v>
      </c>
      <c r="BX55" s="46">
        <f t="shared" si="43"/>
        <v>0</v>
      </c>
      <c r="BY55" s="46">
        <f t="shared" si="43"/>
        <v>-0.061046511627907</v>
      </c>
      <c r="BZ55" s="46">
        <f t="shared" si="43"/>
        <v>-0.0791599353796446</v>
      </c>
      <c r="CA55" s="46">
        <f t="shared" si="43"/>
        <v>-0.0795918367346938</v>
      </c>
      <c r="CC55" s="25">
        <f t="shared" si="13"/>
        <v>43668</v>
      </c>
      <c r="CD55" s="29">
        <f t="shared" si="13"/>
        <v>31.667</v>
      </c>
      <c r="CE55" s="29">
        <f t="shared" si="23"/>
        <v>17.82</v>
      </c>
      <c r="DP55" s="35">
        <v>43552</v>
      </c>
      <c r="DQ55" s="26">
        <v>3</v>
      </c>
      <c r="DR55" s="26">
        <v>2.85</v>
      </c>
      <c r="DS55" s="26">
        <v>2.915</v>
      </c>
      <c r="DU55" s="35">
        <v>43552</v>
      </c>
      <c r="DV55" s="26">
        <v>5.85</v>
      </c>
      <c r="DW55" s="26">
        <v>5.7</v>
      </c>
      <c r="DX55" s="26">
        <v>5.775</v>
      </c>
      <c r="DZ55" s="35">
        <v>43552</v>
      </c>
      <c r="EA55" s="26">
        <v>11.2</v>
      </c>
      <c r="EB55" s="26">
        <v>11</v>
      </c>
      <c r="EC55" s="26">
        <v>11.05</v>
      </c>
    </row>
    <row r="56" ht="16.8" spans="3:133">
      <c r="C56" s="5" t="str" cm="1">
        <f t="array" ref="C56">_xlfn.IFS(MONTH(D56)&lt;4,1,MONTH(D56)&lt;7,2,MONTH(D56)&lt;10,3,MONTH(D56)&gt;9,4)&amp;"Q"&amp;RIGHT(YEAR(D56),2)</f>
        <v>3Q19</v>
      </c>
      <c r="D56" s="2">
        <f t="shared" si="14"/>
        <v>43708</v>
      </c>
      <c r="E56" s="25">
        <v>43696</v>
      </c>
      <c r="F56" s="26">
        <v>2.273</v>
      </c>
      <c r="G56" s="26">
        <v>4.517</v>
      </c>
      <c r="H56" s="27"/>
      <c r="I56" s="28">
        <f t="shared" si="15"/>
        <v>0.07103125</v>
      </c>
      <c r="J56" s="28">
        <f t="shared" si="7"/>
        <v>0.070578125</v>
      </c>
      <c r="K56" s="28">
        <f t="shared" si="8"/>
        <v>0</v>
      </c>
      <c r="M56" s="36">
        <f t="shared" si="24"/>
        <v>-0.00742358078602612</v>
      </c>
      <c r="N56" s="36">
        <f t="shared" si="28"/>
        <v>-0.000439753737906723</v>
      </c>
      <c r="O56" s="36">
        <f t="shared" si="29"/>
        <v>0.0165474060822897</v>
      </c>
      <c r="P56" s="36">
        <f t="shared" si="30"/>
        <v>-0.00462758924636397</v>
      </c>
      <c r="Q56" s="36">
        <f t="shared" si="31"/>
        <v>0</v>
      </c>
      <c r="R56" s="36">
        <f t="shared" si="32"/>
        <v>0.0189487931423415</v>
      </c>
      <c r="S56" s="36"/>
      <c r="T56" s="36"/>
      <c r="U56" s="36"/>
      <c r="W56" s="5" t="str" cm="1">
        <f t="array" ref="W56">_xlfn.IFS(MONTH(X56)&lt;4,1,MONTH(X56)&lt;7,2,MONTH(X56)&lt;10,3,MONTH(X56)&gt;9,4)&amp;"Q"&amp;RIGHT(YEAR(X56),2)</f>
        <v>3Q19</v>
      </c>
      <c r="X56" s="2">
        <f t="shared" si="16"/>
        <v>43677</v>
      </c>
      <c r="Y56" s="25">
        <v>43675</v>
      </c>
      <c r="Z56" s="29">
        <v>29.619</v>
      </c>
      <c r="AD56" s="36">
        <f t="shared" si="25"/>
        <v>-0.0646730034420691</v>
      </c>
      <c r="AE56" s="36">
        <f t="shared" si="33"/>
        <v>-0.0016179593487714</v>
      </c>
      <c r="AF56" s="36">
        <f t="shared" si="34"/>
        <v>-0.0016179593487714</v>
      </c>
      <c r="AJ56" s="5" t="str" cm="1">
        <f t="array" ref="AJ56">_xlfn.IFS(MONTH(AK56)&lt;4,1,MONTH(AK56)&lt;7,2,MONTH(AK56)&lt;10,3,MONTH(AK56)&gt;9,4)&amp;"Q"&amp;RIGHT(YEAR(AK56),2)</f>
        <v>1Q20</v>
      </c>
      <c r="AK56" s="2">
        <f t="shared" si="17"/>
        <v>43890</v>
      </c>
      <c r="AL56" s="44">
        <f t="shared" si="35"/>
        <v>43890</v>
      </c>
      <c r="AM56" s="45">
        <v>3.07</v>
      </c>
      <c r="AN56" s="45">
        <v>5.43</v>
      </c>
      <c r="AO56" s="45"/>
      <c r="AP56" s="45"/>
      <c r="AQ56" s="27"/>
      <c r="AR56" s="30">
        <f t="shared" si="9"/>
        <v>0.0959375</v>
      </c>
      <c r="AS56" s="30">
        <f t="shared" si="38"/>
        <v>0.08484375</v>
      </c>
      <c r="AT56" s="30"/>
      <c r="AU56" s="30"/>
      <c r="AV56" s="37">
        <f t="shared" si="39"/>
        <v>0.0477815699658701</v>
      </c>
      <c r="AW56" s="37">
        <f t="shared" si="39"/>
        <v>0.0303605313092978</v>
      </c>
      <c r="AX56" s="37"/>
      <c r="AY56" s="37"/>
      <c r="BA56" s="25">
        <f t="shared" si="40"/>
        <v>43696</v>
      </c>
      <c r="BB56" s="28">
        <f t="shared" si="40"/>
        <v>2.273</v>
      </c>
      <c r="BC56" s="28">
        <f t="shared" si="10"/>
        <v>2.35</v>
      </c>
      <c r="BD56" s="28">
        <f t="shared" si="21"/>
        <v>4.517</v>
      </c>
      <c r="BE56" s="28">
        <f t="shared" si="11"/>
        <v>4.5</v>
      </c>
      <c r="BF56" s="28"/>
      <c r="BG56" s="28"/>
      <c r="BH56" s="28"/>
      <c r="BI56" s="28"/>
      <c r="BK56" s="35" t="str">
        <f t="shared" si="42"/>
        <v>4Q23</v>
      </c>
      <c r="BL56" s="26">
        <v>9.62</v>
      </c>
      <c r="BM56" s="26">
        <v>2.72</v>
      </c>
      <c r="BN56" s="26">
        <v>7.06</v>
      </c>
      <c r="BO56" s="26">
        <v>13.12</v>
      </c>
      <c r="BP56" s="26">
        <v>25.6</v>
      </c>
      <c r="BR56" s="38">
        <f t="shared" si="26"/>
        <v>0.07515625</v>
      </c>
      <c r="BS56" s="38">
        <f t="shared" si="27"/>
        <v>0.17</v>
      </c>
      <c r="BT56" s="38">
        <f t="shared" si="12"/>
        <v>0.05515625</v>
      </c>
      <c r="BU56" s="38">
        <f t="shared" si="37"/>
        <v>0.05125</v>
      </c>
      <c r="BV56" s="38">
        <f t="shared" si="41"/>
        <v>0.05</v>
      </c>
      <c r="BW56" s="46">
        <f t="shared" si="43"/>
        <v>0.0559824368825466</v>
      </c>
      <c r="BX56" s="46">
        <f t="shared" si="43"/>
        <v>0.101214574898785</v>
      </c>
      <c r="BY56" s="46">
        <f t="shared" si="43"/>
        <v>0.0928792569659442</v>
      </c>
      <c r="BZ56" s="46">
        <f t="shared" si="43"/>
        <v>0.150877192982456</v>
      </c>
      <c r="CA56" s="46">
        <f t="shared" si="43"/>
        <v>0.135254988913525</v>
      </c>
      <c r="CC56" s="25">
        <f t="shared" si="13"/>
        <v>43675</v>
      </c>
      <c r="CD56" s="29">
        <f t="shared" si="13"/>
        <v>29.619</v>
      </c>
      <c r="CE56" s="29">
        <f t="shared" si="23"/>
        <v>17.82</v>
      </c>
      <c r="DP56" s="35">
        <v>43553</v>
      </c>
      <c r="DQ56" s="26">
        <v>3</v>
      </c>
      <c r="DR56" s="26">
        <v>2.85</v>
      </c>
      <c r="DS56" s="26">
        <v>2.915</v>
      </c>
      <c r="DU56" s="35">
        <v>43553</v>
      </c>
      <c r="DV56" s="26">
        <v>5.85</v>
      </c>
      <c r="DW56" s="26">
        <v>5.7</v>
      </c>
      <c r="DX56" s="26">
        <v>5.775</v>
      </c>
      <c r="DZ56" s="35">
        <v>43553</v>
      </c>
      <c r="EA56" s="26">
        <v>11.2</v>
      </c>
      <c r="EB56" s="26">
        <v>11</v>
      </c>
      <c r="EC56" s="26">
        <v>11.05</v>
      </c>
    </row>
    <row r="57" ht="16.8" spans="3:133">
      <c r="C57" s="5" t="str" cm="1">
        <f t="array" ref="C57">_xlfn.IFS(MONTH(D57)&lt;4,1,MONTH(D57)&lt;7,2,MONTH(D57)&lt;10,3,MONTH(D57)&gt;9,4)&amp;"Q"&amp;RIGHT(YEAR(D57),2)</f>
        <v>3Q19</v>
      </c>
      <c r="D57" s="2">
        <f t="shared" si="14"/>
        <v>43708</v>
      </c>
      <c r="E57" s="25">
        <v>43703</v>
      </c>
      <c r="F57" s="26">
        <v>2.255</v>
      </c>
      <c r="G57" s="26">
        <v>4.488</v>
      </c>
      <c r="H57" s="27"/>
      <c r="I57" s="28">
        <f t="shared" si="15"/>
        <v>0.07046875</v>
      </c>
      <c r="J57" s="28">
        <f t="shared" si="7"/>
        <v>0.070125</v>
      </c>
      <c r="K57" s="28">
        <f t="shared" si="8"/>
        <v>0</v>
      </c>
      <c r="M57" s="36">
        <f t="shared" si="24"/>
        <v>-0.00791904971403445</v>
      </c>
      <c r="N57" s="36">
        <f t="shared" si="28"/>
        <v>-0.0152838427947599</v>
      </c>
      <c r="O57" s="36">
        <f t="shared" si="29"/>
        <v>-0.00835532102022873</v>
      </c>
      <c r="P57" s="36">
        <f t="shared" si="30"/>
        <v>-0.00642019039185293</v>
      </c>
      <c r="Q57" s="36">
        <f t="shared" si="31"/>
        <v>-0.0110180696342</v>
      </c>
      <c r="R57" s="36">
        <f t="shared" si="32"/>
        <v>-0.00642019039185293</v>
      </c>
      <c r="S57" s="36"/>
      <c r="T57" s="36"/>
      <c r="U57" s="36"/>
      <c r="W57" s="5" t="str" cm="1">
        <f t="array" ref="W57">_xlfn.IFS(MONTH(X57)&lt;4,1,MONTH(X57)&lt;7,2,MONTH(X57)&lt;10,3,MONTH(X57)&gt;9,4)&amp;"Q"&amp;RIGHT(YEAR(X57),2)</f>
        <v>3Q19</v>
      </c>
      <c r="X57" s="2">
        <f t="shared" si="16"/>
        <v>43708</v>
      </c>
      <c r="Y57" s="25">
        <v>43682</v>
      </c>
      <c r="Z57" s="29">
        <v>29.619</v>
      </c>
      <c r="AD57" s="36">
        <f t="shared" si="25"/>
        <v>0</v>
      </c>
      <c r="AE57" s="36">
        <f t="shared" si="33"/>
        <v>-0.0646730034420691</v>
      </c>
      <c r="AF57" s="36">
        <f t="shared" si="34"/>
        <v>-0.0016179593487714</v>
      </c>
      <c r="AJ57" s="5" t="str" cm="1">
        <f t="array" ref="AJ57">_xlfn.IFS(MONTH(AK57)&lt;4,1,MONTH(AK57)&lt;7,2,MONTH(AK57)&lt;10,3,MONTH(AK57)&gt;9,4)&amp;"Q"&amp;RIGHT(YEAR(AK57),2)</f>
        <v>1Q20</v>
      </c>
      <c r="AK57" s="2">
        <f t="shared" si="17"/>
        <v>43921</v>
      </c>
      <c r="AL57" s="48">
        <f t="shared" si="35"/>
        <v>43921</v>
      </c>
      <c r="AM57" s="45">
        <v>3.11</v>
      </c>
      <c r="AN57" s="45">
        <v>5.53</v>
      </c>
      <c r="AO57" s="45"/>
      <c r="AP57" s="45"/>
      <c r="AQ57" s="27"/>
      <c r="AR57" s="30">
        <f t="shared" si="9"/>
        <v>0.0971875</v>
      </c>
      <c r="AS57" s="30">
        <f t="shared" si="38"/>
        <v>0.08640625</v>
      </c>
      <c r="AT57" s="30"/>
      <c r="AU57" s="30"/>
      <c r="AV57" s="37">
        <f t="shared" si="39"/>
        <v>0.0130293159609121</v>
      </c>
      <c r="AW57" s="37">
        <f t="shared" si="39"/>
        <v>0.0184162062615103</v>
      </c>
      <c r="AX57" s="37"/>
      <c r="AY57" s="37"/>
      <c r="BA57" s="25">
        <f t="shared" si="40"/>
        <v>43703</v>
      </c>
      <c r="BB57" s="28">
        <f t="shared" si="40"/>
        <v>2.255</v>
      </c>
      <c r="BC57" s="28">
        <f t="shared" si="10"/>
        <v>2.35</v>
      </c>
      <c r="BD57" s="28">
        <f t="shared" si="21"/>
        <v>4.488</v>
      </c>
      <c r="BE57" s="28">
        <f t="shared" si="11"/>
        <v>4.5</v>
      </c>
      <c r="BF57" s="28"/>
      <c r="BG57" s="28"/>
      <c r="BH57" s="28"/>
      <c r="BI57" s="28"/>
      <c r="BJ57" s="49"/>
      <c r="BK57" s="35" t="str">
        <f t="shared" si="42"/>
        <v>1Q24</v>
      </c>
      <c r="BL57" s="26">
        <v>10.74</v>
      </c>
      <c r="BM57" s="26">
        <v>3.26</v>
      </c>
      <c r="BN57" s="26">
        <v>9</v>
      </c>
      <c r="BO57" s="26">
        <v>16.8</v>
      </c>
      <c r="BP57" s="26">
        <v>32.2</v>
      </c>
      <c r="BR57" s="38">
        <f t="shared" si="26"/>
        <v>0.08390625</v>
      </c>
      <c r="BS57" s="38">
        <f t="shared" si="27"/>
        <v>0.20375</v>
      </c>
      <c r="BT57" s="38">
        <f t="shared" si="12"/>
        <v>0.0703125</v>
      </c>
      <c r="BU57" s="38">
        <f t="shared" si="37"/>
        <v>0.065625</v>
      </c>
      <c r="BV57" s="38">
        <f t="shared" si="41"/>
        <v>0.062890625</v>
      </c>
      <c r="BW57" s="46">
        <f t="shared" si="43"/>
        <v>0.116424116424116</v>
      </c>
      <c r="BX57" s="46">
        <f t="shared" si="43"/>
        <v>0.198529411764706</v>
      </c>
      <c r="BY57" s="46">
        <f t="shared" si="43"/>
        <v>0.274787535410765</v>
      </c>
      <c r="BZ57" s="46">
        <f t="shared" si="43"/>
        <v>0.280487804878049</v>
      </c>
      <c r="CA57" s="46">
        <f t="shared" si="43"/>
        <v>0.2578125</v>
      </c>
      <c r="CC57" s="25">
        <f t="shared" si="13"/>
        <v>43682</v>
      </c>
      <c r="CD57" s="29">
        <f t="shared" si="13"/>
        <v>29.619</v>
      </c>
      <c r="CE57" s="29">
        <f t="shared" si="23"/>
        <v>17.82</v>
      </c>
      <c r="DP57" s="35">
        <v>43556</v>
      </c>
      <c r="DQ57" s="26">
        <v>3</v>
      </c>
      <c r="DR57" s="26">
        <v>2.85</v>
      </c>
      <c r="DS57" s="26">
        <v>2.915</v>
      </c>
      <c r="DU57" s="35">
        <v>43556</v>
      </c>
      <c r="DV57" s="26">
        <v>5.85</v>
      </c>
      <c r="DW57" s="26">
        <v>5.7</v>
      </c>
      <c r="DX57" s="26">
        <v>5.775</v>
      </c>
      <c r="DZ57" s="35">
        <v>43556</v>
      </c>
      <c r="EA57" s="26">
        <v>11.2</v>
      </c>
      <c r="EB57" s="26">
        <v>11</v>
      </c>
      <c r="EC57" s="26">
        <v>11.05</v>
      </c>
    </row>
    <row r="58" ht="16.8" spans="3:133">
      <c r="C58" s="5" t="str" cm="1">
        <f t="array" ref="C58">_xlfn.IFS(MONTH(D58)&lt;4,1,MONTH(D58)&lt;7,2,MONTH(D58)&lt;10,3,MONTH(D58)&gt;9,4)&amp;"Q"&amp;RIGHT(YEAR(D58),2)</f>
        <v>3Q19</v>
      </c>
      <c r="D58" s="2">
        <f t="shared" si="14"/>
        <v>43738</v>
      </c>
      <c r="E58" s="25">
        <v>43710</v>
      </c>
      <c r="F58" s="26">
        <v>2.21</v>
      </c>
      <c r="G58" s="26">
        <v>4.456</v>
      </c>
      <c r="H58" s="27"/>
      <c r="I58" s="28">
        <f t="shared" si="15"/>
        <v>0.0690625</v>
      </c>
      <c r="J58" s="28">
        <f t="shared" si="7"/>
        <v>0.069625</v>
      </c>
      <c r="K58" s="28">
        <f t="shared" si="8"/>
        <v>0</v>
      </c>
      <c r="M58" s="36">
        <f t="shared" si="24"/>
        <v>-0.0199556541019955</v>
      </c>
      <c r="N58" s="36">
        <f t="shared" si="28"/>
        <v>-0.0277166739991201</v>
      </c>
      <c r="O58" s="36">
        <f t="shared" si="29"/>
        <v>-0.034934497816594</v>
      </c>
      <c r="P58" s="36">
        <f t="shared" si="30"/>
        <v>-0.00713012477718356</v>
      </c>
      <c r="Q58" s="36">
        <f t="shared" si="31"/>
        <v>-0.0135045384104494</v>
      </c>
      <c r="R58" s="36">
        <f t="shared" si="32"/>
        <v>-0.0180696342000881</v>
      </c>
      <c r="S58" s="36"/>
      <c r="T58" s="36"/>
      <c r="U58" s="36"/>
      <c r="W58" s="5" t="str" cm="1">
        <f t="array" ref="W58">_xlfn.IFS(MONTH(X58)&lt;4,1,MONTH(X58)&lt;7,2,MONTH(X58)&lt;10,3,MONTH(X58)&gt;9,4)&amp;"Q"&amp;RIGHT(YEAR(X58),2)</f>
        <v>3Q19</v>
      </c>
      <c r="X58" s="2">
        <f t="shared" si="16"/>
        <v>43708</v>
      </c>
      <c r="Y58" s="25">
        <v>43689</v>
      </c>
      <c r="Z58" s="29">
        <v>29.619</v>
      </c>
      <c r="AD58" s="36">
        <f t="shared" si="25"/>
        <v>0</v>
      </c>
      <c r="AE58" s="36">
        <f t="shared" si="33"/>
        <v>0</v>
      </c>
      <c r="AF58" s="36">
        <f t="shared" si="34"/>
        <v>-0.0646730034420691</v>
      </c>
      <c r="AJ58" s="5" t="str" cm="1">
        <f t="array" ref="AJ58">_xlfn.IFS(MONTH(AK58)&lt;4,1,MONTH(AK58)&lt;7,2,MONTH(AK58)&lt;10,3,MONTH(AK58)&gt;9,4)&amp;"Q"&amp;RIGHT(YEAR(AK58),2)</f>
        <v>2Q20</v>
      </c>
      <c r="AK58" s="2">
        <f t="shared" si="17"/>
        <v>43951</v>
      </c>
      <c r="AL58" s="48">
        <f t="shared" si="35"/>
        <v>43951</v>
      </c>
      <c r="AM58" s="45">
        <v>3.11</v>
      </c>
      <c r="AN58" s="45">
        <v>5.53</v>
      </c>
      <c r="AO58" s="45"/>
      <c r="AP58" s="45"/>
      <c r="AQ58" s="27"/>
      <c r="AR58" s="30">
        <f t="shared" si="9"/>
        <v>0.0971875</v>
      </c>
      <c r="AS58" s="30">
        <f t="shared" si="38"/>
        <v>0.08640625</v>
      </c>
      <c r="AT58" s="30"/>
      <c r="AU58" s="30"/>
      <c r="AV58" s="37">
        <f t="shared" si="39"/>
        <v>0</v>
      </c>
      <c r="AW58" s="37">
        <f t="shared" si="39"/>
        <v>0</v>
      </c>
      <c r="AX58" s="37"/>
      <c r="AY58" s="37"/>
      <c r="BA58" s="25">
        <f t="shared" si="40"/>
        <v>43710</v>
      </c>
      <c r="BB58" s="28">
        <f t="shared" si="40"/>
        <v>2.21</v>
      </c>
      <c r="BC58" s="28">
        <f t="shared" si="10"/>
        <v>2.35</v>
      </c>
      <c r="BD58" s="28">
        <f t="shared" si="21"/>
        <v>4.456</v>
      </c>
      <c r="BE58" s="28">
        <f t="shared" si="11"/>
        <v>4.5</v>
      </c>
      <c r="BF58" s="28"/>
      <c r="BG58" s="28"/>
      <c r="BH58" s="28"/>
      <c r="BI58" s="28"/>
      <c r="BJ58" s="49"/>
      <c r="BK58" s="35" t="str">
        <f t="shared" si="42"/>
        <v>2Q24</v>
      </c>
      <c r="BL58" s="26">
        <v>10.26</v>
      </c>
      <c r="BM58" s="26">
        <v>3.39</v>
      </c>
      <c r="BN58" s="26">
        <v>9.98</v>
      </c>
      <c r="BO58" s="26">
        <v>21.68</v>
      </c>
      <c r="BP58" s="26">
        <v>36.16</v>
      </c>
      <c r="BR58" s="38">
        <f t="shared" si="26"/>
        <v>0.08015625</v>
      </c>
      <c r="BS58" s="38">
        <f t="shared" si="27"/>
        <v>0.211875</v>
      </c>
      <c r="BT58" s="38">
        <f t="shared" si="12"/>
        <v>0.07796875</v>
      </c>
      <c r="BU58" s="38">
        <f t="shared" si="37"/>
        <v>0.0846875</v>
      </c>
      <c r="BV58" s="38">
        <f t="shared" si="41"/>
        <v>0.070625</v>
      </c>
      <c r="BW58" s="46">
        <f t="shared" si="43"/>
        <v>-0.0446927374301677</v>
      </c>
      <c r="BX58" s="46">
        <f t="shared" si="43"/>
        <v>0.0398773006134971</v>
      </c>
      <c r="BY58" s="46">
        <f t="shared" si="43"/>
        <v>0.108888888888889</v>
      </c>
      <c r="BZ58" s="46">
        <f t="shared" si="43"/>
        <v>0.29047619047619</v>
      </c>
      <c r="CA58" s="46">
        <f t="shared" si="43"/>
        <v>0.122981366459627</v>
      </c>
      <c r="CC58" s="25">
        <f t="shared" si="13"/>
        <v>43689</v>
      </c>
      <c r="CD58" s="29">
        <f t="shared" si="13"/>
        <v>29.619</v>
      </c>
      <c r="CE58" s="29">
        <f t="shared" si="23"/>
        <v>17.82</v>
      </c>
      <c r="DP58" s="35">
        <v>43557</v>
      </c>
      <c r="DQ58" s="26">
        <v>3</v>
      </c>
      <c r="DR58" s="26">
        <v>2.85</v>
      </c>
      <c r="DS58" s="26">
        <v>2.915</v>
      </c>
      <c r="DU58" s="35">
        <v>43557</v>
      </c>
      <c r="DV58" s="26">
        <v>5.85</v>
      </c>
      <c r="DW58" s="26">
        <v>5.7</v>
      </c>
      <c r="DX58" s="26">
        <v>5.775</v>
      </c>
      <c r="DZ58" s="35">
        <v>43557</v>
      </c>
      <c r="EA58" s="26">
        <v>11.2</v>
      </c>
      <c r="EB58" s="26">
        <v>11</v>
      </c>
      <c r="EC58" s="26">
        <v>11.05</v>
      </c>
    </row>
    <row r="59" ht="16.8" spans="3:133">
      <c r="C59" s="5" t="str" cm="1">
        <f t="array" ref="C59">_xlfn.IFS(MONTH(D59)&lt;4,1,MONTH(D59)&lt;7,2,MONTH(D59)&lt;10,3,MONTH(D59)&gt;9,4)&amp;"Q"&amp;RIGHT(YEAR(D59),2)</f>
        <v>3Q19</v>
      </c>
      <c r="D59" s="2">
        <f t="shared" si="14"/>
        <v>43738</v>
      </c>
      <c r="E59" s="25">
        <v>43717</v>
      </c>
      <c r="F59" s="26">
        <v>2.173</v>
      </c>
      <c r="G59" s="26">
        <v>4.41</v>
      </c>
      <c r="H59" s="27"/>
      <c r="I59" s="28">
        <f t="shared" si="15"/>
        <v>0.06790625</v>
      </c>
      <c r="J59" s="28">
        <f t="shared" si="7"/>
        <v>0.06890625</v>
      </c>
      <c r="K59" s="28">
        <f t="shared" si="8"/>
        <v>0</v>
      </c>
      <c r="M59" s="36">
        <f t="shared" si="24"/>
        <v>-0.0167420814479637</v>
      </c>
      <c r="N59" s="36">
        <f t="shared" si="28"/>
        <v>-0.0363636363636363</v>
      </c>
      <c r="O59" s="36">
        <f t="shared" si="29"/>
        <v>-0.0439947206335241</v>
      </c>
      <c r="P59" s="36">
        <f t="shared" si="30"/>
        <v>-0.0103231597845602</v>
      </c>
      <c r="Q59" s="36">
        <f t="shared" si="31"/>
        <v>-0.0173796791443851</v>
      </c>
      <c r="R59" s="36">
        <f t="shared" si="32"/>
        <v>-0.0236882886871818</v>
      </c>
      <c r="S59" s="36"/>
      <c r="T59" s="36"/>
      <c r="U59" s="36"/>
      <c r="W59" s="5" t="str" cm="1">
        <f t="array" ref="W59">_xlfn.IFS(MONTH(X59)&lt;4,1,MONTH(X59)&lt;7,2,MONTH(X59)&lt;10,3,MONTH(X59)&gt;9,4)&amp;"Q"&amp;RIGHT(YEAR(X59),2)</f>
        <v>3Q19</v>
      </c>
      <c r="X59" s="2">
        <f t="shared" si="16"/>
        <v>43708</v>
      </c>
      <c r="Y59" s="25">
        <v>43696</v>
      </c>
      <c r="Z59" s="29">
        <v>29.619</v>
      </c>
      <c r="AD59" s="36">
        <f t="shared" si="25"/>
        <v>0</v>
      </c>
      <c r="AE59" s="36">
        <f t="shared" si="33"/>
        <v>0</v>
      </c>
      <c r="AF59" s="36">
        <f t="shared" si="34"/>
        <v>0</v>
      </c>
      <c r="AJ59" s="5" t="str" cm="1">
        <f t="array" ref="AJ59">_xlfn.IFS(MONTH(AK59)&lt;4,1,MONTH(AK59)&lt;7,2,MONTH(AK59)&lt;10,3,MONTH(AK59)&gt;9,4)&amp;"Q"&amp;RIGHT(YEAR(AK59),2)</f>
        <v>2Q20</v>
      </c>
      <c r="AK59" s="2">
        <f t="shared" si="17"/>
        <v>43982</v>
      </c>
      <c r="AL59" s="48">
        <f t="shared" si="35"/>
        <v>43982</v>
      </c>
      <c r="AM59" s="45">
        <v>3.09</v>
      </c>
      <c r="AN59" s="45">
        <v>5.49</v>
      </c>
      <c r="AO59" s="45"/>
      <c r="AP59" s="45"/>
      <c r="AQ59" s="27"/>
      <c r="AR59" s="30">
        <f t="shared" si="9"/>
        <v>0.0965625</v>
      </c>
      <c r="AS59" s="30">
        <f t="shared" si="38"/>
        <v>0.08578125</v>
      </c>
      <c r="AT59" s="30"/>
      <c r="AU59" s="30"/>
      <c r="AV59" s="37">
        <f t="shared" si="39"/>
        <v>-0.00643086816720262</v>
      </c>
      <c r="AW59" s="37">
        <f t="shared" si="39"/>
        <v>-0.00723327305605792</v>
      </c>
      <c r="AX59" s="37"/>
      <c r="AY59" s="37"/>
      <c r="BA59" s="25">
        <f t="shared" si="40"/>
        <v>43717</v>
      </c>
      <c r="BB59" s="28">
        <f t="shared" si="40"/>
        <v>2.173</v>
      </c>
      <c r="BC59" s="28">
        <f t="shared" si="10"/>
        <v>2.35</v>
      </c>
      <c r="BD59" s="28">
        <f t="shared" si="21"/>
        <v>4.41</v>
      </c>
      <c r="BE59" s="28">
        <f t="shared" si="11"/>
        <v>4.5</v>
      </c>
      <c r="BF59" s="28"/>
      <c r="BG59" s="28"/>
      <c r="BH59" s="28"/>
      <c r="BI59" s="28"/>
      <c r="BJ59" s="49"/>
      <c r="BK59" s="35" t="str">
        <f t="shared" si="42"/>
        <v>3Q24</v>
      </c>
      <c r="BL59" s="26">
        <v>10.26</v>
      </c>
      <c r="BM59" s="26">
        <v>3.39</v>
      </c>
      <c r="BN59" s="26">
        <v>10.74</v>
      </c>
      <c r="BO59" s="26">
        <v>22.84</v>
      </c>
      <c r="BP59" s="26">
        <v>37.4</v>
      </c>
      <c r="BR59" s="38">
        <f t="shared" si="26"/>
        <v>0.08015625</v>
      </c>
      <c r="BS59" s="38">
        <f t="shared" si="27"/>
        <v>0.211875</v>
      </c>
      <c r="BT59" s="38">
        <f t="shared" si="12"/>
        <v>0.08390625</v>
      </c>
      <c r="BU59" s="38">
        <f t="shared" si="37"/>
        <v>0.08921875</v>
      </c>
      <c r="BV59" s="38">
        <f t="shared" si="41"/>
        <v>0.073046875</v>
      </c>
      <c r="BW59" s="46">
        <f t="shared" si="43"/>
        <v>0</v>
      </c>
      <c r="BX59" s="46">
        <f t="shared" si="43"/>
        <v>0</v>
      </c>
      <c r="BY59" s="46">
        <f t="shared" si="43"/>
        <v>0.0761523046092185</v>
      </c>
      <c r="BZ59" s="46">
        <f t="shared" si="43"/>
        <v>0.0535055350553506</v>
      </c>
      <c r="CA59" s="46">
        <f t="shared" si="43"/>
        <v>0.0342920353982301</v>
      </c>
      <c r="CC59" s="25">
        <f t="shared" ref="CC59:CD90" si="44">Y59</f>
        <v>43696</v>
      </c>
      <c r="CD59" s="29">
        <f t="shared" si="44"/>
        <v>29.619</v>
      </c>
      <c r="CE59" s="29">
        <f t="shared" si="23"/>
        <v>17.82</v>
      </c>
      <c r="DP59" s="35">
        <v>43558</v>
      </c>
      <c r="DQ59" s="26">
        <v>3</v>
      </c>
      <c r="DR59" s="26">
        <v>2.85</v>
      </c>
      <c r="DS59" s="26">
        <v>2.915</v>
      </c>
      <c r="DU59" s="35">
        <v>43558</v>
      </c>
      <c r="DV59" s="26">
        <v>5.85</v>
      </c>
      <c r="DW59" s="26">
        <v>5.7</v>
      </c>
      <c r="DX59" s="26">
        <v>5.775</v>
      </c>
      <c r="DZ59" s="35">
        <v>43558</v>
      </c>
      <c r="EA59" s="26">
        <v>11.2</v>
      </c>
      <c r="EB59" s="26">
        <v>11</v>
      </c>
      <c r="EC59" s="26">
        <v>11.05</v>
      </c>
    </row>
    <row r="60" ht="16.8" spans="3:133">
      <c r="C60" s="5" t="str" cm="1">
        <f t="array" ref="C60">_xlfn.IFS(MONTH(D60)&lt;4,1,MONTH(D60)&lt;7,2,MONTH(D60)&lt;10,3,MONTH(D60)&gt;9,4)&amp;"Q"&amp;RIGHT(YEAR(D60),2)</f>
        <v>3Q19</v>
      </c>
      <c r="D60" s="2">
        <f t="shared" si="14"/>
        <v>43738</v>
      </c>
      <c r="E60" s="25">
        <v>43724</v>
      </c>
      <c r="F60" s="26">
        <v>2.175</v>
      </c>
      <c r="G60" s="26">
        <v>4.415</v>
      </c>
      <c r="H60" s="27"/>
      <c r="I60" s="28">
        <f t="shared" si="15"/>
        <v>0.06796875</v>
      </c>
      <c r="J60" s="28">
        <f t="shared" si="7"/>
        <v>0.068984375</v>
      </c>
      <c r="K60" s="28">
        <f t="shared" si="8"/>
        <v>0</v>
      </c>
      <c r="M60" s="36">
        <f t="shared" si="24"/>
        <v>0.000920386562356157</v>
      </c>
      <c r="N60" s="36">
        <f t="shared" si="28"/>
        <v>-0.0158371040723982</v>
      </c>
      <c r="O60" s="36">
        <f t="shared" si="29"/>
        <v>-0.0354767184035477</v>
      </c>
      <c r="P60" s="36">
        <f t="shared" si="30"/>
        <v>0.00113378684807253</v>
      </c>
      <c r="Q60" s="36">
        <f t="shared" si="31"/>
        <v>-0.00920107719928198</v>
      </c>
      <c r="R60" s="36">
        <f t="shared" si="32"/>
        <v>-0.0162655971479502</v>
      </c>
      <c r="S60" s="36"/>
      <c r="T60" s="36"/>
      <c r="U60" s="36"/>
      <c r="W60" s="5" t="str" cm="1">
        <f t="array" ref="W60">_xlfn.IFS(MONTH(X60)&lt;4,1,MONTH(X60)&lt;7,2,MONTH(X60)&lt;10,3,MONTH(X60)&gt;9,4)&amp;"Q"&amp;RIGHT(YEAR(X60),2)</f>
        <v>3Q19</v>
      </c>
      <c r="X60" s="2">
        <f t="shared" si="16"/>
        <v>43708</v>
      </c>
      <c r="Y60" s="25">
        <v>43703</v>
      </c>
      <c r="Z60" s="29">
        <v>27.714</v>
      </c>
      <c r="AD60" s="36">
        <f t="shared" si="25"/>
        <v>-0.0643168236604882</v>
      </c>
      <c r="AE60" s="36">
        <f t="shared" si="33"/>
        <v>-0.0643168236604882</v>
      </c>
      <c r="AF60" s="36">
        <f t="shared" si="34"/>
        <v>-0.0643168236604882</v>
      </c>
      <c r="AJ60" s="5" t="str" cm="1">
        <f t="array" ref="AJ60">_xlfn.IFS(MONTH(AK60)&lt;4,1,MONTH(AK60)&lt;7,2,MONTH(AK60)&lt;10,3,MONTH(AK60)&gt;9,4)&amp;"Q"&amp;RIGHT(YEAR(AK60),2)</f>
        <v>2Q20</v>
      </c>
      <c r="AK60" s="2">
        <f t="shared" si="17"/>
        <v>44012</v>
      </c>
      <c r="AL60" s="48">
        <f t="shared" si="35"/>
        <v>44012</v>
      </c>
      <c r="AM60" s="45">
        <v>3.09</v>
      </c>
      <c r="AN60" s="45">
        <v>5.36</v>
      </c>
      <c r="AO60" s="45"/>
      <c r="AP60" s="45"/>
      <c r="AQ60" s="27"/>
      <c r="AR60" s="30">
        <f t="shared" si="9"/>
        <v>0.0965625</v>
      </c>
      <c r="AS60" s="30">
        <f t="shared" si="38"/>
        <v>0.08375</v>
      </c>
      <c r="AT60" s="30"/>
      <c r="AU60" s="30"/>
      <c r="AV60" s="37">
        <f t="shared" si="39"/>
        <v>0</v>
      </c>
      <c r="AW60" s="37">
        <f t="shared" si="39"/>
        <v>-0.02367941712204</v>
      </c>
      <c r="AX60" s="37"/>
      <c r="AY60" s="37"/>
      <c r="BA60" s="25">
        <f t="shared" si="40"/>
        <v>43724</v>
      </c>
      <c r="BB60" s="28">
        <f t="shared" si="40"/>
        <v>2.175</v>
      </c>
      <c r="BC60" s="28">
        <f t="shared" si="10"/>
        <v>2.35</v>
      </c>
      <c r="BD60" s="28">
        <f t="shared" si="21"/>
        <v>4.415</v>
      </c>
      <c r="BE60" s="28">
        <f t="shared" si="11"/>
        <v>4.5</v>
      </c>
      <c r="BF60" s="28"/>
      <c r="BG60" s="28"/>
      <c r="BH60" s="28"/>
      <c r="BI60" s="28"/>
      <c r="BK60" s="35" t="str">
        <f t="shared" si="42"/>
        <v>4Q24</v>
      </c>
      <c r="BL60" s="26">
        <v>8.93</v>
      </c>
      <c r="BM60" s="26">
        <v>3.12</v>
      </c>
      <c r="BN60" s="26">
        <v>9.18</v>
      </c>
      <c r="BO60" s="26">
        <v>19.95</v>
      </c>
      <c r="BP60" s="26">
        <v>34.4</v>
      </c>
      <c r="BR60" s="38">
        <f t="shared" si="26"/>
        <v>0.069765625</v>
      </c>
      <c r="BS60" s="38">
        <f t="shared" si="27"/>
        <v>0.195</v>
      </c>
      <c r="BT60" s="38">
        <f t="shared" si="12"/>
        <v>0.07171875</v>
      </c>
      <c r="BU60" s="38">
        <f t="shared" si="37"/>
        <v>0.0779296875</v>
      </c>
      <c r="BV60" s="38">
        <f t="shared" si="41"/>
        <v>0.0671875</v>
      </c>
      <c r="BW60" s="46">
        <f t="shared" si="43"/>
        <v>-0.12962962962963</v>
      </c>
      <c r="BX60" s="46">
        <f t="shared" si="43"/>
        <v>-0.0796460176991151</v>
      </c>
      <c r="BY60" s="46">
        <f t="shared" si="43"/>
        <v>-0.145251396648045</v>
      </c>
      <c r="BZ60" s="46">
        <f t="shared" si="43"/>
        <v>-0.126532399299475</v>
      </c>
      <c r="CA60" s="46">
        <f t="shared" si="43"/>
        <v>-0.0802139037433155</v>
      </c>
      <c r="CC60" s="25">
        <f t="shared" si="44"/>
        <v>43703</v>
      </c>
      <c r="CD60" s="29">
        <f t="shared" si="44"/>
        <v>27.714</v>
      </c>
      <c r="CE60" s="29">
        <f t="shared" si="23"/>
        <v>17.82</v>
      </c>
      <c r="DP60" s="35">
        <v>43559</v>
      </c>
      <c r="DQ60" s="26">
        <v>3</v>
      </c>
      <c r="DR60" s="26">
        <v>2.85</v>
      </c>
      <c r="DS60" s="26">
        <v>2.915</v>
      </c>
      <c r="DU60" s="35">
        <v>43559</v>
      </c>
      <c r="DV60" s="26">
        <v>5.85</v>
      </c>
      <c r="DW60" s="26">
        <v>5.7</v>
      </c>
      <c r="DX60" s="26">
        <v>5.775</v>
      </c>
      <c r="DZ60" s="35">
        <v>43559</v>
      </c>
      <c r="EA60" s="26">
        <v>11.2</v>
      </c>
      <c r="EB60" s="26">
        <v>11</v>
      </c>
      <c r="EC60" s="26">
        <v>11.05</v>
      </c>
    </row>
    <row r="61" ht="16.8" spans="3:133">
      <c r="C61" s="5" t="str" cm="1">
        <f t="array" ref="C61">_xlfn.IFS(MONTH(D61)&lt;4,1,MONTH(D61)&lt;7,2,MONTH(D61)&lt;10,3,MONTH(D61)&gt;9,4)&amp;"Q"&amp;RIGHT(YEAR(D61),2)</f>
        <v>3Q19</v>
      </c>
      <c r="D61" s="2">
        <f t="shared" si="14"/>
        <v>43738</v>
      </c>
      <c r="E61" s="25">
        <v>43731</v>
      </c>
      <c r="F61" s="26">
        <v>2.159</v>
      </c>
      <c r="G61" s="26">
        <v>4.315</v>
      </c>
      <c r="H61" s="27"/>
      <c r="I61" s="28">
        <f t="shared" si="15"/>
        <v>0.06746875</v>
      </c>
      <c r="J61" s="28">
        <f t="shared" si="7"/>
        <v>0.067421875</v>
      </c>
      <c r="K61" s="28">
        <f t="shared" si="8"/>
        <v>0</v>
      </c>
      <c r="M61" s="36">
        <f t="shared" si="24"/>
        <v>-0.00735632183908042</v>
      </c>
      <c r="N61" s="36">
        <f t="shared" si="28"/>
        <v>-0.00644270593649343</v>
      </c>
      <c r="O61" s="36">
        <f t="shared" si="29"/>
        <v>-0.0230769230769231</v>
      </c>
      <c r="P61" s="36">
        <f t="shared" si="30"/>
        <v>-0.0226500566251415</v>
      </c>
      <c r="Q61" s="36">
        <f t="shared" si="31"/>
        <v>-0.0215419501133787</v>
      </c>
      <c r="R61" s="36">
        <f t="shared" si="32"/>
        <v>-0.0316427289048474</v>
      </c>
      <c r="S61" s="36"/>
      <c r="T61" s="36"/>
      <c r="U61" s="36"/>
      <c r="W61" s="5" t="str" cm="1">
        <f t="array" ref="W61">_xlfn.IFS(MONTH(X61)&lt;4,1,MONTH(X61)&lt;7,2,MONTH(X61)&lt;10,3,MONTH(X61)&gt;9,4)&amp;"Q"&amp;RIGHT(YEAR(X61),2)</f>
        <v>3Q19</v>
      </c>
      <c r="X61" s="2">
        <f t="shared" si="16"/>
        <v>43738</v>
      </c>
      <c r="Y61" s="25">
        <v>43710</v>
      </c>
      <c r="Z61" s="29">
        <v>26.762</v>
      </c>
      <c r="AD61" s="36">
        <f t="shared" si="25"/>
        <v>-0.0343508695965937</v>
      </c>
      <c r="AE61" s="36">
        <f t="shared" si="33"/>
        <v>-0.0964583544346534</v>
      </c>
      <c r="AF61" s="36">
        <f t="shared" si="34"/>
        <v>-0.0964583544346534</v>
      </c>
      <c r="AJ61" s="5" t="str" cm="1">
        <f t="array" ref="AJ61">_xlfn.IFS(MONTH(AK61)&lt;4,1,MONTH(AK61)&lt;7,2,MONTH(AK61)&lt;10,3,MONTH(AK61)&gt;9,4)&amp;"Q"&amp;RIGHT(YEAR(AK61),2)</f>
        <v>3Q20</v>
      </c>
      <c r="AK61" s="2">
        <f t="shared" si="17"/>
        <v>44043</v>
      </c>
      <c r="AL61" s="48">
        <f t="shared" si="35"/>
        <v>44043</v>
      </c>
      <c r="AM61" s="45">
        <v>2.85</v>
      </c>
      <c r="AN61" s="45">
        <v>5.32</v>
      </c>
      <c r="AO61" s="45"/>
      <c r="AP61" s="45"/>
      <c r="AQ61" s="27"/>
      <c r="AR61" s="30">
        <f t="shared" si="9"/>
        <v>0.0890625</v>
      </c>
      <c r="AS61" s="30">
        <f t="shared" si="38"/>
        <v>0.083125</v>
      </c>
      <c r="AT61" s="30"/>
      <c r="AU61" s="30"/>
      <c r="AV61" s="37">
        <f t="shared" si="39"/>
        <v>-0.0776699029126213</v>
      </c>
      <c r="AW61" s="37">
        <f t="shared" si="39"/>
        <v>-0.0074626865671642</v>
      </c>
      <c r="AX61" s="37"/>
      <c r="AY61" s="37"/>
      <c r="BA61" s="25">
        <f t="shared" si="40"/>
        <v>43731</v>
      </c>
      <c r="BB61" s="28">
        <f t="shared" si="40"/>
        <v>2.159</v>
      </c>
      <c r="BC61" s="28">
        <f t="shared" si="10"/>
        <v>2.35</v>
      </c>
      <c r="BD61" s="28">
        <f t="shared" si="21"/>
        <v>4.315</v>
      </c>
      <c r="BE61" s="28">
        <f t="shared" si="11"/>
        <v>4.5</v>
      </c>
      <c r="BF61" s="28"/>
      <c r="BG61" s="28"/>
      <c r="BH61" s="28"/>
      <c r="BI61" s="28"/>
      <c r="BK61" s="35" t="str">
        <f t="shared" si="42"/>
        <v>1Q25</v>
      </c>
      <c r="BL61" s="26">
        <v>7.28</v>
      </c>
      <c r="BM61" s="26">
        <v>2.92</v>
      </c>
      <c r="BN61" s="26">
        <v>7.59</v>
      </c>
      <c r="BO61" s="26">
        <v>15.44</v>
      </c>
      <c r="BP61" s="26">
        <v>31.5</v>
      </c>
      <c r="BR61" s="38">
        <f t="shared" si="26"/>
        <v>0.056875</v>
      </c>
      <c r="BS61" s="38">
        <f t="shared" si="27"/>
        <v>0.1825</v>
      </c>
      <c r="BT61" s="38">
        <f t="shared" si="12"/>
        <v>0.059296875</v>
      </c>
      <c r="BU61" s="38">
        <f t="shared" si="37"/>
        <v>0.0603125</v>
      </c>
      <c r="BV61" s="38">
        <f t="shared" si="41"/>
        <v>0.0615234375</v>
      </c>
      <c r="BW61" s="46">
        <f t="shared" si="43"/>
        <v>-0.184770436730123</v>
      </c>
      <c r="BX61" s="46">
        <f t="shared" si="43"/>
        <v>-0.0641025641025642</v>
      </c>
      <c r="BY61" s="46">
        <f t="shared" si="43"/>
        <v>-0.173202614379085</v>
      </c>
      <c r="BZ61" s="46">
        <f t="shared" si="43"/>
        <v>-0.226065162907268</v>
      </c>
      <c r="CA61" s="46">
        <f t="shared" si="43"/>
        <v>-0.0843023255813953</v>
      </c>
      <c r="CC61" s="25">
        <f t="shared" si="44"/>
        <v>43710</v>
      </c>
      <c r="CD61" s="29">
        <f t="shared" si="44"/>
        <v>26.762</v>
      </c>
      <c r="CE61" s="29">
        <f t="shared" si="23"/>
        <v>17.82</v>
      </c>
      <c r="DP61" s="35">
        <v>43563</v>
      </c>
      <c r="DQ61" s="26">
        <v>3</v>
      </c>
      <c r="DR61" s="26">
        <v>2.85</v>
      </c>
      <c r="DS61" s="26">
        <v>2.915</v>
      </c>
      <c r="DU61" s="35">
        <v>43563</v>
      </c>
      <c r="DV61" s="26">
        <v>5.85</v>
      </c>
      <c r="DW61" s="26">
        <v>5.7</v>
      </c>
      <c r="DX61" s="26">
        <v>5.775</v>
      </c>
      <c r="DZ61" s="35">
        <v>43563</v>
      </c>
      <c r="EA61" s="26">
        <v>11.2</v>
      </c>
      <c r="EB61" s="26">
        <v>11</v>
      </c>
      <c r="EC61" s="26">
        <v>11.05</v>
      </c>
    </row>
    <row r="62" ht="16.8" spans="3:133">
      <c r="C62" s="5" t="str" cm="1">
        <f t="array" ref="C62">_xlfn.IFS(MONTH(D62)&lt;4,1,MONTH(D62)&lt;7,2,MONTH(D62)&lt;10,3,MONTH(D62)&gt;9,4)&amp;"Q"&amp;RIGHT(YEAR(D62),2)</f>
        <v>3Q19</v>
      </c>
      <c r="D62" s="2">
        <f t="shared" si="14"/>
        <v>43738</v>
      </c>
      <c r="E62" s="25">
        <v>43738</v>
      </c>
      <c r="F62" s="26">
        <v>2.127</v>
      </c>
      <c r="G62" s="26">
        <v>4.261</v>
      </c>
      <c r="H62" s="27"/>
      <c r="I62" s="28">
        <f t="shared" si="15"/>
        <v>0.06646875</v>
      </c>
      <c r="J62" s="28">
        <f t="shared" si="7"/>
        <v>0.066578125</v>
      </c>
      <c r="K62" s="28">
        <f t="shared" si="8"/>
        <v>0</v>
      </c>
      <c r="M62" s="36">
        <f t="shared" si="24"/>
        <v>-0.0148216767021769</v>
      </c>
      <c r="N62" s="36">
        <f t="shared" si="28"/>
        <v>-0.0220689655172414</v>
      </c>
      <c r="O62" s="36">
        <f t="shared" si="29"/>
        <v>-0.0211688909341925</v>
      </c>
      <c r="P62" s="36">
        <f t="shared" si="30"/>
        <v>-0.0125144843568946</v>
      </c>
      <c r="Q62" s="36">
        <f t="shared" si="31"/>
        <v>-0.034881087202718</v>
      </c>
      <c r="R62" s="36">
        <f t="shared" si="32"/>
        <v>-0.0337868480725624</v>
      </c>
      <c r="S62" s="36"/>
      <c r="T62" s="36"/>
      <c r="U62" s="36"/>
      <c r="W62" s="5" t="str" cm="1">
        <f t="array" ref="W62">_xlfn.IFS(MONTH(X62)&lt;4,1,MONTH(X62)&lt;7,2,MONTH(X62)&lt;10,3,MONTH(X62)&gt;9,4)&amp;"Q"&amp;RIGHT(YEAR(X62),2)</f>
        <v>3Q19</v>
      </c>
      <c r="X62" s="2">
        <f t="shared" si="16"/>
        <v>43738</v>
      </c>
      <c r="Y62" s="25">
        <v>43717</v>
      </c>
      <c r="Z62" s="29">
        <v>25.81</v>
      </c>
      <c r="AD62" s="36">
        <f t="shared" si="25"/>
        <v>-0.0355728271429639</v>
      </c>
      <c r="AE62" s="36">
        <f t="shared" si="33"/>
        <v>-0.0687017391931876</v>
      </c>
      <c r="AF62" s="36">
        <f t="shared" si="34"/>
        <v>-0.128599885208819</v>
      </c>
      <c r="AJ62" s="5" t="str" cm="1">
        <f t="array" ref="AJ62">_xlfn.IFS(MONTH(AK62)&lt;4,1,MONTH(AK62)&lt;7,2,MONTH(AK62)&lt;10,3,MONTH(AK62)&gt;9,4)&amp;"Q"&amp;RIGHT(YEAR(AK62),2)</f>
        <v>3Q20</v>
      </c>
      <c r="AK62" s="2">
        <f t="shared" si="17"/>
        <v>44074</v>
      </c>
      <c r="AL62" s="50">
        <f t="shared" si="35"/>
        <v>44074</v>
      </c>
      <c r="AM62" s="51">
        <v>2.54</v>
      </c>
      <c r="AN62" s="51">
        <v>4.96</v>
      </c>
      <c r="AO62" s="51"/>
      <c r="AP62" s="51"/>
      <c r="AQ62" s="52"/>
      <c r="AR62" s="53">
        <f t="shared" si="9"/>
        <v>0.079375</v>
      </c>
      <c r="AS62" s="53">
        <f t="shared" si="38"/>
        <v>0.0775</v>
      </c>
      <c r="AT62" s="53"/>
      <c r="AU62" s="53"/>
      <c r="AV62" s="37">
        <f t="shared" si="39"/>
        <v>-0.108771929824561</v>
      </c>
      <c r="AW62" s="37">
        <f t="shared" si="39"/>
        <v>-0.0676691729323309</v>
      </c>
      <c r="AX62" s="37"/>
      <c r="AY62" s="37"/>
      <c r="BA62" s="25">
        <f t="shared" si="40"/>
        <v>43738</v>
      </c>
      <c r="BB62" s="28">
        <f t="shared" si="40"/>
        <v>2.127</v>
      </c>
      <c r="BC62" s="28">
        <f t="shared" si="10"/>
        <v>2.35</v>
      </c>
      <c r="BD62" s="28">
        <f t="shared" si="21"/>
        <v>4.261</v>
      </c>
      <c r="BE62" s="28">
        <f t="shared" si="11"/>
        <v>4.5</v>
      </c>
      <c r="BF62" s="28"/>
      <c r="BG62" s="28"/>
      <c r="BH62" s="28"/>
      <c r="BI62" s="28"/>
      <c r="BK62" s="35" t="str">
        <f t="shared" si="42"/>
        <v>2Q25</v>
      </c>
      <c r="BL62" s="26">
        <v>7.94</v>
      </c>
      <c r="BM62" s="26">
        <v>4.06</v>
      </c>
      <c r="BN62" s="26">
        <v>8.04</v>
      </c>
      <c r="BO62" s="26">
        <v>16.44</v>
      </c>
      <c r="BP62" s="26">
        <v>33.48</v>
      </c>
      <c r="BR62" s="38">
        <f t="shared" si="26"/>
        <v>0.06203125</v>
      </c>
      <c r="BS62" s="38">
        <f t="shared" si="27"/>
        <v>0.25375</v>
      </c>
      <c r="BT62" s="38">
        <f t="shared" si="12"/>
        <v>0.0628125</v>
      </c>
      <c r="BU62" s="38">
        <f t="shared" si="37"/>
        <v>0.06421875</v>
      </c>
      <c r="BV62" s="38">
        <f t="shared" si="41"/>
        <v>0.065390625</v>
      </c>
      <c r="BW62" s="46">
        <f t="shared" si="43"/>
        <v>0.0906593406593408</v>
      </c>
      <c r="BX62" s="46">
        <f t="shared" si="43"/>
        <v>0.39041095890411</v>
      </c>
      <c r="BY62" s="46">
        <f t="shared" si="43"/>
        <v>0.059288537549407</v>
      </c>
      <c r="BZ62" s="46">
        <f t="shared" si="43"/>
        <v>0.0647668393782383</v>
      </c>
      <c r="CA62" s="46">
        <f t="shared" si="43"/>
        <v>0.0628571428571427</v>
      </c>
      <c r="CC62" s="25">
        <f t="shared" si="44"/>
        <v>43717</v>
      </c>
      <c r="CD62" s="29">
        <f t="shared" si="44"/>
        <v>25.81</v>
      </c>
      <c r="CE62" s="29">
        <f t="shared" si="23"/>
        <v>17.82</v>
      </c>
      <c r="DP62" s="35">
        <v>43564</v>
      </c>
      <c r="DQ62" s="26">
        <v>3</v>
      </c>
      <c r="DR62" s="26">
        <v>2.85</v>
      </c>
      <c r="DS62" s="26">
        <v>2.915</v>
      </c>
      <c r="DU62" s="35">
        <v>43564</v>
      </c>
      <c r="DV62" s="26">
        <v>5.85</v>
      </c>
      <c r="DW62" s="26">
        <v>5.7</v>
      </c>
      <c r="DX62" s="26">
        <v>5.775</v>
      </c>
      <c r="DZ62" s="35">
        <v>43564</v>
      </c>
      <c r="EA62" s="26">
        <v>11.2</v>
      </c>
      <c r="EB62" s="26">
        <v>11</v>
      </c>
      <c r="EC62" s="26">
        <v>11.05</v>
      </c>
    </row>
    <row r="63" ht="16.8" spans="3:133">
      <c r="C63" s="5" t="str" cm="1">
        <f t="array" ref="C63">_xlfn.IFS(MONTH(D63)&lt;4,1,MONTH(D63)&lt;7,2,MONTH(D63)&lt;10,3,MONTH(D63)&gt;9,4)&amp;"Q"&amp;RIGHT(YEAR(D63),2)</f>
        <v>4Q19</v>
      </c>
      <c r="D63" s="2">
        <f t="shared" si="14"/>
        <v>43769</v>
      </c>
      <c r="E63" s="25">
        <v>43745</v>
      </c>
      <c r="F63" s="26">
        <v>2.109</v>
      </c>
      <c r="G63" s="26">
        <v>4.239</v>
      </c>
      <c r="H63" s="27"/>
      <c r="I63" s="28">
        <f t="shared" si="15"/>
        <v>0.06590625</v>
      </c>
      <c r="J63" s="28">
        <f t="shared" si="7"/>
        <v>0.066234375</v>
      </c>
      <c r="K63" s="28">
        <f t="shared" si="8"/>
        <v>0</v>
      </c>
      <c r="M63" s="36">
        <f t="shared" si="24"/>
        <v>-0.00846262341325799</v>
      </c>
      <c r="N63" s="36">
        <f t="shared" si="28"/>
        <v>-0.0231588698471514</v>
      </c>
      <c r="O63" s="36">
        <f t="shared" si="29"/>
        <v>-0.0303448275862068</v>
      </c>
      <c r="P63" s="36">
        <f t="shared" si="30"/>
        <v>-0.0051631072518189</v>
      </c>
      <c r="Q63" s="36">
        <f t="shared" si="31"/>
        <v>-0.0176129779837776</v>
      </c>
      <c r="R63" s="36">
        <f t="shared" si="32"/>
        <v>-0.0398640996602492</v>
      </c>
      <c r="S63" s="36"/>
      <c r="T63" s="36"/>
      <c r="U63" s="36"/>
      <c r="W63" s="5" t="str" cm="1">
        <f t="array" ref="W63">_xlfn.IFS(MONTH(X63)&lt;4,1,MONTH(X63)&lt;7,2,MONTH(X63)&lt;10,3,MONTH(X63)&gt;9,4)&amp;"Q"&amp;RIGHT(YEAR(X63),2)</f>
        <v>3Q19</v>
      </c>
      <c r="X63" s="2">
        <f t="shared" si="16"/>
        <v>43738</v>
      </c>
      <c r="Y63" s="25">
        <v>43724</v>
      </c>
      <c r="Z63" s="29">
        <v>25.333</v>
      </c>
      <c r="AD63" s="36">
        <f t="shared" si="25"/>
        <v>-0.0184812088337853</v>
      </c>
      <c r="AE63" s="36">
        <f t="shared" si="33"/>
        <v>-0.0533966071295121</v>
      </c>
      <c r="AF63" s="36">
        <f t="shared" si="34"/>
        <v>-0.0859132568376993</v>
      </c>
      <c r="AJ63" s="5" t="str" cm="1">
        <f t="array" ref="AJ63">_xlfn.IFS(MONTH(AK63)&lt;4,1,MONTH(AK63)&lt;7,2,MONTH(AK63)&lt;10,3,MONTH(AK63)&gt;9,4)&amp;"Q"&amp;RIGHT(YEAR(AK63),2)</f>
        <v>3Q20</v>
      </c>
      <c r="AK63" s="2">
        <f t="shared" si="17"/>
        <v>44104</v>
      </c>
      <c r="AL63" s="50">
        <f t="shared" si="35"/>
        <v>44104</v>
      </c>
      <c r="AM63" s="51">
        <v>2.54</v>
      </c>
      <c r="AN63" s="51">
        <v>4.96</v>
      </c>
      <c r="AO63" s="51"/>
      <c r="AP63" s="51"/>
      <c r="AQ63" s="52"/>
      <c r="AR63" s="53">
        <f t="shared" si="9"/>
        <v>0.079375</v>
      </c>
      <c r="AS63" s="53">
        <f t="shared" si="38"/>
        <v>0.0775</v>
      </c>
      <c r="AT63" s="53"/>
      <c r="AU63" s="53"/>
      <c r="AV63" s="37">
        <f t="shared" si="39"/>
        <v>0</v>
      </c>
      <c r="AW63" s="37">
        <f t="shared" si="39"/>
        <v>0</v>
      </c>
      <c r="AX63" s="37"/>
      <c r="AY63" s="37"/>
      <c r="BA63" s="25">
        <f t="shared" si="40"/>
        <v>43745</v>
      </c>
      <c r="BB63" s="28">
        <f t="shared" si="40"/>
        <v>2.109</v>
      </c>
      <c r="BC63" s="28">
        <f t="shared" si="10"/>
        <v>2.34</v>
      </c>
      <c r="BD63" s="28">
        <f t="shared" si="21"/>
        <v>4.239</v>
      </c>
      <c r="BE63" s="28">
        <f t="shared" si="11"/>
        <v>4.41</v>
      </c>
      <c r="BF63" s="28"/>
      <c r="BG63" s="28"/>
      <c r="BH63" s="28"/>
      <c r="BI63" s="28"/>
      <c r="BK63" s="35" t="str">
        <f t="shared" si="42"/>
        <v>3Q25</v>
      </c>
      <c r="BL63" s="26">
        <v>7.82</v>
      </c>
      <c r="BM63" s="26">
        <v>4.45</v>
      </c>
      <c r="BN63" s="26">
        <v>7.93</v>
      </c>
      <c r="BO63" s="26">
        <v>16.21</v>
      </c>
      <c r="BP63" s="26">
        <v>33</v>
      </c>
      <c r="BR63" s="38">
        <f t="shared" si="26"/>
        <v>0.06109375</v>
      </c>
      <c r="BS63" s="38">
        <f t="shared" si="27"/>
        <v>0.278125</v>
      </c>
      <c r="BT63" s="38">
        <f t="shared" si="12"/>
        <v>0.061953125</v>
      </c>
      <c r="BU63" s="38">
        <f t="shared" si="37"/>
        <v>0.0633203125</v>
      </c>
      <c r="BV63" s="38">
        <f t="shared" si="41"/>
        <v>0.064453125</v>
      </c>
      <c r="BW63" s="46">
        <f t="shared" si="43"/>
        <v>-0.0151133501259446</v>
      </c>
      <c r="BX63" s="46">
        <f t="shared" si="43"/>
        <v>0.0960591133004927</v>
      </c>
      <c r="BY63" s="46">
        <f t="shared" si="43"/>
        <v>-0.0136815920398009</v>
      </c>
      <c r="BZ63" s="46">
        <f t="shared" si="43"/>
        <v>-0.0139902676399027</v>
      </c>
      <c r="CA63" s="46">
        <f t="shared" si="43"/>
        <v>-0.0143369175627239</v>
      </c>
      <c r="CC63" s="25">
        <f t="shared" si="44"/>
        <v>43724</v>
      </c>
      <c r="CD63" s="29">
        <f t="shared" si="44"/>
        <v>25.333</v>
      </c>
      <c r="CE63" s="29">
        <f t="shared" si="23"/>
        <v>17.82</v>
      </c>
      <c r="DP63" s="35">
        <v>43565</v>
      </c>
      <c r="DQ63" s="26">
        <v>3</v>
      </c>
      <c r="DR63" s="26">
        <v>2.9</v>
      </c>
      <c r="DS63" s="26">
        <v>2.965</v>
      </c>
      <c r="DU63" s="35">
        <v>43565</v>
      </c>
      <c r="DV63" s="26">
        <v>6</v>
      </c>
      <c r="DW63" s="26">
        <v>5.75</v>
      </c>
      <c r="DX63" s="26">
        <v>5.875</v>
      </c>
      <c r="DZ63" s="35">
        <v>43565</v>
      </c>
      <c r="EA63" s="26">
        <v>11.4</v>
      </c>
      <c r="EB63" s="26">
        <v>11.3</v>
      </c>
      <c r="EC63" s="26">
        <v>11.35</v>
      </c>
    </row>
    <row r="64" ht="16.8" spans="3:133">
      <c r="C64" s="5" t="str" cm="1">
        <f t="array" ref="C64">_xlfn.IFS(MONTH(D64)&lt;4,1,MONTH(D64)&lt;7,2,MONTH(D64)&lt;10,3,MONTH(D64)&gt;9,4)&amp;"Q"&amp;RIGHT(YEAR(D64),2)</f>
        <v>4Q19</v>
      </c>
      <c r="D64" s="2">
        <f t="shared" si="14"/>
        <v>43769</v>
      </c>
      <c r="E64" s="25">
        <v>43752</v>
      </c>
      <c r="F64" s="26">
        <v>2.109</v>
      </c>
      <c r="G64" s="26">
        <v>4.239</v>
      </c>
      <c r="H64" s="27"/>
      <c r="I64" s="28">
        <f t="shared" si="15"/>
        <v>0.06590625</v>
      </c>
      <c r="J64" s="28">
        <f t="shared" si="7"/>
        <v>0.066234375</v>
      </c>
      <c r="K64" s="28">
        <f t="shared" si="8"/>
        <v>0</v>
      </c>
      <c r="M64" s="36">
        <f t="shared" si="24"/>
        <v>0</v>
      </c>
      <c r="N64" s="36">
        <f t="shared" si="28"/>
        <v>-0.00846262341325799</v>
      </c>
      <c r="O64" s="36">
        <f t="shared" si="29"/>
        <v>-0.0231588698471514</v>
      </c>
      <c r="P64" s="36">
        <f t="shared" si="30"/>
        <v>0</v>
      </c>
      <c r="Q64" s="36">
        <f t="shared" si="31"/>
        <v>-0.0051631072518189</v>
      </c>
      <c r="R64" s="36">
        <f t="shared" si="32"/>
        <v>-0.0176129779837776</v>
      </c>
      <c r="S64" s="36"/>
      <c r="T64" s="36"/>
      <c r="U64" s="36"/>
      <c r="W64" s="5" t="str" cm="1">
        <f t="array" ref="W64">_xlfn.IFS(MONTH(X64)&lt;4,1,MONTH(X64)&lt;7,2,MONTH(X64)&lt;10,3,MONTH(X64)&gt;9,4)&amp;"Q"&amp;RIGHT(YEAR(X64),2)</f>
        <v>3Q19</v>
      </c>
      <c r="X64" s="2">
        <f t="shared" si="16"/>
        <v>43738</v>
      </c>
      <c r="Y64" s="25">
        <v>43731</v>
      </c>
      <c r="Z64" s="29">
        <v>25.238</v>
      </c>
      <c r="AD64" s="36">
        <f t="shared" si="25"/>
        <v>-0.00375004934275447</v>
      </c>
      <c r="AE64" s="36">
        <f t="shared" si="33"/>
        <v>-0.0221619527314993</v>
      </c>
      <c r="AF64" s="36">
        <f t="shared" si="34"/>
        <v>-0.0569464165607952</v>
      </c>
      <c r="AJ64" s="5" t="str" cm="1">
        <f t="array" ref="AJ64">_xlfn.IFS(MONTH(AK64)&lt;4,1,MONTH(AK64)&lt;7,2,MONTH(AK64)&lt;10,3,MONTH(AK64)&gt;9,4)&amp;"Q"&amp;RIGHT(YEAR(AK64),2)</f>
        <v>4Q20</v>
      </c>
      <c r="AK64" s="2">
        <f t="shared" si="17"/>
        <v>44135</v>
      </c>
      <c r="AL64" s="50">
        <f t="shared" si="35"/>
        <v>44135</v>
      </c>
      <c r="AM64" s="51">
        <v>2.51</v>
      </c>
      <c r="AN64" s="51">
        <v>4.7</v>
      </c>
      <c r="AO64" s="51"/>
      <c r="AP64" s="51"/>
      <c r="AQ64" s="52"/>
      <c r="AR64" s="53">
        <f t="shared" si="9"/>
        <v>0.0784375</v>
      </c>
      <c r="AS64" s="53">
        <f t="shared" si="38"/>
        <v>0.0734375</v>
      </c>
      <c r="AT64" s="53"/>
      <c r="AU64" s="53"/>
      <c r="AV64" s="37">
        <f t="shared" si="39"/>
        <v>-0.0118110236220473</v>
      </c>
      <c r="AW64" s="37">
        <f t="shared" si="39"/>
        <v>-0.0524193548387096</v>
      </c>
      <c r="AX64" s="37"/>
      <c r="AY64" s="37"/>
      <c r="BA64" s="25">
        <f t="shared" si="40"/>
        <v>43752</v>
      </c>
      <c r="BB64" s="28">
        <f t="shared" si="40"/>
        <v>2.109</v>
      </c>
      <c r="BC64" s="28">
        <f t="shared" si="10"/>
        <v>2.34</v>
      </c>
      <c r="BD64" s="28">
        <f t="shared" si="21"/>
        <v>4.239</v>
      </c>
      <c r="BE64" s="28">
        <f t="shared" si="11"/>
        <v>4.41</v>
      </c>
      <c r="BF64" s="28"/>
      <c r="BG64" s="28"/>
      <c r="BH64" s="28"/>
      <c r="BI64" s="28"/>
      <c r="BK64" s="35" t="str">
        <f t="shared" si="42"/>
        <v>4Q25</v>
      </c>
      <c r="BL64" s="26">
        <v>8.53</v>
      </c>
      <c r="BM64" s="26">
        <v>5.73</v>
      </c>
      <c r="BN64" s="26">
        <v>8.44</v>
      </c>
      <c r="BO64" s="26">
        <v>17.47</v>
      </c>
      <c r="BP64" s="26">
        <v>34.34</v>
      </c>
      <c r="BR64" s="38">
        <f t="shared" si="26"/>
        <v>0.066640625</v>
      </c>
      <c r="BS64" s="38">
        <f t="shared" si="27"/>
        <v>0.358125</v>
      </c>
      <c r="BT64" s="38">
        <f t="shared" si="12"/>
        <v>0.0659375</v>
      </c>
      <c r="BU64" s="38">
        <f t="shared" si="37"/>
        <v>0.0682421875</v>
      </c>
      <c r="BV64" s="38">
        <f t="shared" si="41"/>
        <v>0.0670703125</v>
      </c>
      <c r="BW64" s="46">
        <f t="shared" si="43"/>
        <v>0.0907928388746801</v>
      </c>
      <c r="BX64" s="46">
        <f t="shared" si="43"/>
        <v>0.287640449438202</v>
      </c>
      <c r="BY64" s="46">
        <f t="shared" si="43"/>
        <v>0.064312736443884</v>
      </c>
      <c r="BZ64" s="46">
        <f t="shared" si="43"/>
        <v>0.0777297964219616</v>
      </c>
      <c r="CA64" s="46">
        <f t="shared" si="43"/>
        <v>0.0406060606060608</v>
      </c>
      <c r="CC64" s="25">
        <f t="shared" si="44"/>
        <v>43731</v>
      </c>
      <c r="CD64" s="29">
        <f t="shared" si="44"/>
        <v>25.238</v>
      </c>
      <c r="CE64" s="29">
        <f t="shared" si="23"/>
        <v>17.82</v>
      </c>
      <c r="DP64" s="35">
        <v>43566</v>
      </c>
      <c r="DQ64" s="26">
        <v>3</v>
      </c>
      <c r="DR64" s="26">
        <v>2.9</v>
      </c>
      <c r="DS64" s="26">
        <v>2.965</v>
      </c>
      <c r="DU64" s="35">
        <v>43566</v>
      </c>
      <c r="DV64" s="26">
        <v>6</v>
      </c>
      <c r="DW64" s="26">
        <v>5.75</v>
      </c>
      <c r="DX64" s="26">
        <v>5.875</v>
      </c>
      <c r="DZ64" s="35">
        <v>43566</v>
      </c>
      <c r="EA64" s="26">
        <v>11.4</v>
      </c>
      <c r="EB64" s="26">
        <v>11.3</v>
      </c>
      <c r="EC64" s="26">
        <v>11.35</v>
      </c>
    </row>
    <row r="65" ht="16.8" spans="3:133">
      <c r="C65" s="5" t="str" cm="1">
        <f t="array" ref="C65">_xlfn.IFS(MONTH(D65)&lt;4,1,MONTH(D65)&lt;7,2,MONTH(D65)&lt;10,3,MONTH(D65)&gt;9,4)&amp;"Q"&amp;RIGHT(YEAR(D65),2)</f>
        <v>4Q19</v>
      </c>
      <c r="D65" s="2">
        <f t="shared" si="14"/>
        <v>43769</v>
      </c>
      <c r="E65" s="25">
        <v>43759</v>
      </c>
      <c r="F65" s="26">
        <v>2.097</v>
      </c>
      <c r="G65" s="26">
        <v>4.202</v>
      </c>
      <c r="H65" s="27"/>
      <c r="I65" s="28">
        <f t="shared" si="15"/>
        <v>0.06553125</v>
      </c>
      <c r="J65" s="28">
        <f t="shared" si="7"/>
        <v>0.06565625</v>
      </c>
      <c r="K65" s="28">
        <f t="shared" si="8"/>
        <v>0</v>
      </c>
      <c r="M65" s="36">
        <f t="shared" si="24"/>
        <v>-0.00568990042674256</v>
      </c>
      <c r="N65" s="36">
        <f t="shared" si="28"/>
        <v>-0.00568990042674256</v>
      </c>
      <c r="O65" s="36">
        <f t="shared" si="29"/>
        <v>-0.0141043723554301</v>
      </c>
      <c r="P65" s="36">
        <f t="shared" si="30"/>
        <v>-0.00872847369662655</v>
      </c>
      <c r="Q65" s="36">
        <f t="shared" si="31"/>
        <v>-0.00872847369662655</v>
      </c>
      <c r="R65" s="36">
        <f t="shared" si="32"/>
        <v>-0.013846514902605</v>
      </c>
      <c r="S65" s="36"/>
      <c r="T65" s="36"/>
      <c r="U65" s="36"/>
      <c r="W65" s="5" t="str" cm="1">
        <f t="array" ref="W65">_xlfn.IFS(MONTH(X65)&lt;4,1,MONTH(X65)&lt;7,2,MONTH(X65)&lt;10,3,MONTH(X65)&gt;9,4)&amp;"Q"&amp;RIGHT(YEAR(X65),2)</f>
        <v>3Q19</v>
      </c>
      <c r="X65" s="2">
        <f t="shared" si="16"/>
        <v>43738</v>
      </c>
      <c r="Y65" s="25">
        <v>43738</v>
      </c>
      <c r="Z65" s="29">
        <v>25.238</v>
      </c>
      <c r="AD65" s="36">
        <f t="shared" si="25"/>
        <v>0</v>
      </c>
      <c r="AE65" s="36">
        <f t="shared" si="33"/>
        <v>-0.00375004934275447</v>
      </c>
      <c r="AF65" s="36">
        <f t="shared" si="34"/>
        <v>-0.0221619527314993</v>
      </c>
      <c r="AJ65" s="5" t="str" cm="1">
        <f t="array" ref="AJ65">_xlfn.IFS(MONTH(AK65)&lt;4,1,MONTH(AK65)&lt;7,2,MONTH(AK65)&lt;10,3,MONTH(AK65)&gt;9,4)&amp;"Q"&amp;RIGHT(YEAR(AK65),2)</f>
        <v>4Q20</v>
      </c>
      <c r="AK65" s="2">
        <f t="shared" si="17"/>
        <v>44165</v>
      </c>
      <c r="AL65" s="50">
        <f t="shared" si="35"/>
        <v>44165</v>
      </c>
      <c r="AM65" s="51">
        <v>2.38</v>
      </c>
      <c r="AN65" s="51">
        <v>4.4</v>
      </c>
      <c r="AO65" s="51"/>
      <c r="AP65" s="51"/>
      <c r="AQ65" s="52"/>
      <c r="AR65" s="53">
        <f t="shared" si="9"/>
        <v>0.074375</v>
      </c>
      <c r="AS65" s="53">
        <f t="shared" si="38"/>
        <v>0.06875</v>
      </c>
      <c r="AT65" s="53"/>
      <c r="AU65" s="53"/>
      <c r="AV65" s="37">
        <f t="shared" si="39"/>
        <v>-0.0517928286852589</v>
      </c>
      <c r="AW65" s="37">
        <f t="shared" si="39"/>
        <v>-0.0638297872340425</v>
      </c>
      <c r="AX65" s="37"/>
      <c r="AY65" s="37"/>
      <c r="BA65" s="25">
        <f t="shared" si="40"/>
        <v>43759</v>
      </c>
      <c r="BB65" s="28">
        <f t="shared" si="40"/>
        <v>2.097</v>
      </c>
      <c r="BC65" s="28">
        <f t="shared" si="10"/>
        <v>2.34</v>
      </c>
      <c r="BD65" s="28">
        <f t="shared" si="21"/>
        <v>4.202</v>
      </c>
      <c r="BE65" s="28">
        <f t="shared" si="11"/>
        <v>4.41</v>
      </c>
      <c r="BF65" s="28"/>
      <c r="BG65" s="28"/>
      <c r="BH65" s="28"/>
      <c r="BI65" s="28"/>
      <c r="BK65" s="35" t="str">
        <f t="shared" si="42"/>
        <v>1Q26</v>
      </c>
      <c r="BL65" s="26">
        <v>16.83</v>
      </c>
      <c r="BM65" s="26">
        <v>11.6</v>
      </c>
      <c r="BN65" s="26">
        <v>16.93</v>
      </c>
      <c r="BO65" s="26">
        <v>33.53</v>
      </c>
      <c r="BP65" s="26">
        <v>67.72</v>
      </c>
      <c r="BR65" s="38">
        <f t="shared" si="26"/>
        <v>0.131484375</v>
      </c>
      <c r="BS65" s="38">
        <f t="shared" si="27"/>
        <v>0.725</v>
      </c>
      <c r="BT65" s="38">
        <f t="shared" si="12"/>
        <v>0.132265625</v>
      </c>
      <c r="BU65" s="38">
        <f t="shared" si="37"/>
        <v>0.1309765625</v>
      </c>
      <c r="BV65" s="38">
        <f t="shared" si="41"/>
        <v>0.132265625</v>
      </c>
      <c r="BW65" s="46">
        <f t="shared" ref="BW65:CA66" si="45">BR65/BR64-1</f>
        <v>0.973036342321219</v>
      </c>
      <c r="BX65" s="46">
        <f t="shared" si="45"/>
        <v>1.02443280977312</v>
      </c>
      <c r="BY65" s="46">
        <f t="shared" si="45"/>
        <v>1.00592417061611</v>
      </c>
      <c r="BZ65" s="46">
        <f t="shared" si="45"/>
        <v>0.919290211791643</v>
      </c>
      <c r="CA65" s="46">
        <f t="shared" si="45"/>
        <v>0.972044263249854</v>
      </c>
      <c r="CC65" s="25">
        <f t="shared" si="44"/>
        <v>43738</v>
      </c>
      <c r="CD65" s="29">
        <f t="shared" si="44"/>
        <v>25.238</v>
      </c>
      <c r="CE65" s="29">
        <f t="shared" si="23"/>
        <v>17.82</v>
      </c>
      <c r="DP65" s="35">
        <v>43567</v>
      </c>
      <c r="DQ65" s="26">
        <v>3</v>
      </c>
      <c r="DR65" s="26">
        <v>2.9</v>
      </c>
      <c r="DS65" s="26">
        <v>2.965</v>
      </c>
      <c r="DU65" s="35">
        <v>43567</v>
      </c>
      <c r="DV65" s="26">
        <v>6</v>
      </c>
      <c r="DW65" s="26">
        <v>5.8</v>
      </c>
      <c r="DX65" s="26">
        <v>5.915</v>
      </c>
      <c r="DZ65" s="35">
        <v>43567</v>
      </c>
      <c r="EA65" s="26">
        <v>11.5</v>
      </c>
      <c r="EB65" s="26">
        <v>11.3</v>
      </c>
      <c r="EC65" s="26">
        <v>11.45</v>
      </c>
    </row>
    <row r="66" ht="16.8" spans="3:133">
      <c r="C66" s="5" t="str" cm="1">
        <f t="array" ref="C66">_xlfn.IFS(MONTH(D66)&lt;4,1,MONTH(D66)&lt;7,2,MONTH(D66)&lt;10,3,MONTH(D66)&gt;9,4)&amp;"Q"&amp;RIGHT(YEAR(D66),2)</f>
        <v>4Q19</v>
      </c>
      <c r="D66" s="2">
        <f t="shared" si="14"/>
        <v>43769</v>
      </c>
      <c r="E66" s="25">
        <v>43766</v>
      </c>
      <c r="F66" s="26">
        <v>2.092</v>
      </c>
      <c r="G66" s="26">
        <v>4.198</v>
      </c>
      <c r="H66" s="27"/>
      <c r="I66" s="28">
        <f t="shared" si="15"/>
        <v>0.065375</v>
      </c>
      <c r="J66" s="28">
        <f t="shared" si="7"/>
        <v>0.06559375</v>
      </c>
      <c r="K66" s="28">
        <f t="shared" si="8"/>
        <v>0</v>
      </c>
      <c r="M66" s="36">
        <f t="shared" si="24"/>
        <v>-0.0023843586075345</v>
      </c>
      <c r="N66" s="36">
        <f t="shared" si="28"/>
        <v>-0.00806069227121853</v>
      </c>
      <c r="O66" s="36">
        <f t="shared" si="29"/>
        <v>-0.00806069227121853</v>
      </c>
      <c r="P66" s="36">
        <f t="shared" si="30"/>
        <v>-0.000951927653498275</v>
      </c>
      <c r="Q66" s="36">
        <f t="shared" si="31"/>
        <v>-0.00967209247464007</v>
      </c>
      <c r="R66" s="36">
        <f t="shared" si="32"/>
        <v>-0.00967209247464007</v>
      </c>
      <c r="S66" s="36"/>
      <c r="T66" s="36"/>
      <c r="U66" s="36"/>
      <c r="W66" s="5" t="str" cm="1">
        <f t="array" ref="W66">_xlfn.IFS(MONTH(X66)&lt;4,1,MONTH(X66)&lt;7,2,MONTH(X66)&lt;10,3,MONTH(X66)&gt;9,4)&amp;"Q"&amp;RIGHT(YEAR(X66),2)</f>
        <v>4Q19</v>
      </c>
      <c r="X66" s="2">
        <f t="shared" si="16"/>
        <v>43769</v>
      </c>
      <c r="Y66" s="25">
        <v>43745</v>
      </c>
      <c r="Z66" s="29">
        <v>25.238</v>
      </c>
      <c r="AD66" s="36">
        <f t="shared" si="25"/>
        <v>0</v>
      </c>
      <c r="AE66" s="36">
        <f t="shared" si="33"/>
        <v>0</v>
      </c>
      <c r="AF66" s="36">
        <f t="shared" si="34"/>
        <v>-0.00375004934275447</v>
      </c>
      <c r="AJ66" s="5" t="str" cm="1">
        <f t="array" ref="AJ66">_xlfn.IFS(MONTH(AK66)&lt;4,1,MONTH(AK66)&lt;7,2,MONTH(AK66)&lt;10,3,MONTH(AK66)&gt;9,4)&amp;"Q"&amp;RIGHT(YEAR(AK66),2)</f>
        <v>4Q20</v>
      </c>
      <c r="AK66" s="2">
        <f t="shared" si="17"/>
        <v>44196</v>
      </c>
      <c r="AL66" s="50">
        <f t="shared" si="35"/>
        <v>44196</v>
      </c>
      <c r="AM66" s="51">
        <v>2.35</v>
      </c>
      <c r="AN66" s="51">
        <v>4.39</v>
      </c>
      <c r="AO66" s="51"/>
      <c r="AP66" s="51"/>
      <c r="AQ66" s="52"/>
      <c r="AR66" s="53">
        <f t="shared" si="9"/>
        <v>0.0734375</v>
      </c>
      <c r="AS66" s="53">
        <f t="shared" si="38"/>
        <v>0.06859375</v>
      </c>
      <c r="AT66" s="53"/>
      <c r="AU66" s="53">
        <f t="shared" ref="AU66:AU79" si="46">AP66/1024*8</f>
        <v>0</v>
      </c>
      <c r="AV66" s="37">
        <f t="shared" si="39"/>
        <v>-0.0126050420168067</v>
      </c>
      <c r="AW66" s="37">
        <f t="shared" si="39"/>
        <v>-0.00227272727272743</v>
      </c>
      <c r="AX66" s="37"/>
      <c r="AY66" s="37"/>
      <c r="BA66" s="25">
        <f t="shared" si="40"/>
        <v>43766</v>
      </c>
      <c r="BB66" s="28">
        <f t="shared" si="40"/>
        <v>2.092</v>
      </c>
      <c r="BC66" s="28">
        <f t="shared" si="10"/>
        <v>2.34</v>
      </c>
      <c r="BD66" s="28">
        <f t="shared" si="21"/>
        <v>4.198</v>
      </c>
      <c r="BE66" s="28">
        <f t="shared" si="11"/>
        <v>4.41</v>
      </c>
      <c r="BF66" s="28"/>
      <c r="BG66" s="28"/>
      <c r="BH66" s="28"/>
      <c r="BI66" s="28"/>
      <c r="BK66" s="35" t="str">
        <f t="shared" si="42"/>
        <v>2Q26</v>
      </c>
      <c r="BL66" s="26">
        <v>29.52</v>
      </c>
      <c r="BM66" s="26">
        <v>24.55</v>
      </c>
      <c r="BN66" s="26">
        <v>29.6</v>
      </c>
      <c r="BO66" s="26">
        <v>60.37</v>
      </c>
      <c r="BP66" s="26">
        <v>121.9</v>
      </c>
      <c r="BR66" s="38">
        <f t="shared" si="26"/>
        <v>0.230625</v>
      </c>
      <c r="BS66" s="38">
        <f t="shared" si="27"/>
        <v>1.534375</v>
      </c>
      <c r="BT66" s="38">
        <f t="shared" si="12"/>
        <v>0.23125</v>
      </c>
      <c r="BU66" s="38">
        <f t="shared" si="37"/>
        <v>0.2358203125</v>
      </c>
      <c r="BV66" s="38">
        <f t="shared" si="41"/>
        <v>0.2380859375</v>
      </c>
      <c r="BW66" s="46">
        <f t="shared" si="45"/>
        <v>0.754010695187166</v>
      </c>
      <c r="BX66" s="46">
        <f t="shared" si="45"/>
        <v>1.11637931034483</v>
      </c>
      <c r="BY66" s="46">
        <f t="shared" si="45"/>
        <v>0.748375664500886</v>
      </c>
      <c r="BZ66" s="46">
        <f t="shared" si="45"/>
        <v>0.800477184610796</v>
      </c>
      <c r="CA66" s="46">
        <f t="shared" si="45"/>
        <v>0.800059066745422</v>
      </c>
      <c r="CC66" s="25">
        <f t="shared" si="44"/>
        <v>43745</v>
      </c>
      <c r="CD66" s="29">
        <f t="shared" si="44"/>
        <v>25.238</v>
      </c>
      <c r="CE66" s="29">
        <f t="shared" si="23"/>
        <v>17.82</v>
      </c>
      <c r="DP66" s="35">
        <v>43570</v>
      </c>
      <c r="DQ66" s="26">
        <v>3</v>
      </c>
      <c r="DR66" s="26">
        <v>2.9</v>
      </c>
      <c r="DS66" s="26">
        <v>2.965</v>
      </c>
      <c r="DU66" s="35">
        <v>43570</v>
      </c>
      <c r="DV66" s="26">
        <v>6.1</v>
      </c>
      <c r="DW66" s="26">
        <v>5.9</v>
      </c>
      <c r="DX66" s="26">
        <v>5.975</v>
      </c>
      <c r="DZ66" s="35">
        <v>43570</v>
      </c>
      <c r="EA66" s="26">
        <v>11.7</v>
      </c>
      <c r="EB66" s="26">
        <v>11.5</v>
      </c>
      <c r="EC66" s="26">
        <v>11.6</v>
      </c>
    </row>
    <row r="67" ht="16.8" spans="3:133">
      <c r="C67" s="5" t="str" cm="1">
        <f t="array" ref="C67">_xlfn.IFS(MONTH(D67)&lt;4,1,MONTH(D67)&lt;7,2,MONTH(D67)&lt;10,3,MONTH(D67)&gt;9,4)&amp;"Q"&amp;RIGHT(YEAR(D67),2)</f>
        <v>4Q19</v>
      </c>
      <c r="D67" s="2">
        <f t="shared" si="14"/>
        <v>43799</v>
      </c>
      <c r="E67" s="25">
        <v>43773</v>
      </c>
      <c r="F67" s="26">
        <v>2.089</v>
      </c>
      <c r="G67" s="26">
        <v>4.198</v>
      </c>
      <c r="H67" s="27"/>
      <c r="I67" s="28">
        <f t="shared" si="15"/>
        <v>0.06528125</v>
      </c>
      <c r="J67" s="28">
        <f t="shared" si="7"/>
        <v>0.06559375</v>
      </c>
      <c r="K67" s="28">
        <f t="shared" si="8"/>
        <v>0</v>
      </c>
      <c r="M67" s="36">
        <f t="shared" si="24"/>
        <v>-0.0014340344168261</v>
      </c>
      <c r="N67" s="36">
        <f t="shared" si="28"/>
        <v>-0.00381497377205531</v>
      </c>
      <c r="O67" s="36">
        <f t="shared" si="29"/>
        <v>-0.00948316737790422</v>
      </c>
      <c r="P67" s="36">
        <f t="shared" si="30"/>
        <v>0</v>
      </c>
      <c r="Q67" s="36">
        <f t="shared" si="31"/>
        <v>-0.000951927653498275</v>
      </c>
      <c r="R67" s="36">
        <f t="shared" si="32"/>
        <v>-0.00967209247464007</v>
      </c>
      <c r="S67" s="36"/>
      <c r="T67" s="36"/>
      <c r="U67" s="36"/>
      <c r="W67" s="5" t="str" cm="1">
        <f t="array" ref="W67">_xlfn.IFS(MONTH(X67)&lt;4,1,MONTH(X67)&lt;7,2,MONTH(X67)&lt;10,3,MONTH(X67)&gt;9,4)&amp;"Q"&amp;RIGHT(YEAR(X67),2)</f>
        <v>4Q19</v>
      </c>
      <c r="X67" s="2">
        <f t="shared" si="16"/>
        <v>43769</v>
      </c>
      <c r="Y67" s="25">
        <v>43752</v>
      </c>
      <c r="Z67" s="29">
        <v>25.238</v>
      </c>
      <c r="AD67" s="36">
        <f t="shared" si="25"/>
        <v>0</v>
      </c>
      <c r="AE67" s="36">
        <f t="shared" si="33"/>
        <v>0</v>
      </c>
      <c r="AF67" s="36">
        <f t="shared" si="34"/>
        <v>0</v>
      </c>
      <c r="AJ67" s="5" t="str" cm="1">
        <f t="array" ref="AJ67">_xlfn.IFS(MONTH(AK67)&lt;4,1,MONTH(AK67)&lt;7,2,MONTH(AK67)&lt;10,3,MONTH(AK67)&gt;9,4)&amp;"Q"&amp;RIGHT(YEAR(AK67),2)</f>
        <v>1Q21</v>
      </c>
      <c r="AK67" s="2">
        <f t="shared" si="17"/>
        <v>44227</v>
      </c>
      <c r="AL67" s="50">
        <f t="shared" si="35"/>
        <v>44227</v>
      </c>
      <c r="AM67" s="51">
        <v>2.34</v>
      </c>
      <c r="AN67" s="51">
        <v>4.37</v>
      </c>
      <c r="AO67" s="51"/>
      <c r="AP67" s="51">
        <v>7.92</v>
      </c>
      <c r="AQ67" s="52"/>
      <c r="AR67" s="53">
        <f t="shared" si="9"/>
        <v>0.073125</v>
      </c>
      <c r="AS67" s="53">
        <f t="shared" si="38"/>
        <v>0.06828125</v>
      </c>
      <c r="AT67" s="53"/>
      <c r="AU67" s="53">
        <f t="shared" si="46"/>
        <v>0.061875</v>
      </c>
      <c r="AV67" s="37">
        <f t="shared" si="39"/>
        <v>-0.00425531914893629</v>
      </c>
      <c r="AW67" s="37">
        <f t="shared" si="39"/>
        <v>-0.00455580865603633</v>
      </c>
      <c r="AX67" s="37"/>
      <c r="AY67" s="37"/>
      <c r="BA67" s="25">
        <f t="shared" si="40"/>
        <v>43773</v>
      </c>
      <c r="BB67" s="28">
        <f t="shared" si="40"/>
        <v>2.089</v>
      </c>
      <c r="BC67" s="28">
        <f t="shared" si="10"/>
        <v>2.36</v>
      </c>
      <c r="BD67" s="28">
        <f t="shared" si="21"/>
        <v>4.198</v>
      </c>
      <c r="BE67" s="28">
        <f t="shared" si="11"/>
        <v>4.5</v>
      </c>
      <c r="BF67" s="28"/>
      <c r="BG67" s="28"/>
      <c r="BH67" s="28"/>
      <c r="BI67" s="28"/>
      <c r="CC67" s="25">
        <f t="shared" si="44"/>
        <v>43752</v>
      </c>
      <c r="CD67" s="29">
        <f t="shared" si="44"/>
        <v>25.238</v>
      </c>
      <c r="CE67" s="29">
        <f t="shared" si="23"/>
        <v>17.82</v>
      </c>
      <c r="DP67" s="35">
        <v>43571</v>
      </c>
      <c r="DQ67" s="26">
        <v>3</v>
      </c>
      <c r="DR67" s="26">
        <v>2.9</v>
      </c>
      <c r="DS67" s="26">
        <v>2.965</v>
      </c>
      <c r="DU67" s="35">
        <v>43571</v>
      </c>
      <c r="DV67" s="26">
        <v>6.1</v>
      </c>
      <c r="DW67" s="26">
        <v>5.95</v>
      </c>
      <c r="DX67" s="26">
        <v>5.99</v>
      </c>
      <c r="DZ67" s="35">
        <v>43571</v>
      </c>
      <c r="EA67" s="26">
        <v>11.7</v>
      </c>
      <c r="EB67" s="26">
        <v>11.6</v>
      </c>
      <c r="EC67" s="26">
        <v>11.65</v>
      </c>
    </row>
    <row r="68" ht="16.8" spans="3:133">
      <c r="C68" s="5" t="str" cm="1">
        <f t="array" ref="C68">_xlfn.IFS(MONTH(D68)&lt;4,1,MONTH(D68)&lt;7,2,MONTH(D68)&lt;10,3,MONTH(D68)&gt;9,4)&amp;"Q"&amp;RIGHT(YEAR(D68),2)</f>
        <v>4Q19</v>
      </c>
      <c r="D68" s="2">
        <f t="shared" si="14"/>
        <v>43799</v>
      </c>
      <c r="E68" s="25">
        <v>43780</v>
      </c>
      <c r="F68" s="26">
        <v>2.051</v>
      </c>
      <c r="G68" s="26">
        <v>4.137</v>
      </c>
      <c r="H68" s="27"/>
      <c r="I68" s="28">
        <f t="shared" si="15"/>
        <v>0.06409375</v>
      </c>
      <c r="J68" s="28">
        <f t="shared" si="7"/>
        <v>0.064640625</v>
      </c>
      <c r="K68" s="28">
        <f t="shared" si="8"/>
        <v>0</v>
      </c>
      <c r="M68" s="36">
        <f t="shared" si="24"/>
        <v>-0.0181905217807563</v>
      </c>
      <c r="N68" s="36">
        <f t="shared" si="28"/>
        <v>-0.0195984703632887</v>
      </c>
      <c r="O68" s="36">
        <f t="shared" si="29"/>
        <v>-0.0219360991893179</v>
      </c>
      <c r="P68" s="36">
        <f t="shared" si="30"/>
        <v>-0.0145307289185328</v>
      </c>
      <c r="Q68" s="36">
        <f t="shared" si="31"/>
        <v>-0.0145307289185328</v>
      </c>
      <c r="R68" s="36">
        <f t="shared" si="32"/>
        <v>-0.015468824369348</v>
      </c>
      <c r="S68" s="36"/>
      <c r="T68" s="36"/>
      <c r="U68" s="36"/>
      <c r="W68" s="5" t="str" cm="1">
        <f t="array" ref="W68">_xlfn.IFS(MONTH(X68)&lt;4,1,MONTH(X68)&lt;7,2,MONTH(X68)&lt;10,3,MONTH(X68)&gt;9,4)&amp;"Q"&amp;RIGHT(YEAR(X68),2)</f>
        <v>4Q19</v>
      </c>
      <c r="X68" s="2">
        <f t="shared" si="16"/>
        <v>43769</v>
      </c>
      <c r="Y68" s="25">
        <v>43759</v>
      </c>
      <c r="Z68" s="29">
        <v>24.762</v>
      </c>
      <c r="AD68" s="36">
        <f t="shared" si="25"/>
        <v>-0.0188604485299945</v>
      </c>
      <c r="AE68" s="36">
        <f t="shared" si="33"/>
        <v>-0.0188604485299945</v>
      </c>
      <c r="AF68" s="36">
        <f t="shared" si="34"/>
        <v>-0.0188604485299945</v>
      </c>
      <c r="AJ68" s="5" t="str" cm="1">
        <f t="array" ref="AJ68">_xlfn.IFS(MONTH(AK68)&lt;4,1,MONTH(AK68)&lt;7,2,MONTH(AK68)&lt;10,3,MONTH(AK68)&gt;9,4)&amp;"Q"&amp;RIGHT(YEAR(AK68),2)</f>
        <v>1Q21</v>
      </c>
      <c r="AK68" s="2">
        <f t="shared" si="17"/>
        <v>44255</v>
      </c>
      <c r="AL68" s="50">
        <f t="shared" si="35"/>
        <v>44255</v>
      </c>
      <c r="AM68" s="51">
        <v>2.48</v>
      </c>
      <c r="AN68" s="51">
        <v>4.54</v>
      </c>
      <c r="AO68" s="51"/>
      <c r="AP68" s="51">
        <v>7.96</v>
      </c>
      <c r="AQ68" s="52"/>
      <c r="AR68" s="53">
        <f t="shared" si="9"/>
        <v>0.0775</v>
      </c>
      <c r="AS68" s="53">
        <f t="shared" si="38"/>
        <v>0.0709375</v>
      </c>
      <c r="AT68" s="53"/>
      <c r="AU68" s="53">
        <f t="shared" si="46"/>
        <v>0.0621875</v>
      </c>
      <c r="AV68" s="37">
        <f t="shared" si="39"/>
        <v>0.0598290598290598</v>
      </c>
      <c r="AW68" s="37">
        <f t="shared" si="39"/>
        <v>0.0389016018306636</v>
      </c>
      <c r="AX68" s="37"/>
      <c r="AY68" s="37">
        <f t="shared" ref="AY68:AY83" si="47">AU68/AU67-1</f>
        <v>0.00505050505050497</v>
      </c>
      <c r="BA68" s="25">
        <f t="shared" si="40"/>
        <v>43780</v>
      </c>
      <c r="BB68" s="28">
        <f t="shared" si="40"/>
        <v>2.051</v>
      </c>
      <c r="BC68" s="28">
        <f t="shared" si="10"/>
        <v>2.36</v>
      </c>
      <c r="BD68" s="28">
        <f t="shared" si="21"/>
        <v>4.137</v>
      </c>
      <c r="BE68" s="28">
        <f t="shared" si="11"/>
        <v>4.5</v>
      </c>
      <c r="BF68" s="28"/>
      <c r="BG68" s="28"/>
      <c r="BH68" s="28"/>
      <c r="BI68" s="28"/>
      <c r="BL68" s="3"/>
      <c r="BM68" s="3"/>
      <c r="BN68" s="3"/>
      <c r="BO68" s="3"/>
      <c r="BP68" s="3"/>
      <c r="CC68" s="25">
        <f t="shared" si="44"/>
        <v>43759</v>
      </c>
      <c r="CD68" s="29">
        <f t="shared" si="44"/>
        <v>24.762</v>
      </c>
      <c r="CE68" s="29">
        <f t="shared" si="23"/>
        <v>17.82</v>
      </c>
      <c r="DP68" s="35">
        <v>43572</v>
      </c>
      <c r="DQ68" s="26">
        <v>3</v>
      </c>
      <c r="DR68" s="26">
        <v>2.9</v>
      </c>
      <c r="DS68" s="26">
        <v>2.965</v>
      </c>
      <c r="DU68" s="35">
        <v>43572</v>
      </c>
      <c r="DV68" s="26">
        <v>6.1</v>
      </c>
      <c r="DW68" s="26">
        <v>5.95</v>
      </c>
      <c r="DX68" s="26">
        <v>6.015</v>
      </c>
      <c r="DZ68" s="35">
        <v>43572</v>
      </c>
      <c r="EA68" s="26">
        <v>11.8</v>
      </c>
      <c r="EB68" s="26">
        <v>11.65</v>
      </c>
      <c r="EC68" s="26">
        <v>11.7</v>
      </c>
    </row>
    <row r="69" ht="16.8" spans="3:133">
      <c r="C69" s="5" t="str" cm="1">
        <f t="array" ref="C69">_xlfn.IFS(MONTH(D69)&lt;4,1,MONTH(D69)&lt;7,2,MONTH(D69)&lt;10,3,MONTH(D69)&gt;9,4)&amp;"Q"&amp;RIGHT(YEAR(D69),2)</f>
        <v>4Q19</v>
      </c>
      <c r="D69" s="2">
        <f t="shared" si="14"/>
        <v>43799</v>
      </c>
      <c r="E69" s="25">
        <v>43787</v>
      </c>
      <c r="F69" s="26">
        <v>2</v>
      </c>
      <c r="G69" s="26">
        <v>4.151</v>
      </c>
      <c r="H69" s="27"/>
      <c r="I69" s="28">
        <f t="shared" si="15"/>
        <v>0.0625</v>
      </c>
      <c r="J69" s="28">
        <f t="shared" si="7"/>
        <v>0.064859375</v>
      </c>
      <c r="K69" s="28">
        <f t="shared" si="8"/>
        <v>0</v>
      </c>
      <c r="M69" s="36">
        <f t="shared" si="24"/>
        <v>-0.0248659190638714</v>
      </c>
      <c r="N69" s="36">
        <f t="shared" si="28"/>
        <v>-0.0426041168022977</v>
      </c>
      <c r="O69" s="36">
        <f t="shared" si="29"/>
        <v>-0.0439770554493308</v>
      </c>
      <c r="P69" s="36">
        <f t="shared" si="30"/>
        <v>0.00338409475465329</v>
      </c>
      <c r="Q69" s="36">
        <f t="shared" si="31"/>
        <v>-0.0111958075273941</v>
      </c>
      <c r="R69" s="36">
        <f t="shared" si="32"/>
        <v>-0.0111958075273941</v>
      </c>
      <c r="S69" s="36"/>
      <c r="T69" s="36"/>
      <c r="U69" s="36"/>
      <c r="W69" s="5" t="str" cm="1">
        <f t="array" ref="W69">_xlfn.IFS(MONTH(X69)&lt;4,1,MONTH(X69)&lt;7,2,MONTH(X69)&lt;10,3,MONTH(X69)&gt;9,4)&amp;"Q"&amp;RIGHT(YEAR(X69),2)</f>
        <v>4Q19</v>
      </c>
      <c r="X69" s="2">
        <f t="shared" si="16"/>
        <v>43769</v>
      </c>
      <c r="Y69" s="25">
        <v>43766</v>
      </c>
      <c r="Z69" s="29">
        <v>24.286</v>
      </c>
      <c r="AD69" s="36">
        <f t="shared" si="25"/>
        <v>-0.01922300298845</v>
      </c>
      <c r="AE69" s="36">
        <f t="shared" si="33"/>
        <v>-0.0377208970599888</v>
      </c>
      <c r="AF69" s="36">
        <f t="shared" si="34"/>
        <v>-0.0377208970599888</v>
      </c>
      <c r="AJ69" s="5" t="str" cm="1">
        <f t="array" ref="AJ69">_xlfn.IFS(MONTH(AK69)&lt;4,1,MONTH(AK69)&lt;7,2,MONTH(AK69)&lt;10,3,MONTH(AK69)&gt;9,4)&amp;"Q"&amp;RIGHT(YEAR(AK69),2)</f>
        <v>1Q21</v>
      </c>
      <c r="AK69" s="2">
        <f t="shared" si="17"/>
        <v>44286</v>
      </c>
      <c r="AL69" s="50">
        <f t="shared" si="35"/>
        <v>44286</v>
      </c>
      <c r="AM69" s="51">
        <v>2.52</v>
      </c>
      <c r="AN69" s="51">
        <v>4.59</v>
      </c>
      <c r="AO69" s="51"/>
      <c r="AP69" s="51">
        <v>7.96</v>
      </c>
      <c r="AQ69" s="52"/>
      <c r="AR69" s="53">
        <f t="shared" si="9"/>
        <v>0.07875</v>
      </c>
      <c r="AS69" s="53">
        <f t="shared" si="38"/>
        <v>0.07171875</v>
      </c>
      <c r="AT69" s="53"/>
      <c r="AU69" s="53">
        <f t="shared" si="46"/>
        <v>0.0621875</v>
      </c>
      <c r="AV69" s="37">
        <f t="shared" si="39"/>
        <v>0.0161290322580645</v>
      </c>
      <c r="AW69" s="37">
        <f t="shared" si="39"/>
        <v>0.0110132158590308</v>
      </c>
      <c r="AX69" s="37"/>
      <c r="AY69" s="37">
        <f t="shared" si="47"/>
        <v>0</v>
      </c>
      <c r="BA69" s="25">
        <f t="shared" si="40"/>
        <v>43787</v>
      </c>
      <c r="BB69" s="28">
        <f t="shared" si="40"/>
        <v>2</v>
      </c>
      <c r="BC69" s="28">
        <f t="shared" si="10"/>
        <v>2.36</v>
      </c>
      <c r="BD69" s="28">
        <f t="shared" si="21"/>
        <v>4.151</v>
      </c>
      <c r="BE69" s="28">
        <f t="shared" si="11"/>
        <v>4.5</v>
      </c>
      <c r="BF69" s="28"/>
      <c r="BG69" s="28"/>
      <c r="BH69" s="28"/>
      <c r="BI69" s="28"/>
      <c r="CC69" s="25">
        <f t="shared" si="44"/>
        <v>43766</v>
      </c>
      <c r="CD69" s="29">
        <f t="shared" si="44"/>
        <v>24.286</v>
      </c>
      <c r="CE69" s="29">
        <f t="shared" si="23"/>
        <v>17.82</v>
      </c>
      <c r="DP69" s="35">
        <v>43573</v>
      </c>
      <c r="DQ69" s="26">
        <v>3</v>
      </c>
      <c r="DR69" s="26">
        <v>2.9</v>
      </c>
      <c r="DS69" s="26">
        <v>2.97</v>
      </c>
      <c r="DU69" s="35">
        <v>43573</v>
      </c>
      <c r="DV69" s="26">
        <v>6.2</v>
      </c>
      <c r="DW69" s="26">
        <v>6</v>
      </c>
      <c r="DX69" s="26">
        <v>6.075</v>
      </c>
      <c r="DZ69" s="35">
        <v>43573</v>
      </c>
      <c r="EA69" s="26">
        <v>12</v>
      </c>
      <c r="EB69" s="26">
        <v>11.8</v>
      </c>
      <c r="EC69" s="26">
        <v>11.9</v>
      </c>
    </row>
    <row r="70" ht="16.8" spans="3:133">
      <c r="C70" s="5" t="str" cm="1">
        <f t="array" ref="C70">_xlfn.IFS(MONTH(D70)&lt;4,1,MONTH(D70)&lt;7,2,MONTH(D70)&lt;10,3,MONTH(D70)&gt;9,4)&amp;"Q"&amp;RIGHT(YEAR(D70),2)</f>
        <v>4Q19</v>
      </c>
      <c r="D70" s="2">
        <f t="shared" si="14"/>
        <v>43799</v>
      </c>
      <c r="E70" s="25">
        <v>43794</v>
      </c>
      <c r="F70" s="26">
        <v>2.012</v>
      </c>
      <c r="G70" s="26">
        <v>4.119</v>
      </c>
      <c r="H70" s="27"/>
      <c r="I70" s="28">
        <f t="shared" si="15"/>
        <v>0.062875</v>
      </c>
      <c r="J70" s="28">
        <f t="shared" si="7"/>
        <v>0.064359375</v>
      </c>
      <c r="K70" s="28">
        <f t="shared" si="8"/>
        <v>0</v>
      </c>
      <c r="M70" s="36">
        <f t="shared" si="24"/>
        <v>0.00600000000000001</v>
      </c>
      <c r="N70" s="36">
        <f t="shared" si="28"/>
        <v>-0.0190151145782546</v>
      </c>
      <c r="O70" s="36">
        <f t="shared" si="29"/>
        <v>-0.0368597415031116</v>
      </c>
      <c r="P70" s="36">
        <f t="shared" si="30"/>
        <v>-0.00770898578655743</v>
      </c>
      <c r="Q70" s="36">
        <f t="shared" si="31"/>
        <v>-0.00435097897026826</v>
      </c>
      <c r="R70" s="36">
        <f t="shared" si="32"/>
        <v>-0.0188184849928539</v>
      </c>
      <c r="S70" s="36"/>
      <c r="T70" s="36"/>
      <c r="U70" s="36"/>
      <c r="W70" s="5" t="str" cm="1">
        <f t="array" ref="W70">_xlfn.IFS(MONTH(X70)&lt;4,1,MONTH(X70)&lt;7,2,MONTH(X70)&lt;10,3,MONTH(X70)&gt;9,4)&amp;"Q"&amp;RIGHT(YEAR(X70),2)</f>
        <v>4Q19</v>
      </c>
      <c r="X70" s="2">
        <f t="shared" si="16"/>
        <v>43799</v>
      </c>
      <c r="Y70" s="25">
        <v>43773</v>
      </c>
      <c r="Z70" s="29">
        <v>23.81</v>
      </c>
      <c r="AD70" s="36">
        <f t="shared" si="25"/>
        <v>-0.0195997694144776</v>
      </c>
      <c r="AE70" s="36">
        <f t="shared" si="33"/>
        <v>-0.0384460059769002</v>
      </c>
      <c r="AF70" s="36">
        <f t="shared" si="34"/>
        <v>-0.0565813455899834</v>
      </c>
      <c r="AJ70" s="5" t="str" cm="1">
        <f t="array" ref="AJ70">_xlfn.IFS(MONTH(AK70)&lt;4,1,MONTH(AK70)&lt;7,2,MONTH(AK70)&lt;10,3,MONTH(AK70)&gt;9,4)&amp;"Q"&amp;RIGHT(YEAR(AK70),2)</f>
        <v>2Q21</v>
      </c>
      <c r="AK70" s="2">
        <f t="shared" si="17"/>
        <v>44316</v>
      </c>
      <c r="AL70" s="50">
        <f t="shared" si="35"/>
        <v>44316</v>
      </c>
      <c r="AM70" s="51">
        <v>2.58</v>
      </c>
      <c r="AN70" s="51">
        <v>4.65</v>
      </c>
      <c r="AO70" s="51"/>
      <c r="AP70" s="51">
        <v>8.15</v>
      </c>
      <c r="AQ70" s="52"/>
      <c r="AR70" s="53">
        <f t="shared" si="9"/>
        <v>0.080625</v>
      </c>
      <c r="AS70" s="53">
        <f t="shared" si="38"/>
        <v>0.07265625</v>
      </c>
      <c r="AT70" s="53"/>
      <c r="AU70" s="53">
        <f t="shared" si="46"/>
        <v>0.063671875</v>
      </c>
      <c r="AV70" s="37">
        <f t="shared" si="39"/>
        <v>0.0238095238095237</v>
      </c>
      <c r="AW70" s="37">
        <f t="shared" si="39"/>
        <v>0.0130718954248368</v>
      </c>
      <c r="AX70" s="37"/>
      <c r="AY70" s="37">
        <f t="shared" si="47"/>
        <v>0.0238693467336684</v>
      </c>
      <c r="BA70" s="25">
        <f t="shared" si="40"/>
        <v>43794</v>
      </c>
      <c r="BB70" s="28">
        <f t="shared" si="40"/>
        <v>2.012</v>
      </c>
      <c r="BC70" s="28">
        <f t="shared" si="10"/>
        <v>2.36</v>
      </c>
      <c r="BD70" s="28">
        <f t="shared" si="21"/>
        <v>4.119</v>
      </c>
      <c r="BE70" s="28">
        <f t="shared" si="11"/>
        <v>4.5</v>
      </c>
      <c r="BF70" s="28"/>
      <c r="BG70" s="28"/>
      <c r="BH70" s="28"/>
      <c r="BI70" s="28"/>
      <c r="CC70" s="25">
        <f t="shared" si="44"/>
        <v>43773</v>
      </c>
      <c r="CD70" s="29">
        <f t="shared" si="44"/>
        <v>23.81</v>
      </c>
      <c r="CE70" s="29">
        <f t="shared" si="23"/>
        <v>17.82</v>
      </c>
      <c r="DP70" s="35">
        <v>43574</v>
      </c>
      <c r="DQ70" s="26">
        <v>3</v>
      </c>
      <c r="DR70" s="26">
        <v>2.9</v>
      </c>
      <c r="DS70" s="26">
        <v>2.97</v>
      </c>
      <c r="DU70" s="35">
        <v>43574</v>
      </c>
      <c r="DV70" s="26">
        <v>6.2</v>
      </c>
      <c r="DW70" s="26">
        <v>6</v>
      </c>
      <c r="DX70" s="26">
        <v>6.075</v>
      </c>
      <c r="DZ70" s="35">
        <v>43574</v>
      </c>
      <c r="EA70" s="26">
        <v>12</v>
      </c>
      <c r="EB70" s="26">
        <v>11.9</v>
      </c>
      <c r="EC70" s="26">
        <v>11.95</v>
      </c>
    </row>
    <row r="71" ht="16.8" spans="3:133">
      <c r="C71" s="5" t="str" cm="1">
        <f t="array" ref="C71">_xlfn.IFS(MONTH(D71)&lt;4,1,MONTH(D71)&lt;7,2,MONTH(D71)&lt;10,3,MONTH(D71)&gt;9,4)&amp;"Q"&amp;RIGHT(YEAR(D71),2)</f>
        <v>4Q19</v>
      </c>
      <c r="D71" s="2">
        <f t="shared" si="14"/>
        <v>43830</v>
      </c>
      <c r="E71" s="25">
        <v>43801</v>
      </c>
      <c r="F71" s="26">
        <v>2.051</v>
      </c>
      <c r="G71" s="26">
        <v>4.179</v>
      </c>
      <c r="H71" s="27"/>
      <c r="I71" s="28">
        <f t="shared" si="15"/>
        <v>0.06409375</v>
      </c>
      <c r="J71" s="28">
        <f t="shared" si="7"/>
        <v>0.065296875</v>
      </c>
      <c r="K71" s="28">
        <f t="shared" si="8"/>
        <v>0</v>
      </c>
      <c r="M71" s="36">
        <f t="shared" si="24"/>
        <v>0.0193836978131214</v>
      </c>
      <c r="N71" s="36">
        <f t="shared" si="28"/>
        <v>0.0255000000000001</v>
      </c>
      <c r="O71" s="36">
        <f t="shared" si="29"/>
        <v>0</v>
      </c>
      <c r="P71" s="36">
        <f t="shared" si="30"/>
        <v>0.0145666423889295</v>
      </c>
      <c r="Q71" s="36">
        <f t="shared" si="31"/>
        <v>0.00674536256323788</v>
      </c>
      <c r="R71" s="36">
        <f t="shared" si="32"/>
        <v>0.0101522842639596</v>
      </c>
      <c r="S71" s="36"/>
      <c r="T71" s="36"/>
      <c r="U71" s="36"/>
      <c r="W71" s="5" t="str" cm="1">
        <f t="array" ref="W71">_xlfn.IFS(MONTH(X71)&lt;4,1,MONTH(X71)&lt;7,2,MONTH(X71)&lt;10,3,MONTH(X71)&gt;9,4)&amp;"Q"&amp;RIGHT(YEAR(X71),2)</f>
        <v>4Q19</v>
      </c>
      <c r="X71" s="2">
        <f t="shared" si="16"/>
        <v>43799</v>
      </c>
      <c r="Y71" s="25">
        <v>43780</v>
      </c>
      <c r="Z71" s="29">
        <v>23.333</v>
      </c>
      <c r="AD71" s="36">
        <f t="shared" si="25"/>
        <v>-0.0200335993280134</v>
      </c>
      <c r="AE71" s="36">
        <f t="shared" si="33"/>
        <v>-0.0392407148151199</v>
      </c>
      <c r="AF71" s="36">
        <f t="shared" si="34"/>
        <v>-0.05770939342541</v>
      </c>
      <c r="AJ71" s="5" t="str" cm="1">
        <f t="array" ref="AJ71">_xlfn.IFS(MONTH(AK71)&lt;4,1,MONTH(AK71)&lt;7,2,MONTH(AK71)&lt;10,3,MONTH(AK71)&gt;9,4)&amp;"Q"&amp;RIGHT(YEAR(AK71),2)</f>
        <v>2Q21</v>
      </c>
      <c r="AK71" s="2">
        <f t="shared" si="17"/>
        <v>44347</v>
      </c>
      <c r="AL71" s="50">
        <f t="shared" si="35"/>
        <v>44347</v>
      </c>
      <c r="AM71" s="51">
        <v>2.64</v>
      </c>
      <c r="AN71" s="51">
        <v>4.8</v>
      </c>
      <c r="AO71" s="51"/>
      <c r="AP71" s="51">
        <v>8.15</v>
      </c>
      <c r="AQ71" s="54"/>
      <c r="AR71" s="53">
        <f t="shared" si="9"/>
        <v>0.0825</v>
      </c>
      <c r="AS71" s="53">
        <f t="shared" si="38"/>
        <v>0.075</v>
      </c>
      <c r="AT71" s="53"/>
      <c r="AU71" s="53">
        <f t="shared" si="46"/>
        <v>0.063671875</v>
      </c>
      <c r="AV71" s="37">
        <f t="shared" si="39"/>
        <v>0.0232558139534884</v>
      </c>
      <c r="AW71" s="37">
        <f t="shared" si="39"/>
        <v>0.032258064516129</v>
      </c>
      <c r="AX71" s="37"/>
      <c r="AY71" s="37">
        <f t="shared" si="47"/>
        <v>0</v>
      </c>
      <c r="BA71" s="25">
        <f t="shared" si="40"/>
        <v>43801</v>
      </c>
      <c r="BB71" s="28">
        <f t="shared" si="40"/>
        <v>2.051</v>
      </c>
      <c r="BC71" s="28">
        <f t="shared" si="10"/>
        <v>2.7</v>
      </c>
      <c r="BD71" s="28">
        <f t="shared" si="21"/>
        <v>4.179</v>
      </c>
      <c r="BE71" s="28">
        <f t="shared" si="11"/>
        <v>4.71</v>
      </c>
      <c r="BF71" s="28"/>
      <c r="BG71" s="28"/>
      <c r="BH71" s="28"/>
      <c r="BI71" s="28"/>
      <c r="CC71" s="25">
        <f t="shared" si="44"/>
        <v>43780</v>
      </c>
      <c r="CD71" s="29">
        <f t="shared" si="44"/>
        <v>23.333</v>
      </c>
      <c r="CE71" s="29">
        <f t="shared" si="23"/>
        <v>17.82</v>
      </c>
      <c r="DP71" s="35">
        <v>43577</v>
      </c>
      <c r="DQ71" s="26">
        <v>3</v>
      </c>
      <c r="DR71" s="26">
        <v>2.9</v>
      </c>
      <c r="DS71" s="26">
        <v>2.97</v>
      </c>
      <c r="DU71" s="35">
        <v>43577</v>
      </c>
      <c r="DV71" s="26">
        <v>6.2</v>
      </c>
      <c r="DW71" s="26">
        <v>6</v>
      </c>
      <c r="DX71" s="26">
        <v>6.1</v>
      </c>
      <c r="DZ71" s="35">
        <v>43577</v>
      </c>
      <c r="EA71" s="26">
        <v>12.2</v>
      </c>
      <c r="EB71" s="26">
        <v>12</v>
      </c>
      <c r="EC71" s="26">
        <v>12.1</v>
      </c>
    </row>
    <row r="72" ht="13.5" customHeight="1" spans="3:133">
      <c r="C72" s="5" t="str" cm="1">
        <f t="array" ref="C72">_xlfn.IFS(MONTH(D72)&lt;4,1,MONTH(D72)&lt;7,2,MONTH(D72)&lt;10,3,MONTH(D72)&gt;9,4)&amp;"Q"&amp;RIGHT(YEAR(D72),2)</f>
        <v>4Q19</v>
      </c>
      <c r="D72" s="2">
        <f t="shared" si="14"/>
        <v>43830</v>
      </c>
      <c r="E72" s="25">
        <v>43808</v>
      </c>
      <c r="F72" s="26">
        <v>2.129</v>
      </c>
      <c r="G72" s="26">
        <v>4.146</v>
      </c>
      <c r="H72" s="27"/>
      <c r="I72" s="28">
        <f t="shared" si="15"/>
        <v>0.06653125</v>
      </c>
      <c r="J72" s="28">
        <f t="shared" si="7"/>
        <v>0.06478125</v>
      </c>
      <c r="K72" s="28">
        <f t="shared" si="8"/>
        <v>0</v>
      </c>
      <c r="M72" s="36">
        <f t="shared" si="24"/>
        <v>0.0380302291565089</v>
      </c>
      <c r="N72" s="36">
        <f t="shared" si="28"/>
        <v>0.0581510934393639</v>
      </c>
      <c r="O72" s="36">
        <f t="shared" si="29"/>
        <v>0.0645</v>
      </c>
      <c r="P72" s="36">
        <f t="shared" si="30"/>
        <v>-0.0078966259870783</v>
      </c>
      <c r="Q72" s="36">
        <f t="shared" si="31"/>
        <v>0.00655498907501828</v>
      </c>
      <c r="R72" s="36">
        <f t="shared" si="32"/>
        <v>-0.00120452902914958</v>
      </c>
      <c r="S72" s="36"/>
      <c r="T72" s="36"/>
      <c r="U72" s="36"/>
      <c r="W72" s="5" t="str" cm="1">
        <f t="array" ref="W72">_xlfn.IFS(MONTH(X72)&lt;4,1,MONTH(X72)&lt;7,2,MONTH(X72)&lt;10,3,MONTH(X72)&gt;9,4)&amp;"Q"&amp;RIGHT(YEAR(X72),2)</f>
        <v>4Q19</v>
      </c>
      <c r="X72" s="2">
        <f t="shared" si="16"/>
        <v>43799</v>
      </c>
      <c r="Y72" s="25">
        <v>43787</v>
      </c>
      <c r="Z72" s="29">
        <v>22.619</v>
      </c>
      <c r="AD72" s="36">
        <f t="shared" si="25"/>
        <v>-0.0306004371491021</v>
      </c>
      <c r="AE72" s="36">
        <f t="shared" si="33"/>
        <v>-0.0500209995800084</v>
      </c>
      <c r="AF72" s="36">
        <f t="shared" si="34"/>
        <v>-0.0686403689368361</v>
      </c>
      <c r="AJ72" s="5" t="str" cm="1">
        <f t="array" ref="AJ72">_xlfn.IFS(MONTH(AK72)&lt;4,1,MONTH(AK72)&lt;7,2,MONTH(AK72)&lt;10,3,MONTH(AK72)&gt;9,4)&amp;"Q"&amp;RIGHT(YEAR(AK72),2)</f>
        <v>2Q21</v>
      </c>
      <c r="AK72" s="2">
        <f t="shared" si="17"/>
        <v>44377</v>
      </c>
      <c r="AL72" s="50">
        <f t="shared" si="35"/>
        <v>44377</v>
      </c>
      <c r="AM72" s="51">
        <v>2.74</v>
      </c>
      <c r="AN72" s="51">
        <v>5.01</v>
      </c>
      <c r="AO72" s="51"/>
      <c r="AP72" s="51">
        <v>8.4</v>
      </c>
      <c r="AQ72" s="54"/>
      <c r="AR72" s="53">
        <f t="shared" si="9"/>
        <v>0.085625</v>
      </c>
      <c r="AS72" s="53">
        <f t="shared" si="38"/>
        <v>0.07828125</v>
      </c>
      <c r="AT72" s="53"/>
      <c r="AU72" s="53">
        <f t="shared" si="46"/>
        <v>0.065625</v>
      </c>
      <c r="AV72" s="37">
        <f t="shared" si="39"/>
        <v>0.0378787878787878</v>
      </c>
      <c r="AW72" s="37">
        <f t="shared" si="39"/>
        <v>0.04375</v>
      </c>
      <c r="AX72" s="37"/>
      <c r="AY72" s="37">
        <f t="shared" si="47"/>
        <v>0.0306748466257669</v>
      </c>
      <c r="BA72" s="25">
        <f t="shared" si="40"/>
        <v>43808</v>
      </c>
      <c r="BB72" s="28">
        <f t="shared" si="40"/>
        <v>2.129</v>
      </c>
      <c r="BC72" s="28">
        <f t="shared" si="10"/>
        <v>2.7</v>
      </c>
      <c r="BD72" s="28">
        <f t="shared" si="21"/>
        <v>4.146</v>
      </c>
      <c r="BE72" s="28">
        <f t="shared" si="11"/>
        <v>4.71</v>
      </c>
      <c r="BF72" s="28"/>
      <c r="BG72" s="28"/>
      <c r="BH72" s="28"/>
      <c r="BI72" s="28"/>
      <c r="CC72" s="25">
        <f t="shared" si="44"/>
        <v>43787</v>
      </c>
      <c r="CD72" s="29">
        <f t="shared" si="44"/>
        <v>22.619</v>
      </c>
      <c r="CE72" s="29">
        <f t="shared" si="23"/>
        <v>17.82</v>
      </c>
      <c r="DP72" s="35">
        <v>43578</v>
      </c>
      <c r="DQ72" s="26">
        <v>3</v>
      </c>
      <c r="DR72" s="26">
        <v>2.9</v>
      </c>
      <c r="DS72" s="26">
        <v>2.97</v>
      </c>
      <c r="DU72" s="35">
        <v>43578</v>
      </c>
      <c r="DV72" s="26">
        <v>6.2</v>
      </c>
      <c r="DW72" s="26">
        <v>6</v>
      </c>
      <c r="DX72" s="26">
        <v>6.1</v>
      </c>
      <c r="DZ72" s="35">
        <v>43578</v>
      </c>
      <c r="EA72" s="26">
        <v>12.2</v>
      </c>
      <c r="EB72" s="26">
        <v>12</v>
      </c>
      <c r="EC72" s="26">
        <v>12.1</v>
      </c>
    </row>
    <row r="73" ht="16.8" spans="3:133">
      <c r="C73" s="5" t="str" cm="1">
        <f t="array" ref="C73">_xlfn.IFS(MONTH(D73)&lt;4,1,MONTH(D73)&lt;7,2,MONTH(D73)&lt;10,3,MONTH(D73)&gt;9,4)&amp;"Q"&amp;RIGHT(YEAR(D73),2)</f>
        <v>4Q19</v>
      </c>
      <c r="D73" s="2">
        <f t="shared" si="14"/>
        <v>43830</v>
      </c>
      <c r="E73" s="25">
        <v>43815</v>
      </c>
      <c r="F73" s="26">
        <v>2.245</v>
      </c>
      <c r="G73" s="26">
        <v>4.308</v>
      </c>
      <c r="H73" s="27"/>
      <c r="I73" s="28">
        <f t="shared" si="15"/>
        <v>0.07015625</v>
      </c>
      <c r="J73" s="28">
        <f t="shared" si="7"/>
        <v>0.0673125</v>
      </c>
      <c r="K73" s="28">
        <f t="shared" si="8"/>
        <v>0</v>
      </c>
      <c r="M73" s="36">
        <f t="shared" si="24"/>
        <v>0.0544856740253641</v>
      </c>
      <c r="N73" s="36">
        <f t="shared" si="28"/>
        <v>0.0945880058508044</v>
      </c>
      <c r="O73" s="36">
        <f t="shared" si="29"/>
        <v>0.115805168986084</v>
      </c>
      <c r="P73" s="36">
        <f t="shared" si="30"/>
        <v>0.0390738060781477</v>
      </c>
      <c r="Q73" s="36">
        <f t="shared" si="31"/>
        <v>0.0308686288585784</v>
      </c>
      <c r="R73" s="36">
        <f t="shared" si="32"/>
        <v>0.0458849235251275</v>
      </c>
      <c r="S73" s="36"/>
      <c r="T73" s="36"/>
      <c r="U73" s="36"/>
      <c r="W73" s="5" t="str" cm="1">
        <f t="array" ref="W73">_xlfn.IFS(MONTH(X73)&lt;4,1,MONTH(X73)&lt;7,2,MONTH(X73)&lt;10,3,MONTH(X73)&gt;9,4)&amp;"Q"&amp;RIGHT(YEAR(X73),2)</f>
        <v>4Q19</v>
      </c>
      <c r="X73" s="2">
        <f t="shared" si="16"/>
        <v>43799</v>
      </c>
      <c r="Y73" s="25">
        <v>43794</v>
      </c>
      <c r="Z73" s="29">
        <v>22.619</v>
      </c>
      <c r="AD73" s="36">
        <f t="shared" si="25"/>
        <v>0</v>
      </c>
      <c r="AE73" s="36">
        <f t="shared" si="33"/>
        <v>-0.0306004371491021</v>
      </c>
      <c r="AF73" s="36">
        <f t="shared" si="34"/>
        <v>-0.0500209995800084</v>
      </c>
      <c r="AJ73" s="5" t="str" cm="1">
        <f t="array" ref="AJ73">_xlfn.IFS(MONTH(AK73)&lt;4,1,MONTH(AK73)&lt;7,2,MONTH(AK73)&lt;10,3,MONTH(AK73)&gt;9,4)&amp;"Q"&amp;RIGHT(YEAR(AK73),2)</f>
        <v>3Q21</v>
      </c>
      <c r="AK73" s="2">
        <f t="shared" si="17"/>
        <v>44408</v>
      </c>
      <c r="AL73" s="50">
        <f t="shared" si="35"/>
        <v>44408</v>
      </c>
      <c r="AM73" s="51">
        <v>2.78</v>
      </c>
      <c r="AN73" s="51">
        <v>5.05</v>
      </c>
      <c r="AO73" s="51"/>
      <c r="AP73" s="51">
        <v>8.48</v>
      </c>
      <c r="AQ73" s="54"/>
      <c r="AR73" s="53">
        <f t="shared" si="9"/>
        <v>0.086875</v>
      </c>
      <c r="AS73" s="53">
        <f t="shared" si="38"/>
        <v>0.07890625</v>
      </c>
      <c r="AT73" s="53"/>
      <c r="AU73" s="53">
        <f t="shared" si="46"/>
        <v>0.06625</v>
      </c>
      <c r="AV73" s="37">
        <f t="shared" si="39"/>
        <v>0.0145985401459852</v>
      </c>
      <c r="AW73" s="37">
        <f t="shared" si="39"/>
        <v>0.00798403193612773</v>
      </c>
      <c r="AX73" s="37"/>
      <c r="AY73" s="37">
        <f t="shared" si="47"/>
        <v>0.00952380952380949</v>
      </c>
      <c r="BA73" s="25">
        <f t="shared" si="40"/>
        <v>43815</v>
      </c>
      <c r="BB73" s="28">
        <f t="shared" si="40"/>
        <v>2.245</v>
      </c>
      <c r="BC73" s="28">
        <f t="shared" si="10"/>
        <v>2.7</v>
      </c>
      <c r="BD73" s="28">
        <f t="shared" si="21"/>
        <v>4.308</v>
      </c>
      <c r="BE73" s="28">
        <f t="shared" si="11"/>
        <v>4.71</v>
      </c>
      <c r="BF73" s="28"/>
      <c r="BG73" s="28"/>
      <c r="BH73" s="28"/>
      <c r="BI73" s="28"/>
      <c r="CC73" s="25">
        <f t="shared" si="44"/>
        <v>43794</v>
      </c>
      <c r="CD73" s="29">
        <f t="shared" si="44"/>
        <v>22.619</v>
      </c>
      <c r="CE73" s="29">
        <f t="shared" si="23"/>
        <v>17.82</v>
      </c>
      <c r="DP73" s="35">
        <v>43579</v>
      </c>
      <c r="DQ73" s="26">
        <v>3.05</v>
      </c>
      <c r="DR73" s="26">
        <v>2.9</v>
      </c>
      <c r="DS73" s="26">
        <v>2.975</v>
      </c>
      <c r="DU73" s="35">
        <v>43579</v>
      </c>
      <c r="DV73" s="26">
        <v>6.2</v>
      </c>
      <c r="DW73" s="26">
        <v>6.05</v>
      </c>
      <c r="DX73" s="26">
        <v>6.125</v>
      </c>
      <c r="DZ73" s="35">
        <v>43579</v>
      </c>
      <c r="EA73" s="26">
        <v>12.2</v>
      </c>
      <c r="EB73" s="26">
        <v>12.1</v>
      </c>
      <c r="EC73" s="26">
        <v>12.15</v>
      </c>
    </row>
    <row r="74" ht="16.8" spans="3:133">
      <c r="C74" s="5" t="str" cm="1">
        <f t="array" ref="C74">_xlfn.IFS(MONTH(D74)&lt;4,1,MONTH(D74)&lt;7,2,MONTH(D74)&lt;10,3,MONTH(D74)&gt;9,4)&amp;"Q"&amp;RIGHT(YEAR(D74),2)</f>
        <v>4Q19</v>
      </c>
      <c r="D74" s="2">
        <f t="shared" si="14"/>
        <v>43830</v>
      </c>
      <c r="E74" s="25">
        <v>43822</v>
      </c>
      <c r="F74" s="26">
        <v>2.397</v>
      </c>
      <c r="G74" s="26">
        <v>4.528</v>
      </c>
      <c r="H74" s="27"/>
      <c r="I74" s="28">
        <f t="shared" si="15"/>
        <v>0.07490625</v>
      </c>
      <c r="J74" s="28">
        <f t="shared" si="7"/>
        <v>0.07075</v>
      </c>
      <c r="K74" s="28">
        <f t="shared" si="8"/>
        <v>0</v>
      </c>
      <c r="M74" s="36">
        <f t="shared" si="24"/>
        <v>0.0677060133630287</v>
      </c>
      <c r="N74" s="36">
        <f t="shared" si="28"/>
        <v>0.125880695162048</v>
      </c>
      <c r="O74" s="36">
        <f t="shared" si="29"/>
        <v>0.16869819600195</v>
      </c>
      <c r="P74" s="36">
        <f t="shared" si="30"/>
        <v>0.0510677808727948</v>
      </c>
      <c r="Q74" s="36">
        <f t="shared" si="31"/>
        <v>0.0921369995176073</v>
      </c>
      <c r="R74" s="36">
        <f t="shared" si="32"/>
        <v>0.0835128021057667</v>
      </c>
      <c r="S74" s="36"/>
      <c r="T74" s="36"/>
      <c r="U74" s="36"/>
      <c r="W74" s="5" t="str" cm="1">
        <f t="array" ref="W74">_xlfn.IFS(MONTH(X74)&lt;4,1,MONTH(X74)&lt;7,2,MONTH(X74)&lt;10,3,MONTH(X74)&gt;9,4)&amp;"Q"&amp;RIGHT(YEAR(X74),2)</f>
        <v>4Q19</v>
      </c>
      <c r="X74" s="2">
        <f t="shared" si="16"/>
        <v>43830</v>
      </c>
      <c r="Y74" s="25">
        <v>43801</v>
      </c>
      <c r="Z74" s="29">
        <v>22.619</v>
      </c>
      <c r="AD74" s="36">
        <f t="shared" si="25"/>
        <v>0</v>
      </c>
      <c r="AE74" s="36">
        <f t="shared" si="33"/>
        <v>0</v>
      </c>
      <c r="AF74" s="36">
        <f t="shared" si="34"/>
        <v>-0.0306004371491021</v>
      </c>
      <c r="AJ74" s="5" t="str" cm="1">
        <f t="array" ref="AJ74">_xlfn.IFS(MONTH(AK74)&lt;4,1,MONTH(AK74)&lt;7,2,MONTH(AK74)&lt;10,3,MONTH(AK74)&gt;9,4)&amp;"Q"&amp;RIGHT(YEAR(AK74),2)</f>
        <v>3Q21</v>
      </c>
      <c r="AK74" s="2">
        <f t="shared" si="17"/>
        <v>44439</v>
      </c>
      <c r="AL74" s="50">
        <f t="shared" si="35"/>
        <v>44439</v>
      </c>
      <c r="AM74" s="51">
        <v>2.78</v>
      </c>
      <c r="AN74" s="51">
        <v>5.01</v>
      </c>
      <c r="AO74" s="51"/>
      <c r="AP74" s="51">
        <v>8.48</v>
      </c>
      <c r="AQ74" s="36"/>
      <c r="AR74" s="53">
        <f t="shared" si="9"/>
        <v>0.086875</v>
      </c>
      <c r="AS74" s="53">
        <f t="shared" si="38"/>
        <v>0.07828125</v>
      </c>
      <c r="AT74" s="53"/>
      <c r="AU74" s="53">
        <f t="shared" si="46"/>
        <v>0.06625</v>
      </c>
      <c r="AV74" s="37">
        <f t="shared" si="39"/>
        <v>0</v>
      </c>
      <c r="AW74" s="37">
        <f t="shared" si="39"/>
        <v>-0.00792079207920793</v>
      </c>
      <c r="AX74" s="37"/>
      <c r="AY74" s="37">
        <f t="shared" si="47"/>
        <v>0</v>
      </c>
      <c r="BA74" s="25">
        <f t="shared" si="40"/>
        <v>43822</v>
      </c>
      <c r="BB74" s="28">
        <f t="shared" si="40"/>
        <v>2.397</v>
      </c>
      <c r="BC74" s="28">
        <f t="shared" si="10"/>
        <v>2.7</v>
      </c>
      <c r="BD74" s="28">
        <f t="shared" si="21"/>
        <v>4.528</v>
      </c>
      <c r="BE74" s="28">
        <f t="shared" si="11"/>
        <v>4.71</v>
      </c>
      <c r="BF74" s="28"/>
      <c r="BG74" s="28"/>
      <c r="BH74" s="28"/>
      <c r="BI74" s="28"/>
      <c r="CC74" s="25">
        <f t="shared" si="44"/>
        <v>43801</v>
      </c>
      <c r="CD74" s="29">
        <f t="shared" si="44"/>
        <v>22.619</v>
      </c>
      <c r="CE74" s="29">
        <f t="shared" si="23"/>
        <v>17.82</v>
      </c>
      <c r="DP74" s="35">
        <v>43580</v>
      </c>
      <c r="DQ74" s="26">
        <v>3.05</v>
      </c>
      <c r="DR74" s="26">
        <v>2.9</v>
      </c>
      <c r="DS74" s="26">
        <v>2.975</v>
      </c>
      <c r="DU74" s="35">
        <v>43580</v>
      </c>
      <c r="DV74" s="26">
        <v>6.2</v>
      </c>
      <c r="DW74" s="26">
        <v>6.05</v>
      </c>
      <c r="DX74" s="26">
        <v>6.125</v>
      </c>
      <c r="DZ74" s="35">
        <v>43580</v>
      </c>
      <c r="EA74" s="26">
        <v>12.2</v>
      </c>
      <c r="EB74" s="26">
        <v>12.1</v>
      </c>
      <c r="EC74" s="26">
        <v>12.15</v>
      </c>
    </row>
    <row r="75" ht="16.8" spans="3:133">
      <c r="C75" s="5" t="str" cm="1">
        <f t="array" ref="C75">_xlfn.IFS(MONTH(D75)&lt;4,1,MONTH(D75)&lt;7,2,MONTH(D75)&lt;10,3,MONTH(D75)&gt;9,4)&amp;"Q"&amp;RIGHT(YEAR(D75),2)</f>
        <v>4Q19</v>
      </c>
      <c r="D75" s="2">
        <f t="shared" si="14"/>
        <v>43830</v>
      </c>
      <c r="E75" s="25">
        <v>43829</v>
      </c>
      <c r="F75" s="26">
        <v>2.447</v>
      </c>
      <c r="G75" s="26">
        <v>4.588</v>
      </c>
      <c r="H75" s="27"/>
      <c r="I75" s="28">
        <f t="shared" si="15"/>
        <v>0.07646875</v>
      </c>
      <c r="J75" s="28">
        <f t="shared" si="7"/>
        <v>0.0716875</v>
      </c>
      <c r="K75" s="28">
        <f t="shared" si="8"/>
        <v>0</v>
      </c>
      <c r="M75" s="36">
        <f t="shared" si="24"/>
        <v>0.0208594075928246</v>
      </c>
      <c r="N75" s="36">
        <f t="shared" si="28"/>
        <v>0.089977728285078</v>
      </c>
      <c r="O75" s="36">
        <f t="shared" si="29"/>
        <v>0.149365899483326</v>
      </c>
      <c r="P75" s="36">
        <f t="shared" si="30"/>
        <v>0.0132508833922262</v>
      </c>
      <c r="Q75" s="36">
        <f t="shared" si="31"/>
        <v>0.0649953574744662</v>
      </c>
      <c r="R75" s="36">
        <f t="shared" si="32"/>
        <v>0.106608779546551</v>
      </c>
      <c r="S75" s="36"/>
      <c r="T75" s="36"/>
      <c r="U75" s="36"/>
      <c r="W75" s="5" t="str" cm="1">
        <f t="array" ref="W75">_xlfn.IFS(MONTH(X75)&lt;4,1,MONTH(X75)&lt;7,2,MONTH(X75)&lt;10,3,MONTH(X75)&gt;9,4)&amp;"Q"&amp;RIGHT(YEAR(X75),2)</f>
        <v>4Q19</v>
      </c>
      <c r="X75" s="2">
        <f t="shared" si="16"/>
        <v>43830</v>
      </c>
      <c r="Y75" s="25">
        <v>43808</v>
      </c>
      <c r="Z75" s="29">
        <v>22.619</v>
      </c>
      <c r="AD75" s="36">
        <f t="shared" si="25"/>
        <v>0</v>
      </c>
      <c r="AE75" s="36">
        <f t="shared" si="33"/>
        <v>0</v>
      </c>
      <c r="AF75" s="36">
        <f t="shared" si="34"/>
        <v>0</v>
      </c>
      <c r="AJ75" s="5" t="str" cm="1">
        <f t="array" ref="AJ75">_xlfn.IFS(MONTH(AK75)&lt;4,1,MONTH(AK75)&lt;7,2,MONTH(AK75)&lt;10,3,MONTH(AK75)&gt;9,4)&amp;"Q"&amp;RIGHT(YEAR(AK75),2)</f>
        <v>3Q21</v>
      </c>
      <c r="AK75" s="2">
        <f t="shared" si="17"/>
        <v>44469</v>
      </c>
      <c r="AL75" s="50">
        <f t="shared" si="35"/>
        <v>44469</v>
      </c>
      <c r="AM75" s="51">
        <v>2.65</v>
      </c>
      <c r="AN75" s="51">
        <v>4.69</v>
      </c>
      <c r="AO75" s="51"/>
      <c r="AP75" s="51">
        <v>8.2</v>
      </c>
      <c r="AQ75" s="36"/>
      <c r="AR75" s="53">
        <f t="shared" si="9"/>
        <v>0.0828125</v>
      </c>
      <c r="AS75" s="53">
        <f t="shared" si="38"/>
        <v>0.07328125</v>
      </c>
      <c r="AT75" s="53"/>
      <c r="AU75" s="53">
        <f t="shared" si="46"/>
        <v>0.0640625</v>
      </c>
      <c r="AV75" s="37">
        <f t="shared" si="39"/>
        <v>-0.0467625899280575</v>
      </c>
      <c r="AW75" s="37">
        <f t="shared" si="39"/>
        <v>-0.0638722554890219</v>
      </c>
      <c r="AX75" s="37"/>
      <c r="AY75" s="37">
        <f t="shared" si="47"/>
        <v>-0.0330188679245285</v>
      </c>
      <c r="BA75" s="25">
        <f t="shared" si="40"/>
        <v>43829</v>
      </c>
      <c r="BB75" s="28">
        <f t="shared" si="40"/>
        <v>2.447</v>
      </c>
      <c r="BC75" s="28">
        <f t="shared" si="10"/>
        <v>2.7</v>
      </c>
      <c r="BD75" s="28">
        <f t="shared" si="21"/>
        <v>4.588</v>
      </c>
      <c r="BE75" s="28">
        <f t="shared" si="11"/>
        <v>4.71</v>
      </c>
      <c r="BF75" s="28"/>
      <c r="BG75" s="28"/>
      <c r="BH75" s="28"/>
      <c r="BI75" s="28"/>
      <c r="CC75" s="25">
        <f t="shared" si="44"/>
        <v>43808</v>
      </c>
      <c r="CD75" s="29">
        <f t="shared" si="44"/>
        <v>22.619</v>
      </c>
      <c r="CE75" s="29">
        <f t="shared" si="23"/>
        <v>17.82</v>
      </c>
      <c r="DP75" s="35">
        <v>43581</v>
      </c>
      <c r="DQ75" s="26">
        <v>3.05</v>
      </c>
      <c r="DR75" s="26">
        <v>2.9</v>
      </c>
      <c r="DS75" s="26">
        <v>2.975</v>
      </c>
      <c r="DU75" s="35">
        <v>43581</v>
      </c>
      <c r="DV75" s="26">
        <v>6.2</v>
      </c>
      <c r="DW75" s="26">
        <v>6.05</v>
      </c>
      <c r="DX75" s="26">
        <v>6.125</v>
      </c>
      <c r="DZ75" s="35">
        <v>43581</v>
      </c>
      <c r="EA75" s="26">
        <v>12.2</v>
      </c>
      <c r="EB75" s="26">
        <v>12.1</v>
      </c>
      <c r="EC75" s="26">
        <v>12.15</v>
      </c>
    </row>
    <row r="76" ht="16.8" spans="3:133">
      <c r="C76" s="5" t="str" cm="1">
        <f t="array" ref="C76">_xlfn.IFS(MONTH(D76)&lt;4,1,MONTH(D76)&lt;7,2,MONTH(D76)&lt;10,3,MONTH(D76)&gt;9,4)&amp;"Q"&amp;RIGHT(YEAR(D76),2)</f>
        <v>1Q20</v>
      </c>
      <c r="D76" s="2">
        <f t="shared" si="14"/>
        <v>43861</v>
      </c>
      <c r="E76" s="25">
        <v>43836</v>
      </c>
      <c r="F76" s="26">
        <v>2.679</v>
      </c>
      <c r="G76" s="26">
        <v>4.86</v>
      </c>
      <c r="H76" s="27"/>
      <c r="I76" s="28">
        <f t="shared" si="15"/>
        <v>0.08371875</v>
      </c>
      <c r="J76" s="28">
        <f t="shared" si="7"/>
        <v>0.0759375</v>
      </c>
      <c r="K76" s="28">
        <f t="shared" si="8"/>
        <v>0</v>
      </c>
      <c r="M76" s="36">
        <f t="shared" si="24"/>
        <v>0.0948099713935431</v>
      </c>
      <c r="N76" s="36">
        <f t="shared" si="28"/>
        <v>0.117647058823529</v>
      </c>
      <c r="O76" s="36">
        <f t="shared" si="29"/>
        <v>0.193318485523385</v>
      </c>
      <c r="P76" s="36">
        <f t="shared" si="30"/>
        <v>0.0592850915431562</v>
      </c>
      <c r="Q76" s="36">
        <f t="shared" si="31"/>
        <v>0.0733215547703181</v>
      </c>
      <c r="R76" s="36">
        <f t="shared" si="32"/>
        <v>0.128133704735376</v>
      </c>
      <c r="S76" s="36"/>
      <c r="T76" s="36"/>
      <c r="U76" s="36"/>
      <c r="W76" s="5" t="str" cm="1">
        <f t="array" ref="W76">_xlfn.IFS(MONTH(X76)&lt;4,1,MONTH(X76)&lt;7,2,MONTH(X76)&lt;10,3,MONTH(X76)&gt;9,4)&amp;"Q"&amp;RIGHT(YEAR(X76),2)</f>
        <v>4Q19</v>
      </c>
      <c r="X76" s="2">
        <f t="shared" si="16"/>
        <v>43830</v>
      </c>
      <c r="Y76" s="25">
        <v>43815</v>
      </c>
      <c r="Z76" s="29">
        <v>22.619</v>
      </c>
      <c r="AD76" s="36">
        <f t="shared" si="25"/>
        <v>0</v>
      </c>
      <c r="AE76" s="36">
        <f t="shared" si="33"/>
        <v>0</v>
      </c>
      <c r="AF76" s="36">
        <f t="shared" si="34"/>
        <v>0</v>
      </c>
      <c r="AJ76" s="5" t="str" cm="1">
        <f t="array" ref="AJ76">_xlfn.IFS(MONTH(AK76)&lt;4,1,MONTH(AK76)&lt;7,2,MONTH(AK76)&lt;10,3,MONTH(AK76)&gt;9,4)&amp;"Q"&amp;RIGHT(YEAR(AK76),2)</f>
        <v>4Q21</v>
      </c>
      <c r="AK76" s="2">
        <f t="shared" si="17"/>
        <v>44500</v>
      </c>
      <c r="AL76" s="50">
        <f t="shared" si="35"/>
        <v>44500</v>
      </c>
      <c r="AM76" s="55">
        <v>2.46</v>
      </c>
      <c r="AN76" s="55">
        <v>4.39</v>
      </c>
      <c r="AO76" s="55"/>
      <c r="AP76" s="55">
        <v>7.92</v>
      </c>
      <c r="AQ76" s="36"/>
      <c r="AR76" s="53">
        <f t="shared" si="9"/>
        <v>0.076875</v>
      </c>
      <c r="AS76" s="53">
        <f t="shared" si="38"/>
        <v>0.06859375</v>
      </c>
      <c r="AT76" s="53"/>
      <c r="AU76" s="53">
        <f t="shared" si="46"/>
        <v>0.061875</v>
      </c>
      <c r="AV76" s="37">
        <f t="shared" si="39"/>
        <v>-0.0716981132075472</v>
      </c>
      <c r="AW76" s="37">
        <f t="shared" si="39"/>
        <v>-0.0639658848614074</v>
      </c>
      <c r="AX76" s="37"/>
      <c r="AY76" s="37">
        <f t="shared" si="47"/>
        <v>-0.0341463414634146</v>
      </c>
      <c r="BA76" s="25">
        <f t="shared" si="40"/>
        <v>43836</v>
      </c>
      <c r="BB76" s="28">
        <f t="shared" si="40"/>
        <v>2.679</v>
      </c>
      <c r="BC76" s="28">
        <f t="shared" si="10"/>
        <v>2.93</v>
      </c>
      <c r="BD76" s="28">
        <f t="shared" si="21"/>
        <v>4.86</v>
      </c>
      <c r="BE76" s="28">
        <f t="shared" si="11"/>
        <v>5.27</v>
      </c>
      <c r="BF76" s="28"/>
      <c r="BG76" s="28"/>
      <c r="BH76" s="28"/>
      <c r="BI76" s="28"/>
      <c r="CC76" s="25">
        <f t="shared" si="44"/>
        <v>43815</v>
      </c>
      <c r="CD76" s="29">
        <f t="shared" si="44"/>
        <v>22.619</v>
      </c>
      <c r="CE76" s="29">
        <f t="shared" si="23"/>
        <v>17.82</v>
      </c>
      <c r="DP76" s="35">
        <v>43584</v>
      </c>
      <c r="DQ76" s="26">
        <v>3.05</v>
      </c>
      <c r="DR76" s="26">
        <v>2.9</v>
      </c>
      <c r="DS76" s="26">
        <v>2.975</v>
      </c>
      <c r="DU76" s="35">
        <v>43584</v>
      </c>
      <c r="DV76" s="26">
        <v>6.2</v>
      </c>
      <c r="DW76" s="26">
        <v>6.05</v>
      </c>
      <c r="DX76" s="26">
        <v>6.125</v>
      </c>
      <c r="DZ76" s="35">
        <v>43584</v>
      </c>
      <c r="EA76" s="26">
        <v>12.2</v>
      </c>
      <c r="EB76" s="26">
        <v>12.1</v>
      </c>
      <c r="EC76" s="26">
        <v>12.15</v>
      </c>
    </row>
    <row r="77" ht="16.8" spans="3:133">
      <c r="C77" s="5" t="str" cm="1">
        <f t="array" ref="C77">_xlfn.IFS(MONTH(D77)&lt;4,1,MONTH(D77)&lt;7,2,MONTH(D77)&lt;10,3,MONTH(D77)&gt;9,4)&amp;"Q"&amp;RIGHT(YEAR(D77),2)</f>
        <v>1Q20</v>
      </c>
      <c r="D77" s="2">
        <f t="shared" si="14"/>
        <v>43861</v>
      </c>
      <c r="E77" s="25">
        <v>43843</v>
      </c>
      <c r="F77" s="26">
        <v>2.821</v>
      </c>
      <c r="G77" s="26">
        <v>5.173</v>
      </c>
      <c r="H77" s="27"/>
      <c r="I77" s="28">
        <f t="shared" si="15"/>
        <v>0.08815625</v>
      </c>
      <c r="J77" s="28">
        <f t="shared" si="7"/>
        <v>0.080828125</v>
      </c>
      <c r="K77" s="28">
        <f t="shared" si="8"/>
        <v>0</v>
      </c>
      <c r="M77" s="36">
        <f t="shared" si="24"/>
        <v>0.0530048525569244</v>
      </c>
      <c r="N77" s="36">
        <f t="shared" si="28"/>
        <v>0.152840212505108</v>
      </c>
      <c r="O77" s="36">
        <f t="shared" si="29"/>
        <v>0.176887776387151</v>
      </c>
      <c r="P77" s="36">
        <f t="shared" si="30"/>
        <v>0.06440329218107</v>
      </c>
      <c r="Q77" s="36">
        <f t="shared" si="31"/>
        <v>0.127506538796861</v>
      </c>
      <c r="R77" s="36">
        <f t="shared" si="32"/>
        <v>0.142446996466431</v>
      </c>
      <c r="S77" s="36"/>
      <c r="T77" s="36"/>
      <c r="U77" s="36"/>
      <c r="W77" s="5" t="str" cm="1">
        <f t="array" ref="W77">_xlfn.IFS(MONTH(X77)&lt;4,1,MONTH(X77)&lt;7,2,MONTH(X77)&lt;10,3,MONTH(X77)&gt;9,4)&amp;"Q"&amp;RIGHT(YEAR(X77),2)</f>
        <v>4Q19</v>
      </c>
      <c r="X77" s="2">
        <f t="shared" si="16"/>
        <v>43830</v>
      </c>
      <c r="Y77" s="25">
        <v>43822</v>
      </c>
      <c r="Z77" s="29">
        <v>22.643</v>
      </c>
      <c r="AD77" s="36">
        <f t="shared" si="25"/>
        <v>0.00106105486537866</v>
      </c>
      <c r="AE77" s="36">
        <f t="shared" si="33"/>
        <v>0.00106105486537866</v>
      </c>
      <c r="AF77" s="36">
        <f t="shared" si="34"/>
        <v>0.00106105486537866</v>
      </c>
      <c r="AJ77" s="5" t="str" cm="1">
        <f t="array" ref="AJ77">_xlfn.IFS(MONTH(AK77)&lt;4,1,MONTH(AK77)&lt;7,2,MONTH(AK77)&lt;10,3,MONTH(AK77)&gt;9,4)&amp;"Q"&amp;RIGHT(YEAR(AK77),2)</f>
        <v>4Q21</v>
      </c>
      <c r="AK77" s="2">
        <f t="shared" si="17"/>
        <v>44530</v>
      </c>
      <c r="AL77" s="50">
        <f t="shared" si="35"/>
        <v>44530</v>
      </c>
      <c r="AM77" s="55">
        <v>2.45</v>
      </c>
      <c r="AN77" s="55">
        <v>4.27</v>
      </c>
      <c r="AO77" s="55"/>
      <c r="AP77" s="55">
        <v>7.83</v>
      </c>
      <c r="AQ77" s="36"/>
      <c r="AR77" s="53">
        <f t="shared" si="9"/>
        <v>0.0765625</v>
      </c>
      <c r="AS77" s="53">
        <f t="shared" si="38"/>
        <v>0.06671875</v>
      </c>
      <c r="AT77" s="53"/>
      <c r="AU77" s="53">
        <f t="shared" si="46"/>
        <v>0.061171875</v>
      </c>
      <c r="AV77" s="37">
        <f t="shared" si="39"/>
        <v>-0.00406504065040647</v>
      </c>
      <c r="AW77" s="37">
        <f t="shared" si="39"/>
        <v>-0.0273348519362187</v>
      </c>
      <c r="AX77" s="37"/>
      <c r="AY77" s="37">
        <f t="shared" si="47"/>
        <v>-0.0113636363636364</v>
      </c>
      <c r="BA77" s="25">
        <f t="shared" si="40"/>
        <v>43843</v>
      </c>
      <c r="BB77" s="28">
        <f t="shared" si="40"/>
        <v>2.821</v>
      </c>
      <c r="BC77" s="28">
        <f t="shared" si="10"/>
        <v>2.93</v>
      </c>
      <c r="BD77" s="28">
        <f t="shared" si="21"/>
        <v>5.173</v>
      </c>
      <c r="BE77" s="28">
        <f t="shared" si="11"/>
        <v>5.27</v>
      </c>
      <c r="BF77" s="28"/>
      <c r="BG77" s="28"/>
      <c r="BH77" s="28"/>
      <c r="BI77" s="28"/>
      <c r="CC77" s="25">
        <f t="shared" si="44"/>
        <v>43822</v>
      </c>
      <c r="CD77" s="29">
        <f t="shared" si="44"/>
        <v>22.643</v>
      </c>
      <c r="CE77" s="29">
        <f t="shared" si="23"/>
        <v>17.82</v>
      </c>
      <c r="DP77" s="35">
        <v>43585</v>
      </c>
      <c r="DQ77" s="26">
        <v>3.05</v>
      </c>
      <c r="DR77" s="26">
        <v>2.9</v>
      </c>
      <c r="DS77" s="26">
        <v>2.975</v>
      </c>
      <c r="DU77" s="35">
        <v>43585</v>
      </c>
      <c r="DV77" s="26">
        <v>6.2</v>
      </c>
      <c r="DW77" s="26">
        <v>6.05</v>
      </c>
      <c r="DX77" s="26">
        <v>6.125</v>
      </c>
      <c r="DZ77" s="35">
        <v>43585</v>
      </c>
      <c r="EA77" s="26">
        <v>12.2</v>
      </c>
      <c r="EB77" s="26">
        <v>12.1</v>
      </c>
      <c r="EC77" s="26">
        <v>12.15</v>
      </c>
    </row>
    <row r="78" ht="16.8" spans="3:133">
      <c r="C78" s="5" t="str" cm="1">
        <f t="array" ref="C78">_xlfn.IFS(MONTH(D78)&lt;4,1,MONTH(D78)&lt;7,2,MONTH(D78)&lt;10,3,MONTH(D78)&gt;9,4)&amp;"Q"&amp;RIGHT(YEAR(D78),2)</f>
        <v>1Q20</v>
      </c>
      <c r="D78" s="2">
        <f t="shared" si="14"/>
        <v>43861</v>
      </c>
      <c r="E78" s="25">
        <v>43850</v>
      </c>
      <c r="F78" s="26">
        <v>3.008</v>
      </c>
      <c r="G78" s="26">
        <v>5.523</v>
      </c>
      <c r="H78" s="27"/>
      <c r="I78" s="28">
        <f t="shared" si="15"/>
        <v>0.094</v>
      </c>
      <c r="J78" s="28">
        <f t="shared" si="7"/>
        <v>0.086296875</v>
      </c>
      <c r="K78" s="28">
        <f t="shared" si="8"/>
        <v>0</v>
      </c>
      <c r="M78" s="36">
        <f t="shared" si="24"/>
        <v>0.0662885501595178</v>
      </c>
      <c r="N78" s="36">
        <f t="shared" si="28"/>
        <v>0.12280701754386</v>
      </c>
      <c r="O78" s="36">
        <f t="shared" si="29"/>
        <v>0.229260318757663</v>
      </c>
      <c r="P78" s="36">
        <f t="shared" si="30"/>
        <v>0.0676589986468199</v>
      </c>
      <c r="Q78" s="36">
        <f t="shared" si="31"/>
        <v>0.13641975308642</v>
      </c>
      <c r="R78" s="36">
        <f t="shared" si="32"/>
        <v>0.203792502179599</v>
      </c>
      <c r="S78" s="36"/>
      <c r="T78" s="36"/>
      <c r="U78" s="36"/>
      <c r="W78" s="5" t="str" cm="1">
        <f t="array" ref="W78">_xlfn.IFS(MONTH(X78)&lt;4,1,MONTH(X78)&lt;7,2,MONTH(X78)&lt;10,3,MONTH(X78)&gt;9,4)&amp;"Q"&amp;RIGHT(YEAR(X78),2)</f>
        <v>4Q19</v>
      </c>
      <c r="X78" s="2">
        <f t="shared" si="16"/>
        <v>43830</v>
      </c>
      <c r="Y78" s="25">
        <v>43829</v>
      </c>
      <c r="Z78" s="29">
        <v>22.643</v>
      </c>
      <c r="AD78" s="36">
        <f t="shared" si="25"/>
        <v>0</v>
      </c>
      <c r="AE78" s="36">
        <f t="shared" si="33"/>
        <v>0.00106105486537866</v>
      </c>
      <c r="AF78" s="36">
        <f t="shared" si="34"/>
        <v>0.00106105486537866</v>
      </c>
      <c r="AJ78" s="5" t="str" cm="1">
        <f t="array" ref="AJ78">_xlfn.IFS(MONTH(AK78)&lt;4,1,MONTH(AK78)&lt;7,2,MONTH(AK78)&lt;10,3,MONTH(AK78)&gt;9,4)&amp;"Q"&amp;RIGHT(YEAR(AK78),2)</f>
        <v>4Q21</v>
      </c>
      <c r="AK78" s="2">
        <f t="shared" si="17"/>
        <v>44561</v>
      </c>
      <c r="AL78" s="50">
        <f t="shared" si="35"/>
        <v>44561</v>
      </c>
      <c r="AM78" s="55">
        <v>2.42</v>
      </c>
      <c r="AN78" s="55">
        <v>4.11</v>
      </c>
      <c r="AO78" s="55"/>
      <c r="AP78" s="55">
        <v>7.83</v>
      </c>
      <c r="AQ78" s="36"/>
      <c r="AR78" s="53">
        <f t="shared" si="9"/>
        <v>0.075625</v>
      </c>
      <c r="AS78" s="53">
        <f t="shared" si="38"/>
        <v>0.06421875</v>
      </c>
      <c r="AT78" s="53"/>
      <c r="AU78" s="53">
        <f t="shared" si="46"/>
        <v>0.061171875</v>
      </c>
      <c r="AV78" s="37">
        <f t="shared" si="39"/>
        <v>-0.0122448979591838</v>
      </c>
      <c r="AW78" s="37">
        <f t="shared" si="39"/>
        <v>-0.037470725995316</v>
      </c>
      <c r="AX78" s="37"/>
      <c r="AY78" s="37">
        <f t="shared" si="47"/>
        <v>0</v>
      </c>
      <c r="BA78" s="25">
        <f t="shared" si="40"/>
        <v>43850</v>
      </c>
      <c r="BB78" s="28">
        <f t="shared" si="40"/>
        <v>3.008</v>
      </c>
      <c r="BC78" s="28">
        <f t="shared" si="10"/>
        <v>2.93</v>
      </c>
      <c r="BD78" s="28">
        <f t="shared" si="21"/>
        <v>5.523</v>
      </c>
      <c r="BE78" s="28">
        <f t="shared" si="11"/>
        <v>5.27</v>
      </c>
      <c r="BF78" s="28"/>
      <c r="BG78" s="28"/>
      <c r="BH78" s="28"/>
      <c r="BI78" s="28"/>
      <c r="CC78" s="25">
        <f t="shared" si="44"/>
        <v>43829</v>
      </c>
      <c r="CD78" s="29">
        <f t="shared" si="44"/>
        <v>22.643</v>
      </c>
      <c r="CE78" s="29">
        <f t="shared" si="23"/>
        <v>17.82</v>
      </c>
      <c r="DP78" s="35">
        <v>43587</v>
      </c>
      <c r="DQ78" s="26">
        <v>3.05</v>
      </c>
      <c r="DR78" s="26">
        <v>2.9</v>
      </c>
      <c r="DS78" s="26">
        <v>2.975</v>
      </c>
      <c r="DU78" s="35">
        <v>43587</v>
      </c>
      <c r="DV78" s="26">
        <v>6.2</v>
      </c>
      <c r="DW78" s="26">
        <v>6.05</v>
      </c>
      <c r="DX78" s="26">
        <v>6.125</v>
      </c>
      <c r="DZ78" s="35">
        <v>43587</v>
      </c>
      <c r="EA78" s="26">
        <v>12.2</v>
      </c>
      <c r="EB78" s="26">
        <v>12.1</v>
      </c>
      <c r="EC78" s="26">
        <v>12.15</v>
      </c>
    </row>
    <row r="79" ht="16.8" spans="3:133">
      <c r="C79" s="5" t="str" cm="1">
        <f t="array" ref="C79">_xlfn.IFS(MONTH(D79)&lt;4,1,MONTH(D79)&lt;7,2,MONTH(D79)&lt;10,3,MONTH(D79)&gt;9,4)&amp;"Q"&amp;RIGHT(YEAR(D79),2)</f>
        <v>1Q20</v>
      </c>
      <c r="D79" s="2">
        <f t="shared" si="14"/>
        <v>43890</v>
      </c>
      <c r="E79" s="25">
        <v>43864</v>
      </c>
      <c r="F79" s="26">
        <v>3.008</v>
      </c>
      <c r="G79" s="26">
        <v>5.523</v>
      </c>
      <c r="H79" s="27"/>
      <c r="I79" s="28">
        <f t="shared" si="15"/>
        <v>0.094</v>
      </c>
      <c r="J79" s="28">
        <f t="shared" si="7"/>
        <v>0.086296875</v>
      </c>
      <c r="K79" s="28">
        <f t="shared" si="8"/>
        <v>0</v>
      </c>
      <c r="M79" s="36">
        <f t="shared" si="24"/>
        <v>0</v>
      </c>
      <c r="N79" s="36">
        <f t="shared" si="28"/>
        <v>0.0662885501595178</v>
      </c>
      <c r="O79" s="36">
        <f t="shared" si="29"/>
        <v>0.12280701754386</v>
      </c>
      <c r="P79" s="36">
        <f t="shared" si="30"/>
        <v>0</v>
      </c>
      <c r="Q79" s="36">
        <f t="shared" si="31"/>
        <v>0.0676589986468199</v>
      </c>
      <c r="R79" s="36">
        <f t="shared" si="32"/>
        <v>0.13641975308642</v>
      </c>
      <c r="S79" s="36"/>
      <c r="T79" s="36"/>
      <c r="U79" s="36"/>
      <c r="W79" s="5" t="str" cm="1">
        <f t="array" ref="W79">_xlfn.IFS(MONTH(X79)&lt;4,1,MONTH(X79)&lt;7,2,MONTH(X79)&lt;10,3,MONTH(X79)&gt;9,4)&amp;"Q"&amp;RIGHT(YEAR(X79),2)</f>
        <v>1Q20</v>
      </c>
      <c r="X79" s="2">
        <f t="shared" si="16"/>
        <v>43861</v>
      </c>
      <c r="Y79" s="25">
        <v>43836</v>
      </c>
      <c r="Z79" s="29">
        <v>22.69</v>
      </c>
      <c r="AD79" s="36">
        <f t="shared" si="25"/>
        <v>0.00207569668330176</v>
      </c>
      <c r="AE79" s="36">
        <f t="shared" si="33"/>
        <v>0.00207569668330176</v>
      </c>
      <c r="AF79" s="36">
        <f t="shared" si="34"/>
        <v>0.00313895397674524</v>
      </c>
      <c r="AJ79" s="5" t="str" cm="1">
        <f t="array" ref="AJ79">_xlfn.IFS(MONTH(AK79)&lt;4,1,MONTH(AK79)&lt;7,2,MONTH(AK79)&lt;10,3,MONTH(AK79)&gt;9,4)&amp;"Q"&amp;RIGHT(YEAR(AK79),2)</f>
        <v>1Q22</v>
      </c>
      <c r="AK79" s="2">
        <f t="shared" si="17"/>
        <v>44592</v>
      </c>
      <c r="AL79" s="50">
        <f t="shared" si="35"/>
        <v>44592</v>
      </c>
      <c r="AM79" s="55">
        <v>2.42</v>
      </c>
      <c r="AN79" s="55">
        <v>4.11</v>
      </c>
      <c r="AO79" s="55"/>
      <c r="AP79" s="55">
        <v>7.83</v>
      </c>
      <c r="AQ79" s="36"/>
      <c r="AR79" s="53">
        <f t="shared" si="9"/>
        <v>0.075625</v>
      </c>
      <c r="AS79" s="53">
        <f t="shared" si="38"/>
        <v>0.06421875</v>
      </c>
      <c r="AT79" s="53"/>
      <c r="AU79" s="53">
        <f t="shared" si="46"/>
        <v>0.061171875</v>
      </c>
      <c r="AV79" s="37">
        <f t="shared" si="39"/>
        <v>0</v>
      </c>
      <c r="AW79" s="37">
        <f t="shared" si="39"/>
        <v>0</v>
      </c>
      <c r="AX79" s="37"/>
      <c r="AY79" s="37">
        <f t="shared" si="47"/>
        <v>0</v>
      </c>
      <c r="BA79" s="25">
        <f t="shared" si="40"/>
        <v>43864</v>
      </c>
      <c r="BB79" s="28">
        <f t="shared" si="40"/>
        <v>3.008</v>
      </c>
      <c r="BC79" s="28">
        <f t="shared" si="10"/>
        <v>3.07</v>
      </c>
      <c r="BD79" s="28">
        <f t="shared" si="21"/>
        <v>5.523</v>
      </c>
      <c r="BE79" s="28">
        <f t="shared" si="11"/>
        <v>5.43</v>
      </c>
      <c r="BF79" s="28"/>
      <c r="BG79" s="28"/>
      <c r="BH79" s="28"/>
      <c r="BI79" s="28"/>
      <c r="CC79" s="25">
        <f t="shared" si="44"/>
        <v>43836</v>
      </c>
      <c r="CD79" s="29">
        <f t="shared" si="44"/>
        <v>22.69</v>
      </c>
      <c r="CE79" s="29">
        <f t="shared" si="23"/>
        <v>18.38</v>
      </c>
      <c r="DP79" s="35">
        <v>43588</v>
      </c>
      <c r="DQ79" s="26">
        <v>3.05</v>
      </c>
      <c r="DR79" s="26">
        <v>2.9</v>
      </c>
      <c r="DS79" s="26">
        <v>2.975</v>
      </c>
      <c r="DU79" s="35">
        <v>43588</v>
      </c>
      <c r="DV79" s="26">
        <v>6.2</v>
      </c>
      <c r="DW79" s="26">
        <v>6.05</v>
      </c>
      <c r="DX79" s="26">
        <v>6.125</v>
      </c>
      <c r="DZ79" s="35">
        <v>43588</v>
      </c>
      <c r="EA79" s="26">
        <v>12.4</v>
      </c>
      <c r="EB79" s="26">
        <v>12.2</v>
      </c>
      <c r="EC79" s="26">
        <v>12.3</v>
      </c>
    </row>
    <row r="80" ht="16.8" spans="3:133">
      <c r="C80" s="5" t="str" cm="1">
        <f t="array" ref="C80">_xlfn.IFS(MONTH(D80)&lt;4,1,MONTH(D80)&lt;7,2,MONTH(D80)&lt;10,3,MONTH(D80)&gt;9,4)&amp;"Q"&amp;RIGHT(YEAR(D80),2)</f>
        <v>1Q20</v>
      </c>
      <c r="D80" s="2">
        <f t="shared" si="14"/>
        <v>43890</v>
      </c>
      <c r="E80" s="25">
        <v>43871</v>
      </c>
      <c r="F80" s="26">
        <v>3.008</v>
      </c>
      <c r="G80" s="26">
        <v>5.523</v>
      </c>
      <c r="H80" s="27"/>
      <c r="I80" s="28">
        <f t="shared" si="15"/>
        <v>0.094</v>
      </c>
      <c r="J80" s="28">
        <f t="shared" si="7"/>
        <v>0.086296875</v>
      </c>
      <c r="K80" s="28">
        <f t="shared" si="8"/>
        <v>0</v>
      </c>
      <c r="M80" s="36">
        <f t="shared" si="24"/>
        <v>0</v>
      </c>
      <c r="N80" s="36">
        <f t="shared" si="28"/>
        <v>0</v>
      </c>
      <c r="O80" s="36">
        <f t="shared" si="29"/>
        <v>0.0662885501595178</v>
      </c>
      <c r="P80" s="36">
        <f t="shared" si="30"/>
        <v>0</v>
      </c>
      <c r="Q80" s="36">
        <f t="shared" si="31"/>
        <v>0</v>
      </c>
      <c r="R80" s="36">
        <f t="shared" si="32"/>
        <v>0.0676589986468199</v>
      </c>
      <c r="S80" s="36"/>
      <c r="T80" s="36"/>
      <c r="U80" s="36"/>
      <c r="W80" s="5" t="str" cm="1">
        <f t="array" ref="W80">_xlfn.IFS(MONTH(X80)&lt;4,1,MONTH(X80)&lt;7,2,MONTH(X80)&lt;10,3,MONTH(X80)&gt;9,4)&amp;"Q"&amp;RIGHT(YEAR(X80),2)</f>
        <v>1Q20</v>
      </c>
      <c r="X80" s="2">
        <f t="shared" si="16"/>
        <v>43861</v>
      </c>
      <c r="Y80" s="25">
        <v>43843</v>
      </c>
      <c r="Z80" s="29">
        <v>22.69</v>
      </c>
      <c r="AD80" s="36">
        <f t="shared" si="25"/>
        <v>0</v>
      </c>
      <c r="AE80" s="36">
        <f t="shared" si="33"/>
        <v>0.00207569668330176</v>
      </c>
      <c r="AF80" s="36">
        <f t="shared" si="34"/>
        <v>0.00207569668330176</v>
      </c>
      <c r="AJ80" s="5" t="str" cm="1">
        <f t="array" ref="AJ80">_xlfn.IFS(MONTH(AK80)&lt;4,1,MONTH(AK80)&lt;7,2,MONTH(AK80)&lt;10,3,MONTH(AK80)&gt;9,4)&amp;"Q"&amp;RIGHT(YEAR(AK80),2)</f>
        <v>1Q22</v>
      </c>
      <c r="AK80" s="2">
        <f t="shared" si="17"/>
        <v>44620</v>
      </c>
      <c r="AL80" s="50">
        <f t="shared" si="35"/>
        <v>44620</v>
      </c>
      <c r="AM80" s="55">
        <v>2.62</v>
      </c>
      <c r="AN80" s="55">
        <v>4.5</v>
      </c>
      <c r="AO80" s="55">
        <v>8.93</v>
      </c>
      <c r="AP80" s="55">
        <v>8.5</v>
      </c>
      <c r="AQ80" s="36"/>
      <c r="AR80" s="53">
        <f t="shared" si="9"/>
        <v>0.081875</v>
      </c>
      <c r="AS80" s="53">
        <f t="shared" si="38"/>
        <v>0.0703125</v>
      </c>
      <c r="AT80" s="53">
        <f t="shared" ref="AT80:AU96" si="48">AO80/1024*8</f>
        <v>0.069765625</v>
      </c>
      <c r="AU80" s="53">
        <f t="shared" si="48"/>
        <v>0.06640625</v>
      </c>
      <c r="AV80" s="37">
        <f t="shared" si="39"/>
        <v>0.0826446280991737</v>
      </c>
      <c r="AW80" s="37">
        <f t="shared" si="39"/>
        <v>0.0948905109489051</v>
      </c>
      <c r="AX80" s="37"/>
      <c r="AY80" s="37">
        <f t="shared" si="47"/>
        <v>0.0855683269476373</v>
      </c>
      <c r="BA80" s="25">
        <f t="shared" si="40"/>
        <v>43871</v>
      </c>
      <c r="BB80" s="28">
        <f t="shared" si="40"/>
        <v>3.008</v>
      </c>
      <c r="BC80" s="28">
        <f t="shared" si="10"/>
        <v>3.07</v>
      </c>
      <c r="BD80" s="28">
        <f t="shared" si="21"/>
        <v>5.523</v>
      </c>
      <c r="BE80" s="28">
        <f t="shared" si="11"/>
        <v>5.43</v>
      </c>
      <c r="BF80" s="28"/>
      <c r="BG80" s="28"/>
      <c r="BH80" s="28"/>
      <c r="BI80" s="28"/>
      <c r="CC80" s="25">
        <f t="shared" si="44"/>
        <v>43843</v>
      </c>
      <c r="CD80" s="29">
        <f t="shared" si="44"/>
        <v>22.69</v>
      </c>
      <c r="CE80" s="29">
        <f t="shared" si="23"/>
        <v>18.38</v>
      </c>
      <c r="DP80" s="35">
        <v>43591</v>
      </c>
      <c r="DQ80" s="26">
        <v>3.05</v>
      </c>
      <c r="DR80" s="26">
        <v>2.9</v>
      </c>
      <c r="DS80" s="26">
        <v>2.975</v>
      </c>
      <c r="DU80" s="35">
        <v>43591</v>
      </c>
      <c r="DV80" s="26">
        <v>6.2</v>
      </c>
      <c r="DW80" s="26">
        <v>6.05</v>
      </c>
      <c r="DX80" s="26">
        <v>6.125</v>
      </c>
      <c r="DZ80" s="35">
        <v>43591</v>
      </c>
      <c r="EA80" s="26">
        <v>12.4</v>
      </c>
      <c r="EB80" s="26">
        <v>12.2</v>
      </c>
      <c r="EC80" s="26">
        <v>12.3</v>
      </c>
    </row>
    <row r="81" ht="16.8" spans="3:133">
      <c r="C81" s="5" t="str" cm="1">
        <f t="array" ref="C81">_xlfn.IFS(MONTH(D81)&lt;4,1,MONTH(D81)&lt;7,2,MONTH(D81)&lt;10,3,MONTH(D81)&gt;9,4)&amp;"Q"&amp;RIGHT(YEAR(D81),2)</f>
        <v>1Q20</v>
      </c>
      <c r="D81" s="2">
        <f t="shared" si="14"/>
        <v>43890</v>
      </c>
      <c r="E81" s="25">
        <v>43878</v>
      </c>
      <c r="F81" s="26">
        <v>3.029</v>
      </c>
      <c r="G81" s="26">
        <v>5.568</v>
      </c>
      <c r="H81" s="27"/>
      <c r="I81" s="28">
        <f t="shared" si="15"/>
        <v>0.09465625</v>
      </c>
      <c r="J81" s="28">
        <f t="shared" si="7"/>
        <v>0.087</v>
      </c>
      <c r="K81" s="28">
        <f t="shared" si="8"/>
        <v>0</v>
      </c>
      <c r="M81" s="36">
        <f t="shared" si="24"/>
        <v>0.00698138297872331</v>
      </c>
      <c r="N81" s="36">
        <f t="shared" si="28"/>
        <v>0.00698138297872331</v>
      </c>
      <c r="O81" s="36">
        <f t="shared" si="29"/>
        <v>0.00698138297872331</v>
      </c>
      <c r="P81" s="36">
        <f t="shared" si="30"/>
        <v>0.0081477457903314</v>
      </c>
      <c r="Q81" s="36">
        <f t="shared" si="31"/>
        <v>0.0081477457903314</v>
      </c>
      <c r="R81" s="36">
        <f t="shared" si="32"/>
        <v>0.0081477457903314</v>
      </c>
      <c r="S81" s="36"/>
      <c r="T81" s="36"/>
      <c r="U81" s="36"/>
      <c r="W81" s="5" t="str" cm="1">
        <f t="array" ref="W81">_xlfn.IFS(MONTH(X81)&lt;4,1,MONTH(X81)&lt;7,2,MONTH(X81)&lt;10,3,MONTH(X81)&gt;9,4)&amp;"Q"&amp;RIGHT(YEAR(X81),2)</f>
        <v>1Q20</v>
      </c>
      <c r="X81" s="2">
        <f t="shared" si="16"/>
        <v>43861</v>
      </c>
      <c r="Y81" s="25">
        <v>43850</v>
      </c>
      <c r="Z81" s="29">
        <v>22.952</v>
      </c>
      <c r="AD81" s="36">
        <f t="shared" si="25"/>
        <v>0.0115469369766417</v>
      </c>
      <c r="AE81" s="36">
        <f t="shared" si="33"/>
        <v>0.0115469369766417</v>
      </c>
      <c r="AF81" s="36">
        <f t="shared" si="34"/>
        <v>0.0136466015987282</v>
      </c>
      <c r="AJ81" s="5" t="str" cm="1">
        <f t="array" ref="AJ81">_xlfn.IFS(MONTH(AK81)&lt;4,1,MONTH(AK81)&lt;7,2,MONTH(AK81)&lt;10,3,MONTH(AK81)&gt;9,4)&amp;"Q"&amp;RIGHT(YEAR(AK81),2)</f>
        <v>1Q22</v>
      </c>
      <c r="AK81" s="2">
        <f t="shared" si="17"/>
        <v>44651</v>
      </c>
      <c r="AL81" s="50">
        <f t="shared" si="35"/>
        <v>44651</v>
      </c>
      <c r="AM81" s="55">
        <v>2.68</v>
      </c>
      <c r="AN81" s="55">
        <v>4.76</v>
      </c>
      <c r="AO81" s="56">
        <v>9.36</v>
      </c>
      <c r="AP81" s="56">
        <v>9</v>
      </c>
      <c r="AQ81" s="36"/>
      <c r="AR81" s="53">
        <f t="shared" si="9"/>
        <v>0.08375</v>
      </c>
      <c r="AS81" s="53">
        <f t="shared" si="38"/>
        <v>0.074375</v>
      </c>
      <c r="AT81" s="53">
        <f t="shared" si="48"/>
        <v>0.073125</v>
      </c>
      <c r="AU81" s="53">
        <f t="shared" si="48"/>
        <v>0.0703125</v>
      </c>
      <c r="AV81" s="37">
        <f t="shared" si="39"/>
        <v>0.0229007633587786</v>
      </c>
      <c r="AW81" s="37">
        <f t="shared" si="39"/>
        <v>0.0577777777777777</v>
      </c>
      <c r="AX81" s="37">
        <f>AT81/AT80-1</f>
        <v>0.0481522956326987</v>
      </c>
      <c r="AY81" s="37">
        <f t="shared" si="47"/>
        <v>0.0588235294117647</v>
      </c>
      <c r="BA81" s="25">
        <f t="shared" si="40"/>
        <v>43878</v>
      </c>
      <c r="BB81" s="28">
        <f t="shared" si="40"/>
        <v>3.029</v>
      </c>
      <c r="BC81" s="28">
        <f t="shared" si="10"/>
        <v>3.07</v>
      </c>
      <c r="BD81" s="28">
        <f t="shared" si="21"/>
        <v>5.568</v>
      </c>
      <c r="BE81" s="28">
        <f t="shared" si="11"/>
        <v>5.43</v>
      </c>
      <c r="BF81" s="28"/>
      <c r="BG81" s="28"/>
      <c r="BH81" s="28"/>
      <c r="BI81" s="28"/>
      <c r="CC81" s="25">
        <f t="shared" si="44"/>
        <v>43850</v>
      </c>
      <c r="CD81" s="29">
        <f t="shared" si="44"/>
        <v>22.952</v>
      </c>
      <c r="CE81" s="29">
        <f t="shared" si="23"/>
        <v>18.38</v>
      </c>
      <c r="DP81" s="35">
        <v>43592</v>
      </c>
      <c r="DQ81" s="26">
        <v>3.05</v>
      </c>
      <c r="DR81" s="26">
        <v>2.95</v>
      </c>
      <c r="DS81" s="26">
        <v>2.98</v>
      </c>
      <c r="DU81" s="35">
        <v>43592</v>
      </c>
      <c r="DV81" s="26">
        <v>6.2</v>
      </c>
      <c r="DW81" s="26">
        <v>6.1</v>
      </c>
      <c r="DX81" s="26">
        <v>6.13</v>
      </c>
      <c r="DZ81" s="35">
        <v>43592</v>
      </c>
      <c r="EA81" s="26">
        <v>12.4</v>
      </c>
      <c r="EB81" s="26">
        <v>12.3</v>
      </c>
      <c r="EC81" s="26">
        <v>12.35</v>
      </c>
    </row>
    <row r="82" ht="16.8" spans="3:133">
      <c r="C82" s="5" t="str" cm="1">
        <f t="array" ref="C82">_xlfn.IFS(MONTH(D82)&lt;4,1,MONTH(D82)&lt;7,2,MONTH(D82)&lt;10,3,MONTH(D82)&gt;9,4)&amp;"Q"&amp;RIGHT(YEAR(D82),2)</f>
        <v>1Q20</v>
      </c>
      <c r="D82" s="2">
        <f t="shared" si="14"/>
        <v>43890</v>
      </c>
      <c r="E82" s="25">
        <v>43885</v>
      </c>
      <c r="F82" s="26">
        <v>3.029</v>
      </c>
      <c r="G82" s="26">
        <v>5.568</v>
      </c>
      <c r="H82" s="27"/>
      <c r="I82" s="28">
        <f t="shared" si="15"/>
        <v>0.09465625</v>
      </c>
      <c r="J82" s="28">
        <f t="shared" si="7"/>
        <v>0.087</v>
      </c>
      <c r="K82" s="28">
        <f t="shared" si="8"/>
        <v>0</v>
      </c>
      <c r="M82" s="36">
        <f t="shared" si="24"/>
        <v>0</v>
      </c>
      <c r="N82" s="36">
        <f t="shared" si="28"/>
        <v>0.00698138297872331</v>
      </c>
      <c r="O82" s="36">
        <f t="shared" si="29"/>
        <v>0.00698138297872331</v>
      </c>
      <c r="P82" s="36">
        <f t="shared" si="30"/>
        <v>0</v>
      </c>
      <c r="Q82" s="36">
        <f t="shared" si="31"/>
        <v>0.0081477457903314</v>
      </c>
      <c r="R82" s="36">
        <f t="shared" si="32"/>
        <v>0.0081477457903314</v>
      </c>
      <c r="S82" s="36"/>
      <c r="T82" s="36"/>
      <c r="U82" s="36"/>
      <c r="W82" s="5" t="str" cm="1">
        <f t="array" ref="W82">_xlfn.IFS(MONTH(X82)&lt;4,1,MONTH(X82)&lt;7,2,MONTH(X82)&lt;10,3,MONTH(X82)&gt;9,4)&amp;"Q"&amp;RIGHT(YEAR(X82),2)</f>
        <v>1Q20</v>
      </c>
      <c r="X82" s="2">
        <f t="shared" si="16"/>
        <v>43890</v>
      </c>
      <c r="Y82" s="25">
        <v>43864</v>
      </c>
      <c r="Z82" s="29">
        <v>22.952</v>
      </c>
      <c r="AD82" s="36">
        <f t="shared" si="25"/>
        <v>0</v>
      </c>
      <c r="AE82" s="36">
        <f t="shared" si="33"/>
        <v>0.0115469369766417</v>
      </c>
      <c r="AF82" s="36">
        <f t="shared" si="34"/>
        <v>0.0115469369766417</v>
      </c>
      <c r="AJ82" s="5" t="str" cm="1">
        <f t="array" ref="AJ82">_xlfn.IFS(MONTH(AK82)&lt;4,1,MONTH(AK82)&lt;7,2,MONTH(AK82)&lt;10,3,MONTH(AK82)&gt;9,4)&amp;"Q"&amp;RIGHT(YEAR(AK82),2)</f>
        <v>2Q22</v>
      </c>
      <c r="AK82" s="2">
        <f t="shared" si="17"/>
        <v>44681</v>
      </c>
      <c r="AL82" s="50">
        <f t="shared" si="35"/>
        <v>44681</v>
      </c>
      <c r="AM82" s="56">
        <v>2.68</v>
      </c>
      <c r="AN82" s="56">
        <v>4.76</v>
      </c>
      <c r="AO82" s="56">
        <v>9.36</v>
      </c>
      <c r="AP82" s="56">
        <v>9</v>
      </c>
      <c r="AQ82" s="36"/>
      <c r="AR82" s="53">
        <f t="shared" si="9"/>
        <v>0.08375</v>
      </c>
      <c r="AS82" s="53">
        <f t="shared" si="38"/>
        <v>0.074375</v>
      </c>
      <c r="AT82" s="53">
        <f t="shared" si="48"/>
        <v>0.073125</v>
      </c>
      <c r="AU82" s="53">
        <f t="shared" si="48"/>
        <v>0.0703125</v>
      </c>
      <c r="AV82" s="37">
        <f t="shared" ref="AV82:AY97" si="49">AR82/AR81-1</f>
        <v>0</v>
      </c>
      <c r="AW82" s="37">
        <f t="shared" si="49"/>
        <v>0</v>
      </c>
      <c r="AX82" s="37">
        <f>AT82/AT81-1</f>
        <v>0</v>
      </c>
      <c r="AY82" s="37">
        <f t="shared" si="47"/>
        <v>0</v>
      </c>
      <c r="BA82" s="25">
        <f t="shared" si="40"/>
        <v>43885</v>
      </c>
      <c r="BB82" s="28">
        <f t="shared" si="40"/>
        <v>3.029</v>
      </c>
      <c r="BC82" s="28">
        <f t="shared" si="10"/>
        <v>3.07</v>
      </c>
      <c r="BD82" s="28">
        <f t="shared" si="21"/>
        <v>5.568</v>
      </c>
      <c r="BE82" s="28">
        <f t="shared" si="11"/>
        <v>5.43</v>
      </c>
      <c r="BF82" s="28"/>
      <c r="BG82" s="28"/>
      <c r="BH82" s="28"/>
      <c r="BI82" s="28"/>
      <c r="CC82" s="25">
        <f t="shared" si="44"/>
        <v>43864</v>
      </c>
      <c r="CD82" s="29">
        <f t="shared" si="44"/>
        <v>22.952</v>
      </c>
      <c r="CE82" s="29">
        <f t="shared" si="23"/>
        <v>18.38</v>
      </c>
      <c r="DP82" s="35">
        <v>43593</v>
      </c>
      <c r="DQ82" s="26">
        <v>3.05</v>
      </c>
      <c r="DR82" s="26">
        <v>2.95</v>
      </c>
      <c r="DS82" s="26">
        <v>2.975</v>
      </c>
      <c r="DU82" s="35">
        <v>43593</v>
      </c>
      <c r="DV82" s="26">
        <v>6.2</v>
      </c>
      <c r="DW82" s="26">
        <v>6.1</v>
      </c>
      <c r="DX82" s="26">
        <v>6.13</v>
      </c>
      <c r="DZ82" s="35">
        <v>43593</v>
      </c>
      <c r="EA82" s="26">
        <v>12.4</v>
      </c>
      <c r="EB82" s="26">
        <v>12.3</v>
      </c>
      <c r="EC82" s="26">
        <v>12.35</v>
      </c>
    </row>
    <row r="83" ht="16.8" spans="3:133">
      <c r="C83" s="5" t="str" cm="1">
        <f t="array" ref="C83">_xlfn.IFS(MONTH(D83)&lt;4,1,MONTH(D83)&lt;7,2,MONTH(D83)&lt;10,3,MONTH(D83)&gt;9,4)&amp;"Q"&amp;RIGHT(YEAR(D83),2)</f>
        <v>1Q20</v>
      </c>
      <c r="D83" s="2">
        <f t="shared" si="14"/>
        <v>43921</v>
      </c>
      <c r="E83" s="25">
        <v>43892</v>
      </c>
      <c r="F83" s="26">
        <v>3.079</v>
      </c>
      <c r="G83" s="26">
        <v>5.727</v>
      </c>
      <c r="H83" s="27"/>
      <c r="I83" s="28">
        <f t="shared" si="15"/>
        <v>0.09621875</v>
      </c>
      <c r="J83" s="28">
        <f t="shared" si="7"/>
        <v>0.089484375</v>
      </c>
      <c r="K83" s="28">
        <f t="shared" si="8"/>
        <v>0</v>
      </c>
      <c r="M83" s="36">
        <f t="shared" si="24"/>
        <v>0.0165070980521624</v>
      </c>
      <c r="N83" s="36">
        <f t="shared" si="28"/>
        <v>0.0165070980521624</v>
      </c>
      <c r="O83" s="36">
        <f t="shared" si="29"/>
        <v>0.0236037234042554</v>
      </c>
      <c r="P83" s="36">
        <f t="shared" si="30"/>
        <v>0.0285560344827587</v>
      </c>
      <c r="Q83" s="36">
        <f t="shared" si="31"/>
        <v>0.0285560344827587</v>
      </c>
      <c r="R83" s="36">
        <f t="shared" si="32"/>
        <v>0.0369364475828355</v>
      </c>
      <c r="S83" s="36"/>
      <c r="T83" s="36"/>
      <c r="U83" s="36"/>
      <c r="W83" s="5" t="str" cm="1">
        <f t="array" ref="W83">_xlfn.IFS(MONTH(X83)&lt;4,1,MONTH(X83)&lt;7,2,MONTH(X83)&lt;10,3,MONTH(X83)&gt;9,4)&amp;"Q"&amp;RIGHT(YEAR(X83),2)</f>
        <v>1Q20</v>
      </c>
      <c r="X83" s="2">
        <f t="shared" si="16"/>
        <v>43890</v>
      </c>
      <c r="Y83" s="25">
        <v>43871</v>
      </c>
      <c r="Z83" s="29">
        <v>22.69</v>
      </c>
      <c r="AD83" s="36">
        <f t="shared" si="25"/>
        <v>-0.0114151272220286</v>
      </c>
      <c r="AE83" s="36">
        <f t="shared" si="33"/>
        <v>-0.0114151272220286</v>
      </c>
      <c r="AF83" s="36">
        <f t="shared" si="34"/>
        <v>0</v>
      </c>
      <c r="AJ83" s="5" t="str" cm="1">
        <f t="array" ref="AJ83">_xlfn.IFS(MONTH(AK83)&lt;4,1,MONTH(AK83)&lt;7,2,MONTH(AK83)&lt;10,3,MONTH(AK83)&gt;9,4)&amp;"Q"&amp;RIGHT(YEAR(AK83),2)</f>
        <v>2Q22</v>
      </c>
      <c r="AK83" s="2">
        <f t="shared" si="17"/>
        <v>44712</v>
      </c>
      <c r="AL83" s="50">
        <f t="shared" si="35"/>
        <v>44712</v>
      </c>
      <c r="AM83" s="56">
        <v>2.6</v>
      </c>
      <c r="AN83" s="56">
        <v>4.6</v>
      </c>
      <c r="AO83" s="56">
        <v>8.95</v>
      </c>
      <c r="AP83" s="56">
        <v>8.63</v>
      </c>
      <c r="AQ83" s="36"/>
      <c r="AR83" s="53">
        <f t="shared" si="9"/>
        <v>0.08125</v>
      </c>
      <c r="AS83" s="53">
        <f t="shared" si="38"/>
        <v>0.071875</v>
      </c>
      <c r="AT83" s="53">
        <f t="shared" si="48"/>
        <v>0.069921875</v>
      </c>
      <c r="AU83" s="53">
        <f t="shared" si="48"/>
        <v>0.067421875</v>
      </c>
      <c r="AV83" s="37">
        <f t="shared" si="49"/>
        <v>-0.0298507462686567</v>
      </c>
      <c r="AW83" s="37">
        <f t="shared" si="49"/>
        <v>-0.0336134453781513</v>
      </c>
      <c r="AX83" s="37">
        <f>AT83/AT82-1</f>
        <v>-0.0438034188034189</v>
      </c>
      <c r="AY83" s="37">
        <f t="shared" si="47"/>
        <v>-0.041111111111111</v>
      </c>
      <c r="BA83" s="25">
        <f t="shared" si="40"/>
        <v>43892</v>
      </c>
      <c r="BB83" s="28">
        <f t="shared" si="40"/>
        <v>3.079</v>
      </c>
      <c r="BC83" s="28">
        <f t="shared" si="10"/>
        <v>3.11</v>
      </c>
      <c r="BD83" s="28">
        <f t="shared" si="21"/>
        <v>5.727</v>
      </c>
      <c r="BE83" s="28">
        <f t="shared" si="11"/>
        <v>5.53</v>
      </c>
      <c r="BF83" s="28"/>
      <c r="BG83" s="28"/>
      <c r="BH83" s="28"/>
      <c r="BI83" s="28"/>
      <c r="CC83" s="25">
        <f t="shared" si="44"/>
        <v>43871</v>
      </c>
      <c r="CD83" s="29">
        <f t="shared" si="44"/>
        <v>22.69</v>
      </c>
      <c r="CE83" s="29">
        <f t="shared" si="23"/>
        <v>18.38</v>
      </c>
      <c r="DP83" s="35">
        <v>43594</v>
      </c>
      <c r="DQ83" s="26">
        <v>3.05</v>
      </c>
      <c r="DR83" s="26">
        <v>2.95</v>
      </c>
      <c r="DS83" s="26">
        <v>2.975</v>
      </c>
      <c r="DU83" s="35">
        <v>43594</v>
      </c>
      <c r="DV83" s="26">
        <v>6.2</v>
      </c>
      <c r="DW83" s="26">
        <v>6.1</v>
      </c>
      <c r="DX83" s="26">
        <v>6.13</v>
      </c>
      <c r="DZ83" s="35">
        <v>43594</v>
      </c>
      <c r="EA83" s="26">
        <v>12.4</v>
      </c>
      <c r="EB83" s="26">
        <v>12.3</v>
      </c>
      <c r="EC83" s="26">
        <v>12.35</v>
      </c>
    </row>
    <row r="84" ht="16.8" spans="3:133">
      <c r="C84" s="5" t="str" cm="1">
        <f t="array" ref="C84">_xlfn.IFS(MONTH(D84)&lt;4,1,MONTH(D84)&lt;7,2,MONTH(D84)&lt;10,3,MONTH(D84)&gt;9,4)&amp;"Q"&amp;RIGHT(YEAR(D84),2)</f>
        <v>1Q20</v>
      </c>
      <c r="D84" s="2">
        <f t="shared" si="14"/>
        <v>43921</v>
      </c>
      <c r="E84" s="25">
        <v>43899</v>
      </c>
      <c r="F84" s="26">
        <v>3.126</v>
      </c>
      <c r="G84" s="26">
        <v>5.917</v>
      </c>
      <c r="H84" s="27"/>
      <c r="I84" s="28">
        <f t="shared" si="15"/>
        <v>0.0976875</v>
      </c>
      <c r="J84" s="28">
        <f t="shared" si="7"/>
        <v>0.092453125</v>
      </c>
      <c r="K84" s="28">
        <f t="shared" si="8"/>
        <v>0</v>
      </c>
      <c r="M84" s="36">
        <f t="shared" si="24"/>
        <v>0.0152646963299772</v>
      </c>
      <c r="N84" s="36">
        <f t="shared" si="28"/>
        <v>0.0320237702211952</v>
      </c>
      <c r="O84" s="36">
        <f t="shared" si="29"/>
        <v>0.0320237702211952</v>
      </c>
      <c r="P84" s="36">
        <f t="shared" si="30"/>
        <v>0.0331761829928408</v>
      </c>
      <c r="Q84" s="36">
        <f t="shared" si="31"/>
        <v>0.0626795977011494</v>
      </c>
      <c r="R84" s="36">
        <f t="shared" si="32"/>
        <v>0.0626795977011494</v>
      </c>
      <c r="S84" s="36"/>
      <c r="T84" s="36"/>
      <c r="U84" s="36"/>
      <c r="W84" s="5" t="str" cm="1">
        <f t="array" ref="W84">_xlfn.IFS(MONTH(X84)&lt;4,1,MONTH(X84)&lt;7,2,MONTH(X84)&lt;10,3,MONTH(X84)&gt;9,4)&amp;"Q"&amp;RIGHT(YEAR(X84),2)</f>
        <v>1Q20</v>
      </c>
      <c r="X84" s="2">
        <f t="shared" si="16"/>
        <v>43890</v>
      </c>
      <c r="Y84" s="25">
        <v>43878</v>
      </c>
      <c r="Z84" s="29">
        <v>22.69</v>
      </c>
      <c r="AD84" s="36">
        <f t="shared" si="25"/>
        <v>0</v>
      </c>
      <c r="AE84" s="36">
        <f t="shared" si="33"/>
        <v>-0.0114151272220286</v>
      </c>
      <c r="AF84" s="36">
        <f t="shared" si="34"/>
        <v>-0.0114151272220286</v>
      </c>
      <c r="AJ84" s="5" t="str" cm="1">
        <f t="array" ref="AJ84">_xlfn.IFS(MONTH(AK84)&lt;4,1,MONTH(AK84)&lt;7,2,MONTH(AK84)&lt;10,3,MONTH(AK84)&gt;9,4)&amp;"Q"&amp;RIGHT(YEAR(AK84),2)</f>
        <v>2Q22</v>
      </c>
      <c r="AK84" s="2">
        <f t="shared" si="17"/>
        <v>44742</v>
      </c>
      <c r="AL84" s="50">
        <f t="shared" si="35"/>
        <v>44742</v>
      </c>
      <c r="AM84" s="56">
        <v>2.31</v>
      </c>
      <c r="AN84" s="56">
        <v>4.08</v>
      </c>
      <c r="AO84" s="56">
        <v>8.08</v>
      </c>
      <c r="AP84" s="56">
        <v>7.8</v>
      </c>
      <c r="AQ84" s="36"/>
      <c r="AR84" s="53">
        <f t="shared" si="9"/>
        <v>0.0721875</v>
      </c>
      <c r="AS84" s="53">
        <f t="shared" si="38"/>
        <v>0.06375</v>
      </c>
      <c r="AT84" s="53">
        <f t="shared" si="48"/>
        <v>0.063125</v>
      </c>
      <c r="AU84" s="53">
        <f t="shared" si="48"/>
        <v>0.0609375</v>
      </c>
      <c r="AV84" s="37">
        <f t="shared" si="49"/>
        <v>-0.111538461538462</v>
      </c>
      <c r="AW84" s="37">
        <f t="shared" si="49"/>
        <v>-0.113043478260869</v>
      </c>
      <c r="AX84" s="37">
        <f t="shared" si="49"/>
        <v>-0.0972067039106145</v>
      </c>
      <c r="AY84" s="37">
        <f t="shared" si="49"/>
        <v>-0.0961761297798379</v>
      </c>
      <c r="BA84" s="25">
        <f t="shared" si="40"/>
        <v>43899</v>
      </c>
      <c r="BB84" s="28">
        <f t="shared" si="40"/>
        <v>3.126</v>
      </c>
      <c r="BC84" s="28">
        <f t="shared" si="10"/>
        <v>3.11</v>
      </c>
      <c r="BD84" s="28">
        <f t="shared" si="21"/>
        <v>5.917</v>
      </c>
      <c r="BE84" s="28">
        <f t="shared" si="11"/>
        <v>5.53</v>
      </c>
      <c r="BF84" s="28"/>
      <c r="BG84" s="28"/>
      <c r="BH84" s="28"/>
      <c r="BI84" s="28"/>
      <c r="CC84" s="25">
        <f t="shared" si="44"/>
        <v>43878</v>
      </c>
      <c r="CD84" s="29">
        <f t="shared" si="44"/>
        <v>22.69</v>
      </c>
      <c r="CE84" s="29">
        <f t="shared" si="23"/>
        <v>18.38</v>
      </c>
      <c r="DP84" s="35">
        <v>43595</v>
      </c>
      <c r="DQ84" s="26">
        <v>3.05</v>
      </c>
      <c r="DR84" s="26">
        <v>2.9</v>
      </c>
      <c r="DS84" s="26">
        <v>2.965</v>
      </c>
      <c r="DU84" s="35">
        <v>43595</v>
      </c>
      <c r="DV84" s="26">
        <v>6.2</v>
      </c>
      <c r="DW84" s="26">
        <v>6.05</v>
      </c>
      <c r="DX84" s="26">
        <v>6.125</v>
      </c>
      <c r="DZ84" s="35">
        <v>43595</v>
      </c>
      <c r="EA84" s="26">
        <v>12.4</v>
      </c>
      <c r="EB84" s="26">
        <v>12.3</v>
      </c>
      <c r="EC84" s="26">
        <v>12.35</v>
      </c>
    </row>
    <row r="85" ht="16.8" spans="3:133">
      <c r="C85" s="5" t="str" cm="1">
        <f t="array" ref="C85">_xlfn.IFS(MONTH(D85)&lt;4,1,MONTH(D85)&lt;7,2,MONTH(D85)&lt;10,3,MONTH(D85)&gt;9,4)&amp;"Q"&amp;RIGHT(YEAR(D85),2)</f>
        <v>1Q20</v>
      </c>
      <c r="D85" s="2">
        <f t="shared" si="14"/>
        <v>43921</v>
      </c>
      <c r="E85" s="25">
        <v>43906</v>
      </c>
      <c r="F85" s="26">
        <v>3.313</v>
      </c>
      <c r="G85" s="26">
        <v>5.944</v>
      </c>
      <c r="H85" s="27"/>
      <c r="I85" s="28">
        <f t="shared" si="15"/>
        <v>0.10353125</v>
      </c>
      <c r="J85" s="28">
        <f t="shared" si="7"/>
        <v>0.092875</v>
      </c>
      <c r="K85" s="28">
        <f t="shared" si="8"/>
        <v>0</v>
      </c>
      <c r="M85" s="36">
        <f t="shared" si="24"/>
        <v>0.0598208573256558</v>
      </c>
      <c r="N85" s="36">
        <f t="shared" si="28"/>
        <v>0.0759987008769081</v>
      </c>
      <c r="O85" s="36">
        <f t="shared" si="29"/>
        <v>0.0937603169362826</v>
      </c>
      <c r="P85" s="36">
        <f t="shared" si="30"/>
        <v>0.00456312320432661</v>
      </c>
      <c r="Q85" s="36">
        <f t="shared" si="31"/>
        <v>0.0378906932076131</v>
      </c>
      <c r="R85" s="36">
        <f t="shared" si="32"/>
        <v>0.0675287356321839</v>
      </c>
      <c r="S85" s="36"/>
      <c r="T85" s="36"/>
      <c r="U85" s="36"/>
      <c r="W85" s="5" t="str" cm="1">
        <f t="array" ref="W85">_xlfn.IFS(MONTH(X85)&lt;4,1,MONTH(X85)&lt;7,2,MONTH(X85)&lt;10,3,MONTH(X85)&gt;9,4)&amp;"Q"&amp;RIGHT(YEAR(X85),2)</f>
        <v>1Q20</v>
      </c>
      <c r="X85" s="2">
        <f t="shared" si="16"/>
        <v>43890</v>
      </c>
      <c r="Y85" s="25">
        <v>43885</v>
      </c>
      <c r="Z85" s="29">
        <v>22.69</v>
      </c>
      <c r="AD85" s="36">
        <f t="shared" si="25"/>
        <v>0</v>
      </c>
      <c r="AE85" s="36">
        <f t="shared" si="33"/>
        <v>0</v>
      </c>
      <c r="AF85" s="36">
        <f t="shared" si="34"/>
        <v>-0.0114151272220286</v>
      </c>
      <c r="AJ85" s="5" t="str" cm="1">
        <f t="array" ref="AJ85">_xlfn.IFS(MONTH(AK85)&lt;4,1,MONTH(AK85)&lt;7,2,MONTH(AK85)&lt;10,3,MONTH(AK85)&gt;9,4)&amp;"Q"&amp;RIGHT(YEAR(AK85),2)</f>
        <v>3Q22</v>
      </c>
      <c r="AK85" s="2">
        <f t="shared" si="17"/>
        <v>44773</v>
      </c>
      <c r="AL85" s="50">
        <f t="shared" si="35"/>
        <v>44773</v>
      </c>
      <c r="AM85" s="56">
        <v>2.14</v>
      </c>
      <c r="AN85" s="56">
        <v>3.69</v>
      </c>
      <c r="AO85" s="56">
        <v>7.53</v>
      </c>
      <c r="AP85" s="56">
        <v>7.15</v>
      </c>
      <c r="AQ85" s="36"/>
      <c r="AR85" s="53">
        <f t="shared" si="9"/>
        <v>0.066875</v>
      </c>
      <c r="AS85" s="53">
        <f t="shared" si="38"/>
        <v>0.05765625</v>
      </c>
      <c r="AT85" s="53">
        <f t="shared" si="48"/>
        <v>0.058828125</v>
      </c>
      <c r="AU85" s="53">
        <f t="shared" si="48"/>
        <v>0.055859375</v>
      </c>
      <c r="AV85" s="46">
        <f t="shared" si="49"/>
        <v>-0.0735930735930735</v>
      </c>
      <c r="AW85" s="46">
        <f t="shared" si="49"/>
        <v>-0.0955882352941176</v>
      </c>
      <c r="AX85" s="46">
        <f t="shared" si="49"/>
        <v>-0.068069306930693</v>
      </c>
      <c r="AY85" s="46">
        <f t="shared" si="49"/>
        <v>-0.0833333333333333</v>
      </c>
      <c r="BA85" s="25">
        <f t="shared" si="40"/>
        <v>43906</v>
      </c>
      <c r="BB85" s="28">
        <f t="shared" si="40"/>
        <v>3.313</v>
      </c>
      <c r="BC85" s="28">
        <f t="shared" si="10"/>
        <v>3.11</v>
      </c>
      <c r="BD85" s="28">
        <f t="shared" si="21"/>
        <v>5.944</v>
      </c>
      <c r="BE85" s="28">
        <f t="shared" si="11"/>
        <v>5.53</v>
      </c>
      <c r="BF85" s="28"/>
      <c r="BG85" s="28"/>
      <c r="BH85" s="28"/>
      <c r="BI85" s="28"/>
      <c r="CC85" s="25">
        <f t="shared" si="44"/>
        <v>43885</v>
      </c>
      <c r="CD85" s="29">
        <f t="shared" si="44"/>
        <v>22.69</v>
      </c>
      <c r="CE85" s="29">
        <f t="shared" si="23"/>
        <v>18.38</v>
      </c>
      <c r="DP85" s="35">
        <v>43598</v>
      </c>
      <c r="DQ85" s="26">
        <v>3.05</v>
      </c>
      <c r="DR85" s="26">
        <v>2.9</v>
      </c>
      <c r="DS85" s="26">
        <v>2.965</v>
      </c>
      <c r="DU85" s="35">
        <v>43598</v>
      </c>
      <c r="DV85" s="26">
        <v>6.2</v>
      </c>
      <c r="DW85" s="26">
        <v>6.05</v>
      </c>
      <c r="DX85" s="26">
        <v>6.125</v>
      </c>
      <c r="DZ85" s="35">
        <v>43598</v>
      </c>
      <c r="EA85" s="26">
        <v>12.4</v>
      </c>
      <c r="EB85" s="26">
        <v>12.3</v>
      </c>
      <c r="EC85" s="26">
        <v>12.35</v>
      </c>
    </row>
    <row r="86" ht="16.8" spans="3:133">
      <c r="C86" s="5" t="str" cm="1">
        <f t="array" ref="C86">_xlfn.IFS(MONTH(D86)&lt;4,1,MONTH(D86)&lt;7,2,MONTH(D86)&lt;10,3,MONTH(D86)&gt;9,4)&amp;"Q"&amp;RIGHT(YEAR(D86),2)</f>
        <v>1Q20</v>
      </c>
      <c r="D86" s="2">
        <f t="shared" si="14"/>
        <v>43921</v>
      </c>
      <c r="E86" s="25">
        <v>43913</v>
      </c>
      <c r="F86" s="26">
        <v>3.161</v>
      </c>
      <c r="G86" s="26">
        <v>5.678</v>
      </c>
      <c r="H86" s="27"/>
      <c r="I86" s="28">
        <f t="shared" si="15"/>
        <v>0.09878125</v>
      </c>
      <c r="J86" s="28">
        <f t="shared" si="7"/>
        <v>0.08871875</v>
      </c>
      <c r="K86" s="28">
        <f t="shared" si="8"/>
        <v>0</v>
      </c>
      <c r="M86" s="36">
        <f t="shared" si="24"/>
        <v>-0.0458798671898581</v>
      </c>
      <c r="N86" s="36">
        <f t="shared" si="28"/>
        <v>0.0111964171465131</v>
      </c>
      <c r="O86" s="36">
        <f t="shared" si="29"/>
        <v>0.0266320233842157</v>
      </c>
      <c r="P86" s="36">
        <f t="shared" si="30"/>
        <v>-0.0447510094212652</v>
      </c>
      <c r="Q86" s="36">
        <f t="shared" si="31"/>
        <v>-0.0403920905864458</v>
      </c>
      <c r="R86" s="36">
        <f t="shared" si="32"/>
        <v>-0.00855596298236427</v>
      </c>
      <c r="S86" s="36"/>
      <c r="T86" s="36"/>
      <c r="U86" s="36"/>
      <c r="W86" s="5" t="str" cm="1">
        <f t="array" ref="W86">_xlfn.IFS(MONTH(X86)&lt;4,1,MONTH(X86)&lt;7,2,MONTH(X86)&lt;10,3,MONTH(X86)&gt;9,4)&amp;"Q"&amp;RIGHT(YEAR(X86),2)</f>
        <v>1Q20</v>
      </c>
      <c r="X86" s="2">
        <f t="shared" si="16"/>
        <v>43921</v>
      </c>
      <c r="Y86" s="25">
        <v>43892</v>
      </c>
      <c r="Z86" s="29">
        <v>22.69</v>
      </c>
      <c r="AD86" s="36">
        <f t="shared" si="25"/>
        <v>0</v>
      </c>
      <c r="AE86" s="36">
        <f t="shared" si="33"/>
        <v>0</v>
      </c>
      <c r="AF86" s="36">
        <f t="shared" si="34"/>
        <v>0</v>
      </c>
      <c r="AJ86" s="5" t="str" cm="1">
        <f t="array" ref="AJ86">_xlfn.IFS(MONTH(AK86)&lt;4,1,MONTH(AK86)&lt;7,2,MONTH(AK86)&lt;10,3,MONTH(AK86)&gt;9,4)&amp;"Q"&amp;RIGHT(YEAR(AK86),2)</f>
        <v>3Q22</v>
      </c>
      <c r="AK86" s="2">
        <f t="shared" si="17"/>
        <v>44804</v>
      </c>
      <c r="AL86" s="50">
        <f t="shared" si="35"/>
        <v>44804</v>
      </c>
      <c r="AM86" s="56">
        <v>1.72</v>
      </c>
      <c r="AN86" s="56">
        <v>3.05</v>
      </c>
      <c r="AO86" s="56">
        <v>6.05</v>
      </c>
      <c r="AP86" s="56">
        <v>5.8</v>
      </c>
      <c r="AQ86" s="36"/>
      <c r="AR86" s="53">
        <f t="shared" si="9"/>
        <v>0.05375</v>
      </c>
      <c r="AS86" s="53">
        <f t="shared" si="38"/>
        <v>0.04765625</v>
      </c>
      <c r="AT86" s="53">
        <f t="shared" si="48"/>
        <v>0.047265625</v>
      </c>
      <c r="AU86" s="53">
        <f t="shared" si="48"/>
        <v>0.0453125</v>
      </c>
      <c r="AV86" s="46">
        <f t="shared" si="49"/>
        <v>-0.196261682242991</v>
      </c>
      <c r="AW86" s="46">
        <f t="shared" si="49"/>
        <v>-0.173441734417344</v>
      </c>
      <c r="AX86" s="46">
        <f t="shared" si="49"/>
        <v>-0.196547144754316</v>
      </c>
      <c r="AY86" s="46">
        <f t="shared" si="49"/>
        <v>-0.188811188811189</v>
      </c>
      <c r="BA86" s="25">
        <f t="shared" si="40"/>
        <v>43913</v>
      </c>
      <c r="BB86" s="28">
        <f t="shared" si="40"/>
        <v>3.161</v>
      </c>
      <c r="BC86" s="28">
        <f t="shared" si="10"/>
        <v>3.11</v>
      </c>
      <c r="BD86" s="28">
        <f t="shared" si="21"/>
        <v>5.678</v>
      </c>
      <c r="BE86" s="28">
        <f t="shared" si="11"/>
        <v>5.53</v>
      </c>
      <c r="BF86" s="28"/>
      <c r="BG86" s="28"/>
      <c r="BH86" s="28"/>
      <c r="BI86" s="28"/>
      <c r="CC86" s="25">
        <f t="shared" si="44"/>
        <v>43892</v>
      </c>
      <c r="CD86" s="29">
        <f t="shared" si="44"/>
        <v>22.69</v>
      </c>
      <c r="CE86" s="29">
        <f t="shared" si="23"/>
        <v>18.38</v>
      </c>
      <c r="DP86" s="35">
        <v>43599</v>
      </c>
      <c r="DQ86" s="26">
        <v>3.05</v>
      </c>
      <c r="DR86" s="26">
        <v>2.9</v>
      </c>
      <c r="DS86" s="26">
        <v>2.965</v>
      </c>
      <c r="DU86" s="35">
        <v>43599</v>
      </c>
      <c r="DV86" s="26">
        <v>6.2</v>
      </c>
      <c r="DW86" s="26">
        <v>6.05</v>
      </c>
      <c r="DX86" s="26">
        <v>6.125</v>
      </c>
      <c r="DZ86" s="35">
        <v>43599</v>
      </c>
      <c r="EA86" s="26">
        <v>12.4</v>
      </c>
      <c r="EB86" s="26">
        <v>12.3</v>
      </c>
      <c r="EC86" s="26">
        <v>12.35</v>
      </c>
    </row>
    <row r="87" ht="16.8" spans="3:133">
      <c r="C87" s="5" t="str" cm="1">
        <f t="array" ref="C87">_xlfn.IFS(MONTH(D87)&lt;4,1,MONTH(D87)&lt;7,2,MONTH(D87)&lt;10,3,MONTH(D87)&gt;9,4)&amp;"Q"&amp;RIGHT(YEAR(D87),2)</f>
        <v>1Q20</v>
      </c>
      <c r="D87" s="2">
        <f t="shared" si="14"/>
        <v>43921</v>
      </c>
      <c r="E87" s="25">
        <v>43920</v>
      </c>
      <c r="F87" s="26">
        <v>3.157</v>
      </c>
      <c r="G87" s="26">
        <v>5.67</v>
      </c>
      <c r="H87" s="27"/>
      <c r="I87" s="28">
        <f t="shared" si="15"/>
        <v>0.09865625</v>
      </c>
      <c r="J87" s="28">
        <f t="shared" si="7"/>
        <v>0.08859375</v>
      </c>
      <c r="K87" s="28">
        <f t="shared" si="8"/>
        <v>0</v>
      </c>
      <c r="M87" s="36">
        <f t="shared" si="24"/>
        <v>-0.00126542233470417</v>
      </c>
      <c r="N87" s="36">
        <f t="shared" si="28"/>
        <v>-0.047087232115907</v>
      </c>
      <c r="O87" s="36">
        <f t="shared" si="29"/>
        <v>0.00991682661548299</v>
      </c>
      <c r="P87" s="36">
        <f t="shared" si="30"/>
        <v>-0.00140894681225778</v>
      </c>
      <c r="Q87" s="36">
        <f t="shared" si="31"/>
        <v>-0.0460969044414535</v>
      </c>
      <c r="R87" s="36">
        <f t="shared" si="32"/>
        <v>-0.0417441270914315</v>
      </c>
      <c r="S87" s="36"/>
      <c r="T87" s="36"/>
      <c r="U87" s="36"/>
      <c r="W87" s="5" t="str" cm="1">
        <f t="array" ref="W87">_xlfn.IFS(MONTH(X87)&lt;4,1,MONTH(X87)&lt;7,2,MONTH(X87)&lt;10,3,MONTH(X87)&gt;9,4)&amp;"Q"&amp;RIGHT(YEAR(X87),2)</f>
        <v>1Q20</v>
      </c>
      <c r="X87" s="2">
        <f t="shared" si="16"/>
        <v>43921</v>
      </c>
      <c r="Y87" s="25">
        <v>43899</v>
      </c>
      <c r="Z87" s="29">
        <v>22.69</v>
      </c>
      <c r="AD87" s="36">
        <f t="shared" si="25"/>
        <v>0</v>
      </c>
      <c r="AE87" s="36">
        <f t="shared" si="33"/>
        <v>0</v>
      </c>
      <c r="AF87" s="36">
        <f t="shared" si="34"/>
        <v>0</v>
      </c>
      <c r="AJ87" s="5" t="str" cm="1">
        <f t="array" ref="AJ87">_xlfn.IFS(MONTH(AK87)&lt;4,1,MONTH(AK87)&lt;7,2,MONTH(AK87)&lt;10,3,MONTH(AK87)&gt;9,4)&amp;"Q"&amp;RIGHT(YEAR(AK87),2)</f>
        <v>3Q22</v>
      </c>
      <c r="AK87" s="2">
        <f t="shared" si="17"/>
        <v>44834</v>
      </c>
      <c r="AL87" s="50">
        <f t="shared" si="35"/>
        <v>44834</v>
      </c>
      <c r="AM87" s="56">
        <v>1.54</v>
      </c>
      <c r="AN87" s="56">
        <v>2.68</v>
      </c>
      <c r="AO87" s="56">
        <v>5.35</v>
      </c>
      <c r="AP87" s="56">
        <v>5.3</v>
      </c>
      <c r="AQ87" s="36"/>
      <c r="AR87" s="53">
        <f t="shared" si="9"/>
        <v>0.048125</v>
      </c>
      <c r="AS87" s="53">
        <f t="shared" si="38"/>
        <v>0.041875</v>
      </c>
      <c r="AT87" s="53">
        <f t="shared" si="48"/>
        <v>0.041796875</v>
      </c>
      <c r="AU87" s="53">
        <f t="shared" si="48"/>
        <v>0.04140625</v>
      </c>
      <c r="AV87" s="46">
        <f t="shared" si="49"/>
        <v>-0.104651162790698</v>
      </c>
      <c r="AW87" s="46">
        <f t="shared" si="49"/>
        <v>-0.121311475409836</v>
      </c>
      <c r="AX87" s="46">
        <f t="shared" si="49"/>
        <v>-0.115702479338843</v>
      </c>
      <c r="AY87" s="46">
        <f t="shared" si="49"/>
        <v>-0.0862068965517241</v>
      </c>
      <c r="BA87" s="25">
        <f t="shared" si="40"/>
        <v>43920</v>
      </c>
      <c r="BB87" s="28">
        <f t="shared" si="40"/>
        <v>3.157</v>
      </c>
      <c r="BC87" s="28">
        <f t="shared" si="10"/>
        <v>3.11</v>
      </c>
      <c r="BD87" s="28">
        <f t="shared" si="21"/>
        <v>5.67</v>
      </c>
      <c r="BE87" s="28">
        <f t="shared" si="11"/>
        <v>5.53</v>
      </c>
      <c r="BF87" s="28"/>
      <c r="BG87" s="28"/>
      <c r="BH87" s="28"/>
      <c r="BI87" s="28"/>
      <c r="CC87" s="25">
        <f t="shared" si="44"/>
        <v>43899</v>
      </c>
      <c r="CD87" s="29">
        <f t="shared" si="44"/>
        <v>22.69</v>
      </c>
      <c r="CE87" s="29">
        <f t="shared" si="23"/>
        <v>18.38</v>
      </c>
      <c r="DP87" s="35">
        <v>43600</v>
      </c>
      <c r="DQ87" s="26">
        <v>3.05</v>
      </c>
      <c r="DR87" s="26">
        <v>2.9</v>
      </c>
      <c r="DS87" s="26">
        <v>2.965</v>
      </c>
      <c r="DU87" s="35">
        <v>43600</v>
      </c>
      <c r="DV87" s="26">
        <v>6.2</v>
      </c>
      <c r="DW87" s="26">
        <v>6.05</v>
      </c>
      <c r="DX87" s="26">
        <v>6.125</v>
      </c>
      <c r="DZ87" s="35">
        <v>43600</v>
      </c>
      <c r="EA87" s="26">
        <v>12.4</v>
      </c>
      <c r="EB87" s="26">
        <v>12.3</v>
      </c>
      <c r="EC87" s="26">
        <v>12.35</v>
      </c>
    </row>
    <row r="88" ht="16.8" spans="3:133">
      <c r="C88" s="5" t="str" cm="1">
        <f t="array" ref="C88">_xlfn.IFS(MONTH(D88)&lt;4,1,MONTH(D88)&lt;7,2,MONTH(D88)&lt;10,3,MONTH(D88)&gt;9,4)&amp;"Q"&amp;RIGHT(YEAR(D88),2)</f>
        <v>2Q20</v>
      </c>
      <c r="D88" s="2">
        <f t="shared" si="14"/>
        <v>43951</v>
      </c>
      <c r="E88" s="25">
        <v>43927</v>
      </c>
      <c r="F88" s="26">
        <v>3.143</v>
      </c>
      <c r="G88" s="26">
        <v>5.626</v>
      </c>
      <c r="H88" s="27"/>
      <c r="I88" s="28">
        <f t="shared" si="15"/>
        <v>0.09821875</v>
      </c>
      <c r="J88" s="28">
        <f t="shared" si="7"/>
        <v>0.08790625</v>
      </c>
      <c r="K88" s="28">
        <f t="shared" si="8"/>
        <v>0</v>
      </c>
      <c r="M88" s="36">
        <f t="shared" si="24"/>
        <v>-0.00443458980044353</v>
      </c>
      <c r="N88" s="36">
        <f t="shared" si="28"/>
        <v>-0.00569440050616898</v>
      </c>
      <c r="O88" s="36">
        <f t="shared" si="29"/>
        <v>-0.0513130093570783</v>
      </c>
      <c r="P88" s="36">
        <f t="shared" si="30"/>
        <v>-0.00776014109347434</v>
      </c>
      <c r="Q88" s="36">
        <f t="shared" si="31"/>
        <v>-0.00915815427967592</v>
      </c>
      <c r="R88" s="36">
        <f t="shared" si="32"/>
        <v>-0.0534993270524898</v>
      </c>
      <c r="S88" s="36"/>
      <c r="T88" s="36"/>
      <c r="U88" s="36"/>
      <c r="W88" s="5" t="str" cm="1">
        <f t="array" ref="W88">_xlfn.IFS(MONTH(X88)&lt;4,1,MONTH(X88)&lt;7,2,MONTH(X88)&lt;10,3,MONTH(X88)&gt;9,4)&amp;"Q"&amp;RIGHT(YEAR(X88),2)</f>
        <v>1Q20</v>
      </c>
      <c r="X88" s="2">
        <f t="shared" si="16"/>
        <v>43921</v>
      </c>
      <c r="Y88" s="25">
        <v>43906</v>
      </c>
      <c r="Z88" s="29">
        <v>22.69</v>
      </c>
      <c r="AD88" s="36">
        <f t="shared" si="25"/>
        <v>0</v>
      </c>
      <c r="AE88" s="36">
        <f t="shared" si="33"/>
        <v>0</v>
      </c>
      <c r="AF88" s="36">
        <f t="shared" si="34"/>
        <v>0</v>
      </c>
      <c r="AJ88" s="5" t="str" cm="1">
        <f t="array" ref="AJ88">_xlfn.IFS(MONTH(AK88)&lt;4,1,MONTH(AK88)&lt;7,2,MONTH(AK88)&lt;10,3,MONTH(AK88)&gt;9,4)&amp;"Q"&amp;RIGHT(YEAR(AK88),2)</f>
        <v>4Q22</v>
      </c>
      <c r="AK88" s="2">
        <f t="shared" si="17"/>
        <v>44865</v>
      </c>
      <c r="AL88" s="50">
        <f t="shared" si="35"/>
        <v>44865</v>
      </c>
      <c r="AM88" s="56">
        <v>1.36</v>
      </c>
      <c r="AN88" s="56">
        <v>2.43</v>
      </c>
      <c r="AO88" s="56">
        <v>4.8</v>
      </c>
      <c r="AP88" s="56">
        <v>4.55</v>
      </c>
      <c r="AQ88" s="36"/>
      <c r="AR88" s="53">
        <f t="shared" si="9"/>
        <v>0.0425</v>
      </c>
      <c r="AS88" s="53">
        <f t="shared" si="38"/>
        <v>0.03796875</v>
      </c>
      <c r="AT88" s="53">
        <f t="shared" si="48"/>
        <v>0.0375</v>
      </c>
      <c r="AU88" s="53">
        <f t="shared" si="48"/>
        <v>0.035546875</v>
      </c>
      <c r="AV88" s="46">
        <f t="shared" si="49"/>
        <v>-0.116883116883117</v>
      </c>
      <c r="AW88" s="46">
        <f t="shared" si="49"/>
        <v>-0.0932835820895522</v>
      </c>
      <c r="AX88" s="46">
        <f t="shared" si="49"/>
        <v>-0.102803738317757</v>
      </c>
      <c r="AY88" s="46">
        <f t="shared" si="49"/>
        <v>-0.141509433962264</v>
      </c>
      <c r="BA88" s="25">
        <f t="shared" si="40"/>
        <v>43927</v>
      </c>
      <c r="BB88" s="28">
        <f t="shared" si="40"/>
        <v>3.143</v>
      </c>
      <c r="BC88" s="28">
        <f t="shared" si="10"/>
        <v>3.11</v>
      </c>
      <c r="BD88" s="28">
        <f t="shared" si="21"/>
        <v>5.626</v>
      </c>
      <c r="BE88" s="28">
        <f t="shared" si="11"/>
        <v>5.53</v>
      </c>
      <c r="BF88" s="28"/>
      <c r="BG88" s="28"/>
      <c r="BH88" s="28"/>
      <c r="BI88" s="28"/>
      <c r="CC88" s="25">
        <f t="shared" si="44"/>
        <v>43906</v>
      </c>
      <c r="CD88" s="29">
        <f t="shared" si="44"/>
        <v>22.69</v>
      </c>
      <c r="CE88" s="29">
        <f t="shared" si="23"/>
        <v>18.38</v>
      </c>
      <c r="DP88" s="35">
        <v>43601</v>
      </c>
      <c r="DQ88" s="26">
        <v>3.05</v>
      </c>
      <c r="DR88" s="26">
        <v>2.9</v>
      </c>
      <c r="DS88" s="26">
        <v>2.965</v>
      </c>
      <c r="DU88" s="35">
        <v>43601</v>
      </c>
      <c r="DV88" s="26">
        <v>6.2</v>
      </c>
      <c r="DW88" s="26">
        <v>6.05</v>
      </c>
      <c r="DX88" s="26">
        <v>6.125</v>
      </c>
      <c r="DZ88" s="35">
        <v>43601</v>
      </c>
      <c r="EA88" s="26">
        <v>12.4</v>
      </c>
      <c r="EB88" s="26">
        <v>12.3</v>
      </c>
      <c r="EC88" s="26">
        <v>12.35</v>
      </c>
    </row>
    <row r="89" ht="16.8" spans="3:133">
      <c r="C89" s="5" t="str" cm="1">
        <f t="array" ref="C89">_xlfn.IFS(MONTH(D89)&lt;4,1,MONTH(D89)&lt;7,2,MONTH(D89)&lt;10,3,MONTH(D89)&gt;9,4)&amp;"Q"&amp;RIGHT(YEAR(D89),2)</f>
        <v>2Q20</v>
      </c>
      <c r="D89" s="2">
        <f t="shared" si="14"/>
        <v>43951</v>
      </c>
      <c r="E89" s="25">
        <v>43934</v>
      </c>
      <c r="F89" s="26">
        <v>3.132</v>
      </c>
      <c r="G89" s="26">
        <v>5.613</v>
      </c>
      <c r="H89" s="27"/>
      <c r="I89" s="28">
        <f t="shared" si="15"/>
        <v>0.097875</v>
      </c>
      <c r="J89" s="28">
        <f t="shared" si="7"/>
        <v>0.087703125</v>
      </c>
      <c r="K89" s="28">
        <f t="shared" si="8"/>
        <v>0</v>
      </c>
      <c r="M89" s="36">
        <f t="shared" si="24"/>
        <v>-0.00349984091632183</v>
      </c>
      <c r="N89" s="36">
        <f t="shared" si="28"/>
        <v>-0.00791891035793468</v>
      </c>
      <c r="O89" s="36">
        <f t="shared" si="29"/>
        <v>-0.00917431192660545</v>
      </c>
      <c r="P89" s="36">
        <f t="shared" si="30"/>
        <v>-0.00231070031994307</v>
      </c>
      <c r="Q89" s="36">
        <f t="shared" si="31"/>
        <v>-0.01005291005291</v>
      </c>
      <c r="R89" s="36">
        <f t="shared" si="32"/>
        <v>-0.0114476928495948</v>
      </c>
      <c r="S89" s="36"/>
      <c r="T89" s="36"/>
      <c r="U89" s="36"/>
      <c r="W89" s="5" t="str" cm="1">
        <f t="array" ref="W89">_xlfn.IFS(MONTH(X89)&lt;4,1,MONTH(X89)&lt;7,2,MONTH(X89)&lt;10,3,MONTH(X89)&gt;9,4)&amp;"Q"&amp;RIGHT(YEAR(X89),2)</f>
        <v>1Q20</v>
      </c>
      <c r="X89" s="2">
        <f t="shared" si="16"/>
        <v>43921</v>
      </c>
      <c r="Y89" s="25">
        <v>43913</v>
      </c>
      <c r="Z89" s="29">
        <v>22.452</v>
      </c>
      <c r="AD89" s="36">
        <f t="shared" si="25"/>
        <v>-0.0104892022917584</v>
      </c>
      <c r="AE89" s="36">
        <f t="shared" si="33"/>
        <v>-0.0104892022917584</v>
      </c>
      <c r="AF89" s="36">
        <f t="shared" si="34"/>
        <v>-0.0104892022917584</v>
      </c>
      <c r="AJ89" s="5" t="str" cm="1">
        <f t="array" ref="AJ89">_xlfn.IFS(MONTH(AK89)&lt;4,1,MONTH(AK89)&lt;7,2,MONTH(AK89)&lt;10,3,MONTH(AK89)&gt;9,4)&amp;"Q"&amp;RIGHT(YEAR(AK89),2)</f>
        <v>4Q22</v>
      </c>
      <c r="AK89" s="2">
        <f t="shared" si="17"/>
        <v>44895</v>
      </c>
      <c r="AL89" s="50">
        <f t="shared" si="35"/>
        <v>44895</v>
      </c>
      <c r="AM89" s="56">
        <v>1.28</v>
      </c>
      <c r="AN89" s="56">
        <v>2.24</v>
      </c>
      <c r="AO89" s="56">
        <v>4.53</v>
      </c>
      <c r="AP89" s="56">
        <v>4.3</v>
      </c>
      <c r="AQ89" s="36"/>
      <c r="AR89" s="53">
        <f t="shared" si="9"/>
        <v>0.04</v>
      </c>
      <c r="AS89" s="53">
        <f t="shared" si="38"/>
        <v>0.035</v>
      </c>
      <c r="AT89" s="53">
        <f t="shared" si="48"/>
        <v>0.035390625</v>
      </c>
      <c r="AU89" s="53">
        <f t="shared" si="48"/>
        <v>0.03359375</v>
      </c>
      <c r="AV89" s="46">
        <f t="shared" si="49"/>
        <v>-0.0588235294117647</v>
      </c>
      <c r="AW89" s="46">
        <f t="shared" si="49"/>
        <v>-0.0781893004115226</v>
      </c>
      <c r="AX89" s="46">
        <f t="shared" si="49"/>
        <v>-0.0562499999999999</v>
      </c>
      <c r="AY89" s="46">
        <f t="shared" si="49"/>
        <v>-0.054945054945055</v>
      </c>
      <c r="BA89" s="25">
        <f t="shared" si="40"/>
        <v>43934</v>
      </c>
      <c r="BB89" s="28">
        <f t="shared" si="40"/>
        <v>3.132</v>
      </c>
      <c r="BC89" s="28">
        <f t="shared" si="10"/>
        <v>3.11</v>
      </c>
      <c r="BD89" s="28">
        <f t="shared" si="21"/>
        <v>5.613</v>
      </c>
      <c r="BE89" s="28">
        <f t="shared" si="11"/>
        <v>5.53</v>
      </c>
      <c r="BF89" s="28"/>
      <c r="BG89" s="28"/>
      <c r="BH89" s="28"/>
      <c r="BI89" s="28"/>
      <c r="CC89" s="25">
        <f t="shared" si="44"/>
        <v>43913</v>
      </c>
      <c r="CD89" s="29">
        <f t="shared" si="44"/>
        <v>22.452</v>
      </c>
      <c r="CE89" s="29">
        <f t="shared" si="23"/>
        <v>18.38</v>
      </c>
      <c r="DP89" s="35">
        <v>43602</v>
      </c>
      <c r="DQ89" s="26">
        <v>3</v>
      </c>
      <c r="DR89" s="26">
        <v>2.85</v>
      </c>
      <c r="DS89" s="26">
        <v>2.925</v>
      </c>
      <c r="DU89" s="35">
        <v>43602</v>
      </c>
      <c r="DV89" s="26">
        <v>6.2</v>
      </c>
      <c r="DW89" s="26">
        <v>6</v>
      </c>
      <c r="DX89" s="26">
        <v>6.1</v>
      </c>
      <c r="DZ89" s="35">
        <v>43602</v>
      </c>
      <c r="EA89" s="26">
        <v>12.4</v>
      </c>
      <c r="EB89" s="26">
        <v>12.3</v>
      </c>
      <c r="EC89" s="26">
        <v>12.35</v>
      </c>
    </row>
    <row r="90" ht="16.8" spans="3:133">
      <c r="C90" s="5" t="str" cm="1">
        <f t="array" ref="C90">_xlfn.IFS(MONTH(D90)&lt;4,1,MONTH(D90)&lt;7,2,MONTH(D90)&lt;10,3,MONTH(D90)&gt;9,4)&amp;"Q"&amp;RIGHT(YEAR(D90),2)</f>
        <v>2Q20</v>
      </c>
      <c r="D90" s="2">
        <f t="shared" si="14"/>
        <v>43951</v>
      </c>
      <c r="E90" s="25">
        <v>43941</v>
      </c>
      <c r="F90" s="26">
        <v>2.936</v>
      </c>
      <c r="G90" s="26">
        <v>5.404</v>
      </c>
      <c r="H90" s="27"/>
      <c r="I90" s="28">
        <f t="shared" si="15"/>
        <v>0.09175</v>
      </c>
      <c r="J90" s="28">
        <f t="shared" si="7"/>
        <v>0.0844375</v>
      </c>
      <c r="K90" s="28">
        <f t="shared" si="8"/>
        <v>0</v>
      </c>
      <c r="M90" s="36">
        <f t="shared" si="24"/>
        <v>-0.0625798212005109</v>
      </c>
      <c r="N90" s="36">
        <f t="shared" si="28"/>
        <v>-0.0658606426980591</v>
      </c>
      <c r="O90" s="36">
        <f t="shared" si="29"/>
        <v>-0.0700031675641432</v>
      </c>
      <c r="P90" s="36">
        <f t="shared" si="30"/>
        <v>-0.0372349902013185</v>
      </c>
      <c r="Q90" s="36">
        <f t="shared" si="31"/>
        <v>-0.0394596516174903</v>
      </c>
      <c r="R90" s="36">
        <f t="shared" si="32"/>
        <v>-0.0469135802469136</v>
      </c>
      <c r="S90" s="36"/>
      <c r="T90" s="36"/>
      <c r="U90" s="36"/>
      <c r="W90" s="5" t="str" cm="1">
        <f t="array" ref="W90">_xlfn.IFS(MONTH(X90)&lt;4,1,MONTH(X90)&lt;7,2,MONTH(X90)&lt;10,3,MONTH(X90)&gt;9,4)&amp;"Q"&amp;RIGHT(YEAR(X90),2)</f>
        <v>1Q20</v>
      </c>
      <c r="X90" s="2">
        <f t="shared" si="16"/>
        <v>43921</v>
      </c>
      <c r="Y90" s="25">
        <v>43920</v>
      </c>
      <c r="Z90" s="29">
        <v>22.452</v>
      </c>
      <c r="AD90" s="36">
        <f t="shared" si="25"/>
        <v>0</v>
      </c>
      <c r="AE90" s="36">
        <f t="shared" si="33"/>
        <v>-0.0104892022917584</v>
      </c>
      <c r="AF90" s="36">
        <f t="shared" si="34"/>
        <v>-0.0104892022917584</v>
      </c>
      <c r="AJ90" s="5" t="str" cm="1">
        <f t="array" ref="AJ90">_xlfn.IFS(MONTH(AK90)&lt;4,1,MONTH(AK90)&lt;7,2,MONTH(AK90)&lt;10,3,MONTH(AK90)&gt;9,4)&amp;"Q"&amp;RIGHT(YEAR(AK90),2)</f>
        <v>4Q22</v>
      </c>
      <c r="AK90" s="2">
        <f t="shared" si="17"/>
        <v>44926</v>
      </c>
      <c r="AL90" s="50">
        <f t="shared" si="35"/>
        <v>44926</v>
      </c>
      <c r="AM90" s="56">
        <v>1.23</v>
      </c>
      <c r="AN90" s="56">
        <v>2.14</v>
      </c>
      <c r="AO90" s="56">
        <v>4.28</v>
      </c>
      <c r="AP90" s="56">
        <v>4.23</v>
      </c>
      <c r="AQ90" s="36"/>
      <c r="AR90" s="53">
        <f t="shared" si="9"/>
        <v>0.0384375</v>
      </c>
      <c r="AS90" s="53">
        <f t="shared" si="38"/>
        <v>0.0334375</v>
      </c>
      <c r="AT90" s="53">
        <f t="shared" si="48"/>
        <v>0.0334375</v>
      </c>
      <c r="AU90" s="53">
        <f t="shared" si="48"/>
        <v>0.033046875</v>
      </c>
      <c r="AV90" s="46">
        <f t="shared" si="49"/>
        <v>-0.0390625</v>
      </c>
      <c r="AW90" s="46">
        <f t="shared" si="49"/>
        <v>-0.0446428571428572</v>
      </c>
      <c r="AX90" s="46">
        <f t="shared" si="49"/>
        <v>-0.0551876379690949</v>
      </c>
      <c r="AY90" s="46">
        <f t="shared" si="49"/>
        <v>-0.0162790697674418</v>
      </c>
      <c r="BA90" s="25">
        <f t="shared" si="40"/>
        <v>43941</v>
      </c>
      <c r="BB90" s="28">
        <f t="shared" si="40"/>
        <v>2.936</v>
      </c>
      <c r="BC90" s="28">
        <f t="shared" si="10"/>
        <v>3.11</v>
      </c>
      <c r="BD90" s="28">
        <f t="shared" si="21"/>
        <v>5.404</v>
      </c>
      <c r="BE90" s="28">
        <f t="shared" si="11"/>
        <v>5.53</v>
      </c>
      <c r="BF90" s="28"/>
      <c r="BG90" s="28"/>
      <c r="BH90" s="28"/>
      <c r="BI90" s="28"/>
      <c r="CC90" s="25">
        <f t="shared" si="44"/>
        <v>43920</v>
      </c>
      <c r="CD90" s="29">
        <f t="shared" si="44"/>
        <v>22.452</v>
      </c>
      <c r="CE90" s="29">
        <f t="shared" si="23"/>
        <v>18.38</v>
      </c>
      <c r="DP90" s="35">
        <v>43605</v>
      </c>
      <c r="DQ90" s="26">
        <v>3</v>
      </c>
      <c r="DR90" s="26">
        <v>2.85</v>
      </c>
      <c r="DS90" s="26">
        <v>2.925</v>
      </c>
      <c r="DU90" s="35">
        <v>43605</v>
      </c>
      <c r="DV90" s="26">
        <v>6.2</v>
      </c>
      <c r="DW90" s="26">
        <v>6</v>
      </c>
      <c r="DX90" s="26">
        <v>6.1</v>
      </c>
      <c r="DZ90" s="35">
        <v>43605</v>
      </c>
      <c r="EA90" s="26">
        <v>12.4</v>
      </c>
      <c r="EB90" s="26">
        <v>12.3</v>
      </c>
      <c r="EC90" s="26">
        <v>12.35</v>
      </c>
    </row>
    <row r="91" ht="16.8" spans="3:133">
      <c r="C91" s="5" t="str" cm="1">
        <f t="array" ref="C91">_xlfn.IFS(MONTH(D91)&lt;4,1,MONTH(D91)&lt;7,2,MONTH(D91)&lt;10,3,MONTH(D91)&gt;9,4)&amp;"Q"&amp;RIGHT(YEAR(D91),2)</f>
        <v>2Q20</v>
      </c>
      <c r="D91" s="2">
        <f t="shared" si="14"/>
        <v>43951</v>
      </c>
      <c r="E91" s="25">
        <v>43948</v>
      </c>
      <c r="F91" s="26">
        <v>2.925</v>
      </c>
      <c r="G91" s="26">
        <v>5.402</v>
      </c>
      <c r="H91" s="27"/>
      <c r="I91" s="28">
        <f t="shared" si="15"/>
        <v>0.09140625</v>
      </c>
      <c r="J91" s="28">
        <f t="shared" ref="J91:J154" si="50">G91/512*8</f>
        <v>0.08440625</v>
      </c>
      <c r="K91" s="28">
        <f t="shared" ref="K91:K154" si="51">H91/1024*8</f>
        <v>0</v>
      </c>
      <c r="M91" s="36">
        <f t="shared" si="24"/>
        <v>-0.00374659400544963</v>
      </c>
      <c r="N91" s="36">
        <f t="shared" si="28"/>
        <v>-0.0660919540229886</v>
      </c>
      <c r="O91" s="36">
        <f t="shared" si="29"/>
        <v>-0.0693604836143812</v>
      </c>
      <c r="P91" s="36">
        <f t="shared" si="30"/>
        <v>-0.00037009622501849</v>
      </c>
      <c r="Q91" s="36">
        <f t="shared" si="31"/>
        <v>-0.0375913058970249</v>
      </c>
      <c r="R91" s="36">
        <f t="shared" si="32"/>
        <v>-0.0398151439744046</v>
      </c>
      <c r="S91" s="36"/>
      <c r="T91" s="36"/>
      <c r="U91" s="36"/>
      <c r="W91" s="5" t="str" cm="1">
        <f t="array" ref="W91">_xlfn.IFS(MONTH(X91)&lt;4,1,MONTH(X91)&lt;7,2,MONTH(X91)&lt;10,3,MONTH(X91)&gt;9,4)&amp;"Q"&amp;RIGHT(YEAR(X91),2)</f>
        <v>2Q20</v>
      </c>
      <c r="X91" s="2">
        <f t="shared" si="16"/>
        <v>43951</v>
      </c>
      <c r="Y91" s="25">
        <v>43927</v>
      </c>
      <c r="Z91" s="29">
        <v>22.452</v>
      </c>
      <c r="AD91" s="36">
        <f t="shared" si="25"/>
        <v>0</v>
      </c>
      <c r="AE91" s="36">
        <f t="shared" si="33"/>
        <v>0</v>
      </c>
      <c r="AF91" s="36">
        <f t="shared" si="34"/>
        <v>-0.0104892022917584</v>
      </c>
      <c r="AJ91" s="5" t="str" cm="1">
        <f t="array" ref="AJ91">_xlfn.IFS(MONTH(AK91)&lt;4,1,MONTH(AK91)&lt;7,2,MONTH(AK91)&lt;10,3,MONTH(AK91)&gt;9,4)&amp;"Q"&amp;RIGHT(YEAR(AK91),2)</f>
        <v>1Q23</v>
      </c>
      <c r="AK91" s="2">
        <f t="shared" si="17"/>
        <v>44957</v>
      </c>
      <c r="AL91" s="50">
        <f t="shared" si="35"/>
        <v>44957</v>
      </c>
      <c r="AM91" s="56">
        <v>1.22</v>
      </c>
      <c r="AN91" s="56">
        <v>2.11</v>
      </c>
      <c r="AO91" s="56">
        <v>4.21</v>
      </c>
      <c r="AP91" s="56">
        <v>4.18</v>
      </c>
      <c r="AQ91" s="36"/>
      <c r="AR91" s="53">
        <f t="shared" ref="AR91:AR131" si="52">AM91/256*8</f>
        <v>0.038125</v>
      </c>
      <c r="AS91" s="53">
        <f t="shared" si="38"/>
        <v>0.03296875</v>
      </c>
      <c r="AT91" s="53">
        <f t="shared" si="48"/>
        <v>0.032890625</v>
      </c>
      <c r="AU91" s="53">
        <f t="shared" si="48"/>
        <v>0.03265625</v>
      </c>
      <c r="AV91" s="46">
        <f t="shared" si="49"/>
        <v>-0.00813008130081305</v>
      </c>
      <c r="AW91" s="46">
        <f t="shared" si="49"/>
        <v>-0.0140186915887852</v>
      </c>
      <c r="AX91" s="46">
        <f t="shared" si="49"/>
        <v>-0.016355140186916</v>
      </c>
      <c r="AY91" s="46">
        <f t="shared" si="49"/>
        <v>-0.0118203309692673</v>
      </c>
      <c r="BA91" s="25">
        <f t="shared" si="40"/>
        <v>43948</v>
      </c>
      <c r="BB91" s="28">
        <f t="shared" si="40"/>
        <v>2.925</v>
      </c>
      <c r="BC91" s="28">
        <f t="shared" ref="BC91:BC154" si="53">INDEX($AM:$AQ,MATCH($D91,$AK:$AK,0),MATCH(BB$25,$AM$26:$AQ$26,0))</f>
        <v>3.11</v>
      </c>
      <c r="BD91" s="28">
        <f t="shared" si="21"/>
        <v>5.402</v>
      </c>
      <c r="BE91" s="28">
        <f t="shared" ref="BE91:BE154" si="54">INDEX($AM:$AQ,MATCH($D91,$AK:$AK,0),MATCH(BD$25,$AM$26:$AQ$26,0))</f>
        <v>5.53</v>
      </c>
      <c r="BF91" s="28"/>
      <c r="BG91" s="28"/>
      <c r="BH91" s="28"/>
      <c r="BI91" s="28"/>
      <c r="CC91" s="25">
        <f t="shared" ref="CC91:CD122" si="55">Y91</f>
        <v>43927</v>
      </c>
      <c r="CD91" s="29">
        <f t="shared" si="55"/>
        <v>22.452</v>
      </c>
      <c r="CE91" s="29">
        <f t="shared" si="23"/>
        <v>19.1</v>
      </c>
      <c r="DP91" s="35">
        <v>43606</v>
      </c>
      <c r="DQ91" s="26">
        <v>3</v>
      </c>
      <c r="DR91" s="26">
        <v>2.85</v>
      </c>
      <c r="DS91" s="26">
        <v>2.925</v>
      </c>
      <c r="DU91" s="35">
        <v>43606</v>
      </c>
      <c r="DV91" s="26">
        <v>6.2</v>
      </c>
      <c r="DW91" s="26">
        <v>6</v>
      </c>
      <c r="DX91" s="26">
        <v>6.1</v>
      </c>
      <c r="DZ91" s="35">
        <v>43606</v>
      </c>
      <c r="EA91" s="26">
        <v>12.4</v>
      </c>
      <c r="EB91" s="26">
        <v>12.3</v>
      </c>
      <c r="EC91" s="26">
        <v>12.35</v>
      </c>
    </row>
    <row r="92" ht="16.8" spans="3:133">
      <c r="C92" s="5" t="str" cm="1">
        <f t="array" ref="C92">_xlfn.IFS(MONTH(D92)&lt;4,1,MONTH(D92)&lt;7,2,MONTH(D92)&lt;10,3,MONTH(D92)&gt;9,4)&amp;"Q"&amp;RIGHT(YEAR(D92),2)</f>
        <v>2Q20</v>
      </c>
      <c r="D92" s="2">
        <f t="shared" ref="D92:D155" si="56">EOMONTH(E92,0)</f>
        <v>43982</v>
      </c>
      <c r="E92" s="25">
        <v>43955</v>
      </c>
      <c r="F92" s="26">
        <v>2.868</v>
      </c>
      <c r="G92" s="26">
        <v>5.385</v>
      </c>
      <c r="H92" s="27"/>
      <c r="I92" s="28">
        <f t="shared" ref="I92:I155" si="57">F92/256*8</f>
        <v>0.089625</v>
      </c>
      <c r="J92" s="28">
        <f t="shared" si="50"/>
        <v>0.084140625</v>
      </c>
      <c r="K92" s="28">
        <f t="shared" si="51"/>
        <v>0</v>
      </c>
      <c r="M92" s="36">
        <f t="shared" si="24"/>
        <v>-0.0194871794871795</v>
      </c>
      <c r="N92" s="36">
        <f t="shared" si="28"/>
        <v>-0.0231607629427794</v>
      </c>
      <c r="O92" s="36">
        <f t="shared" si="29"/>
        <v>-0.0842911877394636</v>
      </c>
      <c r="P92" s="36">
        <f t="shared" si="30"/>
        <v>-0.00314698259903745</v>
      </c>
      <c r="Q92" s="36">
        <f t="shared" si="31"/>
        <v>-0.00351591413767582</v>
      </c>
      <c r="R92" s="36">
        <f t="shared" si="32"/>
        <v>-0.0406199893105292</v>
      </c>
      <c r="S92" s="36"/>
      <c r="T92" s="36"/>
      <c r="U92" s="36"/>
      <c r="W92" s="5" t="str" cm="1">
        <f t="array" ref="W92">_xlfn.IFS(MONTH(X92)&lt;4,1,MONTH(X92)&lt;7,2,MONTH(X92)&lt;10,3,MONTH(X92)&gt;9,4)&amp;"Q"&amp;RIGHT(YEAR(X92),2)</f>
        <v>2Q20</v>
      </c>
      <c r="X92" s="2">
        <f t="shared" ref="X92:X155" si="58">EOMONTH(Y92,0)</f>
        <v>43951</v>
      </c>
      <c r="Y92" s="25">
        <v>43934</v>
      </c>
      <c r="Z92" s="29">
        <v>21.976</v>
      </c>
      <c r="AD92" s="36">
        <f t="shared" si="25"/>
        <v>-0.0212007838945306</v>
      </c>
      <c r="AE92" s="36">
        <f t="shared" si="33"/>
        <v>-0.0212007838945306</v>
      </c>
      <c r="AF92" s="36">
        <f t="shared" si="34"/>
        <v>-0.0212007838945306</v>
      </c>
      <c r="AJ92" s="5" t="str" cm="1">
        <f t="array" ref="AJ92">_xlfn.IFS(MONTH(AK92)&lt;4,1,MONTH(AK92)&lt;7,2,MONTH(AK92)&lt;10,3,MONTH(AK92)&gt;9,4)&amp;"Q"&amp;RIGHT(YEAR(AK92),2)</f>
        <v>1Q23</v>
      </c>
      <c r="AK92" s="2">
        <f t="shared" ref="AK92:AK131" si="59">EOMONTH(AL92,0)</f>
        <v>44985</v>
      </c>
      <c r="AL92" s="50">
        <f t="shared" si="35"/>
        <v>44985</v>
      </c>
      <c r="AM92" s="56">
        <v>1.22</v>
      </c>
      <c r="AN92" s="56">
        <v>2.11</v>
      </c>
      <c r="AO92" s="56">
        <v>4.21</v>
      </c>
      <c r="AP92" s="56">
        <v>4.18</v>
      </c>
      <c r="AQ92" s="36"/>
      <c r="AR92" s="53">
        <f t="shared" si="52"/>
        <v>0.038125</v>
      </c>
      <c r="AS92" s="53">
        <f t="shared" si="38"/>
        <v>0.03296875</v>
      </c>
      <c r="AT92" s="53">
        <f t="shared" si="48"/>
        <v>0.032890625</v>
      </c>
      <c r="AU92" s="53">
        <f t="shared" si="48"/>
        <v>0.03265625</v>
      </c>
      <c r="AV92" s="46">
        <f t="shared" si="49"/>
        <v>0</v>
      </c>
      <c r="AW92" s="46">
        <f t="shared" si="49"/>
        <v>0</v>
      </c>
      <c r="AX92" s="46">
        <f t="shared" si="49"/>
        <v>0</v>
      </c>
      <c r="AY92" s="46">
        <f t="shared" si="49"/>
        <v>0</v>
      </c>
      <c r="BA92" s="25">
        <f t="shared" si="40"/>
        <v>43955</v>
      </c>
      <c r="BB92" s="28">
        <f t="shared" si="40"/>
        <v>2.868</v>
      </c>
      <c r="BC92" s="28">
        <f t="shared" si="53"/>
        <v>3.09</v>
      </c>
      <c r="BD92" s="28">
        <f t="shared" ref="BD92:BD155" si="60">G92</f>
        <v>5.385</v>
      </c>
      <c r="BE92" s="28">
        <f t="shared" si="54"/>
        <v>5.49</v>
      </c>
      <c r="BF92" s="28"/>
      <c r="BG92" s="28"/>
      <c r="BH92" s="28"/>
      <c r="BI92" s="28"/>
      <c r="CC92" s="25">
        <f t="shared" si="55"/>
        <v>43934</v>
      </c>
      <c r="CD92" s="29">
        <f t="shared" si="55"/>
        <v>21.976</v>
      </c>
      <c r="CE92" s="29">
        <f t="shared" ref="CE92:CE155" si="61">INDEX($BL$27:$BQ$89,MATCH($W92,$BK$27:$BK$89,0),MATCH(CD$25,$BL$26:$BQ$26,0))</f>
        <v>19.1</v>
      </c>
      <c r="DP92" s="35">
        <v>43607</v>
      </c>
      <c r="DQ92" s="26">
        <v>3</v>
      </c>
      <c r="DR92" s="26">
        <v>2.85</v>
      </c>
      <c r="DS92" s="26">
        <v>2.93</v>
      </c>
      <c r="DU92" s="35">
        <v>43607</v>
      </c>
      <c r="DV92" s="26">
        <v>6.2</v>
      </c>
      <c r="DW92" s="26">
        <v>6.05</v>
      </c>
      <c r="DX92" s="26">
        <v>6.125</v>
      </c>
      <c r="DZ92" s="35">
        <v>43607</v>
      </c>
      <c r="EA92" s="26">
        <v>12.45</v>
      </c>
      <c r="EB92" s="26">
        <v>12.35</v>
      </c>
      <c r="EC92" s="26">
        <v>12.4</v>
      </c>
    </row>
    <row r="93" ht="16.8" spans="3:133">
      <c r="C93" s="5" t="str" cm="1">
        <f t="array" ref="C93">_xlfn.IFS(MONTH(D93)&lt;4,1,MONTH(D93)&lt;7,2,MONTH(D93)&lt;10,3,MONTH(D93)&gt;9,4)&amp;"Q"&amp;RIGHT(YEAR(D93),2)</f>
        <v>2Q20</v>
      </c>
      <c r="D93" s="2">
        <f t="shared" si="56"/>
        <v>43982</v>
      </c>
      <c r="E93" s="25">
        <v>43962</v>
      </c>
      <c r="F93" s="26">
        <v>2.845</v>
      </c>
      <c r="G93" s="26">
        <v>5.37</v>
      </c>
      <c r="H93" s="27"/>
      <c r="I93" s="28">
        <f t="shared" si="57"/>
        <v>0.08890625</v>
      </c>
      <c r="J93" s="28">
        <f t="shared" si="50"/>
        <v>0.08390625</v>
      </c>
      <c r="K93" s="28">
        <f t="shared" si="51"/>
        <v>0</v>
      </c>
      <c r="M93" s="36">
        <f t="shared" ref="M93:M156" si="62">$F93/$F92-1</f>
        <v>-0.00801952580195242</v>
      </c>
      <c r="N93" s="36">
        <f t="shared" si="28"/>
        <v>-0.0273504273504273</v>
      </c>
      <c r="O93" s="36">
        <f t="shared" si="29"/>
        <v>-0.0309945504087192</v>
      </c>
      <c r="P93" s="36">
        <f t="shared" si="30"/>
        <v>-0.00278551532033422</v>
      </c>
      <c r="Q93" s="36">
        <f t="shared" si="31"/>
        <v>-0.00592373195112916</v>
      </c>
      <c r="R93" s="36">
        <f t="shared" si="32"/>
        <v>-0.00629163582531456</v>
      </c>
      <c r="S93" s="36"/>
      <c r="T93" s="36"/>
      <c r="U93" s="36"/>
      <c r="W93" s="5" t="str" cm="1">
        <f t="array" ref="W93">_xlfn.IFS(MONTH(X93)&lt;4,1,MONTH(X93)&lt;7,2,MONTH(X93)&lt;10,3,MONTH(X93)&gt;9,4)&amp;"Q"&amp;RIGHT(YEAR(X93),2)</f>
        <v>2Q20</v>
      </c>
      <c r="X93" s="2">
        <f t="shared" si="58"/>
        <v>43951</v>
      </c>
      <c r="Y93" s="25">
        <v>43941</v>
      </c>
      <c r="Z93" s="29">
        <v>21.976</v>
      </c>
      <c r="AD93" s="36">
        <f t="shared" ref="AD93:AD156" si="63">Z93/Z92-1</f>
        <v>0</v>
      </c>
      <c r="AE93" s="36">
        <f t="shared" si="33"/>
        <v>-0.0212007838945306</v>
      </c>
      <c r="AF93" s="36">
        <f t="shared" si="34"/>
        <v>-0.0212007838945306</v>
      </c>
      <c r="AJ93" s="5" t="str" cm="1">
        <f t="array" ref="AJ93">_xlfn.IFS(MONTH(AK93)&lt;4,1,MONTH(AK93)&lt;7,2,MONTH(AK93)&lt;10,3,MONTH(AK93)&gt;9,4)&amp;"Q"&amp;RIGHT(YEAR(AK93),2)</f>
        <v>1Q23</v>
      </c>
      <c r="AK93" s="2">
        <f t="shared" si="59"/>
        <v>45016</v>
      </c>
      <c r="AL93" s="50">
        <f t="shared" si="35"/>
        <v>45016</v>
      </c>
      <c r="AM93" s="56">
        <v>1.13</v>
      </c>
      <c r="AN93" s="56">
        <v>1.85</v>
      </c>
      <c r="AO93" s="56">
        <v>3.86</v>
      </c>
      <c r="AP93" s="56">
        <v>3.84</v>
      </c>
      <c r="AQ93" s="36"/>
      <c r="AR93" s="53">
        <f t="shared" si="52"/>
        <v>0.0353125</v>
      </c>
      <c r="AS93" s="53">
        <f t="shared" si="38"/>
        <v>0.02890625</v>
      </c>
      <c r="AT93" s="53">
        <f t="shared" si="48"/>
        <v>0.03015625</v>
      </c>
      <c r="AU93" s="53">
        <f t="shared" si="48"/>
        <v>0.03</v>
      </c>
      <c r="AV93" s="46">
        <f t="shared" si="49"/>
        <v>-0.0737704918032788</v>
      </c>
      <c r="AW93" s="46">
        <f t="shared" si="49"/>
        <v>-0.123222748815166</v>
      </c>
      <c r="AX93" s="46">
        <f t="shared" si="49"/>
        <v>-0.0831353919239906</v>
      </c>
      <c r="AY93" s="46">
        <f t="shared" si="49"/>
        <v>-0.0813397129186603</v>
      </c>
      <c r="BA93" s="25">
        <f t="shared" si="40"/>
        <v>43962</v>
      </c>
      <c r="BB93" s="28">
        <f t="shared" si="40"/>
        <v>2.845</v>
      </c>
      <c r="BC93" s="28">
        <f t="shared" si="53"/>
        <v>3.09</v>
      </c>
      <c r="BD93" s="28">
        <f t="shared" si="60"/>
        <v>5.37</v>
      </c>
      <c r="BE93" s="28">
        <f t="shared" si="54"/>
        <v>5.49</v>
      </c>
      <c r="BF93" s="28"/>
      <c r="BG93" s="28"/>
      <c r="BH93" s="28"/>
      <c r="BI93" s="28"/>
      <c r="CC93" s="25">
        <f t="shared" si="55"/>
        <v>43941</v>
      </c>
      <c r="CD93" s="29">
        <f t="shared" si="55"/>
        <v>21.976</v>
      </c>
      <c r="CE93" s="29">
        <f t="shared" si="61"/>
        <v>19.1</v>
      </c>
      <c r="DP93" s="35">
        <v>43608</v>
      </c>
      <c r="DQ93" s="26">
        <v>3</v>
      </c>
      <c r="DR93" s="26">
        <v>2.85</v>
      </c>
      <c r="DS93" s="26">
        <v>2.93</v>
      </c>
      <c r="DU93" s="35">
        <v>43608</v>
      </c>
      <c r="DV93" s="26">
        <v>6.2</v>
      </c>
      <c r="DW93" s="26">
        <v>6.05</v>
      </c>
      <c r="DX93" s="26">
        <v>6.125</v>
      </c>
      <c r="DZ93" s="35">
        <v>43608</v>
      </c>
      <c r="EA93" s="26">
        <v>12.45</v>
      </c>
      <c r="EB93" s="26">
        <v>12.35</v>
      </c>
      <c r="EC93" s="26">
        <v>12.4</v>
      </c>
    </row>
    <row r="94" ht="16.8" spans="3:133">
      <c r="C94" s="5" t="str" cm="1">
        <f t="array" ref="C94">_xlfn.IFS(MONTH(D94)&lt;4,1,MONTH(D94)&lt;7,2,MONTH(D94)&lt;10,3,MONTH(D94)&gt;9,4)&amp;"Q"&amp;RIGHT(YEAR(D94),2)</f>
        <v>2Q20</v>
      </c>
      <c r="D94" s="2">
        <f t="shared" si="56"/>
        <v>43982</v>
      </c>
      <c r="E94" s="25">
        <v>43969</v>
      </c>
      <c r="F94" s="26">
        <v>2.834</v>
      </c>
      <c r="G94" s="26">
        <v>5.348</v>
      </c>
      <c r="H94" s="27"/>
      <c r="I94" s="28">
        <f t="shared" si="57"/>
        <v>0.0885625</v>
      </c>
      <c r="J94" s="28">
        <f t="shared" si="50"/>
        <v>0.0835625</v>
      </c>
      <c r="K94" s="28">
        <f t="shared" si="51"/>
        <v>0</v>
      </c>
      <c r="M94" s="36">
        <f t="shared" si="62"/>
        <v>-0.00386643233743411</v>
      </c>
      <c r="N94" s="36">
        <f t="shared" si="28"/>
        <v>-0.0118549511854951</v>
      </c>
      <c r="O94" s="36">
        <f t="shared" si="29"/>
        <v>-0.031111111111111</v>
      </c>
      <c r="P94" s="36">
        <f t="shared" si="30"/>
        <v>-0.00409683426443208</v>
      </c>
      <c r="Q94" s="36">
        <f t="shared" si="31"/>
        <v>-0.00687093779015779</v>
      </c>
      <c r="R94" s="36">
        <f t="shared" si="32"/>
        <v>-0.00999629766753063</v>
      </c>
      <c r="S94" s="36"/>
      <c r="T94" s="36"/>
      <c r="U94" s="36"/>
      <c r="W94" s="5" t="str" cm="1">
        <f t="array" ref="W94">_xlfn.IFS(MONTH(X94)&lt;4,1,MONTH(X94)&lt;7,2,MONTH(X94)&lt;10,3,MONTH(X94)&gt;9,4)&amp;"Q"&amp;RIGHT(YEAR(X94),2)</f>
        <v>2Q20</v>
      </c>
      <c r="X94" s="2">
        <f t="shared" si="58"/>
        <v>43951</v>
      </c>
      <c r="Y94" s="25">
        <v>43948</v>
      </c>
      <c r="Z94" s="29">
        <v>21.976</v>
      </c>
      <c r="AD94" s="36">
        <f t="shared" si="63"/>
        <v>0</v>
      </c>
      <c r="AE94" s="36">
        <f t="shared" si="33"/>
        <v>0</v>
      </c>
      <c r="AF94" s="36">
        <f t="shared" si="34"/>
        <v>-0.0212007838945306</v>
      </c>
      <c r="AJ94" s="5" t="str" cm="1">
        <f t="array" ref="AJ94">_xlfn.IFS(MONTH(AK94)&lt;4,1,MONTH(AK94)&lt;7,2,MONTH(AK94)&lt;10,3,MONTH(AK94)&gt;9,4)&amp;"Q"&amp;RIGHT(YEAR(AK94),2)</f>
        <v>2Q23</v>
      </c>
      <c r="AK94" s="2">
        <f t="shared" si="59"/>
        <v>45046</v>
      </c>
      <c r="AL94" s="50">
        <f t="shared" si="35"/>
        <v>45046</v>
      </c>
      <c r="AM94" s="56">
        <v>1.07</v>
      </c>
      <c r="AN94" s="56">
        <v>1.74</v>
      </c>
      <c r="AO94" s="56">
        <v>3.62</v>
      </c>
      <c r="AP94" s="56">
        <v>3.6</v>
      </c>
      <c r="AQ94" s="36"/>
      <c r="AR94" s="53">
        <f t="shared" si="52"/>
        <v>0.0334375</v>
      </c>
      <c r="AS94" s="53">
        <f t="shared" si="38"/>
        <v>0.0271875</v>
      </c>
      <c r="AT94" s="53">
        <f t="shared" si="48"/>
        <v>0.02828125</v>
      </c>
      <c r="AU94" s="53">
        <f t="shared" si="48"/>
        <v>0.028125</v>
      </c>
      <c r="AV94" s="46">
        <f t="shared" si="49"/>
        <v>-0.0530973451327432</v>
      </c>
      <c r="AW94" s="46">
        <f t="shared" si="49"/>
        <v>-0.0594594594594595</v>
      </c>
      <c r="AX94" s="46">
        <f t="shared" si="49"/>
        <v>-0.0621761658031087</v>
      </c>
      <c r="AY94" s="46">
        <f t="shared" si="49"/>
        <v>-0.0624999999999999</v>
      </c>
      <c r="BA94" s="25">
        <f t="shared" si="40"/>
        <v>43969</v>
      </c>
      <c r="BB94" s="28">
        <f t="shared" si="40"/>
        <v>2.834</v>
      </c>
      <c r="BC94" s="28">
        <f t="shared" si="53"/>
        <v>3.09</v>
      </c>
      <c r="BD94" s="28">
        <f t="shared" si="60"/>
        <v>5.348</v>
      </c>
      <c r="BE94" s="28">
        <f t="shared" si="54"/>
        <v>5.49</v>
      </c>
      <c r="BF94" s="28"/>
      <c r="BG94" s="28"/>
      <c r="BH94" s="28"/>
      <c r="BI94" s="28"/>
      <c r="CC94" s="25">
        <f t="shared" si="55"/>
        <v>43948</v>
      </c>
      <c r="CD94" s="29">
        <f t="shared" si="55"/>
        <v>21.976</v>
      </c>
      <c r="CE94" s="29">
        <f t="shared" si="61"/>
        <v>19.1</v>
      </c>
      <c r="DP94" s="35">
        <v>43609</v>
      </c>
      <c r="DQ94" s="26">
        <v>3</v>
      </c>
      <c r="DR94" s="26">
        <v>2.9</v>
      </c>
      <c r="DS94" s="26">
        <v>2.935</v>
      </c>
      <c r="DU94" s="35">
        <v>43609</v>
      </c>
      <c r="DV94" s="26">
        <v>6.25</v>
      </c>
      <c r="DW94" s="26">
        <v>6.05</v>
      </c>
      <c r="DX94" s="26">
        <v>6.15</v>
      </c>
      <c r="DZ94" s="35">
        <v>43609</v>
      </c>
      <c r="EA94" s="26">
        <v>12.5</v>
      </c>
      <c r="EB94" s="26">
        <v>12.4</v>
      </c>
      <c r="EC94" s="26">
        <v>12.45</v>
      </c>
    </row>
    <row r="95" ht="16.8" spans="3:133">
      <c r="C95" s="5" t="str" cm="1">
        <f t="array" ref="C95">_xlfn.IFS(MONTH(D95)&lt;4,1,MONTH(D95)&lt;7,2,MONTH(D95)&lt;10,3,MONTH(D95)&gt;9,4)&amp;"Q"&amp;RIGHT(YEAR(D95),2)</f>
        <v>2Q20</v>
      </c>
      <c r="D95" s="2">
        <f t="shared" si="56"/>
        <v>43982</v>
      </c>
      <c r="E95" s="25">
        <v>43976</v>
      </c>
      <c r="F95" s="26">
        <v>2.784</v>
      </c>
      <c r="G95" s="26">
        <v>5.326</v>
      </c>
      <c r="H95" s="27"/>
      <c r="I95" s="28">
        <f t="shared" si="57"/>
        <v>0.087</v>
      </c>
      <c r="J95" s="28">
        <f t="shared" si="50"/>
        <v>0.08321875</v>
      </c>
      <c r="K95" s="28">
        <f t="shared" si="51"/>
        <v>0</v>
      </c>
      <c r="M95" s="36">
        <f t="shared" si="62"/>
        <v>-0.0176429075511645</v>
      </c>
      <c r="N95" s="36">
        <f t="shared" ref="N95:N158" si="64">$F95/$F93-1</f>
        <v>-0.0214411247803165</v>
      </c>
      <c r="O95" s="36">
        <f t="shared" ref="O95:O158" si="65">$F95/$F92-1</f>
        <v>-0.0292887029288703</v>
      </c>
      <c r="P95" s="36">
        <f t="shared" ref="P95:P158" si="66">$G95/$G94-1</f>
        <v>-0.0041136873597607</v>
      </c>
      <c r="Q95" s="36">
        <f t="shared" ref="Q95:Q158" si="67">$G95/$G93-1</f>
        <v>-0.00819366852886416</v>
      </c>
      <c r="R95" s="36">
        <f t="shared" ref="R95:R158" si="68">$G95/$G92-1</f>
        <v>-0.0109563602599815</v>
      </c>
      <c r="S95" s="36"/>
      <c r="T95" s="36"/>
      <c r="U95" s="36"/>
      <c r="W95" s="5" t="str" cm="1">
        <f t="array" ref="W95">_xlfn.IFS(MONTH(X95)&lt;4,1,MONTH(X95)&lt;7,2,MONTH(X95)&lt;10,3,MONTH(X95)&gt;9,4)&amp;"Q"&amp;RIGHT(YEAR(X95),2)</f>
        <v>2Q20</v>
      </c>
      <c r="X95" s="2">
        <f t="shared" si="58"/>
        <v>43982</v>
      </c>
      <c r="Y95" s="25">
        <v>43955</v>
      </c>
      <c r="Z95" s="29">
        <v>21.786</v>
      </c>
      <c r="AD95" s="36">
        <f t="shared" si="63"/>
        <v>-0.00864579541317789</v>
      </c>
      <c r="AE95" s="36">
        <f t="shared" ref="AE95:AE158" si="69">Z95/Z93-1</f>
        <v>-0.00864579541317789</v>
      </c>
      <c r="AF95" s="36">
        <f t="shared" ref="AF95:AF158" si="70">Z95/Z92-1</f>
        <v>-0.00864579541317789</v>
      </c>
      <c r="AJ95" s="5" t="str" cm="1">
        <f t="array" ref="AJ95">_xlfn.IFS(MONTH(AK95)&lt;4,1,MONTH(AK95)&lt;7,2,MONTH(AK95)&lt;10,3,MONTH(AK95)&gt;9,4)&amp;"Q"&amp;RIGHT(YEAR(AK95),2)</f>
        <v>2Q23</v>
      </c>
      <c r="AK95" s="2">
        <f t="shared" si="59"/>
        <v>45077</v>
      </c>
      <c r="AL95" s="50">
        <f t="shared" ref="AL95:AL131" si="71">EOMONTH(AL94,1)</f>
        <v>45077</v>
      </c>
      <c r="AM95" s="56">
        <v>1.07</v>
      </c>
      <c r="AN95" s="56">
        <v>1.74</v>
      </c>
      <c r="AO95" s="56">
        <v>3.62</v>
      </c>
      <c r="AP95" s="56">
        <v>3.6</v>
      </c>
      <c r="AQ95" s="36"/>
      <c r="AR95" s="53">
        <f t="shared" si="52"/>
        <v>0.0334375</v>
      </c>
      <c r="AS95" s="53">
        <f t="shared" si="38"/>
        <v>0.0271875</v>
      </c>
      <c r="AT95" s="53">
        <f t="shared" si="48"/>
        <v>0.02828125</v>
      </c>
      <c r="AU95" s="53">
        <f t="shared" si="48"/>
        <v>0.028125</v>
      </c>
      <c r="AV95" s="46">
        <f t="shared" si="49"/>
        <v>0</v>
      </c>
      <c r="AW95" s="46">
        <f t="shared" si="49"/>
        <v>0</v>
      </c>
      <c r="AX95" s="46">
        <f t="shared" si="49"/>
        <v>0</v>
      </c>
      <c r="AY95" s="46">
        <f t="shared" si="49"/>
        <v>0</v>
      </c>
      <c r="BA95" s="25">
        <f t="shared" si="40"/>
        <v>43976</v>
      </c>
      <c r="BB95" s="28">
        <f t="shared" si="40"/>
        <v>2.784</v>
      </c>
      <c r="BC95" s="28">
        <f t="shared" si="53"/>
        <v>3.09</v>
      </c>
      <c r="BD95" s="28">
        <f t="shared" si="60"/>
        <v>5.326</v>
      </c>
      <c r="BE95" s="28">
        <f t="shared" si="54"/>
        <v>5.49</v>
      </c>
      <c r="BF95" s="28"/>
      <c r="BG95" s="28"/>
      <c r="BH95" s="28"/>
      <c r="BI95" s="28"/>
      <c r="CC95" s="25">
        <f t="shared" si="55"/>
        <v>43955</v>
      </c>
      <c r="CD95" s="29">
        <f t="shared" si="55"/>
        <v>21.786</v>
      </c>
      <c r="CE95" s="29">
        <f t="shared" si="61"/>
        <v>19.1</v>
      </c>
      <c r="DP95" s="35">
        <v>43612</v>
      </c>
      <c r="DQ95" s="26">
        <v>3</v>
      </c>
      <c r="DR95" s="26">
        <v>2.9</v>
      </c>
      <c r="DS95" s="26">
        <v>2.935</v>
      </c>
      <c r="DU95" s="35">
        <v>43612</v>
      </c>
      <c r="DV95" s="26">
        <v>6.25</v>
      </c>
      <c r="DW95" s="26">
        <v>6.05</v>
      </c>
      <c r="DX95" s="26">
        <v>6.15</v>
      </c>
      <c r="DZ95" s="35">
        <v>43612</v>
      </c>
      <c r="EA95" s="26">
        <v>12.5</v>
      </c>
      <c r="EB95" s="26">
        <v>12.4</v>
      </c>
      <c r="EC95" s="26">
        <v>12.45</v>
      </c>
    </row>
    <row r="96" ht="16.8" spans="3:133">
      <c r="C96" s="5" t="str" cm="1">
        <f t="array" ref="C96">_xlfn.IFS(MONTH(D96)&lt;4,1,MONTH(D96)&lt;7,2,MONTH(D96)&lt;10,3,MONTH(D96)&gt;9,4)&amp;"Q"&amp;RIGHT(YEAR(D96),2)</f>
        <v>2Q20</v>
      </c>
      <c r="D96" s="2">
        <f t="shared" si="56"/>
        <v>44012</v>
      </c>
      <c r="E96" s="25">
        <v>43983</v>
      </c>
      <c r="F96" s="26">
        <v>2.679</v>
      </c>
      <c r="G96" s="26">
        <v>5.264</v>
      </c>
      <c r="H96" s="27"/>
      <c r="I96" s="28">
        <f t="shared" si="57"/>
        <v>0.08371875</v>
      </c>
      <c r="J96" s="28">
        <f t="shared" si="50"/>
        <v>0.08225</v>
      </c>
      <c r="K96" s="28">
        <f t="shared" si="51"/>
        <v>0</v>
      </c>
      <c r="M96" s="36">
        <f t="shared" si="62"/>
        <v>-0.0377155172413793</v>
      </c>
      <c r="N96" s="36">
        <f t="shared" si="64"/>
        <v>-0.0546930134086099</v>
      </c>
      <c r="O96" s="36">
        <f t="shared" si="65"/>
        <v>-0.0583479789103692</v>
      </c>
      <c r="P96" s="36">
        <f t="shared" si="66"/>
        <v>-0.0116410063837776</v>
      </c>
      <c r="Q96" s="36">
        <f t="shared" si="67"/>
        <v>-0.0157068062827225</v>
      </c>
      <c r="R96" s="36">
        <f t="shared" si="68"/>
        <v>-0.0197392923649906</v>
      </c>
      <c r="S96" s="36"/>
      <c r="T96" s="36"/>
      <c r="U96" s="36"/>
      <c r="W96" s="5" t="str" cm="1">
        <f t="array" ref="W96">_xlfn.IFS(MONTH(X96)&lt;4,1,MONTH(X96)&lt;7,2,MONTH(X96)&lt;10,3,MONTH(X96)&gt;9,4)&amp;"Q"&amp;RIGHT(YEAR(X96),2)</f>
        <v>2Q20</v>
      </c>
      <c r="X96" s="2">
        <f t="shared" si="58"/>
        <v>43982</v>
      </c>
      <c r="Y96" s="25">
        <v>43962</v>
      </c>
      <c r="Z96" s="29">
        <v>21.786</v>
      </c>
      <c r="AD96" s="36">
        <f t="shared" si="63"/>
        <v>0</v>
      </c>
      <c r="AE96" s="36">
        <f t="shared" si="69"/>
        <v>-0.00864579541317789</v>
      </c>
      <c r="AF96" s="36">
        <f t="shared" si="70"/>
        <v>-0.00864579541317789</v>
      </c>
      <c r="AJ96" s="5" t="str" cm="1">
        <f t="array" ref="AJ96">_xlfn.IFS(MONTH(AK96)&lt;4,1,MONTH(AK96)&lt;7,2,MONTH(AK96)&lt;10,3,MONTH(AK96)&gt;9,4)&amp;"Q"&amp;RIGHT(YEAR(AK96),2)</f>
        <v>2Q23</v>
      </c>
      <c r="AK96" s="2">
        <f t="shared" si="59"/>
        <v>45107</v>
      </c>
      <c r="AL96" s="50">
        <f t="shared" si="71"/>
        <v>45107</v>
      </c>
      <c r="AM96" s="56">
        <v>1.07</v>
      </c>
      <c r="AN96" s="56">
        <v>1.74</v>
      </c>
      <c r="AO96" s="56">
        <v>3.62</v>
      </c>
      <c r="AP96" s="56">
        <v>3.6</v>
      </c>
      <c r="AQ96" s="36"/>
      <c r="AR96" s="53">
        <f t="shared" si="52"/>
        <v>0.0334375</v>
      </c>
      <c r="AS96" s="53">
        <f t="shared" si="38"/>
        <v>0.0271875</v>
      </c>
      <c r="AT96" s="53">
        <f t="shared" si="48"/>
        <v>0.02828125</v>
      </c>
      <c r="AU96" s="53">
        <f t="shared" si="48"/>
        <v>0.028125</v>
      </c>
      <c r="AV96" s="46">
        <f t="shared" si="49"/>
        <v>0</v>
      </c>
      <c r="AW96" s="46">
        <f t="shared" si="49"/>
        <v>0</v>
      </c>
      <c r="AX96" s="46">
        <f t="shared" si="49"/>
        <v>0</v>
      </c>
      <c r="AY96" s="46">
        <f t="shared" si="49"/>
        <v>0</v>
      </c>
      <c r="BA96" s="25">
        <f t="shared" si="40"/>
        <v>43983</v>
      </c>
      <c r="BB96" s="28">
        <f t="shared" si="40"/>
        <v>2.679</v>
      </c>
      <c r="BC96" s="28">
        <f t="shared" si="53"/>
        <v>3.09</v>
      </c>
      <c r="BD96" s="28">
        <f t="shared" si="60"/>
        <v>5.264</v>
      </c>
      <c r="BE96" s="28">
        <f t="shared" si="54"/>
        <v>5.36</v>
      </c>
      <c r="BF96" s="28"/>
      <c r="BG96" s="28"/>
      <c r="BH96" s="28"/>
      <c r="BI96" s="28"/>
      <c r="CC96" s="25">
        <f t="shared" si="55"/>
        <v>43962</v>
      </c>
      <c r="CD96" s="29">
        <f t="shared" si="55"/>
        <v>21.786</v>
      </c>
      <c r="CE96" s="29">
        <f t="shared" si="61"/>
        <v>19.1</v>
      </c>
      <c r="DP96" s="35">
        <v>43613</v>
      </c>
      <c r="DQ96" s="26">
        <v>3.1</v>
      </c>
      <c r="DR96" s="26">
        <v>2.9</v>
      </c>
      <c r="DS96" s="26">
        <v>2.974</v>
      </c>
      <c r="DU96" s="35">
        <v>43613</v>
      </c>
      <c r="DV96" s="26">
        <v>6.25</v>
      </c>
      <c r="DW96" s="26">
        <v>6.1</v>
      </c>
      <c r="DX96" s="26">
        <v>6.16</v>
      </c>
      <c r="DZ96" s="35">
        <v>43613</v>
      </c>
      <c r="EA96" s="26">
        <v>12.55</v>
      </c>
      <c r="EB96" s="26">
        <v>12.45</v>
      </c>
      <c r="EC96" s="26">
        <v>12.5</v>
      </c>
    </row>
    <row r="97" ht="16.8" spans="3:133">
      <c r="C97" s="5" t="str" cm="1">
        <f t="array" ref="C97">_xlfn.IFS(MONTH(D97)&lt;4,1,MONTH(D97)&lt;7,2,MONTH(D97)&lt;10,3,MONTH(D97)&gt;9,4)&amp;"Q"&amp;RIGHT(YEAR(D97),2)</f>
        <v>2Q20</v>
      </c>
      <c r="D97" s="2">
        <f t="shared" si="56"/>
        <v>44012</v>
      </c>
      <c r="E97" s="25">
        <v>43990</v>
      </c>
      <c r="F97" s="26">
        <v>2.625</v>
      </c>
      <c r="G97" s="26">
        <v>5.256</v>
      </c>
      <c r="H97" s="27"/>
      <c r="I97" s="28">
        <f t="shared" si="57"/>
        <v>0.08203125</v>
      </c>
      <c r="J97" s="28">
        <f t="shared" si="50"/>
        <v>0.082125</v>
      </c>
      <c r="K97" s="28">
        <f t="shared" si="51"/>
        <v>0</v>
      </c>
      <c r="M97" s="36">
        <f t="shared" si="62"/>
        <v>-0.0201567749160134</v>
      </c>
      <c r="N97" s="36">
        <f t="shared" si="64"/>
        <v>-0.0571120689655171</v>
      </c>
      <c r="O97" s="36">
        <f t="shared" si="65"/>
        <v>-0.0737473535638673</v>
      </c>
      <c r="P97" s="36">
        <f t="shared" si="66"/>
        <v>-0.00151975683890582</v>
      </c>
      <c r="Q97" s="36">
        <f t="shared" si="67"/>
        <v>-0.0131430717236198</v>
      </c>
      <c r="R97" s="36">
        <f t="shared" si="68"/>
        <v>-0.0172026925953627</v>
      </c>
      <c r="S97" s="36"/>
      <c r="T97" s="36"/>
      <c r="U97" s="36"/>
      <c r="W97" s="5" t="str" cm="1">
        <f t="array" ref="W97">_xlfn.IFS(MONTH(X97)&lt;4,1,MONTH(X97)&lt;7,2,MONTH(X97)&lt;10,3,MONTH(X97)&gt;9,4)&amp;"Q"&amp;RIGHT(YEAR(X97),2)</f>
        <v>2Q20</v>
      </c>
      <c r="X97" s="2">
        <f t="shared" si="58"/>
        <v>43982</v>
      </c>
      <c r="Y97" s="25">
        <v>43969</v>
      </c>
      <c r="Z97" s="29">
        <v>21.767</v>
      </c>
      <c r="AD97" s="36">
        <f t="shared" si="63"/>
        <v>-0.000872119709905528</v>
      </c>
      <c r="AE97" s="36">
        <f t="shared" si="69"/>
        <v>-0.000872119709905528</v>
      </c>
      <c r="AF97" s="36">
        <f t="shared" si="70"/>
        <v>-0.0095103749544958</v>
      </c>
      <c r="AJ97" s="5" t="str" cm="1">
        <f t="array" ref="AJ97">_xlfn.IFS(MONTH(AK97)&lt;4,1,MONTH(AK97)&lt;7,2,MONTH(AK97)&lt;10,3,MONTH(AK97)&gt;9,4)&amp;"Q"&amp;RIGHT(YEAR(AK97),2)</f>
        <v>3Q23</v>
      </c>
      <c r="AK97" s="2">
        <f t="shared" si="59"/>
        <v>45138</v>
      </c>
      <c r="AL97" s="50">
        <f t="shared" si="71"/>
        <v>45138</v>
      </c>
      <c r="AM97" s="56">
        <v>1.07</v>
      </c>
      <c r="AN97" s="56">
        <v>1.74</v>
      </c>
      <c r="AO97" s="56">
        <v>3.62</v>
      </c>
      <c r="AP97" s="56">
        <v>3.6</v>
      </c>
      <c r="AQ97" s="36"/>
      <c r="AR97" s="53">
        <f t="shared" si="52"/>
        <v>0.0334375</v>
      </c>
      <c r="AS97" s="53">
        <f t="shared" si="38"/>
        <v>0.0271875</v>
      </c>
      <c r="AT97" s="53">
        <f t="shared" ref="AT97:AU112" si="72">AO97/1024*8</f>
        <v>0.02828125</v>
      </c>
      <c r="AU97" s="53">
        <f t="shared" si="72"/>
        <v>0.028125</v>
      </c>
      <c r="AV97" s="46">
        <f t="shared" si="49"/>
        <v>0</v>
      </c>
      <c r="AW97" s="46">
        <f t="shared" si="49"/>
        <v>0</v>
      </c>
      <c r="AX97" s="46">
        <f t="shared" si="49"/>
        <v>0</v>
      </c>
      <c r="AY97" s="46">
        <f t="shared" si="49"/>
        <v>0</v>
      </c>
      <c r="BA97" s="25">
        <f t="shared" si="40"/>
        <v>43990</v>
      </c>
      <c r="BB97" s="28">
        <f t="shared" si="40"/>
        <v>2.625</v>
      </c>
      <c r="BC97" s="28">
        <f t="shared" si="53"/>
        <v>3.09</v>
      </c>
      <c r="BD97" s="28">
        <f t="shared" si="60"/>
        <v>5.256</v>
      </c>
      <c r="BE97" s="28">
        <f t="shared" si="54"/>
        <v>5.36</v>
      </c>
      <c r="BF97" s="28"/>
      <c r="BG97" s="28"/>
      <c r="BH97" s="28"/>
      <c r="BI97" s="28"/>
      <c r="CC97" s="25">
        <f t="shared" si="55"/>
        <v>43969</v>
      </c>
      <c r="CD97" s="29">
        <f t="shared" si="55"/>
        <v>21.767</v>
      </c>
      <c r="CE97" s="29">
        <f t="shared" si="61"/>
        <v>19.1</v>
      </c>
      <c r="DP97" s="35">
        <v>43614</v>
      </c>
      <c r="DQ97" s="26">
        <v>3.1</v>
      </c>
      <c r="DR97" s="26">
        <v>2.9</v>
      </c>
      <c r="DS97" s="26">
        <v>2.974</v>
      </c>
      <c r="DU97" s="35">
        <v>43614</v>
      </c>
      <c r="DV97" s="26">
        <v>6.25</v>
      </c>
      <c r="DW97" s="26">
        <v>6.1</v>
      </c>
      <c r="DX97" s="26">
        <v>6.16</v>
      </c>
      <c r="DZ97" s="35">
        <v>43614</v>
      </c>
      <c r="EA97" s="26">
        <v>12.55</v>
      </c>
      <c r="EB97" s="26">
        <v>12.45</v>
      </c>
      <c r="EC97" s="26">
        <v>12.5</v>
      </c>
    </row>
    <row r="98" ht="16.8" spans="3:133">
      <c r="C98" s="5" t="str" cm="1">
        <f t="array" ref="C98">_xlfn.IFS(MONTH(D98)&lt;4,1,MONTH(D98)&lt;7,2,MONTH(D98)&lt;10,3,MONTH(D98)&gt;9,4)&amp;"Q"&amp;RIGHT(YEAR(D98),2)</f>
        <v>2Q20</v>
      </c>
      <c r="D98" s="2">
        <f t="shared" si="56"/>
        <v>44012</v>
      </c>
      <c r="E98" s="25">
        <v>43997</v>
      </c>
      <c r="F98" s="26">
        <v>2.623</v>
      </c>
      <c r="G98" s="26">
        <v>5.252</v>
      </c>
      <c r="H98" s="27"/>
      <c r="I98" s="28">
        <f t="shared" si="57"/>
        <v>0.08196875</v>
      </c>
      <c r="J98" s="28">
        <f t="shared" si="50"/>
        <v>0.0820625</v>
      </c>
      <c r="K98" s="28">
        <f t="shared" si="51"/>
        <v>0</v>
      </c>
      <c r="M98" s="36">
        <f t="shared" si="62"/>
        <v>-0.00076190476190463</v>
      </c>
      <c r="N98" s="36">
        <f t="shared" si="64"/>
        <v>-0.0209033221351249</v>
      </c>
      <c r="O98" s="36">
        <f t="shared" si="65"/>
        <v>-0.0578304597701148</v>
      </c>
      <c r="P98" s="36">
        <f t="shared" si="66"/>
        <v>-0.000761035007610489</v>
      </c>
      <c r="Q98" s="36">
        <f t="shared" si="67"/>
        <v>-0.00227963525835873</v>
      </c>
      <c r="R98" s="36">
        <f t="shared" si="68"/>
        <v>-0.0138941043935411</v>
      </c>
      <c r="S98" s="36"/>
      <c r="T98" s="36"/>
      <c r="U98" s="36"/>
      <c r="W98" s="5" t="str" cm="1">
        <f t="array" ref="W98">_xlfn.IFS(MONTH(X98)&lt;4,1,MONTH(X98)&lt;7,2,MONTH(X98)&lt;10,3,MONTH(X98)&gt;9,4)&amp;"Q"&amp;RIGHT(YEAR(X98),2)</f>
        <v>2Q20</v>
      </c>
      <c r="X98" s="2">
        <f t="shared" si="58"/>
        <v>43982</v>
      </c>
      <c r="Y98" s="25">
        <v>43976</v>
      </c>
      <c r="Z98" s="29">
        <v>21.767</v>
      </c>
      <c r="AD98" s="36">
        <f t="shared" si="63"/>
        <v>0</v>
      </c>
      <c r="AE98" s="36">
        <f t="shared" si="69"/>
        <v>-0.000872119709905528</v>
      </c>
      <c r="AF98" s="36">
        <f t="shared" si="70"/>
        <v>-0.000872119709905528</v>
      </c>
      <c r="AJ98" s="5" t="str" cm="1">
        <f t="array" ref="AJ98">_xlfn.IFS(MONTH(AK98)&lt;4,1,MONTH(AK98)&lt;7,2,MONTH(AK98)&lt;10,3,MONTH(AK98)&gt;9,4)&amp;"Q"&amp;RIGHT(YEAR(AK98),2)</f>
        <v>3Q23</v>
      </c>
      <c r="AK98" s="2">
        <f t="shared" si="59"/>
        <v>45169</v>
      </c>
      <c r="AL98" s="50">
        <f t="shared" si="71"/>
        <v>45169</v>
      </c>
      <c r="AM98" s="56">
        <v>1.07</v>
      </c>
      <c r="AN98" s="56">
        <v>1.79</v>
      </c>
      <c r="AO98" s="56">
        <v>3.62</v>
      </c>
      <c r="AP98" s="56">
        <v>3.6</v>
      </c>
      <c r="AQ98" s="36"/>
      <c r="AR98" s="53">
        <f t="shared" si="52"/>
        <v>0.0334375</v>
      </c>
      <c r="AS98" s="53">
        <f t="shared" si="38"/>
        <v>0.02796875</v>
      </c>
      <c r="AT98" s="53">
        <f t="shared" si="72"/>
        <v>0.02828125</v>
      </c>
      <c r="AU98" s="53">
        <f t="shared" si="72"/>
        <v>0.028125</v>
      </c>
      <c r="AV98" s="46">
        <f t="shared" ref="AV98:AY113" si="73">AR98/AR97-1</f>
        <v>0</v>
      </c>
      <c r="AW98" s="46">
        <f t="shared" si="73"/>
        <v>0.0287356321839081</v>
      </c>
      <c r="AX98" s="46">
        <f t="shared" si="73"/>
        <v>0</v>
      </c>
      <c r="AY98" s="46">
        <f t="shared" si="73"/>
        <v>0</v>
      </c>
      <c r="BA98" s="25">
        <f t="shared" si="40"/>
        <v>43997</v>
      </c>
      <c r="BB98" s="28">
        <f t="shared" si="40"/>
        <v>2.623</v>
      </c>
      <c r="BC98" s="28">
        <f t="shared" si="53"/>
        <v>3.09</v>
      </c>
      <c r="BD98" s="28">
        <f t="shared" si="60"/>
        <v>5.252</v>
      </c>
      <c r="BE98" s="28">
        <f t="shared" si="54"/>
        <v>5.36</v>
      </c>
      <c r="BF98" s="28"/>
      <c r="BG98" s="28"/>
      <c r="BH98" s="28"/>
      <c r="BI98" s="28"/>
      <c r="CC98" s="25">
        <f t="shared" si="55"/>
        <v>43976</v>
      </c>
      <c r="CD98" s="29">
        <f t="shared" si="55"/>
        <v>21.767</v>
      </c>
      <c r="CE98" s="29">
        <f t="shared" si="61"/>
        <v>19.1</v>
      </c>
      <c r="DP98" s="35">
        <v>43615</v>
      </c>
      <c r="DQ98" s="26">
        <v>3.1</v>
      </c>
      <c r="DR98" s="26">
        <v>2.9</v>
      </c>
      <c r="DS98" s="26">
        <v>2.974</v>
      </c>
      <c r="DU98" s="35">
        <v>43615</v>
      </c>
      <c r="DV98" s="26">
        <v>6.25</v>
      </c>
      <c r="DW98" s="26">
        <v>6.1</v>
      </c>
      <c r="DX98" s="26">
        <v>6.16</v>
      </c>
      <c r="DZ98" s="35">
        <v>43615</v>
      </c>
      <c r="EA98" s="26">
        <v>12.55</v>
      </c>
      <c r="EB98" s="26">
        <v>12.45</v>
      </c>
      <c r="EC98" s="26">
        <v>12.5</v>
      </c>
    </row>
    <row r="99" ht="16.8" spans="3:133">
      <c r="C99" s="5" t="str" cm="1">
        <f t="array" ref="C99">_xlfn.IFS(MONTH(D99)&lt;4,1,MONTH(D99)&lt;7,2,MONTH(D99)&lt;10,3,MONTH(D99)&gt;9,4)&amp;"Q"&amp;RIGHT(YEAR(D99),2)</f>
        <v>2Q20</v>
      </c>
      <c r="D99" s="2">
        <f t="shared" si="56"/>
        <v>44012</v>
      </c>
      <c r="E99" s="25">
        <v>44004</v>
      </c>
      <c r="F99" s="26">
        <v>2.621</v>
      </c>
      <c r="G99" s="26">
        <v>5.244</v>
      </c>
      <c r="H99" s="27"/>
      <c r="I99" s="28">
        <f t="shared" si="57"/>
        <v>0.08190625</v>
      </c>
      <c r="J99" s="28">
        <f t="shared" si="50"/>
        <v>0.0819375</v>
      </c>
      <c r="K99" s="28">
        <f t="shared" si="51"/>
        <v>0</v>
      </c>
      <c r="M99" s="36">
        <f t="shared" si="62"/>
        <v>-0.000762485703393101</v>
      </c>
      <c r="N99" s="36">
        <f t="shared" si="64"/>
        <v>-0.00152380952380948</v>
      </c>
      <c r="O99" s="36">
        <f t="shared" si="65"/>
        <v>-0.0216498693542366</v>
      </c>
      <c r="P99" s="36">
        <f t="shared" si="66"/>
        <v>-0.00152322924600157</v>
      </c>
      <c r="Q99" s="36">
        <f t="shared" si="67"/>
        <v>-0.00228310502283113</v>
      </c>
      <c r="R99" s="36">
        <f t="shared" si="68"/>
        <v>-0.00379939209726454</v>
      </c>
      <c r="S99" s="36"/>
      <c r="T99" s="36"/>
      <c r="U99" s="36"/>
      <c r="W99" s="5" t="str" cm="1">
        <f t="array" ref="W99">_xlfn.IFS(MONTH(X99)&lt;4,1,MONTH(X99)&lt;7,2,MONTH(X99)&lt;10,3,MONTH(X99)&gt;9,4)&amp;"Q"&amp;RIGHT(YEAR(X99),2)</f>
        <v>2Q20</v>
      </c>
      <c r="X99" s="2">
        <f t="shared" si="58"/>
        <v>44012</v>
      </c>
      <c r="Y99" s="25">
        <v>43983</v>
      </c>
      <c r="Z99" s="29">
        <v>21.767</v>
      </c>
      <c r="AD99" s="36">
        <f t="shared" si="63"/>
        <v>0</v>
      </c>
      <c r="AE99" s="36">
        <f t="shared" si="69"/>
        <v>0</v>
      </c>
      <c r="AF99" s="36">
        <f t="shared" si="70"/>
        <v>-0.000872119709905528</v>
      </c>
      <c r="AJ99" s="5" t="str" cm="1">
        <f t="array" ref="AJ99">_xlfn.IFS(MONTH(AK99)&lt;4,1,MONTH(AK99)&lt;7,2,MONTH(AK99)&lt;10,3,MONTH(AK99)&gt;9,4)&amp;"Q"&amp;RIGHT(YEAR(AK99),2)</f>
        <v>3Q23</v>
      </c>
      <c r="AK99" s="2">
        <f t="shared" si="59"/>
        <v>45199</v>
      </c>
      <c r="AL99" s="50">
        <f t="shared" si="71"/>
        <v>45199</v>
      </c>
      <c r="AM99" s="56">
        <v>1.07</v>
      </c>
      <c r="AN99" s="56">
        <v>1.83</v>
      </c>
      <c r="AO99" s="56">
        <v>3.7</v>
      </c>
      <c r="AP99" s="56">
        <v>3.65</v>
      </c>
      <c r="AQ99" s="36"/>
      <c r="AR99" s="53">
        <f t="shared" si="52"/>
        <v>0.0334375</v>
      </c>
      <c r="AS99" s="53">
        <f t="shared" si="38"/>
        <v>0.02859375</v>
      </c>
      <c r="AT99" s="53">
        <f t="shared" si="72"/>
        <v>0.02890625</v>
      </c>
      <c r="AU99" s="53">
        <f t="shared" si="72"/>
        <v>0.028515625</v>
      </c>
      <c r="AV99" s="46">
        <f t="shared" si="73"/>
        <v>0</v>
      </c>
      <c r="AW99" s="46">
        <f t="shared" si="73"/>
        <v>0.0223463687150838</v>
      </c>
      <c r="AX99" s="46">
        <f t="shared" si="73"/>
        <v>0.0220994475138121</v>
      </c>
      <c r="AY99" s="46">
        <f t="shared" si="73"/>
        <v>0.0138888888888888</v>
      </c>
      <c r="BA99" s="25">
        <f t="shared" si="40"/>
        <v>44004</v>
      </c>
      <c r="BB99" s="28">
        <f t="shared" si="40"/>
        <v>2.621</v>
      </c>
      <c r="BC99" s="28">
        <f t="shared" si="53"/>
        <v>3.09</v>
      </c>
      <c r="BD99" s="28">
        <f t="shared" si="60"/>
        <v>5.244</v>
      </c>
      <c r="BE99" s="28">
        <f t="shared" si="54"/>
        <v>5.36</v>
      </c>
      <c r="BF99" s="28"/>
      <c r="BG99" s="28"/>
      <c r="BH99" s="28"/>
      <c r="BI99" s="28"/>
      <c r="CC99" s="25">
        <f t="shared" si="55"/>
        <v>43983</v>
      </c>
      <c r="CD99" s="29">
        <f t="shared" si="55"/>
        <v>21.767</v>
      </c>
      <c r="CE99" s="29">
        <f t="shared" si="61"/>
        <v>19.1</v>
      </c>
      <c r="DP99" s="35">
        <v>43616</v>
      </c>
      <c r="DQ99" s="26">
        <v>3.1</v>
      </c>
      <c r="DR99" s="26">
        <v>2.9</v>
      </c>
      <c r="DS99" s="26">
        <v>2.974</v>
      </c>
      <c r="DU99" s="35">
        <v>43616</v>
      </c>
      <c r="DV99" s="26">
        <v>6.25</v>
      </c>
      <c r="DW99" s="26">
        <v>6.1</v>
      </c>
      <c r="DX99" s="26">
        <v>6.16</v>
      </c>
      <c r="DZ99" s="35">
        <v>43616</v>
      </c>
      <c r="EA99" s="26">
        <v>12.55</v>
      </c>
      <c r="EB99" s="26">
        <v>12.45</v>
      </c>
      <c r="EC99" s="26">
        <v>12.5</v>
      </c>
    </row>
    <row r="100" ht="16.8" spans="3:133">
      <c r="C100" s="5" t="str" cm="1">
        <f t="array" ref="C100">_xlfn.IFS(MONTH(D100)&lt;4,1,MONTH(D100)&lt;7,2,MONTH(D100)&lt;10,3,MONTH(D100)&gt;9,4)&amp;"Q"&amp;RIGHT(YEAR(D100),2)</f>
        <v>2Q20</v>
      </c>
      <c r="D100" s="2">
        <f t="shared" si="56"/>
        <v>44012</v>
      </c>
      <c r="E100" s="25">
        <v>44011</v>
      </c>
      <c r="F100" s="26">
        <v>2.6</v>
      </c>
      <c r="G100" s="26">
        <v>5.224</v>
      </c>
      <c r="H100" s="27"/>
      <c r="I100" s="28">
        <f t="shared" si="57"/>
        <v>0.08125</v>
      </c>
      <c r="J100" s="28">
        <f t="shared" si="50"/>
        <v>0.081625</v>
      </c>
      <c r="K100" s="28">
        <f t="shared" si="51"/>
        <v>0</v>
      </c>
      <c r="M100" s="36">
        <f t="shared" si="62"/>
        <v>-0.0080122090805036</v>
      </c>
      <c r="N100" s="36">
        <f t="shared" si="64"/>
        <v>-0.00876858558902027</v>
      </c>
      <c r="O100" s="36">
        <f t="shared" si="65"/>
        <v>-0.00952380952380949</v>
      </c>
      <c r="P100" s="36">
        <f t="shared" si="66"/>
        <v>-0.00381388253241788</v>
      </c>
      <c r="Q100" s="36">
        <f t="shared" si="67"/>
        <v>-0.00533130236100521</v>
      </c>
      <c r="R100" s="36">
        <f t="shared" si="68"/>
        <v>-0.0060882800608828</v>
      </c>
      <c r="S100" s="36"/>
      <c r="T100" s="36"/>
      <c r="U100" s="36"/>
      <c r="W100" s="5" t="str" cm="1">
        <f t="array" ref="W100">_xlfn.IFS(MONTH(X100)&lt;4,1,MONTH(X100)&lt;7,2,MONTH(X100)&lt;10,3,MONTH(X100)&gt;9,4)&amp;"Q"&amp;RIGHT(YEAR(X100),2)</f>
        <v>2Q20</v>
      </c>
      <c r="X100" s="2">
        <f t="shared" si="58"/>
        <v>44012</v>
      </c>
      <c r="Y100" s="25">
        <v>43990</v>
      </c>
      <c r="Z100" s="29">
        <v>21.767</v>
      </c>
      <c r="AD100" s="36">
        <f t="shared" si="63"/>
        <v>0</v>
      </c>
      <c r="AE100" s="36">
        <f t="shared" si="69"/>
        <v>0</v>
      </c>
      <c r="AF100" s="36">
        <f t="shared" si="70"/>
        <v>0</v>
      </c>
      <c r="AJ100" s="5" t="str" cm="1">
        <f t="array" ref="AJ100">_xlfn.IFS(MONTH(AK100)&lt;4,1,MONTH(AK100)&lt;7,2,MONTH(AK100)&lt;10,3,MONTH(AK100)&gt;9,4)&amp;"Q"&amp;RIGHT(YEAR(AK100),2)</f>
        <v>4Q23</v>
      </c>
      <c r="AK100" s="2">
        <f t="shared" si="59"/>
        <v>45230</v>
      </c>
      <c r="AL100" s="50">
        <f t="shared" si="71"/>
        <v>45230</v>
      </c>
      <c r="AM100" s="56">
        <v>1.2</v>
      </c>
      <c r="AN100" s="56">
        <v>2.11</v>
      </c>
      <c r="AO100" s="56">
        <v>4.15</v>
      </c>
      <c r="AP100" s="56">
        <v>4.1</v>
      </c>
      <c r="AQ100" s="36"/>
      <c r="AR100" s="53">
        <f t="shared" si="52"/>
        <v>0.0375</v>
      </c>
      <c r="AS100" s="53">
        <f t="shared" si="38"/>
        <v>0.03296875</v>
      </c>
      <c r="AT100" s="53">
        <f t="shared" si="72"/>
        <v>0.032421875</v>
      </c>
      <c r="AU100" s="53">
        <f t="shared" si="72"/>
        <v>0.03203125</v>
      </c>
      <c r="AV100" s="46">
        <f t="shared" si="73"/>
        <v>0.121495327102804</v>
      </c>
      <c r="AW100" s="46">
        <f t="shared" si="73"/>
        <v>0.153005464480874</v>
      </c>
      <c r="AX100" s="46">
        <f t="shared" si="73"/>
        <v>0.121621621621622</v>
      </c>
      <c r="AY100" s="46">
        <f t="shared" si="73"/>
        <v>0.123287671232877</v>
      </c>
      <c r="BA100" s="25">
        <f t="shared" si="40"/>
        <v>44011</v>
      </c>
      <c r="BB100" s="28">
        <f t="shared" si="40"/>
        <v>2.6</v>
      </c>
      <c r="BC100" s="28">
        <f t="shared" si="53"/>
        <v>3.09</v>
      </c>
      <c r="BD100" s="28">
        <f t="shared" si="60"/>
        <v>5.224</v>
      </c>
      <c r="BE100" s="28">
        <f t="shared" si="54"/>
        <v>5.36</v>
      </c>
      <c r="BF100" s="28"/>
      <c r="BG100" s="28"/>
      <c r="BH100" s="28"/>
      <c r="BI100" s="28"/>
      <c r="CC100" s="25">
        <f t="shared" si="55"/>
        <v>43990</v>
      </c>
      <c r="CD100" s="29">
        <f t="shared" si="55"/>
        <v>21.767</v>
      </c>
      <c r="CE100" s="29">
        <f t="shared" si="61"/>
        <v>19.1</v>
      </c>
      <c r="DP100" s="35">
        <v>43619</v>
      </c>
      <c r="DQ100" s="26">
        <v>3.1</v>
      </c>
      <c r="DR100" s="26">
        <v>2.9</v>
      </c>
      <c r="DS100" s="26">
        <v>2.974</v>
      </c>
      <c r="DU100" s="35">
        <v>43619</v>
      </c>
      <c r="DV100" s="26">
        <v>6.25</v>
      </c>
      <c r="DW100" s="26">
        <v>6.1</v>
      </c>
      <c r="DX100" s="26">
        <v>6.16</v>
      </c>
      <c r="DZ100" s="35">
        <v>43619</v>
      </c>
      <c r="EA100" s="26">
        <v>12.55</v>
      </c>
      <c r="EB100" s="26">
        <v>12.45</v>
      </c>
      <c r="EC100" s="26">
        <v>12.5</v>
      </c>
    </row>
    <row r="101" ht="16.8" spans="3:133">
      <c r="C101" s="5" t="str" cm="1">
        <f t="array" ref="C101">_xlfn.IFS(MONTH(D101)&lt;4,1,MONTH(D101)&lt;7,2,MONTH(D101)&lt;10,3,MONTH(D101)&gt;9,4)&amp;"Q"&amp;RIGHT(YEAR(D101),2)</f>
        <v>3Q20</v>
      </c>
      <c r="D101" s="2">
        <f t="shared" si="56"/>
        <v>44043</v>
      </c>
      <c r="E101" s="25">
        <v>44018</v>
      </c>
      <c r="F101" s="26">
        <v>2.592</v>
      </c>
      <c r="G101" s="26">
        <v>5.216</v>
      </c>
      <c r="H101" s="27"/>
      <c r="I101" s="28">
        <f t="shared" si="57"/>
        <v>0.081</v>
      </c>
      <c r="J101" s="28">
        <f t="shared" si="50"/>
        <v>0.0815</v>
      </c>
      <c r="K101" s="28">
        <f t="shared" si="51"/>
        <v>0</v>
      </c>
      <c r="M101" s="36">
        <f t="shared" si="62"/>
        <v>-0.00307692307692309</v>
      </c>
      <c r="N101" s="36">
        <f t="shared" si="64"/>
        <v>-0.0110644792064097</v>
      </c>
      <c r="O101" s="36">
        <f t="shared" si="65"/>
        <v>-0.0118185284025925</v>
      </c>
      <c r="P101" s="36">
        <f t="shared" si="66"/>
        <v>-0.00153139356814702</v>
      </c>
      <c r="Q101" s="36">
        <f t="shared" si="67"/>
        <v>-0.00533943554538507</v>
      </c>
      <c r="R101" s="36">
        <f t="shared" si="68"/>
        <v>-0.00685453160700678</v>
      </c>
      <c r="S101" s="36"/>
      <c r="T101" s="36"/>
      <c r="U101" s="36"/>
      <c r="W101" s="5" t="str" cm="1">
        <f t="array" ref="W101">_xlfn.IFS(MONTH(X101)&lt;4,1,MONTH(X101)&lt;7,2,MONTH(X101)&lt;10,3,MONTH(X101)&gt;9,4)&amp;"Q"&amp;RIGHT(YEAR(X101),2)</f>
        <v>2Q20</v>
      </c>
      <c r="X101" s="2">
        <f t="shared" si="58"/>
        <v>44012</v>
      </c>
      <c r="Y101" s="25">
        <v>43997</v>
      </c>
      <c r="Z101" s="29">
        <v>21.767</v>
      </c>
      <c r="AD101" s="36">
        <f t="shared" si="63"/>
        <v>0</v>
      </c>
      <c r="AE101" s="36">
        <f t="shared" si="69"/>
        <v>0</v>
      </c>
      <c r="AF101" s="36">
        <f t="shared" si="70"/>
        <v>0</v>
      </c>
      <c r="AJ101" s="5" t="str" cm="1">
        <f t="array" ref="AJ101">_xlfn.IFS(MONTH(AK101)&lt;4,1,MONTH(AK101)&lt;7,2,MONTH(AK101)&lt;10,3,MONTH(AK101)&gt;9,4)&amp;"Q"&amp;RIGHT(YEAR(AK101),2)</f>
        <v>4Q23</v>
      </c>
      <c r="AK101" s="2">
        <f t="shared" si="59"/>
        <v>45260</v>
      </c>
      <c r="AL101" s="50">
        <f t="shared" si="71"/>
        <v>45260</v>
      </c>
      <c r="AM101" s="56">
        <v>1.67</v>
      </c>
      <c r="AN101" s="56">
        <v>2.71</v>
      </c>
      <c r="AO101" s="56">
        <v>5.24</v>
      </c>
      <c r="AP101" s="56">
        <v>5.2</v>
      </c>
      <c r="AQ101" s="36"/>
      <c r="AR101" s="53">
        <f t="shared" si="52"/>
        <v>0.0521875</v>
      </c>
      <c r="AS101" s="53">
        <f t="shared" ref="AS101:AS131" si="74">AN101/512*8</f>
        <v>0.04234375</v>
      </c>
      <c r="AT101" s="53">
        <f t="shared" si="72"/>
        <v>0.0409375</v>
      </c>
      <c r="AU101" s="53">
        <f t="shared" si="72"/>
        <v>0.040625</v>
      </c>
      <c r="AV101" s="46">
        <f t="shared" si="73"/>
        <v>0.391666666666667</v>
      </c>
      <c r="AW101" s="46">
        <f t="shared" si="73"/>
        <v>0.28436018957346</v>
      </c>
      <c r="AX101" s="46">
        <f t="shared" si="73"/>
        <v>0.262650602409638</v>
      </c>
      <c r="AY101" s="46">
        <f t="shared" si="73"/>
        <v>0.26829268292683</v>
      </c>
      <c r="BA101" s="25">
        <f t="shared" si="40"/>
        <v>44018</v>
      </c>
      <c r="BB101" s="28">
        <f t="shared" si="40"/>
        <v>2.592</v>
      </c>
      <c r="BC101" s="28">
        <f t="shared" si="53"/>
        <v>2.85</v>
      </c>
      <c r="BD101" s="28">
        <f t="shared" si="60"/>
        <v>5.216</v>
      </c>
      <c r="BE101" s="28">
        <f t="shared" si="54"/>
        <v>5.32</v>
      </c>
      <c r="BF101" s="28"/>
      <c r="BG101" s="28"/>
      <c r="BH101" s="28"/>
      <c r="BI101" s="28"/>
      <c r="CC101" s="25">
        <f t="shared" si="55"/>
        <v>43997</v>
      </c>
      <c r="CD101" s="29">
        <f t="shared" si="55"/>
        <v>21.767</v>
      </c>
      <c r="CE101" s="29">
        <f t="shared" si="61"/>
        <v>19.1</v>
      </c>
      <c r="DP101" s="35">
        <v>43620</v>
      </c>
      <c r="DQ101" s="26">
        <v>3.1</v>
      </c>
      <c r="DR101" s="26">
        <v>2.9</v>
      </c>
      <c r="DS101" s="26">
        <v>2.974</v>
      </c>
      <c r="DU101" s="35">
        <v>43620</v>
      </c>
      <c r="DV101" s="26">
        <v>6.25</v>
      </c>
      <c r="DW101" s="26">
        <v>6.1</v>
      </c>
      <c r="DX101" s="26">
        <v>6.16</v>
      </c>
      <c r="DZ101" s="35">
        <v>43620</v>
      </c>
      <c r="EA101" s="26">
        <v>12.55</v>
      </c>
      <c r="EB101" s="26">
        <v>12.45</v>
      </c>
      <c r="EC101" s="26">
        <v>12.5</v>
      </c>
    </row>
    <row r="102" ht="16.8" spans="3:133">
      <c r="C102" s="5" t="str" cm="1">
        <f t="array" ref="C102">_xlfn.IFS(MONTH(D102)&lt;4,1,MONTH(D102)&lt;7,2,MONTH(D102)&lt;10,3,MONTH(D102)&gt;9,4)&amp;"Q"&amp;RIGHT(YEAR(D102),2)</f>
        <v>3Q20</v>
      </c>
      <c r="D102" s="2">
        <f t="shared" si="56"/>
        <v>44043</v>
      </c>
      <c r="E102" s="25">
        <v>44025</v>
      </c>
      <c r="F102" s="26">
        <v>2.581</v>
      </c>
      <c r="G102" s="26">
        <v>5.204</v>
      </c>
      <c r="H102" s="27"/>
      <c r="I102" s="28">
        <f t="shared" si="57"/>
        <v>0.08065625</v>
      </c>
      <c r="J102" s="28">
        <f t="shared" si="50"/>
        <v>0.0813125</v>
      </c>
      <c r="K102" s="28">
        <f t="shared" si="51"/>
        <v>0</v>
      </c>
      <c r="M102" s="36">
        <f t="shared" si="62"/>
        <v>-0.00424382716049387</v>
      </c>
      <c r="N102" s="36">
        <f t="shared" si="64"/>
        <v>-0.00730769230769235</v>
      </c>
      <c r="O102" s="36">
        <f t="shared" si="65"/>
        <v>-0.0152613506295307</v>
      </c>
      <c r="P102" s="36">
        <f t="shared" si="66"/>
        <v>-0.00230061349693256</v>
      </c>
      <c r="Q102" s="36">
        <f t="shared" si="67"/>
        <v>-0.00382848392036761</v>
      </c>
      <c r="R102" s="36">
        <f t="shared" si="68"/>
        <v>-0.00762776506483598</v>
      </c>
      <c r="S102" s="36"/>
      <c r="T102" s="36"/>
      <c r="U102" s="36"/>
      <c r="W102" s="5" t="str" cm="1">
        <f t="array" ref="W102">_xlfn.IFS(MONTH(X102)&lt;4,1,MONTH(X102)&lt;7,2,MONTH(X102)&lt;10,3,MONTH(X102)&gt;9,4)&amp;"Q"&amp;RIGHT(YEAR(X102),2)</f>
        <v>2Q20</v>
      </c>
      <c r="X102" s="2">
        <f t="shared" si="58"/>
        <v>44012</v>
      </c>
      <c r="Y102" s="25">
        <v>44004</v>
      </c>
      <c r="Z102" s="29">
        <v>21.5</v>
      </c>
      <c r="AD102" s="36">
        <f t="shared" si="63"/>
        <v>-0.0122662746359168</v>
      </c>
      <c r="AE102" s="36">
        <f t="shared" si="69"/>
        <v>-0.0122662746359168</v>
      </c>
      <c r="AF102" s="36">
        <f t="shared" si="70"/>
        <v>-0.0122662746359168</v>
      </c>
      <c r="AJ102" s="5" t="str" cm="1">
        <f t="array" ref="AJ102">_xlfn.IFS(MONTH(AK102)&lt;4,1,MONTH(AK102)&lt;7,2,MONTH(AK102)&lt;10,3,MONTH(AK102)&gt;9,4)&amp;"Q"&amp;RIGHT(YEAR(AK102),2)</f>
        <v>4Q23</v>
      </c>
      <c r="AK102" s="2">
        <f t="shared" si="59"/>
        <v>45291</v>
      </c>
      <c r="AL102" s="50">
        <f t="shared" si="71"/>
        <v>45291</v>
      </c>
      <c r="AM102" s="56">
        <v>1.81</v>
      </c>
      <c r="AN102" s="56">
        <v>3.12</v>
      </c>
      <c r="AO102" s="56">
        <v>6.24</v>
      </c>
      <c r="AP102" s="56">
        <v>5.65</v>
      </c>
      <c r="AQ102" s="36"/>
      <c r="AR102" s="53">
        <f t="shared" si="52"/>
        <v>0.0565625</v>
      </c>
      <c r="AS102" s="53">
        <f t="shared" si="74"/>
        <v>0.04875</v>
      </c>
      <c r="AT102" s="53">
        <f t="shared" si="72"/>
        <v>0.04875</v>
      </c>
      <c r="AU102" s="53">
        <f t="shared" si="72"/>
        <v>0.044140625</v>
      </c>
      <c r="AV102" s="46">
        <f t="shared" si="73"/>
        <v>0.0838323353293413</v>
      </c>
      <c r="AW102" s="46">
        <f t="shared" si="73"/>
        <v>0.151291512915129</v>
      </c>
      <c r="AX102" s="46">
        <f t="shared" si="73"/>
        <v>0.190839694656489</v>
      </c>
      <c r="AY102" s="46">
        <f t="shared" si="73"/>
        <v>0.0865384615384617</v>
      </c>
      <c r="BA102" s="25">
        <f t="shared" si="40"/>
        <v>44025</v>
      </c>
      <c r="BB102" s="28">
        <f t="shared" si="40"/>
        <v>2.581</v>
      </c>
      <c r="BC102" s="28">
        <f t="shared" si="53"/>
        <v>2.85</v>
      </c>
      <c r="BD102" s="28">
        <f t="shared" si="60"/>
        <v>5.204</v>
      </c>
      <c r="BE102" s="28">
        <f t="shared" si="54"/>
        <v>5.32</v>
      </c>
      <c r="BF102" s="28"/>
      <c r="BG102" s="28"/>
      <c r="BH102" s="28"/>
      <c r="BI102" s="28"/>
      <c r="CC102" s="25">
        <f t="shared" si="55"/>
        <v>44004</v>
      </c>
      <c r="CD102" s="29">
        <f t="shared" si="55"/>
        <v>21.5</v>
      </c>
      <c r="CE102" s="29">
        <f t="shared" si="61"/>
        <v>19.1</v>
      </c>
      <c r="DP102" s="35">
        <v>43621</v>
      </c>
      <c r="DQ102" s="26">
        <v>3.1</v>
      </c>
      <c r="DR102" s="26">
        <v>2.9</v>
      </c>
      <c r="DS102" s="26">
        <v>2.974</v>
      </c>
      <c r="DU102" s="35">
        <v>43621</v>
      </c>
      <c r="DV102" s="26">
        <v>6.25</v>
      </c>
      <c r="DW102" s="26">
        <v>6.1</v>
      </c>
      <c r="DX102" s="26">
        <v>6.16</v>
      </c>
      <c r="DZ102" s="35">
        <v>43621</v>
      </c>
      <c r="EA102" s="26">
        <v>12.55</v>
      </c>
      <c r="EB102" s="26">
        <v>12.45</v>
      </c>
      <c r="EC102" s="26">
        <v>12.5</v>
      </c>
    </row>
    <row r="103" ht="16.8" spans="3:133">
      <c r="C103" s="5" t="str" cm="1">
        <f t="array" ref="C103">_xlfn.IFS(MONTH(D103)&lt;4,1,MONTH(D103)&lt;7,2,MONTH(D103)&lt;10,3,MONTH(D103)&gt;9,4)&amp;"Q"&amp;RIGHT(YEAR(D103),2)</f>
        <v>3Q20</v>
      </c>
      <c r="D103" s="2">
        <f t="shared" si="56"/>
        <v>44043</v>
      </c>
      <c r="E103" s="25">
        <v>44032</v>
      </c>
      <c r="F103" s="26">
        <v>2.56</v>
      </c>
      <c r="G103" s="26">
        <v>5.172</v>
      </c>
      <c r="H103" s="27"/>
      <c r="I103" s="28">
        <f t="shared" si="57"/>
        <v>0.08</v>
      </c>
      <c r="J103" s="28">
        <f t="shared" si="50"/>
        <v>0.0808125</v>
      </c>
      <c r="K103" s="28">
        <f t="shared" si="51"/>
        <v>0</v>
      </c>
      <c r="M103" s="36">
        <f t="shared" si="62"/>
        <v>-0.00813638124757843</v>
      </c>
      <c r="N103" s="36">
        <f t="shared" si="64"/>
        <v>-0.0123456790123457</v>
      </c>
      <c r="O103" s="36">
        <f t="shared" si="65"/>
        <v>-0.0153846153846154</v>
      </c>
      <c r="P103" s="36">
        <f t="shared" si="66"/>
        <v>-0.0061491160645657</v>
      </c>
      <c r="Q103" s="36">
        <f t="shared" si="67"/>
        <v>-0.00843558282208601</v>
      </c>
      <c r="R103" s="36">
        <f t="shared" si="68"/>
        <v>-0.00995405819295569</v>
      </c>
      <c r="S103" s="36"/>
      <c r="T103" s="36"/>
      <c r="U103" s="36"/>
      <c r="W103" s="5" t="str" cm="1">
        <f t="array" ref="W103">_xlfn.IFS(MONTH(X103)&lt;4,1,MONTH(X103)&lt;7,2,MONTH(X103)&lt;10,3,MONTH(X103)&gt;9,4)&amp;"Q"&amp;RIGHT(YEAR(X103),2)</f>
        <v>2Q20</v>
      </c>
      <c r="X103" s="2">
        <f t="shared" si="58"/>
        <v>44012</v>
      </c>
      <c r="Y103" s="25">
        <v>44011</v>
      </c>
      <c r="Z103" s="29">
        <v>21.405</v>
      </c>
      <c r="AD103" s="36">
        <f t="shared" si="63"/>
        <v>-0.00441860465116273</v>
      </c>
      <c r="AE103" s="36">
        <f t="shared" si="69"/>
        <v>-0.0166306794689207</v>
      </c>
      <c r="AF103" s="36">
        <f t="shared" si="70"/>
        <v>-0.0166306794689207</v>
      </c>
      <c r="AJ103" s="5" t="str" cm="1">
        <f t="array" ref="AJ103">_xlfn.IFS(MONTH(AK103)&lt;4,1,MONTH(AK103)&lt;7,2,MONTH(AK103)&lt;10,3,MONTH(AK103)&gt;9,4)&amp;"Q"&amp;RIGHT(YEAR(AK103),2)</f>
        <v>1Q24</v>
      </c>
      <c r="AK103" s="2">
        <f t="shared" si="59"/>
        <v>45322</v>
      </c>
      <c r="AL103" s="50">
        <f t="shared" si="71"/>
        <v>45322</v>
      </c>
      <c r="AM103" s="56">
        <v>1.81</v>
      </c>
      <c r="AN103" s="56">
        <v>3.33</v>
      </c>
      <c r="AO103" s="56">
        <v>6.62</v>
      </c>
      <c r="AP103" s="56">
        <v>6</v>
      </c>
      <c r="AQ103" s="36"/>
      <c r="AR103" s="53">
        <f t="shared" si="52"/>
        <v>0.0565625</v>
      </c>
      <c r="AS103" s="53">
        <f t="shared" si="74"/>
        <v>0.05203125</v>
      </c>
      <c r="AT103" s="53">
        <f t="shared" si="72"/>
        <v>0.05171875</v>
      </c>
      <c r="AU103" s="53">
        <f t="shared" si="72"/>
        <v>0.046875</v>
      </c>
      <c r="AV103" s="46">
        <f t="shared" si="73"/>
        <v>0</v>
      </c>
      <c r="AW103" s="46">
        <f t="shared" si="73"/>
        <v>0.0673076923076923</v>
      </c>
      <c r="AX103" s="46">
        <f t="shared" si="73"/>
        <v>0.0608974358974359</v>
      </c>
      <c r="AY103" s="46">
        <f t="shared" si="73"/>
        <v>0.0619469026548671</v>
      </c>
      <c r="BA103" s="25">
        <f t="shared" si="40"/>
        <v>44032</v>
      </c>
      <c r="BB103" s="28">
        <f t="shared" si="40"/>
        <v>2.56</v>
      </c>
      <c r="BC103" s="28">
        <f t="shared" si="53"/>
        <v>2.85</v>
      </c>
      <c r="BD103" s="28">
        <f t="shared" si="60"/>
        <v>5.172</v>
      </c>
      <c r="BE103" s="28">
        <f t="shared" si="54"/>
        <v>5.32</v>
      </c>
      <c r="BF103" s="28"/>
      <c r="BG103" s="28"/>
      <c r="BH103" s="28"/>
      <c r="BI103" s="28"/>
      <c r="CC103" s="25">
        <f t="shared" si="55"/>
        <v>44011</v>
      </c>
      <c r="CD103" s="29">
        <f t="shared" si="55"/>
        <v>21.405</v>
      </c>
      <c r="CE103" s="29">
        <f t="shared" si="61"/>
        <v>19.1</v>
      </c>
      <c r="DP103" s="35">
        <v>43622</v>
      </c>
      <c r="DQ103" s="26">
        <v>3.1</v>
      </c>
      <c r="DR103" s="26">
        <v>2.9</v>
      </c>
      <c r="DS103" s="26">
        <v>2.974</v>
      </c>
      <c r="DU103" s="35">
        <v>43622</v>
      </c>
      <c r="DV103" s="26">
        <v>6.25</v>
      </c>
      <c r="DW103" s="26">
        <v>6.1</v>
      </c>
      <c r="DX103" s="26">
        <v>6.16</v>
      </c>
      <c r="DZ103" s="35">
        <v>43622</v>
      </c>
      <c r="EA103" s="26">
        <v>12.55</v>
      </c>
      <c r="EB103" s="26">
        <v>12.45</v>
      </c>
      <c r="EC103" s="26">
        <v>12.5</v>
      </c>
    </row>
    <row r="104" ht="16.8" spans="3:133">
      <c r="C104" s="5" t="str" cm="1">
        <f t="array" ref="C104">_xlfn.IFS(MONTH(D104)&lt;4,1,MONTH(D104)&lt;7,2,MONTH(D104)&lt;10,3,MONTH(D104)&gt;9,4)&amp;"Q"&amp;RIGHT(YEAR(D104),2)</f>
        <v>3Q20</v>
      </c>
      <c r="D104" s="2">
        <f t="shared" si="56"/>
        <v>44043</v>
      </c>
      <c r="E104" s="25">
        <v>44039</v>
      </c>
      <c r="F104" s="26">
        <v>2.483</v>
      </c>
      <c r="G104" s="26">
        <v>5.005</v>
      </c>
      <c r="H104" s="27"/>
      <c r="I104" s="28">
        <f t="shared" si="57"/>
        <v>0.07759375</v>
      </c>
      <c r="J104" s="28">
        <f t="shared" si="50"/>
        <v>0.078203125</v>
      </c>
      <c r="K104" s="28">
        <f t="shared" si="51"/>
        <v>0</v>
      </c>
      <c r="M104" s="36">
        <f t="shared" si="62"/>
        <v>-0.030078125</v>
      </c>
      <c r="N104" s="36">
        <f t="shared" si="64"/>
        <v>-0.037969779155366</v>
      </c>
      <c r="O104" s="36">
        <f t="shared" si="65"/>
        <v>-0.0420524691358025</v>
      </c>
      <c r="P104" s="36">
        <f t="shared" si="66"/>
        <v>-0.0322892498066512</v>
      </c>
      <c r="Q104" s="36">
        <f t="shared" si="67"/>
        <v>-0.038239815526518</v>
      </c>
      <c r="R104" s="36">
        <f t="shared" si="68"/>
        <v>-0.0404524539877301</v>
      </c>
      <c r="S104" s="36"/>
      <c r="T104" s="36"/>
      <c r="U104" s="36"/>
      <c r="W104" s="5" t="str" cm="1">
        <f t="array" ref="W104">_xlfn.IFS(MONTH(X104)&lt;4,1,MONTH(X104)&lt;7,2,MONTH(X104)&lt;10,3,MONTH(X104)&gt;9,4)&amp;"Q"&amp;RIGHT(YEAR(X104),2)</f>
        <v>3Q20</v>
      </c>
      <c r="X104" s="2">
        <f t="shared" si="58"/>
        <v>44043</v>
      </c>
      <c r="Y104" s="25">
        <v>44018</v>
      </c>
      <c r="Z104" s="29">
        <v>21.357</v>
      </c>
      <c r="AD104" s="36">
        <f t="shared" si="63"/>
        <v>-0.00224246671338479</v>
      </c>
      <c r="AE104" s="36">
        <f t="shared" si="69"/>
        <v>-0.00665116279069766</v>
      </c>
      <c r="AF104" s="36">
        <f t="shared" si="70"/>
        <v>-0.0188358524371756</v>
      </c>
      <c r="AJ104" s="5" t="str" cm="1">
        <f t="array" ref="AJ104">_xlfn.IFS(MONTH(AK104)&lt;4,1,MONTH(AK104)&lt;7,2,MONTH(AK104)&lt;10,3,MONTH(AK104)&gt;9,4)&amp;"Q"&amp;RIGHT(YEAR(AK104),2)</f>
        <v>1Q24</v>
      </c>
      <c r="AK104" s="2">
        <f t="shared" si="59"/>
        <v>45351</v>
      </c>
      <c r="AL104" s="50">
        <f t="shared" si="71"/>
        <v>45351</v>
      </c>
      <c r="AM104" s="56">
        <v>1.81</v>
      </c>
      <c r="AN104" s="56">
        <v>3.49</v>
      </c>
      <c r="AO104" s="56">
        <v>6.91</v>
      </c>
      <c r="AP104" s="56">
        <v>6.3</v>
      </c>
      <c r="AQ104" s="36"/>
      <c r="AR104" s="53">
        <f t="shared" si="52"/>
        <v>0.0565625</v>
      </c>
      <c r="AS104" s="53">
        <f t="shared" si="74"/>
        <v>0.05453125</v>
      </c>
      <c r="AT104" s="53">
        <f t="shared" si="72"/>
        <v>0.053984375</v>
      </c>
      <c r="AU104" s="53">
        <f t="shared" si="72"/>
        <v>0.04921875</v>
      </c>
      <c r="AV104" s="46">
        <f t="shared" si="73"/>
        <v>0</v>
      </c>
      <c r="AW104" s="46">
        <f t="shared" si="73"/>
        <v>0.0480480480480481</v>
      </c>
      <c r="AX104" s="46">
        <f t="shared" si="73"/>
        <v>0.0438066465256797</v>
      </c>
      <c r="AY104" s="46">
        <f t="shared" si="73"/>
        <v>0.05</v>
      </c>
      <c r="BA104" s="25">
        <f t="shared" si="40"/>
        <v>44039</v>
      </c>
      <c r="BB104" s="28">
        <f t="shared" si="40"/>
        <v>2.483</v>
      </c>
      <c r="BC104" s="28">
        <f t="shared" si="53"/>
        <v>2.85</v>
      </c>
      <c r="BD104" s="28">
        <f t="shared" si="60"/>
        <v>5.005</v>
      </c>
      <c r="BE104" s="28">
        <f t="shared" si="54"/>
        <v>5.32</v>
      </c>
      <c r="BF104" s="28"/>
      <c r="BG104" s="28"/>
      <c r="BH104" s="28"/>
      <c r="BI104" s="28"/>
      <c r="CC104" s="25">
        <f t="shared" si="55"/>
        <v>44018</v>
      </c>
      <c r="CD104" s="29">
        <f t="shared" si="55"/>
        <v>21.357</v>
      </c>
      <c r="CE104" s="29">
        <f t="shared" si="61"/>
        <v>19.1</v>
      </c>
      <c r="DP104" s="35">
        <v>43626</v>
      </c>
      <c r="DQ104" s="26">
        <v>3.1</v>
      </c>
      <c r="DR104" s="26">
        <v>2.9</v>
      </c>
      <c r="DS104" s="26">
        <v>2.974</v>
      </c>
      <c r="DU104" s="35">
        <v>43626</v>
      </c>
      <c r="DV104" s="26">
        <v>6.25</v>
      </c>
      <c r="DW104" s="26">
        <v>6.1</v>
      </c>
      <c r="DX104" s="26">
        <v>6.16</v>
      </c>
      <c r="DZ104" s="35">
        <v>43626</v>
      </c>
      <c r="EA104" s="26">
        <v>12.55</v>
      </c>
      <c r="EB104" s="26">
        <v>12.45</v>
      </c>
      <c r="EC104" s="26">
        <v>12.5</v>
      </c>
    </row>
    <row r="105" ht="16.8" spans="3:133">
      <c r="C105" s="5" t="str" cm="1">
        <f t="array" ref="C105">_xlfn.IFS(MONTH(D105)&lt;4,1,MONTH(D105)&lt;7,2,MONTH(D105)&lt;10,3,MONTH(D105)&gt;9,4)&amp;"Q"&amp;RIGHT(YEAR(D105),2)</f>
        <v>3Q20</v>
      </c>
      <c r="D105" s="2">
        <f t="shared" si="56"/>
        <v>44074</v>
      </c>
      <c r="E105" s="25">
        <v>44046</v>
      </c>
      <c r="F105" s="26">
        <v>2.434</v>
      </c>
      <c r="G105" s="26">
        <v>4.9</v>
      </c>
      <c r="H105" s="27"/>
      <c r="I105" s="28">
        <f t="shared" si="57"/>
        <v>0.0760625</v>
      </c>
      <c r="J105" s="28">
        <f t="shared" si="50"/>
        <v>0.0765625</v>
      </c>
      <c r="K105" s="28">
        <f t="shared" si="51"/>
        <v>0</v>
      </c>
      <c r="M105" s="36">
        <f t="shared" si="62"/>
        <v>-0.0197341925090616</v>
      </c>
      <c r="N105" s="36">
        <f t="shared" si="64"/>
        <v>-0.04921875</v>
      </c>
      <c r="O105" s="36">
        <f t="shared" si="65"/>
        <v>-0.0569546687330491</v>
      </c>
      <c r="P105" s="36">
        <f t="shared" si="66"/>
        <v>-0.0209790209790209</v>
      </c>
      <c r="Q105" s="36">
        <f t="shared" si="67"/>
        <v>-0.0525908739365815</v>
      </c>
      <c r="R105" s="36">
        <f t="shared" si="68"/>
        <v>-0.0584166026133742</v>
      </c>
      <c r="S105" s="36"/>
      <c r="T105" s="36"/>
      <c r="U105" s="36"/>
      <c r="W105" s="5" t="str" cm="1">
        <f t="array" ref="W105">_xlfn.IFS(MONTH(X105)&lt;4,1,MONTH(X105)&lt;7,2,MONTH(X105)&lt;10,3,MONTH(X105)&gt;9,4)&amp;"Q"&amp;RIGHT(YEAR(X105),2)</f>
        <v>3Q20</v>
      </c>
      <c r="X105" s="2">
        <f t="shared" si="58"/>
        <v>44043</v>
      </c>
      <c r="Y105" s="25">
        <v>44025</v>
      </c>
      <c r="Z105" s="29">
        <v>21.357</v>
      </c>
      <c r="AD105" s="36">
        <f t="shared" si="63"/>
        <v>0</v>
      </c>
      <c r="AE105" s="36">
        <f t="shared" si="69"/>
        <v>-0.00224246671338479</v>
      </c>
      <c r="AF105" s="36">
        <f t="shared" si="70"/>
        <v>-0.00665116279069766</v>
      </c>
      <c r="AJ105" s="5" t="str" cm="1">
        <f t="array" ref="AJ105">_xlfn.IFS(MONTH(AK105)&lt;4,1,MONTH(AK105)&lt;7,2,MONTH(AK105)&lt;10,3,MONTH(AK105)&gt;9,4)&amp;"Q"&amp;RIGHT(YEAR(AK105),2)</f>
        <v>1Q24</v>
      </c>
      <c r="AK105" s="2">
        <f t="shared" si="59"/>
        <v>45382</v>
      </c>
      <c r="AL105" s="50">
        <f t="shared" si="71"/>
        <v>45382</v>
      </c>
      <c r="AM105" s="56">
        <v>2.11</v>
      </c>
      <c r="AN105" s="56">
        <v>4.12</v>
      </c>
      <c r="AO105" s="56">
        <v>7.95</v>
      </c>
      <c r="AP105" s="56">
        <v>7.2</v>
      </c>
      <c r="AQ105" s="36"/>
      <c r="AR105" s="53">
        <f t="shared" si="52"/>
        <v>0.0659375</v>
      </c>
      <c r="AS105" s="53">
        <f t="shared" si="74"/>
        <v>0.064375</v>
      </c>
      <c r="AT105" s="53">
        <f t="shared" si="72"/>
        <v>0.062109375</v>
      </c>
      <c r="AU105" s="53">
        <f t="shared" si="72"/>
        <v>0.05625</v>
      </c>
      <c r="AV105" s="46">
        <f t="shared" si="73"/>
        <v>0.165745856353591</v>
      </c>
      <c r="AW105" s="46">
        <f t="shared" si="73"/>
        <v>0.180515759312321</v>
      </c>
      <c r="AX105" s="46">
        <f t="shared" si="73"/>
        <v>0.150506512301013</v>
      </c>
      <c r="AY105" s="46">
        <f t="shared" si="73"/>
        <v>0.142857142857143</v>
      </c>
      <c r="BA105" s="25">
        <f t="shared" si="40"/>
        <v>44046</v>
      </c>
      <c r="BB105" s="28">
        <f t="shared" si="40"/>
        <v>2.434</v>
      </c>
      <c r="BC105" s="28">
        <f t="shared" si="53"/>
        <v>2.54</v>
      </c>
      <c r="BD105" s="28">
        <f t="shared" si="60"/>
        <v>4.9</v>
      </c>
      <c r="BE105" s="28">
        <f t="shared" si="54"/>
        <v>4.96</v>
      </c>
      <c r="BF105" s="28"/>
      <c r="BG105" s="28"/>
      <c r="BH105" s="28"/>
      <c r="BI105" s="28"/>
      <c r="CC105" s="25">
        <f t="shared" si="55"/>
        <v>44025</v>
      </c>
      <c r="CD105" s="29">
        <f t="shared" si="55"/>
        <v>21.357</v>
      </c>
      <c r="CE105" s="29">
        <f t="shared" si="61"/>
        <v>19.1</v>
      </c>
      <c r="DP105" s="35">
        <v>43627</v>
      </c>
      <c r="DQ105" s="26">
        <v>3.1</v>
      </c>
      <c r="DR105" s="26">
        <v>2.9</v>
      </c>
      <c r="DS105" s="26">
        <v>2.974</v>
      </c>
      <c r="DU105" s="35">
        <v>43627</v>
      </c>
      <c r="DV105" s="26">
        <v>6.25</v>
      </c>
      <c r="DW105" s="26">
        <v>6.1</v>
      </c>
      <c r="DX105" s="26">
        <v>6.16</v>
      </c>
      <c r="DZ105" s="35">
        <v>43627</v>
      </c>
      <c r="EA105" s="26">
        <v>12.55</v>
      </c>
      <c r="EB105" s="26">
        <v>12.45</v>
      </c>
      <c r="EC105" s="26">
        <v>12.5</v>
      </c>
    </row>
    <row r="106" ht="16.8" spans="3:133">
      <c r="C106" s="5" t="str" cm="1">
        <f t="array" ref="C106">_xlfn.IFS(MONTH(D106)&lt;4,1,MONTH(D106)&lt;7,2,MONTH(D106)&lt;10,3,MONTH(D106)&gt;9,4)&amp;"Q"&amp;RIGHT(YEAR(D106),2)</f>
        <v>3Q20</v>
      </c>
      <c r="D106" s="2">
        <f t="shared" si="56"/>
        <v>44074</v>
      </c>
      <c r="E106" s="25">
        <v>44053</v>
      </c>
      <c r="F106" s="26">
        <v>2.321</v>
      </c>
      <c r="G106" s="26">
        <v>4.685</v>
      </c>
      <c r="H106" s="27"/>
      <c r="I106" s="28">
        <f t="shared" si="57"/>
        <v>0.07253125</v>
      </c>
      <c r="J106" s="28">
        <f t="shared" si="50"/>
        <v>0.073203125</v>
      </c>
      <c r="K106" s="28">
        <f t="shared" si="51"/>
        <v>0</v>
      </c>
      <c r="M106" s="36">
        <f t="shared" si="62"/>
        <v>-0.0464256368118323</v>
      </c>
      <c r="N106" s="36">
        <f t="shared" si="64"/>
        <v>-0.0652436568666935</v>
      </c>
      <c r="O106" s="36">
        <f t="shared" si="65"/>
        <v>-0.0933593749999999</v>
      </c>
      <c r="P106" s="36">
        <f t="shared" si="66"/>
        <v>-0.0438775510204084</v>
      </c>
      <c r="Q106" s="36">
        <f t="shared" si="67"/>
        <v>-0.063936063936064</v>
      </c>
      <c r="R106" s="36">
        <f t="shared" si="68"/>
        <v>-0.0941608662026295</v>
      </c>
      <c r="S106" s="36"/>
      <c r="T106" s="36"/>
      <c r="U106" s="36"/>
      <c r="W106" s="5" t="str" cm="1">
        <f t="array" ref="W106">_xlfn.IFS(MONTH(X106)&lt;4,1,MONTH(X106)&lt;7,2,MONTH(X106)&lt;10,3,MONTH(X106)&gt;9,4)&amp;"Q"&amp;RIGHT(YEAR(X106),2)</f>
        <v>3Q20</v>
      </c>
      <c r="X106" s="2">
        <f t="shared" si="58"/>
        <v>44043</v>
      </c>
      <c r="Y106" s="25">
        <v>44032</v>
      </c>
      <c r="Z106" s="29">
        <v>21.357</v>
      </c>
      <c r="AD106" s="36">
        <f t="shared" si="63"/>
        <v>0</v>
      </c>
      <c r="AE106" s="36">
        <f t="shared" si="69"/>
        <v>0</v>
      </c>
      <c r="AF106" s="36">
        <f t="shared" si="70"/>
        <v>-0.00224246671338479</v>
      </c>
      <c r="AJ106" s="5" t="str" cm="1">
        <f t="array" ref="AJ106">_xlfn.IFS(MONTH(AK106)&lt;4,1,MONTH(AK106)&lt;7,2,MONTH(AK106)&lt;10,3,MONTH(AK106)&gt;9,4)&amp;"Q"&amp;RIGHT(YEAR(AK106),2)</f>
        <v>2Q24</v>
      </c>
      <c r="AK106" s="2">
        <f t="shared" si="59"/>
        <v>45412</v>
      </c>
      <c r="AL106" s="50">
        <f t="shared" si="71"/>
        <v>45412</v>
      </c>
      <c r="AM106" s="56">
        <v>2.11</v>
      </c>
      <c r="AN106" s="56">
        <v>4.12</v>
      </c>
      <c r="AO106" s="56">
        <v>7.95</v>
      </c>
      <c r="AP106" s="56">
        <v>7.2</v>
      </c>
      <c r="AQ106" s="36"/>
      <c r="AR106" s="53">
        <f t="shared" si="52"/>
        <v>0.0659375</v>
      </c>
      <c r="AS106" s="53">
        <f t="shared" si="74"/>
        <v>0.064375</v>
      </c>
      <c r="AT106" s="53">
        <f t="shared" si="72"/>
        <v>0.062109375</v>
      </c>
      <c r="AU106" s="53">
        <f t="shared" si="72"/>
        <v>0.05625</v>
      </c>
      <c r="AV106" s="46">
        <f t="shared" si="73"/>
        <v>0</v>
      </c>
      <c r="AW106" s="46">
        <f t="shared" si="73"/>
        <v>0</v>
      </c>
      <c r="AX106" s="46">
        <f t="shared" si="73"/>
        <v>0</v>
      </c>
      <c r="AY106" s="46">
        <f t="shared" si="73"/>
        <v>0</v>
      </c>
      <c r="BA106" s="25">
        <f t="shared" si="40"/>
        <v>44053</v>
      </c>
      <c r="BB106" s="28">
        <f t="shared" si="40"/>
        <v>2.321</v>
      </c>
      <c r="BC106" s="28">
        <f t="shared" si="53"/>
        <v>2.54</v>
      </c>
      <c r="BD106" s="28">
        <f t="shared" si="60"/>
        <v>4.685</v>
      </c>
      <c r="BE106" s="28">
        <f t="shared" si="54"/>
        <v>4.96</v>
      </c>
      <c r="BF106" s="28"/>
      <c r="BG106" s="28"/>
      <c r="BH106" s="28"/>
      <c r="BI106" s="28"/>
      <c r="CC106" s="25">
        <f t="shared" si="55"/>
        <v>44032</v>
      </c>
      <c r="CD106" s="29">
        <f t="shared" si="55"/>
        <v>21.357</v>
      </c>
      <c r="CE106" s="29">
        <f t="shared" si="61"/>
        <v>19.1</v>
      </c>
      <c r="DP106" s="35">
        <v>43628</v>
      </c>
      <c r="DQ106" s="26">
        <v>3.1</v>
      </c>
      <c r="DR106" s="26">
        <v>2.9</v>
      </c>
      <c r="DS106" s="26">
        <v>2.974</v>
      </c>
      <c r="DU106" s="35">
        <v>43628</v>
      </c>
      <c r="DV106" s="26">
        <v>6.25</v>
      </c>
      <c r="DW106" s="26">
        <v>6.1</v>
      </c>
      <c r="DX106" s="26">
        <v>6.16</v>
      </c>
      <c r="DZ106" s="35">
        <v>43628</v>
      </c>
      <c r="EA106" s="26">
        <v>12.55</v>
      </c>
      <c r="EB106" s="26">
        <v>12.45</v>
      </c>
      <c r="EC106" s="26">
        <v>12.5</v>
      </c>
    </row>
    <row r="107" ht="16.8" spans="3:133">
      <c r="C107" s="5" t="str" cm="1">
        <f t="array" ref="C107">_xlfn.IFS(MONTH(D107)&lt;4,1,MONTH(D107)&lt;7,2,MONTH(D107)&lt;10,3,MONTH(D107)&gt;9,4)&amp;"Q"&amp;RIGHT(YEAR(D107),2)</f>
        <v>3Q20</v>
      </c>
      <c r="D107" s="2">
        <f t="shared" si="56"/>
        <v>44074</v>
      </c>
      <c r="E107" s="25">
        <v>44060</v>
      </c>
      <c r="F107" s="26">
        <v>2.278</v>
      </c>
      <c r="G107" s="26">
        <v>4.596</v>
      </c>
      <c r="H107" s="27"/>
      <c r="I107" s="28">
        <f t="shared" si="57"/>
        <v>0.0711875</v>
      </c>
      <c r="J107" s="28">
        <f t="shared" si="50"/>
        <v>0.0718125</v>
      </c>
      <c r="K107" s="28">
        <f t="shared" si="51"/>
        <v>0</v>
      </c>
      <c r="M107" s="36">
        <f t="shared" si="62"/>
        <v>-0.0185264971994831</v>
      </c>
      <c r="N107" s="36">
        <f t="shared" si="64"/>
        <v>-0.0640920295809367</v>
      </c>
      <c r="O107" s="36">
        <f t="shared" si="65"/>
        <v>-0.0825614176399517</v>
      </c>
      <c r="P107" s="36">
        <f t="shared" si="66"/>
        <v>-0.0189967982924225</v>
      </c>
      <c r="Q107" s="36">
        <f t="shared" si="67"/>
        <v>-0.0620408163265307</v>
      </c>
      <c r="R107" s="36">
        <f t="shared" si="68"/>
        <v>-0.0817182817182817</v>
      </c>
      <c r="S107" s="36"/>
      <c r="T107" s="36"/>
      <c r="U107" s="36"/>
      <c r="W107" s="5" t="str" cm="1">
        <f t="array" ref="W107">_xlfn.IFS(MONTH(X107)&lt;4,1,MONTH(X107)&lt;7,2,MONTH(X107)&lt;10,3,MONTH(X107)&gt;9,4)&amp;"Q"&amp;RIGHT(YEAR(X107),2)</f>
        <v>3Q20</v>
      </c>
      <c r="X107" s="2">
        <f t="shared" si="58"/>
        <v>44043</v>
      </c>
      <c r="Y107" s="25">
        <v>44039</v>
      </c>
      <c r="Z107" s="29">
        <v>21.357</v>
      </c>
      <c r="AD107" s="36">
        <f t="shared" si="63"/>
        <v>0</v>
      </c>
      <c r="AE107" s="36">
        <f t="shared" si="69"/>
        <v>0</v>
      </c>
      <c r="AF107" s="36">
        <f t="shared" si="70"/>
        <v>0</v>
      </c>
      <c r="AJ107" s="5" t="str" cm="1">
        <f t="array" ref="AJ107">_xlfn.IFS(MONTH(AK107)&lt;4,1,MONTH(AK107)&lt;7,2,MONTH(AK107)&lt;10,3,MONTH(AK107)&gt;9,4)&amp;"Q"&amp;RIGHT(YEAR(AK107),2)</f>
        <v>2Q24</v>
      </c>
      <c r="AK107" s="2">
        <f t="shared" si="59"/>
        <v>45443</v>
      </c>
      <c r="AL107" s="50">
        <f t="shared" si="71"/>
        <v>45443</v>
      </c>
      <c r="AM107" s="56">
        <v>2.11</v>
      </c>
      <c r="AN107" s="56">
        <v>4.12</v>
      </c>
      <c r="AO107" s="56">
        <v>7.95</v>
      </c>
      <c r="AP107" s="56">
        <v>7.2</v>
      </c>
      <c r="AQ107" s="36"/>
      <c r="AR107" s="53">
        <f t="shared" si="52"/>
        <v>0.0659375</v>
      </c>
      <c r="AS107" s="53">
        <f t="shared" si="74"/>
        <v>0.064375</v>
      </c>
      <c r="AT107" s="53">
        <f t="shared" si="72"/>
        <v>0.062109375</v>
      </c>
      <c r="AU107" s="53">
        <f t="shared" si="72"/>
        <v>0.05625</v>
      </c>
      <c r="AV107" s="46">
        <f t="shared" si="73"/>
        <v>0</v>
      </c>
      <c r="AW107" s="46">
        <f t="shared" si="73"/>
        <v>0</v>
      </c>
      <c r="AX107" s="46">
        <f t="shared" si="73"/>
        <v>0</v>
      </c>
      <c r="AY107" s="46">
        <f t="shared" si="73"/>
        <v>0</v>
      </c>
      <c r="BA107" s="25">
        <f t="shared" si="40"/>
        <v>44060</v>
      </c>
      <c r="BB107" s="28">
        <f t="shared" si="40"/>
        <v>2.278</v>
      </c>
      <c r="BC107" s="28">
        <f t="shared" si="53"/>
        <v>2.54</v>
      </c>
      <c r="BD107" s="28">
        <f t="shared" si="60"/>
        <v>4.596</v>
      </c>
      <c r="BE107" s="28">
        <f t="shared" si="54"/>
        <v>4.96</v>
      </c>
      <c r="BF107" s="28"/>
      <c r="BG107" s="28"/>
      <c r="BH107" s="28"/>
      <c r="BI107" s="28"/>
      <c r="CC107" s="25">
        <f t="shared" si="55"/>
        <v>44039</v>
      </c>
      <c r="CD107" s="29">
        <f t="shared" si="55"/>
        <v>21.357</v>
      </c>
      <c r="CE107" s="29">
        <f t="shared" si="61"/>
        <v>19.1</v>
      </c>
      <c r="DP107" s="35">
        <v>43629</v>
      </c>
      <c r="DQ107" s="26">
        <v>3.1</v>
      </c>
      <c r="DR107" s="26">
        <v>2.9</v>
      </c>
      <c r="DS107" s="26">
        <v>2.974</v>
      </c>
      <c r="DU107" s="35">
        <v>43629</v>
      </c>
      <c r="DV107" s="26">
        <v>6.25</v>
      </c>
      <c r="DW107" s="26">
        <v>6.1</v>
      </c>
      <c r="DX107" s="26">
        <v>6.16</v>
      </c>
      <c r="DZ107" s="35">
        <v>43629</v>
      </c>
      <c r="EA107" s="26">
        <v>12.55</v>
      </c>
      <c r="EB107" s="26">
        <v>12.45</v>
      </c>
      <c r="EC107" s="26">
        <v>12.5</v>
      </c>
    </row>
    <row r="108" ht="16.8" spans="3:133">
      <c r="C108" s="5" t="str" cm="1">
        <f t="array" ref="C108">_xlfn.IFS(MONTH(D108)&lt;4,1,MONTH(D108)&lt;7,2,MONTH(D108)&lt;10,3,MONTH(D108)&gt;9,4)&amp;"Q"&amp;RIGHT(YEAR(D108),2)</f>
        <v>3Q20</v>
      </c>
      <c r="D108" s="2">
        <f t="shared" si="56"/>
        <v>44074</v>
      </c>
      <c r="E108" s="25">
        <v>44067</v>
      </c>
      <c r="F108" s="26">
        <v>2.269</v>
      </c>
      <c r="G108" s="26">
        <v>4.592</v>
      </c>
      <c r="H108" s="27"/>
      <c r="I108" s="28">
        <f t="shared" si="57"/>
        <v>0.07090625</v>
      </c>
      <c r="J108" s="28">
        <f t="shared" si="50"/>
        <v>0.07175</v>
      </c>
      <c r="K108" s="28">
        <f t="shared" si="51"/>
        <v>0</v>
      </c>
      <c r="M108" s="36">
        <f t="shared" si="62"/>
        <v>-0.00395083406496921</v>
      </c>
      <c r="N108" s="36">
        <f t="shared" si="64"/>
        <v>-0.022404136148212</v>
      </c>
      <c r="O108" s="36">
        <f t="shared" si="65"/>
        <v>-0.0677896466721446</v>
      </c>
      <c r="P108" s="36">
        <f t="shared" si="66"/>
        <v>-0.000870322019147163</v>
      </c>
      <c r="Q108" s="36">
        <f t="shared" si="67"/>
        <v>-0.0198505869797225</v>
      </c>
      <c r="R108" s="36">
        <f t="shared" si="68"/>
        <v>-0.0628571428571429</v>
      </c>
      <c r="S108" s="36"/>
      <c r="T108" s="36"/>
      <c r="U108" s="36"/>
      <c r="W108" s="5" t="str" cm="1">
        <f t="array" ref="W108">_xlfn.IFS(MONTH(X108)&lt;4,1,MONTH(X108)&lt;7,2,MONTH(X108)&lt;10,3,MONTH(X108)&gt;9,4)&amp;"Q"&amp;RIGHT(YEAR(X108),2)</f>
        <v>3Q20</v>
      </c>
      <c r="X108" s="2">
        <f t="shared" si="58"/>
        <v>44074</v>
      </c>
      <c r="Y108" s="25">
        <v>44046</v>
      </c>
      <c r="Z108" s="29">
        <v>21.357</v>
      </c>
      <c r="AD108" s="36">
        <f t="shared" si="63"/>
        <v>0</v>
      </c>
      <c r="AE108" s="36">
        <f t="shared" si="69"/>
        <v>0</v>
      </c>
      <c r="AF108" s="36">
        <f t="shared" si="70"/>
        <v>0</v>
      </c>
      <c r="AJ108" s="5" t="str" cm="1">
        <f t="array" ref="AJ108">_xlfn.IFS(MONTH(AK108)&lt;4,1,MONTH(AK108)&lt;7,2,MONTH(AK108)&lt;10,3,MONTH(AK108)&gt;9,4)&amp;"Q"&amp;RIGHT(YEAR(AK108),2)</f>
        <v>2Q24</v>
      </c>
      <c r="AK108" s="2">
        <f t="shared" si="59"/>
        <v>45473</v>
      </c>
      <c r="AL108" s="50">
        <f t="shared" si="71"/>
        <v>45473</v>
      </c>
      <c r="AM108" s="56">
        <v>2.15</v>
      </c>
      <c r="AN108" s="56">
        <v>4.22</v>
      </c>
      <c r="AO108" s="56">
        <v>7.95</v>
      </c>
      <c r="AP108" s="56">
        <v>7.2</v>
      </c>
      <c r="AQ108" s="36"/>
      <c r="AR108" s="53">
        <f t="shared" si="52"/>
        <v>0.0671875</v>
      </c>
      <c r="AS108" s="53">
        <f t="shared" si="74"/>
        <v>0.0659375</v>
      </c>
      <c r="AT108" s="53">
        <f t="shared" si="72"/>
        <v>0.062109375</v>
      </c>
      <c r="AU108" s="53">
        <f t="shared" si="72"/>
        <v>0.05625</v>
      </c>
      <c r="AV108" s="46">
        <f t="shared" si="73"/>
        <v>0.018957345971564</v>
      </c>
      <c r="AW108" s="46">
        <f t="shared" si="73"/>
        <v>0.0242718446601942</v>
      </c>
      <c r="AX108" s="46">
        <f t="shared" si="73"/>
        <v>0</v>
      </c>
      <c r="AY108" s="46">
        <f t="shared" si="73"/>
        <v>0</v>
      </c>
      <c r="BA108" s="25">
        <f t="shared" ref="BA108:BB171" si="75">E108</f>
        <v>44067</v>
      </c>
      <c r="BB108" s="28">
        <f t="shared" si="75"/>
        <v>2.269</v>
      </c>
      <c r="BC108" s="28">
        <f t="shared" si="53"/>
        <v>2.54</v>
      </c>
      <c r="BD108" s="28">
        <f t="shared" si="60"/>
        <v>4.592</v>
      </c>
      <c r="BE108" s="28">
        <f t="shared" si="54"/>
        <v>4.96</v>
      </c>
      <c r="BF108" s="28"/>
      <c r="BG108" s="28"/>
      <c r="BH108" s="28"/>
      <c r="BI108" s="28"/>
      <c r="CC108" s="25">
        <f t="shared" si="55"/>
        <v>44046</v>
      </c>
      <c r="CD108" s="29">
        <f t="shared" si="55"/>
        <v>21.357</v>
      </c>
      <c r="CE108" s="29">
        <f t="shared" si="61"/>
        <v>19.1</v>
      </c>
      <c r="DP108" s="35">
        <v>43630</v>
      </c>
      <c r="DQ108" s="26">
        <v>3.1</v>
      </c>
      <c r="DR108" s="26">
        <v>2.9</v>
      </c>
      <c r="DS108" s="26">
        <v>2.974</v>
      </c>
      <c r="DU108" s="35">
        <v>43630</v>
      </c>
      <c r="DV108" s="26">
        <v>6.25</v>
      </c>
      <c r="DW108" s="26">
        <v>6.1</v>
      </c>
      <c r="DX108" s="26">
        <v>6.16</v>
      </c>
      <c r="DZ108" s="35">
        <v>43630</v>
      </c>
      <c r="EA108" s="26">
        <v>12.55</v>
      </c>
      <c r="EB108" s="26">
        <v>12.45</v>
      </c>
      <c r="EC108" s="26">
        <v>12.5</v>
      </c>
    </row>
    <row r="109" ht="16.8" spans="3:133">
      <c r="C109" s="5" t="str" cm="1">
        <f t="array" ref="C109">_xlfn.IFS(MONTH(D109)&lt;4,1,MONTH(D109)&lt;7,2,MONTH(D109)&lt;10,3,MONTH(D109)&gt;9,4)&amp;"Q"&amp;RIGHT(YEAR(D109),2)</f>
        <v>3Q20</v>
      </c>
      <c r="D109" s="2">
        <f t="shared" si="56"/>
        <v>44074</v>
      </c>
      <c r="E109" s="25">
        <v>44074</v>
      </c>
      <c r="F109" s="26">
        <v>2.272</v>
      </c>
      <c r="G109" s="26">
        <v>4.594</v>
      </c>
      <c r="H109" s="27"/>
      <c r="I109" s="28">
        <f t="shared" si="57"/>
        <v>0.071</v>
      </c>
      <c r="J109" s="28">
        <f t="shared" si="50"/>
        <v>0.07178125</v>
      </c>
      <c r="K109" s="28">
        <f t="shared" si="51"/>
        <v>0</v>
      </c>
      <c r="M109" s="36">
        <f t="shared" si="62"/>
        <v>0.00132216835610377</v>
      </c>
      <c r="N109" s="36">
        <f t="shared" si="64"/>
        <v>-0.00263388937664633</v>
      </c>
      <c r="O109" s="36">
        <f t="shared" si="65"/>
        <v>-0.0211115898319691</v>
      </c>
      <c r="P109" s="36">
        <f t="shared" si="66"/>
        <v>0.000435540069686491</v>
      </c>
      <c r="Q109" s="36">
        <f t="shared" si="67"/>
        <v>-0.000435161009573526</v>
      </c>
      <c r="R109" s="36">
        <f t="shared" si="68"/>
        <v>-0.0194236926360725</v>
      </c>
      <c r="S109" s="36"/>
      <c r="T109" s="36"/>
      <c r="U109" s="36"/>
      <c r="W109" s="5" t="str" cm="1">
        <f t="array" ref="W109">_xlfn.IFS(MONTH(X109)&lt;4,1,MONTH(X109)&lt;7,2,MONTH(X109)&lt;10,3,MONTH(X109)&gt;9,4)&amp;"Q"&amp;RIGHT(YEAR(X109),2)</f>
        <v>3Q20</v>
      </c>
      <c r="X109" s="2">
        <f t="shared" si="58"/>
        <v>44074</v>
      </c>
      <c r="Y109" s="25">
        <v>44053</v>
      </c>
      <c r="Z109" s="29">
        <v>21.357</v>
      </c>
      <c r="AD109" s="36">
        <f t="shared" si="63"/>
        <v>0</v>
      </c>
      <c r="AE109" s="36">
        <f t="shared" si="69"/>
        <v>0</v>
      </c>
      <c r="AF109" s="36">
        <f t="shared" si="70"/>
        <v>0</v>
      </c>
      <c r="AJ109" s="5" t="str" cm="1">
        <f t="array" ref="AJ109">_xlfn.IFS(MONTH(AK109)&lt;4,1,MONTH(AK109)&lt;7,2,MONTH(AK109)&lt;10,3,MONTH(AK109)&gt;9,4)&amp;"Q"&amp;RIGHT(YEAR(AK109),2)</f>
        <v>3Q24</v>
      </c>
      <c r="AK109" s="2">
        <f t="shared" si="59"/>
        <v>45504</v>
      </c>
      <c r="AL109" s="50">
        <f t="shared" si="71"/>
        <v>45504</v>
      </c>
      <c r="AM109" s="56">
        <v>2.15</v>
      </c>
      <c r="AN109" s="56">
        <v>4.22</v>
      </c>
      <c r="AO109" s="56">
        <v>7.95</v>
      </c>
      <c r="AP109" s="56">
        <v>7.2</v>
      </c>
      <c r="AQ109" s="36"/>
      <c r="AR109" s="53">
        <f t="shared" si="52"/>
        <v>0.0671875</v>
      </c>
      <c r="AS109" s="53">
        <f t="shared" si="74"/>
        <v>0.0659375</v>
      </c>
      <c r="AT109" s="53">
        <f t="shared" si="72"/>
        <v>0.062109375</v>
      </c>
      <c r="AU109" s="53">
        <f t="shared" si="72"/>
        <v>0.05625</v>
      </c>
      <c r="AV109" s="46">
        <f t="shared" si="73"/>
        <v>0</v>
      </c>
      <c r="AW109" s="46">
        <f t="shared" si="73"/>
        <v>0</v>
      </c>
      <c r="AX109" s="46">
        <f t="shared" si="73"/>
        <v>0</v>
      </c>
      <c r="AY109" s="46">
        <f t="shared" si="73"/>
        <v>0</v>
      </c>
      <c r="BA109" s="25">
        <f t="shared" si="75"/>
        <v>44074</v>
      </c>
      <c r="BB109" s="28">
        <f t="shared" si="75"/>
        <v>2.272</v>
      </c>
      <c r="BC109" s="28">
        <f t="shared" si="53"/>
        <v>2.54</v>
      </c>
      <c r="BD109" s="28">
        <f t="shared" si="60"/>
        <v>4.594</v>
      </c>
      <c r="BE109" s="28">
        <f t="shared" si="54"/>
        <v>4.96</v>
      </c>
      <c r="BF109" s="28"/>
      <c r="BG109" s="28"/>
      <c r="BH109" s="28"/>
      <c r="BI109" s="28"/>
      <c r="CC109" s="25">
        <f t="shared" si="55"/>
        <v>44053</v>
      </c>
      <c r="CD109" s="29">
        <f t="shared" si="55"/>
        <v>21.357</v>
      </c>
      <c r="CE109" s="29">
        <f t="shared" si="61"/>
        <v>19.1</v>
      </c>
      <c r="DP109" s="35">
        <v>43633</v>
      </c>
      <c r="DQ109" s="26">
        <v>3.1</v>
      </c>
      <c r="DR109" s="26">
        <v>2.9</v>
      </c>
      <c r="DS109" s="26">
        <v>2.974</v>
      </c>
      <c r="DU109" s="35">
        <v>43633</v>
      </c>
      <c r="DV109" s="26">
        <v>6.25</v>
      </c>
      <c r="DW109" s="26">
        <v>6.1</v>
      </c>
      <c r="DX109" s="26">
        <v>6.16</v>
      </c>
      <c r="DZ109" s="35">
        <v>43633</v>
      </c>
      <c r="EA109" s="26">
        <v>12.55</v>
      </c>
      <c r="EB109" s="26">
        <v>12.45</v>
      </c>
      <c r="EC109" s="26">
        <v>12.5</v>
      </c>
    </row>
    <row r="110" ht="16.8" spans="3:133">
      <c r="C110" s="5" t="str" cm="1">
        <f t="array" ref="C110">_xlfn.IFS(MONTH(D110)&lt;4,1,MONTH(D110)&lt;7,2,MONTH(D110)&lt;10,3,MONTH(D110)&gt;9,4)&amp;"Q"&amp;RIGHT(YEAR(D110),2)</f>
        <v>3Q20</v>
      </c>
      <c r="D110" s="2">
        <f t="shared" si="56"/>
        <v>44104</v>
      </c>
      <c r="E110" s="25">
        <v>44081</v>
      </c>
      <c r="F110" s="26">
        <v>2.276</v>
      </c>
      <c r="G110" s="26">
        <v>4.599</v>
      </c>
      <c r="H110" s="27"/>
      <c r="I110" s="28">
        <f t="shared" si="57"/>
        <v>0.071125</v>
      </c>
      <c r="J110" s="28">
        <f t="shared" si="50"/>
        <v>0.071859375</v>
      </c>
      <c r="K110" s="28">
        <f t="shared" si="51"/>
        <v>0</v>
      </c>
      <c r="M110" s="36">
        <f t="shared" si="62"/>
        <v>0.00176056338028174</v>
      </c>
      <c r="N110" s="36">
        <f t="shared" si="64"/>
        <v>0.00308505949757598</v>
      </c>
      <c r="O110" s="36">
        <f t="shared" si="65"/>
        <v>-0.000877963125548775</v>
      </c>
      <c r="P110" s="36">
        <f t="shared" si="66"/>
        <v>0.00108837614279489</v>
      </c>
      <c r="Q110" s="36">
        <f t="shared" si="67"/>
        <v>0.00152439024390261</v>
      </c>
      <c r="R110" s="36">
        <f t="shared" si="68"/>
        <v>0.000652741514360233</v>
      </c>
      <c r="S110" s="36"/>
      <c r="T110" s="36"/>
      <c r="U110" s="36"/>
      <c r="W110" s="5" t="str" cm="1">
        <f t="array" ref="W110">_xlfn.IFS(MONTH(X110)&lt;4,1,MONTH(X110)&lt;7,2,MONTH(X110)&lt;10,3,MONTH(X110)&gt;9,4)&amp;"Q"&amp;RIGHT(YEAR(X110),2)</f>
        <v>3Q20</v>
      </c>
      <c r="X110" s="2">
        <f t="shared" si="58"/>
        <v>44074</v>
      </c>
      <c r="Y110" s="25">
        <v>44060</v>
      </c>
      <c r="Z110" s="29">
        <v>21.31</v>
      </c>
      <c r="AD110" s="36">
        <f t="shared" si="63"/>
        <v>-0.00220068361661285</v>
      </c>
      <c r="AE110" s="36">
        <f t="shared" si="69"/>
        <v>-0.00220068361661285</v>
      </c>
      <c r="AF110" s="36">
        <f t="shared" si="70"/>
        <v>-0.00220068361661285</v>
      </c>
      <c r="AJ110" s="5" t="str" cm="1">
        <f t="array" ref="AJ110">_xlfn.IFS(MONTH(AK110)&lt;4,1,MONTH(AK110)&lt;7,2,MONTH(AK110)&lt;10,3,MONTH(AK110)&gt;9,4)&amp;"Q"&amp;RIGHT(YEAR(AK110),2)</f>
        <v>3Q24</v>
      </c>
      <c r="AK110" s="2">
        <f t="shared" si="59"/>
        <v>45535</v>
      </c>
      <c r="AL110" s="50">
        <f t="shared" si="71"/>
        <v>45535</v>
      </c>
      <c r="AM110" s="56">
        <v>2.07</v>
      </c>
      <c r="AN110" s="56">
        <v>4.15</v>
      </c>
      <c r="AO110" s="56">
        <v>7.65</v>
      </c>
      <c r="AP110" s="56">
        <v>6.89</v>
      </c>
      <c r="AQ110" s="36"/>
      <c r="AR110" s="53">
        <f t="shared" si="52"/>
        <v>0.0646875</v>
      </c>
      <c r="AS110" s="53">
        <f t="shared" si="74"/>
        <v>0.06484375</v>
      </c>
      <c r="AT110" s="53">
        <f t="shared" si="72"/>
        <v>0.059765625</v>
      </c>
      <c r="AU110" s="53">
        <f t="shared" si="72"/>
        <v>0.053828125</v>
      </c>
      <c r="AV110" s="46">
        <f t="shared" si="73"/>
        <v>-0.0372093023255814</v>
      </c>
      <c r="AW110" s="46">
        <f t="shared" si="73"/>
        <v>-0.0165876777251184</v>
      </c>
      <c r="AX110" s="46">
        <f t="shared" si="73"/>
        <v>-0.0377358490566038</v>
      </c>
      <c r="AY110" s="46">
        <f t="shared" si="73"/>
        <v>-0.0430555555555556</v>
      </c>
      <c r="BA110" s="25">
        <f t="shared" si="75"/>
        <v>44081</v>
      </c>
      <c r="BB110" s="28">
        <f t="shared" si="75"/>
        <v>2.276</v>
      </c>
      <c r="BC110" s="28">
        <f t="shared" si="53"/>
        <v>2.54</v>
      </c>
      <c r="BD110" s="28">
        <f t="shared" si="60"/>
        <v>4.599</v>
      </c>
      <c r="BE110" s="28">
        <f t="shared" si="54"/>
        <v>4.96</v>
      </c>
      <c r="BF110" s="28"/>
      <c r="BG110" s="28"/>
      <c r="BH110" s="28"/>
      <c r="BI110" s="28"/>
      <c r="CC110" s="25">
        <f t="shared" si="55"/>
        <v>44060</v>
      </c>
      <c r="CD110" s="29">
        <f t="shared" si="55"/>
        <v>21.31</v>
      </c>
      <c r="CE110" s="29">
        <f t="shared" si="61"/>
        <v>19.1</v>
      </c>
      <c r="DP110" s="35">
        <v>43634</v>
      </c>
      <c r="DQ110" s="26">
        <v>3.1</v>
      </c>
      <c r="DR110" s="26">
        <v>2.9</v>
      </c>
      <c r="DS110" s="26">
        <v>2.974</v>
      </c>
      <c r="DU110" s="35">
        <v>43634</v>
      </c>
      <c r="DV110" s="26">
        <v>6.25</v>
      </c>
      <c r="DW110" s="26">
        <v>6.1</v>
      </c>
      <c r="DX110" s="26">
        <v>6.16</v>
      </c>
      <c r="DZ110" s="35">
        <v>43634</v>
      </c>
      <c r="EA110" s="26">
        <v>12.55</v>
      </c>
      <c r="EB110" s="26">
        <v>12.45</v>
      </c>
      <c r="EC110" s="26">
        <v>12.5</v>
      </c>
    </row>
    <row r="111" ht="16.8" spans="3:133">
      <c r="C111" s="5" t="str" cm="1">
        <f t="array" ref="C111">_xlfn.IFS(MONTH(D111)&lt;4,1,MONTH(D111)&lt;7,2,MONTH(D111)&lt;10,3,MONTH(D111)&gt;9,4)&amp;"Q"&amp;RIGHT(YEAR(D111),2)</f>
        <v>3Q20</v>
      </c>
      <c r="D111" s="2">
        <f t="shared" si="56"/>
        <v>44104</v>
      </c>
      <c r="E111" s="25">
        <v>44088</v>
      </c>
      <c r="F111" s="26">
        <v>2.293</v>
      </c>
      <c r="G111" s="26">
        <v>4.61</v>
      </c>
      <c r="H111" s="27"/>
      <c r="I111" s="28">
        <f t="shared" si="57"/>
        <v>0.07165625</v>
      </c>
      <c r="J111" s="28">
        <f t="shared" si="50"/>
        <v>0.07203125</v>
      </c>
      <c r="K111" s="28">
        <f t="shared" si="51"/>
        <v>0</v>
      </c>
      <c r="M111" s="36">
        <f t="shared" si="62"/>
        <v>0.00746924428822515</v>
      </c>
      <c r="N111" s="36">
        <f t="shared" si="64"/>
        <v>0.00924295774647899</v>
      </c>
      <c r="O111" s="36">
        <f t="shared" si="65"/>
        <v>0.0105773468488322</v>
      </c>
      <c r="P111" s="36">
        <f t="shared" si="66"/>
        <v>0.00239182430963258</v>
      </c>
      <c r="Q111" s="36">
        <f t="shared" si="67"/>
        <v>0.00348280365694387</v>
      </c>
      <c r="R111" s="36">
        <f t="shared" si="68"/>
        <v>0.00391986062717775</v>
      </c>
      <c r="S111" s="36"/>
      <c r="T111" s="36"/>
      <c r="U111" s="36"/>
      <c r="W111" s="5" t="str" cm="1">
        <f t="array" ref="W111">_xlfn.IFS(MONTH(X111)&lt;4,1,MONTH(X111)&lt;7,2,MONTH(X111)&lt;10,3,MONTH(X111)&gt;9,4)&amp;"Q"&amp;RIGHT(YEAR(X111),2)</f>
        <v>3Q20</v>
      </c>
      <c r="X111" s="2">
        <f t="shared" si="58"/>
        <v>44074</v>
      </c>
      <c r="Y111" s="25">
        <v>44067</v>
      </c>
      <c r="Z111" s="29">
        <v>21.31</v>
      </c>
      <c r="AD111" s="36">
        <f t="shared" si="63"/>
        <v>0</v>
      </c>
      <c r="AE111" s="36">
        <f t="shared" si="69"/>
        <v>-0.00220068361661285</v>
      </c>
      <c r="AF111" s="36">
        <f t="shared" si="70"/>
        <v>-0.00220068361661285</v>
      </c>
      <c r="AJ111" s="5" t="str" cm="1">
        <f t="array" ref="AJ111">_xlfn.IFS(MONTH(AK111)&lt;4,1,MONTH(AK111)&lt;7,2,MONTH(AK111)&lt;10,3,MONTH(AK111)&gt;9,4)&amp;"Q"&amp;RIGHT(YEAR(AK111),2)</f>
        <v>3Q24</v>
      </c>
      <c r="AK111" s="2">
        <f t="shared" si="59"/>
        <v>45565</v>
      </c>
      <c r="AL111" s="50">
        <f t="shared" si="71"/>
        <v>45565</v>
      </c>
      <c r="AM111" s="56">
        <v>1.86</v>
      </c>
      <c r="AN111" s="56">
        <v>3.92</v>
      </c>
      <c r="AO111" s="56">
        <v>7.02</v>
      </c>
      <c r="AP111" s="56">
        <v>6.23</v>
      </c>
      <c r="AQ111" s="36"/>
      <c r="AR111" s="53">
        <f t="shared" si="52"/>
        <v>0.058125</v>
      </c>
      <c r="AS111" s="53">
        <f t="shared" si="74"/>
        <v>0.06125</v>
      </c>
      <c r="AT111" s="53">
        <f t="shared" si="72"/>
        <v>0.05484375</v>
      </c>
      <c r="AU111" s="53">
        <f t="shared" si="72"/>
        <v>0.048671875</v>
      </c>
      <c r="AV111" s="46">
        <f t="shared" si="73"/>
        <v>-0.101449275362319</v>
      </c>
      <c r="AW111" s="46">
        <f t="shared" si="73"/>
        <v>-0.055421686746988</v>
      </c>
      <c r="AX111" s="46">
        <f t="shared" si="73"/>
        <v>-0.0823529411764707</v>
      </c>
      <c r="AY111" s="46">
        <f t="shared" si="73"/>
        <v>-0.0957910014513788</v>
      </c>
      <c r="BA111" s="25">
        <f t="shared" si="75"/>
        <v>44088</v>
      </c>
      <c r="BB111" s="28">
        <f t="shared" si="75"/>
        <v>2.293</v>
      </c>
      <c r="BC111" s="28">
        <f t="shared" si="53"/>
        <v>2.54</v>
      </c>
      <c r="BD111" s="28">
        <f t="shared" si="60"/>
        <v>4.61</v>
      </c>
      <c r="BE111" s="28">
        <f t="shared" si="54"/>
        <v>4.96</v>
      </c>
      <c r="BF111" s="28"/>
      <c r="BG111" s="28"/>
      <c r="BH111" s="28"/>
      <c r="BI111" s="28"/>
      <c r="CC111" s="25">
        <f t="shared" si="55"/>
        <v>44067</v>
      </c>
      <c r="CD111" s="29">
        <f t="shared" si="55"/>
        <v>21.31</v>
      </c>
      <c r="CE111" s="29">
        <f t="shared" si="61"/>
        <v>19.1</v>
      </c>
      <c r="DP111" s="35">
        <v>43635</v>
      </c>
      <c r="DQ111" s="26">
        <v>3.1</v>
      </c>
      <c r="DR111" s="26">
        <v>2.9</v>
      </c>
      <c r="DS111" s="26">
        <v>2.974</v>
      </c>
      <c r="DU111" s="35">
        <v>43635</v>
      </c>
      <c r="DV111" s="26">
        <v>6.25</v>
      </c>
      <c r="DW111" s="26">
        <v>6.1</v>
      </c>
      <c r="DX111" s="26">
        <v>6.16</v>
      </c>
      <c r="DZ111" s="35">
        <v>43635</v>
      </c>
      <c r="EA111" s="26">
        <v>12.55</v>
      </c>
      <c r="EB111" s="26">
        <v>12.45</v>
      </c>
      <c r="EC111" s="26">
        <v>12.5</v>
      </c>
    </row>
    <row r="112" ht="16.8" spans="3:133">
      <c r="C112" s="5" t="str" cm="1">
        <f t="array" ref="C112">_xlfn.IFS(MONTH(D112)&lt;4,1,MONTH(D112)&lt;7,2,MONTH(D112)&lt;10,3,MONTH(D112)&gt;9,4)&amp;"Q"&amp;RIGHT(YEAR(D112),2)</f>
        <v>3Q20</v>
      </c>
      <c r="D112" s="2">
        <f t="shared" si="56"/>
        <v>44104</v>
      </c>
      <c r="E112" s="25">
        <v>44095</v>
      </c>
      <c r="F112" s="26">
        <v>2.325</v>
      </c>
      <c r="G112" s="26">
        <v>4.642</v>
      </c>
      <c r="H112" s="27"/>
      <c r="I112" s="28">
        <f t="shared" si="57"/>
        <v>0.07265625</v>
      </c>
      <c r="J112" s="28">
        <f t="shared" si="50"/>
        <v>0.07253125</v>
      </c>
      <c r="K112" s="28">
        <f t="shared" si="51"/>
        <v>0</v>
      </c>
      <c r="M112" s="36">
        <f t="shared" si="62"/>
        <v>0.0139555167902312</v>
      </c>
      <c r="N112" s="36">
        <f t="shared" si="64"/>
        <v>0.0215289982425309</v>
      </c>
      <c r="O112" s="36">
        <f t="shared" si="65"/>
        <v>0.0233274647887325</v>
      </c>
      <c r="P112" s="36">
        <f t="shared" si="66"/>
        <v>0.00694143167028205</v>
      </c>
      <c r="Q112" s="36">
        <f t="shared" si="67"/>
        <v>0.00934985866492721</v>
      </c>
      <c r="R112" s="36">
        <f t="shared" si="68"/>
        <v>0.0104484109708316</v>
      </c>
      <c r="S112" s="36"/>
      <c r="T112" s="36"/>
      <c r="U112" s="36"/>
      <c r="W112" s="5" t="str" cm="1">
        <f t="array" ref="W112">_xlfn.IFS(MONTH(X112)&lt;4,1,MONTH(X112)&lt;7,2,MONTH(X112)&lt;10,3,MONTH(X112)&gt;9,4)&amp;"Q"&amp;RIGHT(YEAR(X112),2)</f>
        <v>3Q20</v>
      </c>
      <c r="X112" s="2">
        <f t="shared" si="58"/>
        <v>44074</v>
      </c>
      <c r="Y112" s="25">
        <v>44074</v>
      </c>
      <c r="Z112" s="29">
        <v>21.31</v>
      </c>
      <c r="AD112" s="36">
        <f t="shared" si="63"/>
        <v>0</v>
      </c>
      <c r="AE112" s="36">
        <f t="shared" si="69"/>
        <v>0</v>
      </c>
      <c r="AF112" s="36">
        <f t="shared" si="70"/>
        <v>-0.00220068361661285</v>
      </c>
      <c r="AJ112" s="5" t="str" cm="1">
        <f t="array" ref="AJ112">_xlfn.IFS(MONTH(AK112)&lt;4,1,MONTH(AK112)&lt;7,2,MONTH(AK112)&lt;10,3,MONTH(AK112)&gt;9,4)&amp;"Q"&amp;RIGHT(YEAR(AK112),2)</f>
        <v>4Q24</v>
      </c>
      <c r="AK112" s="2">
        <f t="shared" si="59"/>
        <v>45596</v>
      </c>
      <c r="AL112" s="50">
        <f t="shared" si="71"/>
        <v>45596</v>
      </c>
      <c r="AM112" s="56">
        <v>1.74</v>
      </c>
      <c r="AN112" s="56">
        <v>3.72</v>
      </c>
      <c r="AO112" s="56">
        <v>6.73</v>
      </c>
      <c r="AP112" s="56">
        <v>5.97</v>
      </c>
      <c r="AQ112" s="36"/>
      <c r="AR112" s="53">
        <f t="shared" si="52"/>
        <v>0.054375</v>
      </c>
      <c r="AS112" s="53">
        <f t="shared" si="74"/>
        <v>0.058125</v>
      </c>
      <c r="AT112" s="53">
        <f t="shared" si="72"/>
        <v>0.052578125</v>
      </c>
      <c r="AU112" s="53">
        <f t="shared" si="72"/>
        <v>0.046640625</v>
      </c>
      <c r="AV112" s="46">
        <f t="shared" si="73"/>
        <v>-0.0645161290322581</v>
      </c>
      <c r="AW112" s="46">
        <f t="shared" si="73"/>
        <v>-0.0510204081632653</v>
      </c>
      <c r="AX112" s="46">
        <f t="shared" si="73"/>
        <v>-0.0413105413105412</v>
      </c>
      <c r="AY112" s="46">
        <f t="shared" si="73"/>
        <v>-0.041733547351525</v>
      </c>
      <c r="BA112" s="25">
        <f t="shared" si="75"/>
        <v>44095</v>
      </c>
      <c r="BB112" s="28">
        <f t="shared" si="75"/>
        <v>2.325</v>
      </c>
      <c r="BC112" s="28">
        <f t="shared" si="53"/>
        <v>2.54</v>
      </c>
      <c r="BD112" s="28">
        <f t="shared" si="60"/>
        <v>4.642</v>
      </c>
      <c r="BE112" s="28">
        <f t="shared" si="54"/>
        <v>4.96</v>
      </c>
      <c r="BF112" s="28"/>
      <c r="BG112" s="28"/>
      <c r="BH112" s="28"/>
      <c r="BI112" s="28"/>
      <c r="CC112" s="25">
        <f t="shared" si="55"/>
        <v>44074</v>
      </c>
      <c r="CD112" s="29">
        <f t="shared" si="55"/>
        <v>21.31</v>
      </c>
      <c r="CE112" s="29">
        <f t="shared" si="61"/>
        <v>19.1</v>
      </c>
      <c r="DP112" s="35">
        <v>43636</v>
      </c>
      <c r="DQ112" s="26">
        <v>3.1</v>
      </c>
      <c r="DR112" s="26">
        <v>2.93</v>
      </c>
      <c r="DS112" s="26">
        <v>2.986</v>
      </c>
      <c r="DU112" s="35">
        <v>43636</v>
      </c>
      <c r="DV112" s="26">
        <v>6.25</v>
      </c>
      <c r="DW112" s="26">
        <v>6.1</v>
      </c>
      <c r="DX112" s="26">
        <v>6.17</v>
      </c>
      <c r="DZ112" s="35">
        <v>43636</v>
      </c>
      <c r="EA112" s="26">
        <v>12.7</v>
      </c>
      <c r="EB112" s="26">
        <v>12.6</v>
      </c>
      <c r="EC112" s="26">
        <v>12.65</v>
      </c>
    </row>
    <row r="113" ht="16.8" spans="3:133">
      <c r="C113" s="5" t="str" cm="1">
        <f t="array" ref="C113">_xlfn.IFS(MONTH(D113)&lt;4,1,MONTH(D113)&lt;7,2,MONTH(D113)&lt;10,3,MONTH(D113)&gt;9,4)&amp;"Q"&amp;RIGHT(YEAR(D113),2)</f>
        <v>3Q20</v>
      </c>
      <c r="D113" s="2">
        <f t="shared" si="56"/>
        <v>44104</v>
      </c>
      <c r="E113" s="25">
        <v>44102</v>
      </c>
      <c r="F113" s="26">
        <v>2.329</v>
      </c>
      <c r="G113" s="26">
        <v>4.651</v>
      </c>
      <c r="H113" s="27"/>
      <c r="I113" s="28">
        <f t="shared" si="57"/>
        <v>0.07278125</v>
      </c>
      <c r="J113" s="28">
        <f t="shared" si="50"/>
        <v>0.072671875</v>
      </c>
      <c r="K113" s="28">
        <f t="shared" si="51"/>
        <v>0</v>
      </c>
      <c r="M113" s="36">
        <f t="shared" si="62"/>
        <v>0.00172043010752687</v>
      </c>
      <c r="N113" s="36">
        <f t="shared" si="64"/>
        <v>0.0156999563890101</v>
      </c>
      <c r="O113" s="36">
        <f t="shared" si="65"/>
        <v>0.0232864674868192</v>
      </c>
      <c r="P113" s="36">
        <f t="shared" si="66"/>
        <v>0.00193881947436436</v>
      </c>
      <c r="Q113" s="36">
        <f t="shared" si="67"/>
        <v>0.00889370932754874</v>
      </c>
      <c r="R113" s="36">
        <f t="shared" si="68"/>
        <v>0.0113068058273538</v>
      </c>
      <c r="S113" s="36"/>
      <c r="T113" s="36"/>
      <c r="U113" s="36"/>
      <c r="W113" s="5" t="str" cm="1">
        <f t="array" ref="W113">_xlfn.IFS(MONTH(X113)&lt;4,1,MONTH(X113)&lt;7,2,MONTH(X113)&lt;10,3,MONTH(X113)&gt;9,4)&amp;"Q"&amp;RIGHT(YEAR(X113),2)</f>
        <v>3Q20</v>
      </c>
      <c r="X113" s="2">
        <f t="shared" si="58"/>
        <v>44104</v>
      </c>
      <c r="Y113" s="25">
        <v>44081</v>
      </c>
      <c r="Z113" s="29">
        <v>21.5</v>
      </c>
      <c r="AD113" s="36">
        <f t="shared" si="63"/>
        <v>0.0089160018770531</v>
      </c>
      <c r="AE113" s="36">
        <f t="shared" si="69"/>
        <v>0.0089160018770531</v>
      </c>
      <c r="AF113" s="36">
        <f t="shared" si="70"/>
        <v>0.0089160018770531</v>
      </c>
      <c r="AJ113" s="5" t="str" cm="1">
        <f t="array" ref="AJ113">_xlfn.IFS(MONTH(AK113)&lt;4,1,MONTH(AK113)&lt;7,2,MONTH(AK113)&lt;10,3,MONTH(AK113)&gt;9,4)&amp;"Q"&amp;RIGHT(YEAR(AK113),2)</f>
        <v>4Q24</v>
      </c>
      <c r="AK113" s="2">
        <f t="shared" si="59"/>
        <v>45626</v>
      </c>
      <c r="AL113" s="50">
        <f t="shared" si="71"/>
        <v>45626</v>
      </c>
      <c r="AM113" s="56">
        <v>1.5</v>
      </c>
      <c r="AN113" s="56">
        <v>3.09</v>
      </c>
      <c r="AO113" s="56">
        <v>5.6</v>
      </c>
      <c r="AP113" s="56">
        <v>5.08</v>
      </c>
      <c r="AQ113" s="36"/>
      <c r="AR113" s="53">
        <f t="shared" si="52"/>
        <v>0.046875</v>
      </c>
      <c r="AS113" s="53">
        <f t="shared" si="74"/>
        <v>0.04828125</v>
      </c>
      <c r="AT113" s="53">
        <f t="shared" ref="AT113:AU128" si="76">AO113/1024*8</f>
        <v>0.04375</v>
      </c>
      <c r="AU113" s="53">
        <f t="shared" si="76"/>
        <v>0.0396875</v>
      </c>
      <c r="AV113" s="46">
        <f t="shared" si="73"/>
        <v>-0.137931034482759</v>
      </c>
      <c r="AW113" s="46">
        <f t="shared" si="73"/>
        <v>-0.169354838709677</v>
      </c>
      <c r="AX113" s="46">
        <f t="shared" si="73"/>
        <v>-0.167904903417534</v>
      </c>
      <c r="AY113" s="46">
        <f t="shared" si="73"/>
        <v>-0.149078726968174</v>
      </c>
      <c r="BA113" s="25">
        <f t="shared" si="75"/>
        <v>44102</v>
      </c>
      <c r="BB113" s="28">
        <f t="shared" si="75"/>
        <v>2.329</v>
      </c>
      <c r="BC113" s="28">
        <f t="shared" si="53"/>
        <v>2.54</v>
      </c>
      <c r="BD113" s="28">
        <f t="shared" si="60"/>
        <v>4.651</v>
      </c>
      <c r="BE113" s="28">
        <f t="shared" si="54"/>
        <v>4.96</v>
      </c>
      <c r="BF113" s="28"/>
      <c r="BG113" s="28"/>
      <c r="BH113" s="28"/>
      <c r="BI113" s="28"/>
      <c r="CC113" s="25">
        <f t="shared" si="55"/>
        <v>44081</v>
      </c>
      <c r="CD113" s="29">
        <f t="shared" si="55"/>
        <v>21.5</v>
      </c>
      <c r="CE113" s="29">
        <f t="shared" si="61"/>
        <v>19.1</v>
      </c>
      <c r="DP113" s="35">
        <v>43637</v>
      </c>
      <c r="DQ113" s="26">
        <v>3.1</v>
      </c>
      <c r="DR113" s="26">
        <v>2.95</v>
      </c>
      <c r="DS113" s="26">
        <v>3.013</v>
      </c>
      <c r="DU113" s="35">
        <v>43637</v>
      </c>
      <c r="DV113" s="26">
        <v>6.25</v>
      </c>
      <c r="DW113" s="26">
        <v>6.1</v>
      </c>
      <c r="DX113" s="26">
        <v>6.175</v>
      </c>
      <c r="DZ113" s="35">
        <v>43637</v>
      </c>
      <c r="EA113" s="26">
        <v>12.75</v>
      </c>
      <c r="EB113" s="26">
        <v>12.65</v>
      </c>
      <c r="EC113" s="26">
        <v>12.7</v>
      </c>
    </row>
    <row r="114" ht="16.8" spans="3:133">
      <c r="C114" s="5" t="str" cm="1">
        <f t="array" ref="C114">_xlfn.IFS(MONTH(D114)&lt;4,1,MONTH(D114)&lt;7,2,MONTH(D114)&lt;10,3,MONTH(D114)&gt;9,4)&amp;"Q"&amp;RIGHT(YEAR(D114),2)</f>
        <v>4Q20</v>
      </c>
      <c r="D114" s="2">
        <f t="shared" si="56"/>
        <v>44135</v>
      </c>
      <c r="E114" s="25">
        <v>44109</v>
      </c>
      <c r="F114" s="26">
        <v>2.329</v>
      </c>
      <c r="G114" s="26">
        <v>4.651</v>
      </c>
      <c r="H114" s="27"/>
      <c r="I114" s="28">
        <f t="shared" si="57"/>
        <v>0.07278125</v>
      </c>
      <c r="J114" s="28">
        <f t="shared" si="50"/>
        <v>0.072671875</v>
      </c>
      <c r="K114" s="28">
        <f t="shared" si="51"/>
        <v>0</v>
      </c>
      <c r="M114" s="36">
        <f t="shared" si="62"/>
        <v>0</v>
      </c>
      <c r="N114" s="36">
        <f t="shared" si="64"/>
        <v>0.00172043010752687</v>
      </c>
      <c r="O114" s="36">
        <f t="shared" si="65"/>
        <v>0.0156999563890101</v>
      </c>
      <c r="P114" s="36">
        <f t="shared" si="66"/>
        <v>0</v>
      </c>
      <c r="Q114" s="36">
        <f t="shared" si="67"/>
        <v>0.00193881947436436</v>
      </c>
      <c r="R114" s="36">
        <f t="shared" si="68"/>
        <v>0.00889370932754874</v>
      </c>
      <c r="S114" s="36"/>
      <c r="T114" s="36"/>
      <c r="U114" s="36"/>
      <c r="W114" s="5" t="str" cm="1">
        <f t="array" ref="W114">_xlfn.IFS(MONTH(X114)&lt;4,1,MONTH(X114)&lt;7,2,MONTH(X114)&lt;10,3,MONTH(X114)&gt;9,4)&amp;"Q"&amp;RIGHT(YEAR(X114),2)</f>
        <v>3Q20</v>
      </c>
      <c r="X114" s="2">
        <f t="shared" si="58"/>
        <v>44104</v>
      </c>
      <c r="Y114" s="25">
        <v>44088</v>
      </c>
      <c r="Z114" s="29">
        <v>21.5</v>
      </c>
      <c r="AD114" s="36">
        <f t="shared" si="63"/>
        <v>0</v>
      </c>
      <c r="AE114" s="36">
        <f t="shared" si="69"/>
        <v>0.0089160018770531</v>
      </c>
      <c r="AF114" s="36">
        <f t="shared" si="70"/>
        <v>0.0089160018770531</v>
      </c>
      <c r="AJ114" s="5" t="str" cm="1">
        <f t="array" ref="AJ114">_xlfn.IFS(MONTH(AK114)&lt;4,1,MONTH(AK114)&lt;7,2,MONTH(AK114)&lt;10,3,MONTH(AK114)&gt;9,4)&amp;"Q"&amp;RIGHT(YEAR(AK114),2)</f>
        <v>4Q24</v>
      </c>
      <c r="AK114" s="2">
        <f t="shared" si="59"/>
        <v>45657</v>
      </c>
      <c r="AL114" s="50">
        <f t="shared" si="71"/>
        <v>45657</v>
      </c>
      <c r="AM114" s="56">
        <v>1.49</v>
      </c>
      <c r="AN114" s="56">
        <v>2.6</v>
      </c>
      <c r="AO114" s="56">
        <v>5.09</v>
      </c>
      <c r="AP114" s="56">
        <v>4.73</v>
      </c>
      <c r="AQ114" s="36"/>
      <c r="AR114" s="53">
        <f t="shared" si="52"/>
        <v>0.0465625</v>
      </c>
      <c r="AS114" s="53">
        <f t="shared" si="74"/>
        <v>0.040625</v>
      </c>
      <c r="AT114" s="53">
        <f t="shared" si="76"/>
        <v>0.039765625</v>
      </c>
      <c r="AU114" s="53">
        <f t="shared" si="76"/>
        <v>0.036953125</v>
      </c>
      <c r="AV114" s="46">
        <f t="shared" ref="AV114:AY129" si="77">AR114/AR113-1</f>
        <v>-0.00666666666666671</v>
      </c>
      <c r="AW114" s="46">
        <f t="shared" si="77"/>
        <v>-0.158576051779935</v>
      </c>
      <c r="AX114" s="46">
        <f t="shared" si="77"/>
        <v>-0.0910714285714286</v>
      </c>
      <c r="AY114" s="46">
        <f t="shared" si="77"/>
        <v>-0.0688976377952755</v>
      </c>
      <c r="BA114" s="25">
        <f t="shared" si="75"/>
        <v>44109</v>
      </c>
      <c r="BB114" s="28">
        <f t="shared" si="75"/>
        <v>2.329</v>
      </c>
      <c r="BC114" s="28">
        <f t="shared" si="53"/>
        <v>2.51</v>
      </c>
      <c r="BD114" s="28">
        <f t="shared" si="60"/>
        <v>4.651</v>
      </c>
      <c r="BE114" s="28">
        <f t="shared" si="54"/>
        <v>4.7</v>
      </c>
      <c r="BF114" s="28"/>
      <c r="BG114" s="28"/>
      <c r="BH114" s="28"/>
      <c r="BI114" s="28"/>
      <c r="CC114" s="25">
        <f t="shared" si="55"/>
        <v>44088</v>
      </c>
      <c r="CD114" s="29">
        <f t="shared" si="55"/>
        <v>21.5</v>
      </c>
      <c r="CE114" s="29">
        <f t="shared" si="61"/>
        <v>19.1</v>
      </c>
      <c r="DP114" s="35">
        <v>43640</v>
      </c>
      <c r="DQ114" s="26">
        <v>3.1</v>
      </c>
      <c r="DR114" s="26">
        <v>2.95</v>
      </c>
      <c r="DS114" s="26">
        <v>3.013</v>
      </c>
      <c r="DU114" s="35">
        <v>43640</v>
      </c>
      <c r="DV114" s="26">
        <v>6.25</v>
      </c>
      <c r="DW114" s="26">
        <v>6.1</v>
      </c>
      <c r="DX114" s="26">
        <v>6.175</v>
      </c>
      <c r="DZ114" s="35">
        <v>43640</v>
      </c>
      <c r="EA114" s="26">
        <v>12.75</v>
      </c>
      <c r="EB114" s="26">
        <v>12.65</v>
      </c>
      <c r="EC114" s="26">
        <v>12.7</v>
      </c>
    </row>
    <row r="115" ht="16.8" spans="3:133">
      <c r="C115" s="5" t="str" cm="1">
        <f t="array" ref="C115">_xlfn.IFS(MONTH(D115)&lt;4,1,MONTH(D115)&lt;7,2,MONTH(D115)&lt;10,3,MONTH(D115)&gt;9,4)&amp;"Q"&amp;RIGHT(YEAR(D115),2)</f>
        <v>4Q20</v>
      </c>
      <c r="D115" s="2">
        <f t="shared" si="56"/>
        <v>44135</v>
      </c>
      <c r="E115" s="25">
        <v>44116</v>
      </c>
      <c r="F115" s="26">
        <v>2.329</v>
      </c>
      <c r="G115" s="26">
        <v>4.651</v>
      </c>
      <c r="H115" s="27"/>
      <c r="I115" s="28">
        <f t="shared" si="57"/>
        <v>0.07278125</v>
      </c>
      <c r="J115" s="28">
        <f t="shared" si="50"/>
        <v>0.072671875</v>
      </c>
      <c r="K115" s="28">
        <f t="shared" si="51"/>
        <v>0</v>
      </c>
      <c r="M115" s="36">
        <f t="shared" si="62"/>
        <v>0</v>
      </c>
      <c r="N115" s="36">
        <f t="shared" si="64"/>
        <v>0</v>
      </c>
      <c r="O115" s="36">
        <f t="shared" si="65"/>
        <v>0.00172043010752687</v>
      </c>
      <c r="P115" s="36">
        <f t="shared" si="66"/>
        <v>0</v>
      </c>
      <c r="Q115" s="36">
        <f t="shared" si="67"/>
        <v>0</v>
      </c>
      <c r="R115" s="36">
        <f t="shared" si="68"/>
        <v>0.00193881947436436</v>
      </c>
      <c r="S115" s="36"/>
      <c r="T115" s="36"/>
      <c r="U115" s="36"/>
      <c r="W115" s="5" t="str" cm="1">
        <f t="array" ref="W115">_xlfn.IFS(MONTH(X115)&lt;4,1,MONTH(X115)&lt;7,2,MONTH(X115)&lt;10,3,MONTH(X115)&gt;9,4)&amp;"Q"&amp;RIGHT(YEAR(X115),2)</f>
        <v>3Q20</v>
      </c>
      <c r="X115" s="2">
        <f t="shared" si="58"/>
        <v>44104</v>
      </c>
      <c r="Y115" s="25">
        <v>44095</v>
      </c>
      <c r="Z115" s="29">
        <v>21.5</v>
      </c>
      <c r="AD115" s="36">
        <f t="shared" si="63"/>
        <v>0</v>
      </c>
      <c r="AE115" s="36">
        <f t="shared" si="69"/>
        <v>0</v>
      </c>
      <c r="AF115" s="36">
        <f t="shared" si="70"/>
        <v>0.0089160018770531</v>
      </c>
      <c r="AJ115" s="5" t="str" cm="1">
        <f t="array" ref="AJ115">_xlfn.IFS(MONTH(AK115)&lt;4,1,MONTH(AK115)&lt;7,2,MONTH(AK115)&lt;10,3,MONTH(AK115)&gt;9,4)&amp;"Q"&amp;RIGHT(YEAR(AK115),2)</f>
        <v>1Q25</v>
      </c>
      <c r="AK115" s="2">
        <f t="shared" si="59"/>
        <v>45688</v>
      </c>
      <c r="AL115" s="50">
        <f t="shared" si="71"/>
        <v>45688</v>
      </c>
      <c r="AM115" s="56">
        <v>1.54</v>
      </c>
      <c r="AN115" s="56">
        <v>2.52</v>
      </c>
      <c r="AO115" s="56">
        <v>4.8</v>
      </c>
      <c r="AP115" s="56">
        <v>4.56</v>
      </c>
      <c r="AQ115" s="36"/>
      <c r="AR115" s="53">
        <f t="shared" si="52"/>
        <v>0.048125</v>
      </c>
      <c r="AS115" s="53">
        <f t="shared" si="74"/>
        <v>0.039375</v>
      </c>
      <c r="AT115" s="53">
        <f t="shared" si="76"/>
        <v>0.0375</v>
      </c>
      <c r="AU115" s="53">
        <f t="shared" si="76"/>
        <v>0.035625</v>
      </c>
      <c r="AV115" s="46">
        <f t="shared" si="77"/>
        <v>0.0335570469798658</v>
      </c>
      <c r="AW115" s="46">
        <f t="shared" si="77"/>
        <v>-0.0307692307692308</v>
      </c>
      <c r="AX115" s="46">
        <f t="shared" si="77"/>
        <v>-0.0569744597249509</v>
      </c>
      <c r="AY115" s="46">
        <f t="shared" si="77"/>
        <v>-0.035940803382664</v>
      </c>
      <c r="BA115" s="25">
        <f t="shared" si="75"/>
        <v>44116</v>
      </c>
      <c r="BB115" s="28">
        <f t="shared" si="75"/>
        <v>2.329</v>
      </c>
      <c r="BC115" s="28">
        <f t="shared" si="53"/>
        <v>2.51</v>
      </c>
      <c r="BD115" s="28">
        <f t="shared" si="60"/>
        <v>4.651</v>
      </c>
      <c r="BE115" s="28">
        <f t="shared" si="54"/>
        <v>4.7</v>
      </c>
      <c r="BF115" s="28"/>
      <c r="BG115" s="28"/>
      <c r="BH115" s="28"/>
      <c r="BI115" s="28"/>
      <c r="CC115" s="25">
        <f t="shared" si="55"/>
        <v>44095</v>
      </c>
      <c r="CD115" s="29">
        <f t="shared" si="55"/>
        <v>21.5</v>
      </c>
      <c r="CE115" s="29">
        <f t="shared" si="61"/>
        <v>19.1</v>
      </c>
      <c r="DP115" s="35">
        <v>43641</v>
      </c>
      <c r="DQ115" s="26">
        <v>3.1</v>
      </c>
      <c r="DR115" s="26">
        <v>2.95</v>
      </c>
      <c r="DS115" s="26">
        <v>3.013</v>
      </c>
      <c r="DU115" s="35">
        <v>43641</v>
      </c>
      <c r="DV115" s="26">
        <v>6.25</v>
      </c>
      <c r="DW115" s="26">
        <v>6.1</v>
      </c>
      <c r="DX115" s="26">
        <v>6.175</v>
      </c>
      <c r="DZ115" s="35">
        <v>43641</v>
      </c>
      <c r="EA115" s="26">
        <v>12.75</v>
      </c>
      <c r="EB115" s="26">
        <v>12.65</v>
      </c>
      <c r="EC115" s="26">
        <v>12.7</v>
      </c>
    </row>
    <row r="116" ht="16.8" spans="3:133">
      <c r="C116" s="5" t="str" cm="1">
        <f t="array" ref="C116">_xlfn.IFS(MONTH(D116)&lt;4,1,MONTH(D116)&lt;7,2,MONTH(D116)&lt;10,3,MONTH(D116)&gt;9,4)&amp;"Q"&amp;RIGHT(YEAR(D116),2)</f>
        <v>4Q20</v>
      </c>
      <c r="D116" s="2">
        <f t="shared" si="56"/>
        <v>44135</v>
      </c>
      <c r="E116" s="25">
        <v>44123</v>
      </c>
      <c r="F116" s="26">
        <v>2.384</v>
      </c>
      <c r="G116" s="26">
        <v>4.696</v>
      </c>
      <c r="H116" s="27"/>
      <c r="I116" s="28">
        <f t="shared" si="57"/>
        <v>0.0745</v>
      </c>
      <c r="J116" s="28">
        <f t="shared" si="50"/>
        <v>0.073375</v>
      </c>
      <c r="K116" s="28">
        <f t="shared" si="51"/>
        <v>0</v>
      </c>
      <c r="M116" s="36">
        <f t="shared" si="62"/>
        <v>0.0236152855302705</v>
      </c>
      <c r="N116" s="36">
        <f t="shared" si="64"/>
        <v>0.0236152855302705</v>
      </c>
      <c r="O116" s="36">
        <f t="shared" si="65"/>
        <v>0.0236152855302705</v>
      </c>
      <c r="P116" s="36">
        <f t="shared" si="66"/>
        <v>0.00967533863685222</v>
      </c>
      <c r="Q116" s="36">
        <f t="shared" si="67"/>
        <v>0.00967533863685222</v>
      </c>
      <c r="R116" s="36">
        <f t="shared" si="68"/>
        <v>0.00967533863685222</v>
      </c>
      <c r="S116" s="36"/>
      <c r="T116" s="36"/>
      <c r="U116" s="36"/>
      <c r="W116" s="5" t="str" cm="1">
        <f t="array" ref="W116">_xlfn.IFS(MONTH(X116)&lt;4,1,MONTH(X116)&lt;7,2,MONTH(X116)&lt;10,3,MONTH(X116)&gt;9,4)&amp;"Q"&amp;RIGHT(YEAR(X116),2)</f>
        <v>3Q20</v>
      </c>
      <c r="X116" s="2">
        <f t="shared" si="58"/>
        <v>44104</v>
      </c>
      <c r="Y116" s="25">
        <v>44102</v>
      </c>
      <c r="Z116" s="29">
        <v>21.5</v>
      </c>
      <c r="AD116" s="36">
        <f t="shared" si="63"/>
        <v>0</v>
      </c>
      <c r="AE116" s="36">
        <f t="shared" si="69"/>
        <v>0</v>
      </c>
      <c r="AF116" s="36">
        <f t="shared" si="70"/>
        <v>0</v>
      </c>
      <c r="AJ116" s="5" t="str" cm="1">
        <f t="array" ref="AJ116">_xlfn.IFS(MONTH(AK116)&lt;4,1,MONTH(AK116)&lt;7,2,MONTH(AK116)&lt;10,3,MONTH(AK116)&gt;9,4)&amp;"Q"&amp;RIGHT(YEAR(AK116),2)</f>
        <v>1Q25</v>
      </c>
      <c r="AK116" s="2">
        <f t="shared" si="59"/>
        <v>45716</v>
      </c>
      <c r="AL116" s="50">
        <f t="shared" si="71"/>
        <v>45716</v>
      </c>
      <c r="AM116" s="56">
        <v>1.6</v>
      </c>
      <c r="AN116" s="56">
        <v>2.47</v>
      </c>
      <c r="AO116" s="56">
        <v>4.78</v>
      </c>
      <c r="AP116" s="56">
        <v>4.5</v>
      </c>
      <c r="AQ116" s="36"/>
      <c r="AR116" s="53">
        <f t="shared" si="52"/>
        <v>0.05</v>
      </c>
      <c r="AS116" s="53">
        <f t="shared" si="74"/>
        <v>0.03859375</v>
      </c>
      <c r="AT116" s="53">
        <f t="shared" si="76"/>
        <v>0.03734375</v>
      </c>
      <c r="AU116" s="53">
        <f t="shared" si="76"/>
        <v>0.03515625</v>
      </c>
      <c r="AV116" s="46">
        <f t="shared" si="77"/>
        <v>0.0389610389610391</v>
      </c>
      <c r="AW116" s="46">
        <f t="shared" si="77"/>
        <v>-0.0198412698412698</v>
      </c>
      <c r="AX116" s="46">
        <f t="shared" si="77"/>
        <v>-0.00416666666666654</v>
      </c>
      <c r="AY116" s="46">
        <f t="shared" si="77"/>
        <v>-0.013157894736842</v>
      </c>
      <c r="BA116" s="25">
        <f t="shared" si="75"/>
        <v>44123</v>
      </c>
      <c r="BB116" s="28">
        <f t="shared" si="75"/>
        <v>2.384</v>
      </c>
      <c r="BC116" s="28">
        <f t="shared" si="53"/>
        <v>2.51</v>
      </c>
      <c r="BD116" s="28">
        <f t="shared" si="60"/>
        <v>4.696</v>
      </c>
      <c r="BE116" s="28">
        <f t="shared" si="54"/>
        <v>4.7</v>
      </c>
      <c r="BF116" s="28"/>
      <c r="BG116" s="28"/>
      <c r="BH116" s="28"/>
      <c r="BI116" s="28"/>
      <c r="CC116" s="25">
        <f t="shared" si="55"/>
        <v>44102</v>
      </c>
      <c r="CD116" s="29">
        <f t="shared" si="55"/>
        <v>21.5</v>
      </c>
      <c r="CE116" s="29">
        <f t="shared" si="61"/>
        <v>19.1</v>
      </c>
      <c r="DP116" s="35">
        <v>43642</v>
      </c>
      <c r="DQ116" s="26">
        <v>3.1</v>
      </c>
      <c r="DR116" s="26">
        <v>2.95</v>
      </c>
      <c r="DS116" s="26">
        <v>3.013</v>
      </c>
      <c r="DU116" s="35">
        <v>43642</v>
      </c>
      <c r="DV116" s="26">
        <v>6.25</v>
      </c>
      <c r="DW116" s="26">
        <v>6.1</v>
      </c>
      <c r="DX116" s="26">
        <v>6.175</v>
      </c>
      <c r="DZ116" s="35">
        <v>43642</v>
      </c>
      <c r="EA116" s="26">
        <v>12.75</v>
      </c>
      <c r="EB116" s="26">
        <v>12.65</v>
      </c>
      <c r="EC116" s="26">
        <v>12.7</v>
      </c>
    </row>
    <row r="117" ht="16.8" spans="3:133">
      <c r="C117" s="5" t="str" cm="1">
        <f t="array" ref="C117">_xlfn.IFS(MONTH(D117)&lt;4,1,MONTH(D117)&lt;7,2,MONTH(D117)&lt;10,3,MONTH(D117)&gt;9,4)&amp;"Q"&amp;RIGHT(YEAR(D117),2)</f>
        <v>4Q20</v>
      </c>
      <c r="D117" s="2">
        <f t="shared" si="56"/>
        <v>44135</v>
      </c>
      <c r="E117" s="25">
        <v>44130</v>
      </c>
      <c r="F117" s="26">
        <v>2.386</v>
      </c>
      <c r="G117" s="26">
        <v>4.706</v>
      </c>
      <c r="H117" s="27"/>
      <c r="I117" s="28">
        <f t="shared" si="57"/>
        <v>0.0745625</v>
      </c>
      <c r="J117" s="28">
        <f t="shared" si="50"/>
        <v>0.07353125</v>
      </c>
      <c r="K117" s="28">
        <f t="shared" si="51"/>
        <v>0</v>
      </c>
      <c r="M117" s="36">
        <f t="shared" si="62"/>
        <v>0.000838926174496768</v>
      </c>
      <c r="N117" s="36">
        <f t="shared" si="64"/>
        <v>0.0244740231859166</v>
      </c>
      <c r="O117" s="36">
        <f t="shared" si="65"/>
        <v>0.0244740231859166</v>
      </c>
      <c r="P117" s="36">
        <f t="shared" si="66"/>
        <v>0.00212947189097124</v>
      </c>
      <c r="Q117" s="36">
        <f t="shared" si="67"/>
        <v>0.0118254138894862</v>
      </c>
      <c r="R117" s="36">
        <f t="shared" si="68"/>
        <v>0.0118254138894862</v>
      </c>
      <c r="S117" s="36"/>
      <c r="T117" s="36"/>
      <c r="U117" s="36"/>
      <c r="W117" s="5" t="str" cm="1">
        <f t="array" ref="W117">_xlfn.IFS(MONTH(X117)&lt;4,1,MONTH(X117)&lt;7,2,MONTH(X117)&lt;10,3,MONTH(X117)&gt;9,4)&amp;"Q"&amp;RIGHT(YEAR(X117),2)</f>
        <v>4Q20</v>
      </c>
      <c r="X117" s="2">
        <f t="shared" si="58"/>
        <v>44135</v>
      </c>
      <c r="Y117" s="25">
        <v>44109</v>
      </c>
      <c r="Z117" s="29">
        <v>21.5</v>
      </c>
      <c r="AD117" s="36">
        <f t="shared" si="63"/>
        <v>0</v>
      </c>
      <c r="AE117" s="36">
        <f t="shared" si="69"/>
        <v>0</v>
      </c>
      <c r="AF117" s="36">
        <f t="shared" si="70"/>
        <v>0</v>
      </c>
      <c r="AJ117" s="5" t="str" cm="1">
        <f t="array" ref="AJ117">_xlfn.IFS(MONTH(AK117)&lt;4,1,MONTH(AK117)&lt;7,2,MONTH(AK117)&lt;10,3,MONTH(AK117)&gt;9,4)&amp;"Q"&amp;RIGHT(YEAR(AK117),2)</f>
        <v>1Q25</v>
      </c>
      <c r="AK117" s="2">
        <f t="shared" si="59"/>
        <v>45747</v>
      </c>
      <c r="AL117" s="50">
        <f t="shared" si="71"/>
        <v>45747</v>
      </c>
      <c r="AM117" s="56">
        <v>1.8</v>
      </c>
      <c r="AN117" s="56">
        <v>2.72</v>
      </c>
      <c r="AO117" s="56">
        <v>5.23</v>
      </c>
      <c r="AP117" s="56">
        <v>4.83</v>
      </c>
      <c r="AQ117" s="36"/>
      <c r="AR117" s="53">
        <f t="shared" si="52"/>
        <v>0.05625</v>
      </c>
      <c r="AS117" s="53">
        <f t="shared" si="74"/>
        <v>0.0425</v>
      </c>
      <c r="AT117" s="53">
        <f t="shared" si="76"/>
        <v>0.040859375</v>
      </c>
      <c r="AU117" s="53">
        <f t="shared" si="76"/>
        <v>0.037734375</v>
      </c>
      <c r="AV117" s="46">
        <f t="shared" si="77"/>
        <v>0.125</v>
      </c>
      <c r="AW117" s="46">
        <f t="shared" si="77"/>
        <v>0.101214574898785</v>
      </c>
      <c r="AX117" s="46">
        <f t="shared" si="77"/>
        <v>0.094142259414226</v>
      </c>
      <c r="AY117" s="46">
        <f t="shared" si="77"/>
        <v>0.0733333333333333</v>
      </c>
      <c r="BA117" s="25">
        <f t="shared" si="75"/>
        <v>44130</v>
      </c>
      <c r="BB117" s="28">
        <f t="shared" si="75"/>
        <v>2.386</v>
      </c>
      <c r="BC117" s="28">
        <f t="shared" si="53"/>
        <v>2.51</v>
      </c>
      <c r="BD117" s="28">
        <f t="shared" si="60"/>
        <v>4.706</v>
      </c>
      <c r="BE117" s="28">
        <f t="shared" si="54"/>
        <v>4.7</v>
      </c>
      <c r="BF117" s="28"/>
      <c r="BG117" s="28"/>
      <c r="BH117" s="28"/>
      <c r="BI117" s="28"/>
      <c r="CC117" s="25">
        <f t="shared" si="55"/>
        <v>44109</v>
      </c>
      <c r="CD117" s="29">
        <f t="shared" si="55"/>
        <v>21.5</v>
      </c>
      <c r="CE117" s="29">
        <f t="shared" si="61"/>
        <v>19</v>
      </c>
      <c r="DP117" s="35">
        <v>43643</v>
      </c>
      <c r="DQ117" s="26">
        <v>3.1</v>
      </c>
      <c r="DR117" s="26">
        <v>2.95</v>
      </c>
      <c r="DS117" s="26">
        <v>3.013</v>
      </c>
      <c r="DU117" s="35">
        <v>43643</v>
      </c>
      <c r="DV117" s="26">
        <v>6.25</v>
      </c>
      <c r="DW117" s="26">
        <v>6.1</v>
      </c>
      <c r="DX117" s="26">
        <v>6.175</v>
      </c>
      <c r="DZ117" s="35">
        <v>43643</v>
      </c>
      <c r="EA117" s="26">
        <v>12.75</v>
      </c>
      <c r="EB117" s="26">
        <v>12.65</v>
      </c>
      <c r="EC117" s="26">
        <v>12.7</v>
      </c>
    </row>
    <row r="118" ht="16.8" spans="3:133">
      <c r="C118" s="5" t="str" cm="1">
        <f t="array" ref="C118">_xlfn.IFS(MONTH(D118)&lt;4,1,MONTH(D118)&lt;7,2,MONTH(D118)&lt;10,3,MONTH(D118)&gt;9,4)&amp;"Q"&amp;RIGHT(YEAR(D118),2)</f>
        <v>4Q20</v>
      </c>
      <c r="D118" s="2">
        <f t="shared" si="56"/>
        <v>44165</v>
      </c>
      <c r="E118" s="25">
        <v>44137</v>
      </c>
      <c r="F118" s="26">
        <v>2.355</v>
      </c>
      <c r="G118" s="26">
        <v>4.649</v>
      </c>
      <c r="H118" s="27"/>
      <c r="I118" s="28">
        <f t="shared" si="57"/>
        <v>0.07359375</v>
      </c>
      <c r="J118" s="28">
        <f t="shared" si="50"/>
        <v>0.072640625</v>
      </c>
      <c r="K118" s="28">
        <f t="shared" si="51"/>
        <v>0</v>
      </c>
      <c r="M118" s="36">
        <f t="shared" si="62"/>
        <v>-0.0129924559932942</v>
      </c>
      <c r="N118" s="36">
        <f t="shared" si="64"/>
        <v>-0.0121644295302014</v>
      </c>
      <c r="O118" s="36">
        <f t="shared" si="65"/>
        <v>0.0111635895234006</v>
      </c>
      <c r="P118" s="36">
        <f t="shared" si="66"/>
        <v>-0.0121121971950702</v>
      </c>
      <c r="Q118" s="36">
        <f t="shared" si="67"/>
        <v>-0.0100085178875639</v>
      </c>
      <c r="R118" s="36">
        <f t="shared" si="68"/>
        <v>-0.000430015050526755</v>
      </c>
      <c r="S118" s="36"/>
      <c r="T118" s="36"/>
      <c r="U118" s="36"/>
      <c r="W118" s="5" t="str" cm="1">
        <f t="array" ref="W118">_xlfn.IFS(MONTH(X118)&lt;4,1,MONTH(X118)&lt;7,2,MONTH(X118)&lt;10,3,MONTH(X118)&gt;9,4)&amp;"Q"&amp;RIGHT(YEAR(X118),2)</f>
        <v>4Q20</v>
      </c>
      <c r="X118" s="2">
        <f t="shared" si="58"/>
        <v>44135</v>
      </c>
      <c r="Y118" s="25">
        <v>44116</v>
      </c>
      <c r="Z118" s="29">
        <v>21.5</v>
      </c>
      <c r="AD118" s="36">
        <f t="shared" si="63"/>
        <v>0</v>
      </c>
      <c r="AE118" s="36">
        <f t="shared" si="69"/>
        <v>0</v>
      </c>
      <c r="AF118" s="36">
        <f t="shared" si="70"/>
        <v>0</v>
      </c>
      <c r="AJ118" s="5" t="str" cm="1">
        <f t="array" ref="AJ118">_xlfn.IFS(MONTH(AK118)&lt;4,1,MONTH(AK118)&lt;7,2,MONTH(AK118)&lt;10,3,MONTH(AK118)&gt;9,4)&amp;"Q"&amp;RIGHT(YEAR(AK118),2)</f>
        <v>2Q25</v>
      </c>
      <c r="AK118" s="2">
        <f t="shared" si="59"/>
        <v>45777</v>
      </c>
      <c r="AL118" s="50">
        <f t="shared" si="71"/>
        <v>45777</v>
      </c>
      <c r="AM118" s="56">
        <v>2.06</v>
      </c>
      <c r="AN118" s="56">
        <v>2.99</v>
      </c>
      <c r="AO118" s="56">
        <v>5.72</v>
      </c>
      <c r="AP118" s="56">
        <v>5.29</v>
      </c>
      <c r="AQ118" s="36"/>
      <c r="AR118" s="53">
        <f t="shared" si="52"/>
        <v>0.064375</v>
      </c>
      <c r="AS118" s="53">
        <f t="shared" si="74"/>
        <v>0.04671875</v>
      </c>
      <c r="AT118" s="53">
        <f t="shared" si="76"/>
        <v>0.0446875</v>
      </c>
      <c r="AU118" s="53">
        <f t="shared" si="76"/>
        <v>0.041328125</v>
      </c>
      <c r="AV118" s="46">
        <f t="shared" si="77"/>
        <v>0.144444444444444</v>
      </c>
      <c r="AW118" s="46">
        <f t="shared" si="77"/>
        <v>0.099264705882353</v>
      </c>
      <c r="AX118" s="46">
        <f t="shared" si="77"/>
        <v>0.0936902485659654</v>
      </c>
      <c r="AY118" s="46">
        <f t="shared" si="77"/>
        <v>0.0952380952380951</v>
      </c>
      <c r="BA118" s="25">
        <f t="shared" si="75"/>
        <v>44137</v>
      </c>
      <c r="BB118" s="28">
        <f t="shared" si="75"/>
        <v>2.355</v>
      </c>
      <c r="BC118" s="28">
        <f t="shared" si="53"/>
        <v>2.38</v>
      </c>
      <c r="BD118" s="28">
        <f t="shared" si="60"/>
        <v>4.649</v>
      </c>
      <c r="BE118" s="28">
        <f t="shared" si="54"/>
        <v>4.4</v>
      </c>
      <c r="BF118" s="28"/>
      <c r="BG118" s="28"/>
      <c r="BH118" s="28"/>
      <c r="BI118" s="28"/>
      <c r="CC118" s="25">
        <f t="shared" si="55"/>
        <v>44116</v>
      </c>
      <c r="CD118" s="29">
        <f t="shared" si="55"/>
        <v>21.5</v>
      </c>
      <c r="CE118" s="29">
        <f t="shared" si="61"/>
        <v>19</v>
      </c>
      <c r="DP118" s="35">
        <v>43644</v>
      </c>
      <c r="DQ118" s="26">
        <v>3.1</v>
      </c>
      <c r="DR118" s="26">
        <v>2.95</v>
      </c>
      <c r="DS118" s="26">
        <v>3.013</v>
      </c>
      <c r="DU118" s="35">
        <v>43644</v>
      </c>
      <c r="DV118" s="26">
        <v>6.25</v>
      </c>
      <c r="DW118" s="26">
        <v>6.1</v>
      </c>
      <c r="DX118" s="26">
        <v>6.175</v>
      </c>
      <c r="DZ118" s="35">
        <v>43644</v>
      </c>
      <c r="EA118" s="26">
        <v>12.75</v>
      </c>
      <c r="EB118" s="26">
        <v>12.65</v>
      </c>
      <c r="EC118" s="26">
        <v>12.7</v>
      </c>
    </row>
    <row r="119" ht="16.8" spans="3:133">
      <c r="C119" s="5" t="str" cm="1">
        <f t="array" ref="C119">_xlfn.IFS(MONTH(D119)&lt;4,1,MONTH(D119)&lt;7,2,MONTH(D119)&lt;10,3,MONTH(D119)&gt;9,4)&amp;"Q"&amp;RIGHT(YEAR(D119),2)</f>
        <v>4Q20</v>
      </c>
      <c r="D119" s="2">
        <f t="shared" si="56"/>
        <v>44165</v>
      </c>
      <c r="E119" s="25">
        <v>44144</v>
      </c>
      <c r="F119" s="26">
        <v>2.309</v>
      </c>
      <c r="G119" s="26">
        <v>4.584</v>
      </c>
      <c r="H119" s="27"/>
      <c r="I119" s="28">
        <f t="shared" si="57"/>
        <v>0.07215625</v>
      </c>
      <c r="J119" s="28">
        <f t="shared" si="50"/>
        <v>0.071625</v>
      </c>
      <c r="K119" s="28">
        <f t="shared" si="51"/>
        <v>0</v>
      </c>
      <c r="M119" s="36">
        <f t="shared" si="62"/>
        <v>-0.0195329087048831</v>
      </c>
      <c r="N119" s="36">
        <f t="shared" si="64"/>
        <v>-0.0322715842414082</v>
      </c>
      <c r="O119" s="36">
        <f t="shared" si="65"/>
        <v>-0.031459731543624</v>
      </c>
      <c r="P119" s="36">
        <f t="shared" si="66"/>
        <v>-0.0139815013981502</v>
      </c>
      <c r="Q119" s="36">
        <f t="shared" si="67"/>
        <v>-0.0259243518912029</v>
      </c>
      <c r="R119" s="36">
        <f t="shared" si="68"/>
        <v>-0.0238500851788757</v>
      </c>
      <c r="S119" s="36"/>
      <c r="T119" s="36"/>
      <c r="U119" s="36"/>
      <c r="W119" s="5" t="str" cm="1">
        <f t="array" ref="W119">_xlfn.IFS(MONTH(X119)&lt;4,1,MONTH(X119)&lt;7,2,MONTH(X119)&lt;10,3,MONTH(X119)&gt;9,4)&amp;"Q"&amp;RIGHT(YEAR(X119),2)</f>
        <v>4Q20</v>
      </c>
      <c r="X119" s="2">
        <f t="shared" si="58"/>
        <v>44135</v>
      </c>
      <c r="Y119" s="25">
        <v>44123</v>
      </c>
      <c r="Z119" s="29">
        <v>21.5</v>
      </c>
      <c r="AD119" s="36">
        <f t="shared" si="63"/>
        <v>0</v>
      </c>
      <c r="AE119" s="36">
        <f t="shared" si="69"/>
        <v>0</v>
      </c>
      <c r="AF119" s="36">
        <f t="shared" si="70"/>
        <v>0</v>
      </c>
      <c r="AJ119" s="5" t="str" cm="1">
        <f t="array" ref="AJ119">_xlfn.IFS(MONTH(AK119)&lt;4,1,MONTH(AK119)&lt;7,2,MONTH(AK119)&lt;10,3,MONTH(AK119)&gt;9,4)&amp;"Q"&amp;RIGHT(YEAR(AK119),2)</f>
        <v>2Q25</v>
      </c>
      <c r="AK119" s="2">
        <f t="shared" si="59"/>
        <v>45808</v>
      </c>
      <c r="AL119" s="50">
        <f t="shared" si="71"/>
        <v>45808</v>
      </c>
      <c r="AM119" s="56">
        <v>2.18</v>
      </c>
      <c r="AN119" s="56">
        <v>3.07</v>
      </c>
      <c r="AO119" s="56">
        <v>5.85</v>
      </c>
      <c r="AP119" s="56">
        <v>5.37</v>
      </c>
      <c r="AQ119" s="36"/>
      <c r="AR119" s="53">
        <f t="shared" si="52"/>
        <v>0.068125</v>
      </c>
      <c r="AS119" s="53">
        <f t="shared" si="74"/>
        <v>0.04796875</v>
      </c>
      <c r="AT119" s="53">
        <f t="shared" si="76"/>
        <v>0.045703125</v>
      </c>
      <c r="AU119" s="53">
        <f t="shared" si="76"/>
        <v>0.041953125</v>
      </c>
      <c r="AV119" s="46">
        <f t="shared" si="77"/>
        <v>0.058252427184466</v>
      </c>
      <c r="AW119" s="46">
        <f t="shared" si="77"/>
        <v>0.0267558528428093</v>
      </c>
      <c r="AX119" s="46">
        <f t="shared" si="77"/>
        <v>0.0227272727272727</v>
      </c>
      <c r="AY119" s="46">
        <f t="shared" si="77"/>
        <v>0.0151228733459357</v>
      </c>
      <c r="BA119" s="25">
        <f t="shared" si="75"/>
        <v>44144</v>
      </c>
      <c r="BB119" s="28">
        <f t="shared" si="75"/>
        <v>2.309</v>
      </c>
      <c r="BC119" s="28">
        <f t="shared" si="53"/>
        <v>2.38</v>
      </c>
      <c r="BD119" s="28">
        <f t="shared" si="60"/>
        <v>4.584</v>
      </c>
      <c r="BE119" s="28">
        <f t="shared" si="54"/>
        <v>4.4</v>
      </c>
      <c r="BF119" s="28"/>
      <c r="BG119" s="28"/>
      <c r="BH119" s="28"/>
      <c r="BI119" s="28"/>
      <c r="CC119" s="25">
        <f t="shared" si="55"/>
        <v>44123</v>
      </c>
      <c r="CD119" s="29">
        <f t="shared" si="55"/>
        <v>21.5</v>
      </c>
      <c r="CE119" s="29">
        <f t="shared" si="61"/>
        <v>19</v>
      </c>
      <c r="DP119" s="35">
        <v>43647</v>
      </c>
      <c r="DQ119" s="26">
        <v>3.1</v>
      </c>
      <c r="DR119" s="26">
        <v>2.95</v>
      </c>
      <c r="DS119" s="26">
        <v>3.013</v>
      </c>
      <c r="DU119" s="35">
        <v>43647</v>
      </c>
      <c r="DV119" s="26">
        <v>6.25</v>
      </c>
      <c r="DW119" s="26">
        <v>6.1</v>
      </c>
      <c r="DX119" s="26">
        <v>6.175</v>
      </c>
      <c r="DZ119" s="35">
        <v>43647</v>
      </c>
      <c r="EA119" s="26">
        <v>12.75</v>
      </c>
      <c r="EB119" s="26">
        <v>12.65</v>
      </c>
      <c r="EC119" s="26">
        <v>12.7</v>
      </c>
    </row>
    <row r="120" ht="16.8" spans="3:133">
      <c r="C120" s="5" t="str" cm="1">
        <f t="array" ref="C120">_xlfn.IFS(MONTH(D120)&lt;4,1,MONTH(D120)&lt;7,2,MONTH(D120)&lt;10,3,MONTH(D120)&gt;9,4)&amp;"Q"&amp;RIGHT(YEAR(D120),2)</f>
        <v>4Q20</v>
      </c>
      <c r="D120" s="2">
        <f t="shared" si="56"/>
        <v>44165</v>
      </c>
      <c r="E120" s="25">
        <v>44151</v>
      </c>
      <c r="F120" s="26">
        <v>2.279</v>
      </c>
      <c r="G120" s="26">
        <v>4.496</v>
      </c>
      <c r="H120" s="27"/>
      <c r="I120" s="28">
        <f t="shared" si="57"/>
        <v>0.07121875</v>
      </c>
      <c r="J120" s="28">
        <f t="shared" si="50"/>
        <v>0.07025</v>
      </c>
      <c r="K120" s="28">
        <f t="shared" si="51"/>
        <v>0</v>
      </c>
      <c r="M120" s="36">
        <f t="shared" si="62"/>
        <v>-0.0129926375054137</v>
      </c>
      <c r="N120" s="36">
        <f t="shared" si="64"/>
        <v>-0.0322717622080679</v>
      </c>
      <c r="O120" s="36">
        <f t="shared" si="65"/>
        <v>-0.0448449287510478</v>
      </c>
      <c r="P120" s="36">
        <f t="shared" si="66"/>
        <v>-0.0191972076788829</v>
      </c>
      <c r="Q120" s="36">
        <f t="shared" si="67"/>
        <v>-0.0329103032910303</v>
      </c>
      <c r="R120" s="36">
        <f t="shared" si="68"/>
        <v>-0.0446238844028899</v>
      </c>
      <c r="S120" s="36"/>
      <c r="T120" s="36"/>
      <c r="U120" s="36"/>
      <c r="W120" s="5" t="str" cm="1">
        <f t="array" ref="W120">_xlfn.IFS(MONTH(X120)&lt;4,1,MONTH(X120)&lt;7,2,MONTH(X120)&lt;10,3,MONTH(X120)&gt;9,4)&amp;"Q"&amp;RIGHT(YEAR(X120),2)</f>
        <v>4Q20</v>
      </c>
      <c r="X120" s="2">
        <f t="shared" si="58"/>
        <v>44135</v>
      </c>
      <c r="Y120" s="25">
        <v>44130</v>
      </c>
      <c r="Z120" s="29">
        <v>21.5</v>
      </c>
      <c r="AD120" s="36">
        <f t="shared" si="63"/>
        <v>0</v>
      </c>
      <c r="AE120" s="36">
        <f t="shared" si="69"/>
        <v>0</v>
      </c>
      <c r="AF120" s="36">
        <f t="shared" si="70"/>
        <v>0</v>
      </c>
      <c r="AJ120" s="5" t="str" cm="1">
        <f t="array" ref="AJ120">_xlfn.IFS(MONTH(AK120)&lt;4,1,MONTH(AK120)&lt;7,2,MONTH(AK120)&lt;10,3,MONTH(AK120)&gt;9,4)&amp;"Q"&amp;RIGHT(YEAR(AK120),2)</f>
        <v>2Q25</v>
      </c>
      <c r="AK120" s="2">
        <f t="shared" si="59"/>
        <v>45838</v>
      </c>
      <c r="AL120" s="50">
        <f t="shared" si="71"/>
        <v>45838</v>
      </c>
      <c r="AM120" s="56">
        <v>2.37</v>
      </c>
      <c r="AN120" s="56">
        <v>3.13</v>
      </c>
      <c r="AO120" s="56">
        <v>5.91</v>
      </c>
      <c r="AP120" s="56">
        <v>5.45</v>
      </c>
      <c r="AQ120" s="36"/>
      <c r="AR120" s="53">
        <f t="shared" si="52"/>
        <v>0.0740625</v>
      </c>
      <c r="AS120" s="53">
        <f t="shared" si="74"/>
        <v>0.04890625</v>
      </c>
      <c r="AT120" s="53">
        <f t="shared" si="76"/>
        <v>0.046171875</v>
      </c>
      <c r="AU120" s="53">
        <f t="shared" si="76"/>
        <v>0.042578125</v>
      </c>
      <c r="AV120" s="46">
        <f t="shared" si="77"/>
        <v>0.0871559633027523</v>
      </c>
      <c r="AW120" s="46">
        <f t="shared" si="77"/>
        <v>0.0195439739413681</v>
      </c>
      <c r="AX120" s="46">
        <f t="shared" si="77"/>
        <v>0.0102564102564104</v>
      </c>
      <c r="AY120" s="46">
        <f t="shared" si="77"/>
        <v>0.0148975791433892</v>
      </c>
      <c r="BA120" s="25">
        <f t="shared" si="75"/>
        <v>44151</v>
      </c>
      <c r="BB120" s="28">
        <f t="shared" si="75"/>
        <v>2.279</v>
      </c>
      <c r="BC120" s="28">
        <f t="shared" si="53"/>
        <v>2.38</v>
      </c>
      <c r="BD120" s="28">
        <f t="shared" si="60"/>
        <v>4.496</v>
      </c>
      <c r="BE120" s="28">
        <f t="shared" si="54"/>
        <v>4.4</v>
      </c>
      <c r="BF120" s="28"/>
      <c r="BG120" s="28"/>
      <c r="BH120" s="28"/>
      <c r="BI120" s="28"/>
      <c r="CC120" s="25">
        <f t="shared" si="55"/>
        <v>44130</v>
      </c>
      <c r="CD120" s="29">
        <f t="shared" si="55"/>
        <v>21.5</v>
      </c>
      <c r="CE120" s="29">
        <f t="shared" si="61"/>
        <v>19</v>
      </c>
      <c r="DP120" s="35">
        <v>43648</v>
      </c>
      <c r="DQ120" s="26">
        <v>3.1</v>
      </c>
      <c r="DR120" s="26">
        <v>2.95</v>
      </c>
      <c r="DS120" s="26">
        <v>3.013</v>
      </c>
      <c r="DU120" s="35">
        <v>43648</v>
      </c>
      <c r="DV120" s="26">
        <v>6.25</v>
      </c>
      <c r="DW120" s="26">
        <v>6.1</v>
      </c>
      <c r="DX120" s="26">
        <v>6.175</v>
      </c>
      <c r="DZ120" s="35">
        <v>43648</v>
      </c>
      <c r="EA120" s="26">
        <v>12.75</v>
      </c>
      <c r="EB120" s="26">
        <v>12.65</v>
      </c>
      <c r="EC120" s="26">
        <v>12.7</v>
      </c>
    </row>
    <row r="121" ht="16.8" spans="3:133">
      <c r="C121" s="5" t="str" cm="1">
        <f t="array" ref="C121">_xlfn.IFS(MONTH(D121)&lt;4,1,MONTH(D121)&lt;7,2,MONTH(D121)&lt;10,3,MONTH(D121)&gt;9,4)&amp;"Q"&amp;RIGHT(YEAR(D121),2)</f>
        <v>4Q20</v>
      </c>
      <c r="D121" s="2">
        <f t="shared" si="56"/>
        <v>44165</v>
      </c>
      <c r="E121" s="25">
        <v>44158</v>
      </c>
      <c r="F121" s="26">
        <v>2.224</v>
      </c>
      <c r="G121" s="26">
        <v>4.409</v>
      </c>
      <c r="H121" s="27"/>
      <c r="I121" s="28">
        <f t="shared" si="57"/>
        <v>0.0695</v>
      </c>
      <c r="J121" s="28">
        <f t="shared" si="50"/>
        <v>0.068890625</v>
      </c>
      <c r="K121" s="28">
        <f t="shared" si="51"/>
        <v>0</v>
      </c>
      <c r="M121" s="36">
        <f t="shared" si="62"/>
        <v>-0.0241333918385256</v>
      </c>
      <c r="N121" s="36">
        <f t="shared" si="64"/>
        <v>-0.0368124729320052</v>
      </c>
      <c r="O121" s="36">
        <f t="shared" si="65"/>
        <v>-0.0556263269639065</v>
      </c>
      <c r="P121" s="36">
        <f t="shared" si="66"/>
        <v>-0.0193505338078294</v>
      </c>
      <c r="Q121" s="36">
        <f t="shared" si="67"/>
        <v>-0.0381762652705061</v>
      </c>
      <c r="R121" s="36">
        <f t="shared" si="68"/>
        <v>-0.0516240051624005</v>
      </c>
      <c r="S121" s="36"/>
      <c r="T121" s="36"/>
      <c r="U121" s="36"/>
      <c r="W121" s="5" t="str" cm="1">
        <f t="array" ref="W121">_xlfn.IFS(MONTH(X121)&lt;4,1,MONTH(X121)&lt;7,2,MONTH(X121)&lt;10,3,MONTH(X121)&gt;9,4)&amp;"Q"&amp;RIGHT(YEAR(X121),2)</f>
        <v>4Q20</v>
      </c>
      <c r="X121" s="2">
        <f t="shared" si="58"/>
        <v>44165</v>
      </c>
      <c r="Y121" s="25">
        <v>44137</v>
      </c>
      <c r="Z121" s="29">
        <v>21.5</v>
      </c>
      <c r="AD121" s="36">
        <f t="shared" si="63"/>
        <v>0</v>
      </c>
      <c r="AE121" s="36">
        <f t="shared" si="69"/>
        <v>0</v>
      </c>
      <c r="AF121" s="36">
        <f t="shared" si="70"/>
        <v>0</v>
      </c>
      <c r="AJ121" s="5" t="str" cm="1">
        <f t="array" ref="AJ121">_xlfn.IFS(MONTH(AK121)&lt;4,1,MONTH(AK121)&lt;7,2,MONTH(AK121)&lt;10,3,MONTH(AK121)&gt;9,4)&amp;"Q"&amp;RIGHT(YEAR(AK121),2)</f>
        <v>3Q25</v>
      </c>
      <c r="AK121" s="2">
        <f t="shared" si="59"/>
        <v>45869</v>
      </c>
      <c r="AL121" s="50">
        <f t="shared" si="71"/>
        <v>45869</v>
      </c>
      <c r="AM121" s="56">
        <v>2.56</v>
      </c>
      <c r="AN121" s="56">
        <v>3.26</v>
      </c>
      <c r="AO121" s="56">
        <v>5.9</v>
      </c>
      <c r="AP121" s="56">
        <v>5.68</v>
      </c>
      <c r="AQ121" s="36"/>
      <c r="AR121" s="53">
        <f t="shared" si="52"/>
        <v>0.08</v>
      </c>
      <c r="AS121" s="53">
        <f t="shared" si="74"/>
        <v>0.0509375</v>
      </c>
      <c r="AT121" s="53">
        <f t="shared" si="76"/>
        <v>0.04609375</v>
      </c>
      <c r="AU121" s="53">
        <f t="shared" si="76"/>
        <v>0.044375</v>
      </c>
      <c r="AV121" s="46">
        <f t="shared" si="77"/>
        <v>0.0801687763713079</v>
      </c>
      <c r="AW121" s="46">
        <f t="shared" si="77"/>
        <v>0.0415335463258786</v>
      </c>
      <c r="AX121" s="46">
        <f t="shared" si="77"/>
        <v>-0.00169204737732653</v>
      </c>
      <c r="AY121" s="46">
        <f t="shared" si="77"/>
        <v>0.0422018348623852</v>
      </c>
      <c r="BA121" s="25">
        <f t="shared" si="75"/>
        <v>44158</v>
      </c>
      <c r="BB121" s="28">
        <f t="shared" si="75"/>
        <v>2.224</v>
      </c>
      <c r="BC121" s="28">
        <f t="shared" si="53"/>
        <v>2.38</v>
      </c>
      <c r="BD121" s="28">
        <f t="shared" si="60"/>
        <v>4.409</v>
      </c>
      <c r="BE121" s="28">
        <f t="shared" si="54"/>
        <v>4.4</v>
      </c>
      <c r="BF121" s="28"/>
      <c r="BG121" s="28"/>
      <c r="BH121" s="28"/>
      <c r="BI121" s="28"/>
      <c r="CC121" s="25">
        <f t="shared" si="55"/>
        <v>44137</v>
      </c>
      <c r="CD121" s="29">
        <f t="shared" si="55"/>
        <v>21.5</v>
      </c>
      <c r="CE121" s="29">
        <f t="shared" si="61"/>
        <v>19</v>
      </c>
      <c r="DP121" s="35">
        <v>43649</v>
      </c>
      <c r="DQ121" s="26">
        <v>3.1</v>
      </c>
      <c r="DR121" s="26">
        <v>2.8</v>
      </c>
      <c r="DS121" s="26">
        <v>2.958</v>
      </c>
      <c r="DU121" s="35">
        <v>43649</v>
      </c>
      <c r="DV121" s="26">
        <v>6.25</v>
      </c>
      <c r="DW121" s="26">
        <v>6</v>
      </c>
      <c r="DX121" s="26">
        <v>6.125</v>
      </c>
      <c r="DZ121" s="35">
        <v>43649</v>
      </c>
      <c r="EA121" s="26">
        <v>12.7</v>
      </c>
      <c r="EB121" s="26">
        <v>12.6</v>
      </c>
      <c r="EC121" s="26">
        <v>12.65</v>
      </c>
    </row>
    <row r="122" ht="16.8" spans="3:133">
      <c r="C122" s="5" t="str" cm="1">
        <f t="array" ref="C122">_xlfn.IFS(MONTH(D122)&lt;4,1,MONTH(D122)&lt;7,2,MONTH(D122)&lt;10,3,MONTH(D122)&gt;9,4)&amp;"Q"&amp;RIGHT(YEAR(D122),2)</f>
        <v>4Q20</v>
      </c>
      <c r="D122" s="2">
        <f t="shared" si="56"/>
        <v>44165</v>
      </c>
      <c r="E122" s="25">
        <v>44165</v>
      </c>
      <c r="F122" s="26">
        <v>2.206</v>
      </c>
      <c r="G122" s="26">
        <v>4.303</v>
      </c>
      <c r="H122" s="27"/>
      <c r="I122" s="28">
        <f t="shared" si="57"/>
        <v>0.0689375</v>
      </c>
      <c r="J122" s="28">
        <f t="shared" si="50"/>
        <v>0.067234375</v>
      </c>
      <c r="K122" s="28">
        <f t="shared" si="51"/>
        <v>0</v>
      </c>
      <c r="M122" s="36">
        <f t="shared" si="62"/>
        <v>-0.00809352517985618</v>
      </c>
      <c r="N122" s="36">
        <f t="shared" si="64"/>
        <v>-0.0320315928038614</v>
      </c>
      <c r="O122" s="36">
        <f t="shared" si="65"/>
        <v>-0.0446080554352535</v>
      </c>
      <c r="P122" s="36">
        <f t="shared" si="66"/>
        <v>-0.0240417328192334</v>
      </c>
      <c r="Q122" s="36">
        <f t="shared" si="67"/>
        <v>-0.0429270462633453</v>
      </c>
      <c r="R122" s="36">
        <f t="shared" si="68"/>
        <v>-0.0613001745200698</v>
      </c>
      <c r="S122" s="36"/>
      <c r="T122" s="36"/>
      <c r="U122" s="36"/>
      <c r="W122" s="5" t="str" cm="1">
        <f t="array" ref="W122">_xlfn.IFS(MONTH(X122)&lt;4,1,MONTH(X122)&lt;7,2,MONTH(X122)&lt;10,3,MONTH(X122)&gt;9,4)&amp;"Q"&amp;RIGHT(YEAR(X122),2)</f>
        <v>4Q20</v>
      </c>
      <c r="X122" s="2">
        <f t="shared" si="58"/>
        <v>44165</v>
      </c>
      <c r="Y122" s="25">
        <v>44144</v>
      </c>
      <c r="Z122" s="29">
        <v>21.5</v>
      </c>
      <c r="AD122" s="36">
        <f t="shared" si="63"/>
        <v>0</v>
      </c>
      <c r="AE122" s="36">
        <f t="shared" si="69"/>
        <v>0</v>
      </c>
      <c r="AF122" s="36">
        <f t="shared" si="70"/>
        <v>0</v>
      </c>
      <c r="AJ122" s="5" t="str" cm="1">
        <f t="array" ref="AJ122">_xlfn.IFS(MONTH(AK122)&lt;4,1,MONTH(AK122)&lt;7,2,MONTH(AK122)&lt;10,3,MONTH(AK122)&gt;9,4)&amp;"Q"&amp;RIGHT(YEAR(AK122),2)</f>
        <v>3Q25</v>
      </c>
      <c r="AK122" s="2">
        <f t="shared" si="59"/>
        <v>45900</v>
      </c>
      <c r="AL122" s="50">
        <f t="shared" si="71"/>
        <v>45900</v>
      </c>
      <c r="AM122" s="56">
        <v>2.68</v>
      </c>
      <c r="AN122" s="56">
        <v>3.37</v>
      </c>
      <c r="AO122" s="56">
        <v>5.94</v>
      </c>
      <c r="AP122" s="56">
        <v>5.77</v>
      </c>
      <c r="AQ122" s="36"/>
      <c r="AR122" s="53">
        <f t="shared" si="52"/>
        <v>0.08375</v>
      </c>
      <c r="AS122" s="53">
        <f t="shared" si="74"/>
        <v>0.05265625</v>
      </c>
      <c r="AT122" s="53">
        <f t="shared" si="76"/>
        <v>0.04640625</v>
      </c>
      <c r="AU122" s="53">
        <f t="shared" si="76"/>
        <v>0.045078125</v>
      </c>
      <c r="AV122" s="46">
        <f t="shared" si="77"/>
        <v>0.046875</v>
      </c>
      <c r="AW122" s="46">
        <f t="shared" si="77"/>
        <v>0.0337423312883436</v>
      </c>
      <c r="AX122" s="46">
        <f t="shared" si="77"/>
        <v>0.00677966101694927</v>
      </c>
      <c r="AY122" s="46">
        <f t="shared" si="77"/>
        <v>0.0158450704225352</v>
      </c>
      <c r="BA122" s="25">
        <f t="shared" si="75"/>
        <v>44165</v>
      </c>
      <c r="BB122" s="28">
        <f t="shared" si="75"/>
        <v>2.206</v>
      </c>
      <c r="BC122" s="28">
        <f t="shared" si="53"/>
        <v>2.38</v>
      </c>
      <c r="BD122" s="28">
        <f t="shared" si="60"/>
        <v>4.303</v>
      </c>
      <c r="BE122" s="28">
        <f t="shared" si="54"/>
        <v>4.4</v>
      </c>
      <c r="BF122" s="28"/>
      <c r="BG122" s="28"/>
      <c r="BH122" s="28"/>
      <c r="BI122" s="28"/>
      <c r="CC122" s="25">
        <f t="shared" si="55"/>
        <v>44144</v>
      </c>
      <c r="CD122" s="29">
        <f t="shared" si="55"/>
        <v>21.5</v>
      </c>
      <c r="CE122" s="29">
        <f t="shared" si="61"/>
        <v>19</v>
      </c>
      <c r="DP122" s="35">
        <v>43650</v>
      </c>
      <c r="DQ122" s="26">
        <v>3.1</v>
      </c>
      <c r="DR122" s="26">
        <v>2.8</v>
      </c>
      <c r="DS122" s="26">
        <v>2.953</v>
      </c>
      <c r="DU122" s="35">
        <v>43650</v>
      </c>
      <c r="DV122" s="26">
        <v>6.2</v>
      </c>
      <c r="DW122" s="26">
        <v>6</v>
      </c>
      <c r="DX122" s="26">
        <v>6.1</v>
      </c>
      <c r="DZ122" s="35">
        <v>43650</v>
      </c>
      <c r="EA122" s="26">
        <v>12.65</v>
      </c>
      <c r="EB122" s="26">
        <v>12.55</v>
      </c>
      <c r="EC122" s="26">
        <v>12.6</v>
      </c>
    </row>
    <row r="123" ht="16.8" spans="3:133">
      <c r="C123" s="5" t="str" cm="1">
        <f t="array" ref="C123">_xlfn.IFS(MONTH(D123)&lt;4,1,MONTH(D123)&lt;7,2,MONTH(D123)&lt;10,3,MONTH(D123)&gt;9,4)&amp;"Q"&amp;RIGHT(YEAR(D123),2)</f>
        <v>4Q20</v>
      </c>
      <c r="D123" s="2">
        <f t="shared" si="56"/>
        <v>44196</v>
      </c>
      <c r="E123" s="25">
        <v>44172</v>
      </c>
      <c r="F123" s="26">
        <v>2.199</v>
      </c>
      <c r="G123" s="26">
        <v>4.298</v>
      </c>
      <c r="H123" s="27"/>
      <c r="I123" s="28">
        <f t="shared" si="57"/>
        <v>0.06871875</v>
      </c>
      <c r="J123" s="28">
        <f t="shared" si="50"/>
        <v>0.06715625</v>
      </c>
      <c r="K123" s="28">
        <f t="shared" si="51"/>
        <v>0</v>
      </c>
      <c r="M123" s="36">
        <f t="shared" si="62"/>
        <v>-0.00317316409791479</v>
      </c>
      <c r="N123" s="36">
        <f t="shared" si="64"/>
        <v>-0.0112410071942448</v>
      </c>
      <c r="O123" s="36">
        <f t="shared" si="65"/>
        <v>-0.0351031154014919</v>
      </c>
      <c r="P123" s="36">
        <f t="shared" si="66"/>
        <v>-0.00116198001394374</v>
      </c>
      <c r="Q123" s="36">
        <f t="shared" si="67"/>
        <v>-0.0251757768201406</v>
      </c>
      <c r="R123" s="36">
        <f t="shared" si="68"/>
        <v>-0.0440391459074734</v>
      </c>
      <c r="S123" s="36"/>
      <c r="T123" s="36"/>
      <c r="U123" s="36"/>
      <c r="W123" s="5" t="str" cm="1">
        <f t="array" ref="W123">_xlfn.IFS(MONTH(X123)&lt;4,1,MONTH(X123)&lt;7,2,MONTH(X123)&lt;10,3,MONTH(X123)&gt;9,4)&amp;"Q"&amp;RIGHT(YEAR(X123),2)</f>
        <v>4Q20</v>
      </c>
      <c r="X123" s="2">
        <f t="shared" si="58"/>
        <v>44165</v>
      </c>
      <c r="Y123" s="25">
        <v>44151</v>
      </c>
      <c r="Z123" s="29">
        <v>21.5</v>
      </c>
      <c r="AD123" s="36">
        <f t="shared" si="63"/>
        <v>0</v>
      </c>
      <c r="AE123" s="36">
        <f t="shared" si="69"/>
        <v>0</v>
      </c>
      <c r="AF123" s="36">
        <f t="shared" si="70"/>
        <v>0</v>
      </c>
      <c r="AJ123" s="5" t="str" cm="1">
        <f t="array" ref="AJ123">_xlfn.IFS(MONTH(AK123)&lt;4,1,MONTH(AK123)&lt;7,2,MONTH(AK123)&lt;10,3,MONTH(AK123)&gt;9,4)&amp;"Q"&amp;RIGHT(YEAR(AK123),2)</f>
        <v>3Q25</v>
      </c>
      <c r="AK123" s="2">
        <f t="shared" si="59"/>
        <v>45930</v>
      </c>
      <c r="AL123" s="50">
        <f t="shared" si="71"/>
        <v>45930</v>
      </c>
      <c r="AM123" s="56">
        <v>2.81</v>
      </c>
      <c r="AN123" s="56">
        <v>3.48</v>
      </c>
      <c r="AO123" s="56">
        <v>6.06</v>
      </c>
      <c r="AP123" s="56">
        <v>5.9</v>
      </c>
      <c r="AQ123" s="36"/>
      <c r="AR123" s="53">
        <f t="shared" si="52"/>
        <v>0.0878125</v>
      </c>
      <c r="AS123" s="53">
        <f t="shared" si="74"/>
        <v>0.054375</v>
      </c>
      <c r="AT123" s="53">
        <f t="shared" si="76"/>
        <v>0.04734375</v>
      </c>
      <c r="AU123" s="53">
        <f t="shared" si="76"/>
        <v>0.04609375</v>
      </c>
      <c r="AV123" s="46">
        <f t="shared" si="77"/>
        <v>0.0485074626865671</v>
      </c>
      <c r="AW123" s="46">
        <f t="shared" si="77"/>
        <v>0.032640949554896</v>
      </c>
      <c r="AX123" s="46">
        <f t="shared" si="77"/>
        <v>0.0202020202020201</v>
      </c>
      <c r="AY123" s="46">
        <f t="shared" si="77"/>
        <v>0.0225303292894281</v>
      </c>
      <c r="BA123" s="25">
        <f t="shared" si="75"/>
        <v>44172</v>
      </c>
      <c r="BB123" s="28">
        <f t="shared" si="75"/>
        <v>2.199</v>
      </c>
      <c r="BC123" s="28">
        <f t="shared" si="53"/>
        <v>2.35</v>
      </c>
      <c r="BD123" s="28">
        <f t="shared" si="60"/>
        <v>4.298</v>
      </c>
      <c r="BE123" s="28">
        <f t="shared" si="54"/>
        <v>4.39</v>
      </c>
      <c r="BF123" s="28"/>
      <c r="BG123" s="28"/>
      <c r="BH123" s="28"/>
      <c r="BI123" s="28"/>
      <c r="CC123" s="25">
        <f t="shared" ref="CC123:CD154" si="78">Y123</f>
        <v>44151</v>
      </c>
      <c r="CD123" s="29">
        <f t="shared" si="78"/>
        <v>21.5</v>
      </c>
      <c r="CE123" s="29">
        <f t="shared" si="61"/>
        <v>19</v>
      </c>
      <c r="DP123" s="35">
        <v>43651</v>
      </c>
      <c r="DQ123" s="26">
        <v>3.05</v>
      </c>
      <c r="DR123" s="26">
        <v>2.8</v>
      </c>
      <c r="DS123" s="26">
        <v>2.944</v>
      </c>
      <c r="DU123" s="35">
        <v>43651</v>
      </c>
      <c r="DV123" s="26">
        <v>6.15</v>
      </c>
      <c r="DW123" s="26">
        <v>6</v>
      </c>
      <c r="DX123" s="26">
        <v>6.075</v>
      </c>
      <c r="DZ123" s="35">
        <v>43651</v>
      </c>
      <c r="EA123" s="26">
        <v>12.6</v>
      </c>
      <c r="EB123" s="26">
        <v>12.5</v>
      </c>
      <c r="EC123" s="26">
        <v>12.55</v>
      </c>
    </row>
    <row r="124" ht="16.8" spans="3:133">
      <c r="C124" s="5" t="str" cm="1">
        <f t="array" ref="C124">_xlfn.IFS(MONTH(D124)&lt;4,1,MONTH(D124)&lt;7,2,MONTH(D124)&lt;10,3,MONTH(D124)&gt;9,4)&amp;"Q"&amp;RIGHT(YEAR(D124),2)</f>
        <v>4Q20</v>
      </c>
      <c r="D124" s="2">
        <f t="shared" si="56"/>
        <v>44196</v>
      </c>
      <c r="E124" s="25">
        <v>44179</v>
      </c>
      <c r="F124" s="26">
        <v>2.196</v>
      </c>
      <c r="G124" s="26">
        <v>4.294</v>
      </c>
      <c r="H124" s="27"/>
      <c r="I124" s="28">
        <f t="shared" si="57"/>
        <v>0.068625</v>
      </c>
      <c r="J124" s="28">
        <f t="shared" si="50"/>
        <v>0.06709375</v>
      </c>
      <c r="K124" s="28">
        <f t="shared" si="51"/>
        <v>0</v>
      </c>
      <c r="M124" s="36">
        <f t="shared" si="62"/>
        <v>-0.0013642564802181</v>
      </c>
      <c r="N124" s="36">
        <f t="shared" si="64"/>
        <v>-0.00453309156844961</v>
      </c>
      <c r="O124" s="36">
        <f t="shared" si="65"/>
        <v>-0.012589928057554</v>
      </c>
      <c r="P124" s="36">
        <f t="shared" si="66"/>
        <v>-0.000930665425779575</v>
      </c>
      <c r="Q124" s="36">
        <f t="shared" si="67"/>
        <v>-0.0020915640250988</v>
      </c>
      <c r="R124" s="36">
        <f t="shared" si="68"/>
        <v>-0.0260830120208665</v>
      </c>
      <c r="S124" s="36"/>
      <c r="T124" s="36"/>
      <c r="U124" s="36"/>
      <c r="W124" s="5" t="str" cm="1">
        <f t="array" ref="W124">_xlfn.IFS(MONTH(X124)&lt;4,1,MONTH(X124)&lt;7,2,MONTH(X124)&lt;10,3,MONTH(X124)&gt;9,4)&amp;"Q"&amp;RIGHT(YEAR(X124),2)</f>
        <v>4Q20</v>
      </c>
      <c r="X124" s="2">
        <f t="shared" si="58"/>
        <v>44165</v>
      </c>
      <c r="Y124" s="25">
        <v>44158</v>
      </c>
      <c r="Z124" s="29">
        <v>21.5</v>
      </c>
      <c r="AD124" s="36">
        <f t="shared" si="63"/>
        <v>0</v>
      </c>
      <c r="AE124" s="36">
        <f t="shared" si="69"/>
        <v>0</v>
      </c>
      <c r="AF124" s="36">
        <f t="shared" si="70"/>
        <v>0</v>
      </c>
      <c r="AJ124" s="5" t="str" cm="1">
        <f t="array" ref="AJ124">_xlfn.IFS(MONTH(AK124)&lt;4,1,MONTH(AK124)&lt;7,2,MONTH(AK124)&lt;10,3,MONTH(AK124)&gt;9,4)&amp;"Q"&amp;RIGHT(YEAR(AK124),2)</f>
        <v>4Q25</v>
      </c>
      <c r="AK124" s="2">
        <f t="shared" si="59"/>
        <v>45961</v>
      </c>
      <c r="AL124" s="50">
        <f t="shared" si="71"/>
        <v>45961</v>
      </c>
      <c r="AM124" s="56">
        <v>3.61</v>
      </c>
      <c r="AN124" s="56">
        <v>5.12</v>
      </c>
      <c r="AO124" s="56">
        <v>8.12</v>
      </c>
      <c r="AP124" s="56">
        <v>7.52</v>
      </c>
      <c r="AQ124" s="36"/>
      <c r="AR124" s="53">
        <f t="shared" si="52"/>
        <v>0.1128125</v>
      </c>
      <c r="AS124" s="53">
        <f t="shared" si="74"/>
        <v>0.08</v>
      </c>
      <c r="AT124" s="53">
        <f t="shared" si="76"/>
        <v>0.0634375</v>
      </c>
      <c r="AU124" s="53">
        <f t="shared" si="76"/>
        <v>0.05875</v>
      </c>
      <c r="AV124" s="46">
        <f t="shared" si="77"/>
        <v>0.284697508896797</v>
      </c>
      <c r="AW124" s="46">
        <f t="shared" si="77"/>
        <v>0.471264367816092</v>
      </c>
      <c r="AX124" s="46">
        <f t="shared" si="77"/>
        <v>0.33993399339934</v>
      </c>
      <c r="AY124" s="46">
        <f t="shared" si="77"/>
        <v>0.274576271186441</v>
      </c>
      <c r="BA124" s="25">
        <f t="shared" si="75"/>
        <v>44179</v>
      </c>
      <c r="BB124" s="28">
        <f t="shared" si="75"/>
        <v>2.196</v>
      </c>
      <c r="BC124" s="28">
        <f t="shared" si="53"/>
        <v>2.35</v>
      </c>
      <c r="BD124" s="28">
        <f t="shared" si="60"/>
        <v>4.294</v>
      </c>
      <c r="BE124" s="28">
        <f t="shared" si="54"/>
        <v>4.39</v>
      </c>
      <c r="BF124" s="28"/>
      <c r="BG124" s="28"/>
      <c r="BH124" s="28"/>
      <c r="BI124" s="28"/>
      <c r="CC124" s="25">
        <f t="shared" si="78"/>
        <v>44158</v>
      </c>
      <c r="CD124" s="29">
        <f t="shared" si="78"/>
        <v>21.5</v>
      </c>
      <c r="CE124" s="29">
        <f t="shared" si="61"/>
        <v>19</v>
      </c>
      <c r="DP124" s="35">
        <v>43654</v>
      </c>
      <c r="DQ124" s="26">
        <v>3.05</v>
      </c>
      <c r="DR124" s="26">
        <v>2.8</v>
      </c>
      <c r="DS124" s="26">
        <v>2.917</v>
      </c>
      <c r="DU124" s="35">
        <v>43654</v>
      </c>
      <c r="DV124" s="26">
        <v>6.15</v>
      </c>
      <c r="DW124" s="26">
        <v>6</v>
      </c>
      <c r="DX124" s="26">
        <v>6.065</v>
      </c>
      <c r="DZ124" s="35">
        <v>43654</v>
      </c>
      <c r="EA124" s="26">
        <v>12.55</v>
      </c>
      <c r="EB124" s="26">
        <v>12.45</v>
      </c>
      <c r="EC124" s="26">
        <v>12.5</v>
      </c>
    </row>
    <row r="125" ht="16.8" spans="3:133">
      <c r="C125" s="5" t="str" cm="1">
        <f t="array" ref="C125">_xlfn.IFS(MONTH(D125)&lt;4,1,MONTH(D125)&lt;7,2,MONTH(D125)&lt;10,3,MONTH(D125)&gt;9,4)&amp;"Q"&amp;RIGHT(YEAR(D125),2)</f>
        <v>4Q20</v>
      </c>
      <c r="D125" s="2">
        <f t="shared" si="56"/>
        <v>44196</v>
      </c>
      <c r="E125" s="25">
        <v>44186</v>
      </c>
      <c r="F125" s="26">
        <v>2.194</v>
      </c>
      <c r="G125" s="26">
        <v>4.291</v>
      </c>
      <c r="H125" s="27"/>
      <c r="I125" s="28">
        <f t="shared" si="57"/>
        <v>0.0685625</v>
      </c>
      <c r="J125" s="28">
        <f t="shared" si="50"/>
        <v>0.067046875</v>
      </c>
      <c r="K125" s="28">
        <f t="shared" si="51"/>
        <v>0</v>
      </c>
      <c r="M125" s="36">
        <f t="shared" si="62"/>
        <v>-0.000910746812386232</v>
      </c>
      <c r="N125" s="36">
        <f t="shared" si="64"/>
        <v>-0.00227376080036379</v>
      </c>
      <c r="O125" s="36">
        <f t="shared" si="65"/>
        <v>-0.0054397098821396</v>
      </c>
      <c r="P125" s="36">
        <f t="shared" si="66"/>
        <v>-0.00069864927806218</v>
      </c>
      <c r="Q125" s="36">
        <f t="shared" si="67"/>
        <v>-0.0016286644951139</v>
      </c>
      <c r="R125" s="36">
        <f t="shared" si="68"/>
        <v>-0.00278875203346496</v>
      </c>
      <c r="S125" s="36"/>
      <c r="T125" s="36"/>
      <c r="U125" s="36"/>
      <c r="W125" s="5" t="str" cm="1">
        <f t="array" ref="W125">_xlfn.IFS(MONTH(X125)&lt;4,1,MONTH(X125)&lt;7,2,MONTH(X125)&lt;10,3,MONTH(X125)&gt;9,4)&amp;"Q"&amp;RIGHT(YEAR(X125),2)</f>
        <v>4Q20</v>
      </c>
      <c r="X125" s="2">
        <f t="shared" si="58"/>
        <v>44165</v>
      </c>
      <c r="Y125" s="25">
        <v>44165</v>
      </c>
      <c r="Z125" s="29">
        <v>21.5</v>
      </c>
      <c r="AD125" s="36">
        <f t="shared" si="63"/>
        <v>0</v>
      </c>
      <c r="AE125" s="36">
        <f t="shared" si="69"/>
        <v>0</v>
      </c>
      <c r="AF125" s="36">
        <f t="shared" si="70"/>
        <v>0</v>
      </c>
      <c r="AJ125" s="5" t="str" cm="1">
        <f t="array" ref="AJ125">_xlfn.IFS(MONTH(AK125)&lt;4,1,MONTH(AK125)&lt;7,2,MONTH(AK125)&lt;10,3,MONTH(AK125)&gt;9,4)&amp;"Q"&amp;RIGHT(YEAR(AK125),2)</f>
        <v>4Q25</v>
      </c>
      <c r="AK125" s="2">
        <f t="shared" si="59"/>
        <v>45991</v>
      </c>
      <c r="AL125" s="50">
        <f t="shared" si="71"/>
        <v>45991</v>
      </c>
      <c r="AM125" s="56">
        <v>4.88</v>
      </c>
      <c r="AN125" s="56">
        <v>8.48</v>
      </c>
      <c r="AO125" s="56">
        <v>13.09</v>
      </c>
      <c r="AP125" s="56">
        <v>11.78</v>
      </c>
      <c r="AQ125" s="36"/>
      <c r="AR125" s="53">
        <f t="shared" si="52"/>
        <v>0.1525</v>
      </c>
      <c r="AS125" s="53">
        <f t="shared" si="74"/>
        <v>0.1325</v>
      </c>
      <c r="AT125" s="53">
        <f t="shared" si="76"/>
        <v>0.102265625</v>
      </c>
      <c r="AU125" s="53">
        <f t="shared" si="76"/>
        <v>0.09203125</v>
      </c>
      <c r="AV125" s="46">
        <f t="shared" si="77"/>
        <v>0.35180055401662</v>
      </c>
      <c r="AW125" s="46">
        <f t="shared" si="77"/>
        <v>0.65625</v>
      </c>
      <c r="AX125" s="46">
        <f t="shared" si="77"/>
        <v>0.612068965517242</v>
      </c>
      <c r="AY125" s="46">
        <f t="shared" si="77"/>
        <v>0.566489361702128</v>
      </c>
      <c r="BA125" s="25">
        <f t="shared" si="75"/>
        <v>44186</v>
      </c>
      <c r="BB125" s="28">
        <f t="shared" si="75"/>
        <v>2.194</v>
      </c>
      <c r="BC125" s="28">
        <f t="shared" si="53"/>
        <v>2.35</v>
      </c>
      <c r="BD125" s="28">
        <f t="shared" si="60"/>
        <v>4.291</v>
      </c>
      <c r="BE125" s="28">
        <f t="shared" si="54"/>
        <v>4.39</v>
      </c>
      <c r="BF125" s="28"/>
      <c r="BG125" s="28"/>
      <c r="BH125" s="28"/>
      <c r="BI125" s="28"/>
      <c r="CC125" s="25">
        <f t="shared" si="78"/>
        <v>44165</v>
      </c>
      <c r="CD125" s="29">
        <f t="shared" si="78"/>
        <v>21.5</v>
      </c>
      <c r="CE125" s="29">
        <f t="shared" si="61"/>
        <v>19</v>
      </c>
      <c r="DP125" s="35">
        <v>43655</v>
      </c>
      <c r="DQ125" s="26">
        <v>3.05</v>
      </c>
      <c r="DR125" s="26">
        <v>2.8</v>
      </c>
      <c r="DS125" s="26">
        <v>2.917</v>
      </c>
      <c r="DU125" s="35">
        <v>43655</v>
      </c>
      <c r="DV125" s="26">
        <v>6.15</v>
      </c>
      <c r="DW125" s="26">
        <v>6</v>
      </c>
      <c r="DX125" s="26">
        <v>6.065</v>
      </c>
      <c r="DZ125" s="35">
        <v>43655</v>
      </c>
      <c r="EA125" s="26">
        <v>12.55</v>
      </c>
      <c r="EB125" s="26">
        <v>12.45</v>
      </c>
      <c r="EC125" s="26">
        <v>12.5</v>
      </c>
    </row>
    <row r="126" ht="16.8" spans="3:133">
      <c r="C126" s="5" t="str" cm="1">
        <f t="array" ref="C126">_xlfn.IFS(MONTH(D126)&lt;4,1,MONTH(D126)&lt;7,2,MONTH(D126)&lt;10,3,MONTH(D126)&gt;9,4)&amp;"Q"&amp;RIGHT(YEAR(D126),2)</f>
        <v>4Q20</v>
      </c>
      <c r="D126" s="2">
        <f t="shared" si="56"/>
        <v>44196</v>
      </c>
      <c r="E126" s="25">
        <v>44193</v>
      </c>
      <c r="F126" s="26">
        <v>2.191</v>
      </c>
      <c r="G126" s="26">
        <v>4.289</v>
      </c>
      <c r="H126" s="27"/>
      <c r="I126" s="28">
        <f t="shared" si="57"/>
        <v>0.06846875</v>
      </c>
      <c r="J126" s="28">
        <f t="shared" si="50"/>
        <v>0.067015625</v>
      </c>
      <c r="K126" s="28">
        <f t="shared" si="51"/>
        <v>0</v>
      </c>
      <c r="M126" s="36">
        <f t="shared" si="62"/>
        <v>-0.00136736554238837</v>
      </c>
      <c r="N126" s="36">
        <f t="shared" si="64"/>
        <v>-0.00227686703096552</v>
      </c>
      <c r="O126" s="36">
        <f t="shared" si="65"/>
        <v>-0.00363801728058211</v>
      </c>
      <c r="P126" s="36">
        <f t="shared" si="66"/>
        <v>-0.000466091820088721</v>
      </c>
      <c r="Q126" s="36">
        <f t="shared" si="67"/>
        <v>-0.00116441546343737</v>
      </c>
      <c r="R126" s="36">
        <f t="shared" si="68"/>
        <v>-0.00209399720800385</v>
      </c>
      <c r="S126" s="36"/>
      <c r="T126" s="36"/>
      <c r="U126" s="36"/>
      <c r="W126" s="5" t="str" cm="1">
        <f t="array" ref="W126">_xlfn.IFS(MONTH(X126)&lt;4,1,MONTH(X126)&lt;7,2,MONTH(X126)&lt;10,3,MONTH(X126)&gt;9,4)&amp;"Q"&amp;RIGHT(YEAR(X126),2)</f>
        <v>4Q20</v>
      </c>
      <c r="X126" s="2">
        <f t="shared" si="58"/>
        <v>44196</v>
      </c>
      <c r="Y126" s="25">
        <v>44172</v>
      </c>
      <c r="Z126" s="29">
        <v>21.5</v>
      </c>
      <c r="AD126" s="36">
        <f t="shared" si="63"/>
        <v>0</v>
      </c>
      <c r="AE126" s="36">
        <f t="shared" si="69"/>
        <v>0</v>
      </c>
      <c r="AF126" s="36">
        <f t="shared" si="70"/>
        <v>0</v>
      </c>
      <c r="AJ126" s="5" t="str" cm="1">
        <f t="array" ref="AJ126">_xlfn.IFS(MONTH(AK126)&lt;4,1,MONTH(AK126)&lt;7,2,MONTH(AK126)&lt;10,3,MONTH(AK126)&gt;9,4)&amp;"Q"&amp;RIGHT(YEAR(AK126),2)</f>
        <v>4Q25</v>
      </c>
      <c r="AK126" s="2">
        <f t="shared" si="59"/>
        <v>46022</v>
      </c>
      <c r="AL126" s="50">
        <f t="shared" si="71"/>
        <v>46022</v>
      </c>
      <c r="AM126" s="56">
        <v>6.76</v>
      </c>
      <c r="AN126" s="56">
        <v>12.16</v>
      </c>
      <c r="AO126" s="56">
        <v>16.95</v>
      </c>
      <c r="AP126" s="56">
        <v>15.79</v>
      </c>
      <c r="AQ126" s="36"/>
      <c r="AR126" s="53">
        <f t="shared" si="52"/>
        <v>0.21125</v>
      </c>
      <c r="AS126" s="53">
        <f t="shared" si="74"/>
        <v>0.19</v>
      </c>
      <c r="AT126" s="53">
        <f t="shared" si="76"/>
        <v>0.132421875</v>
      </c>
      <c r="AU126" s="53">
        <f t="shared" si="76"/>
        <v>0.123359375</v>
      </c>
      <c r="AV126" s="46">
        <f t="shared" si="77"/>
        <v>0.385245901639344</v>
      </c>
      <c r="AW126" s="46">
        <f t="shared" si="77"/>
        <v>0.433962264150943</v>
      </c>
      <c r="AX126" s="46">
        <f t="shared" si="77"/>
        <v>0.294881588999236</v>
      </c>
      <c r="AY126" s="46">
        <f t="shared" si="77"/>
        <v>0.340407470288625</v>
      </c>
      <c r="BA126" s="25">
        <f t="shared" si="75"/>
        <v>44193</v>
      </c>
      <c r="BB126" s="28">
        <f t="shared" si="75"/>
        <v>2.191</v>
      </c>
      <c r="BC126" s="28">
        <f t="shared" si="53"/>
        <v>2.35</v>
      </c>
      <c r="BD126" s="28">
        <f t="shared" si="60"/>
        <v>4.289</v>
      </c>
      <c r="BE126" s="28">
        <f t="shared" si="54"/>
        <v>4.39</v>
      </c>
      <c r="BF126" s="28"/>
      <c r="BG126" s="28"/>
      <c r="BH126" s="28"/>
      <c r="BI126" s="28"/>
      <c r="CC126" s="25">
        <f t="shared" si="78"/>
        <v>44172</v>
      </c>
      <c r="CD126" s="29">
        <f t="shared" si="78"/>
        <v>21.5</v>
      </c>
      <c r="CE126" s="29">
        <f t="shared" si="61"/>
        <v>19</v>
      </c>
      <c r="DP126" s="35">
        <v>43656</v>
      </c>
      <c r="DQ126" s="26">
        <v>3.05</v>
      </c>
      <c r="DR126" s="26">
        <v>2.8</v>
      </c>
      <c r="DS126" s="26">
        <v>2.917</v>
      </c>
      <c r="DU126" s="35">
        <v>43656</v>
      </c>
      <c r="DV126" s="26">
        <v>6.15</v>
      </c>
      <c r="DW126" s="26">
        <v>6</v>
      </c>
      <c r="DX126" s="26">
        <v>6.065</v>
      </c>
      <c r="DZ126" s="35">
        <v>43656</v>
      </c>
      <c r="EA126" s="26">
        <v>12.55</v>
      </c>
      <c r="EB126" s="26">
        <v>12.45</v>
      </c>
      <c r="EC126" s="26">
        <v>12.5</v>
      </c>
    </row>
    <row r="127" ht="16.8" spans="3:133">
      <c r="C127" s="5" t="str" cm="1">
        <f t="array" ref="C127">_xlfn.IFS(MONTH(D127)&lt;4,1,MONTH(D127)&lt;7,2,MONTH(D127)&lt;10,3,MONTH(D127)&gt;9,4)&amp;"Q"&amp;RIGHT(YEAR(D127),2)</f>
        <v>1Q21</v>
      </c>
      <c r="D127" s="2">
        <f t="shared" si="56"/>
        <v>44227</v>
      </c>
      <c r="E127" s="25">
        <v>44200</v>
      </c>
      <c r="F127" s="26">
        <v>2.184</v>
      </c>
      <c r="G127" s="26">
        <v>4.275</v>
      </c>
      <c r="H127" s="27"/>
      <c r="I127" s="28">
        <f t="shared" si="57"/>
        <v>0.06825</v>
      </c>
      <c r="J127" s="28">
        <f t="shared" si="50"/>
        <v>0.066796875</v>
      </c>
      <c r="K127" s="28">
        <f t="shared" si="51"/>
        <v>0</v>
      </c>
      <c r="M127" s="36">
        <f t="shared" si="62"/>
        <v>-0.00319488817891356</v>
      </c>
      <c r="N127" s="36">
        <f t="shared" si="64"/>
        <v>-0.00455788514129429</v>
      </c>
      <c r="O127" s="36">
        <f t="shared" si="65"/>
        <v>-0.00546448087431695</v>
      </c>
      <c r="P127" s="36">
        <f t="shared" si="66"/>
        <v>-0.0032641641408252</v>
      </c>
      <c r="Q127" s="36">
        <f t="shared" si="67"/>
        <v>-0.00372873456070844</v>
      </c>
      <c r="R127" s="36">
        <f t="shared" si="68"/>
        <v>-0.00442477876106173</v>
      </c>
      <c r="S127" s="36"/>
      <c r="T127" s="36"/>
      <c r="U127" s="36"/>
      <c r="W127" s="5" t="str" cm="1">
        <f t="array" ref="W127">_xlfn.IFS(MONTH(X127)&lt;4,1,MONTH(X127)&lt;7,2,MONTH(X127)&lt;10,3,MONTH(X127)&gt;9,4)&amp;"Q"&amp;RIGHT(YEAR(X127),2)</f>
        <v>4Q20</v>
      </c>
      <c r="X127" s="2">
        <f t="shared" si="58"/>
        <v>44196</v>
      </c>
      <c r="Y127" s="25">
        <v>44179</v>
      </c>
      <c r="Z127" s="29">
        <v>21.5</v>
      </c>
      <c r="AD127" s="36">
        <f t="shared" si="63"/>
        <v>0</v>
      </c>
      <c r="AE127" s="36">
        <f t="shared" si="69"/>
        <v>0</v>
      </c>
      <c r="AF127" s="36">
        <f t="shared" si="70"/>
        <v>0</v>
      </c>
      <c r="AJ127" s="5" t="str" cm="1">
        <f t="array" ref="AJ127">_xlfn.IFS(MONTH(AK127)&lt;4,1,MONTH(AK127)&lt;7,2,MONTH(AK127)&lt;10,3,MONTH(AK127)&gt;9,4)&amp;"Q"&amp;RIGHT(YEAR(AK127),2)</f>
        <v>1Q26</v>
      </c>
      <c r="AK127" s="2">
        <f t="shared" si="59"/>
        <v>46053</v>
      </c>
      <c r="AL127" s="50">
        <f t="shared" si="71"/>
        <v>46053</v>
      </c>
      <c r="AM127" s="56">
        <v>8.94</v>
      </c>
      <c r="AN127" s="56">
        <v>16.14</v>
      </c>
      <c r="AO127" s="56">
        <v>21.7</v>
      </c>
      <c r="AP127" s="56">
        <v>20.6</v>
      </c>
      <c r="AQ127" s="36"/>
      <c r="AR127" s="53">
        <f t="shared" si="52"/>
        <v>0.279375</v>
      </c>
      <c r="AS127" s="53">
        <f t="shared" si="74"/>
        <v>0.2521875</v>
      </c>
      <c r="AT127" s="53">
        <f t="shared" si="76"/>
        <v>0.16953125</v>
      </c>
      <c r="AU127" s="53">
        <f t="shared" si="76"/>
        <v>0.1609375</v>
      </c>
      <c r="AV127" s="46">
        <f t="shared" si="77"/>
        <v>0.322485207100592</v>
      </c>
      <c r="AW127" s="46">
        <f t="shared" si="77"/>
        <v>0.327302631578947</v>
      </c>
      <c r="AX127" s="46">
        <f t="shared" si="77"/>
        <v>0.28023598820059</v>
      </c>
      <c r="AY127" s="46">
        <f t="shared" si="77"/>
        <v>0.304623179227359</v>
      </c>
      <c r="BA127" s="25">
        <f t="shared" si="75"/>
        <v>44200</v>
      </c>
      <c r="BB127" s="28">
        <f t="shared" si="75"/>
        <v>2.184</v>
      </c>
      <c r="BC127" s="28">
        <f t="shared" si="53"/>
        <v>2.34</v>
      </c>
      <c r="BD127" s="28">
        <f t="shared" si="60"/>
        <v>4.275</v>
      </c>
      <c r="BE127" s="28">
        <f t="shared" si="54"/>
        <v>4.37</v>
      </c>
      <c r="BF127" s="28"/>
      <c r="BG127" s="28">
        <f>AVERAGE(BH127:BI127)</f>
        <v>7.92</v>
      </c>
      <c r="BH127" s="28"/>
      <c r="BI127" s="28">
        <f t="shared" ref="BI127:BI182" si="79">INDEX($AM:$AQ,MATCH($D127,$AK:$AK,0),MATCH(BI$25,$AM$26:$AQ$26,0))</f>
        <v>7.92</v>
      </c>
      <c r="CC127" s="25">
        <f t="shared" si="78"/>
        <v>44179</v>
      </c>
      <c r="CD127" s="29">
        <f t="shared" si="78"/>
        <v>21.5</v>
      </c>
      <c r="CE127" s="29">
        <f t="shared" si="61"/>
        <v>19</v>
      </c>
      <c r="DP127" s="35">
        <v>43657</v>
      </c>
      <c r="DQ127" s="26">
        <v>3.05</v>
      </c>
      <c r="DR127" s="26">
        <v>2.85</v>
      </c>
      <c r="DS127" s="26">
        <v>2.944</v>
      </c>
      <c r="DU127" s="35">
        <v>43657</v>
      </c>
      <c r="DV127" s="26">
        <v>6.15</v>
      </c>
      <c r="DW127" s="26">
        <v>6.05</v>
      </c>
      <c r="DX127" s="26">
        <v>6.11</v>
      </c>
      <c r="DZ127" s="35">
        <v>43657</v>
      </c>
      <c r="EA127" s="26">
        <v>12.6</v>
      </c>
      <c r="EB127" s="26">
        <v>12.5</v>
      </c>
      <c r="EC127" s="26">
        <v>12.55</v>
      </c>
    </row>
    <row r="128" ht="16.8" spans="3:133">
      <c r="C128" s="5" t="str" cm="1">
        <f t="array" ref="C128">_xlfn.IFS(MONTH(D128)&lt;4,1,MONTH(D128)&lt;7,2,MONTH(D128)&lt;10,3,MONTH(D128)&gt;9,4)&amp;"Q"&amp;RIGHT(YEAR(D128),2)</f>
        <v>1Q21</v>
      </c>
      <c r="D128" s="2">
        <f t="shared" si="56"/>
        <v>44227</v>
      </c>
      <c r="E128" s="25">
        <v>44207</v>
      </c>
      <c r="F128" s="26">
        <v>2.176</v>
      </c>
      <c r="G128" s="26">
        <v>4.269</v>
      </c>
      <c r="H128" s="27"/>
      <c r="I128" s="28">
        <f t="shared" si="57"/>
        <v>0.068</v>
      </c>
      <c r="J128" s="28">
        <f t="shared" si="50"/>
        <v>0.066703125</v>
      </c>
      <c r="K128" s="28">
        <f t="shared" si="51"/>
        <v>0</v>
      </c>
      <c r="M128" s="36">
        <f t="shared" si="62"/>
        <v>-0.00366300366300365</v>
      </c>
      <c r="N128" s="36">
        <f t="shared" si="64"/>
        <v>-0.00684618895481504</v>
      </c>
      <c r="O128" s="36">
        <f t="shared" si="65"/>
        <v>-0.00820419325432986</v>
      </c>
      <c r="P128" s="36">
        <f t="shared" si="66"/>
        <v>-0.00140350877192985</v>
      </c>
      <c r="Q128" s="36">
        <f t="shared" si="67"/>
        <v>-0.00466309162975043</v>
      </c>
      <c r="R128" s="36">
        <f t="shared" si="68"/>
        <v>-0.00512701002097415</v>
      </c>
      <c r="S128" s="36"/>
      <c r="T128" s="36"/>
      <c r="U128" s="36"/>
      <c r="W128" s="5" t="str" cm="1">
        <f t="array" ref="W128">_xlfn.IFS(MONTH(X128)&lt;4,1,MONTH(X128)&lt;7,2,MONTH(X128)&lt;10,3,MONTH(X128)&gt;9,4)&amp;"Q"&amp;RIGHT(YEAR(X128),2)</f>
        <v>4Q20</v>
      </c>
      <c r="X128" s="2">
        <f t="shared" si="58"/>
        <v>44196</v>
      </c>
      <c r="Y128" s="25">
        <v>44186</v>
      </c>
      <c r="Z128" s="29">
        <v>21.5</v>
      </c>
      <c r="AD128" s="36">
        <f t="shared" si="63"/>
        <v>0</v>
      </c>
      <c r="AE128" s="36">
        <f t="shared" si="69"/>
        <v>0</v>
      </c>
      <c r="AF128" s="36">
        <f t="shared" si="70"/>
        <v>0</v>
      </c>
      <c r="AJ128" s="5" t="str" cm="1">
        <f t="array" ref="AJ128">_xlfn.IFS(MONTH(AK128)&lt;4,1,MONTH(AK128)&lt;7,2,MONTH(AK128)&lt;10,3,MONTH(AK128)&gt;9,4)&amp;"Q"&amp;RIGHT(YEAR(AK128),2)</f>
        <v>1Q26</v>
      </c>
      <c r="AK128" s="2">
        <f t="shared" si="59"/>
        <v>46081</v>
      </c>
      <c r="AL128" s="50">
        <f t="shared" si="71"/>
        <v>46081</v>
      </c>
      <c r="AM128" s="56">
        <v>10.68</v>
      </c>
      <c r="AN128" s="56">
        <v>19.98</v>
      </c>
      <c r="AO128" s="56">
        <v>25.07</v>
      </c>
      <c r="AP128" s="56">
        <v>24.06</v>
      </c>
      <c r="AQ128" s="36"/>
      <c r="AR128" s="53">
        <f t="shared" si="52"/>
        <v>0.33375</v>
      </c>
      <c r="AS128" s="53">
        <f t="shared" si="74"/>
        <v>0.3121875</v>
      </c>
      <c r="AT128" s="53">
        <f t="shared" si="76"/>
        <v>0.195859375</v>
      </c>
      <c r="AU128" s="53">
        <f t="shared" si="76"/>
        <v>0.18796875</v>
      </c>
      <c r="AV128" s="46">
        <f t="shared" si="77"/>
        <v>0.194630872483222</v>
      </c>
      <c r="AW128" s="46">
        <f t="shared" si="77"/>
        <v>0.237918215613383</v>
      </c>
      <c r="AX128" s="46">
        <f t="shared" si="77"/>
        <v>0.155299539170507</v>
      </c>
      <c r="AY128" s="46">
        <f t="shared" si="77"/>
        <v>0.167961165048544</v>
      </c>
      <c r="BA128" s="25">
        <f t="shared" si="75"/>
        <v>44207</v>
      </c>
      <c r="BB128" s="28">
        <f t="shared" si="75"/>
        <v>2.176</v>
      </c>
      <c r="BC128" s="28">
        <f t="shared" si="53"/>
        <v>2.34</v>
      </c>
      <c r="BD128" s="28">
        <f t="shared" si="60"/>
        <v>4.269</v>
      </c>
      <c r="BE128" s="28">
        <f t="shared" si="54"/>
        <v>4.37</v>
      </c>
      <c r="BF128" s="28"/>
      <c r="BG128" s="28">
        <f t="shared" ref="BG128:BG191" si="80">AVERAGE(BH128:BI128)</f>
        <v>7.92</v>
      </c>
      <c r="BH128" s="28"/>
      <c r="BI128" s="28">
        <f t="shared" si="79"/>
        <v>7.92</v>
      </c>
      <c r="CC128" s="25">
        <f t="shared" si="78"/>
        <v>44186</v>
      </c>
      <c r="CD128" s="29">
        <f t="shared" si="78"/>
        <v>21.5</v>
      </c>
      <c r="CE128" s="29">
        <f t="shared" si="61"/>
        <v>19</v>
      </c>
      <c r="DP128" s="35">
        <v>43658</v>
      </c>
      <c r="DQ128" s="26">
        <v>3.05</v>
      </c>
      <c r="DR128" s="26">
        <v>2.85</v>
      </c>
      <c r="DS128" s="26">
        <v>2.944</v>
      </c>
      <c r="DU128" s="35">
        <v>43658</v>
      </c>
      <c r="DV128" s="26">
        <v>6.15</v>
      </c>
      <c r="DW128" s="26">
        <v>6.05</v>
      </c>
      <c r="DX128" s="26">
        <v>6.11</v>
      </c>
      <c r="DZ128" s="35">
        <v>43658</v>
      </c>
      <c r="EA128" s="26">
        <v>12.6</v>
      </c>
      <c r="EB128" s="26">
        <v>12.5</v>
      </c>
      <c r="EC128" s="26">
        <v>12.55</v>
      </c>
    </row>
    <row r="129" ht="16.8" spans="3:133">
      <c r="C129" s="5" t="str" cm="1">
        <f t="array" ref="C129">_xlfn.IFS(MONTH(D129)&lt;4,1,MONTH(D129)&lt;7,2,MONTH(D129)&lt;10,3,MONTH(D129)&gt;9,4)&amp;"Q"&amp;RIGHT(YEAR(D129),2)</f>
        <v>1Q21</v>
      </c>
      <c r="D129" s="2">
        <f t="shared" si="56"/>
        <v>44227</v>
      </c>
      <c r="E129" s="25">
        <v>44214</v>
      </c>
      <c r="F129" s="26">
        <v>2.174</v>
      </c>
      <c r="G129" s="26">
        <v>4.267</v>
      </c>
      <c r="H129" s="27"/>
      <c r="I129" s="28">
        <f t="shared" si="57"/>
        <v>0.0679375</v>
      </c>
      <c r="J129" s="28">
        <f t="shared" si="50"/>
        <v>0.066671875</v>
      </c>
      <c r="K129" s="28">
        <f t="shared" si="51"/>
        <v>0</v>
      </c>
      <c r="M129" s="36">
        <f t="shared" si="62"/>
        <v>-0.000919117647058876</v>
      </c>
      <c r="N129" s="36">
        <f t="shared" si="64"/>
        <v>-0.00457875457875467</v>
      </c>
      <c r="O129" s="36">
        <f t="shared" si="65"/>
        <v>-0.00775901414879043</v>
      </c>
      <c r="P129" s="36">
        <f t="shared" si="66"/>
        <v>-0.00046849379245717</v>
      </c>
      <c r="Q129" s="36">
        <f t="shared" si="67"/>
        <v>-0.0018713450292398</v>
      </c>
      <c r="R129" s="36">
        <f t="shared" si="68"/>
        <v>-0.00512940079272539</v>
      </c>
      <c r="S129" s="36"/>
      <c r="T129" s="36"/>
      <c r="U129" s="36"/>
      <c r="W129" s="5" t="str" cm="1">
        <f t="array" ref="W129">_xlfn.IFS(MONTH(X129)&lt;4,1,MONTH(X129)&lt;7,2,MONTH(X129)&lt;10,3,MONTH(X129)&gt;9,4)&amp;"Q"&amp;RIGHT(YEAR(X129),2)</f>
        <v>4Q20</v>
      </c>
      <c r="X129" s="2">
        <f t="shared" si="58"/>
        <v>44196</v>
      </c>
      <c r="Y129" s="25">
        <v>44193</v>
      </c>
      <c r="Z129" s="29">
        <v>21.5</v>
      </c>
      <c r="AD129" s="36">
        <f t="shared" si="63"/>
        <v>0</v>
      </c>
      <c r="AE129" s="36">
        <f t="shared" si="69"/>
        <v>0</v>
      </c>
      <c r="AF129" s="36">
        <f t="shared" si="70"/>
        <v>0</v>
      </c>
      <c r="AJ129" s="5" t="str" cm="1">
        <f t="array" ref="AJ129">_xlfn.IFS(MONTH(AK129)&lt;4,1,MONTH(AK129)&lt;7,2,MONTH(AK129)&lt;10,3,MONTH(AK129)&gt;9,4)&amp;"Q"&amp;RIGHT(YEAR(AK129),2)</f>
        <v>1Q26</v>
      </c>
      <c r="AK129" s="2">
        <f t="shared" si="59"/>
        <v>46112</v>
      </c>
      <c r="AL129" s="50">
        <f t="shared" si="71"/>
        <v>46112</v>
      </c>
      <c r="AM129" s="56">
        <v>13.82</v>
      </c>
      <c r="AN129" s="56">
        <v>23.69</v>
      </c>
      <c r="AO129" s="56">
        <v>29.02</v>
      </c>
      <c r="AP129" s="56">
        <v>28.76</v>
      </c>
      <c r="AQ129" s="36"/>
      <c r="AR129" s="53">
        <f t="shared" si="52"/>
        <v>0.431875</v>
      </c>
      <c r="AS129" s="53">
        <f t="shared" si="74"/>
        <v>0.37015625</v>
      </c>
      <c r="AT129" s="53">
        <f t="shared" ref="AT129:AU131" si="81">AO129/1024*8</f>
        <v>0.22671875</v>
      </c>
      <c r="AU129" s="53">
        <f t="shared" si="81"/>
        <v>0.2246875</v>
      </c>
      <c r="AV129" s="46">
        <f t="shared" si="77"/>
        <v>0.294007490636704</v>
      </c>
      <c r="AW129" s="46">
        <f t="shared" si="77"/>
        <v>0.185685685685686</v>
      </c>
      <c r="AX129" s="46">
        <f t="shared" si="77"/>
        <v>0.157558835261268</v>
      </c>
      <c r="AY129" s="46">
        <f t="shared" si="77"/>
        <v>0.195344970906068</v>
      </c>
      <c r="BA129" s="25">
        <f t="shared" si="75"/>
        <v>44214</v>
      </c>
      <c r="BB129" s="28">
        <f t="shared" si="75"/>
        <v>2.174</v>
      </c>
      <c r="BC129" s="28">
        <f t="shared" si="53"/>
        <v>2.34</v>
      </c>
      <c r="BD129" s="28">
        <f t="shared" si="60"/>
        <v>4.267</v>
      </c>
      <c r="BE129" s="28">
        <f t="shared" si="54"/>
        <v>4.37</v>
      </c>
      <c r="BF129" s="28"/>
      <c r="BG129" s="28">
        <f t="shared" si="80"/>
        <v>7.92</v>
      </c>
      <c r="BH129" s="28"/>
      <c r="BI129" s="28">
        <f t="shared" si="79"/>
        <v>7.92</v>
      </c>
      <c r="CC129" s="25">
        <f t="shared" si="78"/>
        <v>44193</v>
      </c>
      <c r="CD129" s="29">
        <f t="shared" si="78"/>
        <v>21.5</v>
      </c>
      <c r="CE129" s="29">
        <f t="shared" si="61"/>
        <v>19</v>
      </c>
      <c r="DP129" s="35">
        <v>43661</v>
      </c>
      <c r="DQ129" s="26">
        <v>3.05</v>
      </c>
      <c r="DR129" s="26">
        <v>2.85</v>
      </c>
      <c r="DS129" s="26">
        <v>2.944</v>
      </c>
      <c r="DU129" s="35">
        <v>43661</v>
      </c>
      <c r="DV129" s="26">
        <v>6.15</v>
      </c>
      <c r="DW129" s="26">
        <v>6.05</v>
      </c>
      <c r="DX129" s="26">
        <v>6.11</v>
      </c>
      <c r="DZ129" s="35">
        <v>43661</v>
      </c>
      <c r="EA129" s="26">
        <v>12.6</v>
      </c>
      <c r="EB129" s="26">
        <v>12.5</v>
      </c>
      <c r="EC129" s="26">
        <v>12.55</v>
      </c>
    </row>
    <row r="130" ht="16.8" spans="3:133">
      <c r="C130" s="5" t="str" cm="1">
        <f t="array" ref="C130">_xlfn.IFS(MONTH(D130)&lt;4,1,MONTH(D130)&lt;7,2,MONTH(D130)&lt;10,3,MONTH(D130)&gt;9,4)&amp;"Q"&amp;RIGHT(YEAR(D130),2)</f>
        <v>1Q21</v>
      </c>
      <c r="D130" s="2">
        <f t="shared" si="56"/>
        <v>44227</v>
      </c>
      <c r="E130" s="25">
        <v>44221</v>
      </c>
      <c r="F130" s="26">
        <v>2.175</v>
      </c>
      <c r="G130" s="26">
        <v>4.267</v>
      </c>
      <c r="H130" s="27"/>
      <c r="I130" s="28">
        <f t="shared" si="57"/>
        <v>0.06796875</v>
      </c>
      <c r="J130" s="28">
        <f t="shared" si="50"/>
        <v>0.066671875</v>
      </c>
      <c r="K130" s="28">
        <f t="shared" si="51"/>
        <v>0</v>
      </c>
      <c r="M130" s="36">
        <f t="shared" si="62"/>
        <v>0.000459981600736015</v>
      </c>
      <c r="N130" s="36">
        <f t="shared" si="64"/>
        <v>-0.000459558823529549</v>
      </c>
      <c r="O130" s="36">
        <f t="shared" si="65"/>
        <v>-0.00412087912087933</v>
      </c>
      <c r="P130" s="36">
        <f t="shared" si="66"/>
        <v>0</v>
      </c>
      <c r="Q130" s="36">
        <f t="shared" si="67"/>
        <v>-0.00046849379245717</v>
      </c>
      <c r="R130" s="36">
        <f t="shared" si="68"/>
        <v>-0.0018713450292398</v>
      </c>
      <c r="S130" s="36"/>
      <c r="T130" s="36"/>
      <c r="U130" s="36"/>
      <c r="W130" s="5" t="str" cm="1">
        <f t="array" ref="W130">_xlfn.IFS(MONTH(X130)&lt;4,1,MONTH(X130)&lt;7,2,MONTH(X130)&lt;10,3,MONTH(X130)&gt;9,4)&amp;"Q"&amp;RIGHT(YEAR(X130),2)</f>
        <v>1Q21</v>
      </c>
      <c r="X130" s="2">
        <f t="shared" si="58"/>
        <v>44227</v>
      </c>
      <c r="Y130" s="25">
        <v>44200</v>
      </c>
      <c r="Z130" s="29">
        <v>21.5</v>
      </c>
      <c r="AD130" s="36">
        <f t="shared" si="63"/>
        <v>0</v>
      </c>
      <c r="AE130" s="36">
        <f t="shared" si="69"/>
        <v>0</v>
      </c>
      <c r="AF130" s="36">
        <f t="shared" si="70"/>
        <v>0</v>
      </c>
      <c r="AJ130" s="5" t="str" cm="1">
        <f t="array" ref="AJ130">_xlfn.IFS(MONTH(AK130)&lt;4,1,MONTH(AK130)&lt;7,2,MONTH(AK130)&lt;10,3,MONTH(AK130)&gt;9,4)&amp;"Q"&amp;RIGHT(YEAR(AK130),2)</f>
        <v>2Q26</v>
      </c>
      <c r="AK130" s="2">
        <f t="shared" si="59"/>
        <v>46142</v>
      </c>
      <c r="AL130" s="50">
        <f t="shared" si="71"/>
        <v>46142</v>
      </c>
      <c r="AM130" s="56">
        <v>14.91</v>
      </c>
      <c r="AN130" s="56">
        <v>24.87</v>
      </c>
      <c r="AO130" s="56">
        <v>30.7</v>
      </c>
      <c r="AP130" s="56">
        <v>29.75</v>
      </c>
      <c r="AQ130" s="36"/>
      <c r="AR130" s="53">
        <f t="shared" si="52"/>
        <v>0.4659375</v>
      </c>
      <c r="AS130" s="53">
        <f t="shared" si="74"/>
        <v>0.38859375</v>
      </c>
      <c r="AT130" s="53">
        <f t="shared" si="81"/>
        <v>0.23984375</v>
      </c>
      <c r="AU130" s="53">
        <f t="shared" si="81"/>
        <v>0.232421875</v>
      </c>
      <c r="AV130" s="46">
        <f t="shared" ref="AV130:AY131" si="82">AR130/AR129-1</f>
        <v>0.0788712011577424</v>
      </c>
      <c r="AW130" s="46">
        <f t="shared" si="82"/>
        <v>0.0498100464330942</v>
      </c>
      <c r="AX130" s="46">
        <f t="shared" si="82"/>
        <v>0.0578911095796002</v>
      </c>
      <c r="AY130" s="46">
        <f t="shared" si="82"/>
        <v>0.0344228094575798</v>
      </c>
      <c r="BA130" s="25">
        <f t="shared" si="75"/>
        <v>44221</v>
      </c>
      <c r="BB130" s="28">
        <f t="shared" si="75"/>
        <v>2.175</v>
      </c>
      <c r="BC130" s="28">
        <f t="shared" si="53"/>
        <v>2.34</v>
      </c>
      <c r="BD130" s="28">
        <f t="shared" si="60"/>
        <v>4.267</v>
      </c>
      <c r="BE130" s="28">
        <f t="shared" si="54"/>
        <v>4.37</v>
      </c>
      <c r="BF130" s="28"/>
      <c r="BG130" s="28">
        <f t="shared" si="80"/>
        <v>7.92</v>
      </c>
      <c r="BH130" s="28"/>
      <c r="BI130" s="28">
        <f t="shared" si="79"/>
        <v>7.92</v>
      </c>
      <c r="CC130" s="25">
        <f t="shared" si="78"/>
        <v>44200</v>
      </c>
      <c r="CD130" s="29">
        <f t="shared" si="78"/>
        <v>21.5</v>
      </c>
      <c r="CE130" s="29">
        <f t="shared" si="61"/>
        <v>19</v>
      </c>
      <c r="DP130" s="35">
        <v>43662</v>
      </c>
      <c r="DQ130" s="26">
        <v>3.05</v>
      </c>
      <c r="DR130" s="26">
        <v>2.85</v>
      </c>
      <c r="DS130" s="26">
        <v>2.944</v>
      </c>
      <c r="DU130" s="35">
        <v>43662</v>
      </c>
      <c r="DV130" s="26">
        <v>6.15</v>
      </c>
      <c r="DW130" s="26">
        <v>6.05</v>
      </c>
      <c r="DX130" s="26">
        <v>6.11</v>
      </c>
      <c r="DZ130" s="35">
        <v>43662</v>
      </c>
      <c r="EA130" s="26">
        <v>12.6</v>
      </c>
      <c r="EB130" s="26">
        <v>12.5</v>
      </c>
      <c r="EC130" s="26">
        <v>12.55</v>
      </c>
    </row>
    <row r="131" ht="16.8" spans="3:133">
      <c r="C131" s="5" t="str" cm="1">
        <f t="array" ref="C131">_xlfn.IFS(MONTH(D131)&lt;4,1,MONTH(D131)&lt;7,2,MONTH(D131)&lt;10,3,MONTH(D131)&gt;9,4)&amp;"Q"&amp;RIGHT(YEAR(D131),2)</f>
        <v>1Q21</v>
      </c>
      <c r="D131" s="2">
        <f t="shared" si="56"/>
        <v>44255</v>
      </c>
      <c r="E131" s="25">
        <v>44228</v>
      </c>
      <c r="F131" s="26">
        <v>2.174</v>
      </c>
      <c r="G131" s="26">
        <v>4.263</v>
      </c>
      <c r="H131" s="27"/>
      <c r="I131" s="28">
        <f t="shared" si="57"/>
        <v>0.0679375</v>
      </c>
      <c r="J131" s="28">
        <f t="shared" si="50"/>
        <v>0.066609375</v>
      </c>
      <c r="K131" s="28">
        <f t="shared" si="51"/>
        <v>0</v>
      </c>
      <c r="M131" s="36">
        <f t="shared" si="62"/>
        <v>-0.00045977011494247</v>
      </c>
      <c r="N131" s="36">
        <f t="shared" si="64"/>
        <v>0</v>
      </c>
      <c r="O131" s="36">
        <f t="shared" si="65"/>
        <v>-0.000919117647058876</v>
      </c>
      <c r="P131" s="36">
        <f t="shared" si="66"/>
        <v>-0.000937426763534255</v>
      </c>
      <c r="Q131" s="36">
        <f t="shared" si="67"/>
        <v>-0.000937426763534255</v>
      </c>
      <c r="R131" s="36">
        <f t="shared" si="68"/>
        <v>-0.00140548137737184</v>
      </c>
      <c r="S131" s="36"/>
      <c r="T131" s="36"/>
      <c r="U131" s="36"/>
      <c r="W131" s="5" t="str" cm="1">
        <f t="array" ref="W131">_xlfn.IFS(MONTH(X131)&lt;4,1,MONTH(X131)&lt;7,2,MONTH(X131)&lt;10,3,MONTH(X131)&gt;9,4)&amp;"Q"&amp;RIGHT(YEAR(X131),2)</f>
        <v>1Q21</v>
      </c>
      <c r="X131" s="2">
        <f t="shared" si="58"/>
        <v>44227</v>
      </c>
      <c r="Y131" s="25">
        <v>44207</v>
      </c>
      <c r="Z131" s="29">
        <v>21.5</v>
      </c>
      <c r="AD131" s="36">
        <f t="shared" si="63"/>
        <v>0</v>
      </c>
      <c r="AE131" s="36">
        <f t="shared" si="69"/>
        <v>0</v>
      </c>
      <c r="AF131" s="36">
        <f t="shared" si="70"/>
        <v>0</v>
      </c>
      <c r="AJ131" s="5" t="str" cm="1">
        <f t="array" ref="AJ131">_xlfn.IFS(MONTH(AK131)&lt;4,1,MONTH(AK131)&lt;7,2,MONTH(AK131)&lt;10,3,MONTH(AK131)&gt;9,4)&amp;"Q"&amp;RIGHT(YEAR(AK131),2)</f>
        <v>2Q26</v>
      </c>
      <c r="AK131" s="2">
        <f t="shared" si="59"/>
        <v>46173</v>
      </c>
      <c r="AL131" s="50">
        <f t="shared" si="71"/>
        <v>46173</v>
      </c>
      <c r="AM131" s="56">
        <v>15.39</v>
      </c>
      <c r="AN131" s="56">
        <v>25.46</v>
      </c>
      <c r="AO131" s="56">
        <v>31.26</v>
      </c>
      <c r="AP131" s="56">
        <v>30.27</v>
      </c>
      <c r="AQ131" s="36"/>
      <c r="AR131" s="53">
        <f t="shared" si="52"/>
        <v>0.4809375</v>
      </c>
      <c r="AS131" s="53">
        <f t="shared" si="74"/>
        <v>0.3978125</v>
      </c>
      <c r="AT131" s="53">
        <f t="shared" si="81"/>
        <v>0.24421875</v>
      </c>
      <c r="AU131" s="53">
        <f t="shared" si="81"/>
        <v>0.236484375</v>
      </c>
      <c r="AV131" s="46">
        <f t="shared" si="82"/>
        <v>0.0321931589537223</v>
      </c>
      <c r="AW131" s="46">
        <f t="shared" si="82"/>
        <v>0.0237233614796943</v>
      </c>
      <c r="AX131" s="46">
        <f t="shared" si="82"/>
        <v>0.018241042345277</v>
      </c>
      <c r="AY131" s="46">
        <f t="shared" si="82"/>
        <v>0.0174789915966387</v>
      </c>
      <c r="BA131" s="25">
        <f t="shared" si="75"/>
        <v>44228</v>
      </c>
      <c r="BB131" s="28">
        <f t="shared" si="75"/>
        <v>2.174</v>
      </c>
      <c r="BC131" s="28">
        <f t="shared" si="53"/>
        <v>2.48</v>
      </c>
      <c r="BD131" s="28">
        <f t="shared" si="60"/>
        <v>4.263</v>
      </c>
      <c r="BE131" s="28">
        <f t="shared" si="54"/>
        <v>4.54</v>
      </c>
      <c r="BF131" s="28"/>
      <c r="BG131" s="28">
        <f t="shared" si="80"/>
        <v>7.96</v>
      </c>
      <c r="BH131" s="28"/>
      <c r="BI131" s="28">
        <f t="shared" si="79"/>
        <v>7.96</v>
      </c>
      <c r="CC131" s="25">
        <f t="shared" si="78"/>
        <v>44207</v>
      </c>
      <c r="CD131" s="29">
        <f t="shared" si="78"/>
        <v>21.5</v>
      </c>
      <c r="CE131" s="29">
        <f t="shared" si="61"/>
        <v>19</v>
      </c>
      <c r="DP131" s="35">
        <v>43663</v>
      </c>
      <c r="DQ131" s="26">
        <v>3.05</v>
      </c>
      <c r="DR131" s="26">
        <v>2.85</v>
      </c>
      <c r="DS131" s="26">
        <v>2.944</v>
      </c>
      <c r="DU131" s="35">
        <v>43663</v>
      </c>
      <c r="DV131" s="26">
        <v>6.15</v>
      </c>
      <c r="DW131" s="26">
        <v>6.05</v>
      </c>
      <c r="DX131" s="26">
        <v>6.11</v>
      </c>
      <c r="DZ131" s="35">
        <v>43663</v>
      </c>
      <c r="EA131" s="26">
        <v>12.6</v>
      </c>
      <c r="EB131" s="26">
        <v>12.5</v>
      </c>
      <c r="EC131" s="26">
        <v>12.55</v>
      </c>
    </row>
    <row r="132" ht="16.8" spans="3:133">
      <c r="C132" s="5" t="str" cm="1">
        <f t="array" ref="C132">_xlfn.IFS(MONTH(D132)&lt;4,1,MONTH(D132)&lt;7,2,MONTH(D132)&lt;10,3,MONTH(D132)&gt;9,4)&amp;"Q"&amp;RIGHT(YEAR(D132),2)</f>
        <v>1Q21</v>
      </c>
      <c r="D132" s="2">
        <f t="shared" si="56"/>
        <v>44255</v>
      </c>
      <c r="E132" s="25">
        <v>44235</v>
      </c>
      <c r="F132" s="26">
        <v>2.174</v>
      </c>
      <c r="G132" s="26">
        <v>4.263</v>
      </c>
      <c r="H132" s="27"/>
      <c r="I132" s="28">
        <f t="shared" si="57"/>
        <v>0.0679375</v>
      </c>
      <c r="J132" s="28">
        <f t="shared" si="50"/>
        <v>0.066609375</v>
      </c>
      <c r="K132" s="28">
        <f t="shared" si="51"/>
        <v>0</v>
      </c>
      <c r="M132" s="36">
        <f t="shared" si="62"/>
        <v>0</v>
      </c>
      <c r="N132" s="36">
        <f t="shared" si="64"/>
        <v>-0.00045977011494247</v>
      </c>
      <c r="O132" s="36">
        <f t="shared" si="65"/>
        <v>0</v>
      </c>
      <c r="P132" s="36">
        <f t="shared" si="66"/>
        <v>0</v>
      </c>
      <c r="Q132" s="36">
        <f t="shared" si="67"/>
        <v>-0.000937426763534255</v>
      </c>
      <c r="R132" s="36">
        <f t="shared" si="68"/>
        <v>-0.000937426763534255</v>
      </c>
      <c r="S132" s="36"/>
      <c r="T132" s="36"/>
      <c r="U132" s="36"/>
      <c r="W132" s="5" t="str" cm="1">
        <f t="array" ref="W132">_xlfn.IFS(MONTH(X132)&lt;4,1,MONTH(X132)&lt;7,2,MONTH(X132)&lt;10,3,MONTH(X132)&gt;9,4)&amp;"Q"&amp;RIGHT(YEAR(X132),2)</f>
        <v>1Q21</v>
      </c>
      <c r="X132" s="2">
        <f t="shared" si="58"/>
        <v>44227</v>
      </c>
      <c r="Y132" s="25">
        <v>44214</v>
      </c>
      <c r="Z132" s="29">
        <v>21.5</v>
      </c>
      <c r="AD132" s="36">
        <f t="shared" si="63"/>
        <v>0</v>
      </c>
      <c r="AE132" s="36">
        <f t="shared" si="69"/>
        <v>0</v>
      </c>
      <c r="AF132" s="36">
        <f t="shared" si="70"/>
        <v>0</v>
      </c>
      <c r="AN132" s="3"/>
      <c r="AO132" s="3"/>
      <c r="AP132" s="3"/>
      <c r="BA132" s="25">
        <f t="shared" si="75"/>
        <v>44235</v>
      </c>
      <c r="BB132" s="28">
        <f t="shared" si="75"/>
        <v>2.174</v>
      </c>
      <c r="BC132" s="28">
        <f t="shared" si="53"/>
        <v>2.48</v>
      </c>
      <c r="BD132" s="28">
        <f t="shared" si="60"/>
        <v>4.263</v>
      </c>
      <c r="BE132" s="28">
        <f t="shared" si="54"/>
        <v>4.54</v>
      </c>
      <c r="BF132" s="28"/>
      <c r="BG132" s="28">
        <f t="shared" si="80"/>
        <v>7.96</v>
      </c>
      <c r="BH132" s="28"/>
      <c r="BI132" s="28">
        <f t="shared" si="79"/>
        <v>7.96</v>
      </c>
      <c r="CC132" s="25">
        <f t="shared" si="78"/>
        <v>44214</v>
      </c>
      <c r="CD132" s="29">
        <f t="shared" si="78"/>
        <v>21.5</v>
      </c>
      <c r="CE132" s="29">
        <f t="shared" si="61"/>
        <v>19</v>
      </c>
      <c r="DP132" s="35">
        <v>43664</v>
      </c>
      <c r="DQ132" s="26">
        <v>3.05</v>
      </c>
      <c r="DR132" s="26">
        <v>2.85</v>
      </c>
      <c r="DS132" s="26">
        <v>2.944</v>
      </c>
      <c r="DU132" s="35">
        <v>43664</v>
      </c>
      <c r="DV132" s="26">
        <v>6.15</v>
      </c>
      <c r="DW132" s="26">
        <v>6.05</v>
      </c>
      <c r="DX132" s="26">
        <v>6.11</v>
      </c>
      <c r="DZ132" s="35">
        <v>43664</v>
      </c>
      <c r="EA132" s="26">
        <v>12.6</v>
      </c>
      <c r="EB132" s="26">
        <v>12.5</v>
      </c>
      <c r="EC132" s="26">
        <v>12.55</v>
      </c>
    </row>
    <row r="133" ht="16.8" spans="3:133">
      <c r="C133" s="5" t="str" cm="1">
        <f t="array" ref="C133">_xlfn.IFS(MONTH(D133)&lt;4,1,MONTH(D133)&lt;7,2,MONTH(D133)&lt;10,3,MONTH(D133)&gt;9,4)&amp;"Q"&amp;RIGHT(YEAR(D133),2)</f>
        <v>1Q21</v>
      </c>
      <c r="D133" s="2">
        <f t="shared" si="56"/>
        <v>44255</v>
      </c>
      <c r="E133" s="25">
        <v>44244</v>
      </c>
      <c r="F133" s="26">
        <v>2.174</v>
      </c>
      <c r="G133" s="26">
        <v>4.263</v>
      </c>
      <c r="H133" s="27"/>
      <c r="I133" s="28">
        <f t="shared" si="57"/>
        <v>0.0679375</v>
      </c>
      <c r="J133" s="28">
        <f t="shared" si="50"/>
        <v>0.066609375</v>
      </c>
      <c r="K133" s="28">
        <f t="shared" si="51"/>
        <v>0</v>
      </c>
      <c r="M133" s="36">
        <f t="shared" si="62"/>
        <v>0</v>
      </c>
      <c r="N133" s="36">
        <f t="shared" si="64"/>
        <v>0</v>
      </c>
      <c r="O133" s="36">
        <f t="shared" si="65"/>
        <v>-0.00045977011494247</v>
      </c>
      <c r="P133" s="36">
        <f t="shared" si="66"/>
        <v>0</v>
      </c>
      <c r="Q133" s="36">
        <f t="shared" si="67"/>
        <v>0</v>
      </c>
      <c r="R133" s="36">
        <f t="shared" si="68"/>
        <v>-0.000937426763534255</v>
      </c>
      <c r="S133" s="36"/>
      <c r="T133" s="36"/>
      <c r="U133" s="36"/>
      <c r="W133" s="5" t="str" cm="1">
        <f t="array" ref="W133">_xlfn.IFS(MONTH(X133)&lt;4,1,MONTH(X133)&lt;7,2,MONTH(X133)&lt;10,3,MONTH(X133)&gt;9,4)&amp;"Q"&amp;RIGHT(YEAR(X133),2)</f>
        <v>1Q21</v>
      </c>
      <c r="X133" s="2">
        <f t="shared" si="58"/>
        <v>44227</v>
      </c>
      <c r="Y133" s="25">
        <v>44221</v>
      </c>
      <c r="Z133" s="29">
        <v>21.5</v>
      </c>
      <c r="AD133" s="36">
        <f t="shared" si="63"/>
        <v>0</v>
      </c>
      <c r="AE133" s="36">
        <f t="shared" si="69"/>
        <v>0</v>
      </c>
      <c r="AF133" s="36">
        <f t="shared" si="70"/>
        <v>0</v>
      </c>
      <c r="BA133" s="25">
        <f t="shared" si="75"/>
        <v>44244</v>
      </c>
      <c r="BB133" s="28">
        <f t="shared" si="75"/>
        <v>2.174</v>
      </c>
      <c r="BC133" s="28">
        <f t="shared" si="53"/>
        <v>2.48</v>
      </c>
      <c r="BD133" s="28">
        <f t="shared" si="60"/>
        <v>4.263</v>
      </c>
      <c r="BE133" s="28">
        <f t="shared" si="54"/>
        <v>4.54</v>
      </c>
      <c r="BF133" s="28"/>
      <c r="BG133" s="28">
        <f t="shared" si="80"/>
        <v>7.96</v>
      </c>
      <c r="BH133" s="28"/>
      <c r="BI133" s="28">
        <f t="shared" si="79"/>
        <v>7.96</v>
      </c>
      <c r="CC133" s="25">
        <f t="shared" si="78"/>
        <v>44221</v>
      </c>
      <c r="CD133" s="29">
        <f t="shared" si="78"/>
        <v>21.5</v>
      </c>
      <c r="CE133" s="29">
        <f t="shared" si="61"/>
        <v>19</v>
      </c>
      <c r="DP133" s="35">
        <v>43665</v>
      </c>
      <c r="DQ133" s="26">
        <v>3.05</v>
      </c>
      <c r="DR133" s="26">
        <v>2.85</v>
      </c>
      <c r="DS133" s="26">
        <v>2.944</v>
      </c>
      <c r="DU133" s="35">
        <v>43665</v>
      </c>
      <c r="DV133" s="26">
        <v>6.15</v>
      </c>
      <c r="DW133" s="26">
        <v>6.05</v>
      </c>
      <c r="DX133" s="26">
        <v>6.11</v>
      </c>
      <c r="DZ133" s="35">
        <v>43665</v>
      </c>
      <c r="EA133" s="26">
        <v>12.6</v>
      </c>
      <c r="EB133" s="26">
        <v>12.5</v>
      </c>
      <c r="EC133" s="26">
        <v>12.55</v>
      </c>
    </row>
    <row r="134" ht="16.8" spans="3:133">
      <c r="C134" s="5" t="str" cm="1">
        <f t="array" ref="C134">_xlfn.IFS(MONTH(D134)&lt;4,1,MONTH(D134)&lt;7,2,MONTH(D134)&lt;10,3,MONTH(D134)&gt;9,4)&amp;"Q"&amp;RIGHT(YEAR(D134),2)</f>
        <v>1Q21</v>
      </c>
      <c r="D134" s="2">
        <f t="shared" si="56"/>
        <v>44255</v>
      </c>
      <c r="E134" s="25">
        <v>44249</v>
      </c>
      <c r="F134" s="26">
        <v>2.174</v>
      </c>
      <c r="G134" s="26">
        <v>4.263</v>
      </c>
      <c r="H134" s="27"/>
      <c r="I134" s="28">
        <f t="shared" si="57"/>
        <v>0.0679375</v>
      </c>
      <c r="J134" s="28">
        <f t="shared" si="50"/>
        <v>0.066609375</v>
      </c>
      <c r="K134" s="28">
        <f t="shared" si="51"/>
        <v>0</v>
      </c>
      <c r="M134" s="36">
        <f t="shared" si="62"/>
        <v>0</v>
      </c>
      <c r="N134" s="36">
        <f t="shared" si="64"/>
        <v>0</v>
      </c>
      <c r="O134" s="36">
        <f t="shared" si="65"/>
        <v>0</v>
      </c>
      <c r="P134" s="36">
        <f t="shared" si="66"/>
        <v>0</v>
      </c>
      <c r="Q134" s="36">
        <f t="shared" si="67"/>
        <v>0</v>
      </c>
      <c r="R134" s="36">
        <f t="shared" si="68"/>
        <v>0</v>
      </c>
      <c r="S134" s="36"/>
      <c r="T134" s="36"/>
      <c r="U134" s="36"/>
      <c r="W134" s="5" t="str" cm="1">
        <f t="array" ref="W134">_xlfn.IFS(MONTH(X134)&lt;4,1,MONTH(X134)&lt;7,2,MONTH(X134)&lt;10,3,MONTH(X134)&gt;9,4)&amp;"Q"&amp;RIGHT(YEAR(X134),2)</f>
        <v>1Q21</v>
      </c>
      <c r="X134" s="2">
        <f t="shared" si="58"/>
        <v>44255</v>
      </c>
      <c r="Y134" s="25">
        <v>44228</v>
      </c>
      <c r="Z134" s="29">
        <v>21.5</v>
      </c>
      <c r="AD134" s="36">
        <f t="shared" si="63"/>
        <v>0</v>
      </c>
      <c r="AE134" s="36">
        <f t="shared" si="69"/>
        <v>0</v>
      </c>
      <c r="AF134" s="36">
        <f t="shared" si="70"/>
        <v>0</v>
      </c>
      <c r="BA134" s="25">
        <f t="shared" si="75"/>
        <v>44249</v>
      </c>
      <c r="BB134" s="28">
        <f t="shared" si="75"/>
        <v>2.174</v>
      </c>
      <c r="BC134" s="28">
        <f t="shared" si="53"/>
        <v>2.48</v>
      </c>
      <c r="BD134" s="28">
        <f t="shared" si="60"/>
        <v>4.263</v>
      </c>
      <c r="BE134" s="28">
        <f t="shared" si="54"/>
        <v>4.54</v>
      </c>
      <c r="BF134" s="28"/>
      <c r="BG134" s="28">
        <f t="shared" si="80"/>
        <v>7.96</v>
      </c>
      <c r="BH134" s="28"/>
      <c r="BI134" s="28">
        <f t="shared" si="79"/>
        <v>7.96</v>
      </c>
      <c r="CC134" s="25">
        <f t="shared" si="78"/>
        <v>44228</v>
      </c>
      <c r="CD134" s="29">
        <f t="shared" si="78"/>
        <v>21.5</v>
      </c>
      <c r="CE134" s="29">
        <f t="shared" si="61"/>
        <v>19</v>
      </c>
      <c r="DP134" s="35">
        <v>43668</v>
      </c>
      <c r="DQ134" s="26">
        <v>3.05</v>
      </c>
      <c r="DR134" s="26">
        <v>2.85</v>
      </c>
      <c r="DS134" s="26">
        <v>2.944</v>
      </c>
      <c r="DU134" s="35">
        <v>43668</v>
      </c>
      <c r="DV134" s="26">
        <v>6.15</v>
      </c>
      <c r="DW134" s="26">
        <v>6.05</v>
      </c>
      <c r="DX134" s="26">
        <v>6.11</v>
      </c>
      <c r="DZ134" s="35">
        <v>43668</v>
      </c>
      <c r="EA134" s="26">
        <v>12.6</v>
      </c>
      <c r="EB134" s="26">
        <v>12.5</v>
      </c>
      <c r="EC134" s="26">
        <v>12.55</v>
      </c>
    </row>
    <row r="135" ht="16.8" spans="3:133">
      <c r="C135" s="5" t="str" cm="1">
        <f t="array" ref="C135">_xlfn.IFS(MONTH(D135)&lt;4,1,MONTH(D135)&lt;7,2,MONTH(D135)&lt;10,3,MONTH(D135)&gt;9,4)&amp;"Q"&amp;RIGHT(YEAR(D135),2)</f>
        <v>1Q21</v>
      </c>
      <c r="D135" s="2">
        <f t="shared" si="56"/>
        <v>44286</v>
      </c>
      <c r="E135" s="25">
        <v>44256</v>
      </c>
      <c r="F135" s="26">
        <v>2.2</v>
      </c>
      <c r="G135" s="26">
        <v>4.301</v>
      </c>
      <c r="H135" s="27"/>
      <c r="I135" s="28">
        <f t="shared" si="57"/>
        <v>0.06875</v>
      </c>
      <c r="J135" s="28">
        <f t="shared" si="50"/>
        <v>0.067203125</v>
      </c>
      <c r="K135" s="28">
        <f t="shared" si="51"/>
        <v>0</v>
      </c>
      <c r="M135" s="36">
        <f t="shared" si="62"/>
        <v>0.0119595216191353</v>
      </c>
      <c r="N135" s="36">
        <f t="shared" si="64"/>
        <v>0.0119595216191353</v>
      </c>
      <c r="O135" s="36">
        <f t="shared" si="65"/>
        <v>0.0119595216191353</v>
      </c>
      <c r="P135" s="36">
        <f t="shared" si="66"/>
        <v>0.00891391039174305</v>
      </c>
      <c r="Q135" s="36">
        <f t="shared" si="67"/>
        <v>0.00891391039174305</v>
      </c>
      <c r="R135" s="36">
        <f t="shared" si="68"/>
        <v>0.00891391039174305</v>
      </c>
      <c r="S135" s="36"/>
      <c r="T135" s="36"/>
      <c r="U135" s="36"/>
      <c r="W135" s="5" t="str" cm="1">
        <f t="array" ref="W135">_xlfn.IFS(MONTH(X135)&lt;4,1,MONTH(X135)&lt;7,2,MONTH(X135)&lt;10,3,MONTH(X135)&gt;9,4)&amp;"Q"&amp;RIGHT(YEAR(X135),2)</f>
        <v>1Q21</v>
      </c>
      <c r="X135" s="2">
        <f t="shared" si="58"/>
        <v>44255</v>
      </c>
      <c r="Y135" s="25">
        <v>44235</v>
      </c>
      <c r="Z135" s="29">
        <v>21.5</v>
      </c>
      <c r="AD135" s="36">
        <f t="shared" si="63"/>
        <v>0</v>
      </c>
      <c r="AE135" s="36">
        <f t="shared" si="69"/>
        <v>0</v>
      </c>
      <c r="AF135" s="36">
        <f t="shared" si="70"/>
        <v>0</v>
      </c>
      <c r="BA135" s="25">
        <f t="shared" si="75"/>
        <v>44256</v>
      </c>
      <c r="BB135" s="28">
        <f t="shared" si="75"/>
        <v>2.2</v>
      </c>
      <c r="BC135" s="28">
        <f t="shared" si="53"/>
        <v>2.52</v>
      </c>
      <c r="BD135" s="28">
        <f t="shared" si="60"/>
        <v>4.301</v>
      </c>
      <c r="BE135" s="28">
        <f t="shared" si="54"/>
        <v>4.59</v>
      </c>
      <c r="BF135" s="28"/>
      <c r="BG135" s="28">
        <f t="shared" si="80"/>
        <v>7.96</v>
      </c>
      <c r="BH135" s="28"/>
      <c r="BI135" s="28">
        <f t="shared" si="79"/>
        <v>7.96</v>
      </c>
      <c r="CC135" s="25">
        <f t="shared" si="78"/>
        <v>44235</v>
      </c>
      <c r="CD135" s="29">
        <f t="shared" si="78"/>
        <v>21.5</v>
      </c>
      <c r="CE135" s="29">
        <f t="shared" si="61"/>
        <v>19</v>
      </c>
      <c r="DP135" s="35">
        <v>43669</v>
      </c>
      <c r="DQ135" s="26">
        <v>3.05</v>
      </c>
      <c r="DR135" s="26">
        <v>2.85</v>
      </c>
      <c r="DS135" s="26">
        <v>2.944</v>
      </c>
      <c r="DU135" s="35">
        <v>43669</v>
      </c>
      <c r="DV135" s="26">
        <v>6.15</v>
      </c>
      <c r="DW135" s="26">
        <v>6.05</v>
      </c>
      <c r="DX135" s="26">
        <v>6.11</v>
      </c>
      <c r="DZ135" s="35">
        <v>43669</v>
      </c>
      <c r="EA135" s="26">
        <v>12.6</v>
      </c>
      <c r="EB135" s="26">
        <v>12.5</v>
      </c>
      <c r="EC135" s="26">
        <v>12.55</v>
      </c>
    </row>
    <row r="136" ht="16.8" spans="3:133">
      <c r="C136" s="5" t="str" cm="1">
        <f t="array" ref="C136">_xlfn.IFS(MONTH(D136)&lt;4,1,MONTH(D136)&lt;7,2,MONTH(D136)&lt;10,3,MONTH(D136)&gt;9,4)&amp;"Q"&amp;RIGHT(YEAR(D136),2)</f>
        <v>1Q21</v>
      </c>
      <c r="D136" s="2">
        <f t="shared" si="56"/>
        <v>44286</v>
      </c>
      <c r="E136" s="25">
        <v>44263</v>
      </c>
      <c r="F136" s="26">
        <v>2.221</v>
      </c>
      <c r="G136" s="26">
        <v>4.353</v>
      </c>
      <c r="H136" s="27"/>
      <c r="I136" s="28">
        <f t="shared" si="57"/>
        <v>0.06940625</v>
      </c>
      <c r="J136" s="28">
        <f t="shared" si="50"/>
        <v>0.068015625</v>
      </c>
      <c r="K136" s="28">
        <f t="shared" si="51"/>
        <v>0</v>
      </c>
      <c r="M136" s="36">
        <f t="shared" si="62"/>
        <v>0.00954545454545452</v>
      </c>
      <c r="N136" s="36">
        <f t="shared" si="64"/>
        <v>0.0216191352345907</v>
      </c>
      <c r="O136" s="36">
        <f t="shared" si="65"/>
        <v>0.0216191352345907</v>
      </c>
      <c r="P136" s="36">
        <f t="shared" si="66"/>
        <v>0.0120902115787025</v>
      </c>
      <c r="Q136" s="36">
        <f t="shared" si="67"/>
        <v>0.0211118930330754</v>
      </c>
      <c r="R136" s="36">
        <f t="shared" si="68"/>
        <v>0.0211118930330754</v>
      </c>
      <c r="S136" s="36"/>
      <c r="T136" s="36"/>
      <c r="U136" s="36"/>
      <c r="W136" s="5" t="str" cm="1">
        <f t="array" ref="W136">_xlfn.IFS(MONTH(X136)&lt;4,1,MONTH(X136)&lt;7,2,MONTH(X136)&lt;10,3,MONTH(X136)&gt;9,4)&amp;"Q"&amp;RIGHT(YEAR(X136),2)</f>
        <v>1Q21</v>
      </c>
      <c r="X136" s="2">
        <f t="shared" si="58"/>
        <v>44255</v>
      </c>
      <c r="Y136" s="25">
        <v>44244</v>
      </c>
      <c r="Z136" s="29">
        <v>21.5</v>
      </c>
      <c r="AD136" s="36">
        <f t="shared" si="63"/>
        <v>0</v>
      </c>
      <c r="AE136" s="36">
        <f t="shared" si="69"/>
        <v>0</v>
      </c>
      <c r="AF136" s="36">
        <f t="shared" si="70"/>
        <v>0</v>
      </c>
      <c r="BA136" s="25">
        <f t="shared" si="75"/>
        <v>44263</v>
      </c>
      <c r="BB136" s="28">
        <f t="shared" si="75"/>
        <v>2.221</v>
      </c>
      <c r="BC136" s="28">
        <f t="shared" si="53"/>
        <v>2.52</v>
      </c>
      <c r="BD136" s="28">
        <f t="shared" si="60"/>
        <v>4.353</v>
      </c>
      <c r="BE136" s="28">
        <f t="shared" si="54"/>
        <v>4.59</v>
      </c>
      <c r="BF136" s="28"/>
      <c r="BG136" s="28">
        <f t="shared" si="80"/>
        <v>7.96</v>
      </c>
      <c r="BH136" s="28"/>
      <c r="BI136" s="28">
        <f t="shared" si="79"/>
        <v>7.96</v>
      </c>
      <c r="CC136" s="25">
        <f t="shared" si="78"/>
        <v>44244</v>
      </c>
      <c r="CD136" s="29">
        <f t="shared" si="78"/>
        <v>21.5</v>
      </c>
      <c r="CE136" s="29">
        <f t="shared" si="61"/>
        <v>19</v>
      </c>
      <c r="DP136" s="35">
        <v>43670</v>
      </c>
      <c r="DQ136" s="26">
        <v>3.05</v>
      </c>
      <c r="DR136" s="26">
        <v>2.85</v>
      </c>
      <c r="DS136" s="26">
        <v>2.944</v>
      </c>
      <c r="DU136" s="35">
        <v>43670</v>
      </c>
      <c r="DV136" s="26">
        <v>6.15</v>
      </c>
      <c r="DW136" s="26">
        <v>6.05</v>
      </c>
      <c r="DX136" s="26">
        <v>6.11</v>
      </c>
      <c r="DZ136" s="35">
        <v>43670</v>
      </c>
      <c r="EA136" s="26">
        <v>12.6</v>
      </c>
      <c r="EB136" s="26">
        <v>12.5</v>
      </c>
      <c r="EC136" s="26">
        <v>12.55</v>
      </c>
    </row>
    <row r="137" ht="16.8" spans="3:133">
      <c r="C137" s="5" t="str" cm="1">
        <f t="array" ref="C137">_xlfn.IFS(MONTH(D137)&lt;4,1,MONTH(D137)&lt;7,2,MONTH(D137)&lt;10,3,MONTH(D137)&gt;9,4)&amp;"Q"&amp;RIGHT(YEAR(D137),2)</f>
        <v>1Q21</v>
      </c>
      <c r="D137" s="2">
        <f t="shared" si="56"/>
        <v>44286</v>
      </c>
      <c r="E137" s="25">
        <v>44270</v>
      </c>
      <c r="F137" s="26">
        <v>2.285</v>
      </c>
      <c r="G137" s="26">
        <v>4.445</v>
      </c>
      <c r="H137" s="27"/>
      <c r="I137" s="28">
        <f t="shared" si="57"/>
        <v>0.07140625</v>
      </c>
      <c r="J137" s="28">
        <f t="shared" si="50"/>
        <v>0.069453125</v>
      </c>
      <c r="K137" s="28">
        <f t="shared" si="51"/>
        <v>0</v>
      </c>
      <c r="M137" s="36">
        <f t="shared" si="62"/>
        <v>0.0288158487167942</v>
      </c>
      <c r="N137" s="36">
        <f t="shared" si="64"/>
        <v>0.0386363636363636</v>
      </c>
      <c r="O137" s="36">
        <f t="shared" si="65"/>
        <v>0.0510579576816927</v>
      </c>
      <c r="P137" s="36">
        <f t="shared" si="66"/>
        <v>0.0211348495290606</v>
      </c>
      <c r="Q137" s="36">
        <f t="shared" si="67"/>
        <v>0.0334805859102534</v>
      </c>
      <c r="R137" s="36">
        <f t="shared" si="68"/>
        <v>0.0426929392446636</v>
      </c>
      <c r="S137" s="36"/>
      <c r="T137" s="36"/>
      <c r="U137" s="36"/>
      <c r="W137" s="5" t="str" cm="1">
        <f t="array" ref="W137">_xlfn.IFS(MONTH(X137)&lt;4,1,MONTH(X137)&lt;7,2,MONTH(X137)&lt;10,3,MONTH(X137)&gt;9,4)&amp;"Q"&amp;RIGHT(YEAR(X137),2)</f>
        <v>1Q21</v>
      </c>
      <c r="X137" s="2">
        <f t="shared" si="58"/>
        <v>44255</v>
      </c>
      <c r="Y137" s="25">
        <v>44249</v>
      </c>
      <c r="Z137" s="29">
        <v>21.5</v>
      </c>
      <c r="AD137" s="36">
        <f t="shared" si="63"/>
        <v>0</v>
      </c>
      <c r="AE137" s="36">
        <f t="shared" si="69"/>
        <v>0</v>
      </c>
      <c r="AF137" s="36">
        <f t="shared" si="70"/>
        <v>0</v>
      </c>
      <c r="BA137" s="25">
        <f t="shared" si="75"/>
        <v>44270</v>
      </c>
      <c r="BB137" s="28">
        <f t="shared" si="75"/>
        <v>2.285</v>
      </c>
      <c r="BC137" s="28">
        <f t="shared" si="53"/>
        <v>2.52</v>
      </c>
      <c r="BD137" s="28">
        <f t="shared" si="60"/>
        <v>4.445</v>
      </c>
      <c r="BE137" s="28">
        <f t="shared" si="54"/>
        <v>4.59</v>
      </c>
      <c r="BF137" s="28"/>
      <c r="BG137" s="28">
        <f t="shared" si="80"/>
        <v>7.96</v>
      </c>
      <c r="BH137" s="28"/>
      <c r="BI137" s="28">
        <f t="shared" si="79"/>
        <v>7.96</v>
      </c>
      <c r="CC137" s="25">
        <f t="shared" si="78"/>
        <v>44249</v>
      </c>
      <c r="CD137" s="29">
        <f t="shared" si="78"/>
        <v>21.5</v>
      </c>
      <c r="CE137" s="29">
        <f t="shared" si="61"/>
        <v>19</v>
      </c>
      <c r="DP137" s="35">
        <v>43671</v>
      </c>
      <c r="DQ137" s="26">
        <v>3.05</v>
      </c>
      <c r="DR137" s="26">
        <v>2.85</v>
      </c>
      <c r="DS137" s="26">
        <v>2.944</v>
      </c>
      <c r="DU137" s="35">
        <v>43671</v>
      </c>
      <c r="DV137" s="26">
        <v>6.15</v>
      </c>
      <c r="DW137" s="26">
        <v>6.05</v>
      </c>
      <c r="DX137" s="26">
        <v>6.11</v>
      </c>
      <c r="DZ137" s="35">
        <v>43671</v>
      </c>
      <c r="EA137" s="26">
        <v>12.6</v>
      </c>
      <c r="EB137" s="26">
        <v>12.5</v>
      </c>
      <c r="EC137" s="26">
        <v>12.55</v>
      </c>
    </row>
    <row r="138" ht="16.8" spans="3:133">
      <c r="C138" s="5" t="str" cm="1">
        <f t="array" ref="C138">_xlfn.IFS(MONTH(D138)&lt;4,1,MONTH(D138)&lt;7,2,MONTH(D138)&lt;10,3,MONTH(D138)&gt;9,4)&amp;"Q"&amp;RIGHT(YEAR(D138),2)</f>
        <v>1Q21</v>
      </c>
      <c r="D138" s="2">
        <f t="shared" si="56"/>
        <v>44286</v>
      </c>
      <c r="E138" s="25">
        <v>44277</v>
      </c>
      <c r="F138" s="26">
        <v>2.321</v>
      </c>
      <c r="G138" s="26">
        <v>4.508</v>
      </c>
      <c r="H138" s="27"/>
      <c r="I138" s="28">
        <f t="shared" si="57"/>
        <v>0.07253125</v>
      </c>
      <c r="J138" s="28">
        <f t="shared" si="50"/>
        <v>0.0704375</v>
      </c>
      <c r="K138" s="28">
        <f t="shared" si="51"/>
        <v>0</v>
      </c>
      <c r="M138" s="36">
        <f t="shared" si="62"/>
        <v>0.0157549234135668</v>
      </c>
      <c r="N138" s="36">
        <f t="shared" si="64"/>
        <v>0.045024763619991</v>
      </c>
      <c r="O138" s="36">
        <f t="shared" si="65"/>
        <v>0.0549999999999999</v>
      </c>
      <c r="P138" s="36">
        <f t="shared" si="66"/>
        <v>0.0141732283464566</v>
      </c>
      <c r="Q138" s="36">
        <f t="shared" si="67"/>
        <v>0.0356076269239605</v>
      </c>
      <c r="R138" s="36">
        <f t="shared" si="68"/>
        <v>0.0481283422459893</v>
      </c>
      <c r="S138" s="36"/>
      <c r="T138" s="36"/>
      <c r="U138" s="36"/>
      <c r="W138" s="5" t="str" cm="1">
        <f t="array" ref="W138">_xlfn.IFS(MONTH(X138)&lt;4,1,MONTH(X138)&lt;7,2,MONTH(X138)&lt;10,3,MONTH(X138)&gt;9,4)&amp;"Q"&amp;RIGHT(YEAR(X138),2)</f>
        <v>1Q21</v>
      </c>
      <c r="X138" s="2">
        <f t="shared" si="58"/>
        <v>44286</v>
      </c>
      <c r="Y138" s="25">
        <v>44256</v>
      </c>
      <c r="Z138" s="29">
        <v>21.5</v>
      </c>
      <c r="AD138" s="36">
        <f t="shared" si="63"/>
        <v>0</v>
      </c>
      <c r="AE138" s="36">
        <f t="shared" si="69"/>
        <v>0</v>
      </c>
      <c r="AF138" s="36">
        <f t="shared" si="70"/>
        <v>0</v>
      </c>
      <c r="BA138" s="25">
        <f t="shared" si="75"/>
        <v>44277</v>
      </c>
      <c r="BB138" s="28">
        <f t="shared" si="75"/>
        <v>2.321</v>
      </c>
      <c r="BC138" s="28">
        <f t="shared" si="53"/>
        <v>2.52</v>
      </c>
      <c r="BD138" s="28">
        <f t="shared" si="60"/>
        <v>4.508</v>
      </c>
      <c r="BE138" s="28">
        <f t="shared" si="54"/>
        <v>4.59</v>
      </c>
      <c r="BF138" s="28"/>
      <c r="BG138" s="28">
        <f t="shared" si="80"/>
        <v>7.96</v>
      </c>
      <c r="BH138" s="28"/>
      <c r="BI138" s="28">
        <f t="shared" si="79"/>
        <v>7.96</v>
      </c>
      <c r="CC138" s="25">
        <f t="shared" si="78"/>
        <v>44256</v>
      </c>
      <c r="CD138" s="29">
        <f t="shared" si="78"/>
        <v>21.5</v>
      </c>
      <c r="CE138" s="29">
        <f t="shared" si="61"/>
        <v>19</v>
      </c>
      <c r="DP138" s="35">
        <v>43672</v>
      </c>
      <c r="DQ138" s="26">
        <v>3.05</v>
      </c>
      <c r="DR138" s="26">
        <v>2.85</v>
      </c>
      <c r="DS138" s="26">
        <v>2.956</v>
      </c>
      <c r="DU138" s="35">
        <v>43672</v>
      </c>
      <c r="DV138" s="26">
        <v>6.15</v>
      </c>
      <c r="DW138" s="26">
        <v>6.05</v>
      </c>
      <c r="DX138" s="26">
        <v>6.115</v>
      </c>
      <c r="DZ138" s="35">
        <v>43672</v>
      </c>
      <c r="EA138" s="26">
        <v>12.6</v>
      </c>
      <c r="EB138" s="26">
        <v>12.5</v>
      </c>
      <c r="EC138" s="26">
        <v>12.55</v>
      </c>
    </row>
    <row r="139" ht="16.8" spans="3:133">
      <c r="C139" s="5" t="str" cm="1">
        <f t="array" ref="C139">_xlfn.IFS(MONTH(D139)&lt;4,1,MONTH(D139)&lt;7,2,MONTH(D139)&lt;10,3,MONTH(D139)&gt;9,4)&amp;"Q"&amp;RIGHT(YEAR(D139),2)</f>
        <v>1Q21</v>
      </c>
      <c r="D139" s="2">
        <f t="shared" si="56"/>
        <v>44286</v>
      </c>
      <c r="E139" s="25">
        <v>44284</v>
      </c>
      <c r="F139" s="26">
        <v>2.319</v>
      </c>
      <c r="G139" s="26">
        <v>4.504</v>
      </c>
      <c r="H139" s="27"/>
      <c r="I139" s="28">
        <f t="shared" si="57"/>
        <v>0.07246875</v>
      </c>
      <c r="J139" s="28">
        <f t="shared" si="50"/>
        <v>0.070375</v>
      </c>
      <c r="K139" s="28">
        <f t="shared" si="51"/>
        <v>0</v>
      </c>
      <c r="M139" s="36">
        <f t="shared" si="62"/>
        <v>-0.000861697544162099</v>
      </c>
      <c r="N139" s="36">
        <f t="shared" si="64"/>
        <v>0.0148796498905908</v>
      </c>
      <c r="O139" s="36">
        <f t="shared" si="65"/>
        <v>0.0441242683475911</v>
      </c>
      <c r="P139" s="36">
        <f t="shared" si="66"/>
        <v>-0.000887311446317707</v>
      </c>
      <c r="Q139" s="36">
        <f t="shared" si="67"/>
        <v>0.0132733408323957</v>
      </c>
      <c r="R139" s="36">
        <f t="shared" si="68"/>
        <v>0.0346887204226969</v>
      </c>
      <c r="S139" s="36"/>
      <c r="T139" s="36"/>
      <c r="U139" s="36"/>
      <c r="W139" s="5" t="str" cm="1">
        <f t="array" ref="W139">_xlfn.IFS(MONTH(X139)&lt;4,1,MONTH(X139)&lt;7,2,MONTH(X139)&lt;10,3,MONTH(X139)&gt;9,4)&amp;"Q"&amp;RIGHT(YEAR(X139),2)</f>
        <v>1Q21</v>
      </c>
      <c r="X139" s="2">
        <f t="shared" si="58"/>
        <v>44286</v>
      </c>
      <c r="Y139" s="25">
        <v>44263</v>
      </c>
      <c r="Z139" s="29">
        <v>21.5</v>
      </c>
      <c r="AD139" s="36">
        <f t="shared" si="63"/>
        <v>0</v>
      </c>
      <c r="AE139" s="36">
        <f t="shared" si="69"/>
        <v>0</v>
      </c>
      <c r="AF139" s="36">
        <f t="shared" si="70"/>
        <v>0</v>
      </c>
      <c r="BA139" s="25">
        <f t="shared" si="75"/>
        <v>44284</v>
      </c>
      <c r="BB139" s="28">
        <f t="shared" si="75"/>
        <v>2.319</v>
      </c>
      <c r="BC139" s="28">
        <f t="shared" si="53"/>
        <v>2.52</v>
      </c>
      <c r="BD139" s="28">
        <f t="shared" si="60"/>
        <v>4.504</v>
      </c>
      <c r="BE139" s="28">
        <f t="shared" si="54"/>
        <v>4.59</v>
      </c>
      <c r="BF139" s="28"/>
      <c r="BG139" s="28">
        <f t="shared" si="80"/>
        <v>7.96</v>
      </c>
      <c r="BH139" s="28"/>
      <c r="BI139" s="28">
        <f t="shared" si="79"/>
        <v>7.96</v>
      </c>
      <c r="CC139" s="25">
        <f t="shared" si="78"/>
        <v>44263</v>
      </c>
      <c r="CD139" s="29">
        <f t="shared" si="78"/>
        <v>21.5</v>
      </c>
      <c r="CE139" s="29">
        <f t="shared" si="61"/>
        <v>19</v>
      </c>
      <c r="DP139" s="35">
        <v>43675</v>
      </c>
      <c r="DQ139" s="26">
        <v>3.05</v>
      </c>
      <c r="DR139" s="26">
        <v>2.85</v>
      </c>
      <c r="DS139" s="26">
        <v>2.956</v>
      </c>
      <c r="DU139" s="35">
        <v>43675</v>
      </c>
      <c r="DV139" s="26">
        <v>6.15</v>
      </c>
      <c r="DW139" s="26">
        <v>6.05</v>
      </c>
      <c r="DX139" s="26">
        <v>6.115</v>
      </c>
      <c r="DZ139" s="35">
        <v>43675</v>
      </c>
      <c r="EA139" s="26">
        <v>12.6</v>
      </c>
      <c r="EB139" s="26">
        <v>12.5</v>
      </c>
      <c r="EC139" s="26">
        <v>12.55</v>
      </c>
    </row>
    <row r="140" ht="16.8" spans="3:133">
      <c r="C140" s="5" t="str" cm="1">
        <f t="array" ref="C140">_xlfn.IFS(MONTH(D140)&lt;4,1,MONTH(D140)&lt;7,2,MONTH(D140)&lt;10,3,MONTH(D140)&gt;9,4)&amp;"Q"&amp;RIGHT(YEAR(D140),2)</f>
        <v>2Q21</v>
      </c>
      <c r="D140" s="2">
        <f t="shared" si="56"/>
        <v>44316</v>
      </c>
      <c r="E140" s="25">
        <v>44292</v>
      </c>
      <c r="F140" s="26">
        <v>2.318</v>
      </c>
      <c r="G140" s="26">
        <v>4.5</v>
      </c>
      <c r="H140" s="27"/>
      <c r="I140" s="28">
        <f t="shared" si="57"/>
        <v>0.0724375</v>
      </c>
      <c r="J140" s="28">
        <f t="shared" si="50"/>
        <v>0.0703125</v>
      </c>
      <c r="K140" s="28">
        <f t="shared" si="51"/>
        <v>0</v>
      </c>
      <c r="M140" s="36">
        <f t="shared" si="62"/>
        <v>-0.000431220353600659</v>
      </c>
      <c r="N140" s="36">
        <f t="shared" si="64"/>
        <v>-0.00129254631624309</v>
      </c>
      <c r="O140" s="36">
        <f t="shared" si="65"/>
        <v>0.0144420131291028</v>
      </c>
      <c r="P140" s="36">
        <f t="shared" si="66"/>
        <v>-0.000888099467140191</v>
      </c>
      <c r="Q140" s="36">
        <f t="shared" si="67"/>
        <v>-0.0017746228926353</v>
      </c>
      <c r="R140" s="36">
        <f t="shared" si="68"/>
        <v>0.0123734533183351</v>
      </c>
      <c r="S140" s="36"/>
      <c r="T140" s="36"/>
      <c r="U140" s="36"/>
      <c r="W140" s="5" t="str" cm="1">
        <f t="array" ref="W140">_xlfn.IFS(MONTH(X140)&lt;4,1,MONTH(X140)&lt;7,2,MONTH(X140)&lt;10,3,MONTH(X140)&gt;9,4)&amp;"Q"&amp;RIGHT(YEAR(X140),2)</f>
        <v>1Q21</v>
      </c>
      <c r="X140" s="2">
        <f t="shared" si="58"/>
        <v>44286</v>
      </c>
      <c r="Y140" s="25">
        <v>44270</v>
      </c>
      <c r="Z140" s="29">
        <v>21.5</v>
      </c>
      <c r="AD140" s="36">
        <f t="shared" si="63"/>
        <v>0</v>
      </c>
      <c r="AE140" s="36">
        <f t="shared" si="69"/>
        <v>0</v>
      </c>
      <c r="AF140" s="36">
        <f t="shared" si="70"/>
        <v>0</v>
      </c>
      <c r="BA140" s="25">
        <f t="shared" si="75"/>
        <v>44292</v>
      </c>
      <c r="BB140" s="28">
        <f t="shared" si="75"/>
        <v>2.318</v>
      </c>
      <c r="BC140" s="28">
        <f t="shared" si="53"/>
        <v>2.58</v>
      </c>
      <c r="BD140" s="28">
        <f t="shared" si="60"/>
        <v>4.5</v>
      </c>
      <c r="BE140" s="28">
        <f t="shared" si="54"/>
        <v>4.65</v>
      </c>
      <c r="BF140" s="28"/>
      <c r="BG140" s="28">
        <f t="shared" si="80"/>
        <v>8.15</v>
      </c>
      <c r="BH140" s="28"/>
      <c r="BI140" s="28">
        <f t="shared" si="79"/>
        <v>8.15</v>
      </c>
      <c r="CC140" s="25">
        <f t="shared" si="78"/>
        <v>44270</v>
      </c>
      <c r="CD140" s="29">
        <f t="shared" si="78"/>
        <v>21.5</v>
      </c>
      <c r="CE140" s="29">
        <f t="shared" si="61"/>
        <v>19</v>
      </c>
      <c r="DP140" s="35">
        <v>43676</v>
      </c>
      <c r="DQ140" s="26">
        <v>3.05</v>
      </c>
      <c r="DR140" s="26">
        <v>2.85</v>
      </c>
      <c r="DS140" s="26">
        <v>2.956</v>
      </c>
      <c r="DU140" s="35">
        <v>43676</v>
      </c>
      <c r="DV140" s="26">
        <v>6.15</v>
      </c>
      <c r="DW140" s="26">
        <v>6.05</v>
      </c>
      <c r="DX140" s="26">
        <v>6.115</v>
      </c>
      <c r="DZ140" s="35">
        <v>43676</v>
      </c>
      <c r="EA140" s="26">
        <v>12.6</v>
      </c>
      <c r="EB140" s="26">
        <v>12.5</v>
      </c>
      <c r="EC140" s="26">
        <v>12.55</v>
      </c>
    </row>
    <row r="141" ht="16.8" spans="3:133">
      <c r="C141" s="5" t="str" cm="1">
        <f t="array" ref="C141">_xlfn.IFS(MONTH(D141)&lt;4,1,MONTH(D141)&lt;7,2,MONTH(D141)&lt;10,3,MONTH(D141)&gt;9,4)&amp;"Q"&amp;RIGHT(YEAR(D141),2)</f>
        <v>2Q21</v>
      </c>
      <c r="D141" s="2">
        <f t="shared" si="56"/>
        <v>44316</v>
      </c>
      <c r="E141" s="25">
        <v>44298</v>
      </c>
      <c r="F141" s="26">
        <v>2.303</v>
      </c>
      <c r="G141" s="26">
        <v>4.486</v>
      </c>
      <c r="H141" s="27"/>
      <c r="I141" s="28">
        <f t="shared" si="57"/>
        <v>0.07196875</v>
      </c>
      <c r="J141" s="28">
        <f t="shared" si="50"/>
        <v>0.07009375</v>
      </c>
      <c r="K141" s="28">
        <f t="shared" si="51"/>
        <v>0</v>
      </c>
      <c r="M141" s="36">
        <f t="shared" si="62"/>
        <v>-0.00647109577221749</v>
      </c>
      <c r="N141" s="36">
        <f t="shared" si="64"/>
        <v>-0.00689952565761109</v>
      </c>
      <c r="O141" s="36">
        <f t="shared" si="65"/>
        <v>-0.00775527789745811</v>
      </c>
      <c r="P141" s="36">
        <f t="shared" si="66"/>
        <v>-0.00311111111111118</v>
      </c>
      <c r="Q141" s="36">
        <f t="shared" si="67"/>
        <v>-0.00399644760213136</v>
      </c>
      <c r="R141" s="36">
        <f t="shared" si="68"/>
        <v>-0.00488021295474717</v>
      </c>
      <c r="S141" s="36"/>
      <c r="T141" s="36"/>
      <c r="U141" s="36"/>
      <c r="W141" s="5" t="str" cm="1">
        <f t="array" ref="W141">_xlfn.IFS(MONTH(X141)&lt;4,1,MONTH(X141)&lt;7,2,MONTH(X141)&lt;10,3,MONTH(X141)&gt;9,4)&amp;"Q"&amp;RIGHT(YEAR(X141),2)</f>
        <v>1Q21</v>
      </c>
      <c r="X141" s="2">
        <f t="shared" si="58"/>
        <v>44286</v>
      </c>
      <c r="Y141" s="25">
        <v>44277</v>
      </c>
      <c r="Z141" s="29">
        <v>21.976</v>
      </c>
      <c r="AD141" s="36">
        <f t="shared" si="63"/>
        <v>0.0221395348837208</v>
      </c>
      <c r="AE141" s="36">
        <f t="shared" si="69"/>
        <v>0.0221395348837208</v>
      </c>
      <c r="AF141" s="36">
        <f t="shared" si="70"/>
        <v>0.0221395348837208</v>
      </c>
      <c r="BA141" s="25">
        <f t="shared" si="75"/>
        <v>44298</v>
      </c>
      <c r="BB141" s="28">
        <f t="shared" si="75"/>
        <v>2.303</v>
      </c>
      <c r="BC141" s="28">
        <f t="shared" si="53"/>
        <v>2.58</v>
      </c>
      <c r="BD141" s="28">
        <f t="shared" si="60"/>
        <v>4.486</v>
      </c>
      <c r="BE141" s="28">
        <f t="shared" si="54"/>
        <v>4.65</v>
      </c>
      <c r="BF141" s="28"/>
      <c r="BG141" s="28">
        <f t="shared" si="80"/>
        <v>8.15</v>
      </c>
      <c r="BH141" s="28"/>
      <c r="BI141" s="28">
        <f t="shared" si="79"/>
        <v>8.15</v>
      </c>
      <c r="CC141" s="25">
        <f t="shared" si="78"/>
        <v>44277</v>
      </c>
      <c r="CD141" s="29">
        <f t="shared" si="78"/>
        <v>21.976</v>
      </c>
      <c r="CE141" s="29">
        <f t="shared" si="61"/>
        <v>19</v>
      </c>
      <c r="DP141" s="35">
        <v>43677</v>
      </c>
      <c r="DQ141" s="26">
        <v>3.05</v>
      </c>
      <c r="DR141" s="26">
        <v>2.85</v>
      </c>
      <c r="DS141" s="26">
        <v>2.956</v>
      </c>
      <c r="DU141" s="35">
        <v>43677</v>
      </c>
      <c r="DV141" s="26">
        <v>6.15</v>
      </c>
      <c r="DW141" s="26">
        <v>6.05</v>
      </c>
      <c r="DX141" s="26">
        <v>6.115</v>
      </c>
      <c r="DZ141" s="35">
        <v>43677</v>
      </c>
      <c r="EA141" s="26">
        <v>12.6</v>
      </c>
      <c r="EB141" s="26">
        <v>12.5</v>
      </c>
      <c r="EC141" s="26">
        <v>12.55</v>
      </c>
    </row>
    <row r="142" ht="16.8" spans="3:133">
      <c r="C142" s="5" t="str" cm="1">
        <f t="array" ref="C142">_xlfn.IFS(MONTH(D142)&lt;4,1,MONTH(D142)&lt;7,2,MONTH(D142)&lt;10,3,MONTH(D142)&gt;9,4)&amp;"Q"&amp;RIGHT(YEAR(D142),2)</f>
        <v>2Q21</v>
      </c>
      <c r="D142" s="2">
        <f t="shared" si="56"/>
        <v>44316</v>
      </c>
      <c r="E142" s="25">
        <v>44305</v>
      </c>
      <c r="F142" s="26">
        <v>2.3</v>
      </c>
      <c r="G142" s="26">
        <v>4.484</v>
      </c>
      <c r="H142" s="27"/>
      <c r="I142" s="28">
        <f t="shared" si="57"/>
        <v>0.071875</v>
      </c>
      <c r="J142" s="28">
        <f t="shared" si="50"/>
        <v>0.0700625</v>
      </c>
      <c r="K142" s="28">
        <f t="shared" si="51"/>
        <v>0</v>
      </c>
      <c r="M142" s="36">
        <f t="shared" si="62"/>
        <v>-0.00130264871906216</v>
      </c>
      <c r="N142" s="36">
        <f t="shared" si="64"/>
        <v>-0.00776531492666099</v>
      </c>
      <c r="O142" s="36">
        <f t="shared" si="65"/>
        <v>-0.00819318671841318</v>
      </c>
      <c r="P142" s="36">
        <f t="shared" si="66"/>
        <v>-0.000445831475702096</v>
      </c>
      <c r="Q142" s="36">
        <f t="shared" si="67"/>
        <v>-0.00355555555555553</v>
      </c>
      <c r="R142" s="36">
        <f t="shared" si="68"/>
        <v>-0.00444049733570151</v>
      </c>
      <c r="S142" s="36"/>
      <c r="T142" s="36"/>
      <c r="U142" s="36"/>
      <c r="W142" s="5" t="str" cm="1">
        <f t="array" ref="W142">_xlfn.IFS(MONTH(X142)&lt;4,1,MONTH(X142)&lt;7,2,MONTH(X142)&lt;10,3,MONTH(X142)&gt;9,4)&amp;"Q"&amp;RIGHT(YEAR(X142),2)</f>
        <v>1Q21</v>
      </c>
      <c r="X142" s="2">
        <f t="shared" si="58"/>
        <v>44286</v>
      </c>
      <c r="Y142" s="25">
        <v>44284</v>
      </c>
      <c r="Z142" s="29">
        <v>21.976</v>
      </c>
      <c r="AD142" s="36">
        <f t="shared" si="63"/>
        <v>0</v>
      </c>
      <c r="AE142" s="36">
        <f t="shared" si="69"/>
        <v>0.0221395348837208</v>
      </c>
      <c r="AF142" s="36">
        <f t="shared" si="70"/>
        <v>0.0221395348837208</v>
      </c>
      <c r="BA142" s="25">
        <f t="shared" si="75"/>
        <v>44305</v>
      </c>
      <c r="BB142" s="28">
        <f t="shared" si="75"/>
        <v>2.3</v>
      </c>
      <c r="BC142" s="28">
        <f t="shared" si="53"/>
        <v>2.58</v>
      </c>
      <c r="BD142" s="28">
        <f t="shared" si="60"/>
        <v>4.484</v>
      </c>
      <c r="BE142" s="28">
        <f t="shared" si="54"/>
        <v>4.65</v>
      </c>
      <c r="BF142" s="28"/>
      <c r="BG142" s="28">
        <f t="shared" si="80"/>
        <v>8.15</v>
      </c>
      <c r="BH142" s="28"/>
      <c r="BI142" s="28">
        <f t="shared" si="79"/>
        <v>8.15</v>
      </c>
      <c r="CC142" s="25">
        <f t="shared" si="78"/>
        <v>44284</v>
      </c>
      <c r="CD142" s="29">
        <f t="shared" si="78"/>
        <v>21.976</v>
      </c>
      <c r="CE142" s="29">
        <f t="shared" si="61"/>
        <v>19</v>
      </c>
      <c r="DP142" s="35">
        <v>43678</v>
      </c>
      <c r="DQ142" s="26">
        <v>3.05</v>
      </c>
      <c r="DR142" s="26">
        <v>2.85</v>
      </c>
      <c r="DS142" s="26">
        <v>2.956</v>
      </c>
      <c r="DU142" s="35">
        <v>43678</v>
      </c>
      <c r="DV142" s="26">
        <v>6.15</v>
      </c>
      <c r="DW142" s="26">
        <v>6.05</v>
      </c>
      <c r="DX142" s="26">
        <v>6.115</v>
      </c>
      <c r="DZ142" s="35">
        <v>43678</v>
      </c>
      <c r="EA142" s="26">
        <v>12.6</v>
      </c>
      <c r="EB142" s="26">
        <v>12.5</v>
      </c>
      <c r="EC142" s="26">
        <v>12.55</v>
      </c>
    </row>
    <row r="143" ht="16.8" spans="3:133">
      <c r="C143" s="5" t="str" cm="1">
        <f t="array" ref="C143">_xlfn.IFS(MONTH(D143)&lt;4,1,MONTH(D143)&lt;7,2,MONTH(D143)&lt;10,3,MONTH(D143)&gt;9,4)&amp;"Q"&amp;RIGHT(YEAR(D143),2)</f>
        <v>2Q21</v>
      </c>
      <c r="D143" s="2">
        <f t="shared" si="56"/>
        <v>44316</v>
      </c>
      <c r="E143" s="25">
        <v>44312</v>
      </c>
      <c r="F143" s="26">
        <v>2.3</v>
      </c>
      <c r="G143" s="26">
        <v>4.484</v>
      </c>
      <c r="H143" s="27"/>
      <c r="I143" s="28">
        <f t="shared" si="57"/>
        <v>0.071875</v>
      </c>
      <c r="J143" s="28">
        <f t="shared" si="50"/>
        <v>0.0700625</v>
      </c>
      <c r="K143" s="28">
        <f t="shared" si="51"/>
        <v>0</v>
      </c>
      <c r="M143" s="36">
        <f t="shared" si="62"/>
        <v>0</v>
      </c>
      <c r="N143" s="36">
        <f t="shared" si="64"/>
        <v>-0.00130264871906216</v>
      </c>
      <c r="O143" s="36">
        <f t="shared" si="65"/>
        <v>-0.00776531492666099</v>
      </c>
      <c r="P143" s="36">
        <f t="shared" si="66"/>
        <v>0</v>
      </c>
      <c r="Q143" s="36">
        <f t="shared" si="67"/>
        <v>-0.000445831475702096</v>
      </c>
      <c r="R143" s="36">
        <f t="shared" si="68"/>
        <v>-0.00355555555555553</v>
      </c>
      <c r="S143" s="36"/>
      <c r="T143" s="36"/>
      <c r="U143" s="36"/>
      <c r="W143" s="5" t="str" cm="1">
        <f t="array" ref="W143">_xlfn.IFS(MONTH(X143)&lt;4,1,MONTH(X143)&lt;7,2,MONTH(X143)&lt;10,3,MONTH(X143)&gt;9,4)&amp;"Q"&amp;RIGHT(YEAR(X143),2)</f>
        <v>2Q21</v>
      </c>
      <c r="X143" s="2">
        <f t="shared" si="58"/>
        <v>44316</v>
      </c>
      <c r="Y143" s="25">
        <v>44292</v>
      </c>
      <c r="Z143" s="29">
        <v>22.452</v>
      </c>
      <c r="AD143" s="36">
        <f t="shared" si="63"/>
        <v>0.0216599927193304</v>
      </c>
      <c r="AE143" s="36">
        <f t="shared" si="69"/>
        <v>0.0216599927193304</v>
      </c>
      <c r="AF143" s="36">
        <f t="shared" si="70"/>
        <v>0.044279069767442</v>
      </c>
      <c r="BA143" s="25">
        <f t="shared" si="75"/>
        <v>44312</v>
      </c>
      <c r="BB143" s="28">
        <f t="shared" si="75"/>
        <v>2.3</v>
      </c>
      <c r="BC143" s="28">
        <f t="shared" si="53"/>
        <v>2.58</v>
      </c>
      <c r="BD143" s="28">
        <f t="shared" si="60"/>
        <v>4.484</v>
      </c>
      <c r="BE143" s="28">
        <f t="shared" si="54"/>
        <v>4.65</v>
      </c>
      <c r="BF143" s="28"/>
      <c r="BG143" s="28">
        <f t="shared" si="80"/>
        <v>8.15</v>
      </c>
      <c r="BH143" s="28"/>
      <c r="BI143" s="28">
        <f t="shared" si="79"/>
        <v>8.15</v>
      </c>
      <c r="CC143" s="25">
        <f t="shared" si="78"/>
        <v>44292</v>
      </c>
      <c r="CD143" s="29">
        <f t="shared" si="78"/>
        <v>22.452</v>
      </c>
      <c r="CE143" s="29">
        <f t="shared" si="61"/>
        <v>19.62</v>
      </c>
      <c r="DP143" s="35">
        <v>43679</v>
      </c>
      <c r="DQ143" s="26">
        <v>3.05</v>
      </c>
      <c r="DR143" s="26">
        <v>2.85</v>
      </c>
      <c r="DS143" s="26">
        <v>2.944</v>
      </c>
      <c r="DU143" s="35">
        <v>43679</v>
      </c>
      <c r="DV143" s="26">
        <v>6.15</v>
      </c>
      <c r="DW143" s="26">
        <v>6.05</v>
      </c>
      <c r="DX143" s="26">
        <v>6.11</v>
      </c>
      <c r="DZ143" s="35">
        <v>43679</v>
      </c>
      <c r="EA143" s="26">
        <v>12.6</v>
      </c>
      <c r="EB143" s="26">
        <v>12.5</v>
      </c>
      <c r="EC143" s="26">
        <v>12.52</v>
      </c>
    </row>
    <row r="144" ht="16.8" spans="3:133">
      <c r="C144" s="5" t="str" cm="1">
        <f t="array" ref="C144">_xlfn.IFS(MONTH(D144)&lt;4,1,MONTH(D144)&lt;7,2,MONTH(D144)&lt;10,3,MONTH(D144)&gt;9,4)&amp;"Q"&amp;RIGHT(YEAR(D144),2)</f>
        <v>2Q21</v>
      </c>
      <c r="D144" s="2">
        <f t="shared" si="56"/>
        <v>44347</v>
      </c>
      <c r="E144" s="25">
        <v>44319</v>
      </c>
      <c r="F144" s="26">
        <v>2.299</v>
      </c>
      <c r="G144" s="26">
        <v>4.481</v>
      </c>
      <c r="H144" s="27"/>
      <c r="I144" s="28">
        <f t="shared" si="57"/>
        <v>0.07184375</v>
      </c>
      <c r="J144" s="28">
        <f t="shared" si="50"/>
        <v>0.070015625</v>
      </c>
      <c r="K144" s="28">
        <f t="shared" si="51"/>
        <v>0</v>
      </c>
      <c r="M144" s="36">
        <f t="shared" si="62"/>
        <v>-0.000434782608695561</v>
      </c>
      <c r="N144" s="36">
        <f t="shared" si="64"/>
        <v>-0.000434782608695561</v>
      </c>
      <c r="O144" s="36">
        <f t="shared" si="65"/>
        <v>-0.00173686495874947</v>
      </c>
      <c r="P144" s="36">
        <f t="shared" si="66"/>
        <v>-0.000669045495093723</v>
      </c>
      <c r="Q144" s="36">
        <f t="shared" si="67"/>
        <v>-0.000669045495093723</v>
      </c>
      <c r="R144" s="36">
        <f t="shared" si="68"/>
        <v>-0.00111457868925546</v>
      </c>
      <c r="S144" s="36"/>
      <c r="T144" s="36"/>
      <c r="U144" s="36"/>
      <c r="W144" s="5" t="str" cm="1">
        <f t="array" ref="W144">_xlfn.IFS(MONTH(X144)&lt;4,1,MONTH(X144)&lt;7,2,MONTH(X144)&lt;10,3,MONTH(X144)&gt;9,4)&amp;"Q"&amp;RIGHT(YEAR(X144),2)</f>
        <v>2Q21</v>
      </c>
      <c r="X144" s="2">
        <f t="shared" si="58"/>
        <v>44316</v>
      </c>
      <c r="Y144" s="25">
        <v>44298</v>
      </c>
      <c r="Z144" s="29">
        <v>22.452</v>
      </c>
      <c r="AD144" s="36">
        <f t="shared" si="63"/>
        <v>0</v>
      </c>
      <c r="AE144" s="36">
        <f t="shared" si="69"/>
        <v>0.0216599927193304</v>
      </c>
      <c r="AF144" s="36">
        <f t="shared" si="70"/>
        <v>0.0216599927193304</v>
      </c>
      <c r="BA144" s="25">
        <f t="shared" si="75"/>
        <v>44319</v>
      </c>
      <c r="BB144" s="28">
        <f t="shared" si="75"/>
        <v>2.299</v>
      </c>
      <c r="BC144" s="28">
        <f t="shared" si="53"/>
        <v>2.64</v>
      </c>
      <c r="BD144" s="28">
        <f t="shared" si="60"/>
        <v>4.481</v>
      </c>
      <c r="BE144" s="28">
        <f t="shared" si="54"/>
        <v>4.8</v>
      </c>
      <c r="BF144" s="28"/>
      <c r="BG144" s="28">
        <f t="shared" si="80"/>
        <v>8.15</v>
      </c>
      <c r="BH144" s="28"/>
      <c r="BI144" s="28">
        <f t="shared" si="79"/>
        <v>8.15</v>
      </c>
      <c r="CC144" s="25">
        <f t="shared" si="78"/>
        <v>44298</v>
      </c>
      <c r="CD144" s="29">
        <f t="shared" si="78"/>
        <v>22.452</v>
      </c>
      <c r="CE144" s="29">
        <f t="shared" si="61"/>
        <v>19.62</v>
      </c>
      <c r="DP144" s="35">
        <v>43682</v>
      </c>
      <c r="DQ144" s="26">
        <v>3.05</v>
      </c>
      <c r="DR144" s="26">
        <v>2.85</v>
      </c>
      <c r="DS144" s="26">
        <v>2.933</v>
      </c>
      <c r="DU144" s="35">
        <v>43682</v>
      </c>
      <c r="DV144" s="26">
        <v>6.15</v>
      </c>
      <c r="DW144" s="26">
        <v>6.05</v>
      </c>
      <c r="DX144" s="26">
        <v>6.1</v>
      </c>
      <c r="DZ144" s="35">
        <v>43682</v>
      </c>
      <c r="EA144" s="26">
        <v>12.6</v>
      </c>
      <c r="EB144" s="26">
        <v>12.5</v>
      </c>
      <c r="EC144" s="26">
        <v>12.52</v>
      </c>
    </row>
    <row r="145" ht="16.8" spans="3:133">
      <c r="C145" s="5" t="str" cm="1">
        <f t="array" ref="C145">_xlfn.IFS(MONTH(D145)&lt;4,1,MONTH(D145)&lt;7,2,MONTH(D145)&lt;10,3,MONTH(D145)&gt;9,4)&amp;"Q"&amp;RIGHT(YEAR(D145),2)</f>
        <v>2Q21</v>
      </c>
      <c r="D145" s="2">
        <f t="shared" si="56"/>
        <v>44347</v>
      </c>
      <c r="E145" s="25">
        <v>44326</v>
      </c>
      <c r="F145" s="26">
        <v>2.303</v>
      </c>
      <c r="G145" s="26">
        <v>4.484</v>
      </c>
      <c r="H145" s="27"/>
      <c r="I145" s="28">
        <f t="shared" si="57"/>
        <v>0.07196875</v>
      </c>
      <c r="J145" s="28">
        <f t="shared" si="50"/>
        <v>0.0700625</v>
      </c>
      <c r="K145" s="28">
        <f t="shared" si="51"/>
        <v>0</v>
      </c>
      <c r="M145" s="36">
        <f t="shared" si="62"/>
        <v>0.00173988690735105</v>
      </c>
      <c r="N145" s="36">
        <f t="shared" si="64"/>
        <v>0.00130434782608702</v>
      </c>
      <c r="O145" s="36">
        <f t="shared" si="65"/>
        <v>0.00130434782608702</v>
      </c>
      <c r="P145" s="36">
        <f t="shared" si="66"/>
        <v>0.000669493416648015</v>
      </c>
      <c r="Q145" s="36">
        <f t="shared" si="67"/>
        <v>0</v>
      </c>
      <c r="R145" s="36">
        <f t="shared" si="68"/>
        <v>0</v>
      </c>
      <c r="S145" s="36"/>
      <c r="T145" s="36"/>
      <c r="U145" s="36"/>
      <c r="W145" s="5" t="str" cm="1">
        <f t="array" ref="W145">_xlfn.IFS(MONTH(X145)&lt;4,1,MONTH(X145)&lt;7,2,MONTH(X145)&lt;10,3,MONTH(X145)&gt;9,4)&amp;"Q"&amp;RIGHT(YEAR(X145),2)</f>
        <v>2Q21</v>
      </c>
      <c r="X145" s="2">
        <f t="shared" si="58"/>
        <v>44316</v>
      </c>
      <c r="Y145" s="25">
        <v>44305</v>
      </c>
      <c r="Z145" s="29">
        <v>23.929</v>
      </c>
      <c r="AD145" s="36">
        <f t="shared" si="63"/>
        <v>0.0657847853197933</v>
      </c>
      <c r="AE145" s="36">
        <f t="shared" si="69"/>
        <v>0.0657847853197933</v>
      </c>
      <c r="AF145" s="36">
        <f t="shared" si="70"/>
        <v>0.088869676010193</v>
      </c>
      <c r="BA145" s="25">
        <f t="shared" si="75"/>
        <v>44326</v>
      </c>
      <c r="BB145" s="28">
        <f t="shared" si="75"/>
        <v>2.303</v>
      </c>
      <c r="BC145" s="28">
        <f t="shared" si="53"/>
        <v>2.64</v>
      </c>
      <c r="BD145" s="28">
        <f t="shared" si="60"/>
        <v>4.484</v>
      </c>
      <c r="BE145" s="28">
        <f t="shared" si="54"/>
        <v>4.8</v>
      </c>
      <c r="BF145" s="28"/>
      <c r="BG145" s="28">
        <f t="shared" si="80"/>
        <v>8.15</v>
      </c>
      <c r="BH145" s="28"/>
      <c r="BI145" s="28">
        <f t="shared" si="79"/>
        <v>8.15</v>
      </c>
      <c r="CC145" s="25">
        <f t="shared" si="78"/>
        <v>44305</v>
      </c>
      <c r="CD145" s="29">
        <f t="shared" si="78"/>
        <v>23.929</v>
      </c>
      <c r="CE145" s="29">
        <f t="shared" si="61"/>
        <v>19.62</v>
      </c>
      <c r="DP145" s="35">
        <v>43683</v>
      </c>
      <c r="DQ145" s="26">
        <v>3.05</v>
      </c>
      <c r="DR145" s="26">
        <v>2.85</v>
      </c>
      <c r="DS145" s="26">
        <v>2.933</v>
      </c>
      <c r="DU145" s="35">
        <v>43683</v>
      </c>
      <c r="DV145" s="26">
        <v>6.15</v>
      </c>
      <c r="DW145" s="26">
        <v>6.05</v>
      </c>
      <c r="DX145" s="26">
        <v>6.1</v>
      </c>
      <c r="DZ145" s="35">
        <v>43683</v>
      </c>
      <c r="EA145" s="26">
        <v>12.6</v>
      </c>
      <c r="EB145" s="26">
        <v>12.5</v>
      </c>
      <c r="EC145" s="26">
        <v>12.52</v>
      </c>
    </row>
    <row r="146" ht="16.8" spans="3:133">
      <c r="C146" s="5" t="str" cm="1">
        <f t="array" ref="C146">_xlfn.IFS(MONTH(D146)&lt;4,1,MONTH(D146)&lt;7,2,MONTH(D146)&lt;10,3,MONTH(D146)&gt;9,4)&amp;"Q"&amp;RIGHT(YEAR(D146),2)</f>
        <v>2Q21</v>
      </c>
      <c r="D146" s="2">
        <f t="shared" si="56"/>
        <v>44347</v>
      </c>
      <c r="E146" s="25">
        <v>44333</v>
      </c>
      <c r="F146" s="26">
        <v>2.303</v>
      </c>
      <c r="G146" s="26">
        <v>4.482</v>
      </c>
      <c r="H146" s="27"/>
      <c r="I146" s="28">
        <f t="shared" si="57"/>
        <v>0.07196875</v>
      </c>
      <c r="J146" s="28">
        <f t="shared" si="50"/>
        <v>0.07003125</v>
      </c>
      <c r="K146" s="28">
        <f t="shared" si="51"/>
        <v>0</v>
      </c>
      <c r="M146" s="36">
        <f t="shared" si="62"/>
        <v>0</v>
      </c>
      <c r="N146" s="36">
        <f t="shared" si="64"/>
        <v>0.00173988690735105</v>
      </c>
      <c r="O146" s="36">
        <f t="shared" si="65"/>
        <v>0.00130434782608702</v>
      </c>
      <c r="P146" s="36">
        <f t="shared" si="66"/>
        <v>-0.000446030330062408</v>
      </c>
      <c r="Q146" s="36">
        <f t="shared" si="67"/>
        <v>0.000223164472216153</v>
      </c>
      <c r="R146" s="36">
        <f t="shared" si="68"/>
        <v>-0.000446030330062408</v>
      </c>
      <c r="S146" s="36"/>
      <c r="T146" s="36"/>
      <c r="U146" s="36"/>
      <c r="W146" s="5" t="str" cm="1">
        <f t="array" ref="W146">_xlfn.IFS(MONTH(X146)&lt;4,1,MONTH(X146)&lt;7,2,MONTH(X146)&lt;10,3,MONTH(X146)&gt;9,4)&amp;"Q"&amp;RIGHT(YEAR(X146),2)</f>
        <v>2Q21</v>
      </c>
      <c r="X146" s="2">
        <f t="shared" si="58"/>
        <v>44316</v>
      </c>
      <c r="Y146" s="25">
        <v>44312</v>
      </c>
      <c r="Z146" s="29">
        <v>23.929</v>
      </c>
      <c r="AD146" s="36">
        <f t="shared" si="63"/>
        <v>0</v>
      </c>
      <c r="AE146" s="36">
        <f t="shared" si="69"/>
        <v>0.0657847853197933</v>
      </c>
      <c r="AF146" s="36">
        <f t="shared" si="70"/>
        <v>0.0657847853197933</v>
      </c>
      <c r="BA146" s="25">
        <f t="shared" si="75"/>
        <v>44333</v>
      </c>
      <c r="BB146" s="28">
        <f t="shared" si="75"/>
        <v>2.303</v>
      </c>
      <c r="BC146" s="28">
        <f t="shared" si="53"/>
        <v>2.64</v>
      </c>
      <c r="BD146" s="28">
        <f t="shared" si="60"/>
        <v>4.482</v>
      </c>
      <c r="BE146" s="28">
        <f t="shared" si="54"/>
        <v>4.8</v>
      </c>
      <c r="BF146" s="28"/>
      <c r="BG146" s="28">
        <f t="shared" si="80"/>
        <v>8.15</v>
      </c>
      <c r="BH146" s="28"/>
      <c r="BI146" s="28">
        <f t="shared" si="79"/>
        <v>8.15</v>
      </c>
      <c r="CC146" s="25">
        <f t="shared" si="78"/>
        <v>44312</v>
      </c>
      <c r="CD146" s="29">
        <f t="shared" si="78"/>
        <v>23.929</v>
      </c>
      <c r="CE146" s="29">
        <f t="shared" si="61"/>
        <v>19.62</v>
      </c>
      <c r="DP146" s="35">
        <v>43684</v>
      </c>
      <c r="DQ146" s="26">
        <v>3.05</v>
      </c>
      <c r="DR146" s="26">
        <v>2.85</v>
      </c>
      <c r="DS146" s="26">
        <v>2.933</v>
      </c>
      <c r="DU146" s="35">
        <v>43684</v>
      </c>
      <c r="DV146" s="26">
        <v>6.15</v>
      </c>
      <c r="DW146" s="26">
        <v>6.05</v>
      </c>
      <c r="DX146" s="26">
        <v>6.1</v>
      </c>
      <c r="DZ146" s="35">
        <v>43684</v>
      </c>
      <c r="EA146" s="26">
        <v>12.6</v>
      </c>
      <c r="EB146" s="26">
        <v>12.5</v>
      </c>
      <c r="EC146" s="26">
        <v>12.52</v>
      </c>
    </row>
    <row r="147" ht="16.8" spans="3:133">
      <c r="C147" s="5" t="str" cm="1">
        <f t="array" ref="C147">_xlfn.IFS(MONTH(D147)&lt;4,1,MONTH(D147)&lt;7,2,MONTH(D147)&lt;10,3,MONTH(D147)&gt;9,4)&amp;"Q"&amp;RIGHT(YEAR(D147),2)</f>
        <v>2Q21</v>
      </c>
      <c r="D147" s="2">
        <f t="shared" si="56"/>
        <v>44347</v>
      </c>
      <c r="E147" s="25">
        <v>44340</v>
      </c>
      <c r="F147" s="26">
        <v>2.71</v>
      </c>
      <c r="G147" s="26">
        <v>4.972</v>
      </c>
      <c r="H147" s="27"/>
      <c r="I147" s="28">
        <f t="shared" si="57"/>
        <v>0.0846875</v>
      </c>
      <c r="J147" s="28">
        <f t="shared" si="50"/>
        <v>0.0776875</v>
      </c>
      <c r="K147" s="28">
        <f t="shared" si="51"/>
        <v>0</v>
      </c>
      <c r="M147" s="36">
        <f t="shared" si="62"/>
        <v>0.176726009552757</v>
      </c>
      <c r="N147" s="36">
        <f t="shared" si="64"/>
        <v>0.176726009552757</v>
      </c>
      <c r="O147" s="36">
        <f t="shared" si="65"/>
        <v>0.178773379730317</v>
      </c>
      <c r="P147" s="36">
        <f t="shared" si="66"/>
        <v>0.109326193663543</v>
      </c>
      <c r="Q147" s="36">
        <f t="shared" si="67"/>
        <v>0.108831400535236</v>
      </c>
      <c r="R147" s="36">
        <f t="shared" si="68"/>
        <v>0.109573755858068</v>
      </c>
      <c r="S147" s="36"/>
      <c r="T147" s="36"/>
      <c r="U147" s="36"/>
      <c r="W147" s="5" t="str" cm="1">
        <f t="array" ref="W147">_xlfn.IFS(MONTH(X147)&lt;4,1,MONTH(X147)&lt;7,2,MONTH(X147)&lt;10,3,MONTH(X147)&gt;9,4)&amp;"Q"&amp;RIGHT(YEAR(X147),2)</f>
        <v>2Q21</v>
      </c>
      <c r="X147" s="2">
        <f t="shared" si="58"/>
        <v>44347</v>
      </c>
      <c r="Y147" s="25">
        <v>44319</v>
      </c>
      <c r="Z147" s="29">
        <v>23.929</v>
      </c>
      <c r="AD147" s="36">
        <f t="shared" si="63"/>
        <v>0</v>
      </c>
      <c r="AE147" s="36">
        <f t="shared" si="69"/>
        <v>0</v>
      </c>
      <c r="AF147" s="36">
        <f t="shared" si="70"/>
        <v>0.0657847853197933</v>
      </c>
      <c r="BA147" s="25">
        <f t="shared" si="75"/>
        <v>44340</v>
      </c>
      <c r="BB147" s="28">
        <f t="shared" si="75"/>
        <v>2.71</v>
      </c>
      <c r="BC147" s="28">
        <f t="shared" si="53"/>
        <v>2.64</v>
      </c>
      <c r="BD147" s="28">
        <f t="shared" si="60"/>
        <v>4.972</v>
      </c>
      <c r="BE147" s="28">
        <f t="shared" si="54"/>
        <v>4.8</v>
      </c>
      <c r="BF147" s="28"/>
      <c r="BG147" s="28">
        <f t="shared" si="80"/>
        <v>8.15</v>
      </c>
      <c r="BH147" s="28"/>
      <c r="BI147" s="28">
        <f t="shared" si="79"/>
        <v>8.15</v>
      </c>
      <c r="CC147" s="25">
        <f t="shared" si="78"/>
        <v>44319</v>
      </c>
      <c r="CD147" s="29">
        <f t="shared" si="78"/>
        <v>23.929</v>
      </c>
      <c r="CE147" s="29">
        <f t="shared" si="61"/>
        <v>19.62</v>
      </c>
      <c r="DP147" s="35">
        <v>43685</v>
      </c>
      <c r="DQ147" s="26">
        <v>3.05</v>
      </c>
      <c r="DR147" s="26">
        <v>2.85</v>
      </c>
      <c r="DS147" s="26">
        <v>2.933</v>
      </c>
      <c r="DU147" s="35">
        <v>43685</v>
      </c>
      <c r="DV147" s="26">
        <v>6.15</v>
      </c>
      <c r="DW147" s="26">
        <v>6.05</v>
      </c>
      <c r="DX147" s="26">
        <v>6.1</v>
      </c>
      <c r="DZ147" s="35">
        <v>43685</v>
      </c>
      <c r="EA147" s="26">
        <v>12.6</v>
      </c>
      <c r="EB147" s="26">
        <v>12.5</v>
      </c>
      <c r="EC147" s="26">
        <v>12.52</v>
      </c>
    </row>
    <row r="148" ht="16.8" spans="3:133">
      <c r="C148" s="5" t="str" cm="1">
        <f t="array" ref="C148">_xlfn.IFS(MONTH(D148)&lt;4,1,MONTH(D148)&lt;7,2,MONTH(D148)&lt;10,3,MONTH(D148)&gt;9,4)&amp;"Q"&amp;RIGHT(YEAR(D148),2)</f>
        <v>2Q21</v>
      </c>
      <c r="D148" s="2">
        <f t="shared" si="56"/>
        <v>44347</v>
      </c>
      <c r="E148" s="25">
        <v>44347</v>
      </c>
      <c r="F148" s="26">
        <v>2.669</v>
      </c>
      <c r="G148" s="26">
        <v>4.926</v>
      </c>
      <c r="H148" s="27"/>
      <c r="I148" s="28">
        <f t="shared" si="57"/>
        <v>0.08340625</v>
      </c>
      <c r="J148" s="28">
        <f t="shared" si="50"/>
        <v>0.07696875</v>
      </c>
      <c r="K148" s="28">
        <f t="shared" si="51"/>
        <v>0</v>
      </c>
      <c r="M148" s="36">
        <f t="shared" si="62"/>
        <v>-0.0151291512915129</v>
      </c>
      <c r="N148" s="36">
        <f t="shared" si="64"/>
        <v>0.158923143725575</v>
      </c>
      <c r="O148" s="36">
        <f t="shared" si="65"/>
        <v>0.158923143725575</v>
      </c>
      <c r="P148" s="36">
        <f t="shared" si="66"/>
        <v>-0.0092518101367659</v>
      </c>
      <c r="Q148" s="36">
        <f t="shared" si="67"/>
        <v>0.0990629183400267</v>
      </c>
      <c r="R148" s="36">
        <f t="shared" si="68"/>
        <v>0.0985727029438002</v>
      </c>
      <c r="S148" s="36"/>
      <c r="T148" s="36"/>
      <c r="U148" s="36"/>
      <c r="W148" s="5" t="str" cm="1">
        <f t="array" ref="W148">_xlfn.IFS(MONTH(X148)&lt;4,1,MONTH(X148)&lt;7,2,MONTH(X148)&lt;10,3,MONTH(X148)&gt;9,4)&amp;"Q"&amp;RIGHT(YEAR(X148),2)</f>
        <v>2Q21</v>
      </c>
      <c r="X148" s="2">
        <f t="shared" si="58"/>
        <v>44347</v>
      </c>
      <c r="Y148" s="25">
        <v>44326</v>
      </c>
      <c r="Z148" s="29">
        <v>23.929</v>
      </c>
      <c r="AD148" s="36">
        <f t="shared" si="63"/>
        <v>0</v>
      </c>
      <c r="AE148" s="36">
        <f t="shared" si="69"/>
        <v>0</v>
      </c>
      <c r="AF148" s="36">
        <f t="shared" si="70"/>
        <v>0</v>
      </c>
      <c r="BA148" s="25">
        <f t="shared" si="75"/>
        <v>44347</v>
      </c>
      <c r="BB148" s="28">
        <f t="shared" si="75"/>
        <v>2.669</v>
      </c>
      <c r="BC148" s="28">
        <f t="shared" si="53"/>
        <v>2.64</v>
      </c>
      <c r="BD148" s="28">
        <f t="shared" si="60"/>
        <v>4.926</v>
      </c>
      <c r="BE148" s="28">
        <f t="shared" si="54"/>
        <v>4.8</v>
      </c>
      <c r="BF148" s="28"/>
      <c r="BG148" s="28">
        <f t="shared" si="80"/>
        <v>8.15</v>
      </c>
      <c r="BH148" s="28"/>
      <c r="BI148" s="28">
        <f t="shared" si="79"/>
        <v>8.15</v>
      </c>
      <c r="CC148" s="25">
        <f t="shared" si="78"/>
        <v>44326</v>
      </c>
      <c r="CD148" s="29">
        <f t="shared" si="78"/>
        <v>23.929</v>
      </c>
      <c r="CE148" s="29">
        <f t="shared" si="61"/>
        <v>19.62</v>
      </c>
      <c r="DP148" s="35">
        <v>43686</v>
      </c>
      <c r="DQ148" s="26">
        <v>3.05</v>
      </c>
      <c r="DR148" s="26">
        <v>2.85</v>
      </c>
      <c r="DS148" s="26">
        <v>2.933</v>
      </c>
      <c r="DU148" s="35">
        <v>43686</v>
      </c>
      <c r="DV148" s="26">
        <v>6.15</v>
      </c>
      <c r="DW148" s="26">
        <v>6.05</v>
      </c>
      <c r="DX148" s="26">
        <v>6.1</v>
      </c>
      <c r="DZ148" s="35">
        <v>43686</v>
      </c>
      <c r="EA148" s="26">
        <v>12.6</v>
      </c>
      <c r="EB148" s="26">
        <v>12.5</v>
      </c>
      <c r="EC148" s="26">
        <v>12.52</v>
      </c>
    </row>
    <row r="149" ht="16.8" spans="3:133">
      <c r="C149" s="5" t="str" cm="1">
        <f t="array" ref="C149">_xlfn.IFS(MONTH(D149)&lt;4,1,MONTH(D149)&lt;7,2,MONTH(D149)&lt;10,3,MONTH(D149)&gt;9,4)&amp;"Q"&amp;RIGHT(YEAR(D149),2)</f>
        <v>2Q21</v>
      </c>
      <c r="D149" s="2">
        <f t="shared" si="56"/>
        <v>44377</v>
      </c>
      <c r="E149" s="25">
        <v>44354</v>
      </c>
      <c r="F149" s="26">
        <v>2.654</v>
      </c>
      <c r="G149" s="26">
        <v>4.908</v>
      </c>
      <c r="H149" s="27"/>
      <c r="I149" s="28">
        <f t="shared" si="57"/>
        <v>0.0829375</v>
      </c>
      <c r="J149" s="28">
        <f t="shared" si="50"/>
        <v>0.0766875</v>
      </c>
      <c r="K149" s="28">
        <f t="shared" si="51"/>
        <v>0</v>
      </c>
      <c r="M149" s="36">
        <f t="shared" si="62"/>
        <v>-0.00562008242787571</v>
      </c>
      <c r="N149" s="36">
        <f t="shared" si="64"/>
        <v>-0.0206642066420665</v>
      </c>
      <c r="O149" s="36">
        <f t="shared" si="65"/>
        <v>0.152409900130265</v>
      </c>
      <c r="P149" s="36">
        <f t="shared" si="66"/>
        <v>-0.00365408038976855</v>
      </c>
      <c r="Q149" s="36">
        <f t="shared" si="67"/>
        <v>-0.0128720836685439</v>
      </c>
      <c r="R149" s="36">
        <f t="shared" si="68"/>
        <v>0.0950468540829987</v>
      </c>
      <c r="S149" s="36"/>
      <c r="T149" s="36"/>
      <c r="U149" s="36"/>
      <c r="W149" s="5" t="str" cm="1">
        <f t="array" ref="W149">_xlfn.IFS(MONTH(X149)&lt;4,1,MONTH(X149)&lt;7,2,MONTH(X149)&lt;10,3,MONTH(X149)&gt;9,4)&amp;"Q"&amp;RIGHT(YEAR(X149),2)</f>
        <v>2Q21</v>
      </c>
      <c r="X149" s="2">
        <f t="shared" si="58"/>
        <v>44347</v>
      </c>
      <c r="Y149" s="25">
        <v>44333</v>
      </c>
      <c r="Z149" s="29">
        <v>23.929</v>
      </c>
      <c r="AD149" s="36">
        <f t="shared" si="63"/>
        <v>0</v>
      </c>
      <c r="AE149" s="36">
        <f t="shared" si="69"/>
        <v>0</v>
      </c>
      <c r="AF149" s="36">
        <f t="shared" si="70"/>
        <v>0</v>
      </c>
      <c r="BA149" s="25">
        <f t="shared" si="75"/>
        <v>44354</v>
      </c>
      <c r="BB149" s="28">
        <f t="shared" si="75"/>
        <v>2.654</v>
      </c>
      <c r="BC149" s="28">
        <f t="shared" si="53"/>
        <v>2.74</v>
      </c>
      <c r="BD149" s="28">
        <f t="shared" si="60"/>
        <v>4.908</v>
      </c>
      <c r="BE149" s="28">
        <f t="shared" si="54"/>
        <v>5.01</v>
      </c>
      <c r="BF149" s="28"/>
      <c r="BG149" s="28">
        <f t="shared" si="80"/>
        <v>8.4</v>
      </c>
      <c r="BH149" s="28"/>
      <c r="BI149" s="28">
        <f t="shared" si="79"/>
        <v>8.4</v>
      </c>
      <c r="CC149" s="25">
        <f t="shared" si="78"/>
        <v>44333</v>
      </c>
      <c r="CD149" s="29">
        <f t="shared" si="78"/>
        <v>23.929</v>
      </c>
      <c r="CE149" s="29">
        <f t="shared" si="61"/>
        <v>19.62</v>
      </c>
      <c r="DP149" s="35">
        <v>43689</v>
      </c>
      <c r="DQ149" s="26">
        <v>3.05</v>
      </c>
      <c r="DR149" s="26">
        <v>2.85</v>
      </c>
      <c r="DS149" s="26">
        <v>2.933</v>
      </c>
      <c r="DU149" s="35">
        <v>43689</v>
      </c>
      <c r="DV149" s="26">
        <v>6.15</v>
      </c>
      <c r="DW149" s="26">
        <v>6.05</v>
      </c>
      <c r="DX149" s="26">
        <v>6.1</v>
      </c>
      <c r="DZ149" s="35">
        <v>43689</v>
      </c>
      <c r="EA149" s="26">
        <v>12.6</v>
      </c>
      <c r="EB149" s="26">
        <v>12.5</v>
      </c>
      <c r="EC149" s="26">
        <v>12.52</v>
      </c>
    </row>
    <row r="150" ht="16.8" spans="3:133">
      <c r="C150" s="5" t="str" cm="1">
        <f t="array" ref="C150">_xlfn.IFS(MONTH(D150)&lt;4,1,MONTH(D150)&lt;7,2,MONTH(D150)&lt;10,3,MONTH(D150)&gt;9,4)&amp;"Q"&amp;RIGHT(YEAR(D150),2)</f>
        <v>2Q21</v>
      </c>
      <c r="D150" s="2">
        <f t="shared" si="56"/>
        <v>44377</v>
      </c>
      <c r="E150" s="25">
        <v>44362</v>
      </c>
      <c r="F150" s="26">
        <v>2.647</v>
      </c>
      <c r="G150" s="26">
        <v>4.89</v>
      </c>
      <c r="H150" s="27"/>
      <c r="I150" s="28">
        <f t="shared" si="57"/>
        <v>0.08271875</v>
      </c>
      <c r="J150" s="28">
        <f t="shared" si="50"/>
        <v>0.07640625</v>
      </c>
      <c r="K150" s="28">
        <f t="shared" si="51"/>
        <v>0</v>
      </c>
      <c r="M150" s="36">
        <f t="shared" si="62"/>
        <v>-0.00263752825923136</v>
      </c>
      <c r="N150" s="36">
        <f t="shared" si="64"/>
        <v>-0.00824278756088437</v>
      </c>
      <c r="O150" s="36">
        <f t="shared" si="65"/>
        <v>-0.0232472324723247</v>
      </c>
      <c r="P150" s="36">
        <f t="shared" si="66"/>
        <v>-0.00366748166259179</v>
      </c>
      <c r="Q150" s="36">
        <f t="shared" si="67"/>
        <v>-0.00730816077953722</v>
      </c>
      <c r="R150" s="36">
        <f t="shared" si="68"/>
        <v>-0.0164923572003219</v>
      </c>
      <c r="S150" s="36"/>
      <c r="T150" s="36"/>
      <c r="U150" s="36"/>
      <c r="W150" s="5" t="str" cm="1">
        <f t="array" ref="W150">_xlfn.IFS(MONTH(X150)&lt;4,1,MONTH(X150)&lt;7,2,MONTH(X150)&lt;10,3,MONTH(X150)&gt;9,4)&amp;"Q"&amp;RIGHT(YEAR(X150),2)</f>
        <v>2Q21</v>
      </c>
      <c r="X150" s="2">
        <f t="shared" si="58"/>
        <v>44347</v>
      </c>
      <c r="Y150" s="25">
        <v>44340</v>
      </c>
      <c r="Z150" s="29">
        <v>23.929</v>
      </c>
      <c r="AD150" s="36">
        <f t="shared" si="63"/>
        <v>0</v>
      </c>
      <c r="AE150" s="36">
        <f t="shared" si="69"/>
        <v>0</v>
      </c>
      <c r="AF150" s="36">
        <f t="shared" si="70"/>
        <v>0</v>
      </c>
      <c r="BA150" s="25">
        <f t="shared" si="75"/>
        <v>44362</v>
      </c>
      <c r="BB150" s="28">
        <f t="shared" si="75"/>
        <v>2.647</v>
      </c>
      <c r="BC150" s="28">
        <f t="shared" si="53"/>
        <v>2.74</v>
      </c>
      <c r="BD150" s="28">
        <f t="shared" si="60"/>
        <v>4.89</v>
      </c>
      <c r="BE150" s="28">
        <f t="shared" si="54"/>
        <v>5.01</v>
      </c>
      <c r="BF150" s="28"/>
      <c r="BG150" s="28">
        <f t="shared" si="80"/>
        <v>8.4</v>
      </c>
      <c r="BH150" s="28"/>
      <c r="BI150" s="28">
        <f t="shared" si="79"/>
        <v>8.4</v>
      </c>
      <c r="CC150" s="25">
        <f t="shared" si="78"/>
        <v>44340</v>
      </c>
      <c r="CD150" s="29">
        <f t="shared" si="78"/>
        <v>23.929</v>
      </c>
      <c r="CE150" s="29">
        <f t="shared" si="61"/>
        <v>19.62</v>
      </c>
      <c r="DP150" s="35">
        <v>43690</v>
      </c>
      <c r="DQ150" s="26">
        <v>3.05</v>
      </c>
      <c r="DR150" s="26">
        <v>2.85</v>
      </c>
      <c r="DS150" s="26">
        <v>2.933</v>
      </c>
      <c r="DU150" s="35">
        <v>43690</v>
      </c>
      <c r="DV150" s="26">
        <v>6.15</v>
      </c>
      <c r="DW150" s="26">
        <v>6.05</v>
      </c>
      <c r="DX150" s="26">
        <v>6.1</v>
      </c>
      <c r="DZ150" s="35">
        <v>43690</v>
      </c>
      <c r="EA150" s="26">
        <v>12.6</v>
      </c>
      <c r="EB150" s="26">
        <v>12.5</v>
      </c>
      <c r="EC150" s="26">
        <v>12.52</v>
      </c>
    </row>
    <row r="151" ht="16.8" spans="3:133">
      <c r="C151" s="5" t="str" cm="1">
        <f t="array" ref="C151">_xlfn.IFS(MONTH(D151)&lt;4,1,MONTH(D151)&lt;7,2,MONTH(D151)&lt;10,3,MONTH(D151)&gt;9,4)&amp;"Q"&amp;RIGHT(YEAR(D151),2)</f>
        <v>2Q21</v>
      </c>
      <c r="D151" s="2">
        <f t="shared" si="56"/>
        <v>44377</v>
      </c>
      <c r="E151" s="25">
        <v>44368</v>
      </c>
      <c r="F151" s="26">
        <v>2.632</v>
      </c>
      <c r="G151" s="26">
        <v>4.882</v>
      </c>
      <c r="H151" s="27"/>
      <c r="I151" s="28">
        <f t="shared" si="57"/>
        <v>0.08225</v>
      </c>
      <c r="J151" s="28">
        <f t="shared" si="50"/>
        <v>0.07628125</v>
      </c>
      <c r="K151" s="28">
        <f t="shared" si="51"/>
        <v>0</v>
      </c>
      <c r="M151" s="36">
        <f t="shared" si="62"/>
        <v>-0.00566679259539093</v>
      </c>
      <c r="N151" s="36">
        <f t="shared" si="64"/>
        <v>-0.00828937452901268</v>
      </c>
      <c r="O151" s="36">
        <f t="shared" si="65"/>
        <v>-0.0138628699887599</v>
      </c>
      <c r="P151" s="36">
        <f t="shared" si="66"/>
        <v>-0.00163599182004093</v>
      </c>
      <c r="Q151" s="36">
        <f t="shared" si="67"/>
        <v>-0.00529747351263254</v>
      </c>
      <c r="R151" s="36">
        <f t="shared" si="68"/>
        <v>-0.00893219650832333</v>
      </c>
      <c r="S151" s="36"/>
      <c r="T151" s="36"/>
      <c r="U151" s="36"/>
      <c r="W151" s="5" t="str" cm="1">
        <f t="array" ref="W151">_xlfn.IFS(MONTH(X151)&lt;4,1,MONTH(X151)&lt;7,2,MONTH(X151)&lt;10,3,MONTH(X151)&gt;9,4)&amp;"Q"&amp;RIGHT(YEAR(X151),2)</f>
        <v>2Q21</v>
      </c>
      <c r="X151" s="2">
        <f t="shared" si="58"/>
        <v>44347</v>
      </c>
      <c r="Y151" s="25">
        <v>44347</v>
      </c>
      <c r="Z151" s="29">
        <v>23.929</v>
      </c>
      <c r="AD151" s="36">
        <f t="shared" si="63"/>
        <v>0</v>
      </c>
      <c r="AE151" s="36">
        <f t="shared" si="69"/>
        <v>0</v>
      </c>
      <c r="AF151" s="36">
        <f t="shared" si="70"/>
        <v>0</v>
      </c>
      <c r="BA151" s="25">
        <f t="shared" si="75"/>
        <v>44368</v>
      </c>
      <c r="BB151" s="28">
        <f t="shared" si="75"/>
        <v>2.632</v>
      </c>
      <c r="BC151" s="28">
        <f t="shared" si="53"/>
        <v>2.74</v>
      </c>
      <c r="BD151" s="28">
        <f t="shared" si="60"/>
        <v>4.882</v>
      </c>
      <c r="BE151" s="28">
        <f t="shared" si="54"/>
        <v>5.01</v>
      </c>
      <c r="BF151" s="28"/>
      <c r="BG151" s="28">
        <f t="shared" si="80"/>
        <v>8.4</v>
      </c>
      <c r="BH151" s="28"/>
      <c r="BI151" s="28">
        <f t="shared" si="79"/>
        <v>8.4</v>
      </c>
      <c r="CC151" s="25">
        <f t="shared" si="78"/>
        <v>44347</v>
      </c>
      <c r="CD151" s="29">
        <f t="shared" si="78"/>
        <v>23.929</v>
      </c>
      <c r="CE151" s="29">
        <f t="shared" si="61"/>
        <v>19.62</v>
      </c>
      <c r="DP151" s="35">
        <v>43691</v>
      </c>
      <c r="DQ151" s="26">
        <v>3.05</v>
      </c>
      <c r="DR151" s="26">
        <v>2.85</v>
      </c>
      <c r="DS151" s="26">
        <v>2.933</v>
      </c>
      <c r="DU151" s="35">
        <v>43691</v>
      </c>
      <c r="DV151" s="26">
        <v>6.15</v>
      </c>
      <c r="DW151" s="26">
        <v>6.05</v>
      </c>
      <c r="DX151" s="26">
        <v>6.1</v>
      </c>
      <c r="DZ151" s="35">
        <v>43691</v>
      </c>
      <c r="EA151" s="26">
        <v>12.6</v>
      </c>
      <c r="EB151" s="26">
        <v>12.5</v>
      </c>
      <c r="EC151" s="26">
        <v>12.52</v>
      </c>
    </row>
    <row r="152" ht="16.8" spans="3:133">
      <c r="C152" s="5" t="str" cm="1">
        <f t="array" ref="C152">_xlfn.IFS(MONTH(D152)&lt;4,1,MONTH(D152)&lt;7,2,MONTH(D152)&lt;10,3,MONTH(D152)&gt;9,4)&amp;"Q"&amp;RIGHT(YEAR(D152),2)</f>
        <v>2Q21</v>
      </c>
      <c r="D152" s="2">
        <f t="shared" si="56"/>
        <v>44377</v>
      </c>
      <c r="E152" s="25">
        <v>44375</v>
      </c>
      <c r="F152" s="26">
        <v>2.618</v>
      </c>
      <c r="G152" s="26">
        <v>4.855</v>
      </c>
      <c r="H152" s="27"/>
      <c r="I152" s="28">
        <f t="shared" si="57"/>
        <v>0.0818125</v>
      </c>
      <c r="J152" s="28">
        <f t="shared" si="50"/>
        <v>0.075859375</v>
      </c>
      <c r="K152" s="28">
        <f t="shared" si="51"/>
        <v>0</v>
      </c>
      <c r="M152" s="36">
        <f t="shared" si="62"/>
        <v>-0.00531914893617025</v>
      </c>
      <c r="N152" s="36">
        <f t="shared" si="64"/>
        <v>-0.0109557990177559</v>
      </c>
      <c r="O152" s="36">
        <f t="shared" si="65"/>
        <v>-0.0135644310474755</v>
      </c>
      <c r="P152" s="36">
        <f t="shared" si="66"/>
        <v>-0.00553052027857415</v>
      </c>
      <c r="Q152" s="36">
        <f t="shared" si="67"/>
        <v>-0.00715746421267882</v>
      </c>
      <c r="R152" s="36">
        <f t="shared" si="68"/>
        <v>-0.0107986960065199</v>
      </c>
      <c r="S152" s="36"/>
      <c r="T152" s="36"/>
      <c r="U152" s="36"/>
      <c r="W152" s="5" t="str" cm="1">
        <f t="array" ref="W152">_xlfn.IFS(MONTH(X152)&lt;4,1,MONTH(X152)&lt;7,2,MONTH(X152)&lt;10,3,MONTH(X152)&gt;9,4)&amp;"Q"&amp;RIGHT(YEAR(X152),2)</f>
        <v>2Q21</v>
      </c>
      <c r="X152" s="2">
        <f t="shared" si="58"/>
        <v>44377</v>
      </c>
      <c r="Y152" s="25">
        <v>44354</v>
      </c>
      <c r="Z152" s="29">
        <v>23.929</v>
      </c>
      <c r="AD152" s="36">
        <f t="shared" si="63"/>
        <v>0</v>
      </c>
      <c r="AE152" s="36">
        <f t="shared" si="69"/>
        <v>0</v>
      </c>
      <c r="AF152" s="36">
        <f t="shared" si="70"/>
        <v>0</v>
      </c>
      <c r="BA152" s="25">
        <f t="shared" si="75"/>
        <v>44375</v>
      </c>
      <c r="BB152" s="28">
        <f t="shared" si="75"/>
        <v>2.618</v>
      </c>
      <c r="BC152" s="28">
        <f t="shared" si="53"/>
        <v>2.74</v>
      </c>
      <c r="BD152" s="28">
        <f t="shared" si="60"/>
        <v>4.855</v>
      </c>
      <c r="BE152" s="28">
        <f t="shared" si="54"/>
        <v>5.01</v>
      </c>
      <c r="BF152" s="28"/>
      <c r="BG152" s="28">
        <f t="shared" si="80"/>
        <v>8.4</v>
      </c>
      <c r="BH152" s="28"/>
      <c r="BI152" s="28">
        <f t="shared" si="79"/>
        <v>8.4</v>
      </c>
      <c r="CC152" s="25">
        <f t="shared" si="78"/>
        <v>44354</v>
      </c>
      <c r="CD152" s="29">
        <f t="shared" si="78"/>
        <v>23.929</v>
      </c>
      <c r="CE152" s="29">
        <f t="shared" si="61"/>
        <v>19.62</v>
      </c>
      <c r="DP152" s="35">
        <v>43692</v>
      </c>
      <c r="DQ152" s="26">
        <v>3.05</v>
      </c>
      <c r="DR152" s="26">
        <v>2.85</v>
      </c>
      <c r="DS152" s="26">
        <v>2.933</v>
      </c>
      <c r="DU152" s="35">
        <v>43692</v>
      </c>
      <c r="DV152" s="26">
        <v>6.15</v>
      </c>
      <c r="DW152" s="26">
        <v>6.05</v>
      </c>
      <c r="DX152" s="26">
        <v>6.1</v>
      </c>
      <c r="DZ152" s="35">
        <v>43692</v>
      </c>
      <c r="EA152" s="26">
        <v>12.6</v>
      </c>
      <c r="EB152" s="26">
        <v>12.5</v>
      </c>
      <c r="EC152" s="26">
        <v>12.52</v>
      </c>
    </row>
    <row r="153" ht="16.8" spans="3:133">
      <c r="C153" s="5" t="str" cm="1">
        <f t="array" ref="C153">_xlfn.IFS(MONTH(D153)&lt;4,1,MONTH(D153)&lt;7,2,MONTH(D153)&lt;10,3,MONTH(D153)&gt;9,4)&amp;"Q"&amp;RIGHT(YEAR(D153),2)</f>
        <v>3Q21</v>
      </c>
      <c r="D153" s="2">
        <f t="shared" si="56"/>
        <v>44408</v>
      </c>
      <c r="E153" s="25">
        <v>44382</v>
      </c>
      <c r="F153" s="26">
        <v>2.615</v>
      </c>
      <c r="G153" s="26">
        <v>4.863</v>
      </c>
      <c r="H153" s="27"/>
      <c r="I153" s="28">
        <f t="shared" si="57"/>
        <v>0.08171875</v>
      </c>
      <c r="J153" s="28">
        <f t="shared" si="50"/>
        <v>0.075984375</v>
      </c>
      <c r="K153" s="28">
        <f t="shared" si="51"/>
        <v>0</v>
      </c>
      <c r="M153" s="36">
        <f t="shared" si="62"/>
        <v>-0.00114591291061872</v>
      </c>
      <c r="N153" s="36">
        <f t="shared" si="64"/>
        <v>-0.0064589665653495</v>
      </c>
      <c r="O153" s="36">
        <f t="shared" si="65"/>
        <v>-0.012089157536834</v>
      </c>
      <c r="P153" s="36">
        <f t="shared" si="66"/>
        <v>0.00164778578784763</v>
      </c>
      <c r="Q153" s="36">
        <f t="shared" si="67"/>
        <v>-0.00389184760344108</v>
      </c>
      <c r="R153" s="36">
        <f t="shared" si="68"/>
        <v>-0.00552147239263789</v>
      </c>
      <c r="S153" s="36"/>
      <c r="T153" s="36"/>
      <c r="U153" s="36"/>
      <c r="W153" s="5" t="str" cm="1">
        <f t="array" ref="W153">_xlfn.IFS(MONTH(X153)&lt;4,1,MONTH(X153)&lt;7,2,MONTH(X153)&lt;10,3,MONTH(X153)&gt;9,4)&amp;"Q"&amp;RIGHT(YEAR(X153),2)</f>
        <v>2Q21</v>
      </c>
      <c r="X153" s="2">
        <f t="shared" si="58"/>
        <v>44377</v>
      </c>
      <c r="Y153" s="25">
        <v>44362</v>
      </c>
      <c r="Z153" s="29">
        <v>23.929</v>
      </c>
      <c r="AD153" s="36">
        <f t="shared" si="63"/>
        <v>0</v>
      </c>
      <c r="AE153" s="36">
        <f t="shared" si="69"/>
        <v>0</v>
      </c>
      <c r="AF153" s="36">
        <f t="shared" si="70"/>
        <v>0</v>
      </c>
      <c r="BA153" s="25">
        <f t="shared" si="75"/>
        <v>44382</v>
      </c>
      <c r="BB153" s="28">
        <f t="shared" si="75"/>
        <v>2.615</v>
      </c>
      <c r="BC153" s="28">
        <f t="shared" si="53"/>
        <v>2.78</v>
      </c>
      <c r="BD153" s="28">
        <f t="shared" si="60"/>
        <v>4.863</v>
      </c>
      <c r="BE153" s="28">
        <f t="shared" si="54"/>
        <v>5.05</v>
      </c>
      <c r="BF153" s="28"/>
      <c r="BG153" s="28">
        <f t="shared" si="80"/>
        <v>8.48</v>
      </c>
      <c r="BH153" s="28"/>
      <c r="BI153" s="28">
        <f t="shared" si="79"/>
        <v>8.48</v>
      </c>
      <c r="CC153" s="25">
        <f t="shared" si="78"/>
        <v>44362</v>
      </c>
      <c r="CD153" s="29">
        <f t="shared" si="78"/>
        <v>23.929</v>
      </c>
      <c r="CE153" s="29">
        <f t="shared" si="61"/>
        <v>19.62</v>
      </c>
      <c r="DP153" s="35">
        <v>43693</v>
      </c>
      <c r="DQ153" s="26">
        <v>3.05</v>
      </c>
      <c r="DR153" s="26">
        <v>2.85</v>
      </c>
      <c r="DS153" s="26">
        <v>2.933</v>
      </c>
      <c r="DU153" s="35">
        <v>43693</v>
      </c>
      <c r="DV153" s="26">
        <v>6.15</v>
      </c>
      <c r="DW153" s="26">
        <v>6.05</v>
      </c>
      <c r="DX153" s="26">
        <v>6.1</v>
      </c>
      <c r="DZ153" s="35">
        <v>43693</v>
      </c>
      <c r="EA153" s="26">
        <v>12.6</v>
      </c>
      <c r="EB153" s="26">
        <v>12.5</v>
      </c>
      <c r="EC153" s="26">
        <v>12.52</v>
      </c>
    </row>
    <row r="154" ht="16.8" spans="3:133">
      <c r="C154" s="5" t="str" cm="1">
        <f t="array" ref="C154">_xlfn.IFS(MONTH(D154)&lt;4,1,MONTH(D154)&lt;7,2,MONTH(D154)&lt;10,3,MONTH(D154)&gt;9,4)&amp;"Q"&amp;RIGHT(YEAR(D154),2)</f>
        <v>3Q21</v>
      </c>
      <c r="D154" s="2">
        <f t="shared" si="56"/>
        <v>44408</v>
      </c>
      <c r="E154" s="25">
        <v>44389</v>
      </c>
      <c r="F154" s="26">
        <v>2.65</v>
      </c>
      <c r="G154" s="26">
        <v>4.882</v>
      </c>
      <c r="H154" s="27"/>
      <c r="I154" s="28">
        <f t="shared" si="57"/>
        <v>0.0828125</v>
      </c>
      <c r="J154" s="28">
        <f t="shared" si="50"/>
        <v>0.07628125</v>
      </c>
      <c r="K154" s="28">
        <f t="shared" si="51"/>
        <v>0</v>
      </c>
      <c r="M154" s="36">
        <f t="shared" si="62"/>
        <v>0.0133843212237093</v>
      </c>
      <c r="N154" s="36">
        <f t="shared" si="64"/>
        <v>0.0122230710466005</v>
      </c>
      <c r="O154" s="36">
        <f t="shared" si="65"/>
        <v>0.00683890577507595</v>
      </c>
      <c r="P154" s="36">
        <f t="shared" si="66"/>
        <v>0.00390705325930485</v>
      </c>
      <c r="Q154" s="36">
        <f t="shared" si="67"/>
        <v>0.00556127703398546</v>
      </c>
      <c r="R154" s="36">
        <f t="shared" si="68"/>
        <v>0</v>
      </c>
      <c r="S154" s="36"/>
      <c r="T154" s="36"/>
      <c r="U154" s="36"/>
      <c r="W154" s="5" t="str" cm="1">
        <f t="array" ref="W154">_xlfn.IFS(MONTH(X154)&lt;4,1,MONTH(X154)&lt;7,2,MONTH(X154)&lt;10,3,MONTH(X154)&gt;9,4)&amp;"Q"&amp;RIGHT(YEAR(X154),2)</f>
        <v>2Q21</v>
      </c>
      <c r="X154" s="2">
        <f t="shared" si="58"/>
        <v>44377</v>
      </c>
      <c r="Y154" s="25">
        <v>44368</v>
      </c>
      <c r="Z154" s="29">
        <v>23.929</v>
      </c>
      <c r="AD154" s="36">
        <f t="shared" si="63"/>
        <v>0</v>
      </c>
      <c r="AE154" s="36">
        <f t="shared" si="69"/>
        <v>0</v>
      </c>
      <c r="AF154" s="36">
        <f t="shared" si="70"/>
        <v>0</v>
      </c>
      <c r="BA154" s="25">
        <f t="shared" si="75"/>
        <v>44389</v>
      </c>
      <c r="BB154" s="28">
        <f t="shared" si="75"/>
        <v>2.65</v>
      </c>
      <c r="BC154" s="28">
        <f t="shared" si="53"/>
        <v>2.78</v>
      </c>
      <c r="BD154" s="28">
        <f t="shared" si="60"/>
        <v>4.882</v>
      </c>
      <c r="BE154" s="28">
        <f t="shared" si="54"/>
        <v>5.05</v>
      </c>
      <c r="BF154" s="28"/>
      <c r="BG154" s="28">
        <f t="shared" si="80"/>
        <v>8.48</v>
      </c>
      <c r="BH154" s="28"/>
      <c r="BI154" s="28">
        <f t="shared" si="79"/>
        <v>8.48</v>
      </c>
      <c r="CC154" s="25">
        <f t="shared" si="78"/>
        <v>44368</v>
      </c>
      <c r="CD154" s="29">
        <f t="shared" si="78"/>
        <v>23.929</v>
      </c>
      <c r="CE154" s="29">
        <f t="shared" si="61"/>
        <v>19.62</v>
      </c>
      <c r="DP154" s="35">
        <v>43696</v>
      </c>
      <c r="DQ154" s="26">
        <v>3.05</v>
      </c>
      <c r="DR154" s="26">
        <v>2.85</v>
      </c>
      <c r="DS154" s="26">
        <v>2.933</v>
      </c>
      <c r="DU154" s="35">
        <v>43696</v>
      </c>
      <c r="DV154" s="26">
        <v>6.2</v>
      </c>
      <c r="DW154" s="26">
        <v>6.05</v>
      </c>
      <c r="DX154" s="26">
        <v>6.115</v>
      </c>
      <c r="DZ154" s="35">
        <v>43696</v>
      </c>
      <c r="EA154" s="26">
        <v>12.8</v>
      </c>
      <c r="EB154" s="26">
        <v>12.6</v>
      </c>
      <c r="EC154" s="26">
        <v>12.7</v>
      </c>
    </row>
    <row r="155" ht="16.8" spans="3:133">
      <c r="C155" s="5" t="str" cm="1">
        <f t="array" ref="C155">_xlfn.IFS(MONTH(D155)&lt;4,1,MONTH(D155)&lt;7,2,MONTH(D155)&lt;10,3,MONTH(D155)&gt;9,4)&amp;"Q"&amp;RIGHT(YEAR(D155),2)</f>
        <v>3Q21</v>
      </c>
      <c r="D155" s="2">
        <f t="shared" si="56"/>
        <v>44408</v>
      </c>
      <c r="E155" s="25">
        <v>44396</v>
      </c>
      <c r="F155" s="26">
        <v>2.65</v>
      </c>
      <c r="G155" s="26">
        <v>4.89</v>
      </c>
      <c r="H155" s="27"/>
      <c r="I155" s="28">
        <f t="shared" si="57"/>
        <v>0.0828125</v>
      </c>
      <c r="J155" s="28">
        <f t="shared" ref="J155:J218" si="83">G155/512*8</f>
        <v>0.07640625</v>
      </c>
      <c r="K155" s="28">
        <f t="shared" ref="K155:K218" si="84">H155/1024*8</f>
        <v>0</v>
      </c>
      <c r="M155" s="36">
        <f t="shared" si="62"/>
        <v>0</v>
      </c>
      <c r="N155" s="36">
        <f t="shared" si="64"/>
        <v>0.0133843212237093</v>
      </c>
      <c r="O155" s="36">
        <f t="shared" si="65"/>
        <v>0.0122230710466005</v>
      </c>
      <c r="P155" s="36">
        <f t="shared" si="66"/>
        <v>0.00163867267513318</v>
      </c>
      <c r="Q155" s="36">
        <f t="shared" si="67"/>
        <v>0.00555212831585417</v>
      </c>
      <c r="R155" s="36">
        <f t="shared" si="68"/>
        <v>0.00720906282183309</v>
      </c>
      <c r="S155" s="36"/>
      <c r="T155" s="36"/>
      <c r="U155" s="36"/>
      <c r="W155" s="5" t="str" cm="1">
        <f t="array" ref="W155">_xlfn.IFS(MONTH(X155)&lt;4,1,MONTH(X155)&lt;7,2,MONTH(X155)&lt;10,3,MONTH(X155)&gt;9,4)&amp;"Q"&amp;RIGHT(YEAR(X155),2)</f>
        <v>2Q21</v>
      </c>
      <c r="X155" s="2">
        <f t="shared" si="58"/>
        <v>44377</v>
      </c>
      <c r="Y155" s="25">
        <v>44375</v>
      </c>
      <c r="Z155" s="29">
        <v>23.929</v>
      </c>
      <c r="AD155" s="36">
        <f t="shared" si="63"/>
        <v>0</v>
      </c>
      <c r="AE155" s="36">
        <f t="shared" si="69"/>
        <v>0</v>
      </c>
      <c r="AF155" s="36">
        <f t="shared" si="70"/>
        <v>0</v>
      </c>
      <c r="BA155" s="25">
        <f t="shared" si="75"/>
        <v>44396</v>
      </c>
      <c r="BB155" s="28">
        <f t="shared" si="75"/>
        <v>2.65</v>
      </c>
      <c r="BC155" s="28">
        <f t="shared" ref="BC155:BC218" si="85">INDEX($AM:$AQ,MATCH($D155,$AK:$AK,0),MATCH(BB$25,$AM$26:$AQ$26,0))</f>
        <v>2.78</v>
      </c>
      <c r="BD155" s="28">
        <f t="shared" si="60"/>
        <v>4.89</v>
      </c>
      <c r="BE155" s="28">
        <f t="shared" ref="BE155:BE209" si="86">INDEX($AM:$AQ,MATCH($D155,$AK:$AK,0),MATCH(BD$25,$AM$26:$AQ$26,0))</f>
        <v>5.05</v>
      </c>
      <c r="BF155" s="28"/>
      <c r="BG155" s="28">
        <f t="shared" si="80"/>
        <v>8.48</v>
      </c>
      <c r="BH155" s="28"/>
      <c r="BI155" s="28">
        <f t="shared" si="79"/>
        <v>8.48</v>
      </c>
      <c r="CC155" s="25">
        <f t="shared" ref="CC155:CD175" si="87">Y155</f>
        <v>44375</v>
      </c>
      <c r="CD155" s="29">
        <f t="shared" si="87"/>
        <v>23.929</v>
      </c>
      <c r="CE155" s="29">
        <f t="shared" si="61"/>
        <v>19.62</v>
      </c>
      <c r="DP155" s="35">
        <v>43697</v>
      </c>
      <c r="DQ155" s="26">
        <v>3.05</v>
      </c>
      <c r="DR155" s="26">
        <v>2.85</v>
      </c>
      <c r="DS155" s="26">
        <v>2.933</v>
      </c>
      <c r="DU155" s="35">
        <v>43697</v>
      </c>
      <c r="DV155" s="26">
        <v>6.2</v>
      </c>
      <c r="DW155" s="26">
        <v>6.05</v>
      </c>
      <c r="DX155" s="26">
        <v>6.13</v>
      </c>
      <c r="DZ155" s="35">
        <v>43697</v>
      </c>
      <c r="EA155" s="26">
        <v>13</v>
      </c>
      <c r="EB155" s="26">
        <v>12.8</v>
      </c>
      <c r="EC155" s="26">
        <v>12.9</v>
      </c>
    </row>
    <row r="156" ht="16.8" spans="3:133">
      <c r="C156" s="5" t="str" cm="1">
        <f t="array" ref="C156">_xlfn.IFS(MONTH(D156)&lt;4,1,MONTH(D156)&lt;7,2,MONTH(D156)&lt;10,3,MONTH(D156)&gt;9,4)&amp;"Q"&amp;RIGHT(YEAR(D156),2)</f>
        <v>3Q21</v>
      </c>
      <c r="D156" s="2">
        <f t="shared" ref="D156:D219" si="88">EOMONTH(E156,0)</f>
        <v>44408</v>
      </c>
      <c r="E156" s="25">
        <v>44403</v>
      </c>
      <c r="F156" s="26">
        <v>2.649</v>
      </c>
      <c r="G156" s="26">
        <v>4.889</v>
      </c>
      <c r="H156" s="27"/>
      <c r="I156" s="28">
        <f t="shared" ref="I156:I219" si="89">F156/256*8</f>
        <v>0.08278125</v>
      </c>
      <c r="J156" s="28">
        <f t="shared" si="83"/>
        <v>0.076390625</v>
      </c>
      <c r="K156" s="28">
        <f t="shared" si="84"/>
        <v>0</v>
      </c>
      <c r="M156" s="36">
        <f t="shared" si="62"/>
        <v>-0.000377358490565971</v>
      </c>
      <c r="N156" s="36">
        <f t="shared" si="64"/>
        <v>-0.000377358490565971</v>
      </c>
      <c r="O156" s="36">
        <f t="shared" si="65"/>
        <v>0.0130019120458891</v>
      </c>
      <c r="P156" s="36">
        <f t="shared" si="66"/>
        <v>-0.000204498977504963</v>
      </c>
      <c r="Q156" s="36">
        <f t="shared" si="67"/>
        <v>0.00143383859074153</v>
      </c>
      <c r="R156" s="36">
        <f t="shared" si="68"/>
        <v>0.00534649393378572</v>
      </c>
      <c r="S156" s="36"/>
      <c r="T156" s="36"/>
      <c r="U156" s="36"/>
      <c r="W156" s="5" t="str" cm="1">
        <f t="array" ref="W156">_xlfn.IFS(MONTH(X156)&lt;4,1,MONTH(X156)&lt;7,2,MONTH(X156)&lt;10,3,MONTH(X156)&gt;9,4)&amp;"Q"&amp;RIGHT(YEAR(X156),2)</f>
        <v>3Q21</v>
      </c>
      <c r="X156" s="2">
        <f t="shared" ref="X156:X175" si="90">EOMONTH(Y156,0)</f>
        <v>44408</v>
      </c>
      <c r="Y156" s="25">
        <v>44382</v>
      </c>
      <c r="Z156" s="29">
        <v>23.929</v>
      </c>
      <c r="AD156" s="36">
        <f t="shared" si="63"/>
        <v>0</v>
      </c>
      <c r="AE156" s="36">
        <f t="shared" si="69"/>
        <v>0</v>
      </c>
      <c r="AF156" s="36">
        <f t="shared" si="70"/>
        <v>0</v>
      </c>
      <c r="BA156" s="25">
        <f t="shared" si="75"/>
        <v>44403</v>
      </c>
      <c r="BB156" s="28">
        <f t="shared" si="75"/>
        <v>2.649</v>
      </c>
      <c r="BC156" s="28">
        <f t="shared" si="85"/>
        <v>2.78</v>
      </c>
      <c r="BD156" s="28">
        <f t="shared" ref="BD156:BD219" si="91">G156</f>
        <v>4.889</v>
      </c>
      <c r="BE156" s="28">
        <f t="shared" si="86"/>
        <v>5.05</v>
      </c>
      <c r="BF156" s="28"/>
      <c r="BG156" s="28">
        <f t="shared" si="80"/>
        <v>8.48</v>
      </c>
      <c r="BH156" s="28"/>
      <c r="BI156" s="28">
        <f t="shared" si="79"/>
        <v>8.48</v>
      </c>
      <c r="CC156" s="25">
        <f t="shared" si="87"/>
        <v>44382</v>
      </c>
      <c r="CD156" s="29">
        <f t="shared" si="87"/>
        <v>23.929</v>
      </c>
      <c r="CE156" s="29">
        <f t="shared" ref="CE156:CE175" si="92">INDEX($BL$27:$BQ$89,MATCH($W156,$BK$27:$BK$89,0),MATCH(CD$25,$BL$26:$BQ$26,0))</f>
        <v>20</v>
      </c>
      <c r="DP156" s="35">
        <v>43698</v>
      </c>
      <c r="DQ156" s="26">
        <v>3.05</v>
      </c>
      <c r="DR156" s="26">
        <v>2.85</v>
      </c>
      <c r="DS156" s="26">
        <v>2.933</v>
      </c>
      <c r="DU156" s="35">
        <v>43698</v>
      </c>
      <c r="DV156" s="26">
        <v>6.2</v>
      </c>
      <c r="DW156" s="26">
        <v>6.05</v>
      </c>
      <c r="DX156" s="26">
        <v>6.13</v>
      </c>
      <c r="DZ156" s="35">
        <v>43698</v>
      </c>
      <c r="EA156" s="26">
        <v>13</v>
      </c>
      <c r="EB156" s="26">
        <v>12.8</v>
      </c>
      <c r="EC156" s="26">
        <v>12.9</v>
      </c>
    </row>
    <row r="157" ht="16.8" spans="3:133">
      <c r="C157" s="5" t="str" cm="1">
        <f t="array" ref="C157">_xlfn.IFS(MONTH(D157)&lt;4,1,MONTH(D157)&lt;7,2,MONTH(D157)&lt;10,3,MONTH(D157)&gt;9,4)&amp;"Q"&amp;RIGHT(YEAR(D157),2)</f>
        <v>3Q21</v>
      </c>
      <c r="D157" s="2">
        <f t="shared" si="88"/>
        <v>44439</v>
      </c>
      <c r="E157" s="25">
        <v>44410</v>
      </c>
      <c r="F157" s="26">
        <v>2.649</v>
      </c>
      <c r="G157" s="26">
        <v>4.894</v>
      </c>
      <c r="H157" s="27"/>
      <c r="I157" s="28">
        <f t="shared" si="89"/>
        <v>0.08278125</v>
      </c>
      <c r="J157" s="28">
        <f t="shared" si="83"/>
        <v>0.07646875</v>
      </c>
      <c r="K157" s="28">
        <f t="shared" si="84"/>
        <v>0</v>
      </c>
      <c r="M157" s="36">
        <f t="shared" ref="M157:M220" si="93">$F157/$F156-1</f>
        <v>0</v>
      </c>
      <c r="N157" s="36">
        <f t="shared" si="64"/>
        <v>-0.000377358490565971</v>
      </c>
      <c r="O157" s="36">
        <f t="shared" si="65"/>
        <v>-0.000377358490565971</v>
      </c>
      <c r="P157" s="36">
        <f t="shared" si="66"/>
        <v>0.00102270402945392</v>
      </c>
      <c r="Q157" s="36">
        <f t="shared" si="67"/>
        <v>0.000817995910020519</v>
      </c>
      <c r="R157" s="36">
        <f t="shared" si="68"/>
        <v>0.00245800901269977</v>
      </c>
      <c r="S157" s="36"/>
      <c r="T157" s="36"/>
      <c r="U157" s="36"/>
      <c r="W157" s="5" t="str" cm="1">
        <f t="array" ref="W157">_xlfn.IFS(MONTH(X157)&lt;4,1,MONTH(X157)&lt;7,2,MONTH(X157)&lt;10,3,MONTH(X157)&gt;9,4)&amp;"Q"&amp;RIGHT(YEAR(X157),2)</f>
        <v>3Q21</v>
      </c>
      <c r="X157" s="2">
        <f t="shared" si="90"/>
        <v>44408</v>
      </c>
      <c r="Y157" s="25">
        <v>44389</v>
      </c>
      <c r="Z157" s="29">
        <v>23.929</v>
      </c>
      <c r="AD157" s="36">
        <f t="shared" ref="AD157:AD175" si="94">Z157/Z156-1</f>
        <v>0</v>
      </c>
      <c r="AE157" s="36">
        <f t="shared" si="69"/>
        <v>0</v>
      </c>
      <c r="AF157" s="36">
        <f t="shared" si="70"/>
        <v>0</v>
      </c>
      <c r="BA157" s="25">
        <f t="shared" si="75"/>
        <v>44410</v>
      </c>
      <c r="BB157" s="28">
        <f t="shared" si="75"/>
        <v>2.649</v>
      </c>
      <c r="BC157" s="28">
        <f t="shared" si="85"/>
        <v>2.78</v>
      </c>
      <c r="BD157" s="28">
        <f t="shared" si="91"/>
        <v>4.894</v>
      </c>
      <c r="BE157" s="28">
        <f t="shared" si="86"/>
        <v>5.01</v>
      </c>
      <c r="BF157" s="28"/>
      <c r="BG157" s="28">
        <f t="shared" si="80"/>
        <v>8.48</v>
      </c>
      <c r="BH157" s="28"/>
      <c r="BI157" s="28">
        <f t="shared" si="79"/>
        <v>8.48</v>
      </c>
      <c r="CC157" s="25">
        <f t="shared" si="87"/>
        <v>44389</v>
      </c>
      <c r="CD157" s="29">
        <f t="shared" si="87"/>
        <v>23.929</v>
      </c>
      <c r="CE157" s="29">
        <f t="shared" si="92"/>
        <v>20</v>
      </c>
      <c r="DP157" s="35">
        <v>43699</v>
      </c>
      <c r="DQ157" s="26">
        <v>3.05</v>
      </c>
      <c r="DR157" s="26">
        <v>2.85</v>
      </c>
      <c r="DS157" s="26">
        <v>2.933</v>
      </c>
      <c r="DU157" s="35">
        <v>43699</v>
      </c>
      <c r="DV157" s="26">
        <v>6.2</v>
      </c>
      <c r="DW157" s="26">
        <v>6.05</v>
      </c>
      <c r="DX157" s="26">
        <v>6.13</v>
      </c>
      <c r="DZ157" s="35">
        <v>43699</v>
      </c>
      <c r="EA157" s="26">
        <v>13</v>
      </c>
      <c r="EB157" s="26">
        <v>12.8</v>
      </c>
      <c r="EC157" s="26">
        <v>12.9</v>
      </c>
    </row>
    <row r="158" ht="16.8" spans="3:133">
      <c r="C158" s="5" t="str" cm="1">
        <f t="array" ref="C158">_xlfn.IFS(MONTH(D158)&lt;4,1,MONTH(D158)&lt;7,2,MONTH(D158)&lt;10,3,MONTH(D158)&gt;9,4)&amp;"Q"&amp;RIGHT(YEAR(D158),2)</f>
        <v>3Q21</v>
      </c>
      <c r="D158" s="2">
        <f t="shared" si="88"/>
        <v>44439</v>
      </c>
      <c r="E158" s="25">
        <v>44417</v>
      </c>
      <c r="F158" s="26">
        <v>2.648</v>
      </c>
      <c r="G158" s="26">
        <v>4.892</v>
      </c>
      <c r="H158" s="27"/>
      <c r="I158" s="28">
        <f t="shared" si="89"/>
        <v>0.08275</v>
      </c>
      <c r="J158" s="28">
        <f t="shared" si="83"/>
        <v>0.0764375</v>
      </c>
      <c r="K158" s="28">
        <f t="shared" si="84"/>
        <v>0</v>
      </c>
      <c r="M158" s="36">
        <f t="shared" si="93"/>
        <v>-0.000377500943752329</v>
      </c>
      <c r="N158" s="36">
        <f t="shared" si="64"/>
        <v>-0.000377500943752329</v>
      </c>
      <c r="O158" s="36">
        <f t="shared" si="65"/>
        <v>-0.000754716981131942</v>
      </c>
      <c r="P158" s="36">
        <f t="shared" si="66"/>
        <v>-0.000408663669799747</v>
      </c>
      <c r="Q158" s="36">
        <f t="shared" si="67"/>
        <v>0.000613622417672266</v>
      </c>
      <c r="R158" s="36">
        <f t="shared" si="68"/>
        <v>0.000408997955010371</v>
      </c>
      <c r="S158" s="36"/>
      <c r="T158" s="36"/>
      <c r="U158" s="36"/>
      <c r="W158" s="5" t="str" cm="1">
        <f t="array" ref="W158">_xlfn.IFS(MONTH(X158)&lt;4,1,MONTH(X158)&lt;7,2,MONTH(X158)&lt;10,3,MONTH(X158)&gt;9,4)&amp;"Q"&amp;RIGHT(YEAR(X158),2)</f>
        <v>3Q21</v>
      </c>
      <c r="X158" s="2">
        <f t="shared" si="90"/>
        <v>44408</v>
      </c>
      <c r="Y158" s="25">
        <v>44396</v>
      </c>
      <c r="Z158" s="29">
        <v>24.024</v>
      </c>
      <c r="AD158" s="36">
        <f t="shared" si="94"/>
        <v>0.00397007814785422</v>
      </c>
      <c r="AE158" s="36">
        <f t="shared" si="69"/>
        <v>0.00397007814785422</v>
      </c>
      <c r="AF158" s="36">
        <f t="shared" si="70"/>
        <v>0.00397007814785422</v>
      </c>
      <c r="BA158" s="25">
        <f t="shared" si="75"/>
        <v>44417</v>
      </c>
      <c r="BB158" s="28">
        <f t="shared" si="75"/>
        <v>2.648</v>
      </c>
      <c r="BC158" s="28">
        <f t="shared" si="85"/>
        <v>2.78</v>
      </c>
      <c r="BD158" s="28">
        <f t="shared" si="91"/>
        <v>4.892</v>
      </c>
      <c r="BE158" s="28">
        <f t="shared" si="86"/>
        <v>5.01</v>
      </c>
      <c r="BF158" s="28"/>
      <c r="BG158" s="28">
        <f t="shared" si="80"/>
        <v>8.48</v>
      </c>
      <c r="BH158" s="28"/>
      <c r="BI158" s="28">
        <f t="shared" si="79"/>
        <v>8.48</v>
      </c>
      <c r="CC158" s="25">
        <f t="shared" si="87"/>
        <v>44396</v>
      </c>
      <c r="CD158" s="29">
        <f t="shared" si="87"/>
        <v>24.024</v>
      </c>
      <c r="CE158" s="29">
        <f t="shared" si="92"/>
        <v>20</v>
      </c>
      <c r="DP158" s="35">
        <v>43700</v>
      </c>
      <c r="DQ158" s="26">
        <v>3.05</v>
      </c>
      <c r="DR158" s="26">
        <v>2.85</v>
      </c>
      <c r="DS158" s="26">
        <v>2.933</v>
      </c>
      <c r="DU158" s="35">
        <v>43700</v>
      </c>
      <c r="DV158" s="26">
        <v>6.2</v>
      </c>
      <c r="DW158" s="26">
        <v>6.05</v>
      </c>
      <c r="DX158" s="26">
        <v>6.13</v>
      </c>
      <c r="DZ158" s="35">
        <v>43700</v>
      </c>
      <c r="EA158" s="26">
        <v>13</v>
      </c>
      <c r="EB158" s="26">
        <v>12.8</v>
      </c>
      <c r="EC158" s="26">
        <v>12.9</v>
      </c>
    </row>
    <row r="159" ht="16.8" spans="3:133">
      <c r="C159" s="5" t="str" cm="1">
        <f t="array" ref="C159">_xlfn.IFS(MONTH(D159)&lt;4,1,MONTH(D159)&lt;7,2,MONTH(D159)&lt;10,3,MONTH(D159)&gt;9,4)&amp;"Q"&amp;RIGHT(YEAR(D159),2)</f>
        <v>3Q21</v>
      </c>
      <c r="D159" s="2">
        <f t="shared" si="88"/>
        <v>44439</v>
      </c>
      <c r="E159" s="25">
        <v>44424</v>
      </c>
      <c r="F159" s="26">
        <v>2.636</v>
      </c>
      <c r="G159" s="26">
        <v>4.879</v>
      </c>
      <c r="H159" s="27"/>
      <c r="I159" s="28">
        <f t="shared" si="89"/>
        <v>0.082375</v>
      </c>
      <c r="J159" s="28">
        <f t="shared" si="83"/>
        <v>0.076234375</v>
      </c>
      <c r="K159" s="28">
        <f t="shared" si="84"/>
        <v>0</v>
      </c>
      <c r="M159" s="36">
        <f t="shared" si="93"/>
        <v>-0.00453172205438068</v>
      </c>
      <c r="N159" s="36">
        <f t="shared" ref="N159:N222" si="95">$F159/$F157-1</f>
        <v>-0.00490751226878061</v>
      </c>
      <c r="O159" s="36">
        <f t="shared" ref="O159:O222" si="96">$F159/$F156-1</f>
        <v>-0.00490751226878061</v>
      </c>
      <c r="P159" s="36">
        <f t="shared" ref="P159:P222" si="97">$G159/$G158-1</f>
        <v>-0.00265739983646784</v>
      </c>
      <c r="Q159" s="36">
        <f t="shared" ref="Q159:Q222" si="98">$G159/$G157-1</f>
        <v>-0.00306497752349832</v>
      </c>
      <c r="R159" s="36">
        <f t="shared" ref="R159:R222" si="99">$G159/$G156-1</f>
        <v>-0.00204540805890785</v>
      </c>
      <c r="S159" s="36"/>
      <c r="T159" s="36"/>
      <c r="U159" s="36"/>
      <c r="W159" s="5" t="str" cm="1">
        <f t="array" ref="W159">_xlfn.IFS(MONTH(X159)&lt;4,1,MONTH(X159)&lt;7,2,MONTH(X159)&lt;10,3,MONTH(X159)&gt;9,4)&amp;"Q"&amp;RIGHT(YEAR(X159),2)</f>
        <v>3Q21</v>
      </c>
      <c r="X159" s="2">
        <f t="shared" si="90"/>
        <v>44408</v>
      </c>
      <c r="Y159" s="25">
        <v>44403</v>
      </c>
      <c r="Z159" s="29">
        <v>24.024</v>
      </c>
      <c r="AD159" s="36">
        <f t="shared" si="94"/>
        <v>0</v>
      </c>
      <c r="AE159" s="36">
        <f t="shared" ref="AE159:AE175" si="100">Z159/Z157-1</f>
        <v>0.00397007814785422</v>
      </c>
      <c r="AF159" s="36">
        <f t="shared" ref="AF159:AF175" si="101">Z159/Z156-1</f>
        <v>0.00397007814785422</v>
      </c>
      <c r="BA159" s="25">
        <f t="shared" si="75"/>
        <v>44424</v>
      </c>
      <c r="BB159" s="28">
        <f t="shared" si="75"/>
        <v>2.636</v>
      </c>
      <c r="BC159" s="28">
        <f t="shared" si="85"/>
        <v>2.78</v>
      </c>
      <c r="BD159" s="28">
        <f t="shared" si="91"/>
        <v>4.879</v>
      </c>
      <c r="BE159" s="28">
        <f t="shared" si="86"/>
        <v>5.01</v>
      </c>
      <c r="BF159" s="28"/>
      <c r="BG159" s="28">
        <f t="shared" si="80"/>
        <v>8.48</v>
      </c>
      <c r="BH159" s="28"/>
      <c r="BI159" s="28">
        <f t="shared" si="79"/>
        <v>8.48</v>
      </c>
      <c r="CC159" s="25">
        <f t="shared" si="87"/>
        <v>44403</v>
      </c>
      <c r="CD159" s="29">
        <f t="shared" si="87"/>
        <v>24.024</v>
      </c>
      <c r="CE159" s="29">
        <f t="shared" si="92"/>
        <v>20</v>
      </c>
      <c r="DP159" s="35">
        <v>43703</v>
      </c>
      <c r="DQ159" s="26">
        <v>3.05</v>
      </c>
      <c r="DR159" s="26">
        <v>2.85</v>
      </c>
      <c r="DS159" s="26">
        <v>2.944</v>
      </c>
      <c r="DU159" s="35">
        <v>43703</v>
      </c>
      <c r="DV159" s="26">
        <v>6.2</v>
      </c>
      <c r="DW159" s="26">
        <v>6.05</v>
      </c>
      <c r="DX159" s="26">
        <v>6.13</v>
      </c>
      <c r="DZ159" s="35">
        <v>43703</v>
      </c>
      <c r="EA159" s="26">
        <v>13</v>
      </c>
      <c r="EB159" s="26">
        <v>12.8</v>
      </c>
      <c r="EC159" s="26">
        <v>12.9</v>
      </c>
    </row>
    <row r="160" ht="16.8" spans="3:133">
      <c r="C160" s="5" t="str" cm="1">
        <f t="array" ref="C160">_xlfn.IFS(MONTH(D160)&lt;4,1,MONTH(D160)&lt;7,2,MONTH(D160)&lt;10,3,MONTH(D160)&gt;9,4)&amp;"Q"&amp;RIGHT(YEAR(D160),2)</f>
        <v>3Q21</v>
      </c>
      <c r="D160" s="2">
        <f t="shared" si="88"/>
        <v>44439</v>
      </c>
      <c r="E160" s="25">
        <v>44431</v>
      </c>
      <c r="F160" s="26">
        <v>2.604</v>
      </c>
      <c r="G160" s="26">
        <v>4.867</v>
      </c>
      <c r="H160" s="27"/>
      <c r="I160" s="28">
        <f t="shared" si="89"/>
        <v>0.081375</v>
      </c>
      <c r="J160" s="28">
        <f t="shared" si="83"/>
        <v>0.076046875</v>
      </c>
      <c r="K160" s="28">
        <f t="shared" si="84"/>
        <v>0</v>
      </c>
      <c r="M160" s="36">
        <f t="shared" si="93"/>
        <v>-0.0121396054628224</v>
      </c>
      <c r="N160" s="36">
        <f t="shared" si="95"/>
        <v>-0.0166163141993958</v>
      </c>
      <c r="O160" s="36">
        <f t="shared" si="96"/>
        <v>-0.0169875424688561</v>
      </c>
      <c r="P160" s="36">
        <f t="shared" si="97"/>
        <v>-0.00245952039352315</v>
      </c>
      <c r="Q160" s="36">
        <f t="shared" si="98"/>
        <v>-0.0051103843008995</v>
      </c>
      <c r="R160" s="36">
        <f t="shared" si="99"/>
        <v>-0.0055169595422967</v>
      </c>
      <c r="S160" s="36"/>
      <c r="T160" s="36"/>
      <c r="U160" s="36"/>
      <c r="W160" s="5" t="str" cm="1">
        <f t="array" ref="W160">_xlfn.IFS(MONTH(X160)&lt;4,1,MONTH(X160)&lt;7,2,MONTH(X160)&lt;10,3,MONTH(X160)&gt;9,4)&amp;"Q"&amp;RIGHT(YEAR(X160),2)</f>
        <v>3Q21</v>
      </c>
      <c r="X160" s="2">
        <f t="shared" si="90"/>
        <v>44439</v>
      </c>
      <c r="Y160" s="25">
        <v>44410</v>
      </c>
      <c r="Z160" s="29">
        <v>24.024</v>
      </c>
      <c r="AD160" s="36">
        <f t="shared" si="94"/>
        <v>0</v>
      </c>
      <c r="AE160" s="36">
        <f t="shared" si="100"/>
        <v>0</v>
      </c>
      <c r="AF160" s="36">
        <f t="shared" si="101"/>
        <v>0.00397007814785422</v>
      </c>
      <c r="BA160" s="25">
        <f t="shared" si="75"/>
        <v>44431</v>
      </c>
      <c r="BB160" s="28">
        <f t="shared" si="75"/>
        <v>2.604</v>
      </c>
      <c r="BC160" s="28">
        <f t="shared" si="85"/>
        <v>2.78</v>
      </c>
      <c r="BD160" s="28">
        <f t="shared" si="91"/>
        <v>4.867</v>
      </c>
      <c r="BE160" s="28">
        <f t="shared" si="86"/>
        <v>5.01</v>
      </c>
      <c r="BF160" s="28"/>
      <c r="BG160" s="28">
        <f t="shared" si="80"/>
        <v>8.48</v>
      </c>
      <c r="BH160" s="28"/>
      <c r="BI160" s="28">
        <f t="shared" si="79"/>
        <v>8.48</v>
      </c>
      <c r="CC160" s="25">
        <f t="shared" si="87"/>
        <v>44410</v>
      </c>
      <c r="CD160" s="29">
        <f t="shared" si="87"/>
        <v>24.024</v>
      </c>
      <c r="CE160" s="29">
        <f t="shared" si="92"/>
        <v>20</v>
      </c>
      <c r="DP160" s="35">
        <v>43704</v>
      </c>
      <c r="DQ160" s="26">
        <v>3.05</v>
      </c>
      <c r="DR160" s="26">
        <v>2.85</v>
      </c>
      <c r="DS160" s="26">
        <v>2.944</v>
      </c>
      <c r="DU160" s="35">
        <v>43704</v>
      </c>
      <c r="DV160" s="26">
        <v>6.2</v>
      </c>
      <c r="DW160" s="26">
        <v>6.05</v>
      </c>
      <c r="DX160" s="26">
        <v>6.13</v>
      </c>
      <c r="DZ160" s="35">
        <v>43704</v>
      </c>
      <c r="EA160" s="26">
        <v>13</v>
      </c>
      <c r="EB160" s="26">
        <v>12.8</v>
      </c>
      <c r="EC160" s="26">
        <v>12.9</v>
      </c>
    </row>
    <row r="161" ht="16.8" spans="3:133">
      <c r="C161" s="5" t="str" cm="1">
        <f t="array" ref="C161">_xlfn.IFS(MONTH(D161)&lt;4,1,MONTH(D161)&lt;7,2,MONTH(D161)&lt;10,3,MONTH(D161)&gt;9,4)&amp;"Q"&amp;RIGHT(YEAR(D161),2)</f>
        <v>3Q21</v>
      </c>
      <c r="D161" s="2">
        <f t="shared" si="88"/>
        <v>44439</v>
      </c>
      <c r="E161" s="25">
        <v>44438</v>
      </c>
      <c r="F161" s="26">
        <v>2.579</v>
      </c>
      <c r="G161" s="26">
        <v>4.802</v>
      </c>
      <c r="H161" s="27"/>
      <c r="I161" s="28">
        <f t="shared" si="89"/>
        <v>0.08059375</v>
      </c>
      <c r="J161" s="28">
        <f t="shared" si="83"/>
        <v>0.07503125</v>
      </c>
      <c r="K161" s="28">
        <f t="shared" si="84"/>
        <v>0</v>
      </c>
      <c r="M161" s="36">
        <f t="shared" si="93"/>
        <v>-0.00960061443932403</v>
      </c>
      <c r="N161" s="36">
        <f t="shared" si="95"/>
        <v>-0.0216236722306525</v>
      </c>
      <c r="O161" s="36">
        <f t="shared" si="96"/>
        <v>-0.0260574018126888</v>
      </c>
      <c r="P161" s="36">
        <f t="shared" si="97"/>
        <v>-0.0133552496404357</v>
      </c>
      <c r="Q161" s="36">
        <f t="shared" si="98"/>
        <v>-0.0157819225251076</v>
      </c>
      <c r="R161" s="36">
        <f t="shared" si="99"/>
        <v>-0.0183973834832381</v>
      </c>
      <c r="S161" s="36"/>
      <c r="T161" s="36"/>
      <c r="U161" s="36"/>
      <c r="W161" s="5" t="str" cm="1">
        <f t="array" ref="W161">_xlfn.IFS(MONTH(X161)&lt;4,1,MONTH(X161)&lt;7,2,MONTH(X161)&lt;10,3,MONTH(X161)&gt;9,4)&amp;"Q"&amp;RIGHT(YEAR(X161),2)</f>
        <v>3Q21</v>
      </c>
      <c r="X161" s="2">
        <f t="shared" si="90"/>
        <v>44439</v>
      </c>
      <c r="Y161" s="25">
        <v>44417</v>
      </c>
      <c r="Z161" s="29">
        <v>24.024</v>
      </c>
      <c r="AD161" s="36">
        <f t="shared" si="94"/>
        <v>0</v>
      </c>
      <c r="AE161" s="36">
        <f t="shared" si="100"/>
        <v>0</v>
      </c>
      <c r="AF161" s="36">
        <f t="shared" si="101"/>
        <v>0</v>
      </c>
      <c r="BA161" s="25">
        <f t="shared" si="75"/>
        <v>44438</v>
      </c>
      <c r="BB161" s="28">
        <f t="shared" si="75"/>
        <v>2.579</v>
      </c>
      <c r="BC161" s="28">
        <f t="shared" si="85"/>
        <v>2.78</v>
      </c>
      <c r="BD161" s="28">
        <f t="shared" si="91"/>
        <v>4.802</v>
      </c>
      <c r="BE161" s="28">
        <f t="shared" si="86"/>
        <v>5.01</v>
      </c>
      <c r="BF161" s="28"/>
      <c r="BG161" s="28">
        <f t="shared" si="80"/>
        <v>8.48</v>
      </c>
      <c r="BH161" s="28"/>
      <c r="BI161" s="28">
        <f t="shared" si="79"/>
        <v>8.48</v>
      </c>
      <c r="CC161" s="25">
        <f t="shared" si="87"/>
        <v>44417</v>
      </c>
      <c r="CD161" s="29">
        <f t="shared" si="87"/>
        <v>24.024</v>
      </c>
      <c r="CE161" s="29">
        <f t="shared" si="92"/>
        <v>20</v>
      </c>
      <c r="DP161" s="35">
        <v>43705</v>
      </c>
      <c r="DQ161" s="26">
        <v>3.05</v>
      </c>
      <c r="DR161" s="26">
        <v>2.85</v>
      </c>
      <c r="DS161" s="26">
        <v>2.944</v>
      </c>
      <c r="DU161" s="35">
        <v>43705</v>
      </c>
      <c r="DV161" s="26">
        <v>6.2</v>
      </c>
      <c r="DW161" s="26">
        <v>6.05</v>
      </c>
      <c r="DX161" s="26">
        <v>6.13</v>
      </c>
      <c r="DZ161" s="35">
        <v>43705</v>
      </c>
      <c r="EA161" s="26">
        <v>13</v>
      </c>
      <c r="EB161" s="26">
        <v>12.8</v>
      </c>
      <c r="EC161" s="26">
        <v>12.9</v>
      </c>
    </row>
    <row r="162" ht="16.8" spans="3:133">
      <c r="C162" s="5" t="str" cm="1">
        <f t="array" ref="C162">_xlfn.IFS(MONTH(D162)&lt;4,1,MONTH(D162)&lt;7,2,MONTH(D162)&lt;10,3,MONTH(D162)&gt;9,4)&amp;"Q"&amp;RIGHT(YEAR(D162),2)</f>
        <v>3Q21</v>
      </c>
      <c r="D162" s="2">
        <f t="shared" si="88"/>
        <v>44469</v>
      </c>
      <c r="E162" s="25">
        <v>44445</v>
      </c>
      <c r="F162" s="26">
        <v>2.578</v>
      </c>
      <c r="G162" s="26">
        <v>4.738</v>
      </c>
      <c r="H162" s="27"/>
      <c r="I162" s="28">
        <f t="shared" si="89"/>
        <v>0.0805625</v>
      </c>
      <c r="J162" s="28">
        <f t="shared" si="83"/>
        <v>0.07403125</v>
      </c>
      <c r="K162" s="28">
        <f t="shared" si="84"/>
        <v>0</v>
      </c>
      <c r="M162" s="36">
        <f t="shared" si="93"/>
        <v>-0.000387747188833054</v>
      </c>
      <c r="N162" s="36">
        <f t="shared" si="95"/>
        <v>-0.00998463901689717</v>
      </c>
      <c r="O162" s="36">
        <f t="shared" si="96"/>
        <v>-0.0220030349013658</v>
      </c>
      <c r="P162" s="36">
        <f t="shared" si="97"/>
        <v>-0.0133277800916283</v>
      </c>
      <c r="Q162" s="36">
        <f t="shared" si="98"/>
        <v>-0.0265050339017875</v>
      </c>
      <c r="R162" s="36">
        <f t="shared" si="99"/>
        <v>-0.0288993646238982</v>
      </c>
      <c r="S162" s="36"/>
      <c r="T162" s="36"/>
      <c r="U162" s="36"/>
      <c r="W162" s="5" t="str" cm="1">
        <f t="array" ref="W162">_xlfn.IFS(MONTH(X162)&lt;4,1,MONTH(X162)&lt;7,2,MONTH(X162)&lt;10,3,MONTH(X162)&gt;9,4)&amp;"Q"&amp;RIGHT(YEAR(X162),2)</f>
        <v>3Q21</v>
      </c>
      <c r="X162" s="2">
        <f t="shared" si="90"/>
        <v>44439</v>
      </c>
      <c r="Y162" s="25">
        <v>44424</v>
      </c>
      <c r="Z162" s="29">
        <v>23.864</v>
      </c>
      <c r="AD162" s="36">
        <f t="shared" si="94"/>
        <v>-0.00666000666000666</v>
      </c>
      <c r="AE162" s="36">
        <f t="shared" si="100"/>
        <v>-0.00666000666000666</v>
      </c>
      <c r="AF162" s="36">
        <f t="shared" si="101"/>
        <v>-0.00666000666000666</v>
      </c>
      <c r="BA162" s="25">
        <f t="shared" si="75"/>
        <v>44445</v>
      </c>
      <c r="BB162" s="28">
        <f t="shared" si="75"/>
        <v>2.578</v>
      </c>
      <c r="BC162" s="28">
        <f t="shared" si="85"/>
        <v>2.65</v>
      </c>
      <c r="BD162" s="28">
        <f t="shared" si="91"/>
        <v>4.738</v>
      </c>
      <c r="BE162" s="28">
        <f t="shared" si="86"/>
        <v>4.69</v>
      </c>
      <c r="BF162" s="28"/>
      <c r="BG162" s="28">
        <f t="shared" si="80"/>
        <v>8.2</v>
      </c>
      <c r="BH162" s="28"/>
      <c r="BI162" s="28">
        <f t="shared" si="79"/>
        <v>8.2</v>
      </c>
      <c r="CC162" s="25">
        <f t="shared" si="87"/>
        <v>44424</v>
      </c>
      <c r="CD162" s="29">
        <f t="shared" si="87"/>
        <v>23.864</v>
      </c>
      <c r="CE162" s="29">
        <f t="shared" si="92"/>
        <v>20</v>
      </c>
      <c r="DP162" s="35">
        <v>43706</v>
      </c>
      <c r="DQ162" s="26">
        <v>3.05</v>
      </c>
      <c r="DR162" s="26">
        <v>2.8</v>
      </c>
      <c r="DS162" s="26">
        <v>2.917</v>
      </c>
      <c r="DU162" s="35">
        <v>43706</v>
      </c>
      <c r="DV162" s="26">
        <v>6.2</v>
      </c>
      <c r="DW162" s="26">
        <v>6.05</v>
      </c>
      <c r="DX162" s="26">
        <v>6.115</v>
      </c>
      <c r="DZ162" s="35">
        <v>43706</v>
      </c>
      <c r="EA162" s="26">
        <v>13</v>
      </c>
      <c r="EB162" s="26">
        <v>12.8</v>
      </c>
      <c r="EC162" s="26">
        <v>12.85</v>
      </c>
    </row>
    <row r="163" ht="16.8" spans="3:133">
      <c r="C163" s="5" t="str" cm="1">
        <f t="array" ref="C163">_xlfn.IFS(MONTH(D163)&lt;4,1,MONTH(D163)&lt;7,2,MONTH(D163)&lt;10,3,MONTH(D163)&gt;9,4)&amp;"Q"&amp;RIGHT(YEAR(D163),2)</f>
        <v>3Q21</v>
      </c>
      <c r="D163" s="2">
        <f t="shared" si="88"/>
        <v>44469</v>
      </c>
      <c r="E163" s="25">
        <v>44452</v>
      </c>
      <c r="F163" s="26">
        <v>2.568</v>
      </c>
      <c r="G163" s="26">
        <v>4.713</v>
      </c>
      <c r="H163" s="27"/>
      <c r="I163" s="28">
        <f t="shared" si="89"/>
        <v>0.08025</v>
      </c>
      <c r="J163" s="28">
        <f t="shared" si="83"/>
        <v>0.073640625</v>
      </c>
      <c r="K163" s="28">
        <f t="shared" si="84"/>
        <v>0</v>
      </c>
      <c r="M163" s="36">
        <f t="shared" si="93"/>
        <v>-0.00387897595034903</v>
      </c>
      <c r="N163" s="36">
        <f t="shared" si="95"/>
        <v>-0.00426521907716171</v>
      </c>
      <c r="O163" s="36">
        <f t="shared" si="96"/>
        <v>-0.0138248847926268</v>
      </c>
      <c r="P163" s="36">
        <f t="shared" si="97"/>
        <v>-0.00527648796960756</v>
      </c>
      <c r="Q163" s="36">
        <f t="shared" si="98"/>
        <v>-0.0185339441899207</v>
      </c>
      <c r="R163" s="36">
        <f t="shared" si="99"/>
        <v>-0.0316416683788782</v>
      </c>
      <c r="S163" s="36"/>
      <c r="T163" s="36"/>
      <c r="U163" s="36"/>
      <c r="W163" s="5" t="str" cm="1">
        <f t="array" ref="W163">_xlfn.IFS(MONTH(X163)&lt;4,1,MONTH(X163)&lt;7,2,MONTH(X163)&lt;10,3,MONTH(X163)&gt;9,4)&amp;"Q"&amp;RIGHT(YEAR(X163),2)</f>
        <v>3Q21</v>
      </c>
      <c r="X163" s="2">
        <f t="shared" si="90"/>
        <v>44439</v>
      </c>
      <c r="Y163" s="25">
        <v>44431</v>
      </c>
      <c r="Z163" s="29">
        <v>23.773</v>
      </c>
      <c r="AD163" s="36">
        <f t="shared" si="94"/>
        <v>-0.00381327522628228</v>
      </c>
      <c r="AE163" s="36">
        <f t="shared" si="100"/>
        <v>-0.0104478854478856</v>
      </c>
      <c r="AF163" s="36">
        <f t="shared" si="101"/>
        <v>-0.0104478854478856</v>
      </c>
      <c r="BA163" s="25">
        <f t="shared" si="75"/>
        <v>44452</v>
      </c>
      <c r="BB163" s="28">
        <f t="shared" si="75"/>
        <v>2.568</v>
      </c>
      <c r="BC163" s="28">
        <f t="shared" si="85"/>
        <v>2.65</v>
      </c>
      <c r="BD163" s="28">
        <f t="shared" si="91"/>
        <v>4.713</v>
      </c>
      <c r="BE163" s="28">
        <f t="shared" si="86"/>
        <v>4.69</v>
      </c>
      <c r="BF163" s="28"/>
      <c r="BG163" s="28">
        <f t="shared" si="80"/>
        <v>8.2</v>
      </c>
      <c r="BH163" s="28"/>
      <c r="BI163" s="28">
        <f t="shared" si="79"/>
        <v>8.2</v>
      </c>
      <c r="CC163" s="25">
        <f t="shared" si="87"/>
        <v>44431</v>
      </c>
      <c r="CD163" s="29">
        <f t="shared" si="87"/>
        <v>23.773</v>
      </c>
      <c r="CE163" s="29">
        <f t="shared" si="92"/>
        <v>20</v>
      </c>
      <c r="DP163" s="35">
        <v>43707</v>
      </c>
      <c r="DQ163" s="26">
        <v>3.05</v>
      </c>
      <c r="DR163" s="26">
        <v>2.8</v>
      </c>
      <c r="DS163" s="26">
        <v>2.917</v>
      </c>
      <c r="DU163" s="35">
        <v>43707</v>
      </c>
      <c r="DV163" s="26">
        <v>6.2</v>
      </c>
      <c r="DW163" s="26">
        <v>6.05</v>
      </c>
      <c r="DX163" s="26">
        <v>6.115</v>
      </c>
      <c r="DZ163" s="35">
        <v>43707</v>
      </c>
      <c r="EA163" s="26">
        <v>13</v>
      </c>
      <c r="EB163" s="26">
        <v>12.8</v>
      </c>
      <c r="EC163" s="26">
        <v>12.85</v>
      </c>
    </row>
    <row r="164" ht="16.8" spans="3:133">
      <c r="C164" s="5" t="str" cm="1">
        <f t="array" ref="C164">_xlfn.IFS(MONTH(D164)&lt;4,1,MONTH(D164)&lt;7,2,MONTH(D164)&lt;10,3,MONTH(D164)&gt;9,4)&amp;"Q"&amp;RIGHT(YEAR(D164),2)</f>
        <v>3Q21</v>
      </c>
      <c r="D164" s="2">
        <f t="shared" si="88"/>
        <v>44469</v>
      </c>
      <c r="E164" s="25">
        <v>44461</v>
      </c>
      <c r="F164" s="26">
        <v>2.518</v>
      </c>
      <c r="G164" s="26">
        <v>4.654</v>
      </c>
      <c r="H164" s="27"/>
      <c r="I164" s="28">
        <f t="shared" si="89"/>
        <v>0.0786875</v>
      </c>
      <c r="J164" s="28">
        <f t="shared" si="83"/>
        <v>0.07271875</v>
      </c>
      <c r="K164" s="28">
        <f t="shared" si="84"/>
        <v>0</v>
      </c>
      <c r="M164" s="36">
        <f t="shared" si="93"/>
        <v>-0.0194704049844238</v>
      </c>
      <c r="N164" s="36">
        <f t="shared" si="95"/>
        <v>-0.0232738557020946</v>
      </c>
      <c r="O164" s="36">
        <f t="shared" si="96"/>
        <v>-0.0236525785188059</v>
      </c>
      <c r="P164" s="36">
        <f t="shared" si="97"/>
        <v>-0.012518565669425</v>
      </c>
      <c r="Q164" s="36">
        <f t="shared" si="98"/>
        <v>-0.0177289995778811</v>
      </c>
      <c r="R164" s="36">
        <f t="shared" si="99"/>
        <v>-0.0308204914618908</v>
      </c>
      <c r="S164" s="36"/>
      <c r="T164" s="36"/>
      <c r="U164" s="36"/>
      <c r="W164" s="5" t="str" cm="1">
        <f t="array" ref="W164">_xlfn.IFS(MONTH(X164)&lt;4,1,MONTH(X164)&lt;7,2,MONTH(X164)&lt;10,3,MONTH(X164)&gt;9,4)&amp;"Q"&amp;RIGHT(YEAR(X164),2)</f>
        <v>3Q21</v>
      </c>
      <c r="X164" s="2">
        <f t="shared" si="90"/>
        <v>44439</v>
      </c>
      <c r="Y164" s="25">
        <v>44438</v>
      </c>
      <c r="Z164" s="29">
        <v>23.364</v>
      </c>
      <c r="AD164" s="36">
        <f t="shared" si="94"/>
        <v>-0.0172043915366171</v>
      </c>
      <c r="AE164" s="36">
        <f t="shared" si="100"/>
        <v>-0.0209520616828696</v>
      </c>
      <c r="AF164" s="36">
        <f t="shared" si="101"/>
        <v>-0.0274725274725275</v>
      </c>
      <c r="BA164" s="25">
        <f t="shared" si="75"/>
        <v>44461</v>
      </c>
      <c r="BB164" s="28">
        <f t="shared" si="75"/>
        <v>2.518</v>
      </c>
      <c r="BC164" s="28">
        <f t="shared" si="85"/>
        <v>2.65</v>
      </c>
      <c r="BD164" s="28">
        <f t="shared" si="91"/>
        <v>4.654</v>
      </c>
      <c r="BE164" s="28">
        <f t="shared" si="86"/>
        <v>4.69</v>
      </c>
      <c r="BF164" s="28"/>
      <c r="BG164" s="28">
        <f t="shared" si="80"/>
        <v>8.2</v>
      </c>
      <c r="BH164" s="28"/>
      <c r="BI164" s="28">
        <f t="shared" si="79"/>
        <v>8.2</v>
      </c>
      <c r="CC164" s="25">
        <f t="shared" si="87"/>
        <v>44438</v>
      </c>
      <c r="CD164" s="29">
        <f t="shared" si="87"/>
        <v>23.364</v>
      </c>
      <c r="CE164" s="29">
        <f t="shared" si="92"/>
        <v>20</v>
      </c>
      <c r="DP164" s="35">
        <v>43710</v>
      </c>
      <c r="DQ164" s="26">
        <v>3.05</v>
      </c>
      <c r="DR164" s="26">
        <v>2.8</v>
      </c>
      <c r="DS164" s="26">
        <v>2.917</v>
      </c>
      <c r="DU164" s="35">
        <v>43710</v>
      </c>
      <c r="DV164" s="26">
        <v>6.2</v>
      </c>
      <c r="DW164" s="26">
        <v>6.05</v>
      </c>
      <c r="DX164" s="26">
        <v>6.115</v>
      </c>
      <c r="DZ164" s="35">
        <v>43710</v>
      </c>
      <c r="EA164" s="26">
        <v>13</v>
      </c>
      <c r="EB164" s="26">
        <v>12.8</v>
      </c>
      <c r="EC164" s="26">
        <v>12.85</v>
      </c>
    </row>
    <row r="165" ht="16.8" spans="3:133">
      <c r="C165" s="5" t="str" cm="1">
        <f t="array" ref="C165">_xlfn.IFS(MONTH(D165)&lt;4,1,MONTH(D165)&lt;7,2,MONTH(D165)&lt;10,3,MONTH(D165)&gt;9,4)&amp;"Q"&amp;RIGHT(YEAR(D165),2)</f>
        <v>3Q21</v>
      </c>
      <c r="D165" s="2">
        <f t="shared" si="88"/>
        <v>44469</v>
      </c>
      <c r="E165" s="25">
        <v>44466</v>
      </c>
      <c r="F165" s="26">
        <v>2.496</v>
      </c>
      <c r="G165" s="26">
        <v>4.612</v>
      </c>
      <c r="H165" s="27"/>
      <c r="I165" s="28">
        <f t="shared" si="89"/>
        <v>0.078</v>
      </c>
      <c r="J165" s="28">
        <f t="shared" si="83"/>
        <v>0.0720625</v>
      </c>
      <c r="K165" s="28">
        <f t="shared" si="84"/>
        <v>0</v>
      </c>
      <c r="M165" s="36">
        <f t="shared" si="93"/>
        <v>-0.00873709293089742</v>
      </c>
      <c r="N165" s="36">
        <f t="shared" si="95"/>
        <v>-0.0280373831775701</v>
      </c>
      <c r="O165" s="36">
        <f t="shared" si="96"/>
        <v>-0.0318076027928627</v>
      </c>
      <c r="P165" s="36">
        <f t="shared" si="97"/>
        <v>-0.00902449505801461</v>
      </c>
      <c r="Q165" s="36">
        <f t="shared" si="98"/>
        <v>-0.0214300869934224</v>
      </c>
      <c r="R165" s="36">
        <f t="shared" si="99"/>
        <v>-0.0265934993668215</v>
      </c>
      <c r="S165" s="36"/>
      <c r="T165" s="36"/>
      <c r="U165" s="36"/>
      <c r="W165" s="5" t="str" cm="1">
        <f t="array" ref="W165">_xlfn.IFS(MONTH(X165)&lt;4,1,MONTH(X165)&lt;7,2,MONTH(X165)&lt;10,3,MONTH(X165)&gt;9,4)&amp;"Q"&amp;RIGHT(YEAR(X165),2)</f>
        <v>3Q21</v>
      </c>
      <c r="X165" s="2">
        <f t="shared" si="90"/>
        <v>44469</v>
      </c>
      <c r="Y165" s="25">
        <v>44445</v>
      </c>
      <c r="Z165" s="29">
        <v>23.182</v>
      </c>
      <c r="AD165" s="36">
        <f t="shared" si="94"/>
        <v>-0.00778976202705028</v>
      </c>
      <c r="AE165" s="36">
        <f t="shared" si="100"/>
        <v>-0.024860135447777</v>
      </c>
      <c r="AF165" s="36">
        <f t="shared" si="101"/>
        <v>-0.0285786121354342</v>
      </c>
      <c r="BA165" s="25">
        <f t="shared" si="75"/>
        <v>44466</v>
      </c>
      <c r="BB165" s="28">
        <f t="shared" si="75"/>
        <v>2.496</v>
      </c>
      <c r="BC165" s="28">
        <f t="shared" si="85"/>
        <v>2.65</v>
      </c>
      <c r="BD165" s="28">
        <f t="shared" si="91"/>
        <v>4.612</v>
      </c>
      <c r="BE165" s="28">
        <f t="shared" si="86"/>
        <v>4.69</v>
      </c>
      <c r="BF165" s="28"/>
      <c r="BG165" s="28">
        <f t="shared" si="80"/>
        <v>8.2</v>
      </c>
      <c r="BH165" s="28"/>
      <c r="BI165" s="28">
        <f t="shared" si="79"/>
        <v>8.2</v>
      </c>
      <c r="CC165" s="25">
        <f t="shared" si="87"/>
        <v>44445</v>
      </c>
      <c r="CD165" s="29">
        <f t="shared" si="87"/>
        <v>23.182</v>
      </c>
      <c r="CE165" s="29">
        <f t="shared" si="92"/>
        <v>20</v>
      </c>
      <c r="DP165" s="35">
        <v>43711</v>
      </c>
      <c r="DQ165" s="26">
        <v>3.05</v>
      </c>
      <c r="DR165" s="26">
        <v>2.8</v>
      </c>
      <c r="DS165" s="26">
        <v>2.917</v>
      </c>
      <c r="DU165" s="35">
        <v>43711</v>
      </c>
      <c r="DV165" s="26">
        <v>6.2</v>
      </c>
      <c r="DW165" s="26">
        <v>6.05</v>
      </c>
      <c r="DX165" s="26">
        <v>6.115</v>
      </c>
      <c r="DZ165" s="35">
        <v>43711</v>
      </c>
      <c r="EA165" s="26">
        <v>13</v>
      </c>
      <c r="EB165" s="26">
        <v>12.8</v>
      </c>
      <c r="EC165" s="26">
        <v>12.85</v>
      </c>
    </row>
    <row r="166" ht="16.8" spans="3:133">
      <c r="C166" s="5" t="str" cm="1">
        <f t="array" ref="C166">_xlfn.IFS(MONTH(D166)&lt;4,1,MONTH(D166)&lt;7,2,MONTH(D166)&lt;10,3,MONTH(D166)&gt;9,4)&amp;"Q"&amp;RIGHT(YEAR(D166),2)</f>
        <v>4Q21</v>
      </c>
      <c r="D166" s="2">
        <f t="shared" si="88"/>
        <v>44500</v>
      </c>
      <c r="E166" s="25">
        <v>44473</v>
      </c>
      <c r="F166" s="26">
        <v>2.448</v>
      </c>
      <c r="G166" s="26">
        <v>4.504</v>
      </c>
      <c r="H166" s="27"/>
      <c r="I166" s="28">
        <f t="shared" si="89"/>
        <v>0.0765</v>
      </c>
      <c r="J166" s="28">
        <f t="shared" si="83"/>
        <v>0.070375</v>
      </c>
      <c r="K166" s="28">
        <f t="shared" si="84"/>
        <v>0</v>
      </c>
      <c r="M166" s="36">
        <f t="shared" si="93"/>
        <v>-0.0192307692307693</v>
      </c>
      <c r="N166" s="36">
        <f t="shared" si="95"/>
        <v>-0.0277998411437649</v>
      </c>
      <c r="O166" s="36">
        <f t="shared" si="96"/>
        <v>-0.0467289719626168</v>
      </c>
      <c r="P166" s="36">
        <f t="shared" si="97"/>
        <v>-0.0234171725932352</v>
      </c>
      <c r="Q166" s="36">
        <f t="shared" si="98"/>
        <v>-0.0322303394929094</v>
      </c>
      <c r="R166" s="36">
        <f t="shared" si="99"/>
        <v>-0.0443454275408446</v>
      </c>
      <c r="S166" s="36"/>
      <c r="T166" s="36"/>
      <c r="U166" s="36"/>
      <c r="W166" s="5" t="str" cm="1">
        <f t="array" ref="W166">_xlfn.IFS(MONTH(X166)&lt;4,1,MONTH(X166)&lt;7,2,MONTH(X166)&lt;10,3,MONTH(X166)&gt;9,4)&amp;"Q"&amp;RIGHT(YEAR(X166),2)</f>
        <v>3Q21</v>
      </c>
      <c r="X166" s="2">
        <f t="shared" si="90"/>
        <v>44469</v>
      </c>
      <c r="Y166" s="25">
        <v>44452</v>
      </c>
      <c r="Z166" s="29">
        <v>23.182</v>
      </c>
      <c r="AD166" s="36">
        <f t="shared" si="94"/>
        <v>0</v>
      </c>
      <c r="AE166" s="36">
        <f t="shared" si="100"/>
        <v>-0.00778976202705028</v>
      </c>
      <c r="AF166" s="36">
        <f t="shared" si="101"/>
        <v>-0.024860135447777</v>
      </c>
      <c r="BA166" s="25">
        <f t="shared" si="75"/>
        <v>44473</v>
      </c>
      <c r="BB166" s="28">
        <f t="shared" si="75"/>
        <v>2.448</v>
      </c>
      <c r="BC166" s="28">
        <f t="shared" si="85"/>
        <v>2.46</v>
      </c>
      <c r="BD166" s="28">
        <f t="shared" si="91"/>
        <v>4.504</v>
      </c>
      <c r="BE166" s="28">
        <f t="shared" si="86"/>
        <v>4.39</v>
      </c>
      <c r="BF166" s="28"/>
      <c r="BG166" s="28">
        <f t="shared" si="80"/>
        <v>7.92</v>
      </c>
      <c r="BH166" s="28"/>
      <c r="BI166" s="28">
        <f t="shared" si="79"/>
        <v>7.92</v>
      </c>
      <c r="CC166" s="25">
        <f t="shared" si="87"/>
        <v>44452</v>
      </c>
      <c r="CD166" s="29">
        <f t="shared" si="87"/>
        <v>23.182</v>
      </c>
      <c r="CE166" s="29">
        <f t="shared" si="92"/>
        <v>20</v>
      </c>
      <c r="DP166" s="35">
        <v>43712</v>
      </c>
      <c r="DQ166" s="26">
        <v>3.05</v>
      </c>
      <c r="DR166" s="26">
        <v>2.8</v>
      </c>
      <c r="DS166" s="26">
        <v>2.917</v>
      </c>
      <c r="DU166" s="35">
        <v>43712</v>
      </c>
      <c r="DV166" s="26">
        <v>6.2</v>
      </c>
      <c r="DW166" s="26">
        <v>6.05</v>
      </c>
      <c r="DX166" s="26">
        <v>6.115</v>
      </c>
      <c r="DZ166" s="35">
        <v>43712</v>
      </c>
      <c r="EA166" s="26">
        <v>13</v>
      </c>
      <c r="EB166" s="26">
        <v>12.8</v>
      </c>
      <c r="EC166" s="26">
        <v>12.85</v>
      </c>
    </row>
    <row r="167" ht="16.8" spans="3:133">
      <c r="C167" s="5" t="str" cm="1">
        <f t="array" ref="C167">_xlfn.IFS(MONTH(D167)&lt;4,1,MONTH(D167)&lt;7,2,MONTH(D167)&lt;10,3,MONTH(D167)&gt;9,4)&amp;"Q"&amp;RIGHT(YEAR(D167),2)</f>
        <v>4Q21</v>
      </c>
      <c r="D167" s="2">
        <f t="shared" si="88"/>
        <v>44500</v>
      </c>
      <c r="E167" s="25">
        <v>44480</v>
      </c>
      <c r="F167" s="26">
        <v>2.448</v>
      </c>
      <c r="G167" s="26">
        <v>4.504</v>
      </c>
      <c r="H167" s="27"/>
      <c r="I167" s="28">
        <f t="shared" si="89"/>
        <v>0.0765</v>
      </c>
      <c r="J167" s="28">
        <f t="shared" si="83"/>
        <v>0.070375</v>
      </c>
      <c r="K167" s="28">
        <f t="shared" si="84"/>
        <v>0</v>
      </c>
      <c r="M167" s="36">
        <f t="shared" si="93"/>
        <v>0</v>
      </c>
      <c r="N167" s="36">
        <f t="shared" si="95"/>
        <v>-0.0192307692307693</v>
      </c>
      <c r="O167" s="36">
        <f t="shared" si="96"/>
        <v>-0.0277998411437649</v>
      </c>
      <c r="P167" s="36">
        <f t="shared" si="97"/>
        <v>0</v>
      </c>
      <c r="Q167" s="36">
        <f t="shared" si="98"/>
        <v>-0.0234171725932352</v>
      </c>
      <c r="R167" s="36">
        <f t="shared" si="99"/>
        <v>-0.0322303394929094</v>
      </c>
      <c r="S167" s="36"/>
      <c r="T167" s="36"/>
      <c r="U167" s="36"/>
      <c r="W167" s="5" t="str" cm="1">
        <f t="array" ref="W167">_xlfn.IFS(MONTH(X167)&lt;4,1,MONTH(X167)&lt;7,2,MONTH(X167)&lt;10,3,MONTH(X167)&gt;9,4)&amp;"Q"&amp;RIGHT(YEAR(X167),2)</f>
        <v>3Q21</v>
      </c>
      <c r="X167" s="2">
        <f t="shared" si="90"/>
        <v>44469</v>
      </c>
      <c r="Y167" s="25">
        <v>44461</v>
      </c>
      <c r="Z167" s="29">
        <v>22.909</v>
      </c>
      <c r="AD167" s="36">
        <f t="shared" si="94"/>
        <v>-0.0117763782244845</v>
      </c>
      <c r="AE167" s="36">
        <f t="shared" si="100"/>
        <v>-0.0117763782244845</v>
      </c>
      <c r="AF167" s="36">
        <f t="shared" si="101"/>
        <v>-0.0194744050676254</v>
      </c>
      <c r="BA167" s="25">
        <f t="shared" si="75"/>
        <v>44480</v>
      </c>
      <c r="BB167" s="28">
        <f t="shared" si="75"/>
        <v>2.448</v>
      </c>
      <c r="BC167" s="28">
        <f t="shared" si="85"/>
        <v>2.46</v>
      </c>
      <c r="BD167" s="28">
        <f t="shared" si="91"/>
        <v>4.504</v>
      </c>
      <c r="BE167" s="28">
        <f t="shared" si="86"/>
        <v>4.39</v>
      </c>
      <c r="BF167" s="28"/>
      <c r="BG167" s="28">
        <f t="shared" si="80"/>
        <v>7.92</v>
      </c>
      <c r="BH167" s="28"/>
      <c r="BI167" s="28">
        <f t="shared" si="79"/>
        <v>7.92</v>
      </c>
      <c r="CC167" s="25">
        <f t="shared" si="87"/>
        <v>44461</v>
      </c>
      <c r="CD167" s="29">
        <f t="shared" si="87"/>
        <v>22.909</v>
      </c>
      <c r="CE167" s="29">
        <f t="shared" si="92"/>
        <v>20</v>
      </c>
      <c r="DP167" s="35">
        <v>43713</v>
      </c>
      <c r="DQ167" s="26">
        <v>3.05</v>
      </c>
      <c r="DR167" s="26">
        <v>2.8</v>
      </c>
      <c r="DS167" s="26">
        <v>2.917</v>
      </c>
      <c r="DU167" s="35">
        <v>43713</v>
      </c>
      <c r="DV167" s="26">
        <v>6.2</v>
      </c>
      <c r="DW167" s="26">
        <v>6.05</v>
      </c>
      <c r="DX167" s="26">
        <v>6.115</v>
      </c>
      <c r="DZ167" s="35">
        <v>43713</v>
      </c>
      <c r="EA167" s="26">
        <v>13</v>
      </c>
      <c r="EB167" s="26">
        <v>12.8</v>
      </c>
      <c r="EC167" s="26">
        <v>12.85</v>
      </c>
    </row>
    <row r="168" ht="16.8" spans="3:133">
      <c r="C168" s="5" t="str" cm="1">
        <f t="array" ref="C168">_xlfn.IFS(MONTH(D168)&lt;4,1,MONTH(D168)&lt;7,2,MONTH(D168)&lt;10,3,MONTH(D168)&gt;9,4)&amp;"Q"&amp;RIGHT(YEAR(D168),2)</f>
        <v>4Q21</v>
      </c>
      <c r="D168" s="2">
        <f t="shared" si="88"/>
        <v>44500</v>
      </c>
      <c r="E168" s="25">
        <v>44487</v>
      </c>
      <c r="F168" s="26">
        <v>2.326</v>
      </c>
      <c r="G168" s="26">
        <v>4.382</v>
      </c>
      <c r="H168" s="27"/>
      <c r="I168" s="28">
        <f t="shared" si="89"/>
        <v>0.0726875</v>
      </c>
      <c r="J168" s="28">
        <f t="shared" si="83"/>
        <v>0.06846875</v>
      </c>
      <c r="K168" s="28">
        <f t="shared" si="84"/>
        <v>0</v>
      </c>
      <c r="M168" s="36">
        <f t="shared" si="93"/>
        <v>-0.0498366013071895</v>
      </c>
      <c r="N168" s="36">
        <f t="shared" si="95"/>
        <v>-0.0498366013071895</v>
      </c>
      <c r="O168" s="36">
        <f t="shared" si="96"/>
        <v>-0.0681089743589743</v>
      </c>
      <c r="P168" s="36">
        <f t="shared" si="97"/>
        <v>-0.0270870337477798</v>
      </c>
      <c r="Q168" s="36">
        <f t="shared" si="98"/>
        <v>-0.0270870337477798</v>
      </c>
      <c r="R168" s="36">
        <f t="shared" si="99"/>
        <v>-0.0498699045967044</v>
      </c>
      <c r="S168" s="36"/>
      <c r="T168" s="36"/>
      <c r="U168" s="36"/>
      <c r="W168" s="5" t="str" cm="1">
        <f t="array" ref="W168">_xlfn.IFS(MONTH(X168)&lt;4,1,MONTH(X168)&lt;7,2,MONTH(X168)&lt;10,3,MONTH(X168)&gt;9,4)&amp;"Q"&amp;RIGHT(YEAR(X168),2)</f>
        <v>3Q21</v>
      </c>
      <c r="X168" s="2">
        <f t="shared" si="90"/>
        <v>44469</v>
      </c>
      <c r="Y168" s="25">
        <v>44466</v>
      </c>
      <c r="Z168" s="29">
        <v>22.909</v>
      </c>
      <c r="AD168" s="36">
        <f t="shared" si="94"/>
        <v>0</v>
      </c>
      <c r="AE168" s="36">
        <f t="shared" si="100"/>
        <v>-0.0117763782244845</v>
      </c>
      <c r="AF168" s="36">
        <f t="shared" si="101"/>
        <v>-0.0117763782244845</v>
      </c>
      <c r="BA168" s="25">
        <f t="shared" si="75"/>
        <v>44487</v>
      </c>
      <c r="BB168" s="28">
        <f t="shared" si="75"/>
        <v>2.326</v>
      </c>
      <c r="BC168" s="28">
        <f t="shared" si="85"/>
        <v>2.46</v>
      </c>
      <c r="BD168" s="28">
        <f t="shared" si="91"/>
        <v>4.382</v>
      </c>
      <c r="BE168" s="28">
        <f t="shared" si="86"/>
        <v>4.39</v>
      </c>
      <c r="BF168" s="28"/>
      <c r="BG168" s="28">
        <f t="shared" si="80"/>
        <v>7.92</v>
      </c>
      <c r="BH168" s="28"/>
      <c r="BI168" s="28">
        <f t="shared" si="79"/>
        <v>7.92</v>
      </c>
      <c r="CC168" s="25">
        <f t="shared" si="87"/>
        <v>44466</v>
      </c>
      <c r="CD168" s="29">
        <f t="shared" si="87"/>
        <v>22.909</v>
      </c>
      <c r="CE168" s="29">
        <f t="shared" si="92"/>
        <v>20</v>
      </c>
      <c r="DP168" s="35">
        <v>43714</v>
      </c>
      <c r="DQ168" s="26">
        <v>3.05</v>
      </c>
      <c r="DR168" s="26">
        <v>2.8</v>
      </c>
      <c r="DS168" s="26">
        <v>2.917</v>
      </c>
      <c r="DU168" s="35">
        <v>43714</v>
      </c>
      <c r="DV168" s="26">
        <v>6.2</v>
      </c>
      <c r="DW168" s="26">
        <v>6.05</v>
      </c>
      <c r="DX168" s="26">
        <v>6.115</v>
      </c>
      <c r="DZ168" s="35">
        <v>43714</v>
      </c>
      <c r="EA168" s="26">
        <v>13</v>
      </c>
      <c r="EB168" s="26">
        <v>12.8</v>
      </c>
      <c r="EC168" s="26">
        <v>12.85</v>
      </c>
    </row>
    <row r="169" ht="16.8" spans="3:133">
      <c r="C169" s="5" t="str" cm="1">
        <f t="array" ref="C169">_xlfn.IFS(MONTH(D169)&lt;4,1,MONTH(D169)&lt;7,2,MONTH(D169)&lt;10,3,MONTH(D169)&gt;9,4)&amp;"Q"&amp;RIGHT(YEAR(D169),2)</f>
        <v>4Q21</v>
      </c>
      <c r="D169" s="2">
        <f t="shared" si="88"/>
        <v>44500</v>
      </c>
      <c r="E169" s="25">
        <v>44494</v>
      </c>
      <c r="F169" s="26">
        <v>2.226</v>
      </c>
      <c r="G169" s="26">
        <v>4.318</v>
      </c>
      <c r="H169" s="27"/>
      <c r="I169" s="28">
        <f t="shared" si="89"/>
        <v>0.0695625</v>
      </c>
      <c r="J169" s="28">
        <f t="shared" si="83"/>
        <v>0.06746875</v>
      </c>
      <c r="K169" s="28">
        <f t="shared" si="84"/>
        <v>0</v>
      </c>
      <c r="M169" s="36">
        <f t="shared" si="93"/>
        <v>-0.0429922613929493</v>
      </c>
      <c r="N169" s="36">
        <f t="shared" si="95"/>
        <v>-0.0906862745098039</v>
      </c>
      <c r="O169" s="36">
        <f t="shared" si="96"/>
        <v>-0.0906862745098039</v>
      </c>
      <c r="P169" s="36">
        <f t="shared" si="97"/>
        <v>-0.0146052031036057</v>
      </c>
      <c r="Q169" s="36">
        <f t="shared" si="98"/>
        <v>-0.0412966252220248</v>
      </c>
      <c r="R169" s="36">
        <f t="shared" si="99"/>
        <v>-0.0412966252220248</v>
      </c>
      <c r="S169" s="36"/>
      <c r="T169" s="36"/>
      <c r="U169" s="36"/>
      <c r="W169" s="5" t="str" cm="1">
        <f t="array" ref="W169">_xlfn.IFS(MONTH(X169)&lt;4,1,MONTH(X169)&lt;7,2,MONTH(X169)&lt;10,3,MONTH(X169)&gt;9,4)&amp;"Q"&amp;RIGHT(YEAR(X169),2)</f>
        <v>4Q21</v>
      </c>
      <c r="X169" s="2">
        <f t="shared" si="90"/>
        <v>44500</v>
      </c>
      <c r="Y169" s="25">
        <v>44473</v>
      </c>
      <c r="Z169" s="29">
        <v>22.909</v>
      </c>
      <c r="AD169" s="36">
        <f t="shared" si="94"/>
        <v>0</v>
      </c>
      <c r="AE169" s="36">
        <f t="shared" si="100"/>
        <v>0</v>
      </c>
      <c r="AF169" s="36">
        <f t="shared" si="101"/>
        <v>-0.0117763782244845</v>
      </c>
      <c r="BA169" s="25">
        <f t="shared" si="75"/>
        <v>44494</v>
      </c>
      <c r="BB169" s="28">
        <f t="shared" si="75"/>
        <v>2.226</v>
      </c>
      <c r="BC169" s="28">
        <f t="shared" si="85"/>
        <v>2.46</v>
      </c>
      <c r="BD169" s="28">
        <f t="shared" si="91"/>
        <v>4.318</v>
      </c>
      <c r="BE169" s="28">
        <f t="shared" si="86"/>
        <v>4.39</v>
      </c>
      <c r="BF169" s="28"/>
      <c r="BG169" s="28">
        <f t="shared" si="80"/>
        <v>7.92</v>
      </c>
      <c r="BH169" s="28"/>
      <c r="BI169" s="28">
        <f t="shared" si="79"/>
        <v>7.92</v>
      </c>
      <c r="CC169" s="25">
        <f t="shared" si="87"/>
        <v>44473</v>
      </c>
      <c r="CD169" s="29">
        <f t="shared" si="87"/>
        <v>22.909</v>
      </c>
      <c r="CE169" s="29">
        <f t="shared" si="92"/>
        <v>19.3</v>
      </c>
      <c r="CG169" s="36"/>
      <c r="DP169" s="35">
        <v>43717</v>
      </c>
      <c r="DQ169" s="26">
        <v>3.05</v>
      </c>
      <c r="DR169" s="26">
        <v>2.8</v>
      </c>
      <c r="DS169" s="26">
        <v>2.917</v>
      </c>
      <c r="DU169" s="35">
        <v>43717</v>
      </c>
      <c r="DV169" s="26">
        <v>6.2</v>
      </c>
      <c r="DW169" s="26">
        <v>6.05</v>
      </c>
      <c r="DX169" s="26">
        <v>6.115</v>
      </c>
      <c r="DZ169" s="35">
        <v>43717</v>
      </c>
      <c r="EA169" s="26">
        <v>13</v>
      </c>
      <c r="EB169" s="26">
        <v>12.8</v>
      </c>
      <c r="EC169" s="26">
        <v>12.85</v>
      </c>
    </row>
    <row r="170" ht="16.8" spans="3:133">
      <c r="C170" s="5" t="str" cm="1">
        <f t="array" ref="C170">_xlfn.IFS(MONTH(D170)&lt;4,1,MONTH(D170)&lt;7,2,MONTH(D170)&lt;10,3,MONTH(D170)&gt;9,4)&amp;"Q"&amp;RIGHT(YEAR(D170),2)</f>
        <v>4Q21</v>
      </c>
      <c r="D170" s="2">
        <f t="shared" si="88"/>
        <v>44530</v>
      </c>
      <c r="E170" s="25">
        <v>44501</v>
      </c>
      <c r="F170" s="26">
        <v>2.208</v>
      </c>
      <c r="G170" s="26">
        <v>4.256</v>
      </c>
      <c r="H170" s="27"/>
      <c r="I170" s="28">
        <f t="shared" si="89"/>
        <v>0.069</v>
      </c>
      <c r="J170" s="28">
        <f t="shared" si="83"/>
        <v>0.0665</v>
      </c>
      <c r="K170" s="28">
        <f t="shared" si="84"/>
        <v>0</v>
      </c>
      <c r="M170" s="36">
        <f t="shared" si="93"/>
        <v>-0.00808625336927216</v>
      </c>
      <c r="N170" s="36">
        <f t="shared" si="95"/>
        <v>-0.0507308684436801</v>
      </c>
      <c r="O170" s="36">
        <f t="shared" si="96"/>
        <v>-0.0980392156862744</v>
      </c>
      <c r="P170" s="36">
        <f t="shared" si="97"/>
        <v>-0.0143584993052338</v>
      </c>
      <c r="Q170" s="36">
        <f t="shared" si="98"/>
        <v>-0.0287539936102236</v>
      </c>
      <c r="R170" s="36">
        <f t="shared" si="99"/>
        <v>-0.0550621669626997</v>
      </c>
      <c r="S170" s="36"/>
      <c r="T170" s="36"/>
      <c r="U170" s="36"/>
      <c r="W170" s="5" t="str" cm="1">
        <f t="array" ref="W170">_xlfn.IFS(MONTH(X170)&lt;4,1,MONTH(X170)&lt;7,2,MONTH(X170)&lt;10,3,MONTH(X170)&gt;9,4)&amp;"Q"&amp;RIGHT(YEAR(X170),2)</f>
        <v>4Q21</v>
      </c>
      <c r="X170" s="2">
        <f t="shared" si="90"/>
        <v>44500</v>
      </c>
      <c r="Y170" s="25">
        <v>44480</v>
      </c>
      <c r="Z170" s="29">
        <v>22.909</v>
      </c>
      <c r="AD170" s="36">
        <f t="shared" si="94"/>
        <v>0</v>
      </c>
      <c r="AE170" s="36">
        <f t="shared" si="100"/>
        <v>0</v>
      </c>
      <c r="AF170" s="36">
        <f t="shared" si="101"/>
        <v>0</v>
      </c>
      <c r="BA170" s="25">
        <f t="shared" si="75"/>
        <v>44501</v>
      </c>
      <c r="BB170" s="28">
        <f t="shared" si="75"/>
        <v>2.208</v>
      </c>
      <c r="BC170" s="28">
        <f t="shared" si="85"/>
        <v>2.45</v>
      </c>
      <c r="BD170" s="28">
        <f t="shared" si="91"/>
        <v>4.256</v>
      </c>
      <c r="BE170" s="28">
        <f t="shared" si="86"/>
        <v>4.27</v>
      </c>
      <c r="BF170" s="28"/>
      <c r="BG170" s="28">
        <f t="shared" si="80"/>
        <v>7.83</v>
      </c>
      <c r="BH170" s="28"/>
      <c r="BI170" s="28">
        <f t="shared" si="79"/>
        <v>7.83</v>
      </c>
      <c r="CC170" s="25">
        <f t="shared" si="87"/>
        <v>44480</v>
      </c>
      <c r="CD170" s="29">
        <f t="shared" si="87"/>
        <v>22.909</v>
      </c>
      <c r="CE170" s="29">
        <f t="shared" si="92"/>
        <v>19.3</v>
      </c>
      <c r="CG170" s="36"/>
      <c r="DP170" s="35">
        <v>43718</v>
      </c>
      <c r="DQ170" s="26">
        <v>3.05</v>
      </c>
      <c r="DR170" s="26">
        <v>2.8</v>
      </c>
      <c r="DS170" s="26">
        <v>2.917</v>
      </c>
      <c r="DU170" s="35">
        <v>43718</v>
      </c>
      <c r="DV170" s="26">
        <v>6.2</v>
      </c>
      <c r="DW170" s="26">
        <v>6.05</v>
      </c>
      <c r="DX170" s="26">
        <v>6.115</v>
      </c>
      <c r="DZ170" s="35">
        <v>43718</v>
      </c>
      <c r="EA170" s="26">
        <v>13</v>
      </c>
      <c r="EB170" s="26">
        <v>12.8</v>
      </c>
      <c r="EC170" s="26">
        <v>12.85</v>
      </c>
    </row>
    <row r="171" ht="16.8" spans="3:133">
      <c r="C171" s="5" t="str" cm="1">
        <f t="array" ref="C171">_xlfn.IFS(MONTH(D171)&lt;4,1,MONTH(D171)&lt;7,2,MONTH(D171)&lt;10,3,MONTH(D171)&gt;9,4)&amp;"Q"&amp;RIGHT(YEAR(D171),2)</f>
        <v>4Q21</v>
      </c>
      <c r="D171" s="2">
        <f t="shared" si="88"/>
        <v>44530</v>
      </c>
      <c r="E171" s="25">
        <f>E170+7</f>
        <v>44508</v>
      </c>
      <c r="F171" s="26">
        <v>2.2</v>
      </c>
      <c r="G171" s="26">
        <v>4.22</v>
      </c>
      <c r="H171" s="27"/>
      <c r="I171" s="28">
        <f t="shared" si="89"/>
        <v>0.06875</v>
      </c>
      <c r="J171" s="28">
        <f t="shared" si="83"/>
        <v>0.0659375</v>
      </c>
      <c r="K171" s="28">
        <f t="shared" si="84"/>
        <v>0</v>
      </c>
      <c r="M171" s="36">
        <f t="shared" si="93"/>
        <v>-0.00362318840579712</v>
      </c>
      <c r="N171" s="36">
        <f t="shared" si="95"/>
        <v>-0.0116801437556153</v>
      </c>
      <c r="O171" s="36">
        <f t="shared" si="96"/>
        <v>-0.0541702493551161</v>
      </c>
      <c r="P171" s="36">
        <f t="shared" si="97"/>
        <v>-0.0084586466165415</v>
      </c>
      <c r="Q171" s="36">
        <f t="shared" si="98"/>
        <v>-0.0226956924502084</v>
      </c>
      <c r="R171" s="36">
        <f t="shared" si="99"/>
        <v>-0.0369694203560018</v>
      </c>
      <c r="S171" s="36"/>
      <c r="T171" s="36"/>
      <c r="U171" s="36"/>
      <c r="W171" s="5" t="str" cm="1">
        <f t="array" ref="W171">_xlfn.IFS(MONTH(X171)&lt;4,1,MONTH(X171)&lt;7,2,MONTH(X171)&lt;10,3,MONTH(X171)&gt;9,4)&amp;"Q"&amp;RIGHT(YEAR(X171),2)</f>
        <v>4Q21</v>
      </c>
      <c r="X171" s="2">
        <f t="shared" si="90"/>
        <v>44500</v>
      </c>
      <c r="Y171" s="25">
        <v>44487</v>
      </c>
      <c r="Z171" s="29">
        <v>22.909</v>
      </c>
      <c r="AD171" s="36">
        <f t="shared" si="94"/>
        <v>0</v>
      </c>
      <c r="AE171" s="36">
        <f t="shared" si="100"/>
        <v>0</v>
      </c>
      <c r="AF171" s="36">
        <f t="shared" si="101"/>
        <v>0</v>
      </c>
      <c r="BA171" s="25">
        <f t="shared" si="75"/>
        <v>44508</v>
      </c>
      <c r="BB171" s="28">
        <f t="shared" si="75"/>
        <v>2.2</v>
      </c>
      <c r="BC171" s="28">
        <f t="shared" si="85"/>
        <v>2.45</v>
      </c>
      <c r="BD171" s="28">
        <f t="shared" si="91"/>
        <v>4.22</v>
      </c>
      <c r="BE171" s="28">
        <f t="shared" si="86"/>
        <v>4.27</v>
      </c>
      <c r="BF171" s="28"/>
      <c r="BG171" s="28">
        <f t="shared" si="80"/>
        <v>7.83</v>
      </c>
      <c r="BH171" s="28"/>
      <c r="BI171" s="28">
        <f t="shared" si="79"/>
        <v>7.83</v>
      </c>
      <c r="CC171" s="25">
        <f t="shared" si="87"/>
        <v>44487</v>
      </c>
      <c r="CD171" s="29">
        <f t="shared" si="87"/>
        <v>22.909</v>
      </c>
      <c r="CE171" s="29">
        <f t="shared" si="92"/>
        <v>19.3</v>
      </c>
      <c r="CG171" s="36"/>
      <c r="DP171" s="35">
        <v>43719</v>
      </c>
      <c r="DQ171" s="26">
        <v>3.05</v>
      </c>
      <c r="DR171" s="26">
        <v>2.8</v>
      </c>
      <c r="DS171" s="26">
        <v>2.917</v>
      </c>
      <c r="DU171" s="35">
        <v>43719</v>
      </c>
      <c r="DV171" s="26">
        <v>6.2</v>
      </c>
      <c r="DW171" s="26">
        <v>6.05</v>
      </c>
      <c r="DX171" s="26">
        <v>6.115</v>
      </c>
      <c r="DZ171" s="35">
        <v>43719</v>
      </c>
      <c r="EA171" s="26">
        <v>13</v>
      </c>
      <c r="EB171" s="26">
        <v>12.8</v>
      </c>
      <c r="EC171" s="26">
        <v>12.85</v>
      </c>
    </row>
    <row r="172" ht="16.8" spans="3:133">
      <c r="C172" s="5" t="str" cm="1">
        <f t="array" ref="C172">_xlfn.IFS(MONTH(D172)&lt;4,1,MONTH(D172)&lt;7,2,MONTH(D172)&lt;10,3,MONTH(D172)&gt;9,4)&amp;"Q"&amp;RIGHT(YEAR(D172),2)</f>
        <v>4Q21</v>
      </c>
      <c r="D172" s="2">
        <f t="shared" si="88"/>
        <v>44530</v>
      </c>
      <c r="E172" s="25">
        <f t="shared" ref="E172:E182" si="102">E171+7</f>
        <v>44515</v>
      </c>
      <c r="F172" s="26">
        <v>2.17</v>
      </c>
      <c r="G172" s="26">
        <v>4.17</v>
      </c>
      <c r="H172" s="27"/>
      <c r="I172" s="28">
        <f t="shared" si="89"/>
        <v>0.0678125</v>
      </c>
      <c r="J172" s="28">
        <f t="shared" si="83"/>
        <v>0.06515625</v>
      </c>
      <c r="K172" s="28">
        <f t="shared" si="84"/>
        <v>0</v>
      </c>
      <c r="M172" s="36">
        <f t="shared" si="93"/>
        <v>-0.0136363636363638</v>
      </c>
      <c r="N172" s="36">
        <f t="shared" si="95"/>
        <v>-0.0172101449275364</v>
      </c>
      <c r="O172" s="36">
        <f t="shared" si="96"/>
        <v>-0.0251572327044025</v>
      </c>
      <c r="P172" s="36">
        <f t="shared" si="97"/>
        <v>-0.0118483412322274</v>
      </c>
      <c r="Q172" s="36">
        <f t="shared" si="98"/>
        <v>-0.0202067669172933</v>
      </c>
      <c r="R172" s="36">
        <f t="shared" si="99"/>
        <v>-0.0342751273737841</v>
      </c>
      <c r="S172" s="36"/>
      <c r="T172" s="36"/>
      <c r="U172" s="36"/>
      <c r="W172" s="5" t="str" cm="1">
        <f t="array" ref="W172">_xlfn.IFS(MONTH(X172)&lt;4,1,MONTH(X172)&lt;7,2,MONTH(X172)&lt;10,3,MONTH(X172)&gt;9,4)&amp;"Q"&amp;RIGHT(YEAR(X172),2)</f>
        <v>4Q21</v>
      </c>
      <c r="X172" s="2">
        <f t="shared" si="90"/>
        <v>44500</v>
      </c>
      <c r="Y172" s="25">
        <v>44494</v>
      </c>
      <c r="Z172" s="29">
        <v>22.455</v>
      </c>
      <c r="AD172" s="36">
        <f t="shared" si="94"/>
        <v>-0.0198175389584879</v>
      </c>
      <c r="AE172" s="36">
        <f t="shared" si="100"/>
        <v>-0.0198175389584879</v>
      </c>
      <c r="AF172" s="36">
        <f t="shared" si="101"/>
        <v>-0.0198175389584879</v>
      </c>
      <c r="BA172" s="25">
        <f t="shared" ref="BA172:BB187" si="103">E172</f>
        <v>44515</v>
      </c>
      <c r="BB172" s="28">
        <f t="shared" si="103"/>
        <v>2.17</v>
      </c>
      <c r="BC172" s="28">
        <f t="shared" si="85"/>
        <v>2.45</v>
      </c>
      <c r="BD172" s="28">
        <f t="shared" si="91"/>
        <v>4.17</v>
      </c>
      <c r="BE172" s="28">
        <f t="shared" si="86"/>
        <v>4.27</v>
      </c>
      <c r="BF172" s="28"/>
      <c r="BG172" s="28">
        <f t="shared" si="80"/>
        <v>7.83</v>
      </c>
      <c r="BH172" s="28"/>
      <c r="BI172" s="28">
        <f t="shared" si="79"/>
        <v>7.83</v>
      </c>
      <c r="CC172" s="25">
        <f t="shared" si="87"/>
        <v>44494</v>
      </c>
      <c r="CD172" s="29">
        <f t="shared" si="87"/>
        <v>22.455</v>
      </c>
      <c r="CE172" s="29">
        <f t="shared" si="92"/>
        <v>19.3</v>
      </c>
      <c r="CG172" s="36"/>
      <c r="DP172" s="35">
        <v>43720</v>
      </c>
      <c r="DQ172" s="26">
        <v>3.05</v>
      </c>
      <c r="DR172" s="26">
        <v>2.8</v>
      </c>
      <c r="DS172" s="26">
        <v>2.917</v>
      </c>
      <c r="DU172" s="35">
        <v>43720</v>
      </c>
      <c r="DV172" s="26">
        <v>6.2</v>
      </c>
      <c r="DW172" s="26">
        <v>6.05</v>
      </c>
      <c r="DX172" s="26">
        <v>6.115</v>
      </c>
      <c r="DZ172" s="35">
        <v>43720</v>
      </c>
      <c r="EA172" s="26">
        <v>13</v>
      </c>
      <c r="EB172" s="26">
        <v>12.8</v>
      </c>
      <c r="EC172" s="26">
        <v>12.85</v>
      </c>
    </row>
    <row r="173" ht="16.8" spans="3:133">
      <c r="C173" s="5" t="str" cm="1">
        <f t="array" ref="C173">_xlfn.IFS(MONTH(D173)&lt;4,1,MONTH(D173)&lt;7,2,MONTH(D173)&lt;10,3,MONTH(D173)&gt;9,4)&amp;"Q"&amp;RIGHT(YEAR(D173),2)</f>
        <v>4Q21</v>
      </c>
      <c r="D173" s="2">
        <f t="shared" si="88"/>
        <v>44530</v>
      </c>
      <c r="E173" s="25">
        <f t="shared" si="102"/>
        <v>44522</v>
      </c>
      <c r="F173" s="26">
        <v>2.11</v>
      </c>
      <c r="G173" s="26">
        <v>4.09</v>
      </c>
      <c r="H173" s="27"/>
      <c r="I173" s="28">
        <f t="shared" si="89"/>
        <v>0.0659375</v>
      </c>
      <c r="J173" s="28">
        <f t="shared" si="83"/>
        <v>0.06390625</v>
      </c>
      <c r="K173" s="28">
        <f t="shared" si="84"/>
        <v>0</v>
      </c>
      <c r="M173" s="36">
        <f t="shared" si="93"/>
        <v>-0.0276497695852534</v>
      </c>
      <c r="N173" s="36">
        <f t="shared" si="95"/>
        <v>-0.040909090909091</v>
      </c>
      <c r="O173" s="36">
        <f t="shared" si="96"/>
        <v>-0.0443840579710146</v>
      </c>
      <c r="P173" s="36">
        <f t="shared" si="97"/>
        <v>-0.0191846522781774</v>
      </c>
      <c r="Q173" s="36">
        <f t="shared" si="98"/>
        <v>-0.0308056872037914</v>
      </c>
      <c r="R173" s="36">
        <f t="shared" si="99"/>
        <v>-0.0390037593984963</v>
      </c>
      <c r="S173" s="36"/>
      <c r="T173" s="36"/>
      <c r="U173" s="36"/>
      <c r="W173" s="5" t="str" cm="1">
        <f t="array" ref="W173">_xlfn.IFS(MONTH(X173)&lt;4,1,MONTH(X173)&lt;7,2,MONTH(X173)&lt;10,3,MONTH(X173)&gt;9,4)&amp;"Q"&amp;RIGHT(YEAR(X173),2)</f>
        <v>4Q21</v>
      </c>
      <c r="X173" s="2">
        <f t="shared" si="90"/>
        <v>44530</v>
      </c>
      <c r="Y173" s="25">
        <v>44501</v>
      </c>
      <c r="Z173" s="29">
        <v>22</v>
      </c>
      <c r="AD173" s="36">
        <f t="shared" si="94"/>
        <v>-0.0202627477176575</v>
      </c>
      <c r="AE173" s="36">
        <f t="shared" si="100"/>
        <v>-0.0396787288838447</v>
      </c>
      <c r="AF173" s="36">
        <f t="shared" si="101"/>
        <v>-0.0396787288838447</v>
      </c>
      <c r="BA173" s="25">
        <f t="shared" si="103"/>
        <v>44522</v>
      </c>
      <c r="BB173" s="28">
        <f t="shared" si="103"/>
        <v>2.11</v>
      </c>
      <c r="BC173" s="28">
        <f t="shared" si="85"/>
        <v>2.45</v>
      </c>
      <c r="BD173" s="28">
        <f t="shared" si="91"/>
        <v>4.09</v>
      </c>
      <c r="BE173" s="28">
        <f t="shared" si="86"/>
        <v>4.27</v>
      </c>
      <c r="BF173" s="28"/>
      <c r="BG173" s="28">
        <f t="shared" si="80"/>
        <v>7.83</v>
      </c>
      <c r="BH173" s="28"/>
      <c r="BI173" s="28">
        <f t="shared" si="79"/>
        <v>7.83</v>
      </c>
      <c r="CC173" s="25">
        <f t="shared" si="87"/>
        <v>44501</v>
      </c>
      <c r="CD173" s="29">
        <f t="shared" si="87"/>
        <v>22</v>
      </c>
      <c r="CE173" s="29">
        <f t="shared" si="92"/>
        <v>19.3</v>
      </c>
      <c r="CG173" s="36"/>
      <c r="DP173" s="35">
        <v>43724</v>
      </c>
      <c r="DQ173" s="26">
        <v>3.05</v>
      </c>
      <c r="DR173" s="26">
        <v>2.8</v>
      </c>
      <c r="DS173" s="26">
        <v>2.917</v>
      </c>
      <c r="DU173" s="35">
        <v>43724</v>
      </c>
      <c r="DV173" s="26">
        <v>6.2</v>
      </c>
      <c r="DW173" s="26">
        <v>6.05</v>
      </c>
      <c r="DX173" s="26">
        <v>6.115</v>
      </c>
      <c r="DZ173" s="35">
        <v>43724</v>
      </c>
      <c r="EA173" s="26">
        <v>13</v>
      </c>
      <c r="EB173" s="26">
        <v>12.8</v>
      </c>
      <c r="EC173" s="26">
        <v>12.85</v>
      </c>
    </row>
    <row r="174" ht="16.8" spans="3:133">
      <c r="C174" s="5" t="str" cm="1">
        <f t="array" ref="C174">_xlfn.IFS(MONTH(D174)&lt;4,1,MONTH(D174)&lt;7,2,MONTH(D174)&lt;10,3,MONTH(D174)&gt;9,4)&amp;"Q"&amp;RIGHT(YEAR(D174),2)</f>
        <v>4Q21</v>
      </c>
      <c r="D174" s="2">
        <f t="shared" si="88"/>
        <v>44530</v>
      </c>
      <c r="E174" s="25">
        <f t="shared" si="102"/>
        <v>44529</v>
      </c>
      <c r="F174" s="26">
        <v>2.07</v>
      </c>
      <c r="G174" s="26">
        <v>4.04</v>
      </c>
      <c r="H174" s="27"/>
      <c r="I174" s="28">
        <f t="shared" si="89"/>
        <v>0.0646875</v>
      </c>
      <c r="J174" s="28">
        <f t="shared" si="83"/>
        <v>0.063125</v>
      </c>
      <c r="K174" s="28">
        <f t="shared" si="84"/>
        <v>0</v>
      </c>
      <c r="M174" s="36">
        <f t="shared" si="93"/>
        <v>-0.018957345971564</v>
      </c>
      <c r="N174" s="36">
        <f t="shared" si="95"/>
        <v>-0.0460829493087558</v>
      </c>
      <c r="O174" s="36">
        <f t="shared" si="96"/>
        <v>-0.0590909090909092</v>
      </c>
      <c r="P174" s="36">
        <f t="shared" si="97"/>
        <v>-0.0122249388753056</v>
      </c>
      <c r="Q174" s="36">
        <f t="shared" si="98"/>
        <v>-0.0311750599520384</v>
      </c>
      <c r="R174" s="36">
        <f t="shared" si="99"/>
        <v>-0.0426540284360188</v>
      </c>
      <c r="S174" s="36"/>
      <c r="T174" s="36"/>
      <c r="U174" s="36"/>
      <c r="W174" s="5" t="str" cm="1">
        <f t="array" ref="W174">_xlfn.IFS(MONTH(X174)&lt;4,1,MONTH(X174)&lt;7,2,MONTH(X174)&lt;10,3,MONTH(X174)&gt;9,4)&amp;"Q"&amp;RIGHT(YEAR(X174),2)</f>
        <v>4Q21</v>
      </c>
      <c r="X174" s="2">
        <f t="shared" si="90"/>
        <v>44530</v>
      </c>
      <c r="Y174" s="25">
        <f>Y173+7</f>
        <v>44508</v>
      </c>
      <c r="Z174" s="29">
        <v>21.91</v>
      </c>
      <c r="AD174" s="36">
        <f t="shared" si="94"/>
        <v>-0.00409090909090903</v>
      </c>
      <c r="AE174" s="36">
        <f t="shared" si="100"/>
        <v>-0.0242707637497216</v>
      </c>
      <c r="AF174" s="36">
        <f t="shared" si="101"/>
        <v>-0.0436073159020471</v>
      </c>
      <c r="BA174" s="25">
        <f t="shared" si="103"/>
        <v>44529</v>
      </c>
      <c r="BB174" s="28">
        <f t="shared" si="103"/>
        <v>2.07</v>
      </c>
      <c r="BC174" s="28">
        <f t="shared" si="85"/>
        <v>2.45</v>
      </c>
      <c r="BD174" s="28">
        <f t="shared" si="91"/>
        <v>4.04</v>
      </c>
      <c r="BE174" s="28">
        <f t="shared" si="86"/>
        <v>4.27</v>
      </c>
      <c r="BF174" s="28"/>
      <c r="BG174" s="28">
        <f t="shared" si="80"/>
        <v>7.83</v>
      </c>
      <c r="BH174" s="28"/>
      <c r="BI174" s="28">
        <f t="shared" si="79"/>
        <v>7.83</v>
      </c>
      <c r="CC174" s="25">
        <f t="shared" si="87"/>
        <v>44508</v>
      </c>
      <c r="CD174" s="29">
        <f t="shared" si="87"/>
        <v>21.91</v>
      </c>
      <c r="CE174" s="29">
        <f t="shared" si="92"/>
        <v>19.3</v>
      </c>
      <c r="CG174" s="36"/>
      <c r="DP174" s="35">
        <v>43725</v>
      </c>
      <c r="DQ174" s="26">
        <v>3.05</v>
      </c>
      <c r="DR174" s="26">
        <v>2.8</v>
      </c>
      <c r="DS174" s="26">
        <v>2.917</v>
      </c>
      <c r="DU174" s="35">
        <v>43725</v>
      </c>
      <c r="DV174" s="26">
        <v>6.2</v>
      </c>
      <c r="DW174" s="26">
        <v>6.05</v>
      </c>
      <c r="DX174" s="26">
        <v>6.115</v>
      </c>
      <c r="DZ174" s="35">
        <v>43725</v>
      </c>
      <c r="EA174" s="26">
        <v>13</v>
      </c>
      <c r="EB174" s="26">
        <v>12.8</v>
      </c>
      <c r="EC174" s="26">
        <v>12.85</v>
      </c>
    </row>
    <row r="175" ht="16.8" spans="3:133">
      <c r="C175" s="5" t="str" cm="1">
        <f t="array" ref="C175">_xlfn.IFS(MONTH(D175)&lt;4,1,MONTH(D175)&lt;7,2,MONTH(D175)&lt;10,3,MONTH(D175)&gt;9,4)&amp;"Q"&amp;RIGHT(YEAR(D175),2)</f>
        <v>4Q21</v>
      </c>
      <c r="D175" s="2">
        <f t="shared" si="88"/>
        <v>44561</v>
      </c>
      <c r="E175" s="25">
        <f t="shared" si="102"/>
        <v>44536</v>
      </c>
      <c r="F175" s="26">
        <v>2.06</v>
      </c>
      <c r="G175" s="26">
        <v>4.02</v>
      </c>
      <c r="H175" s="27"/>
      <c r="I175" s="28">
        <f t="shared" si="89"/>
        <v>0.064375</v>
      </c>
      <c r="J175" s="28">
        <f t="shared" si="83"/>
        <v>0.0628125</v>
      </c>
      <c r="K175" s="28">
        <f t="shared" si="84"/>
        <v>0</v>
      </c>
      <c r="M175" s="36">
        <f t="shared" si="93"/>
        <v>-0.00483091787439605</v>
      </c>
      <c r="N175" s="36">
        <f t="shared" si="95"/>
        <v>-0.0236966824644549</v>
      </c>
      <c r="O175" s="36">
        <f t="shared" si="96"/>
        <v>-0.0506912442396312</v>
      </c>
      <c r="P175" s="36">
        <f t="shared" si="97"/>
        <v>-0.00495049504950507</v>
      </c>
      <c r="Q175" s="36">
        <f t="shared" si="98"/>
        <v>-0.0171149144254279</v>
      </c>
      <c r="R175" s="36">
        <f t="shared" si="99"/>
        <v>-0.0359712230215828</v>
      </c>
      <c r="S175" s="36"/>
      <c r="T175" s="36"/>
      <c r="U175" s="36"/>
      <c r="W175" s="5" t="str" cm="1">
        <f t="array" ref="W175">_xlfn.IFS(MONTH(X175)&lt;4,1,MONTH(X175)&lt;7,2,MONTH(X175)&lt;10,3,MONTH(X175)&gt;9,4)&amp;"Q"&amp;RIGHT(YEAR(X175),2)</f>
        <v>4Q21</v>
      </c>
      <c r="X175" s="2">
        <f t="shared" si="90"/>
        <v>44530</v>
      </c>
      <c r="Y175" s="25">
        <f>Y174+7</f>
        <v>44515</v>
      </c>
      <c r="Z175" s="29">
        <v>21.73</v>
      </c>
      <c r="AD175" s="36">
        <f t="shared" si="94"/>
        <v>-0.00821542674577813</v>
      </c>
      <c r="AE175" s="36">
        <f t="shared" si="100"/>
        <v>-0.0122727272727272</v>
      </c>
      <c r="AF175" s="36">
        <f t="shared" si="101"/>
        <v>-0.0322867958138499</v>
      </c>
      <c r="BA175" s="25">
        <f t="shared" si="103"/>
        <v>44536</v>
      </c>
      <c r="BB175" s="28">
        <f t="shared" si="103"/>
        <v>2.06</v>
      </c>
      <c r="BC175" s="28">
        <f t="shared" si="85"/>
        <v>2.42</v>
      </c>
      <c r="BD175" s="28">
        <f t="shared" si="91"/>
        <v>4.02</v>
      </c>
      <c r="BE175" s="28">
        <f t="shared" si="86"/>
        <v>4.11</v>
      </c>
      <c r="BF175" s="28"/>
      <c r="BG175" s="28">
        <f t="shared" si="80"/>
        <v>7.83</v>
      </c>
      <c r="BH175" s="28"/>
      <c r="BI175" s="28">
        <f t="shared" si="79"/>
        <v>7.83</v>
      </c>
      <c r="CC175" s="25">
        <f t="shared" si="87"/>
        <v>44515</v>
      </c>
      <c r="CD175" s="29">
        <f t="shared" si="87"/>
        <v>21.73</v>
      </c>
      <c r="CE175" s="29">
        <f t="shared" si="92"/>
        <v>19.3</v>
      </c>
      <c r="CG175" s="36"/>
      <c r="DP175" s="35">
        <v>43726</v>
      </c>
      <c r="DQ175" s="26">
        <v>3.05</v>
      </c>
      <c r="DR175" s="26">
        <v>2.8</v>
      </c>
      <c r="DS175" s="26">
        <v>2.917</v>
      </c>
      <c r="DU175" s="35">
        <v>43726</v>
      </c>
      <c r="DV175" s="26">
        <v>6.2</v>
      </c>
      <c r="DW175" s="26">
        <v>6.05</v>
      </c>
      <c r="DX175" s="26">
        <v>6.115</v>
      </c>
      <c r="DZ175" s="35">
        <v>43726</v>
      </c>
      <c r="EA175" s="26">
        <v>13</v>
      </c>
      <c r="EB175" s="26">
        <v>12.8</v>
      </c>
      <c r="EC175" s="26">
        <v>12.85</v>
      </c>
    </row>
    <row r="176" ht="16.8" spans="3:133">
      <c r="C176" s="5" t="str" cm="1">
        <f t="array" ref="C176">_xlfn.IFS(MONTH(D176)&lt;4,1,MONTH(D176)&lt;7,2,MONTH(D176)&lt;10,3,MONTH(D176)&gt;9,4)&amp;"Q"&amp;RIGHT(YEAR(D176),2)</f>
        <v>4Q21</v>
      </c>
      <c r="D176" s="2">
        <f t="shared" si="88"/>
        <v>44561</v>
      </c>
      <c r="E176" s="25">
        <f t="shared" si="102"/>
        <v>44543</v>
      </c>
      <c r="F176" s="26">
        <v>2.05</v>
      </c>
      <c r="G176" s="26">
        <v>4.02</v>
      </c>
      <c r="H176" s="27"/>
      <c r="I176" s="28">
        <f t="shared" si="89"/>
        <v>0.0640625</v>
      </c>
      <c r="J176" s="28">
        <f t="shared" si="83"/>
        <v>0.0628125</v>
      </c>
      <c r="K176" s="28">
        <f t="shared" si="84"/>
        <v>0</v>
      </c>
      <c r="M176" s="36">
        <f t="shared" si="93"/>
        <v>-0.00485436893203894</v>
      </c>
      <c r="N176" s="36">
        <f t="shared" si="95"/>
        <v>-0.00966183574879231</v>
      </c>
      <c r="O176" s="36">
        <f t="shared" si="96"/>
        <v>-0.028436018957346</v>
      </c>
      <c r="P176" s="36">
        <f t="shared" si="97"/>
        <v>0</v>
      </c>
      <c r="Q176" s="36">
        <f t="shared" si="98"/>
        <v>-0.00495049504950507</v>
      </c>
      <c r="R176" s="36">
        <f t="shared" si="99"/>
        <v>-0.0171149144254279</v>
      </c>
      <c r="S176" s="36"/>
      <c r="T176" s="36"/>
      <c r="U176" s="36"/>
      <c r="AD176" s="36"/>
      <c r="AE176" s="36"/>
      <c r="AF176" s="36"/>
      <c r="BA176" s="25">
        <f t="shared" si="103"/>
        <v>44543</v>
      </c>
      <c r="BB176" s="28">
        <f t="shared" si="103"/>
        <v>2.05</v>
      </c>
      <c r="BC176" s="28">
        <f t="shared" si="85"/>
        <v>2.42</v>
      </c>
      <c r="BD176" s="28">
        <f t="shared" si="91"/>
        <v>4.02</v>
      </c>
      <c r="BE176" s="28">
        <f t="shared" si="86"/>
        <v>4.11</v>
      </c>
      <c r="BF176" s="28"/>
      <c r="BG176" s="28">
        <f t="shared" si="80"/>
        <v>7.83</v>
      </c>
      <c r="BH176" s="28"/>
      <c r="BI176" s="28">
        <f t="shared" si="79"/>
        <v>7.83</v>
      </c>
      <c r="CC176" s="25"/>
      <c r="CD176" s="29"/>
      <c r="CE176" s="29"/>
      <c r="DP176" s="35">
        <v>43727</v>
      </c>
      <c r="DQ176" s="26">
        <v>3.05</v>
      </c>
      <c r="DR176" s="26">
        <v>2.8</v>
      </c>
      <c r="DS176" s="26">
        <v>2.917</v>
      </c>
      <c r="DU176" s="35">
        <v>43727</v>
      </c>
      <c r="DV176" s="26">
        <v>6.2</v>
      </c>
      <c r="DW176" s="26">
        <v>6.05</v>
      </c>
      <c r="DX176" s="26">
        <v>6.115</v>
      </c>
      <c r="DZ176" s="35">
        <v>43727</v>
      </c>
      <c r="EA176" s="26">
        <v>13</v>
      </c>
      <c r="EB176" s="26">
        <v>12.8</v>
      </c>
      <c r="EC176" s="26">
        <v>12.85</v>
      </c>
    </row>
    <row r="177" ht="16.8" spans="3:133">
      <c r="C177" s="5" t="str" cm="1">
        <f t="array" ref="C177">_xlfn.IFS(MONTH(D177)&lt;4,1,MONTH(D177)&lt;7,2,MONTH(D177)&lt;10,3,MONTH(D177)&gt;9,4)&amp;"Q"&amp;RIGHT(YEAR(D177),2)</f>
        <v>4Q21</v>
      </c>
      <c r="D177" s="2">
        <f t="shared" si="88"/>
        <v>44561</v>
      </c>
      <c r="E177" s="25">
        <f t="shared" si="102"/>
        <v>44550</v>
      </c>
      <c r="F177" s="26">
        <v>2.05</v>
      </c>
      <c r="G177" s="26">
        <v>4.02</v>
      </c>
      <c r="H177" s="27"/>
      <c r="I177" s="28">
        <f t="shared" si="89"/>
        <v>0.0640625</v>
      </c>
      <c r="J177" s="28">
        <f t="shared" si="83"/>
        <v>0.0628125</v>
      </c>
      <c r="K177" s="28">
        <f t="shared" si="84"/>
        <v>0</v>
      </c>
      <c r="M177" s="36">
        <f t="shared" si="93"/>
        <v>0</v>
      </c>
      <c r="N177" s="36">
        <f t="shared" si="95"/>
        <v>-0.00485436893203894</v>
      </c>
      <c r="O177" s="36">
        <f t="shared" si="96"/>
        <v>-0.00966183574879231</v>
      </c>
      <c r="P177" s="36">
        <f t="shared" si="97"/>
        <v>0</v>
      </c>
      <c r="Q177" s="36">
        <f t="shared" si="98"/>
        <v>0</v>
      </c>
      <c r="R177" s="36">
        <f t="shared" si="99"/>
        <v>-0.00495049504950507</v>
      </c>
      <c r="S177" s="36"/>
      <c r="T177" s="36"/>
      <c r="U177" s="36"/>
      <c r="BA177" s="25">
        <f t="shared" si="103"/>
        <v>44550</v>
      </c>
      <c r="BB177" s="28">
        <f t="shared" si="103"/>
        <v>2.05</v>
      </c>
      <c r="BC177" s="28">
        <f t="shared" si="85"/>
        <v>2.42</v>
      </c>
      <c r="BD177" s="28">
        <f t="shared" si="91"/>
        <v>4.02</v>
      </c>
      <c r="BE177" s="28">
        <f t="shared" si="86"/>
        <v>4.11</v>
      </c>
      <c r="BF177" s="28"/>
      <c r="BG177" s="28">
        <f t="shared" si="80"/>
        <v>7.83</v>
      </c>
      <c r="BH177" s="28"/>
      <c r="BI177" s="28">
        <f t="shared" si="79"/>
        <v>7.83</v>
      </c>
      <c r="CC177" s="25"/>
      <c r="CD177" s="29"/>
      <c r="CE177" s="29"/>
      <c r="DP177" s="35">
        <v>43728</v>
      </c>
      <c r="DQ177" s="26">
        <v>3.05</v>
      </c>
      <c r="DR177" s="26">
        <v>2.8</v>
      </c>
      <c r="DS177" s="26">
        <v>2.917</v>
      </c>
      <c r="DU177" s="35">
        <v>43728</v>
      </c>
      <c r="DV177" s="26">
        <v>6.2</v>
      </c>
      <c r="DW177" s="26">
        <v>6.05</v>
      </c>
      <c r="DX177" s="26">
        <v>6.115</v>
      </c>
      <c r="DZ177" s="35">
        <v>43728</v>
      </c>
      <c r="EA177" s="26">
        <v>13</v>
      </c>
      <c r="EB177" s="26">
        <v>12.8</v>
      </c>
      <c r="EC177" s="26">
        <v>12.85</v>
      </c>
    </row>
    <row r="178" ht="16.8" spans="3:133">
      <c r="C178" s="5" t="str" cm="1">
        <f t="array" ref="C178">_xlfn.IFS(MONTH(D178)&lt;4,1,MONTH(D178)&lt;7,2,MONTH(D178)&lt;10,3,MONTH(D178)&gt;9,4)&amp;"Q"&amp;RIGHT(YEAR(D178),2)</f>
        <v>4Q21</v>
      </c>
      <c r="D178" s="2">
        <f t="shared" si="88"/>
        <v>44561</v>
      </c>
      <c r="E178" s="25">
        <f t="shared" si="102"/>
        <v>44557</v>
      </c>
      <c r="F178" s="26">
        <v>2.06</v>
      </c>
      <c r="G178" s="26">
        <v>4.03</v>
      </c>
      <c r="H178" s="27"/>
      <c r="I178" s="28">
        <f t="shared" si="89"/>
        <v>0.064375</v>
      </c>
      <c r="J178" s="28">
        <f t="shared" si="83"/>
        <v>0.06296875</v>
      </c>
      <c r="K178" s="28">
        <f t="shared" si="84"/>
        <v>0</v>
      </c>
      <c r="M178" s="36">
        <f t="shared" si="93"/>
        <v>0.00487804878048781</v>
      </c>
      <c r="N178" s="36">
        <f t="shared" si="95"/>
        <v>0.00487804878048781</v>
      </c>
      <c r="O178" s="36">
        <f t="shared" si="96"/>
        <v>0</v>
      </c>
      <c r="P178" s="36">
        <f t="shared" si="97"/>
        <v>0.00248756218905499</v>
      </c>
      <c r="Q178" s="36">
        <f t="shared" si="98"/>
        <v>0.00248756218905499</v>
      </c>
      <c r="R178" s="36">
        <f t="shared" si="99"/>
        <v>0.00248756218905499</v>
      </c>
      <c r="S178" s="36"/>
      <c r="T178" s="36"/>
      <c r="U178" s="36"/>
      <c r="BA178" s="25">
        <f t="shared" si="103"/>
        <v>44557</v>
      </c>
      <c r="BB178" s="28">
        <f t="shared" si="103"/>
        <v>2.06</v>
      </c>
      <c r="BC178" s="28">
        <f t="shared" si="85"/>
        <v>2.42</v>
      </c>
      <c r="BD178" s="28">
        <f t="shared" si="91"/>
        <v>4.03</v>
      </c>
      <c r="BE178" s="28">
        <f t="shared" si="86"/>
        <v>4.11</v>
      </c>
      <c r="BF178" s="28"/>
      <c r="BG178" s="28">
        <f t="shared" si="80"/>
        <v>7.83</v>
      </c>
      <c r="BH178" s="28"/>
      <c r="BI178" s="28">
        <f t="shared" si="79"/>
        <v>7.83</v>
      </c>
      <c r="CC178" s="25"/>
      <c r="CD178" s="29"/>
      <c r="CE178" s="29"/>
      <c r="DP178" s="35">
        <v>43731</v>
      </c>
      <c r="DQ178" s="26">
        <v>3.05</v>
      </c>
      <c r="DR178" s="26">
        <v>2.8</v>
      </c>
      <c r="DS178" s="26">
        <v>2.917</v>
      </c>
      <c r="DU178" s="35">
        <v>43731</v>
      </c>
      <c r="DV178" s="26">
        <v>6.2</v>
      </c>
      <c r="DW178" s="26">
        <v>6.05</v>
      </c>
      <c r="DX178" s="26">
        <v>6.115</v>
      </c>
      <c r="DZ178" s="35">
        <v>43731</v>
      </c>
      <c r="EA178" s="26">
        <v>13</v>
      </c>
      <c r="EB178" s="26">
        <v>12.8</v>
      </c>
      <c r="EC178" s="26">
        <v>12.85</v>
      </c>
    </row>
    <row r="179" ht="16.8" spans="3:133">
      <c r="C179" s="5" t="str" cm="1">
        <f t="array" ref="C179">_xlfn.IFS(MONTH(D179)&lt;4,1,MONTH(D179)&lt;7,2,MONTH(D179)&lt;10,3,MONTH(D179)&gt;9,4)&amp;"Q"&amp;RIGHT(YEAR(D179),2)</f>
        <v>1Q22</v>
      </c>
      <c r="D179" s="2">
        <f t="shared" si="88"/>
        <v>44592</v>
      </c>
      <c r="E179" s="25">
        <f t="shared" si="102"/>
        <v>44564</v>
      </c>
      <c r="F179" s="26">
        <v>2.07</v>
      </c>
      <c r="G179" s="26">
        <v>4.06</v>
      </c>
      <c r="H179" s="27"/>
      <c r="I179" s="28">
        <f t="shared" si="89"/>
        <v>0.0646875</v>
      </c>
      <c r="J179" s="28">
        <f t="shared" si="83"/>
        <v>0.0634375</v>
      </c>
      <c r="K179" s="28">
        <f t="shared" si="84"/>
        <v>0</v>
      </c>
      <c r="M179" s="36">
        <f t="shared" si="93"/>
        <v>0.00485436893203883</v>
      </c>
      <c r="N179" s="36">
        <f t="shared" si="95"/>
        <v>0.00975609756097562</v>
      </c>
      <c r="O179" s="36">
        <f t="shared" si="96"/>
        <v>0.00975609756097562</v>
      </c>
      <c r="P179" s="36">
        <f t="shared" si="97"/>
        <v>0.00744416873449105</v>
      </c>
      <c r="Q179" s="36">
        <f t="shared" si="98"/>
        <v>0.00995024875621886</v>
      </c>
      <c r="R179" s="36">
        <f t="shared" si="99"/>
        <v>0.00995024875621886</v>
      </c>
      <c r="S179" s="36"/>
      <c r="T179" s="36"/>
      <c r="U179" s="36"/>
      <c r="BA179" s="25">
        <f t="shared" si="103"/>
        <v>44564</v>
      </c>
      <c r="BB179" s="28">
        <f t="shared" si="103"/>
        <v>2.07</v>
      </c>
      <c r="BC179" s="28">
        <f t="shared" si="85"/>
        <v>2.42</v>
      </c>
      <c r="BD179" s="28">
        <f t="shared" si="91"/>
        <v>4.06</v>
      </c>
      <c r="BE179" s="28">
        <f t="shared" si="86"/>
        <v>4.11</v>
      </c>
      <c r="BF179" s="28"/>
      <c r="BG179" s="28">
        <f t="shared" si="80"/>
        <v>7.83</v>
      </c>
      <c r="BH179" s="28"/>
      <c r="BI179" s="28">
        <f t="shared" si="79"/>
        <v>7.83</v>
      </c>
      <c r="CC179" s="25"/>
      <c r="CD179" s="29"/>
      <c r="CE179" s="29"/>
      <c r="DP179" s="35">
        <v>43732</v>
      </c>
      <c r="DQ179" s="26">
        <v>3</v>
      </c>
      <c r="DR179" s="26">
        <v>2.8</v>
      </c>
      <c r="DS179" s="26">
        <v>2.908</v>
      </c>
      <c r="DU179" s="35">
        <v>43732</v>
      </c>
      <c r="DV179" s="26">
        <v>6.15</v>
      </c>
      <c r="DW179" s="26">
        <v>6.05</v>
      </c>
      <c r="DX179" s="26">
        <v>6.09</v>
      </c>
      <c r="DZ179" s="35">
        <v>43732</v>
      </c>
      <c r="EA179" s="26">
        <v>12.9</v>
      </c>
      <c r="EB179" s="26">
        <v>12.75</v>
      </c>
      <c r="EC179" s="26">
        <v>12.8</v>
      </c>
    </row>
    <row r="180" ht="16.8" spans="3:133">
      <c r="C180" s="5" t="str" cm="1">
        <f t="array" ref="C180">_xlfn.IFS(MONTH(D180)&lt;4,1,MONTH(D180)&lt;7,2,MONTH(D180)&lt;10,3,MONTH(D180)&gt;9,4)&amp;"Q"&amp;RIGHT(YEAR(D180),2)</f>
        <v>1Q22</v>
      </c>
      <c r="D180" s="2">
        <f t="shared" si="88"/>
        <v>44592</v>
      </c>
      <c r="E180" s="25">
        <f t="shared" si="102"/>
        <v>44571</v>
      </c>
      <c r="F180" s="26">
        <v>2.08</v>
      </c>
      <c r="G180" s="26">
        <v>4.08</v>
      </c>
      <c r="H180" s="27"/>
      <c r="I180" s="28">
        <f t="shared" si="89"/>
        <v>0.065</v>
      </c>
      <c r="J180" s="28">
        <f t="shared" si="83"/>
        <v>0.06375</v>
      </c>
      <c r="K180" s="28">
        <f t="shared" si="84"/>
        <v>0</v>
      </c>
      <c r="M180" s="36">
        <f t="shared" si="93"/>
        <v>0.00483091787439616</v>
      </c>
      <c r="N180" s="36">
        <f t="shared" si="95"/>
        <v>0.00970873786407767</v>
      </c>
      <c r="O180" s="36">
        <f t="shared" si="96"/>
        <v>0.0146341463414634</v>
      </c>
      <c r="P180" s="36">
        <f t="shared" si="97"/>
        <v>0.00492610837438434</v>
      </c>
      <c r="Q180" s="36">
        <f t="shared" si="98"/>
        <v>0.0124069478908189</v>
      </c>
      <c r="R180" s="36">
        <f t="shared" si="99"/>
        <v>0.0149253731343284</v>
      </c>
      <c r="S180" s="36"/>
      <c r="T180" s="36"/>
      <c r="U180" s="36"/>
      <c r="BA180" s="25">
        <f t="shared" si="103"/>
        <v>44571</v>
      </c>
      <c r="BB180" s="28">
        <f t="shared" si="103"/>
        <v>2.08</v>
      </c>
      <c r="BC180" s="28">
        <f t="shared" si="85"/>
        <v>2.42</v>
      </c>
      <c r="BD180" s="28">
        <f t="shared" si="91"/>
        <v>4.08</v>
      </c>
      <c r="BE180" s="28">
        <f t="shared" si="86"/>
        <v>4.11</v>
      </c>
      <c r="BF180" s="28"/>
      <c r="BG180" s="28">
        <f t="shared" si="80"/>
        <v>7.83</v>
      </c>
      <c r="BH180" s="28"/>
      <c r="BI180" s="28">
        <f t="shared" si="79"/>
        <v>7.83</v>
      </c>
      <c r="CC180" s="25"/>
      <c r="CD180" s="29"/>
      <c r="CE180" s="29"/>
      <c r="DP180" s="35">
        <v>43733</v>
      </c>
      <c r="DQ180" s="26">
        <v>3</v>
      </c>
      <c r="DR180" s="26">
        <v>2.8</v>
      </c>
      <c r="DS180" s="26">
        <v>2.908</v>
      </c>
      <c r="DU180" s="35">
        <v>43733</v>
      </c>
      <c r="DV180" s="26">
        <v>6.15</v>
      </c>
      <c r="DW180" s="26">
        <v>6.05</v>
      </c>
      <c r="DX180" s="26">
        <v>6.09</v>
      </c>
      <c r="DZ180" s="35">
        <v>43733</v>
      </c>
      <c r="EA180" s="26">
        <v>12.9</v>
      </c>
      <c r="EB180" s="26">
        <v>12.75</v>
      </c>
      <c r="EC180" s="26">
        <v>12.8</v>
      </c>
    </row>
    <row r="181" ht="16.8" spans="3:133">
      <c r="C181" s="5" t="str" cm="1">
        <f t="array" ref="C181">_xlfn.IFS(MONTH(D181)&lt;4,1,MONTH(D181)&lt;7,2,MONTH(D181)&lt;10,3,MONTH(D181)&gt;9,4)&amp;"Q"&amp;RIGHT(YEAR(D181),2)</f>
        <v>1Q22</v>
      </c>
      <c r="D181" s="2">
        <f t="shared" si="88"/>
        <v>44592</v>
      </c>
      <c r="E181" s="25">
        <f t="shared" si="102"/>
        <v>44578</v>
      </c>
      <c r="F181" s="26">
        <v>2.09</v>
      </c>
      <c r="G181" s="26">
        <v>4.1</v>
      </c>
      <c r="H181" s="27"/>
      <c r="I181" s="28">
        <f t="shared" si="89"/>
        <v>0.0653125</v>
      </c>
      <c r="J181" s="28">
        <f t="shared" si="83"/>
        <v>0.0640625</v>
      </c>
      <c r="K181" s="28">
        <f t="shared" si="84"/>
        <v>0</v>
      </c>
      <c r="M181" s="36">
        <f t="shared" si="93"/>
        <v>0.00480769230769229</v>
      </c>
      <c r="N181" s="36">
        <f t="shared" si="95"/>
        <v>0.00966183574879231</v>
      </c>
      <c r="O181" s="36">
        <f t="shared" si="96"/>
        <v>0.0145631067961165</v>
      </c>
      <c r="P181" s="36">
        <f t="shared" si="97"/>
        <v>0.00490196078431371</v>
      </c>
      <c r="Q181" s="36">
        <f t="shared" si="98"/>
        <v>0.00985221674876846</v>
      </c>
      <c r="R181" s="36">
        <f t="shared" si="99"/>
        <v>0.0173697270471462</v>
      </c>
      <c r="S181" s="36"/>
      <c r="T181" s="36"/>
      <c r="U181" s="36"/>
      <c r="BA181" s="25">
        <f t="shared" si="103"/>
        <v>44578</v>
      </c>
      <c r="BB181" s="28">
        <f t="shared" si="103"/>
        <v>2.09</v>
      </c>
      <c r="BC181" s="28">
        <f t="shared" si="85"/>
        <v>2.42</v>
      </c>
      <c r="BD181" s="28">
        <f t="shared" si="91"/>
        <v>4.1</v>
      </c>
      <c r="BE181" s="28">
        <f t="shared" si="86"/>
        <v>4.11</v>
      </c>
      <c r="BF181" s="28"/>
      <c r="BG181" s="28">
        <f t="shared" si="80"/>
        <v>7.83</v>
      </c>
      <c r="BH181" s="28"/>
      <c r="BI181" s="28">
        <f t="shared" si="79"/>
        <v>7.83</v>
      </c>
      <c r="CC181" s="25"/>
      <c r="CD181" s="29"/>
      <c r="CE181" s="29"/>
      <c r="DP181" s="35">
        <v>43734</v>
      </c>
      <c r="DQ181" s="26">
        <v>3</v>
      </c>
      <c r="DR181" s="26">
        <v>2.8</v>
      </c>
      <c r="DS181" s="26">
        <v>2.908</v>
      </c>
      <c r="DU181" s="35">
        <v>43734</v>
      </c>
      <c r="DV181" s="26">
        <v>6.15</v>
      </c>
      <c r="DW181" s="26">
        <v>6.05</v>
      </c>
      <c r="DX181" s="26">
        <v>6.09</v>
      </c>
      <c r="DZ181" s="35">
        <v>43734</v>
      </c>
      <c r="EA181" s="26">
        <v>12.9</v>
      </c>
      <c r="EB181" s="26">
        <v>12.75</v>
      </c>
      <c r="EC181" s="26">
        <v>12.8</v>
      </c>
    </row>
    <row r="182" ht="16.8" spans="3:133">
      <c r="C182" s="5" t="str" cm="1">
        <f t="array" ref="C182">_xlfn.IFS(MONTH(D182)&lt;4,1,MONTH(D182)&lt;7,2,MONTH(D182)&lt;10,3,MONTH(D182)&gt;9,4)&amp;"Q"&amp;RIGHT(YEAR(D182),2)</f>
        <v>1Q22</v>
      </c>
      <c r="D182" s="2">
        <f t="shared" si="88"/>
        <v>44592</v>
      </c>
      <c r="E182" s="25">
        <f t="shared" si="102"/>
        <v>44585</v>
      </c>
      <c r="F182" s="26">
        <v>2.09</v>
      </c>
      <c r="G182" s="26">
        <v>4.11</v>
      </c>
      <c r="H182" s="27"/>
      <c r="I182" s="28">
        <f t="shared" si="89"/>
        <v>0.0653125</v>
      </c>
      <c r="J182" s="28">
        <f t="shared" si="83"/>
        <v>0.06421875</v>
      </c>
      <c r="K182" s="28">
        <f t="shared" si="84"/>
        <v>0</v>
      </c>
      <c r="M182" s="36">
        <f t="shared" si="93"/>
        <v>0</v>
      </c>
      <c r="N182" s="36">
        <f t="shared" si="95"/>
        <v>0.00480769230769229</v>
      </c>
      <c r="O182" s="36">
        <f t="shared" si="96"/>
        <v>0.00966183574879231</v>
      </c>
      <c r="P182" s="36">
        <f t="shared" si="97"/>
        <v>0.00243902439024413</v>
      </c>
      <c r="Q182" s="36">
        <f t="shared" si="98"/>
        <v>0.00735294117647056</v>
      </c>
      <c r="R182" s="36">
        <f t="shared" si="99"/>
        <v>0.0123152709359609</v>
      </c>
      <c r="S182" s="36"/>
      <c r="T182" s="36"/>
      <c r="U182" s="36"/>
      <c r="BA182" s="25">
        <f t="shared" si="103"/>
        <v>44585</v>
      </c>
      <c r="BB182" s="28">
        <f t="shared" si="103"/>
        <v>2.09</v>
      </c>
      <c r="BC182" s="28">
        <f t="shared" si="85"/>
        <v>2.42</v>
      </c>
      <c r="BD182" s="28">
        <f t="shared" si="91"/>
        <v>4.11</v>
      </c>
      <c r="BE182" s="28">
        <f t="shared" si="86"/>
        <v>4.11</v>
      </c>
      <c r="BF182" s="28"/>
      <c r="BG182" s="28">
        <f t="shared" si="80"/>
        <v>7.83</v>
      </c>
      <c r="BH182" s="28"/>
      <c r="BI182" s="28">
        <f t="shared" si="79"/>
        <v>7.83</v>
      </c>
      <c r="CC182" s="25"/>
      <c r="CD182" s="29"/>
      <c r="CE182" s="29"/>
      <c r="DP182" s="35">
        <v>43735</v>
      </c>
      <c r="DQ182" s="26">
        <v>3</v>
      </c>
      <c r="DR182" s="26">
        <v>2.8</v>
      </c>
      <c r="DS182" s="26">
        <v>2.908</v>
      </c>
      <c r="DU182" s="35">
        <v>43735</v>
      </c>
      <c r="DV182" s="26">
        <v>6.15</v>
      </c>
      <c r="DW182" s="26">
        <v>6.05</v>
      </c>
      <c r="DX182" s="26">
        <v>6.09</v>
      </c>
      <c r="DZ182" s="35">
        <v>43735</v>
      </c>
      <c r="EA182" s="26">
        <v>12.9</v>
      </c>
      <c r="EB182" s="26">
        <v>12.75</v>
      </c>
      <c r="EC182" s="26">
        <v>12.8</v>
      </c>
    </row>
    <row r="183" ht="16.8" spans="3:133">
      <c r="C183" s="5" t="str" cm="1">
        <f t="array" ref="C183">_xlfn.IFS(MONTH(D183)&lt;4,1,MONTH(D183)&lt;7,2,MONTH(D183)&lt;10,3,MONTH(D183)&gt;9,4)&amp;"Q"&amp;RIGHT(YEAR(D183),2)</f>
        <v>1Q22</v>
      </c>
      <c r="D183" s="2">
        <f t="shared" si="88"/>
        <v>44620</v>
      </c>
      <c r="E183" s="25">
        <f>E182+14</f>
        <v>44599</v>
      </c>
      <c r="F183" s="26">
        <v>2.09</v>
      </c>
      <c r="G183" s="26">
        <v>4.11</v>
      </c>
      <c r="H183" s="27"/>
      <c r="I183" s="28">
        <f t="shared" si="89"/>
        <v>0.0653125</v>
      </c>
      <c r="J183" s="28">
        <f t="shared" si="83"/>
        <v>0.06421875</v>
      </c>
      <c r="K183" s="28">
        <f t="shared" si="84"/>
        <v>0</v>
      </c>
      <c r="M183" s="36">
        <f t="shared" si="93"/>
        <v>0</v>
      </c>
      <c r="N183" s="36">
        <f t="shared" si="95"/>
        <v>0</v>
      </c>
      <c r="O183" s="36">
        <f t="shared" si="96"/>
        <v>0.00480769230769229</v>
      </c>
      <c r="P183" s="36">
        <f t="shared" si="97"/>
        <v>0</v>
      </c>
      <c r="Q183" s="36">
        <f t="shared" si="98"/>
        <v>0.00243902439024413</v>
      </c>
      <c r="R183" s="36">
        <f t="shared" si="99"/>
        <v>0.00735294117647056</v>
      </c>
      <c r="S183" s="36"/>
      <c r="T183" s="36"/>
      <c r="U183" s="36"/>
      <c r="BA183" s="25">
        <f t="shared" si="103"/>
        <v>44599</v>
      </c>
      <c r="BB183" s="28">
        <f t="shared" si="103"/>
        <v>2.09</v>
      </c>
      <c r="BC183" s="28">
        <f t="shared" si="85"/>
        <v>2.62</v>
      </c>
      <c r="BD183" s="28">
        <f t="shared" si="91"/>
        <v>4.11</v>
      </c>
      <c r="BE183" s="28">
        <f t="shared" si="86"/>
        <v>4.5</v>
      </c>
      <c r="BF183" s="28"/>
      <c r="BG183" s="28">
        <f t="shared" si="80"/>
        <v>8.715</v>
      </c>
      <c r="BH183" s="28">
        <f t="shared" ref="BH183:BI246" si="104">INDEX($AM:$AQ,MATCH($D183,$AK:$AK,0),MATCH(BH$25,$AM$26:$AQ$26,0))</f>
        <v>8.93</v>
      </c>
      <c r="BI183" s="28">
        <f t="shared" si="104"/>
        <v>8.5</v>
      </c>
      <c r="CC183" s="25"/>
      <c r="CD183" s="29"/>
      <c r="CE183" s="29"/>
      <c r="DP183" s="35">
        <v>43738</v>
      </c>
      <c r="DQ183" s="26">
        <v>3</v>
      </c>
      <c r="DR183" s="26">
        <v>2.8</v>
      </c>
      <c r="DS183" s="26">
        <v>2.903</v>
      </c>
      <c r="DU183" s="35">
        <v>43738</v>
      </c>
      <c r="DV183" s="26">
        <v>6.15</v>
      </c>
      <c r="DW183" s="26">
        <v>6.05</v>
      </c>
      <c r="DX183" s="26">
        <v>6.09</v>
      </c>
      <c r="DZ183" s="35">
        <v>43738</v>
      </c>
      <c r="EA183" s="26">
        <v>12.9</v>
      </c>
      <c r="EB183" s="26">
        <v>12.75</v>
      </c>
      <c r="EC183" s="26">
        <v>12.8</v>
      </c>
    </row>
    <row r="184" ht="16.8" spans="3:133">
      <c r="C184" s="5" t="str" cm="1">
        <f t="array" ref="C184">_xlfn.IFS(MONTH(D184)&lt;4,1,MONTH(D184)&lt;7,2,MONTH(D184)&lt;10,3,MONTH(D184)&gt;9,4)&amp;"Q"&amp;RIGHT(YEAR(D184),2)</f>
        <v>1Q22</v>
      </c>
      <c r="D184" s="2">
        <f t="shared" si="88"/>
        <v>44620</v>
      </c>
      <c r="E184" s="25">
        <f t="shared" ref="E184:E190" si="105">E183+7</f>
        <v>44606</v>
      </c>
      <c r="F184" s="26">
        <v>2.15</v>
      </c>
      <c r="G184" s="26">
        <v>4.21</v>
      </c>
      <c r="H184" s="27"/>
      <c r="I184" s="28">
        <f t="shared" si="89"/>
        <v>0.0671875</v>
      </c>
      <c r="J184" s="28">
        <f t="shared" si="83"/>
        <v>0.06578125</v>
      </c>
      <c r="K184" s="28">
        <f t="shared" si="84"/>
        <v>0</v>
      </c>
      <c r="M184" s="36">
        <f t="shared" si="93"/>
        <v>0.0287081339712918</v>
      </c>
      <c r="N184" s="36">
        <f t="shared" si="95"/>
        <v>0.0287081339712918</v>
      </c>
      <c r="O184" s="36">
        <f t="shared" si="96"/>
        <v>0.0287081339712918</v>
      </c>
      <c r="P184" s="36">
        <f t="shared" si="97"/>
        <v>0.024330900243309</v>
      </c>
      <c r="Q184" s="36">
        <f t="shared" si="98"/>
        <v>0.024330900243309</v>
      </c>
      <c r="R184" s="36">
        <f t="shared" si="99"/>
        <v>0.026829268292683</v>
      </c>
      <c r="S184" s="36"/>
      <c r="T184" s="36"/>
      <c r="U184" s="36"/>
      <c r="BA184" s="25">
        <f t="shared" si="103"/>
        <v>44606</v>
      </c>
      <c r="BB184" s="28">
        <f t="shared" si="103"/>
        <v>2.15</v>
      </c>
      <c r="BC184" s="28">
        <f t="shared" si="85"/>
        <v>2.62</v>
      </c>
      <c r="BD184" s="28">
        <f t="shared" si="91"/>
        <v>4.21</v>
      </c>
      <c r="BE184" s="28">
        <f t="shared" si="86"/>
        <v>4.5</v>
      </c>
      <c r="BF184" s="28"/>
      <c r="BG184" s="28">
        <f t="shared" si="80"/>
        <v>8.715</v>
      </c>
      <c r="BH184" s="28">
        <f t="shared" si="104"/>
        <v>8.93</v>
      </c>
      <c r="BI184" s="28">
        <f t="shared" si="104"/>
        <v>8.5</v>
      </c>
      <c r="CC184" s="25"/>
      <c r="CD184" s="29"/>
      <c r="CE184" s="29"/>
      <c r="DP184" s="35">
        <v>43739</v>
      </c>
      <c r="DQ184" s="26">
        <v>3</v>
      </c>
      <c r="DR184" s="26">
        <v>2.8</v>
      </c>
      <c r="DS184" s="26">
        <v>2.903</v>
      </c>
      <c r="DU184" s="35">
        <v>43739</v>
      </c>
      <c r="DV184" s="26">
        <v>6.15</v>
      </c>
      <c r="DW184" s="26">
        <v>6.05</v>
      </c>
      <c r="DX184" s="26">
        <v>6.09</v>
      </c>
      <c r="DZ184" s="35">
        <v>43739</v>
      </c>
      <c r="EA184" s="26">
        <v>12.9</v>
      </c>
      <c r="EB184" s="26">
        <v>12.75</v>
      </c>
      <c r="EC184" s="26">
        <v>12.8</v>
      </c>
    </row>
    <row r="185" ht="16.8" spans="3:133">
      <c r="C185" s="5" t="str" cm="1">
        <f t="array" ref="C185">_xlfn.IFS(MONTH(D185)&lt;4,1,MONTH(D185)&lt;7,2,MONTH(D185)&lt;10,3,MONTH(D185)&gt;9,4)&amp;"Q"&amp;RIGHT(YEAR(D185),2)</f>
        <v>1Q22</v>
      </c>
      <c r="D185" s="2">
        <f t="shared" si="88"/>
        <v>44620</v>
      </c>
      <c r="E185" s="25">
        <f t="shared" si="105"/>
        <v>44613</v>
      </c>
      <c r="F185" s="26">
        <v>2.29</v>
      </c>
      <c r="G185" s="26">
        <v>4.45</v>
      </c>
      <c r="H185" s="27"/>
      <c r="I185" s="28">
        <f t="shared" si="89"/>
        <v>0.0715625</v>
      </c>
      <c r="J185" s="28">
        <f t="shared" si="83"/>
        <v>0.06953125</v>
      </c>
      <c r="K185" s="28">
        <f t="shared" si="84"/>
        <v>0</v>
      </c>
      <c r="M185" s="36">
        <f t="shared" si="93"/>
        <v>0.0651162790697675</v>
      </c>
      <c r="N185" s="36">
        <f t="shared" si="95"/>
        <v>0.0956937799043063</v>
      </c>
      <c r="O185" s="36">
        <f t="shared" si="96"/>
        <v>0.0956937799043063</v>
      </c>
      <c r="P185" s="36">
        <f t="shared" si="97"/>
        <v>0.0570071258907363</v>
      </c>
      <c r="Q185" s="36">
        <f t="shared" si="98"/>
        <v>0.0827250608272505</v>
      </c>
      <c r="R185" s="36">
        <f t="shared" si="99"/>
        <v>0.0827250608272505</v>
      </c>
      <c r="S185" s="36"/>
      <c r="T185" s="36"/>
      <c r="U185" s="36"/>
      <c r="BA185" s="25">
        <f t="shared" si="103"/>
        <v>44613</v>
      </c>
      <c r="BB185" s="28">
        <f t="shared" si="103"/>
        <v>2.29</v>
      </c>
      <c r="BC185" s="28">
        <f t="shared" si="85"/>
        <v>2.62</v>
      </c>
      <c r="BD185" s="28">
        <f t="shared" si="91"/>
        <v>4.45</v>
      </c>
      <c r="BE185" s="28">
        <f t="shared" si="86"/>
        <v>4.5</v>
      </c>
      <c r="BF185" s="28"/>
      <c r="BG185" s="28">
        <f t="shared" si="80"/>
        <v>8.715</v>
      </c>
      <c r="BH185" s="28">
        <f t="shared" si="104"/>
        <v>8.93</v>
      </c>
      <c r="BI185" s="28">
        <f t="shared" si="104"/>
        <v>8.5</v>
      </c>
      <c r="CC185" s="25"/>
      <c r="CD185" s="29"/>
      <c r="CE185" s="29"/>
      <c r="DP185" s="35">
        <v>43740</v>
      </c>
      <c r="DQ185" s="26">
        <v>3</v>
      </c>
      <c r="DR185" s="26">
        <v>2.8</v>
      </c>
      <c r="DS185" s="26">
        <v>2.903</v>
      </c>
      <c r="DU185" s="35">
        <v>43740</v>
      </c>
      <c r="DV185" s="26">
        <v>6.15</v>
      </c>
      <c r="DW185" s="26">
        <v>6.05</v>
      </c>
      <c r="DX185" s="26">
        <v>6.09</v>
      </c>
      <c r="DZ185" s="35">
        <v>43740</v>
      </c>
      <c r="EA185" s="26">
        <v>12.9</v>
      </c>
      <c r="EB185" s="26">
        <v>12.75</v>
      </c>
      <c r="EC185" s="26">
        <v>12.8</v>
      </c>
    </row>
    <row r="186" ht="16.8" spans="3:133">
      <c r="C186" s="5" t="str" cm="1">
        <f t="array" ref="C186">_xlfn.IFS(MONTH(D186)&lt;4,1,MONTH(D186)&lt;7,2,MONTH(D186)&lt;10,3,MONTH(D186)&gt;9,4)&amp;"Q"&amp;RIGHT(YEAR(D186),2)</f>
        <v>1Q22</v>
      </c>
      <c r="D186" s="2">
        <f t="shared" si="88"/>
        <v>44620</v>
      </c>
      <c r="E186" s="25">
        <f t="shared" si="105"/>
        <v>44620</v>
      </c>
      <c r="F186" s="26">
        <v>2.31</v>
      </c>
      <c r="G186" s="26">
        <v>4.49</v>
      </c>
      <c r="H186" s="27"/>
      <c r="I186" s="28">
        <f t="shared" si="89"/>
        <v>0.0721875</v>
      </c>
      <c r="J186" s="28">
        <f t="shared" si="83"/>
        <v>0.07015625</v>
      </c>
      <c r="K186" s="28">
        <f t="shared" si="84"/>
        <v>0</v>
      </c>
      <c r="M186" s="36">
        <f t="shared" si="93"/>
        <v>0.00873362445414849</v>
      </c>
      <c r="N186" s="36">
        <f t="shared" si="95"/>
        <v>0.0744186046511628</v>
      </c>
      <c r="O186" s="36">
        <f t="shared" si="96"/>
        <v>0.105263157894737</v>
      </c>
      <c r="P186" s="36">
        <f t="shared" si="97"/>
        <v>0.00898876404494375</v>
      </c>
      <c r="Q186" s="36">
        <f t="shared" si="98"/>
        <v>0.0665083135391924</v>
      </c>
      <c r="R186" s="36">
        <f t="shared" si="99"/>
        <v>0.0924574209245741</v>
      </c>
      <c r="S186" s="36"/>
      <c r="T186" s="36"/>
      <c r="U186" s="36"/>
      <c r="BA186" s="25">
        <f t="shared" si="103"/>
        <v>44620</v>
      </c>
      <c r="BB186" s="28">
        <f t="shared" si="103"/>
        <v>2.31</v>
      </c>
      <c r="BC186" s="28">
        <f t="shared" si="85"/>
        <v>2.62</v>
      </c>
      <c r="BD186" s="28">
        <f t="shared" si="91"/>
        <v>4.49</v>
      </c>
      <c r="BE186" s="28">
        <f t="shared" si="86"/>
        <v>4.5</v>
      </c>
      <c r="BF186" s="28"/>
      <c r="BG186" s="28">
        <f t="shared" si="80"/>
        <v>8.715</v>
      </c>
      <c r="BH186" s="28">
        <f t="shared" si="104"/>
        <v>8.93</v>
      </c>
      <c r="BI186" s="28">
        <f t="shared" si="104"/>
        <v>8.5</v>
      </c>
      <c r="CC186" s="25"/>
      <c r="CD186" s="29"/>
      <c r="CE186" s="29"/>
      <c r="DP186" s="35">
        <v>43741</v>
      </c>
      <c r="DQ186" s="26">
        <v>3</v>
      </c>
      <c r="DR186" s="26">
        <v>2.8</v>
      </c>
      <c r="DS186" s="26">
        <v>2.894</v>
      </c>
      <c r="DU186" s="35">
        <v>43741</v>
      </c>
      <c r="DV186" s="26">
        <v>6.15</v>
      </c>
      <c r="DW186" s="26">
        <v>6</v>
      </c>
      <c r="DX186" s="26">
        <v>6.075</v>
      </c>
      <c r="DZ186" s="35">
        <v>43741</v>
      </c>
      <c r="EA186" s="26">
        <v>12.8</v>
      </c>
      <c r="EB186" s="26">
        <v>12.7</v>
      </c>
      <c r="EC186" s="26">
        <v>12.75</v>
      </c>
    </row>
    <row r="187" ht="16.8" spans="3:133">
      <c r="C187" s="5" t="str" cm="1">
        <f t="array" ref="C187">_xlfn.IFS(MONTH(D187)&lt;4,1,MONTH(D187)&lt;7,2,MONTH(D187)&lt;10,3,MONTH(D187)&gt;9,4)&amp;"Q"&amp;RIGHT(YEAR(D187),2)</f>
        <v>1Q22</v>
      </c>
      <c r="D187" s="2">
        <f t="shared" si="88"/>
        <v>44651</v>
      </c>
      <c r="E187" s="25">
        <f t="shared" si="105"/>
        <v>44627</v>
      </c>
      <c r="F187" s="26">
        <v>2.35</v>
      </c>
      <c r="G187" s="26">
        <v>4.55</v>
      </c>
      <c r="H187" s="27"/>
      <c r="I187" s="28">
        <f t="shared" si="89"/>
        <v>0.0734375</v>
      </c>
      <c r="J187" s="28">
        <f t="shared" si="83"/>
        <v>0.07109375</v>
      </c>
      <c r="K187" s="28">
        <f t="shared" si="84"/>
        <v>0</v>
      </c>
      <c r="M187" s="36">
        <f t="shared" si="93"/>
        <v>0.0173160173160174</v>
      </c>
      <c r="N187" s="36">
        <f t="shared" si="95"/>
        <v>0.0262008733624455</v>
      </c>
      <c r="O187" s="36">
        <f t="shared" si="96"/>
        <v>0.0930232558139537</v>
      </c>
      <c r="P187" s="36">
        <f t="shared" si="97"/>
        <v>0.0133630289532294</v>
      </c>
      <c r="Q187" s="36">
        <f t="shared" si="98"/>
        <v>0.0224719101123594</v>
      </c>
      <c r="R187" s="36">
        <f t="shared" si="99"/>
        <v>0.0807600950118765</v>
      </c>
      <c r="S187" s="36"/>
      <c r="T187" s="36"/>
      <c r="U187" s="36"/>
      <c r="BA187" s="25">
        <f t="shared" si="103"/>
        <v>44627</v>
      </c>
      <c r="BB187" s="28">
        <f t="shared" si="103"/>
        <v>2.35</v>
      </c>
      <c r="BC187" s="28">
        <f t="shared" si="85"/>
        <v>2.68</v>
      </c>
      <c r="BD187" s="28">
        <f t="shared" si="91"/>
        <v>4.55</v>
      </c>
      <c r="BE187" s="28">
        <f t="shared" si="86"/>
        <v>4.76</v>
      </c>
      <c r="BF187" s="28"/>
      <c r="BG187" s="28">
        <f t="shared" si="80"/>
        <v>9.18</v>
      </c>
      <c r="BH187" s="28">
        <f t="shared" si="104"/>
        <v>9.36</v>
      </c>
      <c r="BI187" s="28">
        <f t="shared" si="104"/>
        <v>9</v>
      </c>
      <c r="CC187" s="25"/>
      <c r="CD187" s="29"/>
      <c r="CE187" s="29"/>
      <c r="DP187" s="35">
        <v>43742</v>
      </c>
      <c r="DQ187" s="26">
        <v>3</v>
      </c>
      <c r="DR187" s="26">
        <v>2.8</v>
      </c>
      <c r="DS187" s="26">
        <v>2.886</v>
      </c>
      <c r="DU187" s="35">
        <v>43742</v>
      </c>
      <c r="DV187" s="26">
        <v>6.15</v>
      </c>
      <c r="DW187" s="26">
        <v>5.95</v>
      </c>
      <c r="DX187" s="26">
        <v>6.025</v>
      </c>
      <c r="DZ187" s="35">
        <v>43742</v>
      </c>
      <c r="EA187" s="26">
        <v>12.75</v>
      </c>
      <c r="EB187" s="26">
        <v>12.65</v>
      </c>
      <c r="EC187" s="26">
        <v>12.7</v>
      </c>
    </row>
    <row r="188" ht="16.8" spans="3:133">
      <c r="C188" s="5" t="str" cm="1">
        <f t="array" ref="C188">_xlfn.IFS(MONTH(D188)&lt;4,1,MONTH(D188)&lt;7,2,MONTH(D188)&lt;10,3,MONTH(D188)&gt;9,4)&amp;"Q"&amp;RIGHT(YEAR(D188),2)</f>
        <v>1Q22</v>
      </c>
      <c r="D188" s="2">
        <f t="shared" si="88"/>
        <v>44651</v>
      </c>
      <c r="E188" s="25">
        <f t="shared" si="105"/>
        <v>44634</v>
      </c>
      <c r="F188" s="26">
        <v>2.37</v>
      </c>
      <c r="G188" s="26">
        <v>4.59</v>
      </c>
      <c r="H188" s="27"/>
      <c r="I188" s="28">
        <f t="shared" si="89"/>
        <v>0.0740625</v>
      </c>
      <c r="J188" s="28">
        <f t="shared" si="83"/>
        <v>0.07171875</v>
      </c>
      <c r="K188" s="28">
        <f t="shared" si="84"/>
        <v>0</v>
      </c>
      <c r="M188" s="36">
        <f t="shared" si="93"/>
        <v>0.00851063829787235</v>
      </c>
      <c r="N188" s="36">
        <f t="shared" si="95"/>
        <v>0.025974025974026</v>
      </c>
      <c r="O188" s="36">
        <f t="shared" si="96"/>
        <v>0.034934497816594</v>
      </c>
      <c r="P188" s="36">
        <f t="shared" si="97"/>
        <v>0.00879120879120876</v>
      </c>
      <c r="Q188" s="36">
        <f t="shared" si="98"/>
        <v>0.0222717149220488</v>
      </c>
      <c r="R188" s="36">
        <f t="shared" si="99"/>
        <v>0.0314606741573034</v>
      </c>
      <c r="S188" s="36"/>
      <c r="T188" s="36"/>
      <c r="U188" s="36"/>
      <c r="BA188" s="25">
        <f t="shared" ref="BA188:BB203" si="106">E188</f>
        <v>44634</v>
      </c>
      <c r="BB188" s="28">
        <f t="shared" si="106"/>
        <v>2.37</v>
      </c>
      <c r="BC188" s="28">
        <f t="shared" si="85"/>
        <v>2.68</v>
      </c>
      <c r="BD188" s="28">
        <f t="shared" si="91"/>
        <v>4.59</v>
      </c>
      <c r="BE188" s="28">
        <f t="shared" si="86"/>
        <v>4.76</v>
      </c>
      <c r="BF188" s="28"/>
      <c r="BG188" s="28">
        <f t="shared" si="80"/>
        <v>9.18</v>
      </c>
      <c r="BH188" s="28">
        <f t="shared" si="104"/>
        <v>9.36</v>
      </c>
      <c r="BI188" s="28">
        <f t="shared" si="104"/>
        <v>9</v>
      </c>
      <c r="CC188" s="25"/>
      <c r="CD188" s="29"/>
      <c r="CE188" s="29"/>
      <c r="DP188" s="35">
        <v>43745</v>
      </c>
      <c r="DQ188" s="26">
        <v>3</v>
      </c>
      <c r="DR188" s="26">
        <v>2.8</v>
      </c>
      <c r="DS188" s="26">
        <v>2.886</v>
      </c>
      <c r="DU188" s="35">
        <v>43745</v>
      </c>
      <c r="DV188" s="26">
        <v>6.15</v>
      </c>
      <c r="DW188" s="26">
        <v>5.95</v>
      </c>
      <c r="DX188" s="26">
        <v>6.025</v>
      </c>
      <c r="DZ188" s="35">
        <v>43745</v>
      </c>
      <c r="EA188" s="26">
        <v>12.75</v>
      </c>
      <c r="EB188" s="26">
        <v>12.65</v>
      </c>
      <c r="EC188" s="26">
        <v>12.7</v>
      </c>
    </row>
    <row r="189" ht="16.8" spans="3:133">
      <c r="C189" s="5" t="str" cm="1">
        <f t="array" ref="C189">_xlfn.IFS(MONTH(D189)&lt;4,1,MONTH(D189)&lt;7,2,MONTH(D189)&lt;10,3,MONTH(D189)&gt;9,4)&amp;"Q"&amp;RIGHT(YEAR(D189),2)</f>
        <v>1Q22</v>
      </c>
      <c r="D189" s="2">
        <f t="shared" si="88"/>
        <v>44651</v>
      </c>
      <c r="E189" s="25">
        <f t="shared" si="105"/>
        <v>44641</v>
      </c>
      <c r="F189" s="26">
        <v>2.37</v>
      </c>
      <c r="G189" s="26">
        <v>4.57</v>
      </c>
      <c r="H189" s="27"/>
      <c r="I189" s="28">
        <f t="shared" si="89"/>
        <v>0.0740625</v>
      </c>
      <c r="J189" s="28">
        <f t="shared" si="83"/>
        <v>0.07140625</v>
      </c>
      <c r="K189" s="28">
        <f t="shared" si="84"/>
        <v>0</v>
      </c>
      <c r="M189" s="36">
        <f t="shared" si="93"/>
        <v>0</v>
      </c>
      <c r="N189" s="36">
        <f t="shared" si="95"/>
        <v>0.00851063829787235</v>
      </c>
      <c r="O189" s="36">
        <f t="shared" si="96"/>
        <v>0.025974025974026</v>
      </c>
      <c r="P189" s="36">
        <f t="shared" si="97"/>
        <v>-0.00435729847494548</v>
      </c>
      <c r="Q189" s="36">
        <f t="shared" si="98"/>
        <v>0.0043956043956046</v>
      </c>
      <c r="R189" s="36">
        <f t="shared" si="99"/>
        <v>0.0178173719376391</v>
      </c>
      <c r="S189" s="36"/>
      <c r="T189" s="36"/>
      <c r="U189" s="36"/>
      <c r="BA189" s="25">
        <f t="shared" si="106"/>
        <v>44641</v>
      </c>
      <c r="BB189" s="28">
        <f t="shared" si="106"/>
        <v>2.37</v>
      </c>
      <c r="BC189" s="28">
        <f t="shared" si="85"/>
        <v>2.68</v>
      </c>
      <c r="BD189" s="28">
        <f t="shared" si="91"/>
        <v>4.57</v>
      </c>
      <c r="BE189" s="28">
        <f t="shared" si="86"/>
        <v>4.76</v>
      </c>
      <c r="BF189" s="28"/>
      <c r="BG189" s="28">
        <f t="shared" si="80"/>
        <v>9.18</v>
      </c>
      <c r="BH189" s="28">
        <f t="shared" si="104"/>
        <v>9.36</v>
      </c>
      <c r="BI189" s="28">
        <f t="shared" si="104"/>
        <v>9</v>
      </c>
      <c r="CC189" s="25"/>
      <c r="CD189" s="29"/>
      <c r="CE189" s="29"/>
      <c r="DP189" s="35">
        <v>43746</v>
      </c>
      <c r="DQ189" s="26">
        <v>3</v>
      </c>
      <c r="DR189" s="26">
        <v>2.8</v>
      </c>
      <c r="DS189" s="26">
        <v>2.886</v>
      </c>
      <c r="DU189" s="35">
        <v>43746</v>
      </c>
      <c r="DV189" s="26">
        <v>6.15</v>
      </c>
      <c r="DW189" s="26">
        <v>5.95</v>
      </c>
      <c r="DX189" s="26">
        <v>6.025</v>
      </c>
      <c r="DZ189" s="35">
        <v>43746</v>
      </c>
      <c r="EA189" s="26">
        <v>12.75</v>
      </c>
      <c r="EB189" s="26">
        <v>12.65</v>
      </c>
      <c r="EC189" s="26">
        <v>12.7</v>
      </c>
    </row>
    <row r="190" ht="16.8" spans="3:133">
      <c r="C190" s="5" t="str" cm="1">
        <f t="array" ref="C190">_xlfn.IFS(MONTH(D190)&lt;4,1,MONTH(D190)&lt;7,2,MONTH(D190)&lt;10,3,MONTH(D190)&gt;9,4)&amp;"Q"&amp;RIGHT(YEAR(D190),2)</f>
        <v>1Q22</v>
      </c>
      <c r="D190" s="2">
        <f t="shared" si="88"/>
        <v>44651</v>
      </c>
      <c r="E190" s="25">
        <f t="shared" si="105"/>
        <v>44648</v>
      </c>
      <c r="F190" s="26">
        <v>2.36</v>
      </c>
      <c r="G190" s="26">
        <v>4.54</v>
      </c>
      <c r="H190" s="27"/>
      <c r="I190" s="28">
        <f t="shared" si="89"/>
        <v>0.07375</v>
      </c>
      <c r="J190" s="28">
        <f t="shared" si="83"/>
        <v>0.0709375</v>
      </c>
      <c r="K190" s="28">
        <f t="shared" si="84"/>
        <v>0</v>
      </c>
      <c r="M190" s="36">
        <f t="shared" si="93"/>
        <v>-0.00421940928270048</v>
      </c>
      <c r="N190" s="36">
        <f t="shared" si="95"/>
        <v>-0.00421940928270048</v>
      </c>
      <c r="O190" s="36">
        <f t="shared" si="96"/>
        <v>0.00425531914893607</v>
      </c>
      <c r="P190" s="36">
        <f t="shared" si="97"/>
        <v>-0.00656455142231949</v>
      </c>
      <c r="Q190" s="36">
        <f t="shared" si="98"/>
        <v>-0.0108932461873638</v>
      </c>
      <c r="R190" s="36">
        <f t="shared" si="99"/>
        <v>-0.00219780219780219</v>
      </c>
      <c r="S190" s="36"/>
      <c r="T190" s="36"/>
      <c r="U190" s="36"/>
      <c r="BA190" s="25">
        <f t="shared" si="106"/>
        <v>44648</v>
      </c>
      <c r="BB190" s="28">
        <f t="shared" si="106"/>
        <v>2.36</v>
      </c>
      <c r="BC190" s="28">
        <f t="shared" si="85"/>
        <v>2.68</v>
      </c>
      <c r="BD190" s="28">
        <f t="shared" si="91"/>
        <v>4.54</v>
      </c>
      <c r="BE190" s="28">
        <f t="shared" si="86"/>
        <v>4.76</v>
      </c>
      <c r="BF190" s="28"/>
      <c r="BG190" s="28">
        <f t="shared" si="80"/>
        <v>9.18</v>
      </c>
      <c r="BH190" s="28">
        <f t="shared" si="104"/>
        <v>9.36</v>
      </c>
      <c r="BI190" s="28">
        <f t="shared" si="104"/>
        <v>9</v>
      </c>
      <c r="CC190" s="25"/>
      <c r="CD190" s="29"/>
      <c r="CE190" s="29"/>
      <c r="DP190" s="35">
        <v>43747</v>
      </c>
      <c r="DQ190" s="26">
        <v>3</v>
      </c>
      <c r="DR190" s="26">
        <v>2.8</v>
      </c>
      <c r="DS190" s="26">
        <v>2.886</v>
      </c>
      <c r="DU190" s="35">
        <v>43747</v>
      </c>
      <c r="DV190" s="26">
        <v>6.15</v>
      </c>
      <c r="DW190" s="26">
        <v>5.95</v>
      </c>
      <c r="DX190" s="26">
        <v>6.025</v>
      </c>
      <c r="DZ190" s="35">
        <v>43747</v>
      </c>
      <c r="EA190" s="26">
        <v>12.75</v>
      </c>
      <c r="EB190" s="26">
        <v>12.65</v>
      </c>
      <c r="EC190" s="26">
        <v>12.7</v>
      </c>
    </row>
    <row r="191" ht="16.8" spans="3:133">
      <c r="C191" s="5" t="str" cm="1">
        <f t="array" ref="C191">_xlfn.IFS(MONTH(D191)&lt;4,1,MONTH(D191)&lt;7,2,MONTH(D191)&lt;10,3,MONTH(D191)&gt;9,4)&amp;"Q"&amp;RIGHT(YEAR(D191),2)</f>
        <v>2Q22</v>
      </c>
      <c r="D191" s="2">
        <f t="shared" si="88"/>
        <v>44681</v>
      </c>
      <c r="E191" s="25">
        <f>E190+9</f>
        <v>44657</v>
      </c>
      <c r="F191" s="26">
        <v>2.33</v>
      </c>
      <c r="G191" s="26">
        <v>4.48</v>
      </c>
      <c r="H191" s="27"/>
      <c r="I191" s="28">
        <f t="shared" si="89"/>
        <v>0.0728125</v>
      </c>
      <c r="J191" s="28">
        <f t="shared" si="83"/>
        <v>0.07</v>
      </c>
      <c r="K191" s="28">
        <f t="shared" si="84"/>
        <v>0</v>
      </c>
      <c r="M191" s="36">
        <f t="shared" si="93"/>
        <v>-0.0127118644067796</v>
      </c>
      <c r="N191" s="36">
        <f t="shared" si="95"/>
        <v>-0.0168776371308017</v>
      </c>
      <c r="O191" s="36">
        <f t="shared" si="96"/>
        <v>-0.0168776371308017</v>
      </c>
      <c r="P191" s="36">
        <f t="shared" si="97"/>
        <v>-0.0132158590308369</v>
      </c>
      <c r="Q191" s="36">
        <f t="shared" si="98"/>
        <v>-0.0196936542669583</v>
      </c>
      <c r="R191" s="36">
        <f t="shared" si="99"/>
        <v>-0.0239651416122003</v>
      </c>
      <c r="S191" s="36"/>
      <c r="T191" s="36"/>
      <c r="U191" s="36"/>
      <c r="BA191" s="25">
        <f t="shared" si="106"/>
        <v>44657</v>
      </c>
      <c r="BB191" s="28">
        <f t="shared" si="106"/>
        <v>2.33</v>
      </c>
      <c r="BC191" s="28">
        <f t="shared" si="85"/>
        <v>2.68</v>
      </c>
      <c r="BD191" s="28">
        <f t="shared" si="91"/>
        <v>4.48</v>
      </c>
      <c r="BE191" s="28">
        <f t="shared" si="86"/>
        <v>4.76</v>
      </c>
      <c r="BF191" s="28"/>
      <c r="BG191" s="28">
        <f t="shared" si="80"/>
        <v>9.18</v>
      </c>
      <c r="BH191" s="28">
        <f t="shared" si="104"/>
        <v>9.36</v>
      </c>
      <c r="BI191" s="28">
        <f t="shared" si="104"/>
        <v>9</v>
      </c>
      <c r="CC191" s="25"/>
      <c r="CD191" s="29"/>
      <c r="CE191" s="29"/>
      <c r="DP191" s="35">
        <v>43748</v>
      </c>
      <c r="DQ191" s="26">
        <v>3</v>
      </c>
      <c r="DR191" s="26">
        <v>2.8</v>
      </c>
      <c r="DS191" s="26">
        <v>2.886</v>
      </c>
      <c r="DU191" s="35">
        <v>43748</v>
      </c>
      <c r="DV191" s="26">
        <v>6.15</v>
      </c>
      <c r="DW191" s="26">
        <v>5.95</v>
      </c>
      <c r="DX191" s="26">
        <v>6.025</v>
      </c>
      <c r="DZ191" s="35">
        <v>43748</v>
      </c>
      <c r="EA191" s="26">
        <v>12.75</v>
      </c>
      <c r="EB191" s="26">
        <v>12.65</v>
      </c>
      <c r="EC191" s="26">
        <v>12.7</v>
      </c>
    </row>
    <row r="192" ht="16.8" spans="3:133">
      <c r="C192" s="5" t="str" cm="1">
        <f t="array" ref="C192">_xlfn.IFS(MONTH(D192)&lt;4,1,MONTH(D192)&lt;7,2,MONTH(D192)&lt;10,3,MONTH(D192)&gt;9,4)&amp;"Q"&amp;RIGHT(YEAR(D192),2)</f>
        <v>2Q22</v>
      </c>
      <c r="D192" s="2">
        <f t="shared" si="88"/>
        <v>44681</v>
      </c>
      <c r="E192" s="25">
        <f>E191+5</f>
        <v>44662</v>
      </c>
      <c r="F192" s="26">
        <v>2.3</v>
      </c>
      <c r="G192" s="26">
        <v>4.42</v>
      </c>
      <c r="H192" s="27"/>
      <c r="I192" s="28">
        <f t="shared" si="89"/>
        <v>0.071875</v>
      </c>
      <c r="J192" s="28">
        <f t="shared" si="83"/>
        <v>0.0690625</v>
      </c>
      <c r="K192" s="28">
        <f t="shared" si="84"/>
        <v>0</v>
      </c>
      <c r="M192" s="36">
        <f t="shared" si="93"/>
        <v>-0.0128755364806868</v>
      </c>
      <c r="N192" s="36">
        <f t="shared" si="95"/>
        <v>-0.0254237288135594</v>
      </c>
      <c r="O192" s="36">
        <f t="shared" si="96"/>
        <v>-0.029535864978903</v>
      </c>
      <c r="P192" s="36">
        <f t="shared" si="97"/>
        <v>-0.0133928571428572</v>
      </c>
      <c r="Q192" s="36">
        <f t="shared" si="98"/>
        <v>-0.026431718061674</v>
      </c>
      <c r="R192" s="36">
        <f t="shared" si="99"/>
        <v>-0.0328227571115974</v>
      </c>
      <c r="S192" s="36"/>
      <c r="T192" s="36"/>
      <c r="U192" s="36"/>
      <c r="BA192" s="25">
        <f t="shared" si="106"/>
        <v>44662</v>
      </c>
      <c r="BB192" s="28">
        <f t="shared" si="106"/>
        <v>2.3</v>
      </c>
      <c r="BC192" s="28">
        <f t="shared" si="85"/>
        <v>2.68</v>
      </c>
      <c r="BD192" s="28">
        <f t="shared" si="91"/>
        <v>4.42</v>
      </c>
      <c r="BE192" s="28">
        <f t="shared" si="86"/>
        <v>4.76</v>
      </c>
      <c r="BF192" s="28"/>
      <c r="BG192" s="28">
        <f t="shared" ref="BG192:BG255" si="107">AVERAGE(BH192:BI192)</f>
        <v>9.18</v>
      </c>
      <c r="BH192" s="28">
        <f t="shared" si="104"/>
        <v>9.36</v>
      </c>
      <c r="BI192" s="28">
        <f t="shared" si="104"/>
        <v>9</v>
      </c>
      <c r="CC192" s="25"/>
      <c r="CD192" s="29"/>
      <c r="CE192" s="29"/>
      <c r="DP192" s="35">
        <v>43749</v>
      </c>
      <c r="DQ192" s="26">
        <v>3</v>
      </c>
      <c r="DR192" s="26">
        <v>2.8</v>
      </c>
      <c r="DS192" s="26">
        <v>2.881</v>
      </c>
      <c r="DU192" s="35">
        <v>43749</v>
      </c>
      <c r="DV192" s="26">
        <v>6.1</v>
      </c>
      <c r="DW192" s="26">
        <v>5.95</v>
      </c>
      <c r="DX192" s="26">
        <v>6.005</v>
      </c>
      <c r="DZ192" s="35">
        <v>43749</v>
      </c>
      <c r="EA192" s="26">
        <v>12.7</v>
      </c>
      <c r="EB192" s="26">
        <v>12.6</v>
      </c>
      <c r="EC192" s="26">
        <v>12.65</v>
      </c>
    </row>
    <row r="193" ht="16.8" spans="3:133">
      <c r="C193" s="5" t="str" cm="1">
        <f t="array" ref="C193">_xlfn.IFS(MONTH(D193)&lt;4,1,MONTH(D193)&lt;7,2,MONTH(D193)&lt;10,3,MONTH(D193)&gt;9,4)&amp;"Q"&amp;RIGHT(YEAR(D193),2)</f>
        <v>2Q22</v>
      </c>
      <c r="D193" s="2">
        <f t="shared" si="88"/>
        <v>44681</v>
      </c>
      <c r="E193" s="25">
        <f>E192+7</f>
        <v>44669</v>
      </c>
      <c r="F193" s="26">
        <v>2.3</v>
      </c>
      <c r="G193" s="26">
        <v>4.41</v>
      </c>
      <c r="H193" s="27"/>
      <c r="I193" s="28">
        <f t="shared" si="89"/>
        <v>0.071875</v>
      </c>
      <c r="J193" s="28">
        <f t="shared" si="83"/>
        <v>0.06890625</v>
      </c>
      <c r="K193" s="28">
        <f t="shared" si="84"/>
        <v>0</v>
      </c>
      <c r="M193" s="36">
        <f t="shared" si="93"/>
        <v>0</v>
      </c>
      <c r="N193" s="36">
        <f t="shared" si="95"/>
        <v>-0.0128755364806868</v>
      </c>
      <c r="O193" s="36">
        <f t="shared" si="96"/>
        <v>-0.0254237288135594</v>
      </c>
      <c r="P193" s="36">
        <f t="shared" si="97"/>
        <v>-0.00226244343891402</v>
      </c>
      <c r="Q193" s="36">
        <f t="shared" si="98"/>
        <v>-0.0156250000000001</v>
      </c>
      <c r="R193" s="36">
        <f t="shared" si="99"/>
        <v>-0.0286343612334802</v>
      </c>
      <c r="S193" s="36"/>
      <c r="T193" s="36"/>
      <c r="U193" s="36"/>
      <c r="BA193" s="25">
        <f t="shared" si="106"/>
        <v>44669</v>
      </c>
      <c r="BB193" s="28">
        <f t="shared" si="106"/>
        <v>2.3</v>
      </c>
      <c r="BC193" s="28">
        <f t="shared" si="85"/>
        <v>2.68</v>
      </c>
      <c r="BD193" s="28">
        <f t="shared" si="91"/>
        <v>4.41</v>
      </c>
      <c r="BE193" s="28">
        <f t="shared" si="86"/>
        <v>4.76</v>
      </c>
      <c r="BF193" s="28"/>
      <c r="BG193" s="28">
        <f t="shared" si="107"/>
        <v>9.18</v>
      </c>
      <c r="BH193" s="28">
        <f t="shared" si="104"/>
        <v>9.36</v>
      </c>
      <c r="BI193" s="28">
        <f t="shared" si="104"/>
        <v>9</v>
      </c>
      <c r="CC193" s="25"/>
      <c r="CD193" s="29"/>
      <c r="CE193" s="29"/>
      <c r="DP193" s="35">
        <v>43752</v>
      </c>
      <c r="DQ193" s="26">
        <v>3</v>
      </c>
      <c r="DR193" s="26">
        <v>2.8</v>
      </c>
      <c r="DS193" s="26">
        <v>2.881</v>
      </c>
      <c r="DU193" s="35">
        <v>43752</v>
      </c>
      <c r="DV193" s="26">
        <v>6.1</v>
      </c>
      <c r="DW193" s="26">
        <v>5.95</v>
      </c>
      <c r="DX193" s="26">
        <v>6.005</v>
      </c>
      <c r="DZ193" s="35">
        <v>43752</v>
      </c>
      <c r="EA193" s="26">
        <v>12.7</v>
      </c>
      <c r="EB193" s="26">
        <v>12.6</v>
      </c>
      <c r="EC193" s="26">
        <v>12.65</v>
      </c>
    </row>
    <row r="194" ht="16.8" spans="3:133">
      <c r="C194" s="5" t="str" cm="1">
        <f t="array" ref="C194">_xlfn.IFS(MONTH(D194)&lt;4,1,MONTH(D194)&lt;7,2,MONTH(D194)&lt;10,3,MONTH(D194)&gt;9,4)&amp;"Q"&amp;RIGHT(YEAR(D194),2)</f>
        <v>2Q22</v>
      </c>
      <c r="D194" s="2">
        <f t="shared" si="88"/>
        <v>44681</v>
      </c>
      <c r="E194" s="25">
        <f>E193+7</f>
        <v>44676</v>
      </c>
      <c r="F194" s="26">
        <v>2.29</v>
      </c>
      <c r="G194" s="26">
        <v>4.4</v>
      </c>
      <c r="H194" s="27"/>
      <c r="I194" s="28">
        <f t="shared" si="89"/>
        <v>0.0715625</v>
      </c>
      <c r="J194" s="28">
        <f t="shared" si="83"/>
        <v>0.06875</v>
      </c>
      <c r="K194" s="28">
        <f t="shared" si="84"/>
        <v>0</v>
      </c>
      <c r="M194" s="36">
        <f t="shared" si="93"/>
        <v>-0.00434782608695639</v>
      </c>
      <c r="N194" s="36">
        <f t="shared" si="95"/>
        <v>-0.00434782608695639</v>
      </c>
      <c r="O194" s="36">
        <f t="shared" si="96"/>
        <v>-0.0171673819742489</v>
      </c>
      <c r="P194" s="36">
        <f t="shared" si="97"/>
        <v>-0.00226757369614505</v>
      </c>
      <c r="Q194" s="36">
        <f t="shared" si="98"/>
        <v>-0.00452488687782793</v>
      </c>
      <c r="R194" s="36">
        <f t="shared" si="99"/>
        <v>-0.0178571428571429</v>
      </c>
      <c r="S194" s="36"/>
      <c r="T194" s="36"/>
      <c r="U194" s="36"/>
      <c r="BA194" s="25">
        <f t="shared" si="106"/>
        <v>44676</v>
      </c>
      <c r="BB194" s="28">
        <f t="shared" si="106"/>
        <v>2.29</v>
      </c>
      <c r="BC194" s="28">
        <f t="shared" si="85"/>
        <v>2.68</v>
      </c>
      <c r="BD194" s="28">
        <f t="shared" si="91"/>
        <v>4.4</v>
      </c>
      <c r="BE194" s="28">
        <f t="shared" si="86"/>
        <v>4.76</v>
      </c>
      <c r="BF194" s="28"/>
      <c r="BG194" s="28">
        <f t="shared" si="107"/>
        <v>9.18</v>
      </c>
      <c r="BH194" s="28">
        <f t="shared" si="104"/>
        <v>9.36</v>
      </c>
      <c r="BI194" s="28">
        <f t="shared" si="104"/>
        <v>9</v>
      </c>
      <c r="CC194" s="25"/>
      <c r="CD194" s="29"/>
      <c r="CE194" s="29"/>
      <c r="DP194" s="35">
        <v>43753</v>
      </c>
      <c r="DQ194" s="26">
        <v>3</v>
      </c>
      <c r="DR194" s="26">
        <v>2.8</v>
      </c>
      <c r="DS194" s="26">
        <v>2.881</v>
      </c>
      <c r="DU194" s="35">
        <v>43753</v>
      </c>
      <c r="DV194" s="26">
        <v>6.1</v>
      </c>
      <c r="DW194" s="26">
        <v>5.95</v>
      </c>
      <c r="DX194" s="26">
        <v>6.005</v>
      </c>
      <c r="DZ194" s="35">
        <v>43753</v>
      </c>
      <c r="EA194" s="26">
        <v>12.7</v>
      </c>
      <c r="EB194" s="26">
        <v>12.6</v>
      </c>
      <c r="EC194" s="26">
        <v>12.65</v>
      </c>
    </row>
    <row r="195" ht="16.8" spans="3:133">
      <c r="C195" s="5" t="str" cm="1">
        <f t="array" ref="C195">_xlfn.IFS(MONTH(D195)&lt;4,1,MONTH(D195)&lt;7,2,MONTH(D195)&lt;10,3,MONTH(D195)&gt;9,4)&amp;"Q"&amp;RIGHT(YEAR(D195),2)</f>
        <v>2Q22</v>
      </c>
      <c r="D195" s="2">
        <f t="shared" si="88"/>
        <v>44712</v>
      </c>
      <c r="E195" s="25">
        <f>E194+8</f>
        <v>44684</v>
      </c>
      <c r="F195" s="26">
        <v>2.23</v>
      </c>
      <c r="G195" s="26">
        <v>4.3</v>
      </c>
      <c r="H195" s="27"/>
      <c r="I195" s="28">
        <f t="shared" si="89"/>
        <v>0.0696875</v>
      </c>
      <c r="J195" s="28">
        <f t="shared" si="83"/>
        <v>0.0671875</v>
      </c>
      <c r="K195" s="28">
        <f t="shared" si="84"/>
        <v>0</v>
      </c>
      <c r="M195" s="36">
        <f t="shared" si="93"/>
        <v>-0.0262008733624455</v>
      </c>
      <c r="N195" s="36">
        <f t="shared" si="95"/>
        <v>-0.0304347826086956</v>
      </c>
      <c r="O195" s="36">
        <f t="shared" si="96"/>
        <v>-0.0304347826086956</v>
      </c>
      <c r="P195" s="36">
        <f t="shared" si="97"/>
        <v>-0.0227272727272728</v>
      </c>
      <c r="Q195" s="36">
        <f t="shared" si="98"/>
        <v>-0.0249433106575965</v>
      </c>
      <c r="R195" s="36">
        <f t="shared" si="99"/>
        <v>-0.0271493212669683</v>
      </c>
      <c r="S195" s="36"/>
      <c r="T195" s="36"/>
      <c r="U195" s="36"/>
      <c r="BA195" s="25">
        <f t="shared" si="106"/>
        <v>44684</v>
      </c>
      <c r="BB195" s="28">
        <f t="shared" si="106"/>
        <v>2.23</v>
      </c>
      <c r="BC195" s="28">
        <f t="shared" si="85"/>
        <v>2.6</v>
      </c>
      <c r="BD195" s="28">
        <f t="shared" si="91"/>
        <v>4.3</v>
      </c>
      <c r="BE195" s="28">
        <f t="shared" si="86"/>
        <v>4.6</v>
      </c>
      <c r="BF195" s="28"/>
      <c r="BG195" s="28">
        <f t="shared" si="107"/>
        <v>8.79</v>
      </c>
      <c r="BH195" s="28">
        <f t="shared" si="104"/>
        <v>8.95</v>
      </c>
      <c r="BI195" s="28">
        <f t="shared" si="104"/>
        <v>8.63</v>
      </c>
      <c r="CC195" s="25"/>
      <c r="CD195" s="29"/>
      <c r="CE195" s="29"/>
      <c r="DP195" s="35">
        <v>43754</v>
      </c>
      <c r="DQ195" s="26">
        <v>2.95</v>
      </c>
      <c r="DR195" s="26">
        <v>2.8</v>
      </c>
      <c r="DS195" s="26">
        <v>2.863</v>
      </c>
      <c r="DU195" s="35">
        <v>43754</v>
      </c>
      <c r="DV195" s="26">
        <v>6.1</v>
      </c>
      <c r="DW195" s="26">
        <v>5.9</v>
      </c>
      <c r="DX195" s="26">
        <v>5.975</v>
      </c>
      <c r="DZ195" s="35">
        <v>43754</v>
      </c>
      <c r="EA195" s="26">
        <v>12.6</v>
      </c>
      <c r="EB195" s="26">
        <v>12.4</v>
      </c>
      <c r="EC195" s="26">
        <v>12.5</v>
      </c>
    </row>
    <row r="196" ht="16.8" spans="3:133">
      <c r="C196" s="5" t="str" cm="1">
        <f t="array" ref="C196">_xlfn.IFS(MONTH(D196)&lt;4,1,MONTH(D196)&lt;7,2,MONTH(D196)&lt;10,3,MONTH(D196)&gt;9,4)&amp;"Q"&amp;RIGHT(YEAR(D196),2)</f>
        <v>2Q22</v>
      </c>
      <c r="D196" s="2">
        <f t="shared" si="88"/>
        <v>44712</v>
      </c>
      <c r="E196" s="25">
        <f>E195+6</f>
        <v>44690</v>
      </c>
      <c r="F196" s="26">
        <v>2.21</v>
      </c>
      <c r="G196" s="26">
        <v>4.27</v>
      </c>
      <c r="H196" s="27"/>
      <c r="I196" s="28">
        <f t="shared" si="89"/>
        <v>0.0690625</v>
      </c>
      <c r="J196" s="28">
        <f t="shared" si="83"/>
        <v>0.06671875</v>
      </c>
      <c r="K196" s="28">
        <f t="shared" si="84"/>
        <v>0</v>
      </c>
      <c r="M196" s="36">
        <f t="shared" si="93"/>
        <v>-0.00896860986547088</v>
      </c>
      <c r="N196" s="36">
        <f t="shared" si="95"/>
        <v>-0.034934497816594</v>
      </c>
      <c r="O196" s="36">
        <f t="shared" si="96"/>
        <v>-0.0391304347826087</v>
      </c>
      <c r="P196" s="36">
        <f t="shared" si="97"/>
        <v>-0.00697674418604655</v>
      </c>
      <c r="Q196" s="36">
        <f t="shared" si="98"/>
        <v>-0.0295454545454548</v>
      </c>
      <c r="R196" s="36">
        <f t="shared" si="99"/>
        <v>-0.0317460317460319</v>
      </c>
      <c r="S196" s="36"/>
      <c r="T196" s="36"/>
      <c r="U196" s="36"/>
      <c r="BA196" s="25">
        <f t="shared" si="106"/>
        <v>44690</v>
      </c>
      <c r="BB196" s="28">
        <f t="shared" si="106"/>
        <v>2.21</v>
      </c>
      <c r="BC196" s="28">
        <f t="shared" si="85"/>
        <v>2.6</v>
      </c>
      <c r="BD196" s="28">
        <f t="shared" si="91"/>
        <v>4.27</v>
      </c>
      <c r="BE196" s="28">
        <f t="shared" si="86"/>
        <v>4.6</v>
      </c>
      <c r="BF196" s="28"/>
      <c r="BG196" s="28">
        <f t="shared" si="107"/>
        <v>8.79</v>
      </c>
      <c r="BH196" s="28">
        <f t="shared" si="104"/>
        <v>8.95</v>
      </c>
      <c r="BI196" s="28">
        <f t="shared" si="104"/>
        <v>8.63</v>
      </c>
      <c r="CC196" s="25"/>
      <c r="CD196" s="29"/>
      <c r="CE196" s="29"/>
      <c r="DP196" s="35">
        <v>43755</v>
      </c>
      <c r="DQ196" s="26">
        <v>2.95</v>
      </c>
      <c r="DR196" s="26">
        <v>2.8</v>
      </c>
      <c r="DS196" s="26">
        <v>2.859</v>
      </c>
      <c r="DU196" s="35">
        <v>43755</v>
      </c>
      <c r="DV196" s="26">
        <v>6.05</v>
      </c>
      <c r="DW196" s="26">
        <v>5.9</v>
      </c>
      <c r="DX196" s="26">
        <v>5.965</v>
      </c>
      <c r="DZ196" s="35">
        <v>43755</v>
      </c>
      <c r="EA196" s="26">
        <v>12.5</v>
      </c>
      <c r="EB196" s="26">
        <v>12.4</v>
      </c>
      <c r="EC196" s="26">
        <v>12.45</v>
      </c>
    </row>
    <row r="197" ht="16.8" spans="3:133">
      <c r="C197" s="5" t="str" cm="1">
        <f t="array" ref="C197">_xlfn.IFS(MONTH(D197)&lt;4,1,MONTH(D197)&lt;7,2,MONTH(D197)&lt;10,3,MONTH(D197)&gt;9,4)&amp;"Q"&amp;RIGHT(YEAR(D197),2)</f>
        <v>2Q22</v>
      </c>
      <c r="D197" s="2">
        <f t="shared" si="88"/>
        <v>44712</v>
      </c>
      <c r="E197" s="25">
        <f t="shared" ref="E197:E232" si="108">E196+7</f>
        <v>44697</v>
      </c>
      <c r="F197" s="26">
        <v>2.19</v>
      </c>
      <c r="G197" s="26">
        <v>4.23</v>
      </c>
      <c r="H197" s="27"/>
      <c r="I197" s="28">
        <f t="shared" si="89"/>
        <v>0.0684375</v>
      </c>
      <c r="J197" s="28">
        <f t="shared" si="83"/>
        <v>0.06609375</v>
      </c>
      <c r="K197" s="28">
        <f t="shared" si="84"/>
        <v>0</v>
      </c>
      <c r="M197" s="36">
        <f t="shared" si="93"/>
        <v>-0.00904977375565608</v>
      </c>
      <c r="N197" s="36">
        <f t="shared" si="95"/>
        <v>-0.0179372197309418</v>
      </c>
      <c r="O197" s="36">
        <f t="shared" si="96"/>
        <v>-0.0436681222707423</v>
      </c>
      <c r="P197" s="36">
        <f t="shared" si="97"/>
        <v>-0.00936768149882883</v>
      </c>
      <c r="Q197" s="36">
        <f t="shared" si="98"/>
        <v>-0.0162790697674418</v>
      </c>
      <c r="R197" s="36">
        <f t="shared" si="99"/>
        <v>-0.0386363636363636</v>
      </c>
      <c r="S197" s="36"/>
      <c r="T197" s="36"/>
      <c r="U197" s="36"/>
      <c r="BA197" s="25">
        <f t="shared" si="106"/>
        <v>44697</v>
      </c>
      <c r="BB197" s="28">
        <f t="shared" si="106"/>
        <v>2.19</v>
      </c>
      <c r="BC197" s="28">
        <f t="shared" si="85"/>
        <v>2.6</v>
      </c>
      <c r="BD197" s="28">
        <f t="shared" si="91"/>
        <v>4.23</v>
      </c>
      <c r="BE197" s="28">
        <f t="shared" si="86"/>
        <v>4.6</v>
      </c>
      <c r="BF197" s="28"/>
      <c r="BG197" s="28">
        <f t="shared" si="107"/>
        <v>8.79</v>
      </c>
      <c r="BH197" s="28">
        <f t="shared" si="104"/>
        <v>8.95</v>
      </c>
      <c r="BI197" s="28">
        <f t="shared" si="104"/>
        <v>8.63</v>
      </c>
      <c r="CC197" s="25"/>
      <c r="CD197" s="29"/>
      <c r="CE197" s="29"/>
      <c r="DP197" s="35"/>
      <c r="DQ197" s="26"/>
      <c r="DR197" s="26"/>
      <c r="DS197" s="26"/>
      <c r="DU197" s="35"/>
      <c r="DV197" s="26"/>
      <c r="DW197" s="26"/>
      <c r="DX197" s="26"/>
      <c r="DZ197" s="35"/>
      <c r="EA197" s="26"/>
      <c r="EB197" s="26"/>
      <c r="EC197" s="26"/>
    </row>
    <row r="198" ht="16.8" spans="3:133">
      <c r="C198" s="5" t="str" cm="1">
        <f t="array" ref="C198">_xlfn.IFS(MONTH(D198)&lt;4,1,MONTH(D198)&lt;7,2,MONTH(D198)&lt;10,3,MONTH(D198)&gt;9,4)&amp;"Q"&amp;RIGHT(YEAR(D198),2)</f>
        <v>2Q22</v>
      </c>
      <c r="D198" s="2">
        <f t="shared" si="88"/>
        <v>44712</v>
      </c>
      <c r="E198" s="25">
        <f t="shared" si="108"/>
        <v>44704</v>
      </c>
      <c r="F198" s="26">
        <v>2.17</v>
      </c>
      <c r="G198" s="26">
        <v>4.2</v>
      </c>
      <c r="H198" s="27"/>
      <c r="I198" s="28">
        <f t="shared" si="89"/>
        <v>0.0678125</v>
      </c>
      <c r="J198" s="28">
        <f t="shared" si="83"/>
        <v>0.065625</v>
      </c>
      <c r="K198" s="28">
        <f t="shared" si="84"/>
        <v>0</v>
      </c>
      <c r="M198" s="36">
        <f t="shared" si="93"/>
        <v>-0.0091324200913242</v>
      </c>
      <c r="N198" s="36">
        <f t="shared" si="95"/>
        <v>-0.0180995475113123</v>
      </c>
      <c r="O198" s="36">
        <f t="shared" si="96"/>
        <v>-0.0269058295964126</v>
      </c>
      <c r="P198" s="36">
        <f t="shared" si="97"/>
        <v>-0.00709219858156029</v>
      </c>
      <c r="Q198" s="36">
        <f t="shared" si="98"/>
        <v>-0.0163934426229507</v>
      </c>
      <c r="R198" s="36">
        <f t="shared" si="99"/>
        <v>-0.0232558139534883</v>
      </c>
      <c r="S198" s="36"/>
      <c r="T198" s="36"/>
      <c r="U198" s="36"/>
      <c r="BA198" s="25">
        <f t="shared" si="106"/>
        <v>44704</v>
      </c>
      <c r="BB198" s="28">
        <f t="shared" si="106"/>
        <v>2.17</v>
      </c>
      <c r="BC198" s="28">
        <f t="shared" si="85"/>
        <v>2.6</v>
      </c>
      <c r="BD198" s="28">
        <f t="shared" si="91"/>
        <v>4.2</v>
      </c>
      <c r="BE198" s="28">
        <f t="shared" si="86"/>
        <v>4.6</v>
      </c>
      <c r="BF198" s="28"/>
      <c r="BG198" s="28">
        <f t="shared" si="107"/>
        <v>8.79</v>
      </c>
      <c r="BH198" s="28">
        <f t="shared" si="104"/>
        <v>8.95</v>
      </c>
      <c r="BI198" s="28">
        <f t="shared" si="104"/>
        <v>8.63</v>
      </c>
      <c r="CC198" s="25"/>
      <c r="CD198" s="29"/>
      <c r="CE198" s="29"/>
      <c r="DP198" s="35">
        <v>43756</v>
      </c>
      <c r="DQ198" s="26">
        <v>2.95</v>
      </c>
      <c r="DR198" s="26">
        <v>2.8</v>
      </c>
      <c r="DS198" s="26">
        <v>2.848</v>
      </c>
      <c r="DU198" s="35">
        <v>43756</v>
      </c>
      <c r="DV198" s="26">
        <v>6.05</v>
      </c>
      <c r="DW198" s="26">
        <v>5.85</v>
      </c>
      <c r="DX198" s="26">
        <v>5.94</v>
      </c>
      <c r="DZ198" s="35">
        <v>43756</v>
      </c>
      <c r="EA198" s="26">
        <v>12.4</v>
      </c>
      <c r="EB198" s="26">
        <v>12.2</v>
      </c>
      <c r="EC198" s="26">
        <v>12.3</v>
      </c>
    </row>
    <row r="199" ht="16.8" spans="3:133">
      <c r="C199" s="5" t="str" cm="1">
        <f t="array" ref="C199">_xlfn.IFS(MONTH(D199)&lt;4,1,MONTH(D199)&lt;7,2,MONTH(D199)&lt;10,3,MONTH(D199)&gt;9,4)&amp;"Q"&amp;RIGHT(YEAR(D199),2)</f>
        <v>2Q22</v>
      </c>
      <c r="D199" s="2">
        <f t="shared" si="88"/>
        <v>44712</v>
      </c>
      <c r="E199" s="25">
        <f t="shared" si="108"/>
        <v>44711</v>
      </c>
      <c r="F199" s="26">
        <v>2.1</v>
      </c>
      <c r="G199" s="26">
        <v>4.08</v>
      </c>
      <c r="H199" s="27"/>
      <c r="I199" s="28">
        <f t="shared" si="89"/>
        <v>0.065625</v>
      </c>
      <c r="J199" s="28">
        <f t="shared" si="83"/>
        <v>0.06375</v>
      </c>
      <c r="K199" s="28">
        <f t="shared" si="84"/>
        <v>0</v>
      </c>
      <c r="M199" s="36">
        <f t="shared" si="93"/>
        <v>-0.032258064516129</v>
      </c>
      <c r="N199" s="36">
        <f t="shared" si="95"/>
        <v>-0.0410958904109588</v>
      </c>
      <c r="O199" s="36">
        <f t="shared" si="96"/>
        <v>-0.0497737556561085</v>
      </c>
      <c r="P199" s="36">
        <f t="shared" si="97"/>
        <v>-0.0285714285714286</v>
      </c>
      <c r="Q199" s="36">
        <f t="shared" si="98"/>
        <v>-0.0354609929078015</v>
      </c>
      <c r="R199" s="36">
        <f t="shared" si="99"/>
        <v>-0.0444964871194379</v>
      </c>
      <c r="S199" s="36"/>
      <c r="T199" s="36"/>
      <c r="U199" s="36"/>
      <c r="BA199" s="25">
        <f t="shared" si="106"/>
        <v>44711</v>
      </c>
      <c r="BB199" s="28">
        <f t="shared" si="106"/>
        <v>2.1</v>
      </c>
      <c r="BC199" s="28">
        <f t="shared" si="85"/>
        <v>2.6</v>
      </c>
      <c r="BD199" s="28">
        <f t="shared" si="91"/>
        <v>4.08</v>
      </c>
      <c r="BE199" s="28">
        <f t="shared" si="86"/>
        <v>4.6</v>
      </c>
      <c r="BF199" s="28"/>
      <c r="BG199" s="28">
        <f t="shared" si="107"/>
        <v>8.79</v>
      </c>
      <c r="BH199" s="28">
        <f t="shared" si="104"/>
        <v>8.95</v>
      </c>
      <c r="BI199" s="28">
        <f t="shared" si="104"/>
        <v>8.63</v>
      </c>
      <c r="CC199" s="25"/>
      <c r="CD199" s="29"/>
      <c r="CE199" s="29"/>
      <c r="DP199" s="35">
        <v>43756</v>
      </c>
      <c r="DQ199" s="26">
        <v>2.95</v>
      </c>
      <c r="DR199" s="26">
        <v>2.8</v>
      </c>
      <c r="DS199" s="26">
        <v>2.848</v>
      </c>
      <c r="DU199" s="35">
        <v>43756</v>
      </c>
      <c r="DV199" s="26">
        <v>6.05</v>
      </c>
      <c r="DW199" s="26">
        <v>5.85</v>
      </c>
      <c r="DX199" s="26">
        <v>5.94</v>
      </c>
      <c r="DZ199" s="35">
        <v>43756</v>
      </c>
      <c r="EA199" s="26">
        <v>12.4</v>
      </c>
      <c r="EB199" s="26">
        <v>12.2</v>
      </c>
      <c r="EC199" s="26">
        <v>12.3</v>
      </c>
    </row>
    <row r="200" ht="16.8" spans="3:133">
      <c r="C200" s="5" t="str" cm="1">
        <f t="array" ref="C200">_xlfn.IFS(MONTH(D200)&lt;4,1,MONTH(D200)&lt;7,2,MONTH(D200)&lt;10,3,MONTH(D200)&gt;9,4)&amp;"Q"&amp;RIGHT(YEAR(D200),2)</f>
        <v>2Q22</v>
      </c>
      <c r="D200" s="2">
        <f t="shared" si="88"/>
        <v>44742</v>
      </c>
      <c r="E200" s="25">
        <f t="shared" si="108"/>
        <v>44718</v>
      </c>
      <c r="F200" s="26">
        <v>2.08</v>
      </c>
      <c r="G200" s="26">
        <v>4.06</v>
      </c>
      <c r="H200" s="27"/>
      <c r="I200" s="28">
        <f t="shared" si="89"/>
        <v>0.065</v>
      </c>
      <c r="J200" s="28">
        <f t="shared" si="83"/>
        <v>0.0634375</v>
      </c>
      <c r="K200" s="28">
        <f t="shared" si="84"/>
        <v>0</v>
      </c>
      <c r="M200" s="36">
        <f t="shared" si="93"/>
        <v>-0.00952380952380949</v>
      </c>
      <c r="N200" s="36">
        <f t="shared" si="95"/>
        <v>-0.0414746543778801</v>
      </c>
      <c r="O200" s="36">
        <f t="shared" si="96"/>
        <v>-0.050228310502283</v>
      </c>
      <c r="P200" s="36">
        <f t="shared" si="97"/>
        <v>-0.00490196078431382</v>
      </c>
      <c r="Q200" s="36">
        <f t="shared" si="98"/>
        <v>-0.0333333333333334</v>
      </c>
      <c r="R200" s="36">
        <f t="shared" si="99"/>
        <v>-0.0401891252955084</v>
      </c>
      <c r="S200" s="36"/>
      <c r="T200" s="36"/>
      <c r="U200" s="36"/>
      <c r="BA200" s="25">
        <f t="shared" si="106"/>
        <v>44718</v>
      </c>
      <c r="BB200" s="28">
        <f t="shared" si="106"/>
        <v>2.08</v>
      </c>
      <c r="BC200" s="28">
        <f t="shared" si="85"/>
        <v>2.31</v>
      </c>
      <c r="BD200" s="28">
        <f t="shared" si="91"/>
        <v>4.06</v>
      </c>
      <c r="BE200" s="28">
        <f t="shared" si="86"/>
        <v>4.08</v>
      </c>
      <c r="BF200" s="28"/>
      <c r="BG200" s="28">
        <f t="shared" si="107"/>
        <v>7.94</v>
      </c>
      <c r="BH200" s="28">
        <f t="shared" si="104"/>
        <v>8.08</v>
      </c>
      <c r="BI200" s="28">
        <f t="shared" si="104"/>
        <v>7.8</v>
      </c>
      <c r="CC200" s="25"/>
      <c r="CD200" s="29"/>
      <c r="CE200" s="29"/>
      <c r="DP200" s="35">
        <v>43756</v>
      </c>
      <c r="DQ200" s="26">
        <v>2.95</v>
      </c>
      <c r="DR200" s="26">
        <v>2.8</v>
      </c>
      <c r="DS200" s="26">
        <v>2.848</v>
      </c>
      <c r="DU200" s="35">
        <v>43756</v>
      </c>
      <c r="DV200" s="26">
        <v>6.05</v>
      </c>
      <c r="DW200" s="26">
        <v>5.85</v>
      </c>
      <c r="DX200" s="26">
        <v>5.94</v>
      </c>
      <c r="DZ200" s="35">
        <v>43756</v>
      </c>
      <c r="EA200" s="26">
        <v>12.4</v>
      </c>
      <c r="EB200" s="26">
        <v>12.2</v>
      </c>
      <c r="EC200" s="26">
        <v>12.3</v>
      </c>
    </row>
    <row r="201" ht="16.8" spans="3:133">
      <c r="C201" s="5" t="str" cm="1">
        <f t="array" ref="C201">_xlfn.IFS(MONTH(D201)&lt;4,1,MONTH(D201)&lt;7,2,MONTH(D201)&lt;10,3,MONTH(D201)&gt;9,4)&amp;"Q"&amp;RIGHT(YEAR(D201),2)</f>
        <v>2Q22</v>
      </c>
      <c r="D201" s="2">
        <f t="shared" si="88"/>
        <v>44742</v>
      </c>
      <c r="E201" s="25">
        <f t="shared" si="108"/>
        <v>44725</v>
      </c>
      <c r="F201" s="26">
        <v>1.99</v>
      </c>
      <c r="G201" s="26">
        <v>3.88</v>
      </c>
      <c r="H201" s="27"/>
      <c r="I201" s="28">
        <f t="shared" si="89"/>
        <v>0.0621875</v>
      </c>
      <c r="J201" s="28">
        <f t="shared" si="83"/>
        <v>0.060625</v>
      </c>
      <c r="K201" s="28">
        <f t="shared" si="84"/>
        <v>0</v>
      </c>
      <c r="M201" s="36">
        <f t="shared" si="93"/>
        <v>-0.0432692307692308</v>
      </c>
      <c r="N201" s="36">
        <f t="shared" si="95"/>
        <v>-0.0523809523809524</v>
      </c>
      <c r="O201" s="36">
        <f t="shared" si="96"/>
        <v>-0.0829493087557603</v>
      </c>
      <c r="P201" s="36">
        <f t="shared" si="97"/>
        <v>-0.0443349753694581</v>
      </c>
      <c r="Q201" s="36">
        <f t="shared" si="98"/>
        <v>-0.0490196078431373</v>
      </c>
      <c r="R201" s="36">
        <f t="shared" si="99"/>
        <v>-0.0761904761904763</v>
      </c>
      <c r="S201" s="36"/>
      <c r="T201" s="36"/>
      <c r="U201" s="36"/>
      <c r="BA201" s="25">
        <f t="shared" si="106"/>
        <v>44725</v>
      </c>
      <c r="BB201" s="28">
        <f t="shared" si="106"/>
        <v>1.99</v>
      </c>
      <c r="BC201" s="28">
        <f t="shared" si="85"/>
        <v>2.31</v>
      </c>
      <c r="BD201" s="28">
        <f t="shared" si="91"/>
        <v>3.88</v>
      </c>
      <c r="BE201" s="28">
        <f t="shared" si="86"/>
        <v>4.08</v>
      </c>
      <c r="BF201" s="28"/>
      <c r="BG201" s="28">
        <f t="shared" si="107"/>
        <v>7.94</v>
      </c>
      <c r="BH201" s="28">
        <f t="shared" si="104"/>
        <v>8.08</v>
      </c>
      <c r="BI201" s="28">
        <f t="shared" si="104"/>
        <v>7.8</v>
      </c>
      <c r="CC201" s="25"/>
      <c r="CD201" s="29"/>
      <c r="CE201" s="29"/>
      <c r="DP201" s="35">
        <v>43756</v>
      </c>
      <c r="DQ201" s="26">
        <v>2.95</v>
      </c>
      <c r="DR201" s="26">
        <v>2.8</v>
      </c>
      <c r="DS201" s="26">
        <v>2.848</v>
      </c>
      <c r="DU201" s="35">
        <v>43756</v>
      </c>
      <c r="DV201" s="26">
        <v>6.05</v>
      </c>
      <c r="DW201" s="26">
        <v>5.85</v>
      </c>
      <c r="DX201" s="26">
        <v>5.94</v>
      </c>
      <c r="DZ201" s="35">
        <v>43756</v>
      </c>
      <c r="EA201" s="26">
        <v>12.4</v>
      </c>
      <c r="EB201" s="26">
        <v>12.2</v>
      </c>
      <c r="EC201" s="26">
        <v>12.3</v>
      </c>
    </row>
    <row r="202" ht="16.8" spans="3:133">
      <c r="C202" s="5" t="str" cm="1">
        <f t="array" ref="C202">_xlfn.IFS(MONTH(D202)&lt;4,1,MONTH(D202)&lt;7,2,MONTH(D202)&lt;10,3,MONTH(D202)&gt;9,4)&amp;"Q"&amp;RIGHT(YEAR(D202),2)</f>
        <v>2Q22</v>
      </c>
      <c r="D202" s="2">
        <f t="shared" si="88"/>
        <v>44742</v>
      </c>
      <c r="E202" s="25">
        <f t="shared" si="108"/>
        <v>44732</v>
      </c>
      <c r="F202" s="26">
        <v>1.97</v>
      </c>
      <c r="G202" s="26">
        <v>3.82</v>
      </c>
      <c r="H202" s="27"/>
      <c r="I202" s="28">
        <f t="shared" si="89"/>
        <v>0.0615625</v>
      </c>
      <c r="J202" s="28">
        <f t="shared" si="83"/>
        <v>0.0596875</v>
      </c>
      <c r="K202" s="28">
        <f t="shared" si="84"/>
        <v>0</v>
      </c>
      <c r="M202" s="36">
        <f t="shared" si="93"/>
        <v>-0.0100502512562815</v>
      </c>
      <c r="N202" s="36">
        <f t="shared" si="95"/>
        <v>-0.0528846153846154</v>
      </c>
      <c r="O202" s="36">
        <f t="shared" si="96"/>
        <v>-0.0619047619047619</v>
      </c>
      <c r="P202" s="36">
        <f t="shared" si="97"/>
        <v>-0.0154639175257733</v>
      </c>
      <c r="Q202" s="36">
        <f t="shared" si="98"/>
        <v>-0.0591133004926108</v>
      </c>
      <c r="R202" s="36">
        <f t="shared" si="99"/>
        <v>-0.0637254901960785</v>
      </c>
      <c r="S202" s="36"/>
      <c r="T202" s="36"/>
      <c r="U202" s="36"/>
      <c r="BA202" s="25">
        <f t="shared" si="106"/>
        <v>44732</v>
      </c>
      <c r="BB202" s="28">
        <f t="shared" si="106"/>
        <v>1.97</v>
      </c>
      <c r="BC202" s="28">
        <f t="shared" si="85"/>
        <v>2.31</v>
      </c>
      <c r="BD202" s="28">
        <f t="shared" si="91"/>
        <v>3.82</v>
      </c>
      <c r="BE202" s="28">
        <f t="shared" si="86"/>
        <v>4.08</v>
      </c>
      <c r="BF202" s="28"/>
      <c r="BG202" s="28">
        <f t="shared" si="107"/>
        <v>7.94</v>
      </c>
      <c r="BH202" s="28">
        <f t="shared" si="104"/>
        <v>8.08</v>
      </c>
      <c r="BI202" s="28">
        <f t="shared" si="104"/>
        <v>7.8</v>
      </c>
      <c r="CC202" s="25"/>
      <c r="CD202" s="29"/>
      <c r="CE202" s="29"/>
      <c r="DP202" s="35">
        <v>43756</v>
      </c>
      <c r="DQ202" s="26">
        <v>2.95</v>
      </c>
      <c r="DR202" s="26">
        <v>2.8</v>
      </c>
      <c r="DS202" s="26">
        <v>2.848</v>
      </c>
      <c r="DU202" s="35">
        <v>43756</v>
      </c>
      <c r="DV202" s="26">
        <v>6.05</v>
      </c>
      <c r="DW202" s="26">
        <v>5.85</v>
      </c>
      <c r="DX202" s="26">
        <v>5.94</v>
      </c>
      <c r="DZ202" s="35">
        <v>43756</v>
      </c>
      <c r="EA202" s="26">
        <v>12.4</v>
      </c>
      <c r="EB202" s="26">
        <v>12.2</v>
      </c>
      <c r="EC202" s="26">
        <v>12.3</v>
      </c>
    </row>
    <row r="203" ht="16.8" spans="3:133">
      <c r="C203" s="5" t="str" cm="1">
        <f t="array" ref="C203">_xlfn.IFS(MONTH(D203)&lt;4,1,MONTH(D203)&lt;7,2,MONTH(D203)&lt;10,3,MONTH(D203)&gt;9,4)&amp;"Q"&amp;RIGHT(YEAR(D203),2)</f>
        <v>2Q22</v>
      </c>
      <c r="D203" s="2">
        <f t="shared" si="88"/>
        <v>44742</v>
      </c>
      <c r="E203" s="25">
        <f t="shared" si="108"/>
        <v>44739</v>
      </c>
      <c r="F203" s="26">
        <v>1.94</v>
      </c>
      <c r="G203" s="26">
        <v>3.75</v>
      </c>
      <c r="H203" s="27"/>
      <c r="I203" s="28">
        <f t="shared" si="89"/>
        <v>0.060625</v>
      </c>
      <c r="J203" s="28">
        <f t="shared" si="83"/>
        <v>0.05859375</v>
      </c>
      <c r="K203" s="28">
        <f t="shared" si="84"/>
        <v>0</v>
      </c>
      <c r="M203" s="36">
        <f t="shared" si="93"/>
        <v>-0.0152284263959391</v>
      </c>
      <c r="N203" s="36">
        <f t="shared" si="95"/>
        <v>-0.0251256281407035</v>
      </c>
      <c r="O203" s="36">
        <f t="shared" si="96"/>
        <v>-0.0673076923076924</v>
      </c>
      <c r="P203" s="36">
        <f t="shared" si="97"/>
        <v>-0.0183246073298429</v>
      </c>
      <c r="Q203" s="36">
        <f t="shared" si="98"/>
        <v>-0.0335051546391752</v>
      </c>
      <c r="R203" s="36">
        <f t="shared" si="99"/>
        <v>-0.0763546798029556</v>
      </c>
      <c r="S203" s="36"/>
      <c r="T203" s="36"/>
      <c r="U203" s="36"/>
      <c r="BA203" s="25">
        <f t="shared" si="106"/>
        <v>44739</v>
      </c>
      <c r="BB203" s="28">
        <f t="shared" si="106"/>
        <v>1.94</v>
      </c>
      <c r="BC203" s="28">
        <f t="shared" si="85"/>
        <v>2.31</v>
      </c>
      <c r="BD203" s="28">
        <f t="shared" si="91"/>
        <v>3.75</v>
      </c>
      <c r="BE203" s="28">
        <f t="shared" si="86"/>
        <v>4.08</v>
      </c>
      <c r="BF203" s="28"/>
      <c r="BG203" s="28">
        <f t="shared" si="107"/>
        <v>7.94</v>
      </c>
      <c r="BH203" s="28">
        <f t="shared" si="104"/>
        <v>8.08</v>
      </c>
      <c r="BI203" s="28">
        <f t="shared" si="104"/>
        <v>7.8</v>
      </c>
      <c r="CC203" s="25"/>
      <c r="CD203" s="29"/>
      <c r="CE203" s="29"/>
      <c r="DP203" s="35">
        <v>43762</v>
      </c>
      <c r="DQ203" s="26">
        <v>2.95</v>
      </c>
      <c r="DR203" s="26">
        <v>2.8</v>
      </c>
      <c r="DS203" s="26">
        <v>2.848</v>
      </c>
      <c r="DU203" s="35">
        <v>43762</v>
      </c>
      <c r="DV203" s="26">
        <v>6.05</v>
      </c>
      <c r="DW203" s="26">
        <v>5.85</v>
      </c>
      <c r="DX203" s="26">
        <v>5.94</v>
      </c>
      <c r="DZ203" s="35">
        <v>43762</v>
      </c>
      <c r="EA203" s="26">
        <v>12.4</v>
      </c>
      <c r="EB203" s="26">
        <v>12.2</v>
      </c>
      <c r="EC203" s="26">
        <v>12.3</v>
      </c>
    </row>
    <row r="204" ht="16.8" spans="3:133">
      <c r="C204" s="5" t="str" cm="1">
        <f t="array" ref="C204">_xlfn.IFS(MONTH(D204)&lt;4,1,MONTH(D204)&lt;7,2,MONTH(D204)&lt;10,3,MONTH(D204)&gt;9,4)&amp;"Q"&amp;RIGHT(YEAR(D204),2)</f>
        <v>3Q22</v>
      </c>
      <c r="D204" s="2">
        <f t="shared" si="88"/>
        <v>44773</v>
      </c>
      <c r="E204" s="25">
        <f t="shared" si="108"/>
        <v>44746</v>
      </c>
      <c r="F204" s="26">
        <v>1.81</v>
      </c>
      <c r="G204" s="26">
        <v>3.38</v>
      </c>
      <c r="H204" s="27"/>
      <c r="I204" s="28">
        <f t="shared" si="89"/>
        <v>0.0565625</v>
      </c>
      <c r="J204" s="28">
        <f t="shared" si="83"/>
        <v>0.0528125</v>
      </c>
      <c r="K204" s="28">
        <f t="shared" si="84"/>
        <v>0</v>
      </c>
      <c r="M204" s="36">
        <f t="shared" si="93"/>
        <v>-0.0670103092783505</v>
      </c>
      <c r="N204" s="36">
        <f t="shared" si="95"/>
        <v>-0.081218274111675</v>
      </c>
      <c r="O204" s="36">
        <f t="shared" si="96"/>
        <v>-0.0904522613065326</v>
      </c>
      <c r="P204" s="36">
        <f t="shared" si="97"/>
        <v>-0.0986666666666667</v>
      </c>
      <c r="Q204" s="36">
        <f t="shared" si="98"/>
        <v>-0.115183246073298</v>
      </c>
      <c r="R204" s="36">
        <f t="shared" si="99"/>
        <v>-0.128865979381443</v>
      </c>
      <c r="S204" s="36"/>
      <c r="T204" s="36"/>
      <c r="U204" s="36"/>
      <c r="BA204" s="25">
        <f t="shared" ref="BA204:BB219" si="109">E204</f>
        <v>44746</v>
      </c>
      <c r="BB204" s="28">
        <f t="shared" si="109"/>
        <v>1.81</v>
      </c>
      <c r="BC204" s="28">
        <f t="shared" si="85"/>
        <v>2.14</v>
      </c>
      <c r="BD204" s="28">
        <f t="shared" si="91"/>
        <v>3.38</v>
      </c>
      <c r="BE204" s="28">
        <f t="shared" si="86"/>
        <v>3.69</v>
      </c>
      <c r="BF204" s="28"/>
      <c r="BG204" s="28">
        <f t="shared" si="107"/>
        <v>7.34</v>
      </c>
      <c r="BH204" s="28">
        <f t="shared" si="104"/>
        <v>7.53</v>
      </c>
      <c r="BI204" s="28">
        <f t="shared" si="104"/>
        <v>7.15</v>
      </c>
      <c r="CC204" s="25"/>
      <c r="CD204" s="29"/>
      <c r="CE204" s="29"/>
      <c r="DP204" s="35">
        <v>43763</v>
      </c>
      <c r="DQ204" s="26">
        <v>2.95</v>
      </c>
      <c r="DR204" s="26">
        <v>2.8</v>
      </c>
      <c r="DS204" s="26">
        <v>2.848</v>
      </c>
      <c r="DU204" s="35">
        <v>43763</v>
      </c>
      <c r="DV204" s="26">
        <v>6.05</v>
      </c>
      <c r="DW204" s="26">
        <v>5.85</v>
      </c>
      <c r="DX204" s="26">
        <v>5.94</v>
      </c>
      <c r="DZ204" s="35">
        <v>43763</v>
      </c>
      <c r="EA204" s="26">
        <v>12.4</v>
      </c>
      <c r="EB204" s="26">
        <v>12.2</v>
      </c>
      <c r="EC204" s="26">
        <v>12.3</v>
      </c>
    </row>
    <row r="205" ht="16.8" spans="3:133">
      <c r="C205" s="5" t="str" cm="1">
        <f t="array" ref="C205">_xlfn.IFS(MONTH(D205)&lt;4,1,MONTH(D205)&lt;7,2,MONTH(D205)&lt;10,3,MONTH(D205)&gt;9,4)&amp;"Q"&amp;RIGHT(YEAR(D205),2)</f>
        <v>3Q22</v>
      </c>
      <c r="D205" s="2">
        <f t="shared" si="88"/>
        <v>44773</v>
      </c>
      <c r="E205" s="25">
        <f t="shared" si="108"/>
        <v>44753</v>
      </c>
      <c r="F205" s="26">
        <v>1.79</v>
      </c>
      <c r="G205" s="26">
        <v>3.25</v>
      </c>
      <c r="H205" s="27"/>
      <c r="I205" s="28">
        <f t="shared" si="89"/>
        <v>0.0559375</v>
      </c>
      <c r="J205" s="28">
        <f t="shared" si="83"/>
        <v>0.05078125</v>
      </c>
      <c r="K205" s="28">
        <f t="shared" si="84"/>
        <v>0</v>
      </c>
      <c r="M205" s="36">
        <f t="shared" si="93"/>
        <v>-0.011049723756906</v>
      </c>
      <c r="N205" s="36">
        <f t="shared" si="95"/>
        <v>-0.0773195876288659</v>
      </c>
      <c r="O205" s="36">
        <f t="shared" si="96"/>
        <v>-0.0913705583756345</v>
      </c>
      <c r="P205" s="36">
        <f t="shared" si="97"/>
        <v>-0.0384615384615384</v>
      </c>
      <c r="Q205" s="36">
        <f t="shared" si="98"/>
        <v>-0.133333333333333</v>
      </c>
      <c r="R205" s="36">
        <f t="shared" si="99"/>
        <v>-0.149214659685864</v>
      </c>
      <c r="S205" s="36"/>
      <c r="T205" s="36"/>
      <c r="U205" s="36"/>
      <c r="BA205" s="25">
        <f t="shared" si="109"/>
        <v>44753</v>
      </c>
      <c r="BB205" s="28">
        <f t="shared" si="109"/>
        <v>1.79</v>
      </c>
      <c r="BC205" s="28">
        <f t="shared" si="85"/>
        <v>2.14</v>
      </c>
      <c r="BD205" s="28">
        <f t="shared" si="91"/>
        <v>3.25</v>
      </c>
      <c r="BE205" s="28">
        <f t="shared" si="86"/>
        <v>3.69</v>
      </c>
      <c r="BF205" s="28"/>
      <c r="BG205" s="28">
        <f t="shared" si="107"/>
        <v>7.34</v>
      </c>
      <c r="BH205" s="28">
        <f t="shared" si="104"/>
        <v>7.53</v>
      </c>
      <c r="BI205" s="28">
        <f t="shared" si="104"/>
        <v>7.15</v>
      </c>
      <c r="CC205" s="25"/>
      <c r="CD205" s="29"/>
      <c r="CE205" s="29"/>
      <c r="DP205" s="35">
        <v>43766</v>
      </c>
      <c r="DQ205" s="26">
        <v>2.95</v>
      </c>
      <c r="DR205" s="26">
        <v>2.8</v>
      </c>
      <c r="DS205" s="26">
        <v>2.833</v>
      </c>
      <c r="DU205" s="35">
        <v>43766</v>
      </c>
      <c r="DV205" s="26">
        <v>6</v>
      </c>
      <c r="DW205" s="26">
        <v>5.85</v>
      </c>
      <c r="DX205" s="26">
        <v>5.925</v>
      </c>
      <c r="DZ205" s="35">
        <v>43766</v>
      </c>
      <c r="EA205" s="26">
        <v>12.3</v>
      </c>
      <c r="EB205" s="26">
        <v>12.2</v>
      </c>
      <c r="EC205" s="26">
        <v>12.25</v>
      </c>
    </row>
    <row r="206" ht="16.8" spans="3:133">
      <c r="C206" s="5" t="str" cm="1">
        <f t="array" ref="C206">_xlfn.IFS(MONTH(D206)&lt;4,1,MONTH(D206)&lt;7,2,MONTH(D206)&lt;10,3,MONTH(D206)&gt;9,4)&amp;"Q"&amp;RIGHT(YEAR(D206),2)</f>
        <v>3Q22</v>
      </c>
      <c r="D206" s="2">
        <f t="shared" si="88"/>
        <v>44773</v>
      </c>
      <c r="E206" s="25">
        <f t="shared" si="108"/>
        <v>44760</v>
      </c>
      <c r="F206" s="26">
        <v>1.79</v>
      </c>
      <c r="G206" s="26">
        <v>3.12</v>
      </c>
      <c r="H206" s="27"/>
      <c r="I206" s="28">
        <f t="shared" si="89"/>
        <v>0.0559375</v>
      </c>
      <c r="J206" s="28">
        <f t="shared" si="83"/>
        <v>0.04875</v>
      </c>
      <c r="K206" s="28">
        <f t="shared" si="84"/>
        <v>0</v>
      </c>
      <c r="M206" s="36">
        <f t="shared" si="93"/>
        <v>0</v>
      </c>
      <c r="N206" s="36">
        <f t="shared" si="95"/>
        <v>-0.011049723756906</v>
      </c>
      <c r="O206" s="36">
        <f t="shared" si="96"/>
        <v>-0.0773195876288659</v>
      </c>
      <c r="P206" s="36">
        <f t="shared" si="97"/>
        <v>-0.0399999999999999</v>
      </c>
      <c r="Q206" s="36">
        <f t="shared" si="98"/>
        <v>-0.0769230769230769</v>
      </c>
      <c r="R206" s="36">
        <f t="shared" si="99"/>
        <v>-0.168</v>
      </c>
      <c r="S206" s="36"/>
      <c r="T206" s="36"/>
      <c r="U206" s="36"/>
      <c r="BA206" s="25">
        <f t="shared" si="109"/>
        <v>44760</v>
      </c>
      <c r="BB206" s="28">
        <f t="shared" si="109"/>
        <v>1.79</v>
      </c>
      <c r="BC206" s="28">
        <f t="shared" si="85"/>
        <v>2.14</v>
      </c>
      <c r="BD206" s="28">
        <f t="shared" si="91"/>
        <v>3.12</v>
      </c>
      <c r="BE206" s="28">
        <f t="shared" si="86"/>
        <v>3.69</v>
      </c>
      <c r="BF206" s="28"/>
      <c r="BG206" s="28">
        <f t="shared" si="107"/>
        <v>7.34</v>
      </c>
      <c r="BH206" s="28">
        <f t="shared" si="104"/>
        <v>7.53</v>
      </c>
      <c r="BI206" s="28">
        <f t="shared" si="104"/>
        <v>7.15</v>
      </c>
      <c r="CC206" s="25"/>
      <c r="CD206" s="29"/>
      <c r="CE206" s="29"/>
      <c r="DP206" s="35">
        <v>43767</v>
      </c>
      <c r="DQ206" s="26">
        <v>2.95</v>
      </c>
      <c r="DR206" s="26">
        <v>2.8</v>
      </c>
      <c r="DS206" s="26">
        <v>2.833</v>
      </c>
      <c r="DU206" s="35">
        <v>43767</v>
      </c>
      <c r="DV206" s="26">
        <v>6</v>
      </c>
      <c r="DW206" s="26">
        <v>5.85</v>
      </c>
      <c r="DX206" s="26">
        <v>5.925</v>
      </c>
      <c r="DZ206" s="35">
        <v>43767</v>
      </c>
      <c r="EA206" s="26">
        <v>12.3</v>
      </c>
      <c r="EB206" s="26">
        <v>12.2</v>
      </c>
      <c r="EC206" s="26">
        <v>12.25</v>
      </c>
    </row>
    <row r="207" ht="16.8" spans="3:133">
      <c r="C207" s="5" t="str" cm="1">
        <f t="array" ref="C207">_xlfn.IFS(MONTH(D207)&lt;4,1,MONTH(D207)&lt;7,2,MONTH(D207)&lt;10,3,MONTH(D207)&gt;9,4)&amp;"Q"&amp;RIGHT(YEAR(D207),2)</f>
        <v>3Q22</v>
      </c>
      <c r="D207" s="2">
        <f t="shared" si="88"/>
        <v>44773</v>
      </c>
      <c r="E207" s="25">
        <f t="shared" si="108"/>
        <v>44767</v>
      </c>
      <c r="F207" s="26">
        <v>1.79</v>
      </c>
      <c r="G207" s="26">
        <v>3.09</v>
      </c>
      <c r="H207" s="27"/>
      <c r="I207" s="28">
        <f t="shared" si="89"/>
        <v>0.0559375</v>
      </c>
      <c r="J207" s="28">
        <f t="shared" si="83"/>
        <v>0.04828125</v>
      </c>
      <c r="K207" s="28">
        <f t="shared" si="84"/>
        <v>0</v>
      </c>
      <c r="M207" s="36">
        <f t="shared" si="93"/>
        <v>0</v>
      </c>
      <c r="N207" s="36">
        <f t="shared" si="95"/>
        <v>0</v>
      </c>
      <c r="O207" s="36">
        <f t="shared" si="96"/>
        <v>-0.011049723756906</v>
      </c>
      <c r="P207" s="36">
        <f t="shared" si="97"/>
        <v>-0.00961538461538469</v>
      </c>
      <c r="Q207" s="36">
        <f t="shared" si="98"/>
        <v>-0.0492307692307693</v>
      </c>
      <c r="R207" s="36">
        <f t="shared" si="99"/>
        <v>-0.0857988165680473</v>
      </c>
      <c r="S207" s="36"/>
      <c r="T207" s="36"/>
      <c r="U207" s="36"/>
      <c r="BA207" s="25">
        <f t="shared" si="109"/>
        <v>44767</v>
      </c>
      <c r="BB207" s="28">
        <f t="shared" si="109"/>
        <v>1.79</v>
      </c>
      <c r="BC207" s="28">
        <f t="shared" si="85"/>
        <v>2.14</v>
      </c>
      <c r="BD207" s="28">
        <f t="shared" si="91"/>
        <v>3.09</v>
      </c>
      <c r="BE207" s="28">
        <f t="shared" si="86"/>
        <v>3.69</v>
      </c>
      <c r="BF207" s="28"/>
      <c r="BG207" s="28">
        <f t="shared" si="107"/>
        <v>7.34</v>
      </c>
      <c r="BH207" s="28">
        <f t="shared" si="104"/>
        <v>7.53</v>
      </c>
      <c r="BI207" s="28">
        <f t="shared" si="104"/>
        <v>7.15</v>
      </c>
      <c r="CC207" s="25"/>
      <c r="CD207" s="29"/>
      <c r="CE207" s="29"/>
      <c r="DP207" s="35">
        <v>43768</v>
      </c>
      <c r="DQ207" s="26">
        <v>2.95</v>
      </c>
      <c r="DR207" s="26">
        <v>2.8</v>
      </c>
      <c r="DS207" s="26">
        <v>2.833</v>
      </c>
      <c r="DU207" s="35">
        <v>43768</v>
      </c>
      <c r="DV207" s="26">
        <v>6</v>
      </c>
      <c r="DW207" s="26">
        <v>5.85</v>
      </c>
      <c r="DX207" s="26">
        <v>5.925</v>
      </c>
      <c r="DZ207" s="35">
        <v>43768</v>
      </c>
      <c r="EA207" s="26">
        <v>12.3</v>
      </c>
      <c r="EB207" s="26">
        <v>12.2</v>
      </c>
      <c r="EC207" s="26">
        <v>12.25</v>
      </c>
    </row>
    <row r="208" ht="16.8" spans="3:133">
      <c r="C208" s="5" t="str" cm="1">
        <f t="array" ref="C208">_xlfn.IFS(MONTH(D208)&lt;4,1,MONTH(D208)&lt;7,2,MONTH(D208)&lt;10,3,MONTH(D208)&gt;9,4)&amp;"Q"&amp;RIGHT(YEAR(D208),2)</f>
        <v>3Q22</v>
      </c>
      <c r="D208" s="2">
        <f t="shared" si="88"/>
        <v>44804</v>
      </c>
      <c r="E208" s="25">
        <f t="shared" si="108"/>
        <v>44774</v>
      </c>
      <c r="F208" s="26">
        <v>1.79</v>
      </c>
      <c r="G208" s="26">
        <v>2.99</v>
      </c>
      <c r="H208" s="27"/>
      <c r="I208" s="28">
        <f t="shared" si="89"/>
        <v>0.0559375</v>
      </c>
      <c r="J208" s="28">
        <f t="shared" si="83"/>
        <v>0.04671875</v>
      </c>
      <c r="K208" s="28">
        <f t="shared" si="84"/>
        <v>0</v>
      </c>
      <c r="M208" s="36">
        <f t="shared" si="93"/>
        <v>0</v>
      </c>
      <c r="N208" s="36">
        <f t="shared" si="95"/>
        <v>0</v>
      </c>
      <c r="O208" s="36">
        <f t="shared" si="96"/>
        <v>0</v>
      </c>
      <c r="P208" s="36">
        <f t="shared" si="97"/>
        <v>-0.0323624595469254</v>
      </c>
      <c r="Q208" s="36">
        <f t="shared" si="98"/>
        <v>-0.0416666666666666</v>
      </c>
      <c r="R208" s="36">
        <f t="shared" si="99"/>
        <v>-0.08</v>
      </c>
      <c r="S208" s="36"/>
      <c r="T208" s="36"/>
      <c r="U208" s="36"/>
      <c r="BA208" s="25">
        <f t="shared" si="109"/>
        <v>44774</v>
      </c>
      <c r="BB208" s="28">
        <f t="shared" si="109"/>
        <v>1.79</v>
      </c>
      <c r="BC208" s="28">
        <f t="shared" si="85"/>
        <v>1.72</v>
      </c>
      <c r="BD208" s="28">
        <f t="shared" si="91"/>
        <v>2.99</v>
      </c>
      <c r="BE208" s="28">
        <f t="shared" si="86"/>
        <v>3.05</v>
      </c>
      <c r="BF208" s="28"/>
      <c r="BG208" s="28">
        <f t="shared" si="107"/>
        <v>5.925</v>
      </c>
      <c r="BH208" s="28">
        <f t="shared" si="104"/>
        <v>6.05</v>
      </c>
      <c r="BI208" s="28">
        <f t="shared" si="104"/>
        <v>5.8</v>
      </c>
      <c r="CC208" s="25"/>
      <c r="CD208" s="29"/>
      <c r="CE208" s="29"/>
      <c r="DP208" s="35">
        <v>43769</v>
      </c>
      <c r="DQ208" s="26">
        <v>2.95</v>
      </c>
      <c r="DR208" s="26">
        <v>2.8</v>
      </c>
      <c r="DS208" s="26">
        <v>2.833</v>
      </c>
      <c r="DU208" s="35">
        <v>43769</v>
      </c>
      <c r="DV208" s="26">
        <v>6</v>
      </c>
      <c r="DW208" s="26">
        <v>5.85</v>
      </c>
      <c r="DX208" s="26">
        <v>5.925</v>
      </c>
      <c r="DZ208" s="35">
        <v>43769</v>
      </c>
      <c r="EA208" s="26">
        <v>12.3</v>
      </c>
      <c r="EB208" s="26">
        <v>12.2</v>
      </c>
      <c r="EC208" s="26">
        <v>12.25</v>
      </c>
    </row>
    <row r="209" ht="16.8" spans="3:133">
      <c r="C209" s="5" t="str" cm="1">
        <f t="array" ref="C209">_xlfn.IFS(MONTH(D209)&lt;4,1,MONTH(D209)&lt;7,2,MONTH(D209)&lt;10,3,MONTH(D209)&gt;9,4)&amp;"Q"&amp;RIGHT(YEAR(D209),2)</f>
        <v>3Q22</v>
      </c>
      <c r="D209" s="2">
        <f t="shared" si="88"/>
        <v>44804</v>
      </c>
      <c r="E209" s="25">
        <f t="shared" si="108"/>
        <v>44781</v>
      </c>
      <c r="F209" s="26">
        <v>1.78</v>
      </c>
      <c r="G209" s="26">
        <v>2.87</v>
      </c>
      <c r="H209" s="27"/>
      <c r="I209" s="28">
        <f t="shared" si="89"/>
        <v>0.055625</v>
      </c>
      <c r="J209" s="28">
        <f t="shared" si="83"/>
        <v>0.04484375</v>
      </c>
      <c r="K209" s="28">
        <f t="shared" si="84"/>
        <v>0</v>
      </c>
      <c r="M209" s="36">
        <f t="shared" si="93"/>
        <v>-0.005586592178771</v>
      </c>
      <c r="N209" s="36">
        <f t="shared" si="95"/>
        <v>-0.005586592178771</v>
      </c>
      <c r="O209" s="36">
        <f t="shared" si="96"/>
        <v>-0.005586592178771</v>
      </c>
      <c r="P209" s="36">
        <f t="shared" si="97"/>
        <v>-0.0401337792642141</v>
      </c>
      <c r="Q209" s="36">
        <f t="shared" si="98"/>
        <v>-0.0711974110032362</v>
      </c>
      <c r="R209" s="36">
        <f t="shared" si="99"/>
        <v>-0.0801282051282052</v>
      </c>
      <c r="S209" s="36"/>
      <c r="T209" s="36"/>
      <c r="U209" s="36"/>
      <c r="BA209" s="25">
        <f t="shared" si="109"/>
        <v>44781</v>
      </c>
      <c r="BB209" s="28">
        <f t="shared" si="109"/>
        <v>1.78</v>
      </c>
      <c r="BC209" s="28">
        <f t="shared" si="85"/>
        <v>1.72</v>
      </c>
      <c r="BD209" s="28">
        <f t="shared" si="91"/>
        <v>2.87</v>
      </c>
      <c r="BE209" s="28">
        <f t="shared" si="86"/>
        <v>3.05</v>
      </c>
      <c r="BF209" s="28"/>
      <c r="BG209" s="28">
        <f t="shared" si="107"/>
        <v>5.925</v>
      </c>
      <c r="BH209" s="28">
        <f t="shared" si="104"/>
        <v>6.05</v>
      </c>
      <c r="BI209" s="28">
        <f t="shared" si="104"/>
        <v>5.8</v>
      </c>
      <c r="CC209" s="25"/>
      <c r="CD209" s="29"/>
      <c r="CE209" s="29"/>
      <c r="DP209" s="35">
        <v>43770</v>
      </c>
      <c r="DQ209" s="26">
        <v>2.95</v>
      </c>
      <c r="DR209" s="26">
        <v>2.75</v>
      </c>
      <c r="DS209" s="26">
        <v>2.822</v>
      </c>
      <c r="DU209" s="35">
        <v>43770</v>
      </c>
      <c r="DV209" s="26">
        <v>6</v>
      </c>
      <c r="DW209" s="26">
        <v>5.85</v>
      </c>
      <c r="DX209" s="26">
        <v>5.915</v>
      </c>
      <c r="DZ209" s="35">
        <v>43770</v>
      </c>
      <c r="EA209" s="26">
        <v>12.3</v>
      </c>
      <c r="EB209" s="26">
        <v>12.2</v>
      </c>
      <c r="EC209" s="26">
        <v>12.22</v>
      </c>
    </row>
    <row r="210" ht="16.8" spans="3:133">
      <c r="C210" s="5" t="str" cm="1">
        <f t="array" ref="C210">_xlfn.IFS(MONTH(D210)&lt;4,1,MONTH(D210)&lt;7,2,MONTH(D210)&lt;10,3,MONTH(D210)&gt;9,4)&amp;"Q"&amp;RIGHT(YEAR(D210),2)</f>
        <v>3Q22</v>
      </c>
      <c r="D210" s="2">
        <f t="shared" si="88"/>
        <v>44804</v>
      </c>
      <c r="E210" s="25">
        <f t="shared" si="108"/>
        <v>44788</v>
      </c>
      <c r="F210" s="26">
        <v>1.78</v>
      </c>
      <c r="G210" s="26">
        <v>2.81</v>
      </c>
      <c r="H210" s="27"/>
      <c r="I210" s="28">
        <f t="shared" si="89"/>
        <v>0.055625</v>
      </c>
      <c r="J210" s="28">
        <f t="shared" si="83"/>
        <v>0.04390625</v>
      </c>
      <c r="K210" s="28">
        <f t="shared" si="84"/>
        <v>0</v>
      </c>
      <c r="L210" s="57"/>
      <c r="M210" s="36">
        <f t="shared" si="93"/>
        <v>0</v>
      </c>
      <c r="N210" s="36">
        <f t="shared" si="95"/>
        <v>-0.005586592178771</v>
      </c>
      <c r="O210" s="36">
        <f t="shared" si="96"/>
        <v>-0.005586592178771</v>
      </c>
      <c r="P210" s="36">
        <f t="shared" si="97"/>
        <v>-0.0209059233449478</v>
      </c>
      <c r="Q210" s="36">
        <f t="shared" si="98"/>
        <v>-0.0602006688963211</v>
      </c>
      <c r="R210" s="36">
        <f t="shared" si="99"/>
        <v>-0.0906148867313915</v>
      </c>
      <c r="S210" s="36"/>
      <c r="T210" s="36"/>
      <c r="U210" s="36"/>
      <c r="BA210" s="25">
        <f t="shared" si="109"/>
        <v>44788</v>
      </c>
      <c r="BB210" s="28">
        <f t="shared" si="109"/>
        <v>1.78</v>
      </c>
      <c r="BC210" s="28">
        <f t="shared" si="85"/>
        <v>1.72</v>
      </c>
      <c r="BD210" s="28">
        <f t="shared" si="91"/>
        <v>2.81</v>
      </c>
      <c r="BE210" s="28">
        <f t="shared" ref="BE210:BE273" si="110">INDEX($AM:$AQ,MATCH($D210,$AK:$AK,0),MATCH(BD$25,$AM$26:$AQ$26,0))</f>
        <v>3.05</v>
      </c>
      <c r="BF210" s="28"/>
      <c r="BG210" s="28">
        <f t="shared" si="107"/>
        <v>5.925</v>
      </c>
      <c r="BH210" s="28">
        <f t="shared" si="104"/>
        <v>6.05</v>
      </c>
      <c r="BI210" s="28">
        <f t="shared" si="104"/>
        <v>5.8</v>
      </c>
      <c r="CC210" s="25"/>
      <c r="CD210" s="29"/>
      <c r="CE210" s="29"/>
      <c r="DP210" s="35">
        <v>43773</v>
      </c>
      <c r="DQ210" s="26">
        <v>2.95</v>
      </c>
      <c r="DR210" s="26">
        <v>2.75</v>
      </c>
      <c r="DS210" s="26">
        <v>2.822</v>
      </c>
      <c r="DU210" s="35">
        <v>43773</v>
      </c>
      <c r="DV210" s="26">
        <v>6</v>
      </c>
      <c r="DW210" s="26">
        <v>5.85</v>
      </c>
      <c r="DX210" s="26">
        <v>5.915</v>
      </c>
      <c r="DZ210" s="35">
        <v>43773</v>
      </c>
      <c r="EA210" s="26">
        <v>12.3</v>
      </c>
      <c r="EB210" s="26">
        <v>12.2</v>
      </c>
      <c r="EC210" s="26">
        <v>12.22</v>
      </c>
    </row>
    <row r="211" ht="16.8" spans="3:133">
      <c r="C211" s="5" t="str" cm="1">
        <f t="array" ref="C211">_xlfn.IFS(MONTH(D211)&lt;4,1,MONTH(D211)&lt;7,2,MONTH(D211)&lt;10,3,MONTH(D211)&gt;9,4)&amp;"Q"&amp;RIGHT(YEAR(D211),2)</f>
        <v>3Q22</v>
      </c>
      <c r="D211" s="2">
        <f t="shared" si="88"/>
        <v>44804</v>
      </c>
      <c r="E211" s="25">
        <f t="shared" si="108"/>
        <v>44795</v>
      </c>
      <c r="F211" s="26">
        <v>1.67</v>
      </c>
      <c r="G211" s="26">
        <v>2.7</v>
      </c>
      <c r="H211" s="27"/>
      <c r="I211" s="28">
        <f t="shared" si="89"/>
        <v>0.0521875</v>
      </c>
      <c r="J211" s="28">
        <f t="shared" si="83"/>
        <v>0.0421875</v>
      </c>
      <c r="K211" s="28">
        <f t="shared" si="84"/>
        <v>0</v>
      </c>
      <c r="L211" s="57"/>
      <c r="M211" s="36">
        <f t="shared" si="93"/>
        <v>-0.0617977528089888</v>
      </c>
      <c r="N211" s="36">
        <f t="shared" si="95"/>
        <v>-0.0617977528089888</v>
      </c>
      <c r="O211" s="36">
        <f t="shared" si="96"/>
        <v>-0.0670391061452514</v>
      </c>
      <c r="P211" s="36">
        <f t="shared" si="97"/>
        <v>-0.0391459074733096</v>
      </c>
      <c r="Q211" s="36">
        <f t="shared" si="98"/>
        <v>-0.0592334494773519</v>
      </c>
      <c r="R211" s="36">
        <f t="shared" si="99"/>
        <v>-0.096989966555184</v>
      </c>
      <c r="S211" s="36"/>
      <c r="T211" s="36"/>
      <c r="U211" s="36"/>
      <c r="BA211" s="25">
        <f t="shared" si="109"/>
        <v>44795</v>
      </c>
      <c r="BB211" s="28">
        <f t="shared" si="109"/>
        <v>1.67</v>
      </c>
      <c r="BC211" s="28">
        <f t="shared" si="85"/>
        <v>1.72</v>
      </c>
      <c r="BD211" s="28">
        <f t="shared" si="91"/>
        <v>2.7</v>
      </c>
      <c r="BE211" s="28">
        <f t="shared" si="110"/>
        <v>3.05</v>
      </c>
      <c r="BF211" s="28"/>
      <c r="BG211" s="28">
        <f t="shared" si="107"/>
        <v>5.925</v>
      </c>
      <c r="BH211" s="28">
        <f t="shared" si="104"/>
        <v>6.05</v>
      </c>
      <c r="BI211" s="28">
        <f t="shared" si="104"/>
        <v>5.8</v>
      </c>
      <c r="CC211" s="25"/>
      <c r="CD211" s="29"/>
      <c r="CE211" s="29"/>
      <c r="DP211" s="35">
        <v>43774</v>
      </c>
      <c r="DQ211" s="26">
        <v>2.95</v>
      </c>
      <c r="DR211" s="26">
        <v>2.7</v>
      </c>
      <c r="DS211" s="26">
        <v>2.794</v>
      </c>
      <c r="DU211" s="35">
        <v>43774</v>
      </c>
      <c r="DV211" s="26">
        <v>6</v>
      </c>
      <c r="DW211" s="26">
        <v>5.8</v>
      </c>
      <c r="DX211" s="26">
        <v>5.9</v>
      </c>
      <c r="DZ211" s="35">
        <v>43774</v>
      </c>
      <c r="EA211" s="26">
        <v>12.25</v>
      </c>
      <c r="EB211" s="26">
        <v>12.1</v>
      </c>
      <c r="EC211" s="26">
        <v>12.2</v>
      </c>
    </row>
    <row r="212" ht="16.8" spans="3:133">
      <c r="C212" s="5" t="str" cm="1">
        <f t="array" ref="C212">_xlfn.IFS(MONTH(D212)&lt;4,1,MONTH(D212)&lt;7,2,MONTH(D212)&lt;10,3,MONTH(D212)&gt;9,4)&amp;"Q"&amp;RIGHT(YEAR(D212),2)</f>
        <v>3Q22</v>
      </c>
      <c r="D212" s="2">
        <f t="shared" si="88"/>
        <v>44804</v>
      </c>
      <c r="E212" s="25">
        <f t="shared" si="108"/>
        <v>44802</v>
      </c>
      <c r="F212" s="26">
        <v>1.55</v>
      </c>
      <c r="G212" s="26">
        <v>2.48</v>
      </c>
      <c r="H212" s="27"/>
      <c r="I212" s="28">
        <f t="shared" si="89"/>
        <v>0.0484375</v>
      </c>
      <c r="J212" s="28">
        <f t="shared" si="83"/>
        <v>0.03875</v>
      </c>
      <c r="K212" s="28">
        <f t="shared" si="84"/>
        <v>0</v>
      </c>
      <c r="L212" s="57"/>
      <c r="M212" s="36">
        <f t="shared" si="93"/>
        <v>-0.0718562874251496</v>
      </c>
      <c r="N212" s="36">
        <f t="shared" si="95"/>
        <v>-0.129213483146067</v>
      </c>
      <c r="O212" s="36">
        <f t="shared" si="96"/>
        <v>-0.129213483146067</v>
      </c>
      <c r="P212" s="36">
        <f t="shared" si="97"/>
        <v>-0.0814814814814816</v>
      </c>
      <c r="Q212" s="36">
        <f t="shared" si="98"/>
        <v>-0.117437722419929</v>
      </c>
      <c r="R212" s="36">
        <f t="shared" si="99"/>
        <v>-0.13588850174216</v>
      </c>
      <c r="S212" s="36"/>
      <c r="T212" s="36"/>
      <c r="U212" s="36"/>
      <c r="BA212" s="25">
        <f t="shared" si="109"/>
        <v>44802</v>
      </c>
      <c r="BB212" s="28">
        <f t="shared" si="109"/>
        <v>1.55</v>
      </c>
      <c r="BC212" s="28">
        <f t="shared" si="85"/>
        <v>1.72</v>
      </c>
      <c r="BD212" s="28">
        <f t="shared" si="91"/>
        <v>2.48</v>
      </c>
      <c r="BE212" s="28">
        <f t="shared" si="110"/>
        <v>3.05</v>
      </c>
      <c r="BF212" s="28"/>
      <c r="BG212" s="28">
        <f t="shared" si="107"/>
        <v>5.925</v>
      </c>
      <c r="BH212" s="28">
        <f t="shared" si="104"/>
        <v>6.05</v>
      </c>
      <c r="BI212" s="28">
        <f t="shared" si="104"/>
        <v>5.8</v>
      </c>
      <c r="CC212" s="25"/>
      <c r="CD212" s="29"/>
      <c r="CE212" s="29"/>
      <c r="DP212" s="35">
        <v>43775</v>
      </c>
      <c r="DQ212" s="26">
        <v>2.95</v>
      </c>
      <c r="DR212" s="26">
        <v>2.68</v>
      </c>
      <c r="DS212" s="26">
        <v>2.774</v>
      </c>
      <c r="DU212" s="35">
        <v>43775</v>
      </c>
      <c r="DV212" s="26">
        <v>5.95</v>
      </c>
      <c r="DW212" s="26">
        <v>5.8</v>
      </c>
      <c r="DX212" s="26">
        <v>5.89</v>
      </c>
      <c r="DZ212" s="35">
        <v>43775</v>
      </c>
      <c r="EA212" s="26">
        <v>12.2</v>
      </c>
      <c r="EB212" s="26">
        <v>12.1</v>
      </c>
      <c r="EC212" s="26">
        <v>12.15</v>
      </c>
    </row>
    <row r="213" ht="16.8" spans="3:133">
      <c r="C213" s="5" t="str" cm="1">
        <f t="array" ref="C213">_xlfn.IFS(MONTH(D213)&lt;4,1,MONTH(D213)&lt;7,2,MONTH(D213)&lt;10,3,MONTH(D213)&gt;9,4)&amp;"Q"&amp;RIGHT(YEAR(D213),2)</f>
        <v>3Q22</v>
      </c>
      <c r="D213" s="2">
        <f t="shared" si="88"/>
        <v>44834</v>
      </c>
      <c r="E213" s="25">
        <f t="shared" si="108"/>
        <v>44809</v>
      </c>
      <c r="F213" s="26">
        <v>1.49</v>
      </c>
      <c r="G213" s="26">
        <v>2.41</v>
      </c>
      <c r="H213" s="27"/>
      <c r="I213" s="28">
        <f t="shared" si="89"/>
        <v>0.0465625</v>
      </c>
      <c r="J213" s="28">
        <f t="shared" si="83"/>
        <v>0.03765625</v>
      </c>
      <c r="K213" s="28">
        <f t="shared" si="84"/>
        <v>0</v>
      </c>
      <c r="L213" s="57"/>
      <c r="M213" s="36">
        <f t="shared" si="93"/>
        <v>-0.0387096774193548</v>
      </c>
      <c r="N213" s="36">
        <f t="shared" si="95"/>
        <v>-0.107784431137725</v>
      </c>
      <c r="O213" s="36">
        <f t="shared" si="96"/>
        <v>-0.162921348314607</v>
      </c>
      <c r="P213" s="36">
        <f t="shared" si="97"/>
        <v>-0.0282258064516129</v>
      </c>
      <c r="Q213" s="36">
        <f t="shared" si="98"/>
        <v>-0.107407407407407</v>
      </c>
      <c r="R213" s="36">
        <f t="shared" si="99"/>
        <v>-0.142348754448399</v>
      </c>
      <c r="S213" s="36"/>
      <c r="T213" s="36"/>
      <c r="U213" s="36"/>
      <c r="BA213" s="25">
        <f t="shared" si="109"/>
        <v>44809</v>
      </c>
      <c r="BB213" s="28">
        <f t="shared" si="109"/>
        <v>1.49</v>
      </c>
      <c r="BC213" s="28">
        <f t="shared" si="85"/>
        <v>1.54</v>
      </c>
      <c r="BD213" s="28">
        <f t="shared" si="91"/>
        <v>2.41</v>
      </c>
      <c r="BE213" s="28">
        <f t="shared" si="110"/>
        <v>2.68</v>
      </c>
      <c r="BF213" s="28"/>
      <c r="BG213" s="28">
        <f t="shared" si="107"/>
        <v>5.325</v>
      </c>
      <c r="BH213" s="28">
        <f t="shared" si="104"/>
        <v>5.35</v>
      </c>
      <c r="BI213" s="28">
        <f t="shared" si="104"/>
        <v>5.3</v>
      </c>
      <c r="CC213" s="25"/>
      <c r="CD213" s="29"/>
      <c r="CE213" s="29"/>
      <c r="DP213" s="35">
        <v>43776</v>
      </c>
      <c r="DQ213" s="26">
        <v>2.95</v>
      </c>
      <c r="DR213" s="26">
        <v>2.68</v>
      </c>
      <c r="DS213" s="26">
        <v>2.774</v>
      </c>
      <c r="DU213" s="35">
        <v>43776</v>
      </c>
      <c r="DV213" s="26">
        <v>5.95</v>
      </c>
      <c r="DW213" s="26">
        <v>5.8</v>
      </c>
      <c r="DX213" s="26">
        <v>5.875</v>
      </c>
      <c r="DZ213" s="35">
        <v>43776</v>
      </c>
      <c r="EA213" s="26">
        <v>12.2</v>
      </c>
      <c r="EB213" s="26">
        <v>12.1</v>
      </c>
      <c r="EC213" s="26">
        <v>12.15</v>
      </c>
    </row>
    <row r="214" ht="16.8" spans="3:133">
      <c r="C214" s="5" t="str" cm="1">
        <f t="array" ref="C214">_xlfn.IFS(MONTH(D214)&lt;4,1,MONTH(D214)&lt;7,2,MONTH(D214)&lt;10,3,MONTH(D214)&gt;9,4)&amp;"Q"&amp;RIGHT(YEAR(D214),2)</f>
        <v>3Q22</v>
      </c>
      <c r="D214" s="2">
        <f t="shared" si="88"/>
        <v>44834</v>
      </c>
      <c r="E214" s="25">
        <f t="shared" si="108"/>
        <v>44816</v>
      </c>
      <c r="F214" s="26">
        <v>1.48</v>
      </c>
      <c r="G214" s="26">
        <v>2.38</v>
      </c>
      <c r="H214" s="27"/>
      <c r="I214" s="28">
        <f t="shared" si="89"/>
        <v>0.04625</v>
      </c>
      <c r="J214" s="28">
        <f t="shared" si="83"/>
        <v>0.0371875</v>
      </c>
      <c r="K214" s="28">
        <f t="shared" si="84"/>
        <v>0</v>
      </c>
      <c r="L214" s="57"/>
      <c r="M214" s="36">
        <f t="shared" si="93"/>
        <v>-0.00671140939597314</v>
      </c>
      <c r="N214" s="36">
        <f t="shared" si="95"/>
        <v>-0.0451612903225806</v>
      </c>
      <c r="O214" s="36">
        <f t="shared" si="96"/>
        <v>-0.11377245508982</v>
      </c>
      <c r="P214" s="36">
        <f t="shared" si="97"/>
        <v>-0.0124481327800831</v>
      </c>
      <c r="Q214" s="36">
        <f t="shared" si="98"/>
        <v>-0.0403225806451614</v>
      </c>
      <c r="R214" s="36">
        <f t="shared" si="99"/>
        <v>-0.118518518518519</v>
      </c>
      <c r="S214" s="36"/>
      <c r="T214" s="36"/>
      <c r="U214" s="36"/>
      <c r="BA214" s="25">
        <f t="shared" si="109"/>
        <v>44816</v>
      </c>
      <c r="BB214" s="28">
        <f t="shared" si="109"/>
        <v>1.48</v>
      </c>
      <c r="BC214" s="28">
        <f t="shared" si="85"/>
        <v>1.54</v>
      </c>
      <c r="BD214" s="28">
        <f t="shared" si="91"/>
        <v>2.38</v>
      </c>
      <c r="BE214" s="28">
        <f t="shared" si="110"/>
        <v>2.68</v>
      </c>
      <c r="BF214" s="28"/>
      <c r="BG214" s="28">
        <f t="shared" si="107"/>
        <v>5.325</v>
      </c>
      <c r="BH214" s="28">
        <f t="shared" si="104"/>
        <v>5.35</v>
      </c>
      <c r="BI214" s="28">
        <f t="shared" si="104"/>
        <v>5.3</v>
      </c>
      <c r="CC214" s="25"/>
      <c r="CD214" s="29"/>
      <c r="CE214" s="29"/>
      <c r="DP214" s="35">
        <v>43777</v>
      </c>
      <c r="DQ214" s="26">
        <v>2.95</v>
      </c>
      <c r="DR214" s="26">
        <v>2.68</v>
      </c>
      <c r="DS214" s="26">
        <v>2.758</v>
      </c>
      <c r="DU214" s="35">
        <v>43777</v>
      </c>
      <c r="DV214" s="26">
        <v>5.95</v>
      </c>
      <c r="DW214" s="26">
        <v>5.6</v>
      </c>
      <c r="DX214" s="26">
        <v>5.8</v>
      </c>
      <c r="DZ214" s="35">
        <v>43777</v>
      </c>
      <c r="EA214" s="26">
        <v>12.2</v>
      </c>
      <c r="EB214" s="26">
        <v>12.1</v>
      </c>
      <c r="EC214" s="26">
        <v>12.13</v>
      </c>
    </row>
    <row r="215" ht="16.8" spans="3:133">
      <c r="C215" s="5" t="str" cm="1">
        <f t="array" ref="C215">_xlfn.IFS(MONTH(D215)&lt;4,1,MONTH(D215)&lt;7,2,MONTH(D215)&lt;10,3,MONTH(D215)&gt;9,4)&amp;"Q"&amp;RIGHT(YEAR(D215),2)</f>
        <v>3Q22</v>
      </c>
      <c r="D215" s="2">
        <f t="shared" si="88"/>
        <v>44834</v>
      </c>
      <c r="E215" s="25">
        <f t="shared" si="108"/>
        <v>44823</v>
      </c>
      <c r="F215" s="26">
        <v>1.47</v>
      </c>
      <c r="G215" s="26">
        <v>2.35</v>
      </c>
      <c r="H215" s="27"/>
      <c r="I215" s="28">
        <f t="shared" si="89"/>
        <v>0.0459375</v>
      </c>
      <c r="J215" s="28">
        <f t="shared" si="83"/>
        <v>0.03671875</v>
      </c>
      <c r="K215" s="28">
        <f t="shared" si="84"/>
        <v>0</v>
      </c>
      <c r="M215" s="36">
        <f t="shared" si="93"/>
        <v>-0.0067567567567568</v>
      </c>
      <c r="N215" s="36">
        <f t="shared" si="95"/>
        <v>-0.0134228187919463</v>
      </c>
      <c r="O215" s="36">
        <f t="shared" si="96"/>
        <v>-0.0516129032258065</v>
      </c>
      <c r="P215" s="36">
        <f t="shared" si="97"/>
        <v>-0.0126050420168067</v>
      </c>
      <c r="Q215" s="36">
        <f t="shared" si="98"/>
        <v>-0.024896265560166</v>
      </c>
      <c r="R215" s="36">
        <f t="shared" si="99"/>
        <v>-0.0524193548387096</v>
      </c>
      <c r="S215" s="36"/>
      <c r="T215" s="36"/>
      <c r="U215" s="36"/>
      <c r="BA215" s="25">
        <f t="shared" si="109"/>
        <v>44823</v>
      </c>
      <c r="BB215" s="28">
        <f t="shared" si="109"/>
        <v>1.47</v>
      </c>
      <c r="BC215" s="28">
        <f t="shared" si="85"/>
        <v>1.54</v>
      </c>
      <c r="BD215" s="28">
        <f t="shared" si="91"/>
        <v>2.35</v>
      </c>
      <c r="BE215" s="28">
        <f t="shared" si="110"/>
        <v>2.68</v>
      </c>
      <c r="BF215" s="28"/>
      <c r="BG215" s="28">
        <f t="shared" si="107"/>
        <v>5.325</v>
      </c>
      <c r="BH215" s="28">
        <f t="shared" si="104"/>
        <v>5.35</v>
      </c>
      <c r="BI215" s="28">
        <f t="shared" si="104"/>
        <v>5.3</v>
      </c>
      <c r="CC215" s="25"/>
      <c r="CD215" s="29"/>
      <c r="CE215" s="29"/>
      <c r="DP215" s="35">
        <v>43780</v>
      </c>
      <c r="DQ215" s="26">
        <v>2.85</v>
      </c>
      <c r="DR215" s="26">
        <v>2.68</v>
      </c>
      <c r="DS215" s="26">
        <v>2.744</v>
      </c>
      <c r="DU215" s="35">
        <v>43780</v>
      </c>
      <c r="DV215" s="26">
        <v>5.9</v>
      </c>
      <c r="DW215" s="26">
        <v>5.6</v>
      </c>
      <c r="DX215" s="26">
        <v>5.775</v>
      </c>
      <c r="DZ215" s="35">
        <v>43780</v>
      </c>
      <c r="EA215" s="26">
        <v>12.2</v>
      </c>
      <c r="EB215" s="26">
        <v>12</v>
      </c>
      <c r="EC215" s="26">
        <v>12.1</v>
      </c>
    </row>
    <row r="216" ht="16.8" spans="3:133">
      <c r="C216" s="5" t="str" cm="1">
        <f t="array" ref="C216">_xlfn.IFS(MONTH(D216)&lt;4,1,MONTH(D216)&lt;7,2,MONTH(D216)&lt;10,3,MONTH(D216)&gt;9,4)&amp;"Q"&amp;RIGHT(YEAR(D216),2)</f>
        <v>3Q22</v>
      </c>
      <c r="D216" s="2">
        <f t="shared" si="88"/>
        <v>44834</v>
      </c>
      <c r="E216" s="25">
        <f t="shared" si="108"/>
        <v>44830</v>
      </c>
      <c r="F216" s="26">
        <v>1.43</v>
      </c>
      <c r="G216" s="26">
        <v>2.33</v>
      </c>
      <c r="H216" s="27"/>
      <c r="I216" s="28">
        <f t="shared" si="89"/>
        <v>0.0446875</v>
      </c>
      <c r="J216" s="28">
        <f t="shared" si="83"/>
        <v>0.03640625</v>
      </c>
      <c r="K216" s="28">
        <f t="shared" si="84"/>
        <v>0</v>
      </c>
      <c r="M216" s="36">
        <f t="shared" si="93"/>
        <v>-0.0272108843537415</v>
      </c>
      <c r="N216" s="36">
        <f t="shared" si="95"/>
        <v>-0.0337837837837838</v>
      </c>
      <c r="O216" s="36">
        <f t="shared" si="96"/>
        <v>-0.040268456375839</v>
      </c>
      <c r="P216" s="36">
        <f t="shared" si="97"/>
        <v>-0.00851063829787235</v>
      </c>
      <c r="Q216" s="36">
        <f t="shared" si="98"/>
        <v>-0.0210084033613445</v>
      </c>
      <c r="R216" s="36">
        <f t="shared" si="99"/>
        <v>-0.033195020746888</v>
      </c>
      <c r="S216" s="36"/>
      <c r="T216" s="36"/>
      <c r="U216" s="36"/>
      <c r="BA216" s="25">
        <f t="shared" si="109"/>
        <v>44830</v>
      </c>
      <c r="BB216" s="28">
        <f t="shared" si="109"/>
        <v>1.43</v>
      </c>
      <c r="BC216" s="28">
        <f t="shared" si="85"/>
        <v>1.54</v>
      </c>
      <c r="BD216" s="28">
        <f t="shared" si="91"/>
        <v>2.33</v>
      </c>
      <c r="BE216" s="28">
        <f t="shared" si="110"/>
        <v>2.68</v>
      </c>
      <c r="BF216" s="28"/>
      <c r="BG216" s="28">
        <f t="shared" si="107"/>
        <v>5.325</v>
      </c>
      <c r="BH216" s="28">
        <f t="shared" si="104"/>
        <v>5.35</v>
      </c>
      <c r="BI216" s="28">
        <f t="shared" si="104"/>
        <v>5.3</v>
      </c>
      <c r="CC216" s="25"/>
      <c r="CD216" s="29"/>
      <c r="CE216" s="29"/>
      <c r="DP216" s="35">
        <v>43781</v>
      </c>
      <c r="DQ216" s="26">
        <v>2.85</v>
      </c>
      <c r="DR216" s="26">
        <v>2.65</v>
      </c>
      <c r="DS216" s="26">
        <v>2.733</v>
      </c>
      <c r="DU216" s="35">
        <v>43781</v>
      </c>
      <c r="DV216" s="26">
        <v>5.9</v>
      </c>
      <c r="DW216" s="26">
        <v>5.6</v>
      </c>
      <c r="DX216" s="26">
        <v>5.75</v>
      </c>
      <c r="DZ216" s="35">
        <v>43781</v>
      </c>
      <c r="EA216" s="26">
        <v>12.2</v>
      </c>
      <c r="EB216" s="26">
        <v>12</v>
      </c>
      <c r="EC216" s="26">
        <v>12.1</v>
      </c>
    </row>
    <row r="217" ht="16.8" spans="3:133">
      <c r="C217" s="5" t="str" cm="1">
        <f t="array" ref="C217">_xlfn.IFS(MONTH(D217)&lt;4,1,MONTH(D217)&lt;7,2,MONTH(D217)&lt;10,3,MONTH(D217)&gt;9,4)&amp;"Q"&amp;RIGHT(YEAR(D217),2)</f>
        <v>4Q22</v>
      </c>
      <c r="D217" s="2">
        <f t="shared" si="88"/>
        <v>44865</v>
      </c>
      <c r="E217" s="25">
        <f t="shared" si="108"/>
        <v>44837</v>
      </c>
      <c r="F217" s="26">
        <v>1.4</v>
      </c>
      <c r="G217" s="26">
        <v>2.3</v>
      </c>
      <c r="H217" s="27"/>
      <c r="I217" s="28">
        <f t="shared" si="89"/>
        <v>0.04375</v>
      </c>
      <c r="J217" s="28">
        <f t="shared" si="83"/>
        <v>0.0359375</v>
      </c>
      <c r="K217" s="28">
        <f t="shared" si="84"/>
        <v>0</v>
      </c>
      <c r="M217" s="36">
        <f t="shared" si="93"/>
        <v>-0.020979020979021</v>
      </c>
      <c r="N217" s="36">
        <f t="shared" si="95"/>
        <v>-0.0476190476190477</v>
      </c>
      <c r="O217" s="36">
        <f t="shared" si="96"/>
        <v>-0.0540540540540541</v>
      </c>
      <c r="P217" s="36">
        <f t="shared" si="97"/>
        <v>-0.0128755364806868</v>
      </c>
      <c r="Q217" s="36">
        <f t="shared" si="98"/>
        <v>-0.021276595744681</v>
      </c>
      <c r="R217" s="36">
        <f t="shared" si="99"/>
        <v>-0.0336134453781513</v>
      </c>
      <c r="S217" s="36"/>
      <c r="T217" s="36"/>
      <c r="U217" s="36"/>
      <c r="BA217" s="25">
        <f t="shared" si="109"/>
        <v>44837</v>
      </c>
      <c r="BB217" s="28">
        <f t="shared" si="109"/>
        <v>1.4</v>
      </c>
      <c r="BC217" s="28">
        <f t="shared" si="85"/>
        <v>1.36</v>
      </c>
      <c r="BD217" s="28">
        <f t="shared" si="91"/>
        <v>2.3</v>
      </c>
      <c r="BE217" s="28">
        <f t="shared" si="110"/>
        <v>2.43</v>
      </c>
      <c r="BF217" s="28"/>
      <c r="BG217" s="28">
        <f t="shared" si="107"/>
        <v>4.675</v>
      </c>
      <c r="BH217" s="28">
        <f t="shared" si="104"/>
        <v>4.8</v>
      </c>
      <c r="BI217" s="28">
        <f t="shared" si="104"/>
        <v>4.55</v>
      </c>
      <c r="CC217" s="25"/>
      <c r="CD217" s="29"/>
      <c r="CE217" s="29"/>
      <c r="DP217" s="35">
        <v>43782</v>
      </c>
      <c r="DQ217" s="26">
        <v>2.85</v>
      </c>
      <c r="DR217" s="26">
        <v>2.65</v>
      </c>
      <c r="DS217" s="26">
        <v>2.733</v>
      </c>
      <c r="DU217" s="35">
        <v>43782</v>
      </c>
      <c r="DV217" s="26">
        <v>5.8</v>
      </c>
      <c r="DW217" s="26">
        <v>5.6</v>
      </c>
      <c r="DX217" s="26">
        <v>5.725</v>
      </c>
      <c r="DZ217" s="35">
        <v>43782</v>
      </c>
      <c r="EA217" s="26">
        <v>12.2</v>
      </c>
      <c r="EB217" s="26">
        <v>12</v>
      </c>
      <c r="EC217" s="26">
        <v>12.1</v>
      </c>
    </row>
    <row r="218" ht="16.8" spans="3:133">
      <c r="C218" s="5" t="str" cm="1">
        <f t="array" ref="C218">_xlfn.IFS(MONTH(D218)&lt;4,1,MONTH(D218)&lt;7,2,MONTH(D218)&lt;10,3,MONTH(D218)&gt;9,4)&amp;"Q"&amp;RIGHT(YEAR(D218),2)</f>
        <v>4Q22</v>
      </c>
      <c r="D218" s="2">
        <f t="shared" si="88"/>
        <v>44865</v>
      </c>
      <c r="E218" s="25">
        <f t="shared" si="108"/>
        <v>44844</v>
      </c>
      <c r="F218" s="26">
        <v>1.38</v>
      </c>
      <c r="G218" s="26">
        <v>2.25</v>
      </c>
      <c r="H218" s="27"/>
      <c r="I218" s="28">
        <f t="shared" si="89"/>
        <v>0.043125</v>
      </c>
      <c r="J218" s="28">
        <f t="shared" si="83"/>
        <v>0.03515625</v>
      </c>
      <c r="K218" s="28">
        <f t="shared" si="84"/>
        <v>0</v>
      </c>
      <c r="M218" s="36">
        <f t="shared" si="93"/>
        <v>-0.0142857142857143</v>
      </c>
      <c r="N218" s="36">
        <f t="shared" si="95"/>
        <v>-0.034965034965035</v>
      </c>
      <c r="O218" s="36">
        <f t="shared" si="96"/>
        <v>-0.0612244897959184</v>
      </c>
      <c r="P218" s="36">
        <f t="shared" si="97"/>
        <v>-0.0217391304347825</v>
      </c>
      <c r="Q218" s="36">
        <f t="shared" si="98"/>
        <v>-0.0343347639484979</v>
      </c>
      <c r="R218" s="36">
        <f t="shared" si="99"/>
        <v>-0.0425531914893618</v>
      </c>
      <c r="S218" s="36"/>
      <c r="T218" s="36"/>
      <c r="U218" s="36"/>
      <c r="BA218" s="25">
        <f t="shared" si="109"/>
        <v>44844</v>
      </c>
      <c r="BB218" s="28">
        <f t="shared" si="109"/>
        <v>1.38</v>
      </c>
      <c r="BC218" s="28">
        <f t="shared" si="85"/>
        <v>1.36</v>
      </c>
      <c r="BD218" s="28">
        <f t="shared" si="91"/>
        <v>2.25</v>
      </c>
      <c r="BE218" s="28">
        <f t="shared" si="110"/>
        <v>2.43</v>
      </c>
      <c r="BF218" s="28"/>
      <c r="BG218" s="28">
        <f t="shared" si="107"/>
        <v>4.675</v>
      </c>
      <c r="BH218" s="28">
        <f t="shared" si="104"/>
        <v>4.8</v>
      </c>
      <c r="BI218" s="28">
        <f t="shared" si="104"/>
        <v>4.55</v>
      </c>
      <c r="CC218" s="25"/>
      <c r="CD218" s="29"/>
      <c r="CE218" s="29"/>
      <c r="DP218" s="35">
        <v>43783</v>
      </c>
      <c r="DQ218" s="26">
        <v>2.85</v>
      </c>
      <c r="DR218" s="26">
        <v>2.6</v>
      </c>
      <c r="DS218" s="26">
        <v>2.717</v>
      </c>
      <c r="DU218" s="35">
        <v>43783</v>
      </c>
      <c r="DV218" s="26">
        <v>5.8</v>
      </c>
      <c r="DW218" s="26">
        <v>5.6</v>
      </c>
      <c r="DX218" s="26">
        <v>5.715</v>
      </c>
      <c r="DZ218" s="35">
        <v>43783</v>
      </c>
      <c r="EA218" s="26">
        <v>12.2</v>
      </c>
      <c r="EB218" s="26">
        <v>12</v>
      </c>
      <c r="EC218" s="26">
        <v>12.08</v>
      </c>
    </row>
    <row r="219" ht="16.8" spans="3:133">
      <c r="C219" s="5" t="str" cm="1">
        <f t="array" ref="C219">_xlfn.IFS(MONTH(D219)&lt;4,1,MONTH(D219)&lt;7,2,MONTH(D219)&lt;10,3,MONTH(D219)&gt;9,4)&amp;"Q"&amp;RIGHT(YEAR(D219),2)</f>
        <v>4Q22</v>
      </c>
      <c r="D219" s="2">
        <f t="shared" si="88"/>
        <v>44865</v>
      </c>
      <c r="E219" s="25">
        <f t="shared" si="108"/>
        <v>44851</v>
      </c>
      <c r="F219" s="26">
        <v>1.37</v>
      </c>
      <c r="G219" s="26">
        <v>2.2</v>
      </c>
      <c r="H219" s="27"/>
      <c r="I219" s="28">
        <f t="shared" si="89"/>
        <v>0.0428125</v>
      </c>
      <c r="J219" s="28">
        <f t="shared" ref="J219:J282" si="111">G219/512*8</f>
        <v>0.034375</v>
      </c>
      <c r="K219" s="28">
        <f t="shared" ref="K219:K282" si="112">H219/1024*8</f>
        <v>0</v>
      </c>
      <c r="M219" s="36">
        <f t="shared" si="93"/>
        <v>-0.00724637681159401</v>
      </c>
      <c r="N219" s="36">
        <f t="shared" si="95"/>
        <v>-0.0214285714285712</v>
      </c>
      <c r="O219" s="36">
        <f t="shared" si="96"/>
        <v>-0.0419580419580419</v>
      </c>
      <c r="P219" s="36">
        <f t="shared" si="97"/>
        <v>-0.0222222222222221</v>
      </c>
      <c r="Q219" s="36">
        <f t="shared" si="98"/>
        <v>-0.0434782608695651</v>
      </c>
      <c r="R219" s="36">
        <f t="shared" si="99"/>
        <v>-0.0557939914163089</v>
      </c>
      <c r="S219" s="36"/>
      <c r="T219" s="36"/>
      <c r="U219" s="36"/>
      <c r="BA219" s="25">
        <f t="shared" si="109"/>
        <v>44851</v>
      </c>
      <c r="BB219" s="28">
        <f t="shared" si="109"/>
        <v>1.37</v>
      </c>
      <c r="BC219" s="28">
        <f t="shared" ref="BC219:BC282" si="113">INDEX($AM:$AQ,MATCH($D219,$AK:$AK,0),MATCH(BB$25,$AM$26:$AQ$26,0))</f>
        <v>1.36</v>
      </c>
      <c r="BD219" s="28">
        <f t="shared" si="91"/>
        <v>2.2</v>
      </c>
      <c r="BE219" s="28">
        <f t="shared" si="110"/>
        <v>2.43</v>
      </c>
      <c r="BF219" s="28"/>
      <c r="BG219" s="28">
        <f t="shared" si="107"/>
        <v>4.675</v>
      </c>
      <c r="BH219" s="28">
        <f t="shared" si="104"/>
        <v>4.8</v>
      </c>
      <c r="BI219" s="28">
        <f t="shared" si="104"/>
        <v>4.55</v>
      </c>
      <c r="CC219" s="25"/>
      <c r="CD219" s="29"/>
      <c r="CE219" s="29"/>
      <c r="DP219" s="35">
        <v>43784</v>
      </c>
      <c r="DQ219" s="26">
        <v>2.8</v>
      </c>
      <c r="DR219" s="26">
        <v>2.6</v>
      </c>
      <c r="DS219" s="26">
        <v>2.708</v>
      </c>
      <c r="DU219" s="35">
        <v>43784</v>
      </c>
      <c r="DV219" s="26">
        <v>5.8</v>
      </c>
      <c r="DW219" s="26">
        <v>5.6</v>
      </c>
      <c r="DX219" s="26">
        <v>5.7</v>
      </c>
      <c r="DZ219" s="35">
        <v>43784</v>
      </c>
      <c r="EA219" s="26">
        <v>12.2</v>
      </c>
      <c r="EB219" s="26">
        <v>12</v>
      </c>
      <c r="EC219" s="26">
        <v>12.08</v>
      </c>
    </row>
    <row r="220" ht="16.8" spans="3:133">
      <c r="C220" s="5" t="str" cm="1">
        <f t="array" ref="C220">_xlfn.IFS(MONTH(D220)&lt;4,1,MONTH(D220)&lt;7,2,MONTH(D220)&lt;10,3,MONTH(D220)&gt;9,4)&amp;"Q"&amp;RIGHT(YEAR(D220),2)</f>
        <v>4Q22</v>
      </c>
      <c r="D220" s="2">
        <f t="shared" ref="D220:D283" si="114">EOMONTH(E220,0)</f>
        <v>44865</v>
      </c>
      <c r="E220" s="25">
        <f t="shared" si="108"/>
        <v>44858</v>
      </c>
      <c r="F220" s="26">
        <v>1.35</v>
      </c>
      <c r="G220" s="26">
        <v>2.17</v>
      </c>
      <c r="H220" s="27"/>
      <c r="I220" s="28">
        <f t="shared" ref="I220:I283" si="115">F220/256*8</f>
        <v>0.0421875</v>
      </c>
      <c r="J220" s="28">
        <f t="shared" si="111"/>
        <v>0.03390625</v>
      </c>
      <c r="K220" s="28">
        <f t="shared" si="112"/>
        <v>0</v>
      </c>
      <c r="M220" s="36">
        <f t="shared" si="93"/>
        <v>-0.0145985401459854</v>
      </c>
      <c r="N220" s="36">
        <f t="shared" si="95"/>
        <v>-0.0217391304347825</v>
      </c>
      <c r="O220" s="36">
        <f t="shared" si="96"/>
        <v>-0.0357142857142856</v>
      </c>
      <c r="P220" s="36">
        <f t="shared" si="97"/>
        <v>-0.0136363636363638</v>
      </c>
      <c r="Q220" s="36">
        <f t="shared" si="98"/>
        <v>-0.0355555555555556</v>
      </c>
      <c r="R220" s="36">
        <f t="shared" si="99"/>
        <v>-0.0565217391304348</v>
      </c>
      <c r="S220" s="36"/>
      <c r="T220" s="36"/>
      <c r="U220" s="36"/>
      <c r="BA220" s="25">
        <f t="shared" ref="BA220:BB235" si="116">E220</f>
        <v>44858</v>
      </c>
      <c r="BB220" s="28">
        <f t="shared" si="116"/>
        <v>1.35</v>
      </c>
      <c r="BC220" s="28">
        <f t="shared" si="113"/>
        <v>1.36</v>
      </c>
      <c r="BD220" s="28">
        <f t="shared" ref="BD220:BD283" si="117">G220</f>
        <v>2.17</v>
      </c>
      <c r="BE220" s="28">
        <f t="shared" si="110"/>
        <v>2.43</v>
      </c>
      <c r="BF220" s="28"/>
      <c r="BG220" s="28">
        <f t="shared" si="107"/>
        <v>4.675</v>
      </c>
      <c r="BH220" s="28">
        <f t="shared" si="104"/>
        <v>4.8</v>
      </c>
      <c r="BI220" s="28">
        <f t="shared" si="104"/>
        <v>4.55</v>
      </c>
      <c r="CC220" s="25"/>
      <c r="CD220" s="29"/>
      <c r="CE220" s="29"/>
      <c r="DP220" s="35">
        <v>43787</v>
      </c>
      <c r="DQ220" s="26">
        <v>2.8</v>
      </c>
      <c r="DR220" s="26">
        <v>2.6</v>
      </c>
      <c r="DS220" s="26">
        <v>2.708</v>
      </c>
      <c r="DU220" s="35">
        <v>43787</v>
      </c>
      <c r="DV220" s="26">
        <v>5.8</v>
      </c>
      <c r="DW220" s="26">
        <v>5.6</v>
      </c>
      <c r="DX220" s="26">
        <v>5.7</v>
      </c>
      <c r="DZ220" s="35">
        <v>43787</v>
      </c>
      <c r="EA220" s="26">
        <v>12.2</v>
      </c>
      <c r="EB220" s="26">
        <v>12</v>
      </c>
      <c r="EC220" s="26">
        <v>12.08</v>
      </c>
    </row>
    <row r="221" ht="16.8" spans="3:133">
      <c r="C221" s="5" t="str" cm="1">
        <f t="array" ref="C221">_xlfn.IFS(MONTH(D221)&lt;4,1,MONTH(D221)&lt;7,2,MONTH(D221)&lt;10,3,MONTH(D221)&gt;9,4)&amp;"Q"&amp;RIGHT(YEAR(D221),2)</f>
        <v>4Q22</v>
      </c>
      <c r="D221" s="2">
        <f t="shared" si="114"/>
        <v>44865</v>
      </c>
      <c r="E221" s="25">
        <f t="shared" si="108"/>
        <v>44865</v>
      </c>
      <c r="F221" s="26">
        <v>1.29</v>
      </c>
      <c r="G221" s="26">
        <v>2.11</v>
      </c>
      <c r="H221" s="27"/>
      <c r="I221" s="28">
        <f t="shared" si="115"/>
        <v>0.0403125</v>
      </c>
      <c r="J221" s="28">
        <f t="shared" si="111"/>
        <v>0.03296875</v>
      </c>
      <c r="K221" s="28">
        <f t="shared" si="112"/>
        <v>0</v>
      </c>
      <c r="M221" s="36">
        <f t="shared" ref="M221:M284" si="118">$F221/$F220-1</f>
        <v>-0.0444444444444445</v>
      </c>
      <c r="N221" s="36">
        <f t="shared" si="95"/>
        <v>-0.0583941605839416</v>
      </c>
      <c r="O221" s="36">
        <f t="shared" si="96"/>
        <v>-0.0652173913043478</v>
      </c>
      <c r="P221" s="36">
        <f t="shared" si="97"/>
        <v>-0.0276497695852534</v>
      </c>
      <c r="Q221" s="36">
        <f t="shared" si="98"/>
        <v>-0.040909090909091</v>
      </c>
      <c r="R221" s="36">
        <f t="shared" si="99"/>
        <v>-0.0622222222222223</v>
      </c>
      <c r="S221" s="36"/>
      <c r="T221" s="36"/>
      <c r="U221" s="36"/>
      <c r="BA221" s="25">
        <f t="shared" si="116"/>
        <v>44865</v>
      </c>
      <c r="BB221" s="28">
        <f t="shared" si="116"/>
        <v>1.29</v>
      </c>
      <c r="BC221" s="28">
        <f t="shared" si="113"/>
        <v>1.36</v>
      </c>
      <c r="BD221" s="28">
        <f t="shared" si="117"/>
        <v>2.11</v>
      </c>
      <c r="BE221" s="28">
        <f t="shared" si="110"/>
        <v>2.43</v>
      </c>
      <c r="BF221" s="28"/>
      <c r="BG221" s="28">
        <f t="shared" si="107"/>
        <v>4.675</v>
      </c>
      <c r="BH221" s="28">
        <f t="shared" si="104"/>
        <v>4.8</v>
      </c>
      <c r="BI221" s="28">
        <f t="shared" si="104"/>
        <v>4.55</v>
      </c>
      <c r="CC221" s="25"/>
      <c r="CD221" s="29"/>
      <c r="CE221" s="29"/>
      <c r="DP221" s="35">
        <v>43788</v>
      </c>
      <c r="DQ221" s="26">
        <v>2.8</v>
      </c>
      <c r="DR221" s="26">
        <v>2.6</v>
      </c>
      <c r="DS221" s="26">
        <v>2.694</v>
      </c>
      <c r="DU221" s="35">
        <v>43788</v>
      </c>
      <c r="DV221" s="26">
        <v>5.8</v>
      </c>
      <c r="DW221" s="26">
        <v>5.6</v>
      </c>
      <c r="DX221" s="26">
        <v>5.695</v>
      </c>
      <c r="DZ221" s="35">
        <v>43788</v>
      </c>
      <c r="EA221" s="26">
        <v>12.2</v>
      </c>
      <c r="EB221" s="26">
        <v>12</v>
      </c>
      <c r="EC221" s="26">
        <v>12.08</v>
      </c>
    </row>
    <row r="222" ht="16.8" spans="3:133">
      <c r="C222" s="5" t="str" cm="1">
        <f t="array" ref="C222">_xlfn.IFS(MONTH(D222)&lt;4,1,MONTH(D222)&lt;7,2,MONTH(D222)&lt;10,3,MONTH(D222)&gt;9,4)&amp;"Q"&amp;RIGHT(YEAR(D222),2)</f>
        <v>4Q22</v>
      </c>
      <c r="D222" s="2">
        <f t="shared" si="114"/>
        <v>44895</v>
      </c>
      <c r="E222" s="25">
        <f t="shared" si="108"/>
        <v>44872</v>
      </c>
      <c r="F222" s="26">
        <v>1.24</v>
      </c>
      <c r="G222" s="26">
        <v>2.03</v>
      </c>
      <c r="H222" s="27"/>
      <c r="I222" s="28">
        <f t="shared" si="115"/>
        <v>0.03875</v>
      </c>
      <c r="J222" s="28">
        <f t="shared" si="111"/>
        <v>0.03171875</v>
      </c>
      <c r="K222" s="28">
        <f t="shared" si="112"/>
        <v>0</v>
      </c>
      <c r="M222" s="36">
        <f t="shared" si="118"/>
        <v>-0.0387596899224807</v>
      </c>
      <c r="N222" s="36">
        <f t="shared" si="95"/>
        <v>-0.0814814814814816</v>
      </c>
      <c r="O222" s="36">
        <f t="shared" si="96"/>
        <v>-0.0948905109489052</v>
      </c>
      <c r="P222" s="36">
        <f t="shared" si="97"/>
        <v>-0.037914691943128</v>
      </c>
      <c r="Q222" s="36">
        <f t="shared" si="98"/>
        <v>-0.0645161290322581</v>
      </c>
      <c r="R222" s="36">
        <f t="shared" si="99"/>
        <v>-0.0772727272727274</v>
      </c>
      <c r="S222" s="36"/>
      <c r="T222" s="36"/>
      <c r="U222" s="36"/>
      <c r="BA222" s="25">
        <f t="shared" si="116"/>
        <v>44872</v>
      </c>
      <c r="BB222" s="28">
        <f t="shared" si="116"/>
        <v>1.24</v>
      </c>
      <c r="BC222" s="28">
        <f t="shared" si="113"/>
        <v>1.28</v>
      </c>
      <c r="BD222" s="28">
        <f t="shared" si="117"/>
        <v>2.03</v>
      </c>
      <c r="BE222" s="28">
        <f t="shared" si="110"/>
        <v>2.24</v>
      </c>
      <c r="BF222" s="28"/>
      <c r="BG222" s="28">
        <f t="shared" si="107"/>
        <v>4.415</v>
      </c>
      <c r="BH222" s="28">
        <f t="shared" si="104"/>
        <v>4.53</v>
      </c>
      <c r="BI222" s="28">
        <f t="shared" si="104"/>
        <v>4.3</v>
      </c>
      <c r="CC222" s="25"/>
      <c r="CD222" s="29"/>
      <c r="CE222" s="29"/>
      <c r="DP222" s="35">
        <v>43789</v>
      </c>
      <c r="DQ222" s="26">
        <v>2.8</v>
      </c>
      <c r="DR222" s="26">
        <v>2.6</v>
      </c>
      <c r="DS222" s="26">
        <v>2.686</v>
      </c>
      <c r="DU222" s="35">
        <v>43789</v>
      </c>
      <c r="DV222" s="26">
        <v>5.8</v>
      </c>
      <c r="DW222" s="26">
        <v>5.6</v>
      </c>
      <c r="DX222" s="26">
        <v>5.695</v>
      </c>
      <c r="DZ222" s="35">
        <v>43789</v>
      </c>
      <c r="EA222" s="26">
        <v>12.2</v>
      </c>
      <c r="EB222" s="26">
        <v>12</v>
      </c>
      <c r="EC222" s="26">
        <v>12.08</v>
      </c>
    </row>
    <row r="223" ht="16.8" spans="3:133">
      <c r="C223" s="5" t="str" cm="1">
        <f t="array" ref="C223">_xlfn.IFS(MONTH(D223)&lt;4,1,MONTH(D223)&lt;7,2,MONTH(D223)&lt;10,3,MONTH(D223)&gt;9,4)&amp;"Q"&amp;RIGHT(YEAR(D223),2)</f>
        <v>4Q22</v>
      </c>
      <c r="D223" s="2">
        <f t="shared" si="114"/>
        <v>44895</v>
      </c>
      <c r="E223" s="25">
        <f t="shared" si="108"/>
        <v>44879</v>
      </c>
      <c r="F223" s="26">
        <v>1.15</v>
      </c>
      <c r="G223" s="26">
        <v>1.96</v>
      </c>
      <c r="H223" s="27"/>
      <c r="I223" s="28">
        <f t="shared" si="115"/>
        <v>0.0359375</v>
      </c>
      <c r="J223" s="28">
        <f t="shared" si="111"/>
        <v>0.030625</v>
      </c>
      <c r="K223" s="28">
        <f t="shared" si="112"/>
        <v>0</v>
      </c>
      <c r="M223" s="36">
        <f t="shared" si="118"/>
        <v>-0.0725806451612904</v>
      </c>
      <c r="N223" s="36">
        <f t="shared" ref="N223:N286" si="119">$F223/$F221-1</f>
        <v>-0.108527131782946</v>
      </c>
      <c r="O223" s="36">
        <f t="shared" ref="O223:O286" si="120">$F223/$F220-1</f>
        <v>-0.148148148148148</v>
      </c>
      <c r="P223" s="36">
        <f t="shared" ref="P223:P286" si="121">$G223/$G222-1</f>
        <v>-0.0344827586206896</v>
      </c>
      <c r="Q223" s="36">
        <f t="shared" ref="Q223:Q286" si="122">$G223/$G221-1</f>
        <v>-0.0710900473933649</v>
      </c>
      <c r="R223" s="36">
        <f t="shared" ref="R223:R286" si="123">$G223/$G220-1</f>
        <v>-0.0967741935483871</v>
      </c>
      <c r="S223" s="36"/>
      <c r="T223" s="36"/>
      <c r="U223" s="36"/>
      <c r="BA223" s="25">
        <f t="shared" si="116"/>
        <v>44879</v>
      </c>
      <c r="BB223" s="28">
        <f t="shared" si="116"/>
        <v>1.15</v>
      </c>
      <c r="BC223" s="28">
        <f t="shared" si="113"/>
        <v>1.28</v>
      </c>
      <c r="BD223" s="28">
        <f t="shared" si="117"/>
        <v>1.96</v>
      </c>
      <c r="BE223" s="28">
        <f t="shared" si="110"/>
        <v>2.24</v>
      </c>
      <c r="BF223" s="28"/>
      <c r="BG223" s="28">
        <f t="shared" si="107"/>
        <v>4.415</v>
      </c>
      <c r="BH223" s="28">
        <f t="shared" si="104"/>
        <v>4.53</v>
      </c>
      <c r="BI223" s="28">
        <f t="shared" si="104"/>
        <v>4.3</v>
      </c>
      <c r="CC223" s="25"/>
      <c r="CD223" s="29"/>
      <c r="CE223" s="29"/>
      <c r="DP223" s="35">
        <v>43790</v>
      </c>
      <c r="DQ223" s="26">
        <v>2.8</v>
      </c>
      <c r="DR223" s="26">
        <v>2.65</v>
      </c>
      <c r="DS223" s="26">
        <v>2.702</v>
      </c>
      <c r="DU223" s="35">
        <v>43790</v>
      </c>
      <c r="DV223" s="26">
        <v>5.8</v>
      </c>
      <c r="DW223" s="26">
        <v>5.65</v>
      </c>
      <c r="DX223" s="26">
        <v>5.71</v>
      </c>
      <c r="DZ223" s="35">
        <v>43790</v>
      </c>
      <c r="EA223" s="26">
        <v>12.2</v>
      </c>
      <c r="EB223" s="26">
        <v>12</v>
      </c>
      <c r="EC223" s="26">
        <v>12.1</v>
      </c>
    </row>
    <row r="224" ht="16.8" spans="3:133">
      <c r="C224" s="5" t="str" cm="1">
        <f t="array" ref="C224">_xlfn.IFS(MONTH(D224)&lt;4,1,MONTH(D224)&lt;7,2,MONTH(D224)&lt;10,3,MONTH(D224)&gt;9,4)&amp;"Q"&amp;RIGHT(YEAR(D224),2)</f>
        <v>4Q22</v>
      </c>
      <c r="D224" s="2">
        <f t="shared" si="114"/>
        <v>44895</v>
      </c>
      <c r="E224" s="25">
        <f t="shared" si="108"/>
        <v>44886</v>
      </c>
      <c r="F224" s="26">
        <v>1.11</v>
      </c>
      <c r="G224" s="26">
        <v>1.92</v>
      </c>
      <c r="H224" s="27"/>
      <c r="I224" s="28">
        <f t="shared" si="115"/>
        <v>0.0346875</v>
      </c>
      <c r="J224" s="28">
        <f t="shared" si="111"/>
        <v>0.03</v>
      </c>
      <c r="K224" s="28">
        <f t="shared" si="112"/>
        <v>0</v>
      </c>
      <c r="M224" s="36">
        <f t="shared" si="118"/>
        <v>-0.034782608695652</v>
      </c>
      <c r="N224" s="36">
        <f t="shared" si="119"/>
        <v>-0.104838709677419</v>
      </c>
      <c r="O224" s="36">
        <f t="shared" si="120"/>
        <v>-0.13953488372093</v>
      </c>
      <c r="P224" s="36">
        <f t="shared" si="121"/>
        <v>-0.0204081632653061</v>
      </c>
      <c r="Q224" s="36">
        <f t="shared" si="122"/>
        <v>-0.0541871921182265</v>
      </c>
      <c r="R224" s="36">
        <f t="shared" si="123"/>
        <v>-0.0900473933649288</v>
      </c>
      <c r="S224" s="36"/>
      <c r="T224" s="36"/>
      <c r="U224" s="36"/>
      <c r="BA224" s="25">
        <f t="shared" si="116"/>
        <v>44886</v>
      </c>
      <c r="BB224" s="28">
        <f t="shared" si="116"/>
        <v>1.11</v>
      </c>
      <c r="BC224" s="28">
        <f t="shared" si="113"/>
        <v>1.28</v>
      </c>
      <c r="BD224" s="28">
        <f t="shared" si="117"/>
        <v>1.92</v>
      </c>
      <c r="BE224" s="28">
        <f t="shared" si="110"/>
        <v>2.24</v>
      </c>
      <c r="BF224" s="28"/>
      <c r="BG224" s="28">
        <f t="shared" si="107"/>
        <v>4.415</v>
      </c>
      <c r="BH224" s="28">
        <f t="shared" si="104"/>
        <v>4.53</v>
      </c>
      <c r="BI224" s="28">
        <f t="shared" si="104"/>
        <v>4.3</v>
      </c>
      <c r="CC224" s="25"/>
      <c r="CD224" s="29"/>
      <c r="CE224" s="29"/>
      <c r="DP224" s="35">
        <v>43791</v>
      </c>
      <c r="DQ224" s="26">
        <v>2.8</v>
      </c>
      <c r="DR224" s="26">
        <v>2.65</v>
      </c>
      <c r="DS224" s="26">
        <v>2.707</v>
      </c>
      <c r="DU224" s="35">
        <v>43791</v>
      </c>
      <c r="DV224" s="26">
        <v>5.8</v>
      </c>
      <c r="DW224" s="26">
        <v>5.65</v>
      </c>
      <c r="DX224" s="26">
        <v>5.71</v>
      </c>
      <c r="DZ224" s="35">
        <v>43791</v>
      </c>
      <c r="EA224" s="26">
        <v>12.2</v>
      </c>
      <c r="EB224" s="26">
        <v>12</v>
      </c>
      <c r="EC224" s="26">
        <v>12.1</v>
      </c>
    </row>
    <row r="225" ht="16.8" spans="3:133">
      <c r="C225" s="5" t="str" cm="1">
        <f t="array" ref="C225">_xlfn.IFS(MONTH(D225)&lt;4,1,MONTH(D225)&lt;7,2,MONTH(D225)&lt;10,3,MONTH(D225)&gt;9,4)&amp;"Q"&amp;RIGHT(YEAR(D225),2)</f>
        <v>4Q22</v>
      </c>
      <c r="D225" s="2">
        <f t="shared" si="114"/>
        <v>44895</v>
      </c>
      <c r="E225" s="25">
        <f t="shared" si="108"/>
        <v>44893</v>
      </c>
      <c r="F225" s="26">
        <v>1.1</v>
      </c>
      <c r="G225" s="26">
        <v>1.9</v>
      </c>
      <c r="H225" s="27"/>
      <c r="I225" s="28">
        <f t="shared" si="115"/>
        <v>0.034375</v>
      </c>
      <c r="J225" s="28">
        <f t="shared" si="111"/>
        <v>0.0296875</v>
      </c>
      <c r="K225" s="28">
        <f t="shared" si="112"/>
        <v>0</v>
      </c>
      <c r="M225" s="36">
        <f t="shared" si="118"/>
        <v>-0.00900900900900903</v>
      </c>
      <c r="N225" s="36">
        <f t="shared" si="119"/>
        <v>-0.0434782608695651</v>
      </c>
      <c r="O225" s="36">
        <f t="shared" si="120"/>
        <v>-0.112903225806452</v>
      </c>
      <c r="P225" s="36">
        <f t="shared" si="121"/>
        <v>-0.0104166666666666</v>
      </c>
      <c r="Q225" s="36">
        <f t="shared" si="122"/>
        <v>-0.0306122448979592</v>
      </c>
      <c r="R225" s="36">
        <f t="shared" si="123"/>
        <v>-0.064039408866995</v>
      </c>
      <c r="S225" s="36"/>
      <c r="T225" s="36"/>
      <c r="U225" s="36"/>
      <c r="BA225" s="25">
        <f t="shared" si="116"/>
        <v>44893</v>
      </c>
      <c r="BB225" s="28">
        <f t="shared" si="116"/>
        <v>1.1</v>
      </c>
      <c r="BC225" s="28">
        <f t="shared" si="113"/>
        <v>1.28</v>
      </c>
      <c r="BD225" s="28">
        <f t="shared" si="117"/>
        <v>1.9</v>
      </c>
      <c r="BE225" s="28">
        <f t="shared" si="110"/>
        <v>2.24</v>
      </c>
      <c r="BF225" s="28"/>
      <c r="BG225" s="28">
        <f t="shared" si="107"/>
        <v>4.415</v>
      </c>
      <c r="BH225" s="28">
        <f t="shared" si="104"/>
        <v>4.53</v>
      </c>
      <c r="BI225" s="28">
        <f t="shared" si="104"/>
        <v>4.3</v>
      </c>
      <c r="CC225" s="25"/>
      <c r="CD225" s="29"/>
      <c r="CE225" s="29"/>
      <c r="DP225" s="35">
        <v>43794</v>
      </c>
      <c r="DQ225" s="26">
        <v>2.8</v>
      </c>
      <c r="DR225" s="26">
        <v>2.65</v>
      </c>
      <c r="DS225" s="26">
        <v>2.718</v>
      </c>
      <c r="DU225" s="35">
        <v>43794</v>
      </c>
      <c r="DV225" s="26">
        <v>5.8</v>
      </c>
      <c r="DW225" s="26">
        <v>5.65</v>
      </c>
      <c r="DX225" s="26">
        <v>5.72</v>
      </c>
      <c r="DZ225" s="35">
        <v>43794</v>
      </c>
      <c r="EA225" s="26">
        <v>12.2</v>
      </c>
      <c r="EB225" s="26">
        <v>12</v>
      </c>
      <c r="EC225" s="26">
        <v>12.1</v>
      </c>
    </row>
    <row r="226" ht="16.8" spans="3:133">
      <c r="C226" s="5" t="str" cm="1">
        <f t="array" ref="C226">_xlfn.IFS(MONTH(D226)&lt;4,1,MONTH(D226)&lt;7,2,MONTH(D226)&lt;10,3,MONTH(D226)&gt;9,4)&amp;"Q"&amp;RIGHT(YEAR(D226),2)</f>
        <v>4Q22</v>
      </c>
      <c r="D226" s="2">
        <f t="shared" si="114"/>
        <v>44926</v>
      </c>
      <c r="E226" s="25">
        <f t="shared" si="108"/>
        <v>44900</v>
      </c>
      <c r="F226" s="26">
        <v>1.07</v>
      </c>
      <c r="G226" s="26">
        <v>1.89</v>
      </c>
      <c r="H226" s="27"/>
      <c r="I226" s="28">
        <f t="shared" si="115"/>
        <v>0.0334375</v>
      </c>
      <c r="J226" s="28">
        <f t="shared" si="111"/>
        <v>0.02953125</v>
      </c>
      <c r="K226" s="28">
        <f t="shared" si="112"/>
        <v>0</v>
      </c>
      <c r="M226" s="36">
        <f t="shared" si="118"/>
        <v>-0.0272727272727273</v>
      </c>
      <c r="N226" s="36">
        <f t="shared" si="119"/>
        <v>-0.0360360360360361</v>
      </c>
      <c r="O226" s="36">
        <f t="shared" si="120"/>
        <v>-0.0695652173913042</v>
      </c>
      <c r="P226" s="36">
        <f t="shared" si="121"/>
        <v>-0.00526315789473686</v>
      </c>
      <c r="Q226" s="36">
        <f t="shared" si="122"/>
        <v>-0.015625</v>
      </c>
      <c r="R226" s="36">
        <f t="shared" si="123"/>
        <v>-0.0357142857142857</v>
      </c>
      <c r="S226" s="36"/>
      <c r="T226" s="36"/>
      <c r="U226" s="36"/>
      <c r="BA226" s="25">
        <f t="shared" si="116"/>
        <v>44900</v>
      </c>
      <c r="BB226" s="28">
        <f t="shared" si="116"/>
        <v>1.07</v>
      </c>
      <c r="BC226" s="28">
        <f t="shared" si="113"/>
        <v>1.23</v>
      </c>
      <c r="BD226" s="28">
        <f t="shared" si="117"/>
        <v>1.89</v>
      </c>
      <c r="BE226" s="28">
        <f t="shared" si="110"/>
        <v>2.14</v>
      </c>
      <c r="BF226" s="28"/>
      <c r="BG226" s="28">
        <f t="shared" si="107"/>
        <v>4.255</v>
      </c>
      <c r="BH226" s="28">
        <f t="shared" si="104"/>
        <v>4.28</v>
      </c>
      <c r="BI226" s="28">
        <f t="shared" si="104"/>
        <v>4.23</v>
      </c>
      <c r="CC226" s="25"/>
      <c r="CD226" s="29"/>
      <c r="CE226" s="29"/>
      <c r="DP226" s="35">
        <v>43795</v>
      </c>
      <c r="DQ226" s="26">
        <v>2.8</v>
      </c>
      <c r="DR226" s="26">
        <v>2.65</v>
      </c>
      <c r="DS226" s="26">
        <v>2.723</v>
      </c>
      <c r="DU226" s="35">
        <v>43795</v>
      </c>
      <c r="DV226" s="26">
        <v>5.8</v>
      </c>
      <c r="DW226" s="26">
        <v>5.65</v>
      </c>
      <c r="DX226" s="26">
        <v>5.72</v>
      </c>
      <c r="DZ226" s="35">
        <v>43795</v>
      </c>
      <c r="EA226" s="26">
        <v>12.2</v>
      </c>
      <c r="EB226" s="26">
        <v>12</v>
      </c>
      <c r="EC226" s="26">
        <v>12.1</v>
      </c>
    </row>
    <row r="227" ht="16.8" spans="3:133">
      <c r="C227" s="5" t="str" cm="1">
        <f t="array" ref="C227">_xlfn.IFS(MONTH(D227)&lt;4,1,MONTH(D227)&lt;7,2,MONTH(D227)&lt;10,3,MONTH(D227)&gt;9,4)&amp;"Q"&amp;RIGHT(YEAR(D227),2)</f>
        <v>4Q22</v>
      </c>
      <c r="D227" s="2">
        <f t="shared" si="114"/>
        <v>44926</v>
      </c>
      <c r="E227" s="25">
        <f t="shared" si="108"/>
        <v>44907</v>
      </c>
      <c r="F227" s="26">
        <v>1.07</v>
      </c>
      <c r="G227" s="26">
        <v>1.88</v>
      </c>
      <c r="H227" s="26">
        <v>3.742</v>
      </c>
      <c r="I227" s="28">
        <f t="shared" si="115"/>
        <v>0.0334375</v>
      </c>
      <c r="J227" s="28">
        <f t="shared" si="111"/>
        <v>0.029375</v>
      </c>
      <c r="K227" s="28">
        <f t="shared" si="112"/>
        <v>0.029234375</v>
      </c>
      <c r="M227" s="36">
        <f t="shared" si="118"/>
        <v>0</v>
      </c>
      <c r="N227" s="36">
        <f t="shared" si="119"/>
        <v>-0.0272727272727273</v>
      </c>
      <c r="O227" s="36">
        <f t="shared" si="120"/>
        <v>-0.0360360360360361</v>
      </c>
      <c r="P227" s="36">
        <f t="shared" si="121"/>
        <v>-0.00529100529100535</v>
      </c>
      <c r="Q227" s="36">
        <f t="shared" si="122"/>
        <v>-0.0105263157894737</v>
      </c>
      <c r="R227" s="36">
        <f t="shared" si="123"/>
        <v>-0.0208333333333334</v>
      </c>
      <c r="S227" s="36"/>
      <c r="T227" s="36"/>
      <c r="U227" s="36"/>
      <c r="BA227" s="25">
        <f t="shared" si="116"/>
        <v>44907</v>
      </c>
      <c r="BB227" s="28">
        <f t="shared" si="116"/>
        <v>1.07</v>
      </c>
      <c r="BC227" s="28">
        <f t="shared" si="113"/>
        <v>1.23</v>
      </c>
      <c r="BD227" s="28">
        <f t="shared" si="117"/>
        <v>1.88</v>
      </c>
      <c r="BE227" s="28">
        <f t="shared" si="110"/>
        <v>2.14</v>
      </c>
      <c r="BF227" s="28">
        <f t="shared" ref="BF227:BF290" si="124">H227</f>
        <v>3.742</v>
      </c>
      <c r="BG227" s="28">
        <f t="shared" si="107"/>
        <v>4.255</v>
      </c>
      <c r="BH227" s="28">
        <f t="shared" si="104"/>
        <v>4.28</v>
      </c>
      <c r="BI227" s="28">
        <f t="shared" si="104"/>
        <v>4.23</v>
      </c>
      <c r="CC227" s="25"/>
      <c r="CD227" s="29"/>
      <c r="CE227" s="29"/>
      <c r="DP227" s="35">
        <v>43796</v>
      </c>
      <c r="DQ227" s="26">
        <v>2.8</v>
      </c>
      <c r="DR227" s="26">
        <v>2.65</v>
      </c>
      <c r="DS227" s="26">
        <v>2.728</v>
      </c>
      <c r="DU227" s="35">
        <v>43796</v>
      </c>
      <c r="DV227" s="26">
        <v>5.8</v>
      </c>
      <c r="DW227" s="26">
        <v>5.65</v>
      </c>
      <c r="DX227" s="26">
        <v>5.725</v>
      </c>
      <c r="DZ227" s="35">
        <v>43796</v>
      </c>
      <c r="EA227" s="26">
        <v>12.2</v>
      </c>
      <c r="EB227" s="26">
        <v>12.1</v>
      </c>
      <c r="EC227" s="26">
        <v>12.15</v>
      </c>
    </row>
    <row r="228" ht="16.8" spans="3:133">
      <c r="C228" s="5" t="str" cm="1">
        <f t="array" ref="C228">_xlfn.IFS(MONTH(D228)&lt;4,1,MONTH(D228)&lt;7,2,MONTH(D228)&lt;10,3,MONTH(D228)&gt;9,4)&amp;"Q"&amp;RIGHT(YEAR(D228),2)</f>
        <v>4Q22</v>
      </c>
      <c r="D228" s="2">
        <f t="shared" si="114"/>
        <v>44926</v>
      </c>
      <c r="E228" s="25">
        <f t="shared" si="108"/>
        <v>44914</v>
      </c>
      <c r="F228" s="26">
        <v>1.07</v>
      </c>
      <c r="G228" s="26">
        <v>1.85</v>
      </c>
      <c r="H228" s="26">
        <v>3.729</v>
      </c>
      <c r="I228" s="28">
        <f t="shared" si="115"/>
        <v>0.0334375</v>
      </c>
      <c r="J228" s="28">
        <f t="shared" si="111"/>
        <v>0.02890625</v>
      </c>
      <c r="K228" s="28">
        <f t="shared" si="112"/>
        <v>0.0291328125</v>
      </c>
      <c r="M228" s="36">
        <f t="shared" si="118"/>
        <v>0</v>
      </c>
      <c r="N228" s="36">
        <f t="shared" si="119"/>
        <v>0</v>
      </c>
      <c r="O228" s="36">
        <f t="shared" si="120"/>
        <v>-0.0272727272727273</v>
      </c>
      <c r="P228" s="36">
        <f t="shared" si="121"/>
        <v>-0.0159574468085105</v>
      </c>
      <c r="Q228" s="36">
        <f t="shared" si="122"/>
        <v>-0.0211640211640211</v>
      </c>
      <c r="R228" s="36">
        <f t="shared" si="123"/>
        <v>-0.0263157894736841</v>
      </c>
      <c r="S228" s="36">
        <f t="shared" ref="S228:S291" si="125">$H228/$H227-1</f>
        <v>-0.00347407803313737</v>
      </c>
      <c r="T228" s="36"/>
      <c r="U228" s="36"/>
      <c r="BA228" s="25">
        <f t="shared" si="116"/>
        <v>44914</v>
      </c>
      <c r="BB228" s="28">
        <f t="shared" si="116"/>
        <v>1.07</v>
      </c>
      <c r="BC228" s="28">
        <f t="shared" si="113"/>
        <v>1.23</v>
      </c>
      <c r="BD228" s="28">
        <f t="shared" si="117"/>
        <v>1.85</v>
      </c>
      <c r="BE228" s="28">
        <f t="shared" si="110"/>
        <v>2.14</v>
      </c>
      <c r="BF228" s="28">
        <f t="shared" si="124"/>
        <v>3.729</v>
      </c>
      <c r="BG228" s="28">
        <f t="shared" si="107"/>
        <v>4.255</v>
      </c>
      <c r="BH228" s="28">
        <f t="shared" si="104"/>
        <v>4.28</v>
      </c>
      <c r="BI228" s="28">
        <f t="shared" si="104"/>
        <v>4.23</v>
      </c>
      <c r="CC228" s="25"/>
      <c r="CD228" s="29"/>
      <c r="CE228" s="29"/>
      <c r="DP228" s="35">
        <v>43797</v>
      </c>
      <c r="DQ228" s="26">
        <v>2.8</v>
      </c>
      <c r="DR228" s="26">
        <v>2.65</v>
      </c>
      <c r="DS228" s="26">
        <v>2.73</v>
      </c>
      <c r="DU228" s="35">
        <v>43797</v>
      </c>
      <c r="DV228" s="26">
        <v>5.8</v>
      </c>
      <c r="DW228" s="26">
        <v>5.65</v>
      </c>
      <c r="DX228" s="26">
        <v>5.738</v>
      </c>
      <c r="DZ228" s="35">
        <v>43797</v>
      </c>
      <c r="EA228" s="26">
        <v>12.2</v>
      </c>
      <c r="EB228" s="26">
        <v>12.1</v>
      </c>
      <c r="EC228" s="26">
        <v>12.15</v>
      </c>
    </row>
    <row r="229" ht="16.8" spans="3:133">
      <c r="C229" s="5" t="str" cm="1">
        <f t="array" ref="C229">_xlfn.IFS(MONTH(D229)&lt;4,1,MONTH(D229)&lt;7,2,MONTH(D229)&lt;10,3,MONTH(D229)&gt;9,4)&amp;"Q"&amp;RIGHT(YEAR(D229),2)</f>
        <v>4Q22</v>
      </c>
      <c r="D229" s="2">
        <f t="shared" si="114"/>
        <v>44926</v>
      </c>
      <c r="E229" s="25">
        <f t="shared" si="108"/>
        <v>44921</v>
      </c>
      <c r="F229" s="26">
        <v>1.04</v>
      </c>
      <c r="G229" s="26">
        <v>1.82</v>
      </c>
      <c r="H229" s="26">
        <v>3.683</v>
      </c>
      <c r="I229" s="28">
        <f t="shared" si="115"/>
        <v>0.0325</v>
      </c>
      <c r="J229" s="28">
        <f t="shared" si="111"/>
        <v>0.0284375</v>
      </c>
      <c r="K229" s="28">
        <f t="shared" si="112"/>
        <v>0.0287734375</v>
      </c>
      <c r="M229" s="36">
        <f t="shared" si="118"/>
        <v>-0.0280373831775701</v>
      </c>
      <c r="N229" s="36">
        <f t="shared" si="119"/>
        <v>-0.0280373831775701</v>
      </c>
      <c r="O229" s="36">
        <f t="shared" si="120"/>
        <v>-0.0280373831775701</v>
      </c>
      <c r="P229" s="36">
        <f t="shared" si="121"/>
        <v>-0.0162162162162163</v>
      </c>
      <c r="Q229" s="36">
        <f t="shared" si="122"/>
        <v>-0.0319148936170212</v>
      </c>
      <c r="R229" s="36">
        <f t="shared" si="123"/>
        <v>-0.037037037037037</v>
      </c>
      <c r="S229" s="36">
        <f t="shared" si="125"/>
        <v>-0.0123357468490213</v>
      </c>
      <c r="T229" s="36">
        <f t="shared" ref="T229:T292" si="126">$H229/$H227-1</f>
        <v>-0.0157669695350081</v>
      </c>
      <c r="U229" s="36"/>
      <c r="BA229" s="25">
        <f t="shared" si="116"/>
        <v>44921</v>
      </c>
      <c r="BB229" s="28">
        <f t="shared" si="116"/>
        <v>1.04</v>
      </c>
      <c r="BC229" s="28">
        <f t="shared" si="113"/>
        <v>1.23</v>
      </c>
      <c r="BD229" s="28">
        <f t="shared" si="117"/>
        <v>1.82</v>
      </c>
      <c r="BE229" s="28">
        <f t="shared" si="110"/>
        <v>2.14</v>
      </c>
      <c r="BF229" s="28">
        <f t="shared" si="124"/>
        <v>3.683</v>
      </c>
      <c r="BG229" s="28">
        <f t="shared" si="107"/>
        <v>4.255</v>
      </c>
      <c r="BH229" s="28">
        <f t="shared" si="104"/>
        <v>4.28</v>
      </c>
      <c r="BI229" s="28">
        <f t="shared" si="104"/>
        <v>4.23</v>
      </c>
      <c r="CC229" s="25"/>
      <c r="CD229" s="29"/>
      <c r="CE229" s="29"/>
      <c r="DP229" s="35">
        <v>43798</v>
      </c>
      <c r="DQ229" s="26">
        <v>2.8</v>
      </c>
      <c r="DR229" s="26">
        <v>2.65</v>
      </c>
      <c r="DS229" s="26">
        <v>2.735</v>
      </c>
      <c r="DU229" s="35">
        <v>43798</v>
      </c>
      <c r="DV229" s="26">
        <v>5.8</v>
      </c>
      <c r="DW229" s="26">
        <v>5.65</v>
      </c>
      <c r="DX229" s="26">
        <v>5.743</v>
      </c>
      <c r="DZ229" s="35">
        <v>43798</v>
      </c>
      <c r="EA229" s="26">
        <v>12.2</v>
      </c>
      <c r="EB229" s="26">
        <v>12.1</v>
      </c>
      <c r="EC229" s="26">
        <v>12.15</v>
      </c>
    </row>
    <row r="230" ht="16.8" spans="3:133">
      <c r="C230" s="5" t="str" cm="1">
        <f t="array" ref="C230">_xlfn.IFS(MONTH(D230)&lt;4,1,MONTH(D230)&lt;7,2,MONTH(D230)&lt;10,3,MONTH(D230)&gt;9,4)&amp;"Q"&amp;RIGHT(YEAR(D230),2)</f>
        <v>1Q23</v>
      </c>
      <c r="D230" s="2">
        <f t="shared" si="114"/>
        <v>44957</v>
      </c>
      <c r="E230" s="25">
        <f t="shared" si="108"/>
        <v>44928</v>
      </c>
      <c r="F230" s="26">
        <v>1.03</v>
      </c>
      <c r="G230" s="26">
        <v>1.8</v>
      </c>
      <c r="H230" s="26">
        <v>3.65</v>
      </c>
      <c r="I230" s="28">
        <f t="shared" si="115"/>
        <v>0.0321875</v>
      </c>
      <c r="J230" s="28">
        <f t="shared" si="111"/>
        <v>0.028125</v>
      </c>
      <c r="K230" s="28">
        <f t="shared" si="112"/>
        <v>0.028515625</v>
      </c>
      <c r="M230" s="36">
        <f t="shared" si="118"/>
        <v>-0.00961538461538458</v>
      </c>
      <c r="N230" s="36">
        <f t="shared" si="119"/>
        <v>-0.0373831775700935</v>
      </c>
      <c r="O230" s="36">
        <f t="shared" si="120"/>
        <v>-0.0373831775700935</v>
      </c>
      <c r="P230" s="36">
        <f t="shared" si="121"/>
        <v>-0.0109890109890109</v>
      </c>
      <c r="Q230" s="36">
        <f t="shared" si="122"/>
        <v>-0.0270270270270271</v>
      </c>
      <c r="R230" s="36">
        <f t="shared" si="123"/>
        <v>-0.0425531914893617</v>
      </c>
      <c r="S230" s="36">
        <f t="shared" si="125"/>
        <v>-0.00896008688569094</v>
      </c>
      <c r="T230" s="36">
        <f t="shared" si="126"/>
        <v>-0.0211853043711451</v>
      </c>
      <c r="U230" s="36">
        <f t="shared" ref="U230:U293" si="127">$H230/$H227-1</f>
        <v>-0.0245857830037414</v>
      </c>
      <c r="BA230" s="25">
        <f t="shared" si="116"/>
        <v>44928</v>
      </c>
      <c r="BB230" s="28">
        <f t="shared" si="116"/>
        <v>1.03</v>
      </c>
      <c r="BC230" s="28">
        <f t="shared" si="113"/>
        <v>1.22</v>
      </c>
      <c r="BD230" s="28">
        <f t="shared" si="117"/>
        <v>1.8</v>
      </c>
      <c r="BE230" s="28">
        <f t="shared" si="110"/>
        <v>2.11</v>
      </c>
      <c r="BF230" s="28">
        <f t="shared" si="124"/>
        <v>3.65</v>
      </c>
      <c r="BG230" s="28">
        <f t="shared" si="107"/>
        <v>4.195</v>
      </c>
      <c r="BH230" s="28">
        <f t="shared" si="104"/>
        <v>4.21</v>
      </c>
      <c r="BI230" s="28">
        <f t="shared" si="104"/>
        <v>4.18</v>
      </c>
      <c r="CC230" s="25"/>
      <c r="CD230" s="29"/>
      <c r="CE230" s="29"/>
      <c r="DP230" s="35">
        <v>43801</v>
      </c>
      <c r="DQ230" s="26">
        <v>2.8</v>
      </c>
      <c r="DR230" s="26">
        <v>2.65</v>
      </c>
      <c r="DS230" s="26">
        <v>2.74</v>
      </c>
      <c r="DU230" s="35">
        <v>43801</v>
      </c>
      <c r="DV230" s="26">
        <v>5.8</v>
      </c>
      <c r="DW230" s="26">
        <v>5.65</v>
      </c>
      <c r="DX230" s="26">
        <v>5.748</v>
      </c>
      <c r="DZ230" s="35">
        <v>43801</v>
      </c>
      <c r="EA230" s="26">
        <v>12.2</v>
      </c>
      <c r="EB230" s="26">
        <v>12.1</v>
      </c>
      <c r="EC230" s="26">
        <v>12.15</v>
      </c>
    </row>
    <row r="231" ht="16.8" spans="3:133">
      <c r="C231" s="5" t="str" cm="1">
        <f t="array" ref="C231">_xlfn.IFS(MONTH(D231)&lt;4,1,MONTH(D231)&lt;7,2,MONTH(D231)&lt;10,3,MONTH(D231)&gt;9,4)&amp;"Q"&amp;RIGHT(YEAR(D231),2)</f>
        <v>1Q23</v>
      </c>
      <c r="D231" s="2">
        <f t="shared" si="114"/>
        <v>44957</v>
      </c>
      <c r="E231" s="25">
        <f t="shared" si="108"/>
        <v>44935</v>
      </c>
      <c r="F231" s="26">
        <v>1.03</v>
      </c>
      <c r="G231" s="26">
        <v>1.79</v>
      </c>
      <c r="H231" s="26">
        <v>3.642</v>
      </c>
      <c r="I231" s="28">
        <f t="shared" si="115"/>
        <v>0.0321875</v>
      </c>
      <c r="J231" s="28">
        <f t="shared" si="111"/>
        <v>0.02796875</v>
      </c>
      <c r="K231" s="28">
        <f t="shared" si="112"/>
        <v>0.028453125</v>
      </c>
      <c r="M231" s="36">
        <f t="shared" si="118"/>
        <v>0</v>
      </c>
      <c r="N231" s="36">
        <f t="shared" si="119"/>
        <v>-0.00961538461538458</v>
      </c>
      <c r="O231" s="36">
        <f t="shared" si="120"/>
        <v>-0.0373831775700935</v>
      </c>
      <c r="P231" s="36">
        <f t="shared" si="121"/>
        <v>-0.00555555555555554</v>
      </c>
      <c r="Q231" s="36">
        <f t="shared" si="122"/>
        <v>-0.0164835164835165</v>
      </c>
      <c r="R231" s="36">
        <f t="shared" si="123"/>
        <v>-0.0324324324324324</v>
      </c>
      <c r="S231" s="36">
        <f t="shared" si="125"/>
        <v>-0.00219178082191784</v>
      </c>
      <c r="T231" s="36">
        <f t="shared" si="126"/>
        <v>-0.01113222916101</v>
      </c>
      <c r="U231" s="36">
        <f t="shared" si="127"/>
        <v>-0.0233306516492358</v>
      </c>
      <c r="BA231" s="25">
        <f t="shared" si="116"/>
        <v>44935</v>
      </c>
      <c r="BB231" s="28">
        <f t="shared" si="116"/>
        <v>1.03</v>
      </c>
      <c r="BC231" s="28">
        <f t="shared" si="113"/>
        <v>1.22</v>
      </c>
      <c r="BD231" s="28">
        <f t="shared" si="117"/>
        <v>1.79</v>
      </c>
      <c r="BE231" s="28">
        <f t="shared" si="110"/>
        <v>2.11</v>
      </c>
      <c r="BF231" s="28">
        <f t="shared" si="124"/>
        <v>3.642</v>
      </c>
      <c r="BG231" s="28">
        <f t="shared" si="107"/>
        <v>4.195</v>
      </c>
      <c r="BH231" s="28">
        <f t="shared" si="104"/>
        <v>4.21</v>
      </c>
      <c r="BI231" s="28">
        <f t="shared" si="104"/>
        <v>4.18</v>
      </c>
      <c r="CC231" s="25"/>
      <c r="CD231" s="29"/>
      <c r="CE231" s="29"/>
      <c r="DP231" s="35">
        <v>43802</v>
      </c>
      <c r="DQ231" s="26">
        <v>2.8</v>
      </c>
      <c r="DR231" s="26">
        <v>2.7</v>
      </c>
      <c r="DS231" s="26">
        <v>2.743</v>
      </c>
      <c r="DU231" s="35">
        <v>43802</v>
      </c>
      <c r="DV231" s="26">
        <v>5.8</v>
      </c>
      <c r="DW231" s="26">
        <v>5.65</v>
      </c>
      <c r="DX231" s="26">
        <v>5.748</v>
      </c>
      <c r="DZ231" s="35">
        <v>43802</v>
      </c>
      <c r="EA231" s="26">
        <v>12.2</v>
      </c>
      <c r="EB231" s="26">
        <v>12.1</v>
      </c>
      <c r="EC231" s="26">
        <v>12.15</v>
      </c>
    </row>
    <row r="232" ht="16.8" spans="3:133">
      <c r="C232" s="5" t="str" cm="1">
        <f t="array" ref="C232">_xlfn.IFS(MONTH(D232)&lt;4,1,MONTH(D232)&lt;7,2,MONTH(D232)&lt;10,3,MONTH(D232)&gt;9,4)&amp;"Q"&amp;RIGHT(YEAR(D232),2)</f>
        <v>1Q23</v>
      </c>
      <c r="D232" s="2">
        <f t="shared" si="114"/>
        <v>44957</v>
      </c>
      <c r="E232" s="25">
        <f t="shared" si="108"/>
        <v>44942</v>
      </c>
      <c r="F232" s="26">
        <v>1.03</v>
      </c>
      <c r="G232" s="26">
        <v>1.77</v>
      </c>
      <c r="H232" s="26">
        <v>3.621</v>
      </c>
      <c r="I232" s="28">
        <f t="shared" si="115"/>
        <v>0.0321875</v>
      </c>
      <c r="J232" s="28">
        <f t="shared" si="111"/>
        <v>0.02765625</v>
      </c>
      <c r="K232" s="28">
        <f t="shared" si="112"/>
        <v>0.0282890625</v>
      </c>
      <c r="M232" s="36">
        <f t="shared" si="118"/>
        <v>0</v>
      </c>
      <c r="N232" s="36">
        <f t="shared" si="119"/>
        <v>0</v>
      </c>
      <c r="O232" s="36">
        <f t="shared" si="120"/>
        <v>-0.00961538461538458</v>
      </c>
      <c r="P232" s="36">
        <f t="shared" si="121"/>
        <v>-0.0111731843575419</v>
      </c>
      <c r="Q232" s="36">
        <f t="shared" si="122"/>
        <v>-0.0166666666666667</v>
      </c>
      <c r="R232" s="36">
        <f t="shared" si="123"/>
        <v>-0.0274725274725275</v>
      </c>
      <c r="S232" s="36">
        <f t="shared" si="125"/>
        <v>-0.00576606260296542</v>
      </c>
      <c r="T232" s="36">
        <f t="shared" si="126"/>
        <v>-0.00794520547945199</v>
      </c>
      <c r="U232" s="36">
        <f t="shared" si="127"/>
        <v>-0.0168341026337224</v>
      </c>
      <c r="BA232" s="25">
        <f t="shared" si="116"/>
        <v>44942</v>
      </c>
      <c r="BB232" s="28">
        <f t="shared" si="116"/>
        <v>1.03</v>
      </c>
      <c r="BC232" s="28">
        <f t="shared" si="113"/>
        <v>1.22</v>
      </c>
      <c r="BD232" s="28">
        <f t="shared" si="117"/>
        <v>1.77</v>
      </c>
      <c r="BE232" s="28">
        <f t="shared" si="110"/>
        <v>2.11</v>
      </c>
      <c r="BF232" s="28">
        <f t="shared" si="124"/>
        <v>3.621</v>
      </c>
      <c r="BG232" s="28">
        <f t="shared" si="107"/>
        <v>4.195</v>
      </c>
      <c r="BH232" s="28">
        <f t="shared" si="104"/>
        <v>4.21</v>
      </c>
      <c r="BI232" s="28">
        <f t="shared" si="104"/>
        <v>4.18</v>
      </c>
      <c r="CC232" s="25"/>
      <c r="CD232" s="29"/>
      <c r="CE232" s="29"/>
      <c r="DP232" s="35">
        <v>43803</v>
      </c>
      <c r="DQ232" s="26">
        <v>2.8</v>
      </c>
      <c r="DR232" s="26">
        <v>2.7</v>
      </c>
      <c r="DS232" s="26">
        <v>2.752</v>
      </c>
      <c r="DU232" s="35">
        <v>43803</v>
      </c>
      <c r="DV232" s="26">
        <v>5.8</v>
      </c>
      <c r="DW232" s="26">
        <v>5.65</v>
      </c>
      <c r="DX232" s="26">
        <v>5.748</v>
      </c>
      <c r="DZ232" s="35">
        <v>43803</v>
      </c>
      <c r="EA232" s="26">
        <v>12.2</v>
      </c>
      <c r="EB232" s="26">
        <v>12.1</v>
      </c>
      <c r="EC232" s="26">
        <v>12.15</v>
      </c>
    </row>
    <row r="233" ht="16.8" spans="3:133">
      <c r="C233" s="5" t="str" cm="1">
        <f t="array" ref="C233">_xlfn.IFS(MONTH(D233)&lt;4,1,MONTH(D233)&lt;7,2,MONTH(D233)&lt;10,3,MONTH(D233)&gt;9,4)&amp;"Q"&amp;RIGHT(YEAR(D233),2)</f>
        <v>1Q23</v>
      </c>
      <c r="D233" s="2">
        <f t="shared" si="114"/>
        <v>44957</v>
      </c>
      <c r="E233" s="25">
        <f>E232+14</f>
        <v>44956</v>
      </c>
      <c r="F233" s="26">
        <v>1.03</v>
      </c>
      <c r="G233" s="26">
        <v>1.77</v>
      </c>
      <c r="H233" s="26">
        <v>3.621</v>
      </c>
      <c r="I233" s="28">
        <f t="shared" si="115"/>
        <v>0.0321875</v>
      </c>
      <c r="J233" s="28">
        <f t="shared" si="111"/>
        <v>0.02765625</v>
      </c>
      <c r="K233" s="28">
        <f t="shared" si="112"/>
        <v>0.0282890625</v>
      </c>
      <c r="M233" s="36">
        <f t="shared" si="118"/>
        <v>0</v>
      </c>
      <c r="N233" s="36">
        <f t="shared" si="119"/>
        <v>0</v>
      </c>
      <c r="O233" s="36">
        <f t="shared" si="120"/>
        <v>0</v>
      </c>
      <c r="P233" s="36">
        <f t="shared" si="121"/>
        <v>0</v>
      </c>
      <c r="Q233" s="36">
        <f t="shared" si="122"/>
        <v>-0.0111731843575419</v>
      </c>
      <c r="R233" s="36">
        <f t="shared" si="123"/>
        <v>-0.0166666666666667</v>
      </c>
      <c r="S233" s="36">
        <f t="shared" si="125"/>
        <v>0</v>
      </c>
      <c r="T233" s="36">
        <f t="shared" si="126"/>
        <v>-0.00576606260296542</v>
      </c>
      <c r="U233" s="36">
        <f t="shared" si="127"/>
        <v>-0.00794520547945199</v>
      </c>
      <c r="BA233" s="25">
        <f t="shared" si="116"/>
        <v>44956</v>
      </c>
      <c r="BB233" s="28">
        <f t="shared" si="116"/>
        <v>1.03</v>
      </c>
      <c r="BC233" s="28">
        <f t="shared" si="113"/>
        <v>1.22</v>
      </c>
      <c r="BD233" s="28">
        <f t="shared" si="117"/>
        <v>1.77</v>
      </c>
      <c r="BE233" s="28">
        <f t="shared" si="110"/>
        <v>2.11</v>
      </c>
      <c r="BF233" s="28">
        <f t="shared" si="124"/>
        <v>3.621</v>
      </c>
      <c r="BG233" s="28">
        <f t="shared" si="107"/>
        <v>4.195</v>
      </c>
      <c r="BH233" s="28">
        <f t="shared" si="104"/>
        <v>4.21</v>
      </c>
      <c r="BI233" s="28">
        <f t="shared" si="104"/>
        <v>4.18</v>
      </c>
      <c r="CC233" s="25"/>
      <c r="CD233" s="29"/>
      <c r="CE233" s="29"/>
      <c r="DP233" s="35">
        <v>43804</v>
      </c>
      <c r="DQ233" s="26">
        <v>2.8</v>
      </c>
      <c r="DR233" s="26">
        <v>2.7</v>
      </c>
      <c r="DS233" s="26">
        <v>2.752</v>
      </c>
      <c r="DU233" s="35">
        <v>43804</v>
      </c>
      <c r="DV233" s="26">
        <v>5.8</v>
      </c>
      <c r="DW233" s="26">
        <v>5.65</v>
      </c>
      <c r="DX233" s="26">
        <v>5.748</v>
      </c>
      <c r="DZ233" s="35">
        <v>43804</v>
      </c>
      <c r="EA233" s="26">
        <v>12.2</v>
      </c>
      <c r="EB233" s="26">
        <v>12.1</v>
      </c>
      <c r="EC233" s="26">
        <v>12.15</v>
      </c>
    </row>
    <row r="234" ht="16.8" spans="3:133">
      <c r="C234" s="5" t="str" cm="1">
        <f t="array" ref="C234">_xlfn.IFS(MONTH(D234)&lt;4,1,MONTH(D234)&lt;7,2,MONTH(D234)&lt;10,3,MONTH(D234)&gt;9,4)&amp;"Q"&amp;RIGHT(YEAR(D234),2)</f>
        <v>1Q23</v>
      </c>
      <c r="D234" s="2">
        <f t="shared" si="114"/>
        <v>44985</v>
      </c>
      <c r="E234" s="25">
        <f t="shared" ref="E234:E280" si="128">E233+7</f>
        <v>44963</v>
      </c>
      <c r="F234" s="26">
        <v>1.03</v>
      </c>
      <c r="G234" s="26">
        <v>1.77</v>
      </c>
      <c r="H234" s="26">
        <v>3.604</v>
      </c>
      <c r="I234" s="28">
        <f t="shared" si="115"/>
        <v>0.0321875</v>
      </c>
      <c r="J234" s="28">
        <f t="shared" si="111"/>
        <v>0.02765625</v>
      </c>
      <c r="K234" s="28">
        <f t="shared" si="112"/>
        <v>0.02815625</v>
      </c>
      <c r="M234" s="36">
        <f t="shared" si="118"/>
        <v>0</v>
      </c>
      <c r="N234" s="36">
        <f t="shared" si="119"/>
        <v>0</v>
      </c>
      <c r="O234" s="36">
        <f t="shared" si="120"/>
        <v>0</v>
      </c>
      <c r="P234" s="36">
        <f t="shared" si="121"/>
        <v>0</v>
      </c>
      <c r="Q234" s="36">
        <f t="shared" si="122"/>
        <v>0</v>
      </c>
      <c r="R234" s="36">
        <f t="shared" si="123"/>
        <v>-0.0111731843575419</v>
      </c>
      <c r="S234" s="36">
        <f t="shared" si="125"/>
        <v>-0.00469483568075113</v>
      </c>
      <c r="T234" s="36">
        <f t="shared" si="126"/>
        <v>-0.00469483568075113</v>
      </c>
      <c r="U234" s="36">
        <f t="shared" si="127"/>
        <v>-0.0104338275672706</v>
      </c>
      <c r="BA234" s="25">
        <f t="shared" si="116"/>
        <v>44963</v>
      </c>
      <c r="BB234" s="28">
        <f t="shared" si="116"/>
        <v>1.03</v>
      </c>
      <c r="BC234" s="28">
        <f t="shared" si="113"/>
        <v>1.22</v>
      </c>
      <c r="BD234" s="28">
        <f t="shared" si="117"/>
        <v>1.77</v>
      </c>
      <c r="BE234" s="28">
        <f t="shared" si="110"/>
        <v>2.11</v>
      </c>
      <c r="BF234" s="28">
        <f t="shared" si="124"/>
        <v>3.604</v>
      </c>
      <c r="BG234" s="28">
        <f t="shared" si="107"/>
        <v>4.195</v>
      </c>
      <c r="BH234" s="28">
        <f t="shared" si="104"/>
        <v>4.21</v>
      </c>
      <c r="BI234" s="28">
        <f t="shared" si="104"/>
        <v>4.18</v>
      </c>
      <c r="CC234" s="25"/>
      <c r="CD234" s="29"/>
      <c r="CE234" s="29"/>
      <c r="DP234" s="35">
        <v>43805</v>
      </c>
      <c r="DQ234" s="26">
        <v>2.8</v>
      </c>
      <c r="DR234" s="26">
        <v>2.7</v>
      </c>
      <c r="DS234" s="26">
        <v>2.752</v>
      </c>
      <c r="DU234" s="35">
        <v>43805</v>
      </c>
      <c r="DV234" s="26">
        <v>5.8</v>
      </c>
      <c r="DW234" s="26">
        <v>5.65</v>
      </c>
      <c r="DX234" s="26">
        <v>5.748</v>
      </c>
      <c r="DZ234" s="35">
        <v>43805</v>
      </c>
      <c r="EA234" s="26">
        <v>12.2</v>
      </c>
      <c r="EB234" s="26">
        <v>12.1</v>
      </c>
      <c r="EC234" s="26">
        <v>12.15</v>
      </c>
    </row>
    <row r="235" ht="16.8" spans="3:133">
      <c r="C235" s="5" t="str" cm="1">
        <f t="array" ref="C235">_xlfn.IFS(MONTH(D235)&lt;4,1,MONTH(D235)&lt;7,2,MONTH(D235)&lt;10,3,MONTH(D235)&gt;9,4)&amp;"Q"&amp;RIGHT(YEAR(D235),2)</f>
        <v>1Q23</v>
      </c>
      <c r="D235" s="2">
        <f t="shared" si="114"/>
        <v>44985</v>
      </c>
      <c r="E235" s="25">
        <f t="shared" si="128"/>
        <v>44970</v>
      </c>
      <c r="F235" s="26">
        <v>1.02</v>
      </c>
      <c r="G235" s="26">
        <v>1.75</v>
      </c>
      <c r="H235" s="26">
        <v>3.583</v>
      </c>
      <c r="I235" s="28">
        <f t="shared" si="115"/>
        <v>0.031875</v>
      </c>
      <c r="J235" s="28">
        <f t="shared" si="111"/>
        <v>0.02734375</v>
      </c>
      <c r="K235" s="28">
        <f t="shared" si="112"/>
        <v>0.0279921875</v>
      </c>
      <c r="M235" s="36">
        <f t="shared" si="118"/>
        <v>-0.00970873786407767</v>
      </c>
      <c r="N235" s="36">
        <f t="shared" si="119"/>
        <v>-0.00970873786407767</v>
      </c>
      <c r="O235" s="36">
        <f t="shared" si="120"/>
        <v>-0.00970873786407767</v>
      </c>
      <c r="P235" s="36">
        <f t="shared" si="121"/>
        <v>-0.0112994350282486</v>
      </c>
      <c r="Q235" s="36">
        <f t="shared" si="122"/>
        <v>-0.0112994350282486</v>
      </c>
      <c r="R235" s="36">
        <f t="shared" si="123"/>
        <v>-0.0112994350282486</v>
      </c>
      <c r="S235" s="36">
        <f t="shared" si="125"/>
        <v>-0.00582685904550495</v>
      </c>
      <c r="T235" s="36">
        <f t="shared" si="126"/>
        <v>-0.0104943385805025</v>
      </c>
      <c r="U235" s="36">
        <f t="shared" si="127"/>
        <v>-0.0104943385805025</v>
      </c>
      <c r="BA235" s="25">
        <f t="shared" si="116"/>
        <v>44970</v>
      </c>
      <c r="BB235" s="28">
        <f t="shared" si="116"/>
        <v>1.02</v>
      </c>
      <c r="BC235" s="28">
        <f t="shared" si="113"/>
        <v>1.22</v>
      </c>
      <c r="BD235" s="28">
        <f t="shared" si="117"/>
        <v>1.75</v>
      </c>
      <c r="BE235" s="28">
        <f t="shared" si="110"/>
        <v>2.11</v>
      </c>
      <c r="BF235" s="28">
        <f t="shared" si="124"/>
        <v>3.583</v>
      </c>
      <c r="BG235" s="28">
        <f t="shared" si="107"/>
        <v>4.195</v>
      </c>
      <c r="BH235" s="28">
        <f t="shared" si="104"/>
        <v>4.21</v>
      </c>
      <c r="BI235" s="28">
        <f t="shared" si="104"/>
        <v>4.18</v>
      </c>
      <c r="CC235" s="25"/>
      <c r="CD235" s="29"/>
      <c r="CE235" s="29"/>
      <c r="DP235" s="35">
        <v>43808</v>
      </c>
      <c r="DQ235" s="26">
        <v>2.85</v>
      </c>
      <c r="DR235" s="26">
        <v>2.75</v>
      </c>
      <c r="DS235" s="26">
        <v>2.798</v>
      </c>
      <c r="DU235" s="35">
        <v>43808</v>
      </c>
      <c r="DV235" s="26">
        <v>5.8</v>
      </c>
      <c r="DW235" s="26">
        <v>5.65</v>
      </c>
      <c r="DX235" s="26">
        <v>5.748</v>
      </c>
      <c r="DZ235" s="35">
        <v>43808</v>
      </c>
      <c r="EA235" s="26">
        <v>12.2</v>
      </c>
      <c r="EB235" s="26">
        <v>12.1</v>
      </c>
      <c r="EC235" s="26">
        <v>12.15</v>
      </c>
    </row>
    <row r="236" ht="16.8" spans="3:133">
      <c r="C236" s="5" t="str" cm="1">
        <f t="array" ref="C236">_xlfn.IFS(MONTH(D236)&lt;4,1,MONTH(D236)&lt;7,2,MONTH(D236)&lt;10,3,MONTH(D236)&gt;9,4)&amp;"Q"&amp;RIGHT(YEAR(D236),2)</f>
        <v>1Q23</v>
      </c>
      <c r="D236" s="2">
        <f t="shared" si="114"/>
        <v>44985</v>
      </c>
      <c r="E236" s="25">
        <f t="shared" si="128"/>
        <v>44977</v>
      </c>
      <c r="F236" s="26">
        <v>1.02</v>
      </c>
      <c r="G236" s="26">
        <v>1.75</v>
      </c>
      <c r="H236" s="26">
        <v>3.563</v>
      </c>
      <c r="I236" s="28">
        <f t="shared" si="115"/>
        <v>0.031875</v>
      </c>
      <c r="J236" s="28">
        <f t="shared" si="111"/>
        <v>0.02734375</v>
      </c>
      <c r="K236" s="28">
        <f t="shared" si="112"/>
        <v>0.0278359375</v>
      </c>
      <c r="M236" s="36">
        <f t="shared" si="118"/>
        <v>0</v>
      </c>
      <c r="N236" s="36">
        <f t="shared" si="119"/>
        <v>-0.00970873786407767</v>
      </c>
      <c r="O236" s="36">
        <f t="shared" si="120"/>
        <v>-0.00970873786407767</v>
      </c>
      <c r="P236" s="36">
        <f t="shared" si="121"/>
        <v>0</v>
      </c>
      <c r="Q236" s="36">
        <f t="shared" si="122"/>
        <v>-0.0112994350282486</v>
      </c>
      <c r="R236" s="36">
        <f t="shared" si="123"/>
        <v>-0.0112994350282486</v>
      </c>
      <c r="S236" s="36">
        <f t="shared" si="125"/>
        <v>-0.00558191459670665</v>
      </c>
      <c r="T236" s="36">
        <f t="shared" si="126"/>
        <v>-0.0113762486126526</v>
      </c>
      <c r="U236" s="36">
        <f t="shared" si="127"/>
        <v>-0.016017674675504</v>
      </c>
      <c r="BA236" s="25">
        <f t="shared" ref="BA236:BB251" si="129">E236</f>
        <v>44977</v>
      </c>
      <c r="BB236" s="28">
        <f t="shared" si="129"/>
        <v>1.02</v>
      </c>
      <c r="BC236" s="28">
        <f t="shared" si="113"/>
        <v>1.22</v>
      </c>
      <c r="BD236" s="28">
        <f t="shared" si="117"/>
        <v>1.75</v>
      </c>
      <c r="BE236" s="28">
        <f t="shared" si="110"/>
        <v>2.11</v>
      </c>
      <c r="BF236" s="28">
        <f t="shared" si="124"/>
        <v>3.563</v>
      </c>
      <c r="BG236" s="28">
        <f t="shared" si="107"/>
        <v>4.195</v>
      </c>
      <c r="BH236" s="28">
        <f t="shared" si="104"/>
        <v>4.21</v>
      </c>
      <c r="BI236" s="28">
        <f t="shared" si="104"/>
        <v>4.18</v>
      </c>
      <c r="CC236" s="25"/>
      <c r="CD236" s="29"/>
      <c r="CE236" s="29"/>
      <c r="DP236" s="35">
        <v>43809</v>
      </c>
      <c r="DQ236" s="26">
        <v>2.85</v>
      </c>
      <c r="DR236" s="26">
        <v>2.75</v>
      </c>
      <c r="DS236" s="26">
        <v>2.798</v>
      </c>
      <c r="DU236" s="35">
        <v>43809</v>
      </c>
      <c r="DV236" s="26">
        <v>5.8</v>
      </c>
      <c r="DW236" s="26">
        <v>5.65</v>
      </c>
      <c r="DX236" s="26">
        <v>5.748</v>
      </c>
      <c r="DZ236" s="35">
        <v>43809</v>
      </c>
      <c r="EA236" s="26">
        <v>12.2</v>
      </c>
      <c r="EB236" s="26">
        <v>12.1</v>
      </c>
      <c r="EC236" s="26">
        <v>12.15</v>
      </c>
    </row>
    <row r="237" ht="16.8" spans="3:133">
      <c r="C237" s="5" t="str" cm="1">
        <f t="array" ref="C237">_xlfn.IFS(MONTH(D237)&lt;4,1,MONTH(D237)&lt;7,2,MONTH(D237)&lt;10,3,MONTH(D237)&gt;9,4)&amp;"Q"&amp;RIGHT(YEAR(D237),2)</f>
        <v>1Q23</v>
      </c>
      <c r="D237" s="2">
        <f t="shared" si="114"/>
        <v>44985</v>
      </c>
      <c r="E237" s="25">
        <f t="shared" si="128"/>
        <v>44984</v>
      </c>
      <c r="F237" s="26">
        <v>1.02</v>
      </c>
      <c r="G237" s="26">
        <v>1.74</v>
      </c>
      <c r="H237" s="26">
        <v>3.542</v>
      </c>
      <c r="I237" s="28">
        <f t="shared" si="115"/>
        <v>0.031875</v>
      </c>
      <c r="J237" s="28">
        <f t="shared" si="111"/>
        <v>0.0271875</v>
      </c>
      <c r="K237" s="28">
        <f t="shared" si="112"/>
        <v>0.027671875</v>
      </c>
      <c r="M237" s="36">
        <f t="shared" si="118"/>
        <v>0</v>
      </c>
      <c r="N237" s="36">
        <f t="shared" si="119"/>
        <v>0</v>
      </c>
      <c r="O237" s="36">
        <f t="shared" si="120"/>
        <v>-0.00970873786407767</v>
      </c>
      <c r="P237" s="36">
        <f t="shared" si="121"/>
        <v>-0.00571428571428567</v>
      </c>
      <c r="Q237" s="36">
        <f t="shared" si="122"/>
        <v>-0.00571428571428567</v>
      </c>
      <c r="R237" s="36">
        <f t="shared" si="123"/>
        <v>-0.0169491525423729</v>
      </c>
      <c r="S237" s="36">
        <f t="shared" si="125"/>
        <v>-0.00589390962671921</v>
      </c>
      <c r="T237" s="36">
        <f t="shared" si="126"/>
        <v>-0.0114429249232488</v>
      </c>
      <c r="U237" s="36">
        <f t="shared" si="127"/>
        <v>-0.0172031076581577</v>
      </c>
      <c r="BA237" s="25">
        <f t="shared" si="129"/>
        <v>44984</v>
      </c>
      <c r="BB237" s="28">
        <f t="shared" si="129"/>
        <v>1.02</v>
      </c>
      <c r="BC237" s="28">
        <f t="shared" si="113"/>
        <v>1.22</v>
      </c>
      <c r="BD237" s="28">
        <f t="shared" si="117"/>
        <v>1.74</v>
      </c>
      <c r="BE237" s="28">
        <f t="shared" si="110"/>
        <v>2.11</v>
      </c>
      <c r="BF237" s="28">
        <f t="shared" si="124"/>
        <v>3.542</v>
      </c>
      <c r="BG237" s="28">
        <f t="shared" si="107"/>
        <v>4.195</v>
      </c>
      <c r="BH237" s="28">
        <f t="shared" si="104"/>
        <v>4.21</v>
      </c>
      <c r="BI237" s="28">
        <f t="shared" si="104"/>
        <v>4.18</v>
      </c>
      <c r="CC237" s="25"/>
      <c r="CD237" s="29"/>
      <c r="CE237" s="29"/>
      <c r="DP237" s="35">
        <v>43810</v>
      </c>
      <c r="DQ237" s="26">
        <v>2.85</v>
      </c>
      <c r="DR237" s="26">
        <v>2.75</v>
      </c>
      <c r="DS237" s="26">
        <v>2.799</v>
      </c>
      <c r="DU237" s="35">
        <v>43810</v>
      </c>
      <c r="DV237" s="26">
        <v>5.8</v>
      </c>
      <c r="DW237" s="26">
        <v>5.65</v>
      </c>
      <c r="DX237" s="26">
        <v>5.748</v>
      </c>
      <c r="DZ237" s="35">
        <v>43810</v>
      </c>
      <c r="EA237" s="26">
        <v>12.2</v>
      </c>
      <c r="EB237" s="26">
        <v>12.1</v>
      </c>
      <c r="EC237" s="26">
        <v>12.15</v>
      </c>
    </row>
    <row r="238" ht="16.8" spans="3:133">
      <c r="C238" s="5" t="str" cm="1">
        <f t="array" ref="C238">_xlfn.IFS(MONTH(D238)&lt;4,1,MONTH(D238)&lt;7,2,MONTH(D238)&lt;10,3,MONTH(D238)&gt;9,4)&amp;"Q"&amp;RIGHT(YEAR(D238),2)</f>
        <v>1Q23</v>
      </c>
      <c r="D238" s="2">
        <f t="shared" si="114"/>
        <v>45016</v>
      </c>
      <c r="E238" s="25">
        <f t="shared" si="128"/>
        <v>44991</v>
      </c>
      <c r="F238" s="26">
        <v>1.01</v>
      </c>
      <c r="G238" s="26">
        <v>1.71</v>
      </c>
      <c r="H238" s="26">
        <v>3.483</v>
      </c>
      <c r="I238" s="28">
        <f t="shared" si="115"/>
        <v>0.0315625</v>
      </c>
      <c r="J238" s="28">
        <f t="shared" si="111"/>
        <v>0.02671875</v>
      </c>
      <c r="K238" s="28">
        <f t="shared" si="112"/>
        <v>0.0272109375</v>
      </c>
      <c r="M238" s="36">
        <f t="shared" si="118"/>
        <v>-0.00980392156862742</v>
      </c>
      <c r="N238" s="36">
        <f t="shared" si="119"/>
        <v>-0.00980392156862742</v>
      </c>
      <c r="O238" s="36">
        <f t="shared" si="120"/>
        <v>-0.00980392156862742</v>
      </c>
      <c r="P238" s="36">
        <f t="shared" si="121"/>
        <v>-0.0172413793103449</v>
      </c>
      <c r="Q238" s="36">
        <f t="shared" si="122"/>
        <v>-0.0228571428571429</v>
      </c>
      <c r="R238" s="36">
        <f t="shared" si="123"/>
        <v>-0.0228571428571429</v>
      </c>
      <c r="S238" s="36">
        <f t="shared" si="125"/>
        <v>-0.0166572557876905</v>
      </c>
      <c r="T238" s="36">
        <f t="shared" si="126"/>
        <v>-0.0224529890541678</v>
      </c>
      <c r="U238" s="36">
        <f t="shared" si="127"/>
        <v>-0.0279095729835334</v>
      </c>
      <c r="BA238" s="25">
        <f t="shared" si="129"/>
        <v>44991</v>
      </c>
      <c r="BB238" s="28">
        <f t="shared" si="129"/>
        <v>1.01</v>
      </c>
      <c r="BC238" s="28">
        <f t="shared" si="113"/>
        <v>1.13</v>
      </c>
      <c r="BD238" s="28">
        <f t="shared" si="117"/>
        <v>1.71</v>
      </c>
      <c r="BE238" s="28">
        <f t="shared" si="110"/>
        <v>1.85</v>
      </c>
      <c r="BF238" s="28">
        <f t="shared" si="124"/>
        <v>3.483</v>
      </c>
      <c r="BG238" s="28">
        <f t="shared" si="107"/>
        <v>3.85</v>
      </c>
      <c r="BH238" s="28">
        <f t="shared" si="104"/>
        <v>3.86</v>
      </c>
      <c r="BI238" s="28">
        <f t="shared" si="104"/>
        <v>3.84</v>
      </c>
      <c r="CC238" s="25"/>
      <c r="CD238" s="29"/>
      <c r="CE238" s="29"/>
      <c r="DP238" s="35">
        <v>43811</v>
      </c>
      <c r="DQ238" s="26">
        <v>2.85</v>
      </c>
      <c r="DR238" s="26">
        <v>2.75</v>
      </c>
      <c r="DS238" s="26">
        <v>2.809</v>
      </c>
      <c r="DU238" s="35">
        <v>43811</v>
      </c>
      <c r="DV238" s="26">
        <v>5.8</v>
      </c>
      <c r="DW238" s="26">
        <v>5.65</v>
      </c>
      <c r="DX238" s="26">
        <v>5.748</v>
      </c>
      <c r="DZ238" s="35">
        <v>43811</v>
      </c>
      <c r="EA238" s="26">
        <v>12.2</v>
      </c>
      <c r="EB238" s="26">
        <v>12.1</v>
      </c>
      <c r="EC238" s="26">
        <v>12.15</v>
      </c>
    </row>
    <row r="239" ht="16.8" spans="3:133">
      <c r="C239" s="5" t="str" cm="1">
        <f t="array" ref="C239">_xlfn.IFS(MONTH(D239)&lt;4,1,MONTH(D239)&lt;7,2,MONTH(D239)&lt;10,3,MONTH(D239)&gt;9,4)&amp;"Q"&amp;RIGHT(YEAR(D239),2)</f>
        <v>1Q23</v>
      </c>
      <c r="D239" s="2">
        <f t="shared" si="114"/>
        <v>45016</v>
      </c>
      <c r="E239" s="25">
        <f t="shared" si="128"/>
        <v>44998</v>
      </c>
      <c r="F239" s="26">
        <v>0.96</v>
      </c>
      <c r="G239" s="26">
        <v>1.62</v>
      </c>
      <c r="H239" s="26">
        <v>3.217</v>
      </c>
      <c r="I239" s="28">
        <f t="shared" si="115"/>
        <v>0.03</v>
      </c>
      <c r="J239" s="28">
        <f t="shared" si="111"/>
        <v>0.0253125</v>
      </c>
      <c r="K239" s="28">
        <f t="shared" si="112"/>
        <v>0.0251328125</v>
      </c>
      <c r="M239" s="36">
        <f t="shared" si="118"/>
        <v>-0.0495049504950495</v>
      </c>
      <c r="N239" s="36">
        <f t="shared" si="119"/>
        <v>-0.0588235294117647</v>
      </c>
      <c r="O239" s="36">
        <f t="shared" si="120"/>
        <v>-0.0588235294117647</v>
      </c>
      <c r="P239" s="36">
        <f t="shared" si="121"/>
        <v>-0.0526315789473684</v>
      </c>
      <c r="Q239" s="36">
        <f t="shared" si="122"/>
        <v>-0.0689655172413792</v>
      </c>
      <c r="R239" s="36">
        <f t="shared" si="123"/>
        <v>-0.0742857142857142</v>
      </c>
      <c r="S239" s="36">
        <f t="shared" si="125"/>
        <v>-0.0763709445879989</v>
      </c>
      <c r="T239" s="36">
        <f t="shared" si="126"/>
        <v>-0.0917560700169395</v>
      </c>
      <c r="U239" s="36">
        <f t="shared" si="127"/>
        <v>-0.097109177659276</v>
      </c>
      <c r="BA239" s="25">
        <f t="shared" si="129"/>
        <v>44998</v>
      </c>
      <c r="BB239" s="28">
        <f t="shared" si="129"/>
        <v>0.96</v>
      </c>
      <c r="BC239" s="28">
        <f t="shared" si="113"/>
        <v>1.13</v>
      </c>
      <c r="BD239" s="28">
        <f t="shared" si="117"/>
        <v>1.62</v>
      </c>
      <c r="BE239" s="28">
        <f t="shared" si="110"/>
        <v>1.85</v>
      </c>
      <c r="BF239" s="28">
        <f t="shared" si="124"/>
        <v>3.217</v>
      </c>
      <c r="BG239" s="28">
        <f t="shared" si="107"/>
        <v>3.85</v>
      </c>
      <c r="BH239" s="28">
        <f t="shared" si="104"/>
        <v>3.86</v>
      </c>
      <c r="BI239" s="28">
        <f t="shared" si="104"/>
        <v>3.84</v>
      </c>
      <c r="CC239" s="25"/>
      <c r="CD239" s="29"/>
      <c r="CE239" s="29"/>
      <c r="DP239" s="35">
        <v>43812</v>
      </c>
      <c r="DQ239" s="26">
        <v>3</v>
      </c>
      <c r="DR239" s="26">
        <v>2.8</v>
      </c>
      <c r="DS239" s="26">
        <v>2.863</v>
      </c>
      <c r="DU239" s="35">
        <v>43812</v>
      </c>
      <c r="DV239" s="26">
        <v>5.9</v>
      </c>
      <c r="DW239" s="26">
        <v>5.7</v>
      </c>
      <c r="DX239" s="26">
        <v>5.758</v>
      </c>
      <c r="DZ239" s="35">
        <v>43812</v>
      </c>
      <c r="EA239" s="26">
        <v>12.2</v>
      </c>
      <c r="EB239" s="26">
        <v>12.1</v>
      </c>
      <c r="EC239" s="26">
        <v>12.15</v>
      </c>
    </row>
    <row r="240" ht="16.8" spans="3:133">
      <c r="C240" s="5" t="str" cm="1">
        <f t="array" ref="C240">_xlfn.IFS(MONTH(D240)&lt;4,1,MONTH(D240)&lt;7,2,MONTH(D240)&lt;10,3,MONTH(D240)&gt;9,4)&amp;"Q"&amp;RIGHT(YEAR(D240),2)</f>
        <v>1Q23</v>
      </c>
      <c r="D240" s="2">
        <f t="shared" si="114"/>
        <v>45016</v>
      </c>
      <c r="E240" s="25">
        <f t="shared" si="128"/>
        <v>45005</v>
      </c>
      <c r="F240" s="26">
        <v>0.95</v>
      </c>
      <c r="G240" s="26">
        <v>1.57</v>
      </c>
      <c r="H240" s="26">
        <v>3.152</v>
      </c>
      <c r="I240" s="28">
        <f t="shared" si="115"/>
        <v>0.0296875</v>
      </c>
      <c r="J240" s="28">
        <f t="shared" si="111"/>
        <v>0.02453125</v>
      </c>
      <c r="K240" s="28">
        <f t="shared" si="112"/>
        <v>0.024625</v>
      </c>
      <c r="M240" s="36">
        <f t="shared" si="118"/>
        <v>-0.0104166666666666</v>
      </c>
      <c r="N240" s="36">
        <f t="shared" si="119"/>
        <v>-0.0594059405940595</v>
      </c>
      <c r="O240" s="36">
        <f t="shared" si="120"/>
        <v>-0.0686274509803922</v>
      </c>
      <c r="P240" s="36">
        <f t="shared" si="121"/>
        <v>-0.0308641975308642</v>
      </c>
      <c r="Q240" s="36">
        <f t="shared" si="122"/>
        <v>-0.0818713450292398</v>
      </c>
      <c r="R240" s="36">
        <f t="shared" si="123"/>
        <v>-0.0977011494252873</v>
      </c>
      <c r="S240" s="36">
        <f t="shared" si="125"/>
        <v>-0.0202051600870375</v>
      </c>
      <c r="T240" s="36">
        <f t="shared" si="126"/>
        <v>-0.0950330175136377</v>
      </c>
      <c r="U240" s="36">
        <f t="shared" si="127"/>
        <v>-0.110107284020327</v>
      </c>
      <c r="BA240" s="25">
        <f t="shared" si="129"/>
        <v>45005</v>
      </c>
      <c r="BB240" s="28">
        <f t="shared" si="129"/>
        <v>0.95</v>
      </c>
      <c r="BC240" s="28">
        <f t="shared" si="113"/>
        <v>1.13</v>
      </c>
      <c r="BD240" s="28">
        <f t="shared" si="117"/>
        <v>1.57</v>
      </c>
      <c r="BE240" s="28">
        <f t="shared" si="110"/>
        <v>1.85</v>
      </c>
      <c r="BF240" s="28">
        <f t="shared" si="124"/>
        <v>3.152</v>
      </c>
      <c r="BG240" s="28">
        <f t="shared" si="107"/>
        <v>3.85</v>
      </c>
      <c r="BH240" s="28">
        <f t="shared" si="104"/>
        <v>3.86</v>
      </c>
      <c r="BI240" s="28">
        <f t="shared" si="104"/>
        <v>3.84</v>
      </c>
      <c r="CC240" s="25"/>
      <c r="CD240" s="29"/>
      <c r="CE240" s="29"/>
      <c r="DP240" s="35">
        <v>43815</v>
      </c>
      <c r="DQ240" s="26">
        <v>3</v>
      </c>
      <c r="DR240" s="26">
        <v>2.8</v>
      </c>
      <c r="DS240" s="26">
        <v>2.863</v>
      </c>
      <c r="DU240" s="35">
        <v>43815</v>
      </c>
      <c r="DV240" s="26">
        <v>5.9</v>
      </c>
      <c r="DW240" s="26">
        <v>5.7</v>
      </c>
      <c r="DX240" s="26">
        <v>5.758</v>
      </c>
      <c r="DZ240" s="35">
        <v>43815</v>
      </c>
      <c r="EA240" s="26">
        <v>12.2</v>
      </c>
      <c r="EB240" s="26">
        <v>12.1</v>
      </c>
      <c r="EC240" s="26">
        <v>12.15</v>
      </c>
    </row>
    <row r="241" ht="16.8" spans="3:133">
      <c r="C241" s="5" t="str" cm="1">
        <f t="array" ref="C241">_xlfn.IFS(MONTH(D241)&lt;4,1,MONTH(D241)&lt;7,2,MONTH(D241)&lt;10,3,MONTH(D241)&gt;9,4)&amp;"Q"&amp;RIGHT(YEAR(D241),2)</f>
        <v>1Q23</v>
      </c>
      <c r="D241" s="2">
        <f t="shared" si="114"/>
        <v>45016</v>
      </c>
      <c r="E241" s="25">
        <f t="shared" si="128"/>
        <v>45012</v>
      </c>
      <c r="F241" s="26">
        <v>0.94</v>
      </c>
      <c r="G241" s="26">
        <v>1.53</v>
      </c>
      <c r="H241" s="26">
        <v>3.069</v>
      </c>
      <c r="I241" s="28">
        <f t="shared" si="115"/>
        <v>0.029375</v>
      </c>
      <c r="J241" s="28">
        <f t="shared" si="111"/>
        <v>0.02390625</v>
      </c>
      <c r="K241" s="28">
        <f t="shared" si="112"/>
        <v>0.0239765625</v>
      </c>
      <c r="M241" s="36">
        <f t="shared" si="118"/>
        <v>-0.0105263157894737</v>
      </c>
      <c r="N241" s="36">
        <f t="shared" si="119"/>
        <v>-0.0208333333333334</v>
      </c>
      <c r="O241" s="36">
        <f t="shared" si="120"/>
        <v>-0.0693069306930694</v>
      </c>
      <c r="P241" s="36">
        <f t="shared" si="121"/>
        <v>-0.0254777070063694</v>
      </c>
      <c r="Q241" s="36">
        <f t="shared" si="122"/>
        <v>-0.0555555555555556</v>
      </c>
      <c r="R241" s="36">
        <f t="shared" si="123"/>
        <v>-0.105263157894737</v>
      </c>
      <c r="S241" s="36">
        <f t="shared" si="125"/>
        <v>-0.0263324873096448</v>
      </c>
      <c r="T241" s="36">
        <f t="shared" si="126"/>
        <v>-0.0460055952751011</v>
      </c>
      <c r="U241" s="36">
        <f t="shared" si="127"/>
        <v>-0.118863049095607</v>
      </c>
      <c r="BA241" s="25">
        <f t="shared" si="129"/>
        <v>45012</v>
      </c>
      <c r="BB241" s="28">
        <f t="shared" si="129"/>
        <v>0.94</v>
      </c>
      <c r="BC241" s="28">
        <f t="shared" si="113"/>
        <v>1.13</v>
      </c>
      <c r="BD241" s="28">
        <f t="shared" si="117"/>
        <v>1.53</v>
      </c>
      <c r="BE241" s="28">
        <f t="shared" si="110"/>
        <v>1.85</v>
      </c>
      <c r="BF241" s="28">
        <f t="shared" si="124"/>
        <v>3.069</v>
      </c>
      <c r="BG241" s="28">
        <f t="shared" si="107"/>
        <v>3.85</v>
      </c>
      <c r="BH241" s="28">
        <f t="shared" si="104"/>
        <v>3.86</v>
      </c>
      <c r="BI241" s="28">
        <f t="shared" si="104"/>
        <v>3.84</v>
      </c>
      <c r="CC241" s="25"/>
      <c r="CD241" s="29"/>
      <c r="CE241" s="29"/>
      <c r="DP241" s="35">
        <v>43816</v>
      </c>
      <c r="DQ241" s="26">
        <v>3</v>
      </c>
      <c r="DR241" s="26">
        <v>2.8</v>
      </c>
      <c r="DS241" s="26">
        <v>2.863</v>
      </c>
      <c r="DU241" s="35">
        <v>43816</v>
      </c>
      <c r="DV241" s="26">
        <v>5.9</v>
      </c>
      <c r="DW241" s="26">
        <v>5.7</v>
      </c>
      <c r="DX241" s="26">
        <v>5.758</v>
      </c>
      <c r="DZ241" s="35">
        <v>43816</v>
      </c>
      <c r="EA241" s="26">
        <v>12.2</v>
      </c>
      <c r="EB241" s="26">
        <v>12.1</v>
      </c>
      <c r="EC241" s="26">
        <v>12.15</v>
      </c>
    </row>
    <row r="242" ht="16.8" spans="3:133">
      <c r="C242" s="5" t="str" cm="1">
        <f t="array" ref="C242">_xlfn.IFS(MONTH(D242)&lt;4,1,MONTH(D242)&lt;7,2,MONTH(D242)&lt;10,3,MONTH(D242)&gt;9,4)&amp;"Q"&amp;RIGHT(YEAR(D242),2)</f>
        <v>2Q23</v>
      </c>
      <c r="D242" s="2">
        <f t="shared" si="114"/>
        <v>45046</v>
      </c>
      <c r="E242" s="25">
        <f t="shared" si="128"/>
        <v>45019</v>
      </c>
      <c r="F242" s="26">
        <v>0.93</v>
      </c>
      <c r="G242" s="26">
        <v>1.47</v>
      </c>
      <c r="H242" s="26">
        <v>3.048</v>
      </c>
      <c r="I242" s="28">
        <f t="shared" si="115"/>
        <v>0.0290625</v>
      </c>
      <c r="J242" s="28">
        <f t="shared" si="111"/>
        <v>0.02296875</v>
      </c>
      <c r="K242" s="28">
        <f t="shared" si="112"/>
        <v>0.0238125</v>
      </c>
      <c r="M242" s="36">
        <f t="shared" si="118"/>
        <v>-0.0106382978723403</v>
      </c>
      <c r="N242" s="36">
        <f t="shared" si="119"/>
        <v>-0.0210526315789473</v>
      </c>
      <c r="O242" s="36">
        <f t="shared" si="120"/>
        <v>-0.0312499999999999</v>
      </c>
      <c r="P242" s="36">
        <f t="shared" si="121"/>
        <v>-0.0392156862745099</v>
      </c>
      <c r="Q242" s="36">
        <f t="shared" si="122"/>
        <v>-0.0636942675159237</v>
      </c>
      <c r="R242" s="36">
        <f t="shared" si="123"/>
        <v>-0.0925925925925927</v>
      </c>
      <c r="S242" s="36">
        <f t="shared" si="125"/>
        <v>-0.00684261974584555</v>
      </c>
      <c r="T242" s="36">
        <f t="shared" si="126"/>
        <v>-0.0329949238578681</v>
      </c>
      <c r="U242" s="36">
        <f t="shared" si="127"/>
        <v>-0.0525334162262978</v>
      </c>
      <c r="BA242" s="25">
        <f t="shared" si="129"/>
        <v>45019</v>
      </c>
      <c r="BB242" s="28">
        <f t="shared" si="129"/>
        <v>0.93</v>
      </c>
      <c r="BC242" s="28">
        <f t="shared" si="113"/>
        <v>1.07</v>
      </c>
      <c r="BD242" s="28">
        <f t="shared" si="117"/>
        <v>1.47</v>
      </c>
      <c r="BE242" s="28">
        <f t="shared" si="110"/>
        <v>1.74</v>
      </c>
      <c r="BF242" s="28">
        <f t="shared" si="124"/>
        <v>3.048</v>
      </c>
      <c r="BG242" s="28">
        <f t="shared" si="107"/>
        <v>3.61</v>
      </c>
      <c r="BH242" s="28">
        <f t="shared" si="104"/>
        <v>3.62</v>
      </c>
      <c r="BI242" s="28">
        <f t="shared" si="104"/>
        <v>3.6</v>
      </c>
      <c r="CC242" s="25"/>
      <c r="CD242" s="29"/>
      <c r="CE242" s="29"/>
      <c r="DP242" s="35">
        <v>43817</v>
      </c>
      <c r="DQ242" s="26">
        <v>3</v>
      </c>
      <c r="DR242" s="26">
        <v>2.8</v>
      </c>
      <c r="DS242" s="26">
        <v>2.894</v>
      </c>
      <c r="DU242" s="35">
        <v>43817</v>
      </c>
      <c r="DV242" s="26">
        <v>5.9</v>
      </c>
      <c r="DW242" s="26">
        <v>5.7</v>
      </c>
      <c r="DX242" s="26">
        <v>5.758</v>
      </c>
      <c r="DZ242" s="35">
        <v>43817</v>
      </c>
      <c r="EA242" s="26">
        <v>12.2</v>
      </c>
      <c r="EB242" s="26">
        <v>12.1</v>
      </c>
      <c r="EC242" s="26">
        <v>12.15</v>
      </c>
    </row>
    <row r="243" ht="16.8" spans="3:133">
      <c r="C243" s="5" t="str" cm="1">
        <f t="array" ref="C243">_xlfn.IFS(MONTH(D243)&lt;4,1,MONTH(D243)&lt;7,2,MONTH(D243)&lt;10,3,MONTH(D243)&gt;9,4)&amp;"Q"&amp;RIGHT(YEAR(D243),2)</f>
        <v>2Q23</v>
      </c>
      <c r="D243" s="2">
        <f t="shared" si="114"/>
        <v>45046</v>
      </c>
      <c r="E243" s="25">
        <f t="shared" si="128"/>
        <v>45026</v>
      </c>
      <c r="F243" s="26">
        <v>0.93</v>
      </c>
      <c r="G243" s="26">
        <v>1.46</v>
      </c>
      <c r="H243" s="26">
        <v>3.038</v>
      </c>
      <c r="I243" s="28">
        <f t="shared" si="115"/>
        <v>0.0290625</v>
      </c>
      <c r="J243" s="28">
        <f t="shared" si="111"/>
        <v>0.0228125</v>
      </c>
      <c r="K243" s="28">
        <f t="shared" si="112"/>
        <v>0.023734375</v>
      </c>
      <c r="M243" s="36">
        <f t="shared" si="118"/>
        <v>0</v>
      </c>
      <c r="N243" s="36">
        <f t="shared" si="119"/>
        <v>-0.0106382978723403</v>
      </c>
      <c r="O243" s="36">
        <f t="shared" si="120"/>
        <v>-0.0210526315789473</v>
      </c>
      <c r="P243" s="36">
        <f t="shared" si="121"/>
        <v>-0.00680272108843538</v>
      </c>
      <c r="Q243" s="36">
        <f t="shared" si="122"/>
        <v>-0.0457516339869282</v>
      </c>
      <c r="R243" s="36">
        <f t="shared" si="123"/>
        <v>-0.070063694267516</v>
      </c>
      <c r="S243" s="36">
        <f t="shared" si="125"/>
        <v>-0.00328083989501315</v>
      </c>
      <c r="T243" s="36">
        <f t="shared" si="126"/>
        <v>-0.0101010101010102</v>
      </c>
      <c r="U243" s="36">
        <f t="shared" si="127"/>
        <v>-0.0361675126903555</v>
      </c>
      <c r="BA243" s="25">
        <f t="shared" si="129"/>
        <v>45026</v>
      </c>
      <c r="BB243" s="28">
        <f t="shared" si="129"/>
        <v>0.93</v>
      </c>
      <c r="BC243" s="28">
        <f t="shared" si="113"/>
        <v>1.07</v>
      </c>
      <c r="BD243" s="28">
        <f t="shared" si="117"/>
        <v>1.46</v>
      </c>
      <c r="BE243" s="28">
        <f t="shared" si="110"/>
        <v>1.74</v>
      </c>
      <c r="BF243" s="28">
        <f t="shared" si="124"/>
        <v>3.038</v>
      </c>
      <c r="BG243" s="28">
        <f t="shared" si="107"/>
        <v>3.61</v>
      </c>
      <c r="BH243" s="28">
        <f t="shared" si="104"/>
        <v>3.62</v>
      </c>
      <c r="BI243" s="28">
        <f t="shared" si="104"/>
        <v>3.6</v>
      </c>
      <c r="CC243" s="25"/>
      <c r="CD243" s="29"/>
      <c r="CE243" s="29"/>
      <c r="DP243" s="35">
        <v>43818</v>
      </c>
      <c r="DQ243" s="26">
        <v>3</v>
      </c>
      <c r="DR243" s="26">
        <v>2.85</v>
      </c>
      <c r="DS243" s="26">
        <v>2.911</v>
      </c>
      <c r="DU243" s="35">
        <v>43818</v>
      </c>
      <c r="DV243" s="26">
        <v>5.9</v>
      </c>
      <c r="DW243" s="26">
        <v>5.7</v>
      </c>
      <c r="DX243" s="26">
        <v>5.774</v>
      </c>
      <c r="DZ243" s="35">
        <v>43818</v>
      </c>
      <c r="EA243" s="26">
        <v>12.2</v>
      </c>
      <c r="EB243" s="26">
        <v>12.1</v>
      </c>
      <c r="EC243" s="26">
        <v>12.15</v>
      </c>
    </row>
    <row r="244" ht="16.8" spans="3:133">
      <c r="C244" s="5" t="str" cm="1">
        <f t="array" ref="C244">_xlfn.IFS(MONTH(D244)&lt;4,1,MONTH(D244)&lt;7,2,MONTH(D244)&lt;10,3,MONTH(D244)&gt;9,4)&amp;"Q"&amp;RIGHT(YEAR(D244),2)</f>
        <v>2Q23</v>
      </c>
      <c r="D244" s="2">
        <f t="shared" si="114"/>
        <v>45046</v>
      </c>
      <c r="E244" s="25">
        <f t="shared" si="128"/>
        <v>45033</v>
      </c>
      <c r="F244" s="26">
        <v>0.93</v>
      </c>
      <c r="G244" s="26">
        <v>1.45</v>
      </c>
      <c r="H244" s="26">
        <v>3.008</v>
      </c>
      <c r="I244" s="28">
        <f t="shared" si="115"/>
        <v>0.0290625</v>
      </c>
      <c r="J244" s="28">
        <f t="shared" si="111"/>
        <v>0.02265625</v>
      </c>
      <c r="K244" s="28">
        <f t="shared" si="112"/>
        <v>0.0235</v>
      </c>
      <c r="M244" s="36">
        <f t="shared" si="118"/>
        <v>0</v>
      </c>
      <c r="N244" s="36">
        <f t="shared" si="119"/>
        <v>0</v>
      </c>
      <c r="O244" s="36">
        <f t="shared" si="120"/>
        <v>-0.0106382978723403</v>
      </c>
      <c r="P244" s="36">
        <f t="shared" si="121"/>
        <v>-0.00684931506849318</v>
      </c>
      <c r="Q244" s="36">
        <f t="shared" si="122"/>
        <v>-0.0136054421768708</v>
      </c>
      <c r="R244" s="36">
        <f t="shared" si="123"/>
        <v>-0.0522875816993464</v>
      </c>
      <c r="S244" s="36">
        <f t="shared" si="125"/>
        <v>-0.00987491770901905</v>
      </c>
      <c r="T244" s="36">
        <f t="shared" si="126"/>
        <v>-0.0131233595800525</v>
      </c>
      <c r="U244" s="36">
        <f t="shared" si="127"/>
        <v>-0.0198761811665037</v>
      </c>
      <c r="BA244" s="25">
        <f t="shared" si="129"/>
        <v>45033</v>
      </c>
      <c r="BB244" s="28">
        <f t="shared" si="129"/>
        <v>0.93</v>
      </c>
      <c r="BC244" s="28">
        <f t="shared" si="113"/>
        <v>1.07</v>
      </c>
      <c r="BD244" s="28">
        <f t="shared" si="117"/>
        <v>1.45</v>
      </c>
      <c r="BE244" s="28">
        <f t="shared" si="110"/>
        <v>1.74</v>
      </c>
      <c r="BF244" s="28">
        <f t="shared" si="124"/>
        <v>3.008</v>
      </c>
      <c r="BG244" s="28">
        <f t="shared" si="107"/>
        <v>3.61</v>
      </c>
      <c r="BH244" s="28">
        <f t="shared" si="104"/>
        <v>3.62</v>
      </c>
      <c r="BI244" s="28">
        <f t="shared" si="104"/>
        <v>3.6</v>
      </c>
      <c r="CC244" s="25"/>
      <c r="CD244" s="29"/>
      <c r="CE244" s="29"/>
      <c r="DP244" s="35">
        <v>43819</v>
      </c>
      <c r="DQ244" s="26">
        <v>3.05</v>
      </c>
      <c r="DR244" s="26">
        <v>2.85</v>
      </c>
      <c r="DS244" s="26">
        <v>2.933</v>
      </c>
      <c r="DU244" s="35">
        <v>43819</v>
      </c>
      <c r="DV244" s="26">
        <v>6</v>
      </c>
      <c r="DW244" s="26">
        <v>5.7</v>
      </c>
      <c r="DX244" s="26">
        <v>5.821</v>
      </c>
      <c r="DZ244" s="35">
        <v>43819</v>
      </c>
      <c r="EA244" s="26">
        <v>12.25</v>
      </c>
      <c r="EB244" s="26">
        <v>12.15</v>
      </c>
      <c r="EC244" s="26">
        <v>12.2</v>
      </c>
    </row>
    <row r="245" ht="16.8" spans="3:133">
      <c r="C245" s="5" t="str" cm="1">
        <f t="array" ref="C245">_xlfn.IFS(MONTH(D245)&lt;4,1,MONTH(D245)&lt;7,2,MONTH(D245)&lt;10,3,MONTH(D245)&gt;9,4)&amp;"Q"&amp;RIGHT(YEAR(D245),2)</f>
        <v>2Q23</v>
      </c>
      <c r="D245" s="2">
        <f t="shared" si="114"/>
        <v>45046</v>
      </c>
      <c r="E245" s="25">
        <f t="shared" si="128"/>
        <v>45040</v>
      </c>
      <c r="F245" s="26">
        <v>0.93</v>
      </c>
      <c r="G245" s="26">
        <v>1.45</v>
      </c>
      <c r="H245" s="26">
        <v>2.958</v>
      </c>
      <c r="I245" s="28">
        <f t="shared" si="115"/>
        <v>0.0290625</v>
      </c>
      <c r="J245" s="28">
        <f t="shared" si="111"/>
        <v>0.02265625</v>
      </c>
      <c r="K245" s="28">
        <f t="shared" si="112"/>
        <v>0.023109375</v>
      </c>
      <c r="M245" s="36">
        <f t="shared" si="118"/>
        <v>0</v>
      </c>
      <c r="N245" s="36">
        <f t="shared" si="119"/>
        <v>0</v>
      </c>
      <c r="O245" s="36">
        <f t="shared" si="120"/>
        <v>0</v>
      </c>
      <c r="P245" s="36">
        <f t="shared" si="121"/>
        <v>0</v>
      </c>
      <c r="Q245" s="36">
        <f t="shared" si="122"/>
        <v>-0.00684931506849318</v>
      </c>
      <c r="R245" s="36">
        <f t="shared" si="123"/>
        <v>-0.0136054421768708</v>
      </c>
      <c r="S245" s="36">
        <f t="shared" si="125"/>
        <v>-0.0166223404255319</v>
      </c>
      <c r="T245" s="36">
        <f t="shared" si="126"/>
        <v>-0.0263331138907175</v>
      </c>
      <c r="U245" s="36">
        <f t="shared" si="127"/>
        <v>-0.0295275590551181</v>
      </c>
      <c r="BA245" s="25">
        <f t="shared" si="129"/>
        <v>45040</v>
      </c>
      <c r="BB245" s="28">
        <f t="shared" si="129"/>
        <v>0.93</v>
      </c>
      <c r="BC245" s="28">
        <f t="shared" si="113"/>
        <v>1.07</v>
      </c>
      <c r="BD245" s="28">
        <f t="shared" si="117"/>
        <v>1.45</v>
      </c>
      <c r="BE245" s="28">
        <f t="shared" si="110"/>
        <v>1.74</v>
      </c>
      <c r="BF245" s="28">
        <f t="shared" si="124"/>
        <v>2.958</v>
      </c>
      <c r="BG245" s="28">
        <f t="shared" si="107"/>
        <v>3.61</v>
      </c>
      <c r="BH245" s="28">
        <f t="shared" si="104"/>
        <v>3.62</v>
      </c>
      <c r="BI245" s="28">
        <f t="shared" si="104"/>
        <v>3.6</v>
      </c>
      <c r="CC245" s="25"/>
      <c r="CD245" s="29"/>
      <c r="CE245" s="29"/>
      <c r="DP245" s="35">
        <v>43822</v>
      </c>
      <c r="DQ245" s="26">
        <v>3.05</v>
      </c>
      <c r="DR245" s="26">
        <v>2.88</v>
      </c>
      <c r="DS245" s="26">
        <v>2.944</v>
      </c>
      <c r="DU245" s="35">
        <v>43822</v>
      </c>
      <c r="DV245" s="26">
        <v>6</v>
      </c>
      <c r="DW245" s="26">
        <v>5.75</v>
      </c>
      <c r="DX245" s="26">
        <v>5.847</v>
      </c>
      <c r="DZ245" s="35">
        <v>43822</v>
      </c>
      <c r="EA245" s="26">
        <v>12.25</v>
      </c>
      <c r="EB245" s="26">
        <v>12.15</v>
      </c>
      <c r="EC245" s="26">
        <v>12.2</v>
      </c>
    </row>
    <row r="246" ht="16.8" spans="3:133">
      <c r="C246" s="5" t="str" cm="1">
        <f t="array" ref="C246">_xlfn.IFS(MONTH(D246)&lt;4,1,MONTH(D246)&lt;7,2,MONTH(D246)&lt;10,3,MONTH(D246)&gt;9,4)&amp;"Q"&amp;RIGHT(YEAR(D246),2)</f>
        <v>2Q23</v>
      </c>
      <c r="D246" s="2">
        <f t="shared" si="114"/>
        <v>45077</v>
      </c>
      <c r="E246" s="25">
        <f t="shared" si="128"/>
        <v>45047</v>
      </c>
      <c r="F246" s="26">
        <v>0.93</v>
      </c>
      <c r="G246" s="26">
        <v>1.44</v>
      </c>
      <c r="H246" s="26">
        <f>H245</f>
        <v>2.958</v>
      </c>
      <c r="I246" s="28">
        <f t="shared" si="115"/>
        <v>0.0290625</v>
      </c>
      <c r="J246" s="28">
        <f t="shared" si="111"/>
        <v>0.0225</v>
      </c>
      <c r="K246" s="28">
        <f t="shared" si="112"/>
        <v>0.023109375</v>
      </c>
      <c r="M246" s="36">
        <f t="shared" si="118"/>
        <v>0</v>
      </c>
      <c r="N246" s="36">
        <f t="shared" si="119"/>
        <v>0</v>
      </c>
      <c r="O246" s="36">
        <f t="shared" si="120"/>
        <v>0</v>
      </c>
      <c r="P246" s="36">
        <f t="shared" si="121"/>
        <v>-0.00689655172413794</v>
      </c>
      <c r="Q246" s="36">
        <f t="shared" si="122"/>
        <v>-0.00689655172413794</v>
      </c>
      <c r="R246" s="36">
        <f t="shared" si="123"/>
        <v>-0.0136986301369864</v>
      </c>
      <c r="S246" s="36">
        <f t="shared" si="125"/>
        <v>0</v>
      </c>
      <c r="T246" s="36">
        <f t="shared" si="126"/>
        <v>-0.0166223404255319</v>
      </c>
      <c r="U246" s="36">
        <f t="shared" si="127"/>
        <v>-0.0263331138907175</v>
      </c>
      <c r="BA246" s="25">
        <f t="shared" si="129"/>
        <v>45047</v>
      </c>
      <c r="BB246" s="28">
        <f t="shared" si="129"/>
        <v>0.93</v>
      </c>
      <c r="BC246" s="28">
        <f t="shared" si="113"/>
        <v>1.07</v>
      </c>
      <c r="BD246" s="28">
        <f t="shared" si="117"/>
        <v>1.44</v>
      </c>
      <c r="BE246" s="28">
        <f t="shared" si="110"/>
        <v>1.74</v>
      </c>
      <c r="BF246" s="28">
        <f t="shared" si="124"/>
        <v>2.958</v>
      </c>
      <c r="BG246" s="28">
        <f t="shared" si="107"/>
        <v>3.61</v>
      </c>
      <c r="BH246" s="28">
        <f t="shared" si="104"/>
        <v>3.62</v>
      </c>
      <c r="BI246" s="28">
        <f t="shared" si="104"/>
        <v>3.6</v>
      </c>
      <c r="CC246" s="25"/>
      <c r="CD246" s="29"/>
      <c r="CE246" s="29"/>
      <c r="DP246" s="35">
        <v>43823</v>
      </c>
      <c r="DQ246" s="26">
        <v>3.05</v>
      </c>
      <c r="DR246" s="26">
        <v>2.9</v>
      </c>
      <c r="DS246" s="26">
        <v>2.972</v>
      </c>
      <c r="DU246" s="35">
        <v>43823</v>
      </c>
      <c r="DV246" s="26">
        <v>6</v>
      </c>
      <c r="DW246" s="26">
        <v>5.8</v>
      </c>
      <c r="DX246" s="26">
        <v>5.874</v>
      </c>
      <c r="DZ246" s="35">
        <v>43823</v>
      </c>
      <c r="EA246" s="26">
        <v>12.25</v>
      </c>
      <c r="EB246" s="26">
        <v>12.15</v>
      </c>
      <c r="EC246" s="26">
        <v>12.2</v>
      </c>
    </row>
    <row r="247" ht="16.8" spans="3:133">
      <c r="C247" s="5" t="str" cm="1">
        <f t="array" ref="C247">_xlfn.IFS(MONTH(D247)&lt;4,1,MONTH(D247)&lt;7,2,MONTH(D247)&lt;10,3,MONTH(D247)&gt;9,4)&amp;"Q"&amp;RIGHT(YEAR(D247),2)</f>
        <v>2Q23</v>
      </c>
      <c r="D247" s="2">
        <f t="shared" si="114"/>
        <v>45077</v>
      </c>
      <c r="E247" s="25">
        <f t="shared" si="128"/>
        <v>45054</v>
      </c>
      <c r="F247" s="26">
        <v>0.93</v>
      </c>
      <c r="G247" s="26">
        <v>1.43</v>
      </c>
      <c r="H247" s="26">
        <v>2.9</v>
      </c>
      <c r="I247" s="28">
        <f t="shared" si="115"/>
        <v>0.0290625</v>
      </c>
      <c r="J247" s="28">
        <f t="shared" si="111"/>
        <v>0.02234375</v>
      </c>
      <c r="K247" s="28">
        <f t="shared" si="112"/>
        <v>0.02265625</v>
      </c>
      <c r="M247" s="36">
        <f t="shared" si="118"/>
        <v>0</v>
      </c>
      <c r="N247" s="36">
        <f t="shared" si="119"/>
        <v>0</v>
      </c>
      <c r="O247" s="36">
        <f t="shared" si="120"/>
        <v>0</v>
      </c>
      <c r="P247" s="36">
        <f t="shared" si="121"/>
        <v>-0.00694444444444442</v>
      </c>
      <c r="Q247" s="36">
        <f t="shared" si="122"/>
        <v>-0.0137931034482759</v>
      </c>
      <c r="R247" s="36">
        <f t="shared" si="123"/>
        <v>-0.0137931034482759</v>
      </c>
      <c r="S247" s="36">
        <f t="shared" si="125"/>
        <v>-0.0196078431372549</v>
      </c>
      <c r="T247" s="36">
        <f t="shared" si="126"/>
        <v>-0.0196078431372549</v>
      </c>
      <c r="U247" s="36">
        <f t="shared" si="127"/>
        <v>-0.035904255319149</v>
      </c>
      <c r="BA247" s="25">
        <f t="shared" si="129"/>
        <v>45054</v>
      </c>
      <c r="BB247" s="28">
        <f t="shared" si="129"/>
        <v>0.93</v>
      </c>
      <c r="BC247" s="28">
        <f t="shared" si="113"/>
        <v>1.07</v>
      </c>
      <c r="BD247" s="28">
        <f t="shared" si="117"/>
        <v>1.43</v>
      </c>
      <c r="BE247" s="28">
        <f t="shared" si="110"/>
        <v>1.74</v>
      </c>
      <c r="BF247" s="28">
        <f t="shared" si="124"/>
        <v>2.9</v>
      </c>
      <c r="BG247" s="28">
        <f t="shared" si="107"/>
        <v>3.61</v>
      </c>
      <c r="BH247" s="28">
        <f t="shared" ref="BH247:BI310" si="130">INDEX($AM:$AQ,MATCH($D247,$AK:$AK,0),MATCH(BH$25,$AM$26:$AQ$26,0))</f>
        <v>3.62</v>
      </c>
      <c r="BI247" s="28">
        <f t="shared" si="130"/>
        <v>3.6</v>
      </c>
      <c r="CC247" s="25"/>
      <c r="CD247" s="29"/>
      <c r="CE247" s="29"/>
      <c r="DP247" s="35">
        <v>43824</v>
      </c>
      <c r="DQ247" s="26">
        <v>3.05</v>
      </c>
      <c r="DR247" s="26">
        <v>2.9</v>
      </c>
      <c r="DS247" s="26">
        <v>2.978</v>
      </c>
      <c r="DU247" s="35">
        <v>43824</v>
      </c>
      <c r="DV247" s="26">
        <v>6</v>
      </c>
      <c r="DW247" s="26">
        <v>5.8</v>
      </c>
      <c r="DX247" s="26">
        <v>5.874</v>
      </c>
      <c r="DZ247" s="35">
        <v>43824</v>
      </c>
      <c r="EA247" s="26">
        <v>12.25</v>
      </c>
      <c r="EB247" s="26">
        <v>12.15</v>
      </c>
      <c r="EC247" s="26">
        <v>12.2</v>
      </c>
    </row>
    <row r="248" ht="16.8" spans="3:133">
      <c r="C248" s="5" t="str" cm="1">
        <f t="array" ref="C248">_xlfn.IFS(MONTH(D248)&lt;4,1,MONTH(D248)&lt;7,2,MONTH(D248)&lt;10,3,MONTH(D248)&gt;9,4)&amp;"Q"&amp;RIGHT(YEAR(D248),2)</f>
        <v>2Q23</v>
      </c>
      <c r="D248" s="2">
        <f t="shared" si="114"/>
        <v>45077</v>
      </c>
      <c r="E248" s="25">
        <f t="shared" si="128"/>
        <v>45061</v>
      </c>
      <c r="F248" s="26">
        <v>0.93</v>
      </c>
      <c r="G248" s="26">
        <v>1.43</v>
      </c>
      <c r="H248" s="26">
        <v>2.898</v>
      </c>
      <c r="I248" s="28">
        <f t="shared" si="115"/>
        <v>0.0290625</v>
      </c>
      <c r="J248" s="28">
        <f t="shared" si="111"/>
        <v>0.02234375</v>
      </c>
      <c r="K248" s="28">
        <f t="shared" si="112"/>
        <v>0.022640625</v>
      </c>
      <c r="M248" s="36">
        <f t="shared" si="118"/>
        <v>0</v>
      </c>
      <c r="N248" s="36">
        <f t="shared" si="119"/>
        <v>0</v>
      </c>
      <c r="O248" s="36">
        <f t="shared" si="120"/>
        <v>0</v>
      </c>
      <c r="P248" s="36">
        <f t="shared" si="121"/>
        <v>0</v>
      </c>
      <c r="Q248" s="36">
        <f t="shared" si="122"/>
        <v>-0.00694444444444442</v>
      </c>
      <c r="R248" s="36">
        <f t="shared" si="123"/>
        <v>-0.0137931034482759</v>
      </c>
      <c r="S248" s="36">
        <f t="shared" si="125"/>
        <v>-0.000689655172413706</v>
      </c>
      <c r="T248" s="36">
        <f t="shared" si="126"/>
        <v>-0.0202839756592292</v>
      </c>
      <c r="U248" s="36">
        <f t="shared" si="127"/>
        <v>-0.0202839756592292</v>
      </c>
      <c r="BA248" s="25">
        <f t="shared" si="129"/>
        <v>45061</v>
      </c>
      <c r="BB248" s="28">
        <f t="shared" si="129"/>
        <v>0.93</v>
      </c>
      <c r="BC248" s="28">
        <f t="shared" si="113"/>
        <v>1.07</v>
      </c>
      <c r="BD248" s="28">
        <f t="shared" si="117"/>
        <v>1.43</v>
      </c>
      <c r="BE248" s="28">
        <f t="shared" si="110"/>
        <v>1.74</v>
      </c>
      <c r="BF248" s="28">
        <f t="shared" si="124"/>
        <v>2.898</v>
      </c>
      <c r="BG248" s="28">
        <f t="shared" si="107"/>
        <v>3.61</v>
      </c>
      <c r="BH248" s="28">
        <f t="shared" si="130"/>
        <v>3.62</v>
      </c>
      <c r="BI248" s="28">
        <f t="shared" si="130"/>
        <v>3.6</v>
      </c>
      <c r="CC248" s="25"/>
      <c r="CD248" s="29"/>
      <c r="CE248" s="29"/>
      <c r="DP248" s="35">
        <v>43825</v>
      </c>
      <c r="DQ248" s="26">
        <v>3.05</v>
      </c>
      <c r="DR248" s="26">
        <v>2.95</v>
      </c>
      <c r="DS248" s="26">
        <v>3.002</v>
      </c>
      <c r="DU248" s="35">
        <v>43825</v>
      </c>
      <c r="DV248" s="26">
        <v>6</v>
      </c>
      <c r="DW248" s="26">
        <v>5.85</v>
      </c>
      <c r="DX248" s="26">
        <v>5.924</v>
      </c>
      <c r="DZ248" s="35">
        <v>43825</v>
      </c>
      <c r="EA248" s="26">
        <v>12.25</v>
      </c>
      <c r="EB248" s="26">
        <v>12.15</v>
      </c>
      <c r="EC248" s="26">
        <v>12.2</v>
      </c>
    </row>
    <row r="249" ht="16.8" spans="3:133">
      <c r="C249" s="5" t="str" cm="1">
        <f t="array" ref="C249">_xlfn.IFS(MONTH(D249)&lt;4,1,MONTH(D249)&lt;7,2,MONTH(D249)&lt;10,3,MONTH(D249)&gt;9,4)&amp;"Q"&amp;RIGHT(YEAR(D249),2)</f>
        <v>2Q23</v>
      </c>
      <c r="D249" s="2">
        <f t="shared" si="114"/>
        <v>45077</v>
      </c>
      <c r="E249" s="25">
        <f t="shared" si="128"/>
        <v>45068</v>
      </c>
      <c r="F249" s="26">
        <v>0.93</v>
      </c>
      <c r="G249" s="26">
        <v>1.43</v>
      </c>
      <c r="H249" s="26">
        <v>2.892</v>
      </c>
      <c r="I249" s="28">
        <f t="shared" si="115"/>
        <v>0.0290625</v>
      </c>
      <c r="J249" s="28">
        <f t="shared" si="111"/>
        <v>0.02234375</v>
      </c>
      <c r="K249" s="28">
        <f t="shared" si="112"/>
        <v>0.02259375</v>
      </c>
      <c r="M249" s="36">
        <f t="shared" si="118"/>
        <v>0</v>
      </c>
      <c r="N249" s="36">
        <f t="shared" si="119"/>
        <v>0</v>
      </c>
      <c r="O249" s="36">
        <f t="shared" si="120"/>
        <v>0</v>
      </c>
      <c r="P249" s="36">
        <f t="shared" si="121"/>
        <v>0</v>
      </c>
      <c r="Q249" s="36">
        <f t="shared" si="122"/>
        <v>0</v>
      </c>
      <c r="R249" s="36">
        <f t="shared" si="123"/>
        <v>-0.00694444444444442</v>
      </c>
      <c r="S249" s="36">
        <f t="shared" si="125"/>
        <v>-0.00207039337474124</v>
      </c>
      <c r="T249" s="36">
        <f t="shared" si="126"/>
        <v>-0.00275862068965516</v>
      </c>
      <c r="U249" s="36">
        <f t="shared" si="127"/>
        <v>-0.0223123732251522</v>
      </c>
      <c r="BA249" s="25">
        <f t="shared" si="129"/>
        <v>45068</v>
      </c>
      <c r="BB249" s="28">
        <f t="shared" si="129"/>
        <v>0.93</v>
      </c>
      <c r="BC249" s="28">
        <f t="shared" si="113"/>
        <v>1.07</v>
      </c>
      <c r="BD249" s="28">
        <f t="shared" si="117"/>
        <v>1.43</v>
      </c>
      <c r="BE249" s="28">
        <f t="shared" si="110"/>
        <v>1.74</v>
      </c>
      <c r="BF249" s="28">
        <f t="shared" si="124"/>
        <v>2.892</v>
      </c>
      <c r="BG249" s="28">
        <f t="shared" si="107"/>
        <v>3.61</v>
      </c>
      <c r="BH249" s="28">
        <f t="shared" si="130"/>
        <v>3.62</v>
      </c>
      <c r="BI249" s="28">
        <f t="shared" si="130"/>
        <v>3.6</v>
      </c>
      <c r="CC249" s="25"/>
      <c r="CD249" s="29"/>
      <c r="CE249" s="29"/>
      <c r="DP249" s="35">
        <v>43826</v>
      </c>
      <c r="DQ249" s="26">
        <v>3.1</v>
      </c>
      <c r="DR249" s="26">
        <v>2.95</v>
      </c>
      <c r="DS249" s="26">
        <v>3.011</v>
      </c>
      <c r="DU249" s="35">
        <v>43826</v>
      </c>
      <c r="DV249" s="26">
        <v>6</v>
      </c>
      <c r="DW249" s="26">
        <v>5.9</v>
      </c>
      <c r="DX249" s="26">
        <v>5.948</v>
      </c>
      <c r="DZ249" s="35">
        <v>43826</v>
      </c>
      <c r="EA249" s="26">
        <v>12.25</v>
      </c>
      <c r="EB249" s="26">
        <v>12.15</v>
      </c>
      <c r="EC249" s="26">
        <v>12.2</v>
      </c>
    </row>
    <row r="250" ht="16.8" spans="3:133">
      <c r="C250" s="5" t="str" cm="1">
        <f t="array" ref="C250">_xlfn.IFS(MONTH(D250)&lt;4,1,MONTH(D250)&lt;7,2,MONTH(D250)&lt;10,3,MONTH(D250)&gt;9,4)&amp;"Q"&amp;RIGHT(YEAR(D250),2)</f>
        <v>2Q23</v>
      </c>
      <c r="D250" s="2">
        <f t="shared" si="114"/>
        <v>45077</v>
      </c>
      <c r="E250" s="25">
        <f t="shared" si="128"/>
        <v>45075</v>
      </c>
      <c r="F250" s="26">
        <v>0.93</v>
      </c>
      <c r="G250" s="26">
        <v>1.42</v>
      </c>
      <c r="H250" s="26">
        <v>2.838</v>
      </c>
      <c r="I250" s="28">
        <f t="shared" si="115"/>
        <v>0.0290625</v>
      </c>
      <c r="J250" s="28">
        <f t="shared" si="111"/>
        <v>0.0221875</v>
      </c>
      <c r="K250" s="28">
        <f t="shared" si="112"/>
        <v>0.022171875</v>
      </c>
      <c r="M250" s="36">
        <f t="shared" si="118"/>
        <v>0</v>
      </c>
      <c r="N250" s="36">
        <f t="shared" si="119"/>
        <v>0</v>
      </c>
      <c r="O250" s="36">
        <f t="shared" si="120"/>
        <v>0</v>
      </c>
      <c r="P250" s="36">
        <f t="shared" si="121"/>
        <v>-0.00699300699300698</v>
      </c>
      <c r="Q250" s="36">
        <f t="shared" si="122"/>
        <v>-0.00699300699300698</v>
      </c>
      <c r="R250" s="36">
        <f t="shared" si="123"/>
        <v>-0.00699300699300698</v>
      </c>
      <c r="S250" s="36">
        <f t="shared" si="125"/>
        <v>-0.0186721991701244</v>
      </c>
      <c r="T250" s="36">
        <f t="shared" si="126"/>
        <v>-0.020703933747412</v>
      </c>
      <c r="U250" s="36">
        <f t="shared" si="127"/>
        <v>-0.0213793103448275</v>
      </c>
      <c r="BA250" s="25">
        <f t="shared" si="129"/>
        <v>45075</v>
      </c>
      <c r="BB250" s="28">
        <f t="shared" si="129"/>
        <v>0.93</v>
      </c>
      <c r="BC250" s="28">
        <f t="shared" si="113"/>
        <v>1.07</v>
      </c>
      <c r="BD250" s="28">
        <f t="shared" si="117"/>
        <v>1.42</v>
      </c>
      <c r="BE250" s="28">
        <f t="shared" si="110"/>
        <v>1.74</v>
      </c>
      <c r="BF250" s="28">
        <f t="shared" si="124"/>
        <v>2.838</v>
      </c>
      <c r="BG250" s="28">
        <f t="shared" si="107"/>
        <v>3.61</v>
      </c>
      <c r="BH250" s="28">
        <f t="shared" si="130"/>
        <v>3.62</v>
      </c>
      <c r="BI250" s="28">
        <f t="shared" si="130"/>
        <v>3.6</v>
      </c>
      <c r="CC250" s="25"/>
      <c r="CD250" s="29"/>
      <c r="CE250" s="29"/>
      <c r="DP250" s="35">
        <v>43829</v>
      </c>
      <c r="DQ250" s="26">
        <v>3.1</v>
      </c>
      <c r="DR250" s="26">
        <v>2.95</v>
      </c>
      <c r="DS250" s="26">
        <v>3.022</v>
      </c>
      <c r="DU250" s="35">
        <v>43829</v>
      </c>
      <c r="DV250" s="26">
        <v>6</v>
      </c>
      <c r="DW250" s="26">
        <v>5.9</v>
      </c>
      <c r="DX250" s="26">
        <v>5.948</v>
      </c>
      <c r="DZ250" s="35">
        <v>43829</v>
      </c>
      <c r="EA250" s="26">
        <v>12.25</v>
      </c>
      <c r="EB250" s="26">
        <v>12.15</v>
      </c>
      <c r="EC250" s="26">
        <v>12.2</v>
      </c>
    </row>
    <row r="251" ht="16.8" spans="3:133">
      <c r="C251" s="5" t="str" cm="1">
        <f t="array" ref="C251">_xlfn.IFS(MONTH(D251)&lt;4,1,MONTH(D251)&lt;7,2,MONTH(D251)&lt;10,3,MONTH(D251)&gt;9,4)&amp;"Q"&amp;RIGHT(YEAR(D251),2)</f>
        <v>2Q23</v>
      </c>
      <c r="D251" s="2">
        <f t="shared" si="114"/>
        <v>45107</v>
      </c>
      <c r="E251" s="25">
        <f t="shared" si="128"/>
        <v>45082</v>
      </c>
      <c r="F251" s="26">
        <v>0.94</v>
      </c>
      <c r="G251" s="26">
        <v>1.42</v>
      </c>
      <c r="H251" s="26">
        <v>2.834</v>
      </c>
      <c r="I251" s="28">
        <f t="shared" si="115"/>
        <v>0.029375</v>
      </c>
      <c r="J251" s="28">
        <f t="shared" si="111"/>
        <v>0.0221875</v>
      </c>
      <c r="K251" s="28">
        <f t="shared" si="112"/>
        <v>0.022140625</v>
      </c>
      <c r="M251" s="36">
        <f t="shared" si="118"/>
        <v>0.010752688172043</v>
      </c>
      <c r="N251" s="36">
        <f t="shared" si="119"/>
        <v>0.010752688172043</v>
      </c>
      <c r="O251" s="36">
        <f t="shared" si="120"/>
        <v>0.010752688172043</v>
      </c>
      <c r="P251" s="36">
        <f t="shared" si="121"/>
        <v>0</v>
      </c>
      <c r="Q251" s="36">
        <f t="shared" si="122"/>
        <v>-0.00699300699300698</v>
      </c>
      <c r="R251" s="36">
        <f t="shared" si="123"/>
        <v>-0.00699300699300698</v>
      </c>
      <c r="S251" s="36">
        <f t="shared" si="125"/>
        <v>-0.00140944326990844</v>
      </c>
      <c r="T251" s="36">
        <f t="shared" si="126"/>
        <v>-0.0200553250345781</v>
      </c>
      <c r="U251" s="36">
        <f t="shared" si="127"/>
        <v>-0.0220841959972395</v>
      </c>
      <c r="BA251" s="25">
        <f t="shared" si="129"/>
        <v>45082</v>
      </c>
      <c r="BB251" s="28">
        <f t="shared" si="129"/>
        <v>0.94</v>
      </c>
      <c r="BC251" s="28">
        <f t="shared" si="113"/>
        <v>1.07</v>
      </c>
      <c r="BD251" s="28">
        <f t="shared" si="117"/>
        <v>1.42</v>
      </c>
      <c r="BE251" s="28">
        <f t="shared" si="110"/>
        <v>1.74</v>
      </c>
      <c r="BF251" s="28">
        <f t="shared" si="124"/>
        <v>2.834</v>
      </c>
      <c r="BG251" s="28">
        <f t="shared" si="107"/>
        <v>3.61</v>
      </c>
      <c r="BH251" s="28">
        <f t="shared" si="130"/>
        <v>3.62</v>
      </c>
      <c r="BI251" s="28">
        <f t="shared" si="130"/>
        <v>3.6</v>
      </c>
      <c r="CC251" s="25"/>
      <c r="CD251" s="29"/>
      <c r="CE251" s="29"/>
      <c r="DP251" s="35">
        <v>43830</v>
      </c>
      <c r="DQ251" s="26">
        <v>3.1</v>
      </c>
      <c r="DR251" s="26">
        <v>2.95</v>
      </c>
      <c r="DS251" s="26">
        <v>3.027</v>
      </c>
      <c r="DU251" s="35">
        <v>43830</v>
      </c>
      <c r="DV251" s="26">
        <v>6</v>
      </c>
      <c r="DW251" s="26">
        <v>5.9</v>
      </c>
      <c r="DX251" s="26">
        <v>5.948</v>
      </c>
      <c r="DZ251" s="35">
        <v>43830</v>
      </c>
      <c r="EA251" s="26">
        <v>12.25</v>
      </c>
      <c r="EB251" s="26">
        <v>12.15</v>
      </c>
      <c r="EC251" s="26">
        <v>12.2</v>
      </c>
    </row>
    <row r="252" ht="16.8" spans="3:133">
      <c r="C252" s="5" t="str" cm="1">
        <f t="array" ref="C252">_xlfn.IFS(MONTH(D252)&lt;4,1,MONTH(D252)&lt;7,2,MONTH(D252)&lt;10,3,MONTH(D252)&gt;9,4)&amp;"Q"&amp;RIGHT(YEAR(D252),2)</f>
        <v>2Q23</v>
      </c>
      <c r="D252" s="2">
        <f t="shared" si="114"/>
        <v>45107</v>
      </c>
      <c r="E252" s="25">
        <f t="shared" si="128"/>
        <v>45089</v>
      </c>
      <c r="F252" s="26">
        <v>0.94</v>
      </c>
      <c r="G252" s="26">
        <v>1.41</v>
      </c>
      <c r="H252" s="26">
        <v>2.829</v>
      </c>
      <c r="I252" s="28">
        <f t="shared" si="115"/>
        <v>0.029375</v>
      </c>
      <c r="J252" s="28">
        <f t="shared" si="111"/>
        <v>0.02203125</v>
      </c>
      <c r="K252" s="28">
        <f t="shared" si="112"/>
        <v>0.0221015625</v>
      </c>
      <c r="M252" s="36">
        <f t="shared" si="118"/>
        <v>0</v>
      </c>
      <c r="N252" s="36">
        <f t="shared" si="119"/>
        <v>0.010752688172043</v>
      </c>
      <c r="O252" s="36">
        <f t="shared" si="120"/>
        <v>0.010752688172043</v>
      </c>
      <c r="P252" s="36">
        <f t="shared" si="121"/>
        <v>-0.00704225352112675</v>
      </c>
      <c r="Q252" s="36">
        <f t="shared" si="122"/>
        <v>-0.00704225352112675</v>
      </c>
      <c r="R252" s="36">
        <f t="shared" si="123"/>
        <v>-0.013986013986014</v>
      </c>
      <c r="S252" s="36">
        <f t="shared" si="125"/>
        <v>-0.00176429075511642</v>
      </c>
      <c r="T252" s="36">
        <f t="shared" si="126"/>
        <v>-0.00317124735729379</v>
      </c>
      <c r="U252" s="36">
        <f t="shared" si="127"/>
        <v>-0.0217842323651452</v>
      </c>
      <c r="BA252" s="25">
        <f t="shared" ref="BA252:BB267" si="131">E252</f>
        <v>45089</v>
      </c>
      <c r="BB252" s="28">
        <f t="shared" si="131"/>
        <v>0.94</v>
      </c>
      <c r="BC252" s="28">
        <f t="shared" si="113"/>
        <v>1.07</v>
      </c>
      <c r="BD252" s="28">
        <f t="shared" si="117"/>
        <v>1.41</v>
      </c>
      <c r="BE252" s="28">
        <f t="shared" si="110"/>
        <v>1.74</v>
      </c>
      <c r="BF252" s="28">
        <f t="shared" si="124"/>
        <v>2.829</v>
      </c>
      <c r="BG252" s="28">
        <f t="shared" si="107"/>
        <v>3.61</v>
      </c>
      <c r="BH252" s="28">
        <f t="shared" si="130"/>
        <v>3.62</v>
      </c>
      <c r="BI252" s="28">
        <f t="shared" si="130"/>
        <v>3.6</v>
      </c>
      <c r="CC252" s="25"/>
      <c r="CD252" s="29"/>
      <c r="CE252" s="29"/>
      <c r="DP252" s="35">
        <v>43832</v>
      </c>
      <c r="DQ252" s="26">
        <v>3.1</v>
      </c>
      <c r="DR252" s="26">
        <v>2.95</v>
      </c>
      <c r="DS252" s="26">
        <v>3.027</v>
      </c>
      <c r="DU252" s="35">
        <v>43832</v>
      </c>
      <c r="DV252" s="26">
        <v>6</v>
      </c>
      <c r="DW252" s="26">
        <v>5.9</v>
      </c>
      <c r="DX252" s="26">
        <v>5.948</v>
      </c>
      <c r="DZ252" s="35">
        <v>43832</v>
      </c>
      <c r="EA252" s="26">
        <v>12.25</v>
      </c>
      <c r="EB252" s="26">
        <v>12.15</v>
      </c>
      <c r="EC252" s="26">
        <v>12.2</v>
      </c>
    </row>
    <row r="253" ht="16.8" spans="3:133">
      <c r="C253" s="5" t="str" cm="1">
        <f t="array" ref="C253">_xlfn.IFS(MONTH(D253)&lt;4,1,MONTH(D253)&lt;7,2,MONTH(D253)&lt;10,3,MONTH(D253)&gt;9,4)&amp;"Q"&amp;RIGHT(YEAR(D253),2)</f>
        <v>2Q23</v>
      </c>
      <c r="D253" s="2">
        <f t="shared" si="114"/>
        <v>45107</v>
      </c>
      <c r="E253" s="25">
        <f t="shared" si="128"/>
        <v>45096</v>
      </c>
      <c r="F253" s="26">
        <v>0.94</v>
      </c>
      <c r="G253" s="26">
        <v>1.41</v>
      </c>
      <c r="H253" s="26">
        <v>2.808</v>
      </c>
      <c r="I253" s="28">
        <f t="shared" si="115"/>
        <v>0.029375</v>
      </c>
      <c r="J253" s="28">
        <f t="shared" si="111"/>
        <v>0.02203125</v>
      </c>
      <c r="K253" s="28">
        <f t="shared" si="112"/>
        <v>0.0219375</v>
      </c>
      <c r="M253" s="36">
        <f t="shared" si="118"/>
        <v>0</v>
      </c>
      <c r="N253" s="36">
        <f t="shared" si="119"/>
        <v>0</v>
      </c>
      <c r="O253" s="36">
        <f t="shared" si="120"/>
        <v>0.010752688172043</v>
      </c>
      <c r="P253" s="36">
        <f t="shared" si="121"/>
        <v>0</v>
      </c>
      <c r="Q253" s="36">
        <f t="shared" si="122"/>
        <v>-0.00704225352112675</v>
      </c>
      <c r="R253" s="36">
        <f t="shared" si="123"/>
        <v>-0.00704225352112675</v>
      </c>
      <c r="S253" s="36">
        <f t="shared" si="125"/>
        <v>-0.00742311770943804</v>
      </c>
      <c r="T253" s="36">
        <f t="shared" si="126"/>
        <v>-0.00917431192660556</v>
      </c>
      <c r="U253" s="36">
        <f t="shared" si="127"/>
        <v>-0.010570824524313</v>
      </c>
      <c r="BA253" s="25">
        <f t="shared" si="131"/>
        <v>45096</v>
      </c>
      <c r="BB253" s="28">
        <f t="shared" si="131"/>
        <v>0.94</v>
      </c>
      <c r="BC253" s="28">
        <f t="shared" si="113"/>
        <v>1.07</v>
      </c>
      <c r="BD253" s="28">
        <f t="shared" si="117"/>
        <v>1.41</v>
      </c>
      <c r="BE253" s="28">
        <f t="shared" si="110"/>
        <v>1.74</v>
      </c>
      <c r="BF253" s="28">
        <f t="shared" si="124"/>
        <v>2.808</v>
      </c>
      <c r="BG253" s="28">
        <f t="shared" si="107"/>
        <v>3.61</v>
      </c>
      <c r="BH253" s="28">
        <f t="shared" si="130"/>
        <v>3.62</v>
      </c>
      <c r="BI253" s="28">
        <f t="shared" si="130"/>
        <v>3.6</v>
      </c>
      <c r="CC253" s="25"/>
      <c r="CD253" s="29"/>
      <c r="CE253" s="29"/>
      <c r="DP253" s="35">
        <v>43833</v>
      </c>
      <c r="DQ253" s="26">
        <v>3.1</v>
      </c>
      <c r="DR253" s="26">
        <v>3</v>
      </c>
      <c r="DS253" s="26">
        <v>3.052</v>
      </c>
      <c r="DU253" s="35">
        <v>43833</v>
      </c>
      <c r="DV253" s="26">
        <v>6</v>
      </c>
      <c r="DW253" s="26">
        <v>5.9</v>
      </c>
      <c r="DX253" s="26">
        <v>5.954</v>
      </c>
      <c r="DZ253" s="35">
        <v>43833</v>
      </c>
      <c r="EA253" s="26">
        <v>12.25</v>
      </c>
      <c r="EB253" s="26">
        <v>12.15</v>
      </c>
      <c r="EC253" s="26">
        <v>12.2</v>
      </c>
    </row>
    <row r="254" ht="16.8" spans="3:133">
      <c r="C254" s="5" t="str" cm="1">
        <f t="array" ref="C254">_xlfn.IFS(MONTH(D254)&lt;4,1,MONTH(D254)&lt;7,2,MONTH(D254)&lt;10,3,MONTH(D254)&gt;9,4)&amp;"Q"&amp;RIGHT(YEAR(D254),2)</f>
        <v>2Q23</v>
      </c>
      <c r="D254" s="2">
        <f t="shared" si="114"/>
        <v>45107</v>
      </c>
      <c r="E254" s="25">
        <f t="shared" si="128"/>
        <v>45103</v>
      </c>
      <c r="F254" s="26">
        <v>0.94</v>
      </c>
      <c r="G254" s="26">
        <v>1.41</v>
      </c>
      <c r="H254" s="26">
        <v>2.808</v>
      </c>
      <c r="I254" s="28">
        <f t="shared" si="115"/>
        <v>0.029375</v>
      </c>
      <c r="J254" s="28">
        <f t="shared" si="111"/>
        <v>0.02203125</v>
      </c>
      <c r="K254" s="28">
        <f t="shared" si="112"/>
        <v>0.0219375</v>
      </c>
      <c r="M254" s="36">
        <f t="shared" si="118"/>
        <v>0</v>
      </c>
      <c r="N254" s="36">
        <f t="shared" si="119"/>
        <v>0</v>
      </c>
      <c r="O254" s="36">
        <f t="shared" si="120"/>
        <v>0</v>
      </c>
      <c r="P254" s="36">
        <f t="shared" si="121"/>
        <v>0</v>
      </c>
      <c r="Q254" s="36">
        <f t="shared" si="122"/>
        <v>0</v>
      </c>
      <c r="R254" s="36">
        <f t="shared" si="123"/>
        <v>-0.00704225352112675</v>
      </c>
      <c r="S254" s="36">
        <f t="shared" si="125"/>
        <v>0</v>
      </c>
      <c r="T254" s="36">
        <f t="shared" si="126"/>
        <v>-0.00742311770943804</v>
      </c>
      <c r="U254" s="36">
        <f t="shared" si="127"/>
        <v>-0.00917431192660556</v>
      </c>
      <c r="BA254" s="25">
        <f t="shared" si="131"/>
        <v>45103</v>
      </c>
      <c r="BB254" s="28">
        <f t="shared" si="131"/>
        <v>0.94</v>
      </c>
      <c r="BC254" s="28">
        <f t="shared" si="113"/>
        <v>1.07</v>
      </c>
      <c r="BD254" s="28">
        <f t="shared" si="117"/>
        <v>1.41</v>
      </c>
      <c r="BE254" s="28">
        <f t="shared" si="110"/>
        <v>1.74</v>
      </c>
      <c r="BF254" s="28">
        <f t="shared" si="124"/>
        <v>2.808</v>
      </c>
      <c r="BG254" s="28">
        <f t="shared" si="107"/>
        <v>3.61</v>
      </c>
      <c r="BH254" s="28">
        <f t="shared" si="130"/>
        <v>3.62</v>
      </c>
      <c r="BI254" s="28">
        <f t="shared" si="130"/>
        <v>3.6</v>
      </c>
      <c r="CC254" s="25"/>
      <c r="CD254" s="29"/>
      <c r="CE254" s="29"/>
      <c r="DP254" s="35">
        <v>43836</v>
      </c>
      <c r="DQ254" s="26">
        <v>3.1</v>
      </c>
      <c r="DR254" s="26">
        <v>3</v>
      </c>
      <c r="DS254" s="26">
        <v>3.052</v>
      </c>
      <c r="DU254" s="35">
        <v>43836</v>
      </c>
      <c r="DV254" s="26">
        <v>6.1</v>
      </c>
      <c r="DW254" s="26">
        <v>5.95</v>
      </c>
      <c r="DX254" s="26">
        <v>6.013</v>
      </c>
      <c r="DZ254" s="35">
        <v>43836</v>
      </c>
      <c r="EA254" s="26">
        <v>12.25</v>
      </c>
      <c r="EB254" s="26">
        <v>12.15</v>
      </c>
      <c r="EC254" s="26">
        <v>12.2</v>
      </c>
    </row>
    <row r="255" ht="16.8" spans="3:133">
      <c r="C255" s="5" t="str" cm="1">
        <f t="array" ref="C255">_xlfn.IFS(MONTH(D255)&lt;4,1,MONTH(D255)&lt;7,2,MONTH(D255)&lt;10,3,MONTH(D255)&gt;9,4)&amp;"Q"&amp;RIGHT(YEAR(D255),2)</f>
        <v>3Q23</v>
      </c>
      <c r="D255" s="2">
        <f t="shared" si="114"/>
        <v>45138</v>
      </c>
      <c r="E255" s="25">
        <f t="shared" si="128"/>
        <v>45110</v>
      </c>
      <c r="F255" s="26">
        <v>0.94</v>
      </c>
      <c r="G255" s="26">
        <v>1.41</v>
      </c>
      <c r="H255" s="26">
        <v>2.804</v>
      </c>
      <c r="I255" s="28">
        <f t="shared" si="115"/>
        <v>0.029375</v>
      </c>
      <c r="J255" s="28">
        <f t="shared" si="111"/>
        <v>0.02203125</v>
      </c>
      <c r="K255" s="28">
        <f t="shared" si="112"/>
        <v>0.02190625</v>
      </c>
      <c r="M255" s="36">
        <f t="shared" si="118"/>
        <v>0</v>
      </c>
      <c r="N255" s="36">
        <f t="shared" si="119"/>
        <v>0</v>
      </c>
      <c r="O255" s="36">
        <f t="shared" si="120"/>
        <v>0</v>
      </c>
      <c r="P255" s="36">
        <f t="shared" si="121"/>
        <v>0</v>
      </c>
      <c r="Q255" s="36">
        <f t="shared" si="122"/>
        <v>0</v>
      </c>
      <c r="R255" s="36">
        <f t="shared" si="123"/>
        <v>0</v>
      </c>
      <c r="S255" s="36">
        <f t="shared" si="125"/>
        <v>-0.00142450142450146</v>
      </c>
      <c r="T255" s="36">
        <f t="shared" si="126"/>
        <v>-0.00142450142450146</v>
      </c>
      <c r="U255" s="36">
        <f t="shared" si="127"/>
        <v>-0.00883704489218817</v>
      </c>
      <c r="BA255" s="25">
        <f t="shared" si="131"/>
        <v>45110</v>
      </c>
      <c r="BB255" s="28">
        <f t="shared" si="131"/>
        <v>0.94</v>
      </c>
      <c r="BC255" s="28">
        <f t="shared" si="113"/>
        <v>1.07</v>
      </c>
      <c r="BD255" s="28">
        <f t="shared" si="117"/>
        <v>1.41</v>
      </c>
      <c r="BE255" s="28">
        <f t="shared" si="110"/>
        <v>1.74</v>
      </c>
      <c r="BF255" s="28">
        <f t="shared" si="124"/>
        <v>2.804</v>
      </c>
      <c r="BG255" s="28">
        <f t="shared" si="107"/>
        <v>3.61</v>
      </c>
      <c r="BH255" s="28">
        <f t="shared" si="130"/>
        <v>3.62</v>
      </c>
      <c r="BI255" s="28">
        <f t="shared" si="130"/>
        <v>3.6</v>
      </c>
      <c r="CC255" s="25"/>
      <c r="CD255" s="29"/>
      <c r="CE255" s="29"/>
      <c r="DP255" s="35">
        <v>43837</v>
      </c>
      <c r="DQ255" s="26">
        <v>3.2</v>
      </c>
      <c r="DR255" s="26">
        <v>3.03</v>
      </c>
      <c r="DS255" s="26">
        <v>3.094</v>
      </c>
      <c r="DU255" s="35">
        <v>43837</v>
      </c>
      <c r="DV255" s="26">
        <v>6.1</v>
      </c>
      <c r="DW255" s="26">
        <v>5.95</v>
      </c>
      <c r="DX255" s="26">
        <v>6.024</v>
      </c>
      <c r="DZ255" s="35">
        <v>43837</v>
      </c>
      <c r="EA255" s="26">
        <v>12.3</v>
      </c>
      <c r="EB255" s="26">
        <v>12.2</v>
      </c>
      <c r="EC255" s="26">
        <v>12.25</v>
      </c>
    </row>
    <row r="256" ht="16.8" spans="3:133">
      <c r="C256" s="5" t="str" cm="1">
        <f t="array" ref="C256">_xlfn.IFS(MONTH(D256)&lt;4,1,MONTH(D256)&lt;7,2,MONTH(D256)&lt;10,3,MONTH(D256)&gt;9,4)&amp;"Q"&amp;RIGHT(YEAR(D256),2)</f>
        <v>3Q23</v>
      </c>
      <c r="D256" s="2">
        <f t="shared" si="114"/>
        <v>45138</v>
      </c>
      <c r="E256" s="25">
        <f t="shared" si="128"/>
        <v>45117</v>
      </c>
      <c r="F256" s="26">
        <v>0.93</v>
      </c>
      <c r="G256" s="26">
        <v>1.4</v>
      </c>
      <c r="H256" s="26">
        <v>2.788</v>
      </c>
      <c r="I256" s="28">
        <f t="shared" si="115"/>
        <v>0.0290625</v>
      </c>
      <c r="J256" s="28">
        <f t="shared" si="111"/>
        <v>0.021875</v>
      </c>
      <c r="K256" s="28">
        <f t="shared" si="112"/>
        <v>0.02178125</v>
      </c>
      <c r="M256" s="36">
        <f t="shared" si="118"/>
        <v>-0.0106382978723403</v>
      </c>
      <c r="N256" s="36">
        <f t="shared" si="119"/>
        <v>-0.0106382978723403</v>
      </c>
      <c r="O256" s="36">
        <f t="shared" si="120"/>
        <v>-0.0106382978723403</v>
      </c>
      <c r="P256" s="36">
        <f t="shared" si="121"/>
        <v>-0.00709219858156029</v>
      </c>
      <c r="Q256" s="36">
        <f t="shared" si="122"/>
        <v>-0.00709219858156029</v>
      </c>
      <c r="R256" s="36">
        <f t="shared" si="123"/>
        <v>-0.00709219858156029</v>
      </c>
      <c r="S256" s="36">
        <f t="shared" si="125"/>
        <v>-0.00570613409415122</v>
      </c>
      <c r="T256" s="36">
        <f t="shared" si="126"/>
        <v>-0.00712250712250717</v>
      </c>
      <c r="U256" s="36">
        <f t="shared" si="127"/>
        <v>-0.00712250712250717</v>
      </c>
      <c r="BA256" s="25">
        <f t="shared" si="131"/>
        <v>45117</v>
      </c>
      <c r="BB256" s="28">
        <f t="shared" si="131"/>
        <v>0.93</v>
      </c>
      <c r="BC256" s="28">
        <f t="shared" si="113"/>
        <v>1.07</v>
      </c>
      <c r="BD256" s="28">
        <f t="shared" si="117"/>
        <v>1.4</v>
      </c>
      <c r="BE256" s="28">
        <f t="shared" si="110"/>
        <v>1.74</v>
      </c>
      <c r="BF256" s="28">
        <f t="shared" si="124"/>
        <v>2.788</v>
      </c>
      <c r="BG256" s="28">
        <f t="shared" ref="BG256:BG319" si="132">AVERAGE(BH256:BI256)</f>
        <v>3.61</v>
      </c>
      <c r="BH256" s="28">
        <f t="shared" si="130"/>
        <v>3.62</v>
      </c>
      <c r="BI256" s="28">
        <f t="shared" si="130"/>
        <v>3.6</v>
      </c>
      <c r="CC256" s="25"/>
      <c r="CD256" s="29"/>
      <c r="CE256" s="29"/>
      <c r="DP256" s="35">
        <v>43838</v>
      </c>
      <c r="DQ256" s="26">
        <v>3.2</v>
      </c>
      <c r="DR256" s="26">
        <v>3.05</v>
      </c>
      <c r="DS256" s="26">
        <v>3.111</v>
      </c>
      <c r="DU256" s="35">
        <v>43838</v>
      </c>
      <c r="DV256" s="26">
        <v>6.1</v>
      </c>
      <c r="DW256" s="26">
        <v>5.95</v>
      </c>
      <c r="DX256" s="26">
        <v>6.024</v>
      </c>
      <c r="DZ256" s="35">
        <v>43838</v>
      </c>
      <c r="EA256" s="26">
        <v>12.3</v>
      </c>
      <c r="EB256" s="26">
        <v>12.2</v>
      </c>
      <c r="EC256" s="26">
        <v>12.25</v>
      </c>
    </row>
    <row r="257" ht="16.8" spans="3:133">
      <c r="C257" s="5" t="str" cm="1">
        <f t="array" ref="C257">_xlfn.IFS(MONTH(D257)&lt;4,1,MONTH(D257)&lt;7,2,MONTH(D257)&lt;10,3,MONTH(D257)&gt;9,4)&amp;"Q"&amp;RIGHT(YEAR(D257),2)</f>
        <v>3Q23</v>
      </c>
      <c r="D257" s="2">
        <f t="shared" si="114"/>
        <v>45138</v>
      </c>
      <c r="E257" s="25">
        <f t="shared" si="128"/>
        <v>45124</v>
      </c>
      <c r="F257" s="26">
        <v>0.93</v>
      </c>
      <c r="G257" s="26">
        <v>1.4</v>
      </c>
      <c r="H257" s="26">
        <v>2.779</v>
      </c>
      <c r="I257" s="28">
        <f t="shared" si="115"/>
        <v>0.0290625</v>
      </c>
      <c r="J257" s="28">
        <f t="shared" si="111"/>
        <v>0.021875</v>
      </c>
      <c r="K257" s="28">
        <f t="shared" si="112"/>
        <v>0.0217109375</v>
      </c>
      <c r="M257" s="36">
        <f t="shared" si="118"/>
        <v>0</v>
      </c>
      <c r="N257" s="36">
        <f t="shared" si="119"/>
        <v>-0.0106382978723403</v>
      </c>
      <c r="O257" s="36">
        <f t="shared" si="120"/>
        <v>-0.0106382978723403</v>
      </c>
      <c r="P257" s="36">
        <f t="shared" si="121"/>
        <v>0</v>
      </c>
      <c r="Q257" s="36">
        <f t="shared" si="122"/>
        <v>-0.00709219858156029</v>
      </c>
      <c r="R257" s="36">
        <f t="shared" si="123"/>
        <v>-0.00709219858156029</v>
      </c>
      <c r="S257" s="36">
        <f t="shared" si="125"/>
        <v>-0.00322812051649923</v>
      </c>
      <c r="T257" s="36">
        <f t="shared" si="126"/>
        <v>-0.0089158345221112</v>
      </c>
      <c r="U257" s="36">
        <f t="shared" si="127"/>
        <v>-0.0103276353276353</v>
      </c>
      <c r="BA257" s="25">
        <f t="shared" si="131"/>
        <v>45124</v>
      </c>
      <c r="BB257" s="28">
        <f t="shared" si="131"/>
        <v>0.93</v>
      </c>
      <c r="BC257" s="28">
        <f t="shared" si="113"/>
        <v>1.07</v>
      </c>
      <c r="BD257" s="28">
        <f t="shared" si="117"/>
        <v>1.4</v>
      </c>
      <c r="BE257" s="28">
        <f t="shared" si="110"/>
        <v>1.74</v>
      </c>
      <c r="BF257" s="28">
        <f t="shared" si="124"/>
        <v>2.779</v>
      </c>
      <c r="BG257" s="28">
        <f t="shared" si="132"/>
        <v>3.61</v>
      </c>
      <c r="BH257" s="28">
        <f t="shared" si="130"/>
        <v>3.62</v>
      </c>
      <c r="BI257" s="28">
        <f t="shared" si="130"/>
        <v>3.6</v>
      </c>
      <c r="CC257" s="25"/>
      <c r="CD257" s="29"/>
      <c r="CE257" s="29"/>
      <c r="DP257" s="35">
        <v>43839</v>
      </c>
      <c r="DQ257" s="26">
        <v>3.2</v>
      </c>
      <c r="DR257" s="26">
        <v>3.05</v>
      </c>
      <c r="DS257" s="26">
        <v>3.111</v>
      </c>
      <c r="DU257" s="35">
        <v>43839</v>
      </c>
      <c r="DV257" s="26">
        <v>6.1</v>
      </c>
      <c r="DW257" s="26">
        <v>5.95</v>
      </c>
      <c r="DX257" s="26">
        <v>6.024</v>
      </c>
      <c r="DZ257" s="35">
        <v>43839</v>
      </c>
      <c r="EA257" s="26">
        <v>12.3</v>
      </c>
      <c r="EB257" s="26">
        <v>12.2</v>
      </c>
      <c r="EC257" s="26">
        <v>12.25</v>
      </c>
    </row>
    <row r="258" ht="16.8" spans="3:133">
      <c r="C258" s="5" t="str" cm="1">
        <f t="array" ref="C258">_xlfn.IFS(MONTH(D258)&lt;4,1,MONTH(D258)&lt;7,2,MONTH(D258)&lt;10,3,MONTH(D258)&gt;9,4)&amp;"Q"&amp;RIGHT(YEAR(D258),2)</f>
        <v>3Q23</v>
      </c>
      <c r="D258" s="2">
        <f t="shared" si="114"/>
        <v>45138</v>
      </c>
      <c r="E258" s="25">
        <f t="shared" si="128"/>
        <v>45131</v>
      </c>
      <c r="F258" s="26">
        <v>0.93</v>
      </c>
      <c r="G258" s="26">
        <v>1.4</v>
      </c>
      <c r="H258" s="26">
        <v>2.781</v>
      </c>
      <c r="I258" s="28">
        <f t="shared" si="115"/>
        <v>0.0290625</v>
      </c>
      <c r="J258" s="28">
        <f t="shared" si="111"/>
        <v>0.021875</v>
      </c>
      <c r="K258" s="28">
        <f t="shared" si="112"/>
        <v>0.0217265625</v>
      </c>
      <c r="M258" s="36">
        <f t="shared" si="118"/>
        <v>0</v>
      </c>
      <c r="N258" s="36">
        <f t="shared" si="119"/>
        <v>0</v>
      </c>
      <c r="O258" s="36">
        <f t="shared" si="120"/>
        <v>-0.0106382978723403</v>
      </c>
      <c r="P258" s="36">
        <f t="shared" si="121"/>
        <v>0</v>
      </c>
      <c r="Q258" s="36">
        <f t="shared" si="122"/>
        <v>0</v>
      </c>
      <c r="R258" s="36">
        <f t="shared" si="123"/>
        <v>-0.00709219858156029</v>
      </c>
      <c r="S258" s="36">
        <f t="shared" si="125"/>
        <v>0.000719683339330812</v>
      </c>
      <c r="T258" s="36">
        <f t="shared" si="126"/>
        <v>-0.0025107604017216</v>
      </c>
      <c r="U258" s="36">
        <f t="shared" si="127"/>
        <v>-0.00820256776034223</v>
      </c>
      <c r="BA258" s="25">
        <f t="shared" si="131"/>
        <v>45131</v>
      </c>
      <c r="BB258" s="28">
        <f t="shared" si="131"/>
        <v>0.93</v>
      </c>
      <c r="BC258" s="28">
        <f t="shared" si="113"/>
        <v>1.07</v>
      </c>
      <c r="BD258" s="28">
        <f t="shared" si="117"/>
        <v>1.4</v>
      </c>
      <c r="BE258" s="28">
        <f t="shared" si="110"/>
        <v>1.74</v>
      </c>
      <c r="BF258" s="28">
        <f t="shared" si="124"/>
        <v>2.781</v>
      </c>
      <c r="BG258" s="28">
        <f t="shared" si="132"/>
        <v>3.61</v>
      </c>
      <c r="BH258" s="28">
        <f t="shared" si="130"/>
        <v>3.62</v>
      </c>
      <c r="BI258" s="28">
        <f t="shared" si="130"/>
        <v>3.6</v>
      </c>
      <c r="CC258" s="25"/>
      <c r="CD258" s="29"/>
      <c r="CE258" s="29"/>
      <c r="DP258" s="35">
        <v>43840</v>
      </c>
      <c r="DQ258" s="26">
        <v>3.3</v>
      </c>
      <c r="DR258" s="26">
        <v>3.05</v>
      </c>
      <c r="DS258" s="26">
        <v>3.169</v>
      </c>
      <c r="DU258" s="35">
        <v>43840</v>
      </c>
      <c r="DV258" s="26">
        <v>6.2</v>
      </c>
      <c r="DW258" s="26">
        <v>6</v>
      </c>
      <c r="DX258" s="26">
        <v>6.097</v>
      </c>
      <c r="DZ258" s="35">
        <v>43840</v>
      </c>
      <c r="EA258" s="26">
        <v>12.35</v>
      </c>
      <c r="EB258" s="26">
        <v>12.25</v>
      </c>
      <c r="EC258" s="26">
        <v>12.3</v>
      </c>
    </row>
    <row r="259" ht="16.8" spans="3:133">
      <c r="C259" s="5" t="str" cm="1">
        <f t="array" ref="C259">_xlfn.IFS(MONTH(D259)&lt;4,1,MONTH(D259)&lt;7,2,MONTH(D259)&lt;10,3,MONTH(D259)&gt;9,4)&amp;"Q"&amp;RIGHT(YEAR(D259),2)</f>
        <v>3Q23</v>
      </c>
      <c r="D259" s="2">
        <f t="shared" si="114"/>
        <v>45138</v>
      </c>
      <c r="E259" s="25">
        <f t="shared" si="128"/>
        <v>45138</v>
      </c>
      <c r="F259" s="26">
        <v>0.93</v>
      </c>
      <c r="G259" s="26">
        <v>1.42</v>
      </c>
      <c r="H259" s="26">
        <v>2.804</v>
      </c>
      <c r="I259" s="28">
        <f t="shared" si="115"/>
        <v>0.0290625</v>
      </c>
      <c r="J259" s="28">
        <f t="shared" si="111"/>
        <v>0.0221875</v>
      </c>
      <c r="K259" s="28">
        <f t="shared" si="112"/>
        <v>0.02190625</v>
      </c>
      <c r="M259" s="36">
        <f t="shared" si="118"/>
        <v>0</v>
      </c>
      <c r="N259" s="36">
        <f t="shared" si="119"/>
        <v>0</v>
      </c>
      <c r="O259" s="36">
        <f t="shared" si="120"/>
        <v>0</v>
      </c>
      <c r="P259" s="36">
        <f t="shared" si="121"/>
        <v>0.0142857142857142</v>
      </c>
      <c r="Q259" s="36">
        <f t="shared" si="122"/>
        <v>0.0142857142857142</v>
      </c>
      <c r="R259" s="36">
        <f t="shared" si="123"/>
        <v>0.0142857142857142</v>
      </c>
      <c r="S259" s="36">
        <f t="shared" si="125"/>
        <v>0.00827040632865872</v>
      </c>
      <c r="T259" s="36">
        <f t="shared" si="126"/>
        <v>0.00899604174163371</v>
      </c>
      <c r="U259" s="36">
        <f t="shared" si="127"/>
        <v>0.00573888091822106</v>
      </c>
      <c r="BA259" s="25">
        <f t="shared" si="131"/>
        <v>45138</v>
      </c>
      <c r="BB259" s="28">
        <f t="shared" si="131"/>
        <v>0.93</v>
      </c>
      <c r="BC259" s="28">
        <f t="shared" si="113"/>
        <v>1.07</v>
      </c>
      <c r="BD259" s="28">
        <f t="shared" si="117"/>
        <v>1.42</v>
      </c>
      <c r="BE259" s="28">
        <f t="shared" si="110"/>
        <v>1.74</v>
      </c>
      <c r="BF259" s="28">
        <f t="shared" si="124"/>
        <v>2.804</v>
      </c>
      <c r="BG259" s="28">
        <f t="shared" si="132"/>
        <v>3.61</v>
      </c>
      <c r="BH259" s="28">
        <f t="shared" si="130"/>
        <v>3.62</v>
      </c>
      <c r="BI259" s="28">
        <f t="shared" si="130"/>
        <v>3.6</v>
      </c>
      <c r="CC259" s="25"/>
      <c r="CD259" s="29"/>
      <c r="CE259" s="29"/>
      <c r="DP259" s="35">
        <v>43843</v>
      </c>
      <c r="DQ259" s="26">
        <v>3.3</v>
      </c>
      <c r="DR259" s="26">
        <v>3.05</v>
      </c>
      <c r="DS259" s="26">
        <v>3.169</v>
      </c>
      <c r="DU259" s="35">
        <v>43843</v>
      </c>
      <c r="DV259" s="26">
        <v>6.2</v>
      </c>
      <c r="DW259" s="26">
        <v>6.05</v>
      </c>
      <c r="DX259" s="26">
        <v>6.113</v>
      </c>
      <c r="DZ259" s="35">
        <v>43843</v>
      </c>
      <c r="EA259" s="26">
        <v>12.35</v>
      </c>
      <c r="EB259" s="26">
        <v>12.25</v>
      </c>
      <c r="EC259" s="26">
        <v>12.3</v>
      </c>
    </row>
    <row r="260" ht="16.8" spans="3:133">
      <c r="C260" s="5" t="str" cm="1">
        <f t="array" ref="C260">_xlfn.IFS(MONTH(D260)&lt;4,1,MONTH(D260)&lt;7,2,MONTH(D260)&lt;10,3,MONTH(D260)&gt;9,4)&amp;"Q"&amp;RIGHT(YEAR(D260),2)</f>
        <v>3Q23</v>
      </c>
      <c r="D260" s="2">
        <f t="shared" si="114"/>
        <v>45169</v>
      </c>
      <c r="E260" s="25">
        <f t="shared" si="128"/>
        <v>45145</v>
      </c>
      <c r="F260" s="26">
        <v>0.93</v>
      </c>
      <c r="G260" s="26">
        <v>1.44</v>
      </c>
      <c r="H260" s="26">
        <v>2.838</v>
      </c>
      <c r="I260" s="28">
        <f t="shared" si="115"/>
        <v>0.0290625</v>
      </c>
      <c r="J260" s="28">
        <f t="shared" si="111"/>
        <v>0.0225</v>
      </c>
      <c r="K260" s="28">
        <f t="shared" si="112"/>
        <v>0.022171875</v>
      </c>
      <c r="M260" s="36">
        <f t="shared" si="118"/>
        <v>0</v>
      </c>
      <c r="N260" s="36">
        <f t="shared" si="119"/>
        <v>0</v>
      </c>
      <c r="O260" s="36">
        <f t="shared" si="120"/>
        <v>0</v>
      </c>
      <c r="P260" s="36">
        <f t="shared" si="121"/>
        <v>0.0140845070422535</v>
      </c>
      <c r="Q260" s="36">
        <f t="shared" si="122"/>
        <v>0.0285714285714287</v>
      </c>
      <c r="R260" s="36">
        <f t="shared" si="123"/>
        <v>0.0285714285714287</v>
      </c>
      <c r="S260" s="36">
        <f t="shared" si="125"/>
        <v>0.0121255349500715</v>
      </c>
      <c r="T260" s="36">
        <f t="shared" si="126"/>
        <v>0.0204962243797195</v>
      </c>
      <c r="U260" s="36">
        <f t="shared" si="127"/>
        <v>0.0212306585102555</v>
      </c>
      <c r="BA260" s="25">
        <f t="shared" si="131"/>
        <v>45145</v>
      </c>
      <c r="BB260" s="28">
        <f t="shared" si="131"/>
        <v>0.93</v>
      </c>
      <c r="BC260" s="28">
        <f t="shared" si="113"/>
        <v>1.07</v>
      </c>
      <c r="BD260" s="28">
        <f t="shared" si="117"/>
        <v>1.44</v>
      </c>
      <c r="BE260" s="28">
        <f t="shared" si="110"/>
        <v>1.79</v>
      </c>
      <c r="BF260" s="28">
        <f t="shared" si="124"/>
        <v>2.838</v>
      </c>
      <c r="BG260" s="28">
        <f t="shared" si="132"/>
        <v>3.61</v>
      </c>
      <c r="BH260" s="28">
        <f t="shared" si="130"/>
        <v>3.62</v>
      </c>
      <c r="BI260" s="28">
        <f t="shared" si="130"/>
        <v>3.6</v>
      </c>
      <c r="CC260" s="25"/>
      <c r="CD260" s="29"/>
      <c r="CE260" s="29"/>
      <c r="DP260" s="35">
        <v>43844</v>
      </c>
      <c r="DQ260" s="26">
        <v>3.35</v>
      </c>
      <c r="DR260" s="26">
        <v>3.05</v>
      </c>
      <c r="DS260" s="26">
        <v>3.178</v>
      </c>
      <c r="DU260" s="35">
        <v>43844</v>
      </c>
      <c r="DV260" s="26">
        <v>6.2</v>
      </c>
      <c r="DW260" s="26">
        <v>6.05</v>
      </c>
      <c r="DX260" s="26">
        <v>6.127</v>
      </c>
      <c r="DZ260" s="35">
        <v>43844</v>
      </c>
      <c r="EA260" s="26">
        <v>12.4</v>
      </c>
      <c r="EB260" s="26">
        <v>12.25</v>
      </c>
      <c r="EC260" s="26">
        <v>12.35</v>
      </c>
    </row>
    <row r="261" ht="16.8" spans="3:133">
      <c r="C261" s="5" t="str" cm="1">
        <f t="array" ref="C261">_xlfn.IFS(MONTH(D261)&lt;4,1,MONTH(D261)&lt;7,2,MONTH(D261)&lt;10,3,MONTH(D261)&gt;9,4)&amp;"Q"&amp;RIGHT(YEAR(D261),2)</f>
        <v>3Q23</v>
      </c>
      <c r="D261" s="2">
        <f t="shared" si="114"/>
        <v>45169</v>
      </c>
      <c r="E261" s="25">
        <f t="shared" si="128"/>
        <v>45152</v>
      </c>
      <c r="F261" s="26">
        <v>0.93</v>
      </c>
      <c r="G261" s="26">
        <v>1.44</v>
      </c>
      <c r="H261" s="26">
        <v>2.858</v>
      </c>
      <c r="I261" s="28">
        <f t="shared" si="115"/>
        <v>0.0290625</v>
      </c>
      <c r="J261" s="28">
        <f t="shared" si="111"/>
        <v>0.0225</v>
      </c>
      <c r="K261" s="28">
        <f t="shared" si="112"/>
        <v>0.022328125</v>
      </c>
      <c r="M261" s="36">
        <f t="shared" si="118"/>
        <v>0</v>
      </c>
      <c r="N261" s="36">
        <f t="shared" si="119"/>
        <v>0</v>
      </c>
      <c r="O261" s="36">
        <f t="shared" si="120"/>
        <v>0</v>
      </c>
      <c r="P261" s="36">
        <f t="shared" si="121"/>
        <v>0</v>
      </c>
      <c r="Q261" s="36">
        <f t="shared" si="122"/>
        <v>0.0140845070422535</v>
      </c>
      <c r="R261" s="36">
        <f t="shared" si="123"/>
        <v>0.0285714285714287</v>
      </c>
      <c r="S261" s="36">
        <f t="shared" si="125"/>
        <v>0.00704721634954186</v>
      </c>
      <c r="T261" s="36">
        <f t="shared" si="126"/>
        <v>0.0192582025677603</v>
      </c>
      <c r="U261" s="36">
        <f t="shared" si="127"/>
        <v>0.0276878820568141</v>
      </c>
      <c r="BA261" s="25">
        <f t="shared" si="131"/>
        <v>45152</v>
      </c>
      <c r="BB261" s="28">
        <f t="shared" si="131"/>
        <v>0.93</v>
      </c>
      <c r="BC261" s="28">
        <f t="shared" si="113"/>
        <v>1.07</v>
      </c>
      <c r="BD261" s="28">
        <f t="shared" si="117"/>
        <v>1.44</v>
      </c>
      <c r="BE261" s="28">
        <f t="shared" si="110"/>
        <v>1.79</v>
      </c>
      <c r="BF261" s="28">
        <f t="shared" si="124"/>
        <v>2.858</v>
      </c>
      <c r="BG261" s="28">
        <f t="shared" si="132"/>
        <v>3.61</v>
      </c>
      <c r="BH261" s="28">
        <f t="shared" si="130"/>
        <v>3.62</v>
      </c>
      <c r="BI261" s="28">
        <f t="shared" si="130"/>
        <v>3.6</v>
      </c>
      <c r="CC261" s="25"/>
      <c r="CD261" s="29"/>
      <c r="CE261" s="29"/>
      <c r="DP261" s="35">
        <v>43845</v>
      </c>
      <c r="DQ261" s="26">
        <v>3.35</v>
      </c>
      <c r="DR261" s="26">
        <v>3.05</v>
      </c>
      <c r="DS261" s="26">
        <v>3.178</v>
      </c>
      <c r="DU261" s="35">
        <v>43845</v>
      </c>
      <c r="DV261" s="26">
        <v>6.2</v>
      </c>
      <c r="DW261" s="26">
        <v>6.05</v>
      </c>
      <c r="DX261" s="26">
        <v>6.127</v>
      </c>
      <c r="DZ261" s="35">
        <v>43845</v>
      </c>
      <c r="EA261" s="26">
        <v>12.4</v>
      </c>
      <c r="EB261" s="26">
        <v>12.25</v>
      </c>
      <c r="EC261" s="26">
        <v>12.35</v>
      </c>
    </row>
    <row r="262" ht="16.8" spans="3:133">
      <c r="C262" s="5" t="str" cm="1">
        <f t="array" ref="C262">_xlfn.IFS(MONTH(D262)&lt;4,1,MONTH(D262)&lt;7,2,MONTH(D262)&lt;10,3,MONTH(D262)&gt;9,4)&amp;"Q"&amp;RIGHT(YEAR(D262),2)</f>
        <v>3Q23</v>
      </c>
      <c r="D262" s="2">
        <f t="shared" si="114"/>
        <v>45169</v>
      </c>
      <c r="E262" s="25">
        <f t="shared" si="128"/>
        <v>45159</v>
      </c>
      <c r="F262" s="26">
        <v>0.96</v>
      </c>
      <c r="G262" s="26">
        <v>1.52</v>
      </c>
      <c r="H262" s="26">
        <v>2.955</v>
      </c>
      <c r="I262" s="28">
        <f t="shared" si="115"/>
        <v>0.03</v>
      </c>
      <c r="J262" s="28">
        <f t="shared" si="111"/>
        <v>0.02375</v>
      </c>
      <c r="K262" s="28">
        <f t="shared" si="112"/>
        <v>0.0230859375</v>
      </c>
      <c r="M262" s="36">
        <f t="shared" si="118"/>
        <v>0.032258064516129</v>
      </c>
      <c r="N262" s="36">
        <f t="shared" si="119"/>
        <v>0.032258064516129</v>
      </c>
      <c r="O262" s="36">
        <f t="shared" si="120"/>
        <v>0.032258064516129</v>
      </c>
      <c r="P262" s="36">
        <f t="shared" si="121"/>
        <v>0.0555555555555556</v>
      </c>
      <c r="Q262" s="36">
        <f t="shared" si="122"/>
        <v>0.0555555555555556</v>
      </c>
      <c r="R262" s="36">
        <f t="shared" si="123"/>
        <v>0.0704225352112677</v>
      </c>
      <c r="S262" s="36">
        <f t="shared" si="125"/>
        <v>0.0339398180545836</v>
      </c>
      <c r="T262" s="36">
        <f t="shared" si="126"/>
        <v>0.0412262156448202</v>
      </c>
      <c r="U262" s="36">
        <f t="shared" si="127"/>
        <v>0.0538516405135521</v>
      </c>
      <c r="BA262" s="25">
        <f t="shared" si="131"/>
        <v>45159</v>
      </c>
      <c r="BB262" s="28">
        <f t="shared" si="131"/>
        <v>0.96</v>
      </c>
      <c r="BC262" s="28">
        <f t="shared" si="113"/>
        <v>1.07</v>
      </c>
      <c r="BD262" s="28">
        <f t="shared" si="117"/>
        <v>1.52</v>
      </c>
      <c r="BE262" s="28">
        <f t="shared" si="110"/>
        <v>1.79</v>
      </c>
      <c r="BF262" s="28">
        <f t="shared" si="124"/>
        <v>2.955</v>
      </c>
      <c r="BG262" s="28">
        <f t="shared" si="132"/>
        <v>3.61</v>
      </c>
      <c r="BH262" s="28">
        <f t="shared" si="130"/>
        <v>3.62</v>
      </c>
      <c r="BI262" s="28">
        <f t="shared" si="130"/>
        <v>3.6</v>
      </c>
      <c r="CC262" s="25"/>
      <c r="CD262" s="29"/>
      <c r="CE262" s="29"/>
      <c r="DP262" s="35">
        <v>43846</v>
      </c>
      <c r="DQ262" s="26">
        <v>3.35</v>
      </c>
      <c r="DR262" s="26">
        <v>3.05</v>
      </c>
      <c r="DS262" s="26">
        <v>3.189</v>
      </c>
      <c r="DU262" s="35">
        <v>43846</v>
      </c>
      <c r="DV262" s="26">
        <v>6.2</v>
      </c>
      <c r="DW262" s="26">
        <v>6.05</v>
      </c>
      <c r="DX262" s="26">
        <v>6.138</v>
      </c>
      <c r="DZ262" s="35">
        <v>43846</v>
      </c>
      <c r="EA262" s="26">
        <v>12.4</v>
      </c>
      <c r="EB262" s="26">
        <v>12.25</v>
      </c>
      <c r="EC262" s="26">
        <v>12.35</v>
      </c>
    </row>
    <row r="263" ht="16.8" spans="3:133">
      <c r="C263" s="5" t="str" cm="1">
        <f t="array" ref="C263">_xlfn.IFS(MONTH(D263)&lt;4,1,MONTH(D263)&lt;7,2,MONTH(D263)&lt;10,3,MONTH(D263)&gt;9,4)&amp;"Q"&amp;RIGHT(YEAR(D263),2)</f>
        <v>3Q23</v>
      </c>
      <c r="D263" s="2">
        <f t="shared" si="114"/>
        <v>45169</v>
      </c>
      <c r="E263" s="25">
        <f t="shared" si="128"/>
        <v>45166</v>
      </c>
      <c r="F263" s="26">
        <v>0.97</v>
      </c>
      <c r="G263" s="26">
        <v>1.58</v>
      </c>
      <c r="H263" s="26">
        <v>3.05</v>
      </c>
      <c r="I263" s="28">
        <f t="shared" si="115"/>
        <v>0.0303125</v>
      </c>
      <c r="J263" s="28">
        <f t="shared" si="111"/>
        <v>0.0246875</v>
      </c>
      <c r="K263" s="28">
        <f t="shared" si="112"/>
        <v>0.023828125</v>
      </c>
      <c r="M263" s="36">
        <f t="shared" si="118"/>
        <v>0.0104166666666667</v>
      </c>
      <c r="N263" s="36">
        <f t="shared" si="119"/>
        <v>0.043010752688172</v>
      </c>
      <c r="O263" s="36">
        <f t="shared" si="120"/>
        <v>0.043010752688172</v>
      </c>
      <c r="P263" s="36">
        <f t="shared" si="121"/>
        <v>0.0394736842105263</v>
      </c>
      <c r="Q263" s="36">
        <f t="shared" si="122"/>
        <v>0.0972222222222223</v>
      </c>
      <c r="R263" s="36">
        <f t="shared" si="123"/>
        <v>0.0972222222222223</v>
      </c>
      <c r="S263" s="36">
        <f t="shared" si="125"/>
        <v>0.0321489001692046</v>
      </c>
      <c r="T263" s="36">
        <f t="shared" si="126"/>
        <v>0.0671798460461861</v>
      </c>
      <c r="U263" s="36">
        <f t="shared" si="127"/>
        <v>0.0747004933051443</v>
      </c>
      <c r="BA263" s="25">
        <f t="shared" si="131"/>
        <v>45166</v>
      </c>
      <c r="BB263" s="28">
        <f t="shared" si="131"/>
        <v>0.97</v>
      </c>
      <c r="BC263" s="28">
        <f t="shared" si="113"/>
        <v>1.07</v>
      </c>
      <c r="BD263" s="28">
        <f t="shared" si="117"/>
        <v>1.58</v>
      </c>
      <c r="BE263" s="28">
        <f t="shared" si="110"/>
        <v>1.79</v>
      </c>
      <c r="BF263" s="28">
        <f t="shared" si="124"/>
        <v>3.05</v>
      </c>
      <c r="BG263" s="28">
        <f t="shared" si="132"/>
        <v>3.61</v>
      </c>
      <c r="BH263" s="28">
        <f t="shared" si="130"/>
        <v>3.62</v>
      </c>
      <c r="BI263" s="28">
        <f t="shared" si="130"/>
        <v>3.6</v>
      </c>
      <c r="CC263" s="25"/>
      <c r="CD263" s="29"/>
      <c r="CE263" s="29"/>
      <c r="DP263" s="35">
        <v>43847</v>
      </c>
      <c r="DQ263" s="26">
        <v>3.35</v>
      </c>
      <c r="DR263" s="26">
        <v>3.1</v>
      </c>
      <c r="DS263" s="26">
        <v>3.217</v>
      </c>
      <c r="DU263" s="35">
        <v>43847</v>
      </c>
      <c r="DV263" s="26">
        <v>6.2</v>
      </c>
      <c r="DW263" s="26">
        <v>6.1</v>
      </c>
      <c r="DX263" s="26">
        <v>6.154</v>
      </c>
      <c r="DZ263" s="35">
        <v>43847</v>
      </c>
      <c r="EA263" s="26">
        <v>12.45</v>
      </c>
      <c r="EB263" s="26">
        <v>12.35</v>
      </c>
      <c r="EC263" s="26">
        <v>12.4</v>
      </c>
    </row>
    <row r="264" ht="16.8" spans="3:133">
      <c r="C264" s="5" t="str" cm="1">
        <f t="array" ref="C264">_xlfn.IFS(MONTH(D264)&lt;4,1,MONTH(D264)&lt;7,2,MONTH(D264)&lt;10,3,MONTH(D264)&gt;9,4)&amp;"Q"&amp;RIGHT(YEAR(D264),2)</f>
        <v>3Q23</v>
      </c>
      <c r="D264" s="2">
        <f t="shared" si="114"/>
        <v>45199</v>
      </c>
      <c r="E264" s="25">
        <f t="shared" si="128"/>
        <v>45173</v>
      </c>
      <c r="F264" s="26">
        <v>0.97</v>
      </c>
      <c r="G264" s="26">
        <v>1.59</v>
      </c>
      <c r="H264" s="26">
        <v>3.071</v>
      </c>
      <c r="I264" s="28">
        <f t="shared" si="115"/>
        <v>0.0303125</v>
      </c>
      <c r="J264" s="28">
        <f t="shared" si="111"/>
        <v>0.02484375</v>
      </c>
      <c r="K264" s="28">
        <f t="shared" si="112"/>
        <v>0.0239921875</v>
      </c>
      <c r="M264" s="36">
        <f t="shared" si="118"/>
        <v>0</v>
      </c>
      <c r="N264" s="36">
        <f t="shared" si="119"/>
        <v>0.0104166666666667</v>
      </c>
      <c r="O264" s="36">
        <f t="shared" si="120"/>
        <v>0.043010752688172</v>
      </c>
      <c r="P264" s="36">
        <f t="shared" si="121"/>
        <v>0.00632911392405067</v>
      </c>
      <c r="Q264" s="36">
        <f t="shared" si="122"/>
        <v>0.0460526315789473</v>
      </c>
      <c r="R264" s="36">
        <f t="shared" si="123"/>
        <v>0.104166666666667</v>
      </c>
      <c r="S264" s="36">
        <f t="shared" si="125"/>
        <v>0.00688524590163953</v>
      </c>
      <c r="T264" s="36">
        <f t="shared" si="126"/>
        <v>0.0392554991539764</v>
      </c>
      <c r="U264" s="36">
        <f t="shared" si="127"/>
        <v>0.0745276417074878</v>
      </c>
      <c r="BA264" s="25">
        <f t="shared" si="131"/>
        <v>45173</v>
      </c>
      <c r="BB264" s="28">
        <f t="shared" si="131"/>
        <v>0.97</v>
      </c>
      <c r="BC264" s="28">
        <f t="shared" si="113"/>
        <v>1.07</v>
      </c>
      <c r="BD264" s="28">
        <f t="shared" si="117"/>
        <v>1.59</v>
      </c>
      <c r="BE264" s="28">
        <f t="shared" si="110"/>
        <v>1.83</v>
      </c>
      <c r="BF264" s="28">
        <f t="shared" si="124"/>
        <v>3.071</v>
      </c>
      <c r="BG264" s="28">
        <f t="shared" si="132"/>
        <v>3.675</v>
      </c>
      <c r="BH264" s="28">
        <f t="shared" si="130"/>
        <v>3.7</v>
      </c>
      <c r="BI264" s="28">
        <f t="shared" si="130"/>
        <v>3.65</v>
      </c>
      <c r="CC264" s="25"/>
      <c r="CD264" s="29"/>
      <c r="CE264" s="29"/>
      <c r="DP264" s="35">
        <v>43850</v>
      </c>
      <c r="DQ264" s="26">
        <v>3.35</v>
      </c>
      <c r="DR264" s="26">
        <v>3.1</v>
      </c>
      <c r="DS264" s="26">
        <v>3.217</v>
      </c>
      <c r="DU264" s="35">
        <v>43850</v>
      </c>
      <c r="DV264" s="26">
        <v>6.2</v>
      </c>
      <c r="DW264" s="26">
        <v>6.1</v>
      </c>
      <c r="DX264" s="26">
        <v>6.154</v>
      </c>
      <c r="DZ264" s="35">
        <v>43850</v>
      </c>
      <c r="EA264" s="26">
        <v>12.45</v>
      </c>
      <c r="EB264" s="26">
        <v>12.35</v>
      </c>
      <c r="EC264" s="26">
        <v>12.4</v>
      </c>
    </row>
    <row r="265" ht="16.8" spans="3:133">
      <c r="C265" s="5" t="str" cm="1">
        <f t="array" ref="C265">_xlfn.IFS(MONTH(D265)&lt;4,1,MONTH(D265)&lt;7,2,MONTH(D265)&lt;10,3,MONTH(D265)&gt;9,4)&amp;"Q"&amp;RIGHT(YEAR(D265),2)</f>
        <v>3Q23</v>
      </c>
      <c r="D265" s="2">
        <f t="shared" si="114"/>
        <v>45199</v>
      </c>
      <c r="E265" s="25">
        <f t="shared" si="128"/>
        <v>45180</v>
      </c>
      <c r="F265" s="26">
        <v>0.97</v>
      </c>
      <c r="G265" s="26">
        <v>1.62</v>
      </c>
      <c r="H265" s="26">
        <v>3.2</v>
      </c>
      <c r="I265" s="28">
        <f t="shared" si="115"/>
        <v>0.0303125</v>
      </c>
      <c r="J265" s="28">
        <f t="shared" si="111"/>
        <v>0.0253125</v>
      </c>
      <c r="K265" s="28">
        <f t="shared" si="112"/>
        <v>0.025</v>
      </c>
      <c r="M265" s="36">
        <f t="shared" si="118"/>
        <v>0</v>
      </c>
      <c r="N265" s="36">
        <f t="shared" si="119"/>
        <v>0</v>
      </c>
      <c r="O265" s="36">
        <f t="shared" si="120"/>
        <v>0.0104166666666667</v>
      </c>
      <c r="P265" s="36">
        <f t="shared" si="121"/>
        <v>0.0188679245283019</v>
      </c>
      <c r="Q265" s="36">
        <f t="shared" si="122"/>
        <v>0.0253164556962024</v>
      </c>
      <c r="R265" s="36">
        <f t="shared" si="123"/>
        <v>0.0657894736842106</v>
      </c>
      <c r="S265" s="36">
        <f t="shared" si="125"/>
        <v>0.0420058612829697</v>
      </c>
      <c r="T265" s="36">
        <f t="shared" si="126"/>
        <v>0.0491803278688525</v>
      </c>
      <c r="U265" s="36">
        <f t="shared" si="127"/>
        <v>0.0829103214890017</v>
      </c>
      <c r="BA265" s="25">
        <f t="shared" si="131"/>
        <v>45180</v>
      </c>
      <c r="BB265" s="28">
        <f t="shared" si="131"/>
        <v>0.97</v>
      </c>
      <c r="BC265" s="28">
        <f t="shared" si="113"/>
        <v>1.07</v>
      </c>
      <c r="BD265" s="28">
        <f t="shared" si="117"/>
        <v>1.62</v>
      </c>
      <c r="BE265" s="28">
        <f t="shared" si="110"/>
        <v>1.83</v>
      </c>
      <c r="BF265" s="28">
        <f t="shared" si="124"/>
        <v>3.2</v>
      </c>
      <c r="BG265" s="28">
        <f t="shared" si="132"/>
        <v>3.675</v>
      </c>
      <c r="BH265" s="28">
        <f t="shared" si="130"/>
        <v>3.7</v>
      </c>
      <c r="BI265" s="28">
        <f t="shared" si="130"/>
        <v>3.65</v>
      </c>
      <c r="CC265" s="25"/>
      <c r="CD265" s="29"/>
      <c r="CE265" s="29"/>
      <c r="DP265" s="35">
        <v>43851</v>
      </c>
      <c r="DQ265" s="26">
        <v>3.35</v>
      </c>
      <c r="DR265" s="26">
        <v>3.1</v>
      </c>
      <c r="DS265" s="26">
        <v>3.233</v>
      </c>
      <c r="DU265" s="35">
        <v>43851</v>
      </c>
      <c r="DV265" s="26">
        <v>6.2</v>
      </c>
      <c r="DW265" s="26">
        <v>6.1</v>
      </c>
      <c r="DX265" s="26">
        <v>6.154</v>
      </c>
      <c r="DZ265" s="35">
        <v>43851</v>
      </c>
      <c r="EA265" s="26">
        <v>12.5</v>
      </c>
      <c r="EB265" s="26">
        <v>12.4</v>
      </c>
      <c r="EC265" s="26">
        <v>12.45</v>
      </c>
    </row>
    <row r="266" ht="16.8" spans="3:133">
      <c r="C266" s="5" t="str" cm="1">
        <f t="array" ref="C266">_xlfn.IFS(MONTH(D266)&lt;4,1,MONTH(D266)&lt;7,2,MONTH(D266)&lt;10,3,MONTH(D266)&gt;9,4)&amp;"Q"&amp;RIGHT(YEAR(D266),2)</f>
        <v>3Q23</v>
      </c>
      <c r="D266" s="2">
        <f t="shared" si="114"/>
        <v>45199</v>
      </c>
      <c r="E266" s="25">
        <f t="shared" si="128"/>
        <v>45187</v>
      </c>
      <c r="F266" s="26">
        <v>1.04</v>
      </c>
      <c r="G266" s="26">
        <v>1.69</v>
      </c>
      <c r="H266" s="26">
        <v>3.402</v>
      </c>
      <c r="I266" s="28">
        <f t="shared" si="115"/>
        <v>0.0325</v>
      </c>
      <c r="J266" s="28">
        <f t="shared" si="111"/>
        <v>0.02640625</v>
      </c>
      <c r="K266" s="28">
        <f t="shared" si="112"/>
        <v>0.026578125</v>
      </c>
      <c r="M266" s="36">
        <f t="shared" si="118"/>
        <v>0.0721649484536082</v>
      </c>
      <c r="N266" s="36">
        <f t="shared" si="119"/>
        <v>0.0721649484536082</v>
      </c>
      <c r="O266" s="36">
        <f t="shared" si="120"/>
        <v>0.0721649484536082</v>
      </c>
      <c r="P266" s="36">
        <f t="shared" si="121"/>
        <v>0.0432098765432098</v>
      </c>
      <c r="Q266" s="36">
        <f t="shared" si="122"/>
        <v>0.0628930817610063</v>
      </c>
      <c r="R266" s="36">
        <f t="shared" si="123"/>
        <v>0.0696202531645569</v>
      </c>
      <c r="S266" s="36">
        <f t="shared" si="125"/>
        <v>0.0631249999999999</v>
      </c>
      <c r="T266" s="36">
        <f t="shared" si="126"/>
        <v>0.107782481276457</v>
      </c>
      <c r="U266" s="36">
        <f t="shared" si="127"/>
        <v>0.115409836065574</v>
      </c>
      <c r="BA266" s="25">
        <f t="shared" si="131"/>
        <v>45187</v>
      </c>
      <c r="BB266" s="28">
        <f t="shared" si="131"/>
        <v>1.04</v>
      </c>
      <c r="BC266" s="28">
        <f t="shared" si="113"/>
        <v>1.07</v>
      </c>
      <c r="BD266" s="28">
        <f t="shared" si="117"/>
        <v>1.69</v>
      </c>
      <c r="BE266" s="28">
        <f t="shared" si="110"/>
        <v>1.83</v>
      </c>
      <c r="BF266" s="28">
        <f t="shared" si="124"/>
        <v>3.402</v>
      </c>
      <c r="BG266" s="28">
        <f t="shared" si="132"/>
        <v>3.675</v>
      </c>
      <c r="BH266" s="28">
        <f t="shared" si="130"/>
        <v>3.7</v>
      </c>
      <c r="BI266" s="28">
        <f t="shared" si="130"/>
        <v>3.65</v>
      </c>
      <c r="CC266" s="25"/>
      <c r="CD266" s="29"/>
      <c r="CE266" s="29"/>
      <c r="DP266" s="35">
        <v>43852</v>
      </c>
      <c r="DQ266" s="26">
        <v>3.35</v>
      </c>
      <c r="DR266" s="26">
        <v>3.1</v>
      </c>
      <c r="DS266" s="26">
        <v>3.233</v>
      </c>
      <c r="DU266" s="35">
        <v>43852</v>
      </c>
      <c r="DV266" s="26">
        <v>6.2</v>
      </c>
      <c r="DW266" s="26">
        <v>6.1</v>
      </c>
      <c r="DX266" s="26">
        <v>6.154</v>
      </c>
      <c r="DZ266" s="35">
        <v>43852</v>
      </c>
      <c r="EA266" s="26">
        <v>12.5</v>
      </c>
      <c r="EB266" s="26">
        <v>12.4</v>
      </c>
      <c r="EC266" s="26">
        <v>12.45</v>
      </c>
    </row>
    <row r="267" ht="16.8" spans="3:133">
      <c r="C267" s="5" t="str" cm="1">
        <f t="array" ref="C267">_xlfn.IFS(MONTH(D267)&lt;4,1,MONTH(D267)&lt;7,2,MONTH(D267)&lt;10,3,MONTH(D267)&gt;9,4)&amp;"Q"&amp;RIGHT(YEAR(D267),2)</f>
        <v>3Q23</v>
      </c>
      <c r="D267" s="2">
        <f t="shared" si="114"/>
        <v>45199</v>
      </c>
      <c r="E267" s="25">
        <f t="shared" si="128"/>
        <v>45194</v>
      </c>
      <c r="F267" s="26">
        <v>1.08</v>
      </c>
      <c r="G267" s="26">
        <v>1.76</v>
      </c>
      <c r="H267" s="26">
        <v>3.528</v>
      </c>
      <c r="I267" s="28">
        <f t="shared" si="115"/>
        <v>0.03375</v>
      </c>
      <c r="J267" s="28">
        <f t="shared" si="111"/>
        <v>0.0275</v>
      </c>
      <c r="K267" s="28">
        <f t="shared" si="112"/>
        <v>0.0275625</v>
      </c>
      <c r="M267" s="36">
        <f t="shared" si="118"/>
        <v>0.0384615384615385</v>
      </c>
      <c r="N267" s="36">
        <f t="shared" si="119"/>
        <v>0.11340206185567</v>
      </c>
      <c r="O267" s="36">
        <f t="shared" si="120"/>
        <v>0.11340206185567</v>
      </c>
      <c r="P267" s="36">
        <f t="shared" si="121"/>
        <v>0.0414201183431953</v>
      </c>
      <c r="Q267" s="36">
        <f t="shared" si="122"/>
        <v>0.0864197530864197</v>
      </c>
      <c r="R267" s="36">
        <f t="shared" si="123"/>
        <v>0.106918238993711</v>
      </c>
      <c r="S267" s="36">
        <f t="shared" si="125"/>
        <v>0.037037037037037</v>
      </c>
      <c r="T267" s="36">
        <f t="shared" si="126"/>
        <v>0.1025</v>
      </c>
      <c r="U267" s="36">
        <f t="shared" si="127"/>
        <v>0.148811462064474</v>
      </c>
      <c r="BA267" s="25">
        <f t="shared" si="131"/>
        <v>45194</v>
      </c>
      <c r="BB267" s="28">
        <f t="shared" si="131"/>
        <v>1.08</v>
      </c>
      <c r="BC267" s="28">
        <f t="shared" si="113"/>
        <v>1.07</v>
      </c>
      <c r="BD267" s="28">
        <f t="shared" si="117"/>
        <v>1.76</v>
      </c>
      <c r="BE267" s="28">
        <f t="shared" si="110"/>
        <v>1.83</v>
      </c>
      <c r="BF267" s="28">
        <f t="shared" si="124"/>
        <v>3.528</v>
      </c>
      <c r="BG267" s="28">
        <f t="shared" si="132"/>
        <v>3.675</v>
      </c>
      <c r="BH267" s="28">
        <f t="shared" si="130"/>
        <v>3.7</v>
      </c>
      <c r="BI267" s="28">
        <f t="shared" si="130"/>
        <v>3.65</v>
      </c>
      <c r="CC267" s="25"/>
      <c r="CD267" s="29"/>
      <c r="CE267" s="29"/>
      <c r="DP267" s="35">
        <v>43860</v>
      </c>
      <c r="DQ267" s="26">
        <v>3.35</v>
      </c>
      <c r="DR267" s="26">
        <v>3.15</v>
      </c>
      <c r="DS267" s="26">
        <v>3.244</v>
      </c>
      <c r="DU267" s="35">
        <v>43860</v>
      </c>
      <c r="DV267" s="26">
        <v>6.2</v>
      </c>
      <c r="DW267" s="26">
        <v>6.1</v>
      </c>
      <c r="DX267" s="26">
        <v>6.154</v>
      </c>
      <c r="DZ267" s="35">
        <v>43860</v>
      </c>
      <c r="EA267" s="26">
        <v>12.5</v>
      </c>
      <c r="EB267" s="26">
        <v>12.4</v>
      </c>
      <c r="EC267" s="26">
        <v>12.45</v>
      </c>
    </row>
    <row r="268" ht="16.8" spans="3:133">
      <c r="C268" s="5" t="str" cm="1">
        <f t="array" ref="C268">_xlfn.IFS(MONTH(D268)&lt;4,1,MONTH(D268)&lt;7,2,MONTH(D268)&lt;10,3,MONTH(D268)&gt;9,4)&amp;"Q"&amp;RIGHT(YEAR(D268),2)</f>
        <v>4Q23</v>
      </c>
      <c r="D268" s="2">
        <f t="shared" si="114"/>
        <v>45230</v>
      </c>
      <c r="E268" s="25">
        <f t="shared" si="128"/>
        <v>45201</v>
      </c>
      <c r="F268" s="26">
        <v>1.12</v>
      </c>
      <c r="G268" s="26">
        <v>1.82</v>
      </c>
      <c r="H268" s="26">
        <v>3.569</v>
      </c>
      <c r="I268" s="28">
        <f t="shared" si="115"/>
        <v>0.035</v>
      </c>
      <c r="J268" s="28">
        <f t="shared" si="111"/>
        <v>0.0284375</v>
      </c>
      <c r="K268" s="28">
        <f t="shared" si="112"/>
        <v>0.0278828125</v>
      </c>
      <c r="M268" s="36">
        <f t="shared" si="118"/>
        <v>0.037037037037037</v>
      </c>
      <c r="N268" s="36">
        <f t="shared" si="119"/>
        <v>0.0769230769230771</v>
      </c>
      <c r="O268" s="36">
        <f t="shared" si="120"/>
        <v>0.154639175257732</v>
      </c>
      <c r="P268" s="36">
        <f t="shared" si="121"/>
        <v>0.0340909090909092</v>
      </c>
      <c r="Q268" s="36">
        <f t="shared" si="122"/>
        <v>0.0769230769230771</v>
      </c>
      <c r="R268" s="36">
        <f t="shared" si="123"/>
        <v>0.123456790123457</v>
      </c>
      <c r="S268" s="36">
        <f t="shared" si="125"/>
        <v>0.0116213151927438</v>
      </c>
      <c r="T268" s="36">
        <f t="shared" si="126"/>
        <v>0.0490887713109935</v>
      </c>
      <c r="U268" s="36">
        <f t="shared" si="127"/>
        <v>0.1153125</v>
      </c>
      <c r="BA268" s="25">
        <f t="shared" ref="BA268:BB283" si="133">E268</f>
        <v>45201</v>
      </c>
      <c r="BB268" s="28">
        <f t="shared" si="133"/>
        <v>1.12</v>
      </c>
      <c r="BC268" s="28">
        <f t="shared" si="113"/>
        <v>1.2</v>
      </c>
      <c r="BD268" s="28">
        <f t="shared" si="117"/>
        <v>1.82</v>
      </c>
      <c r="BE268" s="28">
        <f t="shared" si="110"/>
        <v>2.11</v>
      </c>
      <c r="BF268" s="28">
        <f t="shared" si="124"/>
        <v>3.569</v>
      </c>
      <c r="BG268" s="28">
        <f t="shared" si="132"/>
        <v>4.125</v>
      </c>
      <c r="BH268" s="28">
        <f t="shared" si="130"/>
        <v>4.15</v>
      </c>
      <c r="BI268" s="28">
        <f t="shared" si="130"/>
        <v>4.1</v>
      </c>
      <c r="CC268" s="25"/>
      <c r="CD268" s="29"/>
      <c r="CE268" s="29"/>
      <c r="DP268" s="35">
        <v>43861</v>
      </c>
      <c r="DQ268" s="26">
        <v>3.35</v>
      </c>
      <c r="DR268" s="26">
        <v>3.15</v>
      </c>
      <c r="DS268" s="26">
        <v>3.261</v>
      </c>
      <c r="DU268" s="35">
        <v>43861</v>
      </c>
      <c r="DV268" s="26">
        <v>6.2</v>
      </c>
      <c r="DW268" s="26">
        <v>6.1</v>
      </c>
      <c r="DX268" s="26">
        <v>6.164</v>
      </c>
      <c r="DZ268" s="35">
        <v>43861</v>
      </c>
      <c r="EA268" s="26">
        <v>12.5</v>
      </c>
      <c r="EB268" s="26">
        <v>12.4</v>
      </c>
      <c r="EC268" s="26">
        <v>12.45</v>
      </c>
    </row>
    <row r="269" ht="16.8" spans="3:133">
      <c r="C269" s="5" t="str" cm="1">
        <f t="array" ref="C269">_xlfn.IFS(MONTH(D269)&lt;4,1,MONTH(D269)&lt;7,2,MONTH(D269)&lt;10,3,MONTH(D269)&gt;9,4)&amp;"Q"&amp;RIGHT(YEAR(D269),2)</f>
        <v>4Q23</v>
      </c>
      <c r="D269" s="2">
        <f t="shared" si="114"/>
        <v>45230</v>
      </c>
      <c r="E269" s="25">
        <f t="shared" si="128"/>
        <v>45208</v>
      </c>
      <c r="F269" s="26">
        <v>1.12</v>
      </c>
      <c r="G269" s="26">
        <v>1.94</v>
      </c>
      <c r="H269" s="26">
        <v>3.577</v>
      </c>
      <c r="I269" s="28">
        <f t="shared" si="115"/>
        <v>0.035</v>
      </c>
      <c r="J269" s="28">
        <f t="shared" si="111"/>
        <v>0.0303125</v>
      </c>
      <c r="K269" s="28">
        <f t="shared" si="112"/>
        <v>0.0279453125</v>
      </c>
      <c r="M269" s="36">
        <f t="shared" si="118"/>
        <v>0</v>
      </c>
      <c r="N269" s="36">
        <f t="shared" si="119"/>
        <v>0.037037037037037</v>
      </c>
      <c r="O269" s="36">
        <f t="shared" si="120"/>
        <v>0.0769230769230771</v>
      </c>
      <c r="P269" s="36">
        <f t="shared" si="121"/>
        <v>0.0659340659340659</v>
      </c>
      <c r="Q269" s="36">
        <f t="shared" si="122"/>
        <v>0.102272727272727</v>
      </c>
      <c r="R269" s="36">
        <f t="shared" si="123"/>
        <v>0.14792899408284</v>
      </c>
      <c r="S269" s="36">
        <f t="shared" si="125"/>
        <v>0.00224152423648083</v>
      </c>
      <c r="T269" s="36">
        <f t="shared" si="126"/>
        <v>0.0138888888888888</v>
      </c>
      <c r="U269" s="36">
        <f t="shared" si="127"/>
        <v>0.0514403292181069</v>
      </c>
      <c r="BA269" s="25">
        <f t="shared" si="133"/>
        <v>45208</v>
      </c>
      <c r="BB269" s="28">
        <f t="shared" si="133"/>
        <v>1.12</v>
      </c>
      <c r="BC269" s="28">
        <f t="shared" si="113"/>
        <v>1.2</v>
      </c>
      <c r="BD269" s="28">
        <f t="shared" si="117"/>
        <v>1.94</v>
      </c>
      <c r="BE269" s="28">
        <f t="shared" si="110"/>
        <v>2.11</v>
      </c>
      <c r="BF269" s="28">
        <f t="shared" si="124"/>
        <v>3.577</v>
      </c>
      <c r="BG269" s="28">
        <f t="shared" si="132"/>
        <v>4.125</v>
      </c>
      <c r="BH269" s="28">
        <f t="shared" si="130"/>
        <v>4.15</v>
      </c>
      <c r="BI269" s="28">
        <f t="shared" si="130"/>
        <v>4.1</v>
      </c>
      <c r="CC269" s="25"/>
      <c r="CD269" s="29"/>
      <c r="CE269" s="29"/>
      <c r="DP269" s="35">
        <v>43864</v>
      </c>
      <c r="DQ269" s="26">
        <v>3.35</v>
      </c>
      <c r="DR269" s="26">
        <v>3.15</v>
      </c>
      <c r="DS269" s="26">
        <v>3.267</v>
      </c>
      <c r="DU269" s="35">
        <v>43864</v>
      </c>
      <c r="DV269" s="26">
        <v>6.2</v>
      </c>
      <c r="DW269" s="26">
        <v>6.1</v>
      </c>
      <c r="DX269" s="26">
        <v>6.165</v>
      </c>
      <c r="DZ269" s="35">
        <v>43864</v>
      </c>
      <c r="EA269" s="26">
        <v>12.5</v>
      </c>
      <c r="EB269" s="26">
        <v>12.4</v>
      </c>
      <c r="EC269" s="26">
        <v>12.45</v>
      </c>
    </row>
    <row r="270" ht="16.8" spans="3:133">
      <c r="C270" s="5" t="str" cm="1">
        <f t="array" ref="C270">_xlfn.IFS(MONTH(D270)&lt;4,1,MONTH(D270)&lt;7,2,MONTH(D270)&lt;10,3,MONTH(D270)&gt;9,4)&amp;"Q"&amp;RIGHT(YEAR(D270),2)</f>
        <v>4Q23</v>
      </c>
      <c r="D270" s="2">
        <f t="shared" si="114"/>
        <v>45230</v>
      </c>
      <c r="E270" s="25">
        <f t="shared" si="128"/>
        <v>45215</v>
      </c>
      <c r="F270" s="26">
        <v>1.12</v>
      </c>
      <c r="G270" s="26">
        <v>1.93</v>
      </c>
      <c r="H270" s="26">
        <v>3.815</v>
      </c>
      <c r="I270" s="28">
        <f t="shared" si="115"/>
        <v>0.035</v>
      </c>
      <c r="J270" s="28">
        <f t="shared" si="111"/>
        <v>0.03015625</v>
      </c>
      <c r="K270" s="28">
        <f t="shared" si="112"/>
        <v>0.0298046875</v>
      </c>
      <c r="M270" s="36">
        <f t="shared" si="118"/>
        <v>0</v>
      </c>
      <c r="N270" s="36">
        <f t="shared" si="119"/>
        <v>0</v>
      </c>
      <c r="O270" s="36">
        <f t="shared" si="120"/>
        <v>0.037037037037037</v>
      </c>
      <c r="P270" s="36">
        <f t="shared" si="121"/>
        <v>-0.00515463917525771</v>
      </c>
      <c r="Q270" s="36">
        <f t="shared" si="122"/>
        <v>0.0604395604395604</v>
      </c>
      <c r="R270" s="36">
        <f t="shared" si="123"/>
        <v>0.0965909090909089</v>
      </c>
      <c r="S270" s="36">
        <f t="shared" si="125"/>
        <v>0.066536203522505</v>
      </c>
      <c r="T270" s="36">
        <f t="shared" si="126"/>
        <v>0.0689268702717849</v>
      </c>
      <c r="U270" s="36">
        <f t="shared" si="127"/>
        <v>0.0813492063492063</v>
      </c>
      <c r="BA270" s="25">
        <f t="shared" si="133"/>
        <v>45215</v>
      </c>
      <c r="BB270" s="28">
        <f t="shared" si="133"/>
        <v>1.12</v>
      </c>
      <c r="BC270" s="28">
        <f t="shared" si="113"/>
        <v>1.2</v>
      </c>
      <c r="BD270" s="28">
        <f t="shared" si="117"/>
        <v>1.93</v>
      </c>
      <c r="BE270" s="28">
        <f t="shared" si="110"/>
        <v>2.11</v>
      </c>
      <c r="BF270" s="28">
        <f t="shared" si="124"/>
        <v>3.815</v>
      </c>
      <c r="BG270" s="28">
        <f t="shared" si="132"/>
        <v>4.125</v>
      </c>
      <c r="BH270" s="28">
        <f t="shared" si="130"/>
        <v>4.15</v>
      </c>
      <c r="BI270" s="28">
        <f t="shared" si="130"/>
        <v>4.1</v>
      </c>
      <c r="CC270" s="25"/>
      <c r="CD270" s="29"/>
      <c r="CE270" s="29"/>
      <c r="DP270" s="35">
        <v>43865</v>
      </c>
      <c r="DQ270" s="26">
        <v>3.35</v>
      </c>
      <c r="DR270" s="26">
        <v>3.15</v>
      </c>
      <c r="DS270" s="26">
        <v>3.261</v>
      </c>
      <c r="DU270" s="35">
        <v>43865</v>
      </c>
      <c r="DV270" s="26">
        <v>6.2</v>
      </c>
      <c r="DW270" s="26">
        <v>6.1</v>
      </c>
      <c r="DX270" s="26">
        <v>6.16</v>
      </c>
      <c r="DZ270" s="35">
        <v>43865</v>
      </c>
      <c r="EA270" s="26">
        <v>12.5</v>
      </c>
      <c r="EB270" s="26">
        <v>12.4</v>
      </c>
      <c r="EC270" s="26">
        <v>12.45</v>
      </c>
    </row>
    <row r="271" ht="16.8" spans="3:133">
      <c r="C271" s="5" t="str" cm="1">
        <f t="array" ref="C271">_xlfn.IFS(MONTH(D271)&lt;4,1,MONTH(D271)&lt;7,2,MONTH(D271)&lt;10,3,MONTH(D271)&gt;9,4)&amp;"Q"&amp;RIGHT(YEAR(D271),2)</f>
        <v>4Q23</v>
      </c>
      <c r="D271" s="2">
        <f t="shared" si="114"/>
        <v>45230</v>
      </c>
      <c r="E271" s="25">
        <f t="shared" si="128"/>
        <v>45222</v>
      </c>
      <c r="F271" s="26">
        <v>1.16</v>
      </c>
      <c r="G271" s="26">
        <v>2.04</v>
      </c>
      <c r="H271" s="26">
        <v>3.981</v>
      </c>
      <c r="I271" s="28">
        <f t="shared" si="115"/>
        <v>0.03625</v>
      </c>
      <c r="J271" s="28">
        <f t="shared" si="111"/>
        <v>0.031875</v>
      </c>
      <c r="K271" s="28">
        <f t="shared" si="112"/>
        <v>0.0311015625</v>
      </c>
      <c r="M271" s="36">
        <f t="shared" si="118"/>
        <v>0.0357142857142856</v>
      </c>
      <c r="N271" s="36">
        <f t="shared" si="119"/>
        <v>0.0357142857142856</v>
      </c>
      <c r="O271" s="36">
        <f t="shared" si="120"/>
        <v>0.0357142857142856</v>
      </c>
      <c r="P271" s="36">
        <f t="shared" si="121"/>
        <v>0.0569948186528497</v>
      </c>
      <c r="Q271" s="36">
        <f t="shared" si="122"/>
        <v>0.0515463917525774</v>
      </c>
      <c r="R271" s="36">
        <f t="shared" si="123"/>
        <v>0.120879120879121</v>
      </c>
      <c r="S271" s="36">
        <f t="shared" si="125"/>
        <v>0.0435124508519005</v>
      </c>
      <c r="T271" s="36">
        <f t="shared" si="126"/>
        <v>0.11294380766005</v>
      </c>
      <c r="U271" s="36">
        <f t="shared" si="127"/>
        <v>0.115438498178762</v>
      </c>
      <c r="BA271" s="25">
        <f t="shared" si="133"/>
        <v>45222</v>
      </c>
      <c r="BB271" s="28">
        <f t="shared" si="133"/>
        <v>1.16</v>
      </c>
      <c r="BC271" s="28">
        <f t="shared" si="113"/>
        <v>1.2</v>
      </c>
      <c r="BD271" s="28">
        <f t="shared" si="117"/>
        <v>2.04</v>
      </c>
      <c r="BE271" s="28">
        <f t="shared" si="110"/>
        <v>2.11</v>
      </c>
      <c r="BF271" s="28">
        <f t="shared" si="124"/>
        <v>3.981</v>
      </c>
      <c r="BG271" s="28">
        <f t="shared" si="132"/>
        <v>4.125</v>
      </c>
      <c r="BH271" s="28">
        <f t="shared" si="130"/>
        <v>4.15</v>
      </c>
      <c r="BI271" s="28">
        <f t="shared" si="130"/>
        <v>4.1</v>
      </c>
      <c r="CC271" s="25"/>
      <c r="CD271" s="29"/>
      <c r="CE271" s="29"/>
      <c r="DP271" s="35">
        <v>43866</v>
      </c>
      <c r="DQ271" s="26">
        <v>3.35</v>
      </c>
      <c r="DR271" s="26">
        <v>3.15</v>
      </c>
      <c r="DS271" s="26">
        <v>3.266</v>
      </c>
      <c r="DU271" s="35">
        <v>43866</v>
      </c>
      <c r="DV271" s="26">
        <v>6.2</v>
      </c>
      <c r="DW271" s="26">
        <v>6.1</v>
      </c>
      <c r="DX271" s="26">
        <v>6.16</v>
      </c>
      <c r="DZ271" s="35">
        <v>43866</v>
      </c>
      <c r="EA271" s="26">
        <v>12.5</v>
      </c>
      <c r="EB271" s="26">
        <v>12.4</v>
      </c>
      <c r="EC271" s="26">
        <v>12.45</v>
      </c>
    </row>
    <row r="272" ht="16.8" spans="3:133">
      <c r="C272" s="5" t="str" cm="1">
        <f t="array" ref="C272">_xlfn.IFS(MONTH(D272)&lt;4,1,MONTH(D272)&lt;7,2,MONTH(D272)&lt;10,3,MONTH(D272)&gt;9,4)&amp;"Q"&amp;RIGHT(YEAR(D272),2)</f>
        <v>4Q23</v>
      </c>
      <c r="D272" s="2">
        <f t="shared" si="114"/>
        <v>45230</v>
      </c>
      <c r="E272" s="25">
        <f t="shared" si="128"/>
        <v>45229</v>
      </c>
      <c r="F272" s="26">
        <v>1.3</v>
      </c>
      <c r="G272" s="26">
        <v>2.3</v>
      </c>
      <c r="H272" s="26">
        <v>4.365</v>
      </c>
      <c r="I272" s="28">
        <f t="shared" si="115"/>
        <v>0.040625</v>
      </c>
      <c r="J272" s="28">
        <f t="shared" si="111"/>
        <v>0.0359375</v>
      </c>
      <c r="K272" s="28">
        <f t="shared" si="112"/>
        <v>0.0341015625</v>
      </c>
      <c r="M272" s="36">
        <f t="shared" si="118"/>
        <v>0.120689655172414</v>
      </c>
      <c r="N272" s="36">
        <f t="shared" si="119"/>
        <v>0.160714285714286</v>
      </c>
      <c r="O272" s="36">
        <f t="shared" si="120"/>
        <v>0.160714285714286</v>
      </c>
      <c r="P272" s="36">
        <f t="shared" si="121"/>
        <v>0.127450980392157</v>
      </c>
      <c r="Q272" s="36">
        <f t="shared" si="122"/>
        <v>0.191709844559586</v>
      </c>
      <c r="R272" s="36">
        <f t="shared" si="123"/>
        <v>0.185567010309278</v>
      </c>
      <c r="S272" s="36">
        <f t="shared" si="125"/>
        <v>0.0964581763376038</v>
      </c>
      <c r="T272" s="36">
        <f t="shared" si="126"/>
        <v>0.144167758846658</v>
      </c>
      <c r="U272" s="36">
        <f t="shared" si="127"/>
        <v>0.220296337713167</v>
      </c>
      <c r="BA272" s="25">
        <f t="shared" si="133"/>
        <v>45229</v>
      </c>
      <c r="BB272" s="28">
        <f t="shared" si="133"/>
        <v>1.3</v>
      </c>
      <c r="BC272" s="28">
        <f t="shared" si="113"/>
        <v>1.2</v>
      </c>
      <c r="BD272" s="28">
        <f t="shared" si="117"/>
        <v>2.3</v>
      </c>
      <c r="BE272" s="28">
        <f t="shared" si="110"/>
        <v>2.11</v>
      </c>
      <c r="BF272" s="28">
        <f t="shared" si="124"/>
        <v>4.365</v>
      </c>
      <c r="BG272" s="28">
        <f t="shared" si="132"/>
        <v>4.125</v>
      </c>
      <c r="BH272" s="28">
        <f t="shared" si="130"/>
        <v>4.15</v>
      </c>
      <c r="BI272" s="28">
        <f t="shared" si="130"/>
        <v>4.1</v>
      </c>
      <c r="CC272" s="25"/>
      <c r="CD272" s="29"/>
      <c r="CE272" s="29"/>
      <c r="DP272" s="35">
        <v>43867</v>
      </c>
      <c r="DQ272" s="26">
        <v>3.35</v>
      </c>
      <c r="DR272" s="26">
        <v>3.15</v>
      </c>
      <c r="DS272" s="26">
        <v>3.266</v>
      </c>
      <c r="DU272" s="35">
        <v>43867</v>
      </c>
      <c r="DV272" s="26">
        <v>6.2</v>
      </c>
      <c r="DW272" s="26">
        <v>6.1</v>
      </c>
      <c r="DX272" s="26">
        <v>6.16</v>
      </c>
      <c r="DZ272" s="35">
        <v>43867</v>
      </c>
      <c r="EA272" s="26">
        <v>12.5</v>
      </c>
      <c r="EB272" s="26">
        <v>12.4</v>
      </c>
      <c r="EC272" s="26">
        <v>12.45</v>
      </c>
    </row>
    <row r="273" ht="16.8" spans="3:133">
      <c r="C273" s="5" t="str" cm="1">
        <f t="array" ref="C273">_xlfn.IFS(MONTH(D273)&lt;4,1,MONTH(D273)&lt;7,2,MONTH(D273)&lt;10,3,MONTH(D273)&gt;9,4)&amp;"Q"&amp;RIGHT(YEAR(D273),2)</f>
        <v>4Q23</v>
      </c>
      <c r="D273" s="2">
        <f t="shared" si="114"/>
        <v>45260</v>
      </c>
      <c r="E273" s="25">
        <f t="shared" si="128"/>
        <v>45236</v>
      </c>
      <c r="F273" s="26">
        <v>1.3</v>
      </c>
      <c r="G273" s="26">
        <v>2.46</v>
      </c>
      <c r="H273" s="26">
        <v>4.609</v>
      </c>
      <c r="I273" s="28">
        <f t="shared" si="115"/>
        <v>0.040625</v>
      </c>
      <c r="J273" s="28">
        <f t="shared" si="111"/>
        <v>0.0384375</v>
      </c>
      <c r="K273" s="28">
        <f t="shared" si="112"/>
        <v>0.0360078125</v>
      </c>
      <c r="M273" s="36">
        <f t="shared" si="118"/>
        <v>0</v>
      </c>
      <c r="N273" s="36">
        <f t="shared" si="119"/>
        <v>0.120689655172414</v>
      </c>
      <c r="O273" s="36">
        <f t="shared" si="120"/>
        <v>0.160714285714286</v>
      </c>
      <c r="P273" s="36">
        <f t="shared" si="121"/>
        <v>0.0695652173913044</v>
      </c>
      <c r="Q273" s="36">
        <f t="shared" si="122"/>
        <v>0.205882352941176</v>
      </c>
      <c r="R273" s="36">
        <f t="shared" si="123"/>
        <v>0.274611398963731</v>
      </c>
      <c r="S273" s="36">
        <f t="shared" si="125"/>
        <v>0.0558991981672394</v>
      </c>
      <c r="T273" s="36">
        <f t="shared" si="126"/>
        <v>0.157749309218789</v>
      </c>
      <c r="U273" s="36">
        <f t="shared" si="127"/>
        <v>0.208125819134994</v>
      </c>
      <c r="BA273" s="25">
        <f t="shared" si="133"/>
        <v>45236</v>
      </c>
      <c r="BB273" s="28">
        <f t="shared" si="133"/>
        <v>1.3</v>
      </c>
      <c r="BC273" s="28">
        <f t="shared" si="113"/>
        <v>1.67</v>
      </c>
      <c r="BD273" s="28">
        <f t="shared" si="117"/>
        <v>2.46</v>
      </c>
      <c r="BE273" s="28">
        <f t="shared" si="110"/>
        <v>2.71</v>
      </c>
      <c r="BF273" s="28">
        <f t="shared" si="124"/>
        <v>4.609</v>
      </c>
      <c r="BG273" s="28">
        <f t="shared" si="132"/>
        <v>5.22</v>
      </c>
      <c r="BH273" s="28">
        <f t="shared" si="130"/>
        <v>5.24</v>
      </c>
      <c r="BI273" s="28">
        <f t="shared" si="130"/>
        <v>5.2</v>
      </c>
      <c r="CC273" s="25"/>
      <c r="CD273" s="29"/>
      <c r="CE273" s="29"/>
      <c r="DP273" s="35">
        <v>43868</v>
      </c>
      <c r="DQ273" s="26">
        <v>3.35</v>
      </c>
      <c r="DR273" s="26">
        <v>3.2</v>
      </c>
      <c r="DS273" s="26">
        <v>3.277</v>
      </c>
      <c r="DU273" s="35">
        <v>43868</v>
      </c>
      <c r="DV273" s="26">
        <v>6.2</v>
      </c>
      <c r="DW273" s="26">
        <v>6.1</v>
      </c>
      <c r="DX273" s="26">
        <v>6.16</v>
      </c>
      <c r="DZ273" s="35">
        <v>43868</v>
      </c>
      <c r="EA273" s="26">
        <v>12.5</v>
      </c>
      <c r="EB273" s="26">
        <v>12.4</v>
      </c>
      <c r="EC273" s="26">
        <v>12.45</v>
      </c>
    </row>
    <row r="274" ht="16.8" spans="3:133">
      <c r="C274" s="5" t="str" cm="1">
        <f t="array" ref="C274">_xlfn.IFS(MONTH(D274)&lt;4,1,MONTH(D274)&lt;7,2,MONTH(D274)&lt;10,3,MONTH(D274)&gt;9,4)&amp;"Q"&amp;RIGHT(YEAR(D274),2)</f>
        <v>4Q23</v>
      </c>
      <c r="D274" s="2">
        <f t="shared" si="114"/>
        <v>45260</v>
      </c>
      <c r="E274" s="25">
        <f t="shared" si="128"/>
        <v>45243</v>
      </c>
      <c r="F274" s="26">
        <v>1.38</v>
      </c>
      <c r="G274" s="26">
        <v>2.6</v>
      </c>
      <c r="H274" s="26">
        <v>4.912</v>
      </c>
      <c r="I274" s="28">
        <f t="shared" si="115"/>
        <v>0.043125</v>
      </c>
      <c r="J274" s="28">
        <f t="shared" si="111"/>
        <v>0.040625</v>
      </c>
      <c r="K274" s="28">
        <f t="shared" si="112"/>
        <v>0.038375</v>
      </c>
      <c r="M274" s="36">
        <f t="shared" si="118"/>
        <v>0.0615384615384613</v>
      </c>
      <c r="N274" s="36">
        <f t="shared" si="119"/>
        <v>0.0615384615384613</v>
      </c>
      <c r="O274" s="36">
        <f t="shared" si="120"/>
        <v>0.189655172413793</v>
      </c>
      <c r="P274" s="36">
        <f t="shared" si="121"/>
        <v>0.056910569105691</v>
      </c>
      <c r="Q274" s="36">
        <f t="shared" si="122"/>
        <v>0.130434782608696</v>
      </c>
      <c r="R274" s="36">
        <f t="shared" si="123"/>
        <v>0.274509803921569</v>
      </c>
      <c r="S274" s="36">
        <f t="shared" si="125"/>
        <v>0.0657409416359296</v>
      </c>
      <c r="T274" s="36">
        <f t="shared" si="126"/>
        <v>0.125315005727377</v>
      </c>
      <c r="U274" s="36">
        <f t="shared" si="127"/>
        <v>0.23386083898518</v>
      </c>
      <c r="BA274" s="25">
        <f t="shared" si="133"/>
        <v>45243</v>
      </c>
      <c r="BB274" s="28">
        <f t="shared" si="133"/>
        <v>1.38</v>
      </c>
      <c r="BC274" s="28">
        <f t="shared" si="113"/>
        <v>1.67</v>
      </c>
      <c r="BD274" s="28">
        <f t="shared" si="117"/>
        <v>2.6</v>
      </c>
      <c r="BE274" s="28">
        <f t="shared" ref="BE274:BE337" si="134">INDEX($AM:$AQ,MATCH($D274,$AK:$AK,0),MATCH(BD$25,$AM$26:$AQ$26,0))</f>
        <v>2.71</v>
      </c>
      <c r="BF274" s="28">
        <f t="shared" si="124"/>
        <v>4.912</v>
      </c>
      <c r="BG274" s="28">
        <f t="shared" si="132"/>
        <v>5.22</v>
      </c>
      <c r="BH274" s="28">
        <f t="shared" si="130"/>
        <v>5.24</v>
      </c>
      <c r="BI274" s="28">
        <f t="shared" si="130"/>
        <v>5.2</v>
      </c>
      <c r="CC274" s="25"/>
      <c r="CD274" s="29"/>
      <c r="CE274" s="29"/>
      <c r="DP274" s="35">
        <v>43871</v>
      </c>
      <c r="DQ274" s="26">
        <v>3.35</v>
      </c>
      <c r="DR274" s="26">
        <v>3.2</v>
      </c>
      <c r="DS274" s="26">
        <v>3.272</v>
      </c>
      <c r="DU274" s="35">
        <v>43871</v>
      </c>
      <c r="DV274" s="26">
        <v>6.2</v>
      </c>
      <c r="DW274" s="26">
        <v>6.1</v>
      </c>
      <c r="DX274" s="26">
        <v>6.16</v>
      </c>
      <c r="DZ274" s="35">
        <v>43871</v>
      </c>
      <c r="EA274" s="26">
        <v>12.5</v>
      </c>
      <c r="EB274" s="26">
        <v>12.4</v>
      </c>
      <c r="EC274" s="26">
        <v>12.45</v>
      </c>
    </row>
    <row r="275" ht="16.8" spans="3:133">
      <c r="C275" s="5" t="str" cm="1">
        <f t="array" ref="C275">_xlfn.IFS(MONTH(D275)&lt;4,1,MONTH(D275)&lt;7,2,MONTH(D275)&lt;10,3,MONTH(D275)&gt;9,4)&amp;"Q"&amp;RIGHT(YEAR(D275),2)</f>
        <v>4Q23</v>
      </c>
      <c r="D275" s="2">
        <f t="shared" si="114"/>
        <v>45260</v>
      </c>
      <c r="E275" s="25">
        <f t="shared" si="128"/>
        <v>45250</v>
      </c>
      <c r="F275" s="26">
        <v>1.36</v>
      </c>
      <c r="G275" s="26">
        <v>2.57</v>
      </c>
      <c r="H275" s="26">
        <v>4.912</v>
      </c>
      <c r="I275" s="28">
        <f t="shared" si="115"/>
        <v>0.0425</v>
      </c>
      <c r="J275" s="28">
        <f t="shared" si="111"/>
        <v>0.04015625</v>
      </c>
      <c r="K275" s="28">
        <f t="shared" si="112"/>
        <v>0.038375</v>
      </c>
      <c r="M275" s="36">
        <f t="shared" si="118"/>
        <v>-0.0144927536231882</v>
      </c>
      <c r="N275" s="36">
        <f t="shared" si="119"/>
        <v>0.0461538461538462</v>
      </c>
      <c r="O275" s="36">
        <f t="shared" si="120"/>
        <v>0.0461538461538462</v>
      </c>
      <c r="P275" s="36">
        <f t="shared" si="121"/>
        <v>-0.0115384615384616</v>
      </c>
      <c r="Q275" s="36">
        <f t="shared" si="122"/>
        <v>0.0447154471544715</v>
      </c>
      <c r="R275" s="36">
        <f t="shared" si="123"/>
        <v>0.117391304347826</v>
      </c>
      <c r="S275" s="36">
        <f t="shared" si="125"/>
        <v>0</v>
      </c>
      <c r="T275" s="36">
        <f t="shared" si="126"/>
        <v>0.0657409416359296</v>
      </c>
      <c r="U275" s="36">
        <f t="shared" si="127"/>
        <v>0.125315005727377</v>
      </c>
      <c r="BA275" s="25">
        <f t="shared" si="133"/>
        <v>45250</v>
      </c>
      <c r="BB275" s="28">
        <f t="shared" si="133"/>
        <v>1.36</v>
      </c>
      <c r="BC275" s="28">
        <f t="shared" si="113"/>
        <v>1.67</v>
      </c>
      <c r="BD275" s="28">
        <f t="shared" si="117"/>
        <v>2.57</v>
      </c>
      <c r="BE275" s="28">
        <f t="shared" si="134"/>
        <v>2.71</v>
      </c>
      <c r="BF275" s="28">
        <f t="shared" si="124"/>
        <v>4.912</v>
      </c>
      <c r="BG275" s="28">
        <f t="shared" si="132"/>
        <v>5.22</v>
      </c>
      <c r="BH275" s="28">
        <f t="shared" si="130"/>
        <v>5.24</v>
      </c>
      <c r="BI275" s="28">
        <f t="shared" si="130"/>
        <v>5.2</v>
      </c>
      <c r="CC275" s="25"/>
      <c r="CD275" s="29"/>
      <c r="CE275" s="29"/>
      <c r="DP275" s="35">
        <v>43872</v>
      </c>
      <c r="DQ275" s="26">
        <v>3.35</v>
      </c>
      <c r="DR275" s="26">
        <v>3.2</v>
      </c>
      <c r="DS275" s="26">
        <v>3.272</v>
      </c>
      <c r="DU275" s="35">
        <v>43872</v>
      </c>
      <c r="DV275" s="26">
        <v>6.2</v>
      </c>
      <c r="DW275" s="26">
        <v>6.1</v>
      </c>
      <c r="DX275" s="26">
        <v>6.16</v>
      </c>
      <c r="DZ275" s="35">
        <v>43872</v>
      </c>
      <c r="EA275" s="26">
        <v>12.5</v>
      </c>
      <c r="EB275" s="26">
        <v>12.4</v>
      </c>
      <c r="EC275" s="26">
        <v>12.45</v>
      </c>
    </row>
    <row r="276" ht="16.8" spans="3:133">
      <c r="C276" s="5" t="str" cm="1">
        <f t="array" ref="C276">_xlfn.IFS(MONTH(D276)&lt;4,1,MONTH(D276)&lt;7,2,MONTH(D276)&lt;10,3,MONTH(D276)&gt;9,4)&amp;"Q"&amp;RIGHT(YEAR(D276),2)</f>
        <v>4Q23</v>
      </c>
      <c r="D276" s="2">
        <f t="shared" si="114"/>
        <v>45260</v>
      </c>
      <c r="E276" s="25">
        <f t="shared" si="128"/>
        <v>45257</v>
      </c>
      <c r="F276" s="26">
        <v>1.44</v>
      </c>
      <c r="G276" s="26">
        <v>2.86</v>
      </c>
      <c r="H276" s="26">
        <v>5.394</v>
      </c>
      <c r="I276" s="28">
        <f t="shared" si="115"/>
        <v>0.045</v>
      </c>
      <c r="J276" s="28">
        <f t="shared" si="111"/>
        <v>0.0446875</v>
      </c>
      <c r="K276" s="28">
        <f t="shared" si="112"/>
        <v>0.042140625</v>
      </c>
      <c r="M276" s="36">
        <f t="shared" si="118"/>
        <v>0.0588235294117645</v>
      </c>
      <c r="N276" s="36">
        <f t="shared" si="119"/>
        <v>0.0434782608695652</v>
      </c>
      <c r="O276" s="36">
        <f t="shared" si="120"/>
        <v>0.107692307692308</v>
      </c>
      <c r="P276" s="36">
        <f t="shared" si="121"/>
        <v>0.11284046692607</v>
      </c>
      <c r="Q276" s="36">
        <f t="shared" si="122"/>
        <v>0.0999999999999999</v>
      </c>
      <c r="R276" s="36">
        <f t="shared" si="123"/>
        <v>0.16260162601626</v>
      </c>
      <c r="S276" s="36">
        <f t="shared" si="125"/>
        <v>0.098127035830619</v>
      </c>
      <c r="T276" s="36">
        <f t="shared" si="126"/>
        <v>0.098127035830619</v>
      </c>
      <c r="U276" s="36">
        <f t="shared" si="127"/>
        <v>0.170318941201996</v>
      </c>
      <c r="BA276" s="25">
        <f t="shared" si="133"/>
        <v>45257</v>
      </c>
      <c r="BB276" s="28">
        <f t="shared" si="133"/>
        <v>1.44</v>
      </c>
      <c r="BC276" s="28">
        <f t="shared" si="113"/>
        <v>1.67</v>
      </c>
      <c r="BD276" s="28">
        <f t="shared" si="117"/>
        <v>2.86</v>
      </c>
      <c r="BE276" s="28">
        <f t="shared" si="134"/>
        <v>2.71</v>
      </c>
      <c r="BF276" s="28">
        <f t="shared" si="124"/>
        <v>5.394</v>
      </c>
      <c r="BG276" s="28">
        <f t="shared" si="132"/>
        <v>5.22</v>
      </c>
      <c r="BH276" s="28">
        <f t="shared" si="130"/>
        <v>5.24</v>
      </c>
      <c r="BI276" s="28">
        <f t="shared" si="130"/>
        <v>5.2</v>
      </c>
      <c r="CC276" s="25"/>
      <c r="CD276" s="29"/>
      <c r="CE276" s="29"/>
      <c r="DP276" s="35">
        <v>43873</v>
      </c>
      <c r="DQ276" s="26">
        <v>3.35</v>
      </c>
      <c r="DR276" s="26">
        <v>3.2</v>
      </c>
      <c r="DS276" s="26">
        <v>3.272</v>
      </c>
      <c r="DU276" s="35">
        <v>43873</v>
      </c>
      <c r="DV276" s="26">
        <v>6.2</v>
      </c>
      <c r="DW276" s="26">
        <v>6.1</v>
      </c>
      <c r="DX276" s="26">
        <v>6.16</v>
      </c>
      <c r="DZ276" s="35">
        <v>43873</v>
      </c>
      <c r="EA276" s="26">
        <v>12.5</v>
      </c>
      <c r="EB276" s="26">
        <v>12.4</v>
      </c>
      <c r="EC276" s="26">
        <v>12.45</v>
      </c>
    </row>
    <row r="277" ht="16.8" spans="3:133">
      <c r="C277" s="5" t="str" cm="1">
        <f t="array" ref="C277">_xlfn.IFS(MONTH(D277)&lt;4,1,MONTH(D277)&lt;7,2,MONTH(D277)&lt;10,3,MONTH(D277)&gt;9,4)&amp;"Q"&amp;RIGHT(YEAR(D277),2)</f>
        <v>4Q23</v>
      </c>
      <c r="D277" s="2">
        <f t="shared" si="114"/>
        <v>45291</v>
      </c>
      <c r="E277" s="25">
        <f t="shared" si="128"/>
        <v>45264</v>
      </c>
      <c r="F277" s="26">
        <v>1.47</v>
      </c>
      <c r="G277" s="26">
        <v>3.02</v>
      </c>
      <c r="H277" s="26">
        <v>5.406</v>
      </c>
      <c r="I277" s="28">
        <f t="shared" si="115"/>
        <v>0.0459375</v>
      </c>
      <c r="J277" s="28">
        <f t="shared" si="111"/>
        <v>0.0471875</v>
      </c>
      <c r="K277" s="28">
        <f t="shared" si="112"/>
        <v>0.042234375</v>
      </c>
      <c r="M277" s="36">
        <f t="shared" si="118"/>
        <v>0.0208333333333333</v>
      </c>
      <c r="N277" s="36">
        <f t="shared" si="119"/>
        <v>0.0808823529411764</v>
      </c>
      <c r="O277" s="36">
        <f t="shared" si="120"/>
        <v>0.0652173913043479</v>
      </c>
      <c r="P277" s="36">
        <f t="shared" si="121"/>
        <v>0.055944055944056</v>
      </c>
      <c r="Q277" s="36">
        <f t="shared" si="122"/>
        <v>0.175097276264591</v>
      </c>
      <c r="R277" s="36">
        <f t="shared" si="123"/>
        <v>0.161538461538461</v>
      </c>
      <c r="S277" s="36">
        <f t="shared" si="125"/>
        <v>0.0022246941045605</v>
      </c>
      <c r="T277" s="36">
        <f t="shared" si="126"/>
        <v>0.10057003257329</v>
      </c>
      <c r="U277" s="36">
        <f t="shared" si="127"/>
        <v>0.10057003257329</v>
      </c>
      <c r="BA277" s="25">
        <f t="shared" si="133"/>
        <v>45264</v>
      </c>
      <c r="BB277" s="28">
        <f t="shared" si="133"/>
        <v>1.47</v>
      </c>
      <c r="BC277" s="28">
        <f t="shared" si="113"/>
        <v>1.81</v>
      </c>
      <c r="BD277" s="28">
        <f t="shared" si="117"/>
        <v>3.02</v>
      </c>
      <c r="BE277" s="28">
        <f t="shared" si="134"/>
        <v>3.12</v>
      </c>
      <c r="BF277" s="28">
        <f t="shared" si="124"/>
        <v>5.406</v>
      </c>
      <c r="BG277" s="28">
        <f t="shared" si="132"/>
        <v>5.945</v>
      </c>
      <c r="BH277" s="28">
        <f t="shared" si="130"/>
        <v>6.24</v>
      </c>
      <c r="BI277" s="28">
        <f t="shared" si="130"/>
        <v>5.65</v>
      </c>
      <c r="CC277" s="25"/>
      <c r="CD277" s="29"/>
      <c r="CE277" s="29"/>
      <c r="DP277" s="35">
        <v>43874</v>
      </c>
      <c r="DQ277" s="26">
        <v>3.35</v>
      </c>
      <c r="DR277" s="26">
        <v>3.2</v>
      </c>
      <c r="DS277" s="26">
        <v>3.272</v>
      </c>
      <c r="DU277" s="35">
        <v>43874</v>
      </c>
      <c r="DV277" s="26">
        <v>6.2</v>
      </c>
      <c r="DW277" s="26">
        <v>6.1</v>
      </c>
      <c r="DX277" s="26">
        <v>6.16</v>
      </c>
      <c r="DZ277" s="35">
        <v>43874</v>
      </c>
      <c r="EA277" s="26">
        <v>12.5</v>
      </c>
      <c r="EB277" s="26">
        <v>12.4</v>
      </c>
      <c r="EC277" s="26">
        <v>12.45</v>
      </c>
    </row>
    <row r="278" ht="16.8" spans="3:133">
      <c r="C278" s="5" t="str" cm="1">
        <f t="array" ref="C278">_xlfn.IFS(MONTH(D278)&lt;4,1,MONTH(D278)&lt;7,2,MONTH(D278)&lt;10,3,MONTH(D278)&gt;9,4)&amp;"Q"&amp;RIGHT(YEAR(D278),2)</f>
        <v>4Q23</v>
      </c>
      <c r="D278" s="2">
        <f t="shared" si="114"/>
        <v>45291</v>
      </c>
      <c r="E278" s="25">
        <f t="shared" si="128"/>
        <v>45271</v>
      </c>
      <c r="F278" s="26">
        <v>1.47</v>
      </c>
      <c r="G278" s="26">
        <v>3.03</v>
      </c>
      <c r="H278" s="26">
        <v>5.421</v>
      </c>
      <c r="I278" s="28">
        <f t="shared" si="115"/>
        <v>0.0459375</v>
      </c>
      <c r="J278" s="28">
        <f t="shared" si="111"/>
        <v>0.04734375</v>
      </c>
      <c r="K278" s="28">
        <f t="shared" si="112"/>
        <v>0.0423515625</v>
      </c>
      <c r="M278" s="36">
        <f t="shared" si="118"/>
        <v>0</v>
      </c>
      <c r="N278" s="36">
        <f t="shared" si="119"/>
        <v>0.0208333333333333</v>
      </c>
      <c r="O278" s="36">
        <f t="shared" si="120"/>
        <v>0.0808823529411764</v>
      </c>
      <c r="P278" s="36">
        <f t="shared" si="121"/>
        <v>0.0033112582781456</v>
      </c>
      <c r="Q278" s="36">
        <f t="shared" si="122"/>
        <v>0.0594405594405594</v>
      </c>
      <c r="R278" s="36">
        <f t="shared" si="123"/>
        <v>0.178988326848249</v>
      </c>
      <c r="S278" s="36">
        <f t="shared" si="125"/>
        <v>0.00277469478357384</v>
      </c>
      <c r="T278" s="36">
        <f t="shared" si="126"/>
        <v>0.00500556173526134</v>
      </c>
      <c r="U278" s="36">
        <f t="shared" si="127"/>
        <v>0.103623778501629</v>
      </c>
      <c r="BA278" s="25">
        <f>E278</f>
        <v>45271</v>
      </c>
      <c r="BB278" s="28">
        <f t="shared" si="133"/>
        <v>1.47</v>
      </c>
      <c r="BC278" s="28">
        <f t="shared" si="113"/>
        <v>1.81</v>
      </c>
      <c r="BD278" s="28">
        <f t="shared" si="117"/>
        <v>3.03</v>
      </c>
      <c r="BE278" s="28">
        <f t="shared" si="134"/>
        <v>3.12</v>
      </c>
      <c r="BF278" s="28">
        <f t="shared" si="124"/>
        <v>5.421</v>
      </c>
      <c r="BG278" s="28">
        <f t="shared" si="132"/>
        <v>5.945</v>
      </c>
      <c r="BH278" s="28">
        <f t="shared" si="130"/>
        <v>6.24</v>
      </c>
      <c r="BI278" s="28">
        <f t="shared" si="130"/>
        <v>5.65</v>
      </c>
      <c r="CC278" s="25"/>
      <c r="CD278" s="29"/>
      <c r="CE278" s="29"/>
      <c r="DP278" s="35">
        <v>43875</v>
      </c>
      <c r="DQ278" s="26">
        <v>3.45</v>
      </c>
      <c r="DR278" s="26">
        <v>3.25</v>
      </c>
      <c r="DS278" s="26">
        <v>3.336</v>
      </c>
      <c r="DU278" s="35">
        <v>43875</v>
      </c>
      <c r="DV278" s="26">
        <v>6.2</v>
      </c>
      <c r="DW278" s="26">
        <v>6.1</v>
      </c>
      <c r="DX278" s="26">
        <v>6.16</v>
      </c>
      <c r="DZ278" s="35">
        <v>43875</v>
      </c>
      <c r="EA278" s="26">
        <v>12.5</v>
      </c>
      <c r="EB278" s="26">
        <v>12.4</v>
      </c>
      <c r="EC278" s="26">
        <v>12.45</v>
      </c>
    </row>
    <row r="279" ht="16.8" spans="3:133">
      <c r="C279" s="5" t="str" cm="1">
        <f t="array" ref="C279">_xlfn.IFS(MONTH(D279)&lt;4,1,MONTH(D279)&lt;7,2,MONTH(D279)&lt;10,3,MONTH(D279)&gt;9,4)&amp;"Q"&amp;RIGHT(YEAR(D279),2)</f>
        <v>4Q23</v>
      </c>
      <c r="D279" s="2">
        <f t="shared" si="114"/>
        <v>45291</v>
      </c>
      <c r="E279" s="25">
        <f t="shared" si="128"/>
        <v>45278</v>
      </c>
      <c r="F279" s="26">
        <v>1.5</v>
      </c>
      <c r="G279" s="26">
        <v>3.08</v>
      </c>
      <c r="H279" s="26">
        <v>5.706</v>
      </c>
      <c r="I279" s="28">
        <f t="shared" si="115"/>
        <v>0.046875</v>
      </c>
      <c r="J279" s="28">
        <f t="shared" si="111"/>
        <v>0.048125</v>
      </c>
      <c r="K279" s="28">
        <f t="shared" si="112"/>
        <v>0.044578125</v>
      </c>
      <c r="M279" s="36">
        <f t="shared" si="118"/>
        <v>0.0204081632653061</v>
      </c>
      <c r="N279" s="36">
        <f t="shared" si="119"/>
        <v>0.0204081632653061</v>
      </c>
      <c r="O279" s="36">
        <f t="shared" si="120"/>
        <v>0.0416666666666667</v>
      </c>
      <c r="P279" s="36">
        <f t="shared" si="121"/>
        <v>0.0165016501650166</v>
      </c>
      <c r="Q279" s="36">
        <f t="shared" si="122"/>
        <v>0.0198675496688743</v>
      </c>
      <c r="R279" s="36">
        <f t="shared" si="123"/>
        <v>0.0769230769230771</v>
      </c>
      <c r="S279" s="36">
        <f t="shared" si="125"/>
        <v>0.0525733259546211</v>
      </c>
      <c r="T279" s="36">
        <f t="shared" si="126"/>
        <v>0.0554938956714763</v>
      </c>
      <c r="U279" s="36">
        <f t="shared" si="127"/>
        <v>0.0578420467185763</v>
      </c>
      <c r="BA279" s="25">
        <f>E279</f>
        <v>45278</v>
      </c>
      <c r="BB279" s="28">
        <f t="shared" si="133"/>
        <v>1.5</v>
      </c>
      <c r="BC279" s="28">
        <f t="shared" si="113"/>
        <v>1.81</v>
      </c>
      <c r="BD279" s="28">
        <f t="shared" si="117"/>
        <v>3.08</v>
      </c>
      <c r="BE279" s="28">
        <f t="shared" si="134"/>
        <v>3.12</v>
      </c>
      <c r="BF279" s="28">
        <f t="shared" si="124"/>
        <v>5.706</v>
      </c>
      <c r="BG279" s="28">
        <f t="shared" si="132"/>
        <v>5.945</v>
      </c>
      <c r="BH279" s="28">
        <f t="shared" si="130"/>
        <v>6.24</v>
      </c>
      <c r="BI279" s="28">
        <f t="shared" si="130"/>
        <v>5.65</v>
      </c>
      <c r="CC279" s="25"/>
      <c r="CD279" s="29"/>
      <c r="CE279" s="29"/>
      <c r="DP279" s="35">
        <v>43878</v>
      </c>
      <c r="DQ279" s="26">
        <v>3.6</v>
      </c>
      <c r="DR279" s="26">
        <v>3.25</v>
      </c>
      <c r="DS279" s="26">
        <v>3.389</v>
      </c>
      <c r="DU279" s="35">
        <v>43878</v>
      </c>
      <c r="DV279" s="26">
        <v>6.25</v>
      </c>
      <c r="DW279" s="26">
        <v>6.12</v>
      </c>
      <c r="DX279" s="26">
        <v>6.175</v>
      </c>
      <c r="DZ279" s="35">
        <v>43878</v>
      </c>
      <c r="EA279" s="26">
        <v>12.5</v>
      </c>
      <c r="EB279" s="26">
        <v>12.4</v>
      </c>
      <c r="EC279" s="26">
        <v>12.45</v>
      </c>
    </row>
    <row r="280" ht="16.8" spans="3:133">
      <c r="C280" s="5" t="str" cm="1">
        <f t="array" ref="C280">_xlfn.IFS(MONTH(D280)&lt;4,1,MONTH(D280)&lt;7,2,MONTH(D280)&lt;10,3,MONTH(D280)&gt;9,4)&amp;"Q"&amp;RIGHT(YEAR(D280),2)</f>
        <v>4Q23</v>
      </c>
      <c r="D280" s="2">
        <f t="shared" si="114"/>
        <v>45291</v>
      </c>
      <c r="E280" s="25">
        <f t="shared" si="128"/>
        <v>45285</v>
      </c>
      <c r="F280" s="26">
        <v>1.56</v>
      </c>
      <c r="G280" s="26">
        <v>3.13</v>
      </c>
      <c r="H280" s="26">
        <v>5.976</v>
      </c>
      <c r="I280" s="28">
        <f t="shared" si="115"/>
        <v>0.04875</v>
      </c>
      <c r="J280" s="28">
        <f t="shared" si="111"/>
        <v>0.04890625</v>
      </c>
      <c r="K280" s="28">
        <f t="shared" si="112"/>
        <v>0.0466875</v>
      </c>
      <c r="M280" s="36">
        <f t="shared" si="118"/>
        <v>0.04</v>
      </c>
      <c r="N280" s="36">
        <f t="shared" si="119"/>
        <v>0.0612244897959184</v>
      </c>
      <c r="O280" s="36">
        <f t="shared" si="120"/>
        <v>0.0612244897959184</v>
      </c>
      <c r="P280" s="36">
        <f t="shared" si="121"/>
        <v>0.0162337662337662</v>
      </c>
      <c r="Q280" s="36">
        <f t="shared" si="122"/>
        <v>0.033003300330033</v>
      </c>
      <c r="R280" s="36">
        <f t="shared" si="123"/>
        <v>0.0364238410596025</v>
      </c>
      <c r="S280" s="36">
        <f t="shared" si="125"/>
        <v>0.0473186119873816</v>
      </c>
      <c r="T280" s="36">
        <f t="shared" si="126"/>
        <v>0.102379634753735</v>
      </c>
      <c r="U280" s="36">
        <f t="shared" si="127"/>
        <v>0.105438401775805</v>
      </c>
      <c r="BA280" s="25">
        <f>E280</f>
        <v>45285</v>
      </c>
      <c r="BB280" s="28">
        <f t="shared" si="133"/>
        <v>1.56</v>
      </c>
      <c r="BC280" s="28">
        <f t="shared" si="113"/>
        <v>1.81</v>
      </c>
      <c r="BD280" s="28">
        <f t="shared" si="117"/>
        <v>3.13</v>
      </c>
      <c r="BE280" s="28">
        <f t="shared" si="134"/>
        <v>3.12</v>
      </c>
      <c r="BF280" s="28">
        <f t="shared" si="124"/>
        <v>5.976</v>
      </c>
      <c r="BG280" s="28">
        <f t="shared" si="132"/>
        <v>5.945</v>
      </c>
      <c r="BH280" s="28">
        <f t="shared" si="130"/>
        <v>6.24</v>
      </c>
      <c r="BI280" s="28">
        <f t="shared" si="130"/>
        <v>5.65</v>
      </c>
      <c r="CC280" s="25"/>
      <c r="CD280" s="29"/>
      <c r="CE280" s="29"/>
      <c r="DP280" s="35">
        <v>43879</v>
      </c>
      <c r="DQ280" s="26">
        <v>3.6</v>
      </c>
      <c r="DR280" s="26">
        <v>3.25</v>
      </c>
      <c r="DS280" s="26">
        <v>3.389</v>
      </c>
      <c r="DU280" s="35">
        <v>43879</v>
      </c>
      <c r="DV280" s="26">
        <v>6.25</v>
      </c>
      <c r="DW280" s="26">
        <v>6.12</v>
      </c>
      <c r="DX280" s="26">
        <v>6.175</v>
      </c>
      <c r="DZ280" s="35">
        <v>43879</v>
      </c>
      <c r="EA280" s="26">
        <v>12.5</v>
      </c>
      <c r="EB280" s="26">
        <v>12.4</v>
      </c>
      <c r="EC280" s="26">
        <v>12.45</v>
      </c>
    </row>
    <row r="281" ht="16.8" spans="3:133">
      <c r="C281" s="5" t="str" cm="1">
        <f t="array" ref="C281">_xlfn.IFS(MONTH(D281)&lt;4,1,MONTH(D281)&lt;7,2,MONTH(D281)&lt;10,3,MONTH(D281)&gt;9,4)&amp;"Q"&amp;RIGHT(YEAR(D281),2)</f>
        <v>1Q24</v>
      </c>
      <c r="D281" s="2">
        <f t="shared" si="114"/>
        <v>45322</v>
      </c>
      <c r="E281" s="25">
        <f t="shared" ref="E281:E303" si="135">E280+7</f>
        <v>45292</v>
      </c>
      <c r="F281" s="26">
        <v>1.56</v>
      </c>
      <c r="G281" s="26">
        <v>3.13</v>
      </c>
      <c r="H281" s="26">
        <v>5.962</v>
      </c>
      <c r="I281" s="28">
        <f t="shared" si="115"/>
        <v>0.04875</v>
      </c>
      <c r="J281" s="28">
        <f t="shared" si="111"/>
        <v>0.04890625</v>
      </c>
      <c r="K281" s="28">
        <f t="shared" si="112"/>
        <v>0.046578125</v>
      </c>
      <c r="M281" s="36">
        <f t="shared" si="118"/>
        <v>0</v>
      </c>
      <c r="N281" s="36">
        <f t="shared" si="119"/>
        <v>0.04</v>
      </c>
      <c r="O281" s="36">
        <f t="shared" si="120"/>
        <v>0.0612244897959184</v>
      </c>
      <c r="P281" s="36">
        <f t="shared" si="121"/>
        <v>0</v>
      </c>
      <c r="Q281" s="36">
        <f t="shared" si="122"/>
        <v>0.0162337662337662</v>
      </c>
      <c r="R281" s="36">
        <f t="shared" si="123"/>
        <v>0.033003300330033</v>
      </c>
      <c r="S281" s="36">
        <f t="shared" si="125"/>
        <v>-0.00234270414993309</v>
      </c>
      <c r="T281" s="36">
        <f t="shared" si="126"/>
        <v>0.0448650543287765</v>
      </c>
      <c r="U281" s="36">
        <f t="shared" si="127"/>
        <v>0.0997970854085961</v>
      </c>
      <c r="BA281" s="25">
        <f t="shared" ref="BA281:BB296" si="136">E281</f>
        <v>45292</v>
      </c>
      <c r="BB281" s="28">
        <f t="shared" si="133"/>
        <v>1.56</v>
      </c>
      <c r="BC281" s="28">
        <f t="shared" si="113"/>
        <v>1.81</v>
      </c>
      <c r="BD281" s="28">
        <f t="shared" si="117"/>
        <v>3.13</v>
      </c>
      <c r="BE281" s="28">
        <f t="shared" si="134"/>
        <v>3.33</v>
      </c>
      <c r="BF281" s="28">
        <f t="shared" si="124"/>
        <v>5.962</v>
      </c>
      <c r="BG281" s="28">
        <f t="shared" si="132"/>
        <v>6.31</v>
      </c>
      <c r="BH281" s="28">
        <f t="shared" si="130"/>
        <v>6.62</v>
      </c>
      <c r="BI281" s="28">
        <f t="shared" si="130"/>
        <v>6</v>
      </c>
      <c r="CC281" s="25"/>
      <c r="CD281" s="29"/>
      <c r="CE281" s="29"/>
      <c r="DP281" s="35">
        <v>43880</v>
      </c>
      <c r="DQ281" s="26">
        <v>3.6</v>
      </c>
      <c r="DR281" s="26">
        <v>3.3</v>
      </c>
      <c r="DS281" s="26">
        <v>3.4</v>
      </c>
      <c r="DU281" s="35">
        <v>43880</v>
      </c>
      <c r="DV281" s="26">
        <v>6.25</v>
      </c>
      <c r="DW281" s="26">
        <v>6.12</v>
      </c>
      <c r="DX281" s="26">
        <v>6.173</v>
      </c>
      <c r="DZ281" s="35">
        <v>43880</v>
      </c>
      <c r="EA281" s="26">
        <v>12.5</v>
      </c>
      <c r="EB281" s="26">
        <v>12.4</v>
      </c>
      <c r="EC281" s="26">
        <v>12.45</v>
      </c>
    </row>
    <row r="282" ht="16.8" spans="3:133">
      <c r="C282" s="5" t="str" cm="1">
        <f t="array" ref="C282">_xlfn.IFS(MONTH(D282)&lt;4,1,MONTH(D282)&lt;7,2,MONTH(D282)&lt;10,3,MONTH(D282)&gt;9,4)&amp;"Q"&amp;RIGHT(YEAR(D282),2)</f>
        <v>1Q24</v>
      </c>
      <c r="D282" s="2">
        <f t="shared" si="114"/>
        <v>45322</v>
      </c>
      <c r="E282" s="25">
        <f t="shared" si="135"/>
        <v>45299</v>
      </c>
      <c r="F282" s="26">
        <v>1.56</v>
      </c>
      <c r="G282" s="26">
        <v>3.12</v>
      </c>
      <c r="H282" s="26">
        <v>5.947</v>
      </c>
      <c r="I282" s="28">
        <f t="shared" si="115"/>
        <v>0.04875</v>
      </c>
      <c r="J282" s="28">
        <f t="shared" si="111"/>
        <v>0.04875</v>
      </c>
      <c r="K282" s="28">
        <f t="shared" si="112"/>
        <v>0.0464609375</v>
      </c>
      <c r="M282" s="36">
        <f t="shared" si="118"/>
        <v>0</v>
      </c>
      <c r="N282" s="36">
        <f t="shared" si="119"/>
        <v>0</v>
      </c>
      <c r="O282" s="36">
        <f t="shared" si="120"/>
        <v>0.04</v>
      </c>
      <c r="P282" s="36">
        <f t="shared" si="121"/>
        <v>-0.00319488817891367</v>
      </c>
      <c r="Q282" s="36">
        <f t="shared" si="122"/>
        <v>-0.00319488817891367</v>
      </c>
      <c r="R282" s="36">
        <f t="shared" si="123"/>
        <v>0.0129870129870131</v>
      </c>
      <c r="S282" s="36">
        <f t="shared" si="125"/>
        <v>-0.00251593425025154</v>
      </c>
      <c r="T282" s="36">
        <f t="shared" si="126"/>
        <v>-0.00485274431057559</v>
      </c>
      <c r="U282" s="36">
        <f t="shared" si="127"/>
        <v>0.0422362425517</v>
      </c>
      <c r="BA282" s="25">
        <f t="shared" si="136"/>
        <v>45299</v>
      </c>
      <c r="BB282" s="28">
        <f t="shared" si="133"/>
        <v>1.56</v>
      </c>
      <c r="BC282" s="28">
        <f t="shared" si="113"/>
        <v>1.81</v>
      </c>
      <c r="BD282" s="28">
        <f t="shared" si="117"/>
        <v>3.12</v>
      </c>
      <c r="BE282" s="28">
        <f t="shared" si="134"/>
        <v>3.33</v>
      </c>
      <c r="BF282" s="28">
        <f t="shared" si="124"/>
        <v>5.947</v>
      </c>
      <c r="BG282" s="28">
        <f t="shared" si="132"/>
        <v>6.31</v>
      </c>
      <c r="BH282" s="28">
        <f t="shared" si="130"/>
        <v>6.62</v>
      </c>
      <c r="BI282" s="28">
        <f t="shared" si="130"/>
        <v>6</v>
      </c>
      <c r="CC282" s="25"/>
      <c r="CD282" s="29"/>
      <c r="CE282" s="29"/>
      <c r="DP282" s="35">
        <v>43881</v>
      </c>
      <c r="DQ282" s="26">
        <v>3.6</v>
      </c>
      <c r="DR282" s="26">
        <v>3.3</v>
      </c>
      <c r="DS282" s="26">
        <v>3.406</v>
      </c>
      <c r="DU282" s="35">
        <v>43881</v>
      </c>
      <c r="DV282" s="26">
        <v>6.25</v>
      </c>
      <c r="DW282" s="26">
        <v>6.12</v>
      </c>
      <c r="DX282" s="26">
        <v>6.173</v>
      </c>
      <c r="DZ282" s="35">
        <v>43881</v>
      </c>
      <c r="EA282" s="26">
        <v>12.5</v>
      </c>
      <c r="EB282" s="26">
        <v>12.4</v>
      </c>
      <c r="EC282" s="26">
        <v>12.45</v>
      </c>
    </row>
    <row r="283" ht="16.8" spans="3:133">
      <c r="C283" s="5" t="str" cm="1">
        <f t="array" ref="C283">_xlfn.IFS(MONTH(D283)&lt;4,1,MONTH(D283)&lt;7,2,MONTH(D283)&lt;10,3,MONTH(D283)&gt;9,4)&amp;"Q"&amp;RIGHT(YEAR(D283),2)</f>
        <v>1Q24</v>
      </c>
      <c r="D283" s="2">
        <f t="shared" si="114"/>
        <v>45322</v>
      </c>
      <c r="E283" s="25">
        <f t="shared" si="135"/>
        <v>45306</v>
      </c>
      <c r="F283" s="26">
        <v>1.65</v>
      </c>
      <c r="G283" s="26">
        <v>3.19</v>
      </c>
      <c r="H283" s="26">
        <v>5.947</v>
      </c>
      <c r="I283" s="28">
        <f t="shared" si="115"/>
        <v>0.0515625</v>
      </c>
      <c r="J283" s="28">
        <f t="shared" ref="J283:J346" si="137">G283/512*8</f>
        <v>0.04984375</v>
      </c>
      <c r="K283" s="28">
        <f t="shared" ref="K283:K346" si="138">H283/1024*8</f>
        <v>0.0464609375</v>
      </c>
      <c r="M283" s="36">
        <f t="shared" si="118"/>
        <v>0.0576923076923077</v>
      </c>
      <c r="N283" s="36">
        <f t="shared" si="119"/>
        <v>0.0576923076923077</v>
      </c>
      <c r="O283" s="36">
        <f t="shared" si="120"/>
        <v>0.0576923076923077</v>
      </c>
      <c r="P283" s="36">
        <f t="shared" si="121"/>
        <v>0.0224358974358974</v>
      </c>
      <c r="Q283" s="36">
        <f t="shared" si="122"/>
        <v>0.0191693290734825</v>
      </c>
      <c r="R283" s="36">
        <f t="shared" si="123"/>
        <v>0.0191693290734825</v>
      </c>
      <c r="S283" s="36">
        <f t="shared" si="125"/>
        <v>0</v>
      </c>
      <c r="T283" s="36">
        <f t="shared" si="126"/>
        <v>-0.00251593425025154</v>
      </c>
      <c r="U283" s="36">
        <f t="shared" si="127"/>
        <v>-0.00485274431057559</v>
      </c>
      <c r="BA283" s="25">
        <f t="shared" si="136"/>
        <v>45306</v>
      </c>
      <c r="BB283" s="28">
        <f t="shared" si="133"/>
        <v>1.65</v>
      </c>
      <c r="BC283" s="28">
        <f t="shared" ref="BC283:BC346" si="139">INDEX($AM:$AQ,MATCH($D283,$AK:$AK,0),MATCH(BB$25,$AM$26:$AQ$26,0))</f>
        <v>1.81</v>
      </c>
      <c r="BD283" s="28">
        <f t="shared" si="117"/>
        <v>3.19</v>
      </c>
      <c r="BE283" s="28">
        <f t="shared" si="134"/>
        <v>3.33</v>
      </c>
      <c r="BF283" s="28">
        <f t="shared" si="124"/>
        <v>5.947</v>
      </c>
      <c r="BG283" s="28">
        <f t="shared" si="132"/>
        <v>6.31</v>
      </c>
      <c r="BH283" s="28">
        <f t="shared" si="130"/>
        <v>6.62</v>
      </c>
      <c r="BI283" s="28">
        <f t="shared" si="130"/>
        <v>6</v>
      </c>
      <c r="CC283" s="25"/>
      <c r="CD283" s="29"/>
      <c r="CE283" s="29"/>
      <c r="DP283" s="35">
        <v>43882</v>
      </c>
      <c r="DQ283" s="26">
        <v>3.6</v>
      </c>
      <c r="DR283" s="26">
        <v>3.3</v>
      </c>
      <c r="DS283" s="26">
        <v>3.406</v>
      </c>
      <c r="DU283" s="35">
        <v>43882</v>
      </c>
      <c r="DV283" s="26">
        <v>6.25</v>
      </c>
      <c r="DW283" s="26">
        <v>6.12</v>
      </c>
      <c r="DX283" s="26">
        <v>6.173</v>
      </c>
      <c r="DZ283" s="35">
        <v>43882</v>
      </c>
      <c r="EA283" s="26">
        <v>12.5</v>
      </c>
      <c r="EB283" s="26">
        <v>12.4</v>
      </c>
      <c r="EC283" s="26">
        <v>12.45</v>
      </c>
    </row>
    <row r="284" ht="16.8" spans="3:133">
      <c r="C284" s="5" t="str" cm="1">
        <f t="array" ref="C284">_xlfn.IFS(MONTH(D284)&lt;4,1,MONTH(D284)&lt;7,2,MONTH(D284)&lt;10,3,MONTH(D284)&gt;9,4)&amp;"Q"&amp;RIGHT(YEAR(D284),2)</f>
        <v>1Q24</v>
      </c>
      <c r="D284" s="2">
        <f t="shared" ref="D284:D347" si="140">EOMONTH(E284,0)</f>
        <v>45322</v>
      </c>
      <c r="E284" s="25">
        <f t="shared" si="135"/>
        <v>45313</v>
      </c>
      <c r="F284" s="26">
        <v>1.71</v>
      </c>
      <c r="G284" s="26">
        <v>3.22</v>
      </c>
      <c r="H284" s="26">
        <v>5.971</v>
      </c>
      <c r="I284" s="28">
        <f t="shared" ref="I284:I347" si="141">F284/256*8</f>
        <v>0.0534375</v>
      </c>
      <c r="J284" s="28">
        <f t="shared" si="137"/>
        <v>0.0503125</v>
      </c>
      <c r="K284" s="28">
        <f t="shared" si="138"/>
        <v>0.0466484375</v>
      </c>
      <c r="M284" s="36">
        <f t="shared" si="118"/>
        <v>0.0363636363636364</v>
      </c>
      <c r="N284" s="36">
        <f t="shared" si="119"/>
        <v>0.096153846153846</v>
      </c>
      <c r="O284" s="36">
        <f t="shared" si="120"/>
        <v>0.096153846153846</v>
      </c>
      <c r="P284" s="36">
        <f t="shared" si="121"/>
        <v>0.0094043887147337</v>
      </c>
      <c r="Q284" s="36">
        <f t="shared" si="122"/>
        <v>0.0320512820512822</v>
      </c>
      <c r="R284" s="36">
        <f t="shared" si="123"/>
        <v>0.0287539936102237</v>
      </c>
      <c r="S284" s="36">
        <f t="shared" si="125"/>
        <v>0.00403564822599622</v>
      </c>
      <c r="T284" s="36">
        <f t="shared" si="126"/>
        <v>0.00403564822599622</v>
      </c>
      <c r="U284" s="36">
        <f t="shared" si="127"/>
        <v>0.00150956055015095</v>
      </c>
      <c r="BA284" s="25">
        <f t="shared" si="136"/>
        <v>45313</v>
      </c>
      <c r="BB284" s="28">
        <f t="shared" si="136"/>
        <v>1.71</v>
      </c>
      <c r="BC284" s="28">
        <f t="shared" si="139"/>
        <v>1.81</v>
      </c>
      <c r="BD284" s="28">
        <f t="shared" ref="BD284:BD347" si="142">G284</f>
        <v>3.22</v>
      </c>
      <c r="BE284" s="28">
        <f t="shared" si="134"/>
        <v>3.33</v>
      </c>
      <c r="BF284" s="28">
        <f t="shared" si="124"/>
        <v>5.971</v>
      </c>
      <c r="BG284" s="28">
        <f t="shared" si="132"/>
        <v>6.31</v>
      </c>
      <c r="BH284" s="28">
        <f t="shared" si="130"/>
        <v>6.62</v>
      </c>
      <c r="BI284" s="28">
        <f t="shared" si="130"/>
        <v>6</v>
      </c>
      <c r="CC284" s="25"/>
      <c r="CD284" s="29"/>
      <c r="CE284" s="29"/>
      <c r="DP284" s="35">
        <v>43885</v>
      </c>
      <c r="DQ284" s="26">
        <v>3.6</v>
      </c>
      <c r="DR284" s="26">
        <v>3.3</v>
      </c>
      <c r="DS284" s="26">
        <v>3.406</v>
      </c>
      <c r="DU284" s="35">
        <v>43885</v>
      </c>
      <c r="DV284" s="26">
        <v>6.25</v>
      </c>
      <c r="DW284" s="26">
        <v>6.12</v>
      </c>
      <c r="DX284" s="26">
        <v>6.173</v>
      </c>
      <c r="DZ284" s="35">
        <v>43885</v>
      </c>
      <c r="EA284" s="26">
        <v>12.5</v>
      </c>
      <c r="EB284" s="26">
        <v>12.4</v>
      </c>
      <c r="EC284" s="26">
        <v>12.45</v>
      </c>
    </row>
    <row r="285" ht="16.8" spans="3:133">
      <c r="C285" s="5" t="str" cm="1">
        <f t="array" ref="C285">_xlfn.IFS(MONTH(D285)&lt;4,1,MONTH(D285)&lt;7,2,MONTH(D285)&lt;10,3,MONTH(D285)&gt;9,4)&amp;"Q"&amp;RIGHT(YEAR(D285),2)</f>
        <v>1Q24</v>
      </c>
      <c r="D285" s="2">
        <f t="shared" si="140"/>
        <v>45322</v>
      </c>
      <c r="E285" s="25">
        <f t="shared" si="135"/>
        <v>45320</v>
      </c>
      <c r="F285" s="26">
        <v>1.77</v>
      </c>
      <c r="G285" s="26">
        <v>3.44</v>
      </c>
      <c r="H285" s="26">
        <v>6.059</v>
      </c>
      <c r="I285" s="28">
        <f t="shared" si="141"/>
        <v>0.0553125</v>
      </c>
      <c r="J285" s="28">
        <f t="shared" si="137"/>
        <v>0.05375</v>
      </c>
      <c r="K285" s="28">
        <f t="shared" si="138"/>
        <v>0.0473359375</v>
      </c>
      <c r="M285" s="36">
        <f t="shared" ref="M285:M348" si="143">$F285/$F284-1</f>
        <v>0.0350877192982457</v>
      </c>
      <c r="N285" s="36">
        <f t="shared" si="119"/>
        <v>0.0727272727272728</v>
      </c>
      <c r="O285" s="36">
        <f t="shared" si="120"/>
        <v>0.134615384615385</v>
      </c>
      <c r="P285" s="36">
        <f t="shared" si="121"/>
        <v>0.0683229813664596</v>
      </c>
      <c r="Q285" s="36">
        <f t="shared" si="122"/>
        <v>0.0783699059561129</v>
      </c>
      <c r="R285" s="36">
        <f t="shared" si="123"/>
        <v>0.102564102564102</v>
      </c>
      <c r="S285" s="36">
        <f t="shared" si="125"/>
        <v>0.0147378998492715</v>
      </c>
      <c r="T285" s="36">
        <f t="shared" si="126"/>
        <v>0.0188330250546493</v>
      </c>
      <c r="U285" s="36">
        <f t="shared" si="127"/>
        <v>0.0188330250546493</v>
      </c>
      <c r="BA285" s="25">
        <f t="shared" si="136"/>
        <v>45320</v>
      </c>
      <c r="BB285" s="28">
        <f t="shared" si="136"/>
        <v>1.77</v>
      </c>
      <c r="BC285" s="28">
        <f t="shared" si="139"/>
        <v>1.81</v>
      </c>
      <c r="BD285" s="28">
        <f t="shared" si="142"/>
        <v>3.44</v>
      </c>
      <c r="BE285" s="28">
        <f t="shared" si="134"/>
        <v>3.33</v>
      </c>
      <c r="BF285" s="28">
        <f t="shared" si="124"/>
        <v>6.059</v>
      </c>
      <c r="BG285" s="28">
        <f t="shared" si="132"/>
        <v>6.31</v>
      </c>
      <c r="BH285" s="28">
        <f t="shared" si="130"/>
        <v>6.62</v>
      </c>
      <c r="BI285" s="28">
        <f t="shared" si="130"/>
        <v>6</v>
      </c>
      <c r="CC285" s="25"/>
      <c r="CD285" s="29"/>
      <c r="CE285" s="29"/>
      <c r="DP285" s="35">
        <v>43886</v>
      </c>
      <c r="DQ285" s="26">
        <v>3.6</v>
      </c>
      <c r="DR285" s="26">
        <v>3.3</v>
      </c>
      <c r="DS285" s="26">
        <v>3.406</v>
      </c>
      <c r="DU285" s="35">
        <v>43886</v>
      </c>
      <c r="DV285" s="26">
        <v>6.25</v>
      </c>
      <c r="DW285" s="26">
        <v>6.12</v>
      </c>
      <c r="DX285" s="26">
        <v>6.173</v>
      </c>
      <c r="DZ285" s="35">
        <v>43886</v>
      </c>
      <c r="EA285" s="26">
        <v>12.5</v>
      </c>
      <c r="EB285" s="26">
        <v>12.4</v>
      </c>
      <c r="EC285" s="26">
        <v>12.45</v>
      </c>
    </row>
    <row r="286" ht="16.8" spans="3:133">
      <c r="C286" s="5" t="str" cm="1">
        <f t="array" ref="C286">_xlfn.IFS(MONTH(D286)&lt;4,1,MONTH(D286)&lt;7,2,MONTH(D286)&lt;10,3,MONTH(D286)&gt;9,4)&amp;"Q"&amp;RIGHT(YEAR(D286),2)</f>
        <v>1Q24</v>
      </c>
      <c r="D286" s="2">
        <f t="shared" si="140"/>
        <v>45351</v>
      </c>
      <c r="E286" s="25">
        <f t="shared" si="135"/>
        <v>45327</v>
      </c>
      <c r="F286" s="26">
        <v>1.77</v>
      </c>
      <c r="G286" s="26">
        <v>3.44</v>
      </c>
      <c r="H286" s="26">
        <v>6.059</v>
      </c>
      <c r="I286" s="28">
        <f t="shared" si="141"/>
        <v>0.0553125</v>
      </c>
      <c r="J286" s="28">
        <f t="shared" si="137"/>
        <v>0.05375</v>
      </c>
      <c r="K286" s="28">
        <f t="shared" si="138"/>
        <v>0.0473359375</v>
      </c>
      <c r="M286" s="36">
        <f t="shared" si="143"/>
        <v>0</v>
      </c>
      <c r="N286" s="36">
        <f t="shared" si="119"/>
        <v>0.0350877192982457</v>
      </c>
      <c r="O286" s="36">
        <f t="shared" si="120"/>
        <v>0.0727272727272728</v>
      </c>
      <c r="P286" s="36">
        <f t="shared" si="121"/>
        <v>0</v>
      </c>
      <c r="Q286" s="36">
        <f t="shared" si="122"/>
        <v>0.0683229813664596</v>
      </c>
      <c r="R286" s="36">
        <f t="shared" si="123"/>
        <v>0.0783699059561129</v>
      </c>
      <c r="S286" s="36">
        <f t="shared" si="125"/>
        <v>0</v>
      </c>
      <c r="T286" s="36">
        <f t="shared" si="126"/>
        <v>0.0147378998492715</v>
      </c>
      <c r="U286" s="36">
        <f t="shared" si="127"/>
        <v>0.0188330250546493</v>
      </c>
      <c r="BA286" s="25">
        <f t="shared" si="136"/>
        <v>45327</v>
      </c>
      <c r="BB286" s="28">
        <f t="shared" si="136"/>
        <v>1.77</v>
      </c>
      <c r="BC286" s="28">
        <f t="shared" si="139"/>
        <v>1.81</v>
      </c>
      <c r="BD286" s="28">
        <f t="shared" si="142"/>
        <v>3.44</v>
      </c>
      <c r="BE286" s="28">
        <f t="shared" si="134"/>
        <v>3.49</v>
      </c>
      <c r="BF286" s="28">
        <f t="shared" si="124"/>
        <v>6.059</v>
      </c>
      <c r="BG286" s="28">
        <f t="shared" si="132"/>
        <v>6.605</v>
      </c>
      <c r="BH286" s="28">
        <f t="shared" si="130"/>
        <v>6.91</v>
      </c>
      <c r="BI286" s="28">
        <f t="shared" si="130"/>
        <v>6.3</v>
      </c>
      <c r="CC286" s="25"/>
      <c r="CD286" s="29"/>
      <c r="CE286" s="29"/>
      <c r="DP286" s="35">
        <v>43887</v>
      </c>
      <c r="DQ286" s="26">
        <v>3.6</v>
      </c>
      <c r="DR286" s="26">
        <v>3.3</v>
      </c>
      <c r="DS286" s="26">
        <v>3.406</v>
      </c>
      <c r="DU286" s="35">
        <v>43887</v>
      </c>
      <c r="DV286" s="26">
        <v>6.25</v>
      </c>
      <c r="DW286" s="26">
        <v>6.12</v>
      </c>
      <c r="DX286" s="26">
        <v>6.173</v>
      </c>
      <c r="DZ286" s="35">
        <v>43887</v>
      </c>
      <c r="EA286" s="26">
        <v>12.5</v>
      </c>
      <c r="EB286" s="26">
        <v>12.4</v>
      </c>
      <c r="EC286" s="26">
        <v>12.45</v>
      </c>
    </row>
    <row r="287" ht="16.8" spans="3:133">
      <c r="C287" s="5" t="str" cm="1">
        <f t="array" ref="C287">_xlfn.IFS(MONTH(D287)&lt;4,1,MONTH(D287)&lt;7,2,MONTH(D287)&lt;10,3,MONTH(D287)&gt;9,4)&amp;"Q"&amp;RIGHT(YEAR(D287),2)</f>
        <v>1Q24</v>
      </c>
      <c r="D287" s="2">
        <f t="shared" si="140"/>
        <v>45351</v>
      </c>
      <c r="E287" s="25">
        <f t="shared" si="135"/>
        <v>45334</v>
      </c>
      <c r="F287" s="26">
        <v>1.77</v>
      </c>
      <c r="G287" s="26">
        <v>3.44</v>
      </c>
      <c r="H287" s="26">
        <f>H286</f>
        <v>6.059</v>
      </c>
      <c r="I287" s="28">
        <f t="shared" si="141"/>
        <v>0.0553125</v>
      </c>
      <c r="J287" s="28">
        <f t="shared" si="137"/>
        <v>0.05375</v>
      </c>
      <c r="K287" s="28">
        <f t="shared" si="138"/>
        <v>0.0473359375</v>
      </c>
      <c r="M287" s="36">
        <f t="shared" si="143"/>
        <v>0</v>
      </c>
      <c r="N287" s="36">
        <f t="shared" ref="N287:N350" si="144">$F287/$F285-1</f>
        <v>0</v>
      </c>
      <c r="O287" s="36">
        <f t="shared" ref="O287:O350" si="145">$F287/$F284-1</f>
        <v>0.0350877192982457</v>
      </c>
      <c r="P287" s="36">
        <f t="shared" ref="P287:P350" si="146">$G287/$G286-1</f>
        <v>0</v>
      </c>
      <c r="Q287" s="36">
        <f t="shared" ref="Q287:Q350" si="147">$G287/$G285-1</f>
        <v>0</v>
      </c>
      <c r="R287" s="36">
        <f t="shared" ref="R287:R350" si="148">$G287/$G284-1</f>
        <v>0.0683229813664596</v>
      </c>
      <c r="S287" s="36">
        <f t="shared" si="125"/>
        <v>0</v>
      </c>
      <c r="T287" s="36">
        <f t="shared" si="126"/>
        <v>0</v>
      </c>
      <c r="U287" s="36">
        <f t="shared" si="127"/>
        <v>0.0147378998492715</v>
      </c>
      <c r="BA287" s="25">
        <f t="shared" si="136"/>
        <v>45334</v>
      </c>
      <c r="BB287" s="28">
        <f t="shared" si="136"/>
        <v>1.77</v>
      </c>
      <c r="BC287" s="28">
        <f t="shared" si="139"/>
        <v>1.81</v>
      </c>
      <c r="BD287" s="28">
        <f t="shared" si="142"/>
        <v>3.44</v>
      </c>
      <c r="BE287" s="28">
        <f t="shared" si="134"/>
        <v>3.49</v>
      </c>
      <c r="BF287" s="28">
        <f t="shared" si="124"/>
        <v>6.059</v>
      </c>
      <c r="BG287" s="28">
        <f t="shared" si="132"/>
        <v>6.605</v>
      </c>
      <c r="BH287" s="28">
        <f t="shared" si="130"/>
        <v>6.91</v>
      </c>
      <c r="BI287" s="28">
        <f t="shared" si="130"/>
        <v>6.3</v>
      </c>
      <c r="CC287" s="25"/>
      <c r="CD287" s="29"/>
      <c r="CE287" s="29"/>
      <c r="DP287" s="35">
        <v>43888</v>
      </c>
      <c r="DQ287" s="26">
        <v>3.6</v>
      </c>
      <c r="DR287" s="26">
        <v>3.3</v>
      </c>
      <c r="DS287" s="26">
        <v>3.411</v>
      </c>
      <c r="DU287" s="35">
        <v>43888</v>
      </c>
      <c r="DV287" s="26">
        <v>6.25</v>
      </c>
      <c r="DW287" s="26">
        <v>6.12</v>
      </c>
      <c r="DX287" s="26">
        <v>6.173</v>
      </c>
      <c r="DZ287" s="35">
        <v>43888</v>
      </c>
      <c r="EA287" s="26">
        <v>12.5</v>
      </c>
      <c r="EB287" s="26">
        <v>12.4</v>
      </c>
      <c r="EC287" s="26">
        <v>12.45</v>
      </c>
    </row>
    <row r="288" ht="16.8" spans="3:133">
      <c r="C288" s="5" t="str" cm="1">
        <f t="array" ref="C288">_xlfn.IFS(MONTH(D288)&lt;4,1,MONTH(D288)&lt;7,2,MONTH(D288)&lt;10,3,MONTH(D288)&gt;9,4)&amp;"Q"&amp;RIGHT(YEAR(D288),2)</f>
        <v>1Q24</v>
      </c>
      <c r="D288" s="2">
        <f t="shared" si="140"/>
        <v>45351</v>
      </c>
      <c r="E288" s="25">
        <f t="shared" si="135"/>
        <v>45341</v>
      </c>
      <c r="F288" s="26">
        <v>1.77</v>
      </c>
      <c r="G288" s="26">
        <v>3.44</v>
      </c>
      <c r="H288" s="26">
        <v>6.059</v>
      </c>
      <c r="I288" s="28">
        <f t="shared" si="141"/>
        <v>0.0553125</v>
      </c>
      <c r="J288" s="28">
        <f t="shared" si="137"/>
        <v>0.05375</v>
      </c>
      <c r="K288" s="28">
        <f t="shared" si="138"/>
        <v>0.0473359375</v>
      </c>
      <c r="M288" s="36">
        <f t="shared" si="143"/>
        <v>0</v>
      </c>
      <c r="N288" s="36">
        <f t="shared" si="144"/>
        <v>0</v>
      </c>
      <c r="O288" s="36">
        <f t="shared" si="145"/>
        <v>0</v>
      </c>
      <c r="P288" s="36">
        <f t="shared" si="146"/>
        <v>0</v>
      </c>
      <c r="Q288" s="36">
        <f t="shared" si="147"/>
        <v>0</v>
      </c>
      <c r="R288" s="36">
        <f t="shared" si="148"/>
        <v>0</v>
      </c>
      <c r="S288" s="36">
        <f t="shared" si="125"/>
        <v>0</v>
      </c>
      <c r="T288" s="36">
        <f t="shared" si="126"/>
        <v>0</v>
      </c>
      <c r="U288" s="36">
        <f t="shared" si="127"/>
        <v>0</v>
      </c>
      <c r="BA288" s="25">
        <f t="shared" si="136"/>
        <v>45341</v>
      </c>
      <c r="BB288" s="28">
        <f t="shared" si="136"/>
        <v>1.77</v>
      </c>
      <c r="BC288" s="28">
        <f t="shared" si="139"/>
        <v>1.81</v>
      </c>
      <c r="BD288" s="28">
        <f t="shared" si="142"/>
        <v>3.44</v>
      </c>
      <c r="BE288" s="28">
        <f t="shared" si="134"/>
        <v>3.49</v>
      </c>
      <c r="BF288" s="28">
        <f t="shared" si="124"/>
        <v>6.059</v>
      </c>
      <c r="BG288" s="28">
        <f t="shared" si="132"/>
        <v>6.605</v>
      </c>
      <c r="BH288" s="28">
        <f t="shared" si="130"/>
        <v>6.91</v>
      </c>
      <c r="BI288" s="28">
        <f t="shared" si="130"/>
        <v>6.3</v>
      </c>
      <c r="CC288" s="25"/>
      <c r="CD288" s="29"/>
      <c r="CE288" s="29"/>
      <c r="DP288" s="35">
        <v>43889</v>
      </c>
      <c r="DQ288" s="26">
        <v>3.6</v>
      </c>
      <c r="DR288" s="26">
        <v>3.3</v>
      </c>
      <c r="DS288" s="26">
        <v>3.415</v>
      </c>
      <c r="DU288" s="35">
        <v>43889</v>
      </c>
      <c r="DV288" s="26">
        <v>6.25</v>
      </c>
      <c r="DW288" s="26">
        <v>6.15</v>
      </c>
      <c r="DX288" s="26">
        <v>6.179</v>
      </c>
      <c r="DZ288" s="35">
        <v>43889</v>
      </c>
      <c r="EA288" s="26">
        <v>12.5</v>
      </c>
      <c r="EB288" s="26">
        <v>12.4</v>
      </c>
      <c r="EC288" s="26">
        <v>12.45</v>
      </c>
    </row>
    <row r="289" ht="16.8" spans="3:133">
      <c r="C289" s="5" t="str" cm="1">
        <f t="array" ref="C289">_xlfn.IFS(MONTH(D289)&lt;4,1,MONTH(D289)&lt;7,2,MONTH(D289)&lt;10,3,MONTH(D289)&gt;9,4)&amp;"Q"&amp;RIGHT(YEAR(D289),2)</f>
        <v>1Q24</v>
      </c>
      <c r="D289" s="2">
        <f t="shared" si="140"/>
        <v>45351</v>
      </c>
      <c r="E289" s="25">
        <f t="shared" si="135"/>
        <v>45348</v>
      </c>
      <c r="F289" s="26">
        <v>1.77</v>
      </c>
      <c r="G289" s="26">
        <v>3.44</v>
      </c>
      <c r="H289" s="26">
        <v>6.129</v>
      </c>
      <c r="I289" s="28">
        <f t="shared" si="141"/>
        <v>0.0553125</v>
      </c>
      <c r="J289" s="28">
        <f t="shared" si="137"/>
        <v>0.05375</v>
      </c>
      <c r="K289" s="28">
        <f t="shared" si="138"/>
        <v>0.0478828125</v>
      </c>
      <c r="M289" s="36">
        <f t="shared" si="143"/>
        <v>0</v>
      </c>
      <c r="N289" s="36">
        <f t="shared" si="144"/>
        <v>0</v>
      </c>
      <c r="O289" s="36">
        <f t="shared" si="145"/>
        <v>0</v>
      </c>
      <c r="P289" s="36">
        <f t="shared" si="146"/>
        <v>0</v>
      </c>
      <c r="Q289" s="36">
        <f t="shared" si="147"/>
        <v>0</v>
      </c>
      <c r="R289" s="36">
        <f t="shared" si="148"/>
        <v>0</v>
      </c>
      <c r="S289" s="36">
        <f t="shared" si="125"/>
        <v>0.0115530615613137</v>
      </c>
      <c r="T289" s="36">
        <f t="shared" si="126"/>
        <v>0.0115530615613137</v>
      </c>
      <c r="U289" s="36">
        <f t="shared" si="127"/>
        <v>0.0115530615613137</v>
      </c>
      <c r="BA289" s="25">
        <f t="shared" si="136"/>
        <v>45348</v>
      </c>
      <c r="BB289" s="28">
        <f t="shared" si="136"/>
        <v>1.77</v>
      </c>
      <c r="BC289" s="28">
        <f t="shared" si="139"/>
        <v>1.81</v>
      </c>
      <c r="BD289" s="28">
        <f t="shared" si="142"/>
        <v>3.44</v>
      </c>
      <c r="BE289" s="28">
        <f t="shared" si="134"/>
        <v>3.49</v>
      </c>
      <c r="BF289" s="28">
        <f t="shared" si="124"/>
        <v>6.129</v>
      </c>
      <c r="BG289" s="28">
        <f t="shared" si="132"/>
        <v>6.605</v>
      </c>
      <c r="BH289" s="28">
        <f t="shared" si="130"/>
        <v>6.91</v>
      </c>
      <c r="BI289" s="28">
        <f t="shared" si="130"/>
        <v>6.3</v>
      </c>
      <c r="CC289" s="25"/>
      <c r="CD289" s="29"/>
      <c r="CE289" s="29"/>
      <c r="DP289" s="35">
        <v>43892</v>
      </c>
      <c r="DQ289" s="26">
        <v>3.6</v>
      </c>
      <c r="DR289" s="26">
        <v>3.3</v>
      </c>
      <c r="DS289" s="26">
        <v>3.426</v>
      </c>
      <c r="DU289" s="35">
        <v>43892</v>
      </c>
      <c r="DV289" s="26">
        <v>6.25</v>
      </c>
      <c r="DW289" s="26">
        <v>6.15</v>
      </c>
      <c r="DX289" s="26">
        <v>6.188</v>
      </c>
      <c r="DZ289" s="35">
        <v>43892</v>
      </c>
      <c r="EA289" s="26">
        <v>12.55</v>
      </c>
      <c r="EB289" s="26">
        <v>12.45</v>
      </c>
      <c r="EC289" s="26">
        <v>12.5</v>
      </c>
    </row>
    <row r="290" ht="16.8" spans="3:133">
      <c r="C290" s="5" t="str" cm="1">
        <f t="array" ref="C290">_xlfn.IFS(MONTH(D290)&lt;4,1,MONTH(D290)&lt;7,2,MONTH(D290)&lt;10,3,MONTH(D290)&gt;9,4)&amp;"Q"&amp;RIGHT(YEAR(D290),2)</f>
        <v>1Q24</v>
      </c>
      <c r="D290" s="2">
        <f t="shared" si="140"/>
        <v>45382</v>
      </c>
      <c r="E290" s="25">
        <f t="shared" si="135"/>
        <v>45355</v>
      </c>
      <c r="F290" s="26">
        <v>1.84</v>
      </c>
      <c r="G290" s="26">
        <v>3.59</v>
      </c>
      <c r="H290" s="26">
        <v>6.415</v>
      </c>
      <c r="I290" s="28">
        <f t="shared" si="141"/>
        <v>0.0575</v>
      </c>
      <c r="J290" s="28">
        <f t="shared" si="137"/>
        <v>0.05609375</v>
      </c>
      <c r="K290" s="28">
        <f t="shared" si="138"/>
        <v>0.0501171875</v>
      </c>
      <c r="M290" s="36">
        <f t="shared" si="143"/>
        <v>0.03954802259887</v>
      </c>
      <c r="N290" s="36">
        <f t="shared" si="144"/>
        <v>0.03954802259887</v>
      </c>
      <c r="O290" s="36">
        <f t="shared" si="145"/>
        <v>0.03954802259887</v>
      </c>
      <c r="P290" s="36">
        <f t="shared" si="146"/>
        <v>0.0436046511627908</v>
      </c>
      <c r="Q290" s="36">
        <f t="shared" si="147"/>
        <v>0.0436046511627908</v>
      </c>
      <c r="R290" s="36">
        <f t="shared" si="148"/>
        <v>0.0436046511627908</v>
      </c>
      <c r="S290" s="36">
        <f t="shared" si="125"/>
        <v>0.0466634034915974</v>
      </c>
      <c r="T290" s="36">
        <f t="shared" si="126"/>
        <v>0.05875557022611</v>
      </c>
      <c r="U290" s="36">
        <f t="shared" si="127"/>
        <v>0.05875557022611</v>
      </c>
      <c r="BA290" s="25">
        <f t="shared" si="136"/>
        <v>45355</v>
      </c>
      <c r="BB290" s="28">
        <f t="shared" si="136"/>
        <v>1.84</v>
      </c>
      <c r="BC290" s="28">
        <f t="shared" si="139"/>
        <v>2.11</v>
      </c>
      <c r="BD290" s="28">
        <f t="shared" si="142"/>
        <v>3.59</v>
      </c>
      <c r="BE290" s="28">
        <f t="shared" si="134"/>
        <v>4.12</v>
      </c>
      <c r="BF290" s="28">
        <f t="shared" si="124"/>
        <v>6.415</v>
      </c>
      <c r="BG290" s="28">
        <f t="shared" si="132"/>
        <v>7.575</v>
      </c>
      <c r="BH290" s="28">
        <f t="shared" si="130"/>
        <v>7.95</v>
      </c>
      <c r="BI290" s="28">
        <f t="shared" si="130"/>
        <v>7.2</v>
      </c>
      <c r="CC290" s="25"/>
      <c r="CD290" s="29"/>
      <c r="CE290" s="29"/>
      <c r="DP290" s="35">
        <v>43893</v>
      </c>
      <c r="DQ290" s="26">
        <v>3.6</v>
      </c>
      <c r="DR290" s="26">
        <v>3.3</v>
      </c>
      <c r="DS290" s="26">
        <v>3.426</v>
      </c>
      <c r="DU290" s="35">
        <v>43893</v>
      </c>
      <c r="DV290" s="26">
        <v>6.25</v>
      </c>
      <c r="DW290" s="26">
        <v>6.15</v>
      </c>
      <c r="DX290" s="26">
        <v>6.188</v>
      </c>
      <c r="DZ290" s="35">
        <v>43893</v>
      </c>
      <c r="EA290" s="26">
        <v>12.55</v>
      </c>
      <c r="EB290" s="26">
        <v>12.45</v>
      </c>
      <c r="EC290" s="26">
        <v>12.5</v>
      </c>
    </row>
    <row r="291" ht="16.8" spans="3:133">
      <c r="C291" s="5" t="str" cm="1">
        <f t="array" ref="C291">_xlfn.IFS(MONTH(D291)&lt;4,1,MONTH(D291)&lt;7,2,MONTH(D291)&lt;10,3,MONTH(D291)&gt;9,4)&amp;"Q"&amp;RIGHT(YEAR(D291),2)</f>
        <v>1Q24</v>
      </c>
      <c r="D291" s="2">
        <f t="shared" si="140"/>
        <v>45382</v>
      </c>
      <c r="E291" s="25">
        <f t="shared" si="135"/>
        <v>45362</v>
      </c>
      <c r="F291" s="26">
        <v>1.82</v>
      </c>
      <c r="G291" s="26">
        <v>3.55</v>
      </c>
      <c r="H291" s="26">
        <v>6.385</v>
      </c>
      <c r="I291" s="28">
        <f t="shared" si="141"/>
        <v>0.056875</v>
      </c>
      <c r="J291" s="28">
        <f t="shared" si="137"/>
        <v>0.05546875</v>
      </c>
      <c r="K291" s="28">
        <f t="shared" si="138"/>
        <v>0.0498828125</v>
      </c>
      <c r="M291" s="36">
        <f t="shared" si="143"/>
        <v>-0.0108695652173914</v>
      </c>
      <c r="N291" s="36">
        <f t="shared" si="144"/>
        <v>0.0282485875706215</v>
      </c>
      <c r="O291" s="36">
        <f t="shared" si="145"/>
        <v>0.0282485875706215</v>
      </c>
      <c r="P291" s="36">
        <f t="shared" si="146"/>
        <v>-0.0111420612813371</v>
      </c>
      <c r="Q291" s="36">
        <f t="shared" si="147"/>
        <v>0.0319767441860466</v>
      </c>
      <c r="R291" s="36">
        <f t="shared" si="148"/>
        <v>0.0319767441860466</v>
      </c>
      <c r="S291" s="36">
        <f t="shared" si="125"/>
        <v>-0.00467653936087298</v>
      </c>
      <c r="T291" s="36">
        <f t="shared" si="126"/>
        <v>0.0417686408875837</v>
      </c>
      <c r="U291" s="36">
        <f t="shared" si="127"/>
        <v>0.0538042581284039</v>
      </c>
      <c r="BA291" s="25">
        <f t="shared" si="136"/>
        <v>45362</v>
      </c>
      <c r="BB291" s="28">
        <f t="shared" si="136"/>
        <v>1.82</v>
      </c>
      <c r="BC291" s="28">
        <f t="shared" si="139"/>
        <v>2.11</v>
      </c>
      <c r="BD291" s="28">
        <f t="shared" si="142"/>
        <v>3.55</v>
      </c>
      <c r="BE291" s="28">
        <f t="shared" si="134"/>
        <v>4.12</v>
      </c>
      <c r="BF291" s="28">
        <f t="shared" ref="BF291:BF354" si="149">H291</f>
        <v>6.385</v>
      </c>
      <c r="BG291" s="28">
        <f t="shared" si="132"/>
        <v>7.575</v>
      </c>
      <c r="BH291" s="28">
        <f t="shared" si="130"/>
        <v>7.95</v>
      </c>
      <c r="BI291" s="28">
        <f t="shared" si="130"/>
        <v>7.2</v>
      </c>
      <c r="CC291" s="25"/>
      <c r="CD291" s="29"/>
      <c r="CE291" s="29"/>
      <c r="DP291" s="35">
        <v>43894</v>
      </c>
      <c r="DQ291" s="26">
        <v>3.6</v>
      </c>
      <c r="DR291" s="26">
        <v>3.3</v>
      </c>
      <c r="DS291" s="26">
        <v>3.426</v>
      </c>
      <c r="DU291" s="35">
        <v>43894</v>
      </c>
      <c r="DV291" s="26">
        <v>6.25</v>
      </c>
      <c r="DW291" s="26">
        <v>6.15</v>
      </c>
      <c r="DX291" s="26">
        <v>6.188</v>
      </c>
      <c r="DZ291" s="35">
        <v>43894</v>
      </c>
      <c r="EA291" s="26">
        <v>12.55</v>
      </c>
      <c r="EB291" s="26">
        <v>12.45</v>
      </c>
      <c r="EC291" s="26">
        <v>12.5</v>
      </c>
    </row>
    <row r="292" ht="16.8" spans="3:133">
      <c r="C292" s="5" t="str" cm="1">
        <f t="array" ref="C292">_xlfn.IFS(MONTH(D292)&lt;4,1,MONTH(D292)&lt;7,2,MONTH(D292)&lt;10,3,MONTH(D292)&gt;9,4)&amp;"Q"&amp;RIGHT(YEAR(D292),2)</f>
        <v>1Q24</v>
      </c>
      <c r="D292" s="2">
        <f t="shared" si="140"/>
        <v>45382</v>
      </c>
      <c r="E292" s="25">
        <f t="shared" si="135"/>
        <v>45369</v>
      </c>
      <c r="F292" s="26">
        <v>1.88</v>
      </c>
      <c r="G292" s="26">
        <v>3.84</v>
      </c>
      <c r="H292" s="26">
        <v>6.835</v>
      </c>
      <c r="I292" s="28">
        <f t="shared" si="141"/>
        <v>0.05875</v>
      </c>
      <c r="J292" s="28">
        <f t="shared" si="137"/>
        <v>0.06</v>
      </c>
      <c r="K292" s="28">
        <f t="shared" si="138"/>
        <v>0.0533984375</v>
      </c>
      <c r="M292" s="36">
        <f t="shared" si="143"/>
        <v>0.0329670329670328</v>
      </c>
      <c r="N292" s="36">
        <f t="shared" si="144"/>
        <v>0.0217391304347825</v>
      </c>
      <c r="O292" s="36">
        <f t="shared" si="145"/>
        <v>0.0621468926553672</v>
      </c>
      <c r="P292" s="36">
        <f t="shared" si="146"/>
        <v>0.0816901408450705</v>
      </c>
      <c r="Q292" s="36">
        <f t="shared" si="147"/>
        <v>0.0696378830083566</v>
      </c>
      <c r="R292" s="36">
        <f t="shared" si="148"/>
        <v>0.116279069767442</v>
      </c>
      <c r="S292" s="36">
        <f t="shared" ref="S292:S355" si="150">$H292/$H291-1</f>
        <v>0.0704776820673454</v>
      </c>
      <c r="T292" s="36">
        <f t="shared" si="126"/>
        <v>0.0654715510522212</v>
      </c>
      <c r="U292" s="36">
        <f t="shared" si="127"/>
        <v>0.115190079947789</v>
      </c>
      <c r="BA292" s="25">
        <f t="shared" si="136"/>
        <v>45369</v>
      </c>
      <c r="BB292" s="28">
        <f t="shared" si="136"/>
        <v>1.88</v>
      </c>
      <c r="BC292" s="28">
        <f t="shared" si="139"/>
        <v>2.11</v>
      </c>
      <c r="BD292" s="28">
        <f t="shared" si="142"/>
        <v>3.84</v>
      </c>
      <c r="BE292" s="28">
        <f t="shared" si="134"/>
        <v>4.12</v>
      </c>
      <c r="BF292" s="28">
        <f t="shared" si="149"/>
        <v>6.835</v>
      </c>
      <c r="BG292" s="28">
        <f t="shared" si="132"/>
        <v>7.575</v>
      </c>
      <c r="BH292" s="28">
        <f t="shared" si="130"/>
        <v>7.95</v>
      </c>
      <c r="BI292" s="28">
        <f t="shared" si="130"/>
        <v>7.2</v>
      </c>
      <c r="CC292" s="25"/>
      <c r="CD292" s="29"/>
      <c r="CE292" s="29"/>
      <c r="DP292" s="35">
        <v>43895</v>
      </c>
      <c r="DQ292" s="26">
        <v>3.6</v>
      </c>
      <c r="DR292" s="26">
        <v>3.3</v>
      </c>
      <c r="DS292" s="26">
        <v>3.431</v>
      </c>
      <c r="DU292" s="35">
        <v>43895</v>
      </c>
      <c r="DV292" s="26">
        <v>6.25</v>
      </c>
      <c r="DW292" s="26">
        <v>6.15</v>
      </c>
      <c r="DX292" s="26">
        <v>6.193</v>
      </c>
      <c r="DZ292" s="35">
        <v>43895</v>
      </c>
      <c r="EA292" s="26">
        <v>12.55</v>
      </c>
      <c r="EB292" s="26">
        <v>12.45</v>
      </c>
      <c r="EC292" s="26">
        <v>12.5</v>
      </c>
    </row>
    <row r="293" ht="16.8" spans="3:133">
      <c r="C293" s="5" t="str" cm="1">
        <f t="array" ref="C293">_xlfn.IFS(MONTH(D293)&lt;4,1,MONTH(D293)&lt;7,2,MONTH(D293)&lt;10,3,MONTH(D293)&gt;9,4)&amp;"Q"&amp;RIGHT(YEAR(D293),2)</f>
        <v>1Q24</v>
      </c>
      <c r="D293" s="2">
        <f t="shared" si="140"/>
        <v>45382</v>
      </c>
      <c r="E293" s="25">
        <f t="shared" si="135"/>
        <v>45376</v>
      </c>
      <c r="F293" s="26">
        <v>1.87</v>
      </c>
      <c r="G293" s="26">
        <v>3.76</v>
      </c>
      <c r="H293" s="26">
        <v>6.806</v>
      </c>
      <c r="I293" s="28">
        <f t="shared" si="141"/>
        <v>0.0584375</v>
      </c>
      <c r="J293" s="28">
        <f t="shared" si="137"/>
        <v>0.05875</v>
      </c>
      <c r="K293" s="28">
        <f t="shared" si="138"/>
        <v>0.053171875</v>
      </c>
      <c r="M293" s="36">
        <f t="shared" si="143"/>
        <v>-0.00531914893617014</v>
      </c>
      <c r="N293" s="36">
        <f t="shared" si="144"/>
        <v>0.0274725274725276</v>
      </c>
      <c r="O293" s="36">
        <f t="shared" si="145"/>
        <v>0.0163043478260869</v>
      </c>
      <c r="P293" s="36">
        <f t="shared" si="146"/>
        <v>-0.0208333333333334</v>
      </c>
      <c r="Q293" s="36">
        <f t="shared" si="147"/>
        <v>0.0591549295774647</v>
      </c>
      <c r="R293" s="36">
        <f t="shared" si="148"/>
        <v>0.0473537604456824</v>
      </c>
      <c r="S293" s="36">
        <f t="shared" si="150"/>
        <v>-0.00424286759326997</v>
      </c>
      <c r="T293" s="36">
        <f t="shared" ref="T293:T356" si="151">$H293/$H291-1</f>
        <v>0.0659357870007831</v>
      </c>
      <c r="U293" s="36">
        <f t="shared" si="127"/>
        <v>0.0609508963367109</v>
      </c>
      <c r="BA293" s="25">
        <f t="shared" si="136"/>
        <v>45376</v>
      </c>
      <c r="BB293" s="28">
        <f t="shared" si="136"/>
        <v>1.87</v>
      </c>
      <c r="BC293" s="28">
        <f t="shared" si="139"/>
        <v>2.11</v>
      </c>
      <c r="BD293" s="28">
        <f t="shared" si="142"/>
        <v>3.76</v>
      </c>
      <c r="BE293" s="28">
        <f t="shared" si="134"/>
        <v>4.12</v>
      </c>
      <c r="BF293" s="28">
        <f t="shared" si="149"/>
        <v>6.806</v>
      </c>
      <c r="BG293" s="28">
        <f t="shared" si="132"/>
        <v>7.575</v>
      </c>
      <c r="BH293" s="28">
        <f t="shared" si="130"/>
        <v>7.95</v>
      </c>
      <c r="BI293" s="28">
        <f t="shared" si="130"/>
        <v>7.2</v>
      </c>
      <c r="CC293" s="25"/>
      <c r="CD293" s="29"/>
      <c r="CE293" s="29"/>
      <c r="DP293" s="35">
        <v>43896</v>
      </c>
      <c r="DQ293" s="26">
        <v>3.6</v>
      </c>
      <c r="DR293" s="26">
        <v>3.3</v>
      </c>
      <c r="DS293" s="26">
        <v>3.421</v>
      </c>
      <c r="DU293" s="35">
        <v>43896</v>
      </c>
      <c r="DV293" s="26">
        <v>6.25</v>
      </c>
      <c r="DW293" s="26">
        <v>6.15</v>
      </c>
      <c r="DX293" s="26">
        <v>6.193</v>
      </c>
      <c r="DZ293" s="35">
        <v>43896</v>
      </c>
      <c r="EA293" s="26">
        <v>12.55</v>
      </c>
      <c r="EB293" s="26">
        <v>12.45</v>
      </c>
      <c r="EC293" s="26">
        <v>12.5</v>
      </c>
    </row>
    <row r="294" ht="16.8" spans="3:133">
      <c r="C294" s="5" t="str" cm="1">
        <f t="array" ref="C294">_xlfn.IFS(MONTH(D294)&lt;4,1,MONTH(D294)&lt;7,2,MONTH(D294)&lt;10,3,MONTH(D294)&gt;9,4)&amp;"Q"&amp;RIGHT(YEAR(D294),2)</f>
        <v>2Q24</v>
      </c>
      <c r="D294" s="2">
        <f t="shared" si="140"/>
        <v>45412</v>
      </c>
      <c r="E294" s="25">
        <f t="shared" si="135"/>
        <v>45383</v>
      </c>
      <c r="F294" s="26">
        <v>1.87</v>
      </c>
      <c r="G294" s="26">
        <v>3.76</v>
      </c>
      <c r="H294" s="26">
        <v>6.806</v>
      </c>
      <c r="I294" s="28">
        <f t="shared" si="141"/>
        <v>0.0584375</v>
      </c>
      <c r="J294" s="28">
        <f t="shared" si="137"/>
        <v>0.05875</v>
      </c>
      <c r="K294" s="28">
        <f t="shared" si="138"/>
        <v>0.053171875</v>
      </c>
      <c r="M294" s="36">
        <f t="shared" si="143"/>
        <v>0</v>
      </c>
      <c r="N294" s="36">
        <f t="shared" si="144"/>
        <v>-0.00531914893617014</v>
      </c>
      <c r="O294" s="36">
        <f t="shared" si="145"/>
        <v>0.0274725274725276</v>
      </c>
      <c r="P294" s="36">
        <f t="shared" si="146"/>
        <v>0</v>
      </c>
      <c r="Q294" s="36">
        <f t="shared" si="147"/>
        <v>-0.0208333333333334</v>
      </c>
      <c r="R294" s="36">
        <f t="shared" si="148"/>
        <v>0.0591549295774647</v>
      </c>
      <c r="S294" s="36">
        <f t="shared" si="150"/>
        <v>0</v>
      </c>
      <c r="T294" s="36">
        <f t="shared" si="151"/>
        <v>-0.00424286759326997</v>
      </c>
      <c r="U294" s="36">
        <f t="shared" ref="U294:U357" si="152">$H294/$H291-1</f>
        <v>0.0659357870007831</v>
      </c>
      <c r="BA294" s="25">
        <f t="shared" si="136"/>
        <v>45383</v>
      </c>
      <c r="BB294" s="28">
        <f t="shared" si="136"/>
        <v>1.87</v>
      </c>
      <c r="BC294" s="28">
        <f t="shared" si="139"/>
        <v>2.11</v>
      </c>
      <c r="BD294" s="28">
        <f t="shared" si="142"/>
        <v>3.76</v>
      </c>
      <c r="BE294" s="28">
        <f t="shared" si="134"/>
        <v>4.12</v>
      </c>
      <c r="BF294" s="28">
        <f t="shared" si="149"/>
        <v>6.806</v>
      </c>
      <c r="BG294" s="28">
        <f t="shared" si="132"/>
        <v>7.575</v>
      </c>
      <c r="BH294" s="28">
        <f t="shared" si="130"/>
        <v>7.95</v>
      </c>
      <c r="BI294" s="28">
        <f t="shared" si="130"/>
        <v>7.2</v>
      </c>
      <c r="CC294" s="25"/>
      <c r="CD294" s="29"/>
      <c r="CE294" s="29"/>
      <c r="DP294" s="35">
        <v>43899</v>
      </c>
      <c r="DQ294" s="26">
        <v>3.6</v>
      </c>
      <c r="DR294" s="26">
        <v>3.3</v>
      </c>
      <c r="DS294" s="26">
        <v>3.421</v>
      </c>
      <c r="DU294" s="35">
        <v>43899</v>
      </c>
      <c r="DV294" s="26">
        <v>6.25</v>
      </c>
      <c r="DW294" s="26">
        <v>6.15</v>
      </c>
      <c r="DX294" s="26">
        <v>6.193</v>
      </c>
      <c r="DZ294" s="35">
        <v>43899</v>
      </c>
      <c r="EA294" s="26">
        <v>12.55</v>
      </c>
      <c r="EB294" s="26">
        <v>12.45</v>
      </c>
      <c r="EC294" s="26">
        <v>12.5</v>
      </c>
    </row>
    <row r="295" ht="16.8" spans="3:133">
      <c r="C295" s="5" t="str" cm="1">
        <f t="array" ref="C295">_xlfn.IFS(MONTH(D295)&lt;4,1,MONTH(D295)&lt;7,2,MONTH(D295)&lt;10,3,MONTH(D295)&gt;9,4)&amp;"Q"&amp;RIGHT(YEAR(D295),2)</f>
        <v>2Q24</v>
      </c>
      <c r="D295" s="2">
        <f t="shared" si="140"/>
        <v>45412</v>
      </c>
      <c r="E295" s="25">
        <f t="shared" si="135"/>
        <v>45390</v>
      </c>
      <c r="F295" s="26">
        <v>1.87</v>
      </c>
      <c r="G295" s="26">
        <v>3.76</v>
      </c>
      <c r="H295" s="26">
        <v>6.806</v>
      </c>
      <c r="I295" s="28">
        <f t="shared" si="141"/>
        <v>0.0584375</v>
      </c>
      <c r="J295" s="28">
        <f t="shared" si="137"/>
        <v>0.05875</v>
      </c>
      <c r="K295" s="28">
        <f t="shared" si="138"/>
        <v>0.053171875</v>
      </c>
      <c r="M295" s="36">
        <f t="shared" si="143"/>
        <v>0</v>
      </c>
      <c r="N295" s="36">
        <f t="shared" si="144"/>
        <v>0</v>
      </c>
      <c r="O295" s="36">
        <f t="shared" si="145"/>
        <v>-0.00531914893617014</v>
      </c>
      <c r="P295" s="36">
        <f t="shared" si="146"/>
        <v>0</v>
      </c>
      <c r="Q295" s="36">
        <f t="shared" si="147"/>
        <v>0</v>
      </c>
      <c r="R295" s="36">
        <f t="shared" si="148"/>
        <v>-0.0208333333333334</v>
      </c>
      <c r="S295" s="36">
        <f t="shared" si="150"/>
        <v>0</v>
      </c>
      <c r="T295" s="36">
        <f t="shared" si="151"/>
        <v>0</v>
      </c>
      <c r="U295" s="36">
        <f t="shared" si="152"/>
        <v>-0.00424286759326997</v>
      </c>
      <c r="BA295" s="25">
        <f t="shared" si="136"/>
        <v>45390</v>
      </c>
      <c r="BB295" s="28">
        <f t="shared" si="136"/>
        <v>1.87</v>
      </c>
      <c r="BC295" s="28">
        <f t="shared" si="139"/>
        <v>2.11</v>
      </c>
      <c r="BD295" s="28">
        <f t="shared" si="142"/>
        <v>3.76</v>
      </c>
      <c r="BE295" s="28">
        <f t="shared" si="134"/>
        <v>4.12</v>
      </c>
      <c r="BF295" s="28">
        <f t="shared" si="149"/>
        <v>6.806</v>
      </c>
      <c r="BG295" s="28">
        <f t="shared" si="132"/>
        <v>7.575</v>
      </c>
      <c r="BH295" s="28">
        <f t="shared" si="130"/>
        <v>7.95</v>
      </c>
      <c r="BI295" s="28">
        <f t="shared" si="130"/>
        <v>7.2</v>
      </c>
      <c r="CC295" s="25"/>
      <c r="CD295" s="29"/>
      <c r="CE295" s="29"/>
      <c r="DP295" s="35">
        <v>43900</v>
      </c>
      <c r="DQ295" s="26">
        <v>3.6</v>
      </c>
      <c r="DR295" s="26">
        <v>3.3</v>
      </c>
      <c r="DS295" s="26">
        <v>3.417</v>
      </c>
      <c r="DU295" s="35">
        <v>43900</v>
      </c>
      <c r="DV295" s="26">
        <v>6.25</v>
      </c>
      <c r="DW295" s="26">
        <v>6.15</v>
      </c>
      <c r="DX295" s="26">
        <v>6.19</v>
      </c>
      <c r="DZ295" s="35">
        <v>43900</v>
      </c>
      <c r="EA295" s="26">
        <v>12.55</v>
      </c>
      <c r="EB295" s="26">
        <v>12.45</v>
      </c>
      <c r="EC295" s="26">
        <v>12.5</v>
      </c>
    </row>
    <row r="296" ht="16.8" spans="3:133">
      <c r="C296" s="5" t="str" cm="1">
        <f t="array" ref="C296">_xlfn.IFS(MONTH(D296)&lt;4,1,MONTH(D296)&lt;7,2,MONTH(D296)&lt;10,3,MONTH(D296)&gt;9,4)&amp;"Q"&amp;RIGHT(YEAR(D296),2)</f>
        <v>2Q24</v>
      </c>
      <c r="D296" s="2">
        <f t="shared" si="140"/>
        <v>45412</v>
      </c>
      <c r="E296" s="25">
        <f t="shared" si="135"/>
        <v>45397</v>
      </c>
      <c r="F296" s="26">
        <v>1.87</v>
      </c>
      <c r="G296" s="26">
        <v>3.77</v>
      </c>
      <c r="H296" s="26">
        <v>6.971</v>
      </c>
      <c r="I296" s="28">
        <f t="shared" si="141"/>
        <v>0.0584375</v>
      </c>
      <c r="J296" s="28">
        <f t="shared" si="137"/>
        <v>0.05890625</v>
      </c>
      <c r="K296" s="28">
        <f t="shared" si="138"/>
        <v>0.0544609375</v>
      </c>
      <c r="M296" s="36">
        <f t="shared" si="143"/>
        <v>0</v>
      </c>
      <c r="N296" s="36">
        <f t="shared" si="144"/>
        <v>0</v>
      </c>
      <c r="O296" s="36">
        <f t="shared" si="145"/>
        <v>0</v>
      </c>
      <c r="P296" s="36">
        <f t="shared" si="146"/>
        <v>0.00265957446808507</v>
      </c>
      <c r="Q296" s="36">
        <f t="shared" si="147"/>
        <v>0.00265957446808507</v>
      </c>
      <c r="R296" s="36">
        <f t="shared" si="148"/>
        <v>0.00265957446808507</v>
      </c>
      <c r="S296" s="36">
        <f t="shared" si="150"/>
        <v>0.0242433147223038</v>
      </c>
      <c r="T296" s="36">
        <f t="shared" si="151"/>
        <v>0.0242433147223038</v>
      </c>
      <c r="U296" s="36">
        <f t="shared" si="152"/>
        <v>0.0242433147223038</v>
      </c>
      <c r="BA296" s="25">
        <f t="shared" si="136"/>
        <v>45397</v>
      </c>
      <c r="BB296" s="28">
        <f t="shared" si="136"/>
        <v>1.87</v>
      </c>
      <c r="BC296" s="28">
        <f t="shared" si="139"/>
        <v>2.11</v>
      </c>
      <c r="BD296" s="28">
        <f t="shared" si="142"/>
        <v>3.77</v>
      </c>
      <c r="BE296" s="28">
        <f t="shared" si="134"/>
        <v>4.12</v>
      </c>
      <c r="BF296" s="28">
        <f t="shared" si="149"/>
        <v>6.971</v>
      </c>
      <c r="BG296" s="28">
        <f t="shared" si="132"/>
        <v>7.575</v>
      </c>
      <c r="BH296" s="28">
        <f t="shared" si="130"/>
        <v>7.95</v>
      </c>
      <c r="BI296" s="28">
        <f t="shared" si="130"/>
        <v>7.2</v>
      </c>
      <c r="CC296" s="25"/>
      <c r="CD296" s="29"/>
      <c r="CE296" s="29"/>
      <c r="DP296" s="35">
        <v>43901</v>
      </c>
      <c r="DQ296" s="26">
        <v>3.6</v>
      </c>
      <c r="DR296" s="26">
        <v>3.3</v>
      </c>
      <c r="DS296" s="26">
        <v>3.408</v>
      </c>
      <c r="DU296" s="35">
        <v>43901</v>
      </c>
      <c r="DV296" s="26">
        <v>6.25</v>
      </c>
      <c r="DW296" s="26">
        <v>6.15</v>
      </c>
      <c r="DX296" s="26">
        <v>6.186</v>
      </c>
      <c r="DZ296" s="35">
        <v>43901</v>
      </c>
      <c r="EA296" s="26">
        <v>12.55</v>
      </c>
      <c r="EB296" s="26">
        <v>12.4</v>
      </c>
      <c r="EC296" s="26">
        <v>12.45</v>
      </c>
    </row>
    <row r="297" ht="16.8" spans="3:133">
      <c r="C297" s="5" t="str" cm="1">
        <f t="array" ref="C297">_xlfn.IFS(MONTH(D297)&lt;4,1,MONTH(D297)&lt;7,2,MONTH(D297)&lt;10,3,MONTH(D297)&gt;9,4)&amp;"Q"&amp;RIGHT(YEAR(D297),2)</f>
        <v>2Q24</v>
      </c>
      <c r="D297" s="2">
        <f t="shared" si="140"/>
        <v>45412</v>
      </c>
      <c r="E297" s="25">
        <f t="shared" si="135"/>
        <v>45404</v>
      </c>
      <c r="F297" s="26">
        <v>1.89</v>
      </c>
      <c r="G297" s="26">
        <v>3.76</v>
      </c>
      <c r="H297" s="26">
        <v>7.059</v>
      </c>
      <c r="I297" s="28">
        <f t="shared" si="141"/>
        <v>0.0590625</v>
      </c>
      <c r="J297" s="28">
        <f t="shared" si="137"/>
        <v>0.05875</v>
      </c>
      <c r="K297" s="28">
        <f t="shared" si="138"/>
        <v>0.0551484375</v>
      </c>
      <c r="M297" s="36">
        <f t="shared" si="143"/>
        <v>0.0106951871657752</v>
      </c>
      <c r="N297" s="36">
        <f t="shared" si="144"/>
        <v>0.0106951871657752</v>
      </c>
      <c r="O297" s="36">
        <f t="shared" si="145"/>
        <v>0.0106951871657752</v>
      </c>
      <c r="P297" s="36">
        <f t="shared" si="146"/>
        <v>-0.00265251989389925</v>
      </c>
      <c r="Q297" s="36">
        <f t="shared" si="147"/>
        <v>0</v>
      </c>
      <c r="R297" s="36">
        <f t="shared" si="148"/>
        <v>0</v>
      </c>
      <c r="S297" s="36">
        <f t="shared" si="150"/>
        <v>0.012623726868455</v>
      </c>
      <c r="T297" s="36">
        <f t="shared" si="151"/>
        <v>0.0371730825741992</v>
      </c>
      <c r="U297" s="36">
        <f t="shared" si="152"/>
        <v>0.0371730825741992</v>
      </c>
      <c r="BA297" s="25">
        <f t="shared" ref="BA297:BB312" si="153">E297</f>
        <v>45404</v>
      </c>
      <c r="BB297" s="28">
        <f t="shared" si="153"/>
        <v>1.89</v>
      </c>
      <c r="BC297" s="28">
        <f t="shared" si="139"/>
        <v>2.11</v>
      </c>
      <c r="BD297" s="28">
        <f t="shared" si="142"/>
        <v>3.76</v>
      </c>
      <c r="BE297" s="28">
        <f t="shared" si="134"/>
        <v>4.12</v>
      </c>
      <c r="BF297" s="28">
        <f t="shared" si="149"/>
        <v>7.059</v>
      </c>
      <c r="BG297" s="28">
        <f t="shared" si="132"/>
        <v>7.575</v>
      </c>
      <c r="BH297" s="28">
        <f t="shared" si="130"/>
        <v>7.95</v>
      </c>
      <c r="BI297" s="28">
        <f t="shared" si="130"/>
        <v>7.2</v>
      </c>
      <c r="CC297" s="25"/>
      <c r="CD297" s="29"/>
      <c r="CE297" s="29"/>
      <c r="DP297" s="35">
        <v>43902</v>
      </c>
      <c r="DQ297" s="26">
        <v>3.55</v>
      </c>
      <c r="DR297" s="26">
        <v>3.3</v>
      </c>
      <c r="DS297" s="26">
        <v>3.404</v>
      </c>
      <c r="DU297" s="35">
        <v>43902</v>
      </c>
      <c r="DV297" s="26">
        <v>6.25</v>
      </c>
      <c r="DW297" s="26">
        <v>6.15</v>
      </c>
      <c r="DX297" s="26">
        <v>6.183</v>
      </c>
      <c r="DZ297" s="35">
        <v>43902</v>
      </c>
      <c r="EA297" s="26">
        <v>12.55</v>
      </c>
      <c r="EB297" s="26">
        <v>12.4</v>
      </c>
      <c r="EC297" s="26">
        <v>12.42</v>
      </c>
    </row>
    <row r="298" ht="16.8" spans="3:133">
      <c r="C298" s="5" t="str" cm="1">
        <f t="array" ref="C298">_xlfn.IFS(MONTH(D298)&lt;4,1,MONTH(D298)&lt;7,2,MONTH(D298)&lt;10,3,MONTH(D298)&gt;9,4)&amp;"Q"&amp;RIGHT(YEAR(D298),2)</f>
        <v>2Q24</v>
      </c>
      <c r="D298" s="2">
        <f t="shared" si="140"/>
        <v>45412</v>
      </c>
      <c r="E298" s="25">
        <f t="shared" si="135"/>
        <v>45411</v>
      </c>
      <c r="F298" s="26">
        <v>1.87</v>
      </c>
      <c r="G298" s="26">
        <v>3.75</v>
      </c>
      <c r="H298" s="26">
        <v>7.118</v>
      </c>
      <c r="I298" s="28">
        <f t="shared" si="141"/>
        <v>0.0584375</v>
      </c>
      <c r="J298" s="28">
        <f t="shared" si="137"/>
        <v>0.05859375</v>
      </c>
      <c r="K298" s="28">
        <f t="shared" si="138"/>
        <v>0.055609375</v>
      </c>
      <c r="M298" s="36">
        <f t="shared" si="143"/>
        <v>-0.0105820105820105</v>
      </c>
      <c r="N298" s="36">
        <f t="shared" si="144"/>
        <v>0</v>
      </c>
      <c r="O298" s="36">
        <f t="shared" si="145"/>
        <v>0</v>
      </c>
      <c r="P298" s="36">
        <f t="shared" si="146"/>
        <v>-0.00265957446808507</v>
      </c>
      <c r="Q298" s="36">
        <f t="shared" si="147"/>
        <v>-0.00530503978779839</v>
      </c>
      <c r="R298" s="36">
        <f t="shared" si="148"/>
        <v>-0.00265957446808507</v>
      </c>
      <c r="S298" s="36">
        <f t="shared" si="150"/>
        <v>0.00835812438022376</v>
      </c>
      <c r="T298" s="36">
        <f t="shared" si="151"/>
        <v>0.0210873619279874</v>
      </c>
      <c r="U298" s="36">
        <f t="shared" si="152"/>
        <v>0.0458419042021745</v>
      </c>
      <c r="BA298" s="25">
        <f t="shared" si="153"/>
        <v>45411</v>
      </c>
      <c r="BB298" s="28">
        <f t="shared" si="153"/>
        <v>1.87</v>
      </c>
      <c r="BC298" s="28">
        <f t="shared" si="139"/>
        <v>2.11</v>
      </c>
      <c r="BD298" s="28">
        <f t="shared" si="142"/>
        <v>3.75</v>
      </c>
      <c r="BE298" s="28">
        <f t="shared" si="134"/>
        <v>4.12</v>
      </c>
      <c r="BF298" s="28">
        <f t="shared" si="149"/>
        <v>7.118</v>
      </c>
      <c r="BG298" s="28">
        <f t="shared" si="132"/>
        <v>7.575</v>
      </c>
      <c r="BH298" s="28">
        <f t="shared" si="130"/>
        <v>7.95</v>
      </c>
      <c r="BI298" s="28">
        <f t="shared" si="130"/>
        <v>7.2</v>
      </c>
      <c r="CC298" s="25"/>
      <c r="CD298" s="29"/>
      <c r="CE298" s="29"/>
      <c r="DP298" s="35">
        <v>43903</v>
      </c>
      <c r="DQ298" s="26">
        <v>3.55</v>
      </c>
      <c r="DR298" s="26">
        <v>3.3</v>
      </c>
      <c r="DS298" s="26">
        <v>3.391</v>
      </c>
      <c r="DU298" s="35">
        <v>43903</v>
      </c>
      <c r="DV298" s="26">
        <v>6.25</v>
      </c>
      <c r="DW298" s="26">
        <v>6.15</v>
      </c>
      <c r="DX298" s="26">
        <v>6.179</v>
      </c>
      <c r="DZ298" s="35">
        <v>43903</v>
      </c>
      <c r="EA298" s="26">
        <v>12.55</v>
      </c>
      <c r="EB298" s="26">
        <v>12.45</v>
      </c>
      <c r="EC298" s="26">
        <v>12.5</v>
      </c>
    </row>
    <row r="299" ht="16.8" spans="3:133">
      <c r="C299" s="5" t="str" cm="1">
        <f t="array" ref="C299">_xlfn.IFS(MONTH(D299)&lt;4,1,MONTH(D299)&lt;7,2,MONTH(D299)&lt;10,3,MONTH(D299)&gt;9,4)&amp;"Q"&amp;RIGHT(YEAR(D299),2)</f>
        <v>2Q24</v>
      </c>
      <c r="D299" s="2">
        <f t="shared" si="140"/>
        <v>45443</v>
      </c>
      <c r="E299" s="25">
        <f t="shared" si="135"/>
        <v>45418</v>
      </c>
      <c r="F299" s="26">
        <v>1.85</v>
      </c>
      <c r="G299" s="26">
        <v>3.71</v>
      </c>
      <c r="H299" s="26">
        <v>7.197</v>
      </c>
      <c r="I299" s="28">
        <f t="shared" si="141"/>
        <v>0.0578125</v>
      </c>
      <c r="J299" s="28">
        <f t="shared" si="137"/>
        <v>0.05796875</v>
      </c>
      <c r="K299" s="28">
        <f t="shared" si="138"/>
        <v>0.0562265625</v>
      </c>
      <c r="M299" s="36">
        <f t="shared" si="143"/>
        <v>-0.0106951871657754</v>
      </c>
      <c r="N299" s="36">
        <f t="shared" si="144"/>
        <v>-0.0211640211640211</v>
      </c>
      <c r="O299" s="36">
        <f t="shared" si="145"/>
        <v>-0.0106951871657754</v>
      </c>
      <c r="P299" s="36">
        <f t="shared" si="146"/>
        <v>-0.0106666666666667</v>
      </c>
      <c r="Q299" s="36">
        <f t="shared" si="147"/>
        <v>-0.0132978723404255</v>
      </c>
      <c r="R299" s="36">
        <f t="shared" si="148"/>
        <v>-0.0159151193633953</v>
      </c>
      <c r="S299" s="36">
        <f t="shared" si="150"/>
        <v>0.0110986232087664</v>
      </c>
      <c r="T299" s="36">
        <f t="shared" si="151"/>
        <v>0.0195495112622184</v>
      </c>
      <c r="U299" s="36">
        <f t="shared" si="152"/>
        <v>0.0324200258212595</v>
      </c>
      <c r="BA299" s="25">
        <f t="shared" si="153"/>
        <v>45418</v>
      </c>
      <c r="BB299" s="28">
        <f t="shared" si="153"/>
        <v>1.85</v>
      </c>
      <c r="BC299" s="28">
        <f t="shared" si="139"/>
        <v>2.11</v>
      </c>
      <c r="BD299" s="28">
        <f t="shared" si="142"/>
        <v>3.71</v>
      </c>
      <c r="BE299" s="28">
        <f t="shared" si="134"/>
        <v>4.12</v>
      </c>
      <c r="BF299" s="28">
        <f t="shared" si="149"/>
        <v>7.197</v>
      </c>
      <c r="BG299" s="28">
        <f t="shared" si="132"/>
        <v>7.575</v>
      </c>
      <c r="BH299" s="28">
        <f t="shared" si="130"/>
        <v>7.95</v>
      </c>
      <c r="BI299" s="28">
        <f t="shared" si="130"/>
        <v>7.2</v>
      </c>
      <c r="CC299" s="25"/>
      <c r="CD299" s="29"/>
      <c r="CE299" s="29"/>
      <c r="DP299" s="35">
        <v>43906</v>
      </c>
      <c r="DQ299" s="26">
        <v>3.55</v>
      </c>
      <c r="DR299" s="26">
        <v>3.3</v>
      </c>
      <c r="DS299" s="26">
        <v>3.391</v>
      </c>
      <c r="DU299" s="35">
        <v>43906</v>
      </c>
      <c r="DV299" s="26">
        <v>6.25</v>
      </c>
      <c r="DW299" s="26">
        <v>6.15</v>
      </c>
      <c r="DX299" s="26">
        <v>6.179</v>
      </c>
      <c r="DZ299" s="35">
        <v>43906</v>
      </c>
      <c r="EA299" s="26">
        <v>12.55</v>
      </c>
      <c r="EB299" s="26">
        <v>12.45</v>
      </c>
      <c r="EC299" s="26">
        <v>12.5</v>
      </c>
    </row>
    <row r="300" ht="16.8" spans="3:133">
      <c r="C300" s="5" t="str" cm="1">
        <f t="array" ref="C300">_xlfn.IFS(MONTH(D300)&lt;4,1,MONTH(D300)&lt;7,2,MONTH(D300)&lt;10,3,MONTH(D300)&gt;9,4)&amp;"Q"&amp;RIGHT(YEAR(D300),2)</f>
        <v>2Q24</v>
      </c>
      <c r="D300" s="2">
        <f t="shared" si="140"/>
        <v>45443</v>
      </c>
      <c r="E300" s="25">
        <f t="shared" si="135"/>
        <v>45425</v>
      </c>
      <c r="F300" s="26">
        <v>1.83</v>
      </c>
      <c r="G300" s="26">
        <v>3.68</v>
      </c>
      <c r="H300" s="26">
        <v>7.147</v>
      </c>
      <c r="I300" s="28">
        <f t="shared" si="141"/>
        <v>0.0571875</v>
      </c>
      <c r="J300" s="28">
        <f t="shared" si="137"/>
        <v>0.0575</v>
      </c>
      <c r="K300" s="28">
        <f t="shared" si="138"/>
        <v>0.0558359375</v>
      </c>
      <c r="M300" s="36">
        <f t="shared" si="143"/>
        <v>-0.0108108108108108</v>
      </c>
      <c r="N300" s="36">
        <f t="shared" si="144"/>
        <v>-0.0213903743315508</v>
      </c>
      <c r="O300" s="36">
        <f t="shared" si="145"/>
        <v>-0.0317460317460316</v>
      </c>
      <c r="P300" s="36">
        <f t="shared" si="146"/>
        <v>-0.00808625336927216</v>
      </c>
      <c r="Q300" s="36">
        <f t="shared" si="147"/>
        <v>-0.0186666666666666</v>
      </c>
      <c r="R300" s="36">
        <f t="shared" si="148"/>
        <v>-0.0212765957446808</v>
      </c>
      <c r="S300" s="36">
        <f t="shared" si="150"/>
        <v>-0.00694733916909818</v>
      </c>
      <c r="T300" s="36">
        <f t="shared" si="151"/>
        <v>0.00407417813992694</v>
      </c>
      <c r="U300" s="36">
        <f t="shared" si="152"/>
        <v>0.0124663550077915</v>
      </c>
      <c r="BA300" s="25">
        <f t="shared" si="153"/>
        <v>45425</v>
      </c>
      <c r="BB300" s="28">
        <f t="shared" si="153"/>
        <v>1.83</v>
      </c>
      <c r="BC300" s="28">
        <f t="shared" si="139"/>
        <v>2.11</v>
      </c>
      <c r="BD300" s="28">
        <f t="shared" si="142"/>
        <v>3.68</v>
      </c>
      <c r="BE300" s="28">
        <f t="shared" si="134"/>
        <v>4.12</v>
      </c>
      <c r="BF300" s="28">
        <f t="shared" si="149"/>
        <v>7.147</v>
      </c>
      <c r="BG300" s="28">
        <f t="shared" si="132"/>
        <v>7.575</v>
      </c>
      <c r="BH300" s="28">
        <f t="shared" si="130"/>
        <v>7.95</v>
      </c>
      <c r="BI300" s="28">
        <f t="shared" si="130"/>
        <v>7.2</v>
      </c>
      <c r="CC300" s="25"/>
      <c r="CD300" s="29"/>
      <c r="CE300" s="29"/>
      <c r="DP300" s="35">
        <v>43907</v>
      </c>
      <c r="DQ300" s="26">
        <v>3.55</v>
      </c>
      <c r="DR300" s="26">
        <v>3.3</v>
      </c>
      <c r="DS300" s="26">
        <v>3.391</v>
      </c>
      <c r="DU300" s="35">
        <v>43907</v>
      </c>
      <c r="DV300" s="26">
        <v>6.25</v>
      </c>
      <c r="DW300" s="26">
        <v>6.15</v>
      </c>
      <c r="DX300" s="26">
        <v>6.175</v>
      </c>
      <c r="DZ300" s="35">
        <v>43907</v>
      </c>
      <c r="EA300" s="26">
        <v>12.55</v>
      </c>
      <c r="EB300" s="26">
        <v>12.45</v>
      </c>
      <c r="EC300" s="26">
        <v>12.5</v>
      </c>
    </row>
    <row r="301" ht="16.8" spans="3:133">
      <c r="C301" s="5" t="str" cm="1">
        <f t="array" ref="C301">_xlfn.IFS(MONTH(D301)&lt;4,1,MONTH(D301)&lt;7,2,MONTH(D301)&lt;10,3,MONTH(D301)&gt;9,4)&amp;"Q"&amp;RIGHT(YEAR(D301),2)</f>
        <v>2Q24</v>
      </c>
      <c r="D301" s="2">
        <f t="shared" si="140"/>
        <v>45443</v>
      </c>
      <c r="E301" s="25">
        <f t="shared" si="135"/>
        <v>45432</v>
      </c>
      <c r="F301" s="26">
        <v>1.79</v>
      </c>
      <c r="G301" s="26">
        <v>3.58</v>
      </c>
      <c r="H301" s="26">
        <v>6.985</v>
      </c>
      <c r="I301" s="28">
        <f t="shared" si="141"/>
        <v>0.0559375</v>
      </c>
      <c r="J301" s="28">
        <f t="shared" si="137"/>
        <v>0.0559375</v>
      </c>
      <c r="K301" s="28">
        <f t="shared" si="138"/>
        <v>0.0545703125</v>
      </c>
      <c r="M301" s="36">
        <f t="shared" si="143"/>
        <v>-0.0218579234972678</v>
      </c>
      <c r="N301" s="36">
        <f t="shared" si="144"/>
        <v>-0.0324324324324324</v>
      </c>
      <c r="O301" s="36">
        <f t="shared" si="145"/>
        <v>-0.0427807486631017</v>
      </c>
      <c r="P301" s="36">
        <f t="shared" si="146"/>
        <v>-0.0271739130434783</v>
      </c>
      <c r="Q301" s="36">
        <f t="shared" si="147"/>
        <v>-0.0350404312668463</v>
      </c>
      <c r="R301" s="36">
        <f t="shared" si="148"/>
        <v>-0.0453333333333333</v>
      </c>
      <c r="S301" s="36">
        <f t="shared" si="150"/>
        <v>-0.0226668532251294</v>
      </c>
      <c r="T301" s="36">
        <f t="shared" si="151"/>
        <v>-0.0294567180769765</v>
      </c>
      <c r="U301" s="36">
        <f t="shared" si="152"/>
        <v>-0.0186850238831132</v>
      </c>
      <c r="BA301" s="25">
        <f t="shared" si="153"/>
        <v>45432</v>
      </c>
      <c r="BB301" s="28">
        <f t="shared" si="153"/>
        <v>1.79</v>
      </c>
      <c r="BC301" s="28">
        <f t="shared" si="139"/>
        <v>2.11</v>
      </c>
      <c r="BD301" s="28">
        <f t="shared" si="142"/>
        <v>3.58</v>
      </c>
      <c r="BE301" s="28">
        <f t="shared" si="134"/>
        <v>4.12</v>
      </c>
      <c r="BF301" s="28">
        <f t="shared" si="149"/>
        <v>6.985</v>
      </c>
      <c r="BG301" s="28">
        <f t="shared" si="132"/>
        <v>7.575</v>
      </c>
      <c r="BH301" s="28">
        <f t="shared" si="130"/>
        <v>7.95</v>
      </c>
      <c r="BI301" s="28">
        <f t="shared" si="130"/>
        <v>7.2</v>
      </c>
      <c r="CC301" s="25"/>
      <c r="CD301" s="29"/>
      <c r="CE301" s="29"/>
      <c r="DP301" s="35">
        <v>43908</v>
      </c>
      <c r="DQ301" s="26">
        <v>3.55</v>
      </c>
      <c r="DR301" s="26">
        <v>3.3</v>
      </c>
      <c r="DS301" s="26">
        <v>3.383</v>
      </c>
      <c r="DU301" s="35">
        <v>43908</v>
      </c>
      <c r="DV301" s="26">
        <v>6.25</v>
      </c>
      <c r="DW301" s="26">
        <v>6.1</v>
      </c>
      <c r="DX301" s="26">
        <v>6.169</v>
      </c>
      <c r="DZ301" s="35">
        <v>43908</v>
      </c>
      <c r="EA301" s="26">
        <v>12.7</v>
      </c>
      <c r="EB301" s="26">
        <v>12.5</v>
      </c>
      <c r="EC301" s="26">
        <v>12.6</v>
      </c>
    </row>
    <row r="302" ht="16.8" spans="3:133">
      <c r="C302" s="5" t="str" cm="1">
        <f t="array" ref="C302">_xlfn.IFS(MONTH(D302)&lt;4,1,MONTH(D302)&lt;7,2,MONTH(D302)&lt;10,3,MONTH(D302)&gt;9,4)&amp;"Q"&amp;RIGHT(YEAR(D302),2)</f>
        <v>2Q24</v>
      </c>
      <c r="D302" s="2">
        <f t="shared" si="140"/>
        <v>45443</v>
      </c>
      <c r="E302" s="25">
        <f t="shared" si="135"/>
        <v>45439</v>
      </c>
      <c r="F302" s="26">
        <v>1.78</v>
      </c>
      <c r="G302" s="26">
        <v>3.48</v>
      </c>
      <c r="H302" s="26">
        <v>6.876</v>
      </c>
      <c r="I302" s="28">
        <f t="shared" si="141"/>
        <v>0.055625</v>
      </c>
      <c r="J302" s="28">
        <f t="shared" si="137"/>
        <v>0.054375</v>
      </c>
      <c r="K302" s="28">
        <f t="shared" si="138"/>
        <v>0.05371875</v>
      </c>
      <c r="M302" s="36">
        <f t="shared" si="143"/>
        <v>-0.005586592178771</v>
      </c>
      <c r="N302" s="36">
        <f t="shared" si="144"/>
        <v>-0.0273224043715847</v>
      </c>
      <c r="O302" s="36">
        <f t="shared" si="145"/>
        <v>-0.0378378378378379</v>
      </c>
      <c r="P302" s="36">
        <f t="shared" si="146"/>
        <v>-0.0279329608938548</v>
      </c>
      <c r="Q302" s="36">
        <f t="shared" si="147"/>
        <v>-0.0543478260869565</v>
      </c>
      <c r="R302" s="36">
        <f t="shared" si="148"/>
        <v>-0.0619946091644205</v>
      </c>
      <c r="S302" s="36">
        <f t="shared" si="150"/>
        <v>-0.0156048675733715</v>
      </c>
      <c r="T302" s="36">
        <f t="shared" si="151"/>
        <v>-0.0379180075556177</v>
      </c>
      <c r="U302" s="36">
        <f t="shared" si="152"/>
        <v>-0.0446019174656106</v>
      </c>
      <c r="BA302" s="25">
        <f t="shared" si="153"/>
        <v>45439</v>
      </c>
      <c r="BB302" s="28">
        <f t="shared" si="153"/>
        <v>1.78</v>
      </c>
      <c r="BC302" s="28">
        <f t="shared" si="139"/>
        <v>2.11</v>
      </c>
      <c r="BD302" s="28">
        <f t="shared" si="142"/>
        <v>3.48</v>
      </c>
      <c r="BE302" s="28">
        <f t="shared" si="134"/>
        <v>4.12</v>
      </c>
      <c r="BF302" s="28">
        <f t="shared" si="149"/>
        <v>6.876</v>
      </c>
      <c r="BG302" s="28">
        <f t="shared" si="132"/>
        <v>7.575</v>
      </c>
      <c r="BH302" s="28">
        <f t="shared" si="130"/>
        <v>7.95</v>
      </c>
      <c r="BI302" s="28">
        <f t="shared" si="130"/>
        <v>7.2</v>
      </c>
      <c r="CC302" s="25"/>
      <c r="CD302" s="29"/>
      <c r="CE302" s="29"/>
      <c r="DP302" s="35">
        <v>43909</v>
      </c>
      <c r="DQ302" s="26">
        <v>3.55</v>
      </c>
      <c r="DR302" s="26">
        <v>3.3</v>
      </c>
      <c r="DS302" s="26">
        <v>3.379</v>
      </c>
      <c r="DU302" s="35">
        <v>43909</v>
      </c>
      <c r="DV302" s="26">
        <v>6.25</v>
      </c>
      <c r="DW302" s="26">
        <v>6.1</v>
      </c>
      <c r="DX302" s="26">
        <v>6.169</v>
      </c>
      <c r="DZ302" s="35">
        <v>43909</v>
      </c>
      <c r="EA302" s="26">
        <v>12.7</v>
      </c>
      <c r="EB302" s="26">
        <v>12.5</v>
      </c>
      <c r="EC302" s="26">
        <v>12.6</v>
      </c>
    </row>
    <row r="303" ht="16.8" spans="3:133">
      <c r="C303" s="5" t="str" cm="1">
        <f t="array" ref="C303">_xlfn.IFS(MONTH(D303)&lt;4,1,MONTH(D303)&lt;7,2,MONTH(D303)&lt;10,3,MONTH(D303)&gt;9,4)&amp;"Q"&amp;RIGHT(YEAR(D303),2)</f>
        <v>2Q24</v>
      </c>
      <c r="D303" s="2">
        <f t="shared" si="140"/>
        <v>45473</v>
      </c>
      <c r="E303" s="25">
        <f t="shared" si="135"/>
        <v>45446</v>
      </c>
      <c r="F303" s="26">
        <v>1.74</v>
      </c>
      <c r="G303" s="26">
        <v>3.39</v>
      </c>
      <c r="H303" s="26">
        <v>6.829</v>
      </c>
      <c r="I303" s="28">
        <f t="shared" si="141"/>
        <v>0.054375</v>
      </c>
      <c r="J303" s="28">
        <f t="shared" si="137"/>
        <v>0.05296875</v>
      </c>
      <c r="K303" s="28">
        <f t="shared" si="138"/>
        <v>0.0533515625</v>
      </c>
      <c r="M303" s="36">
        <f t="shared" si="143"/>
        <v>-0.0224719101123596</v>
      </c>
      <c r="N303" s="36">
        <f t="shared" si="144"/>
        <v>-0.0279329608938548</v>
      </c>
      <c r="O303" s="36">
        <f t="shared" si="145"/>
        <v>-0.0491803278688525</v>
      </c>
      <c r="P303" s="36">
        <f t="shared" si="146"/>
        <v>-0.0258620689655172</v>
      </c>
      <c r="Q303" s="36">
        <f t="shared" si="147"/>
        <v>-0.053072625698324</v>
      </c>
      <c r="R303" s="36">
        <f t="shared" si="148"/>
        <v>-0.0788043478260869</v>
      </c>
      <c r="S303" s="36">
        <f t="shared" si="150"/>
        <v>-0.00683536940081453</v>
      </c>
      <c r="T303" s="36">
        <f t="shared" si="151"/>
        <v>-0.0223335719398713</v>
      </c>
      <c r="U303" s="36">
        <f t="shared" si="152"/>
        <v>-0.0444941933678468</v>
      </c>
      <c r="BA303" s="25">
        <f t="shared" si="153"/>
        <v>45446</v>
      </c>
      <c r="BB303" s="28">
        <f t="shared" si="153"/>
        <v>1.74</v>
      </c>
      <c r="BC303" s="28">
        <f t="shared" si="139"/>
        <v>2.15</v>
      </c>
      <c r="BD303" s="28">
        <f t="shared" si="142"/>
        <v>3.39</v>
      </c>
      <c r="BE303" s="28">
        <f t="shared" si="134"/>
        <v>4.22</v>
      </c>
      <c r="BF303" s="28">
        <f t="shared" si="149"/>
        <v>6.829</v>
      </c>
      <c r="BG303" s="28">
        <f t="shared" si="132"/>
        <v>7.575</v>
      </c>
      <c r="BH303" s="28">
        <f t="shared" si="130"/>
        <v>7.95</v>
      </c>
      <c r="BI303" s="28">
        <f t="shared" si="130"/>
        <v>7.2</v>
      </c>
      <c r="CC303" s="25"/>
      <c r="CD303" s="29"/>
      <c r="CE303" s="29"/>
      <c r="DP303" s="35">
        <v>43910</v>
      </c>
      <c r="DQ303" s="26">
        <v>3.5</v>
      </c>
      <c r="DR303" s="26">
        <v>3.3</v>
      </c>
      <c r="DS303" s="26">
        <v>3.359</v>
      </c>
      <c r="DU303" s="35">
        <v>43910</v>
      </c>
      <c r="DV303" s="26">
        <v>6.25</v>
      </c>
      <c r="DW303" s="26">
        <v>6.05</v>
      </c>
      <c r="DX303" s="26">
        <v>6.138</v>
      </c>
      <c r="DZ303" s="35">
        <v>43910</v>
      </c>
      <c r="EA303" s="26">
        <v>12.7</v>
      </c>
      <c r="EB303" s="26">
        <v>12.5</v>
      </c>
      <c r="EC303" s="26">
        <v>12.6</v>
      </c>
    </row>
    <row r="304" ht="16.8" spans="3:133">
      <c r="C304" s="5" t="str" cm="1">
        <f t="array" ref="C304">_xlfn.IFS(MONTH(D304)&lt;4,1,MONTH(D304)&lt;7,2,MONTH(D304)&lt;10,3,MONTH(D304)&gt;9,4)&amp;"Q"&amp;RIGHT(YEAR(D304),2)</f>
        <v>2Q24</v>
      </c>
      <c r="D304" s="2">
        <f t="shared" si="140"/>
        <v>45473</v>
      </c>
      <c r="E304" s="58">
        <v>45454</v>
      </c>
      <c r="F304" s="26">
        <v>1.7</v>
      </c>
      <c r="G304" s="26">
        <v>3.33</v>
      </c>
      <c r="H304" s="26">
        <v>6.712</v>
      </c>
      <c r="I304" s="28">
        <f t="shared" si="141"/>
        <v>0.053125</v>
      </c>
      <c r="J304" s="28">
        <f t="shared" si="137"/>
        <v>0.05203125</v>
      </c>
      <c r="K304" s="28">
        <f t="shared" si="138"/>
        <v>0.0524375</v>
      </c>
      <c r="M304" s="36">
        <f t="shared" si="143"/>
        <v>-0.0229885057471264</v>
      </c>
      <c r="N304" s="36">
        <f t="shared" si="144"/>
        <v>-0.0449438202247191</v>
      </c>
      <c r="O304" s="36">
        <f t="shared" si="145"/>
        <v>-0.0502793296089385</v>
      </c>
      <c r="P304" s="36">
        <f t="shared" si="146"/>
        <v>-0.0176991150442478</v>
      </c>
      <c r="Q304" s="36">
        <f t="shared" si="147"/>
        <v>-0.043103448275862</v>
      </c>
      <c r="R304" s="36">
        <f t="shared" si="148"/>
        <v>-0.0698324022346368</v>
      </c>
      <c r="S304" s="36">
        <f t="shared" si="150"/>
        <v>-0.0171328159320545</v>
      </c>
      <c r="T304" s="36">
        <f t="shared" si="151"/>
        <v>-0.0238510762070973</v>
      </c>
      <c r="U304" s="36">
        <f t="shared" si="152"/>
        <v>-0.0390837508947746</v>
      </c>
      <c r="BA304" s="25">
        <f t="shared" si="153"/>
        <v>45454</v>
      </c>
      <c r="BB304" s="28">
        <f t="shared" si="153"/>
        <v>1.7</v>
      </c>
      <c r="BC304" s="28">
        <f t="shared" si="139"/>
        <v>2.15</v>
      </c>
      <c r="BD304" s="28">
        <f t="shared" si="142"/>
        <v>3.33</v>
      </c>
      <c r="BE304" s="28">
        <f t="shared" si="134"/>
        <v>4.22</v>
      </c>
      <c r="BF304" s="28">
        <f t="shared" si="149"/>
        <v>6.712</v>
      </c>
      <c r="BG304" s="28">
        <f t="shared" si="132"/>
        <v>7.575</v>
      </c>
      <c r="BH304" s="28">
        <f>INDEX($AM:$AQ,MATCH($D304,$AK:$AK,0),MATCH(BH$25,$AM$26:$AQ$26,0))</f>
        <v>7.95</v>
      </c>
      <c r="BI304" s="28">
        <f t="shared" si="130"/>
        <v>7.2</v>
      </c>
      <c r="CC304" s="25"/>
      <c r="CD304" s="29"/>
      <c r="CE304" s="29"/>
      <c r="DP304" s="35">
        <v>43913</v>
      </c>
      <c r="DQ304" s="26">
        <v>3.5</v>
      </c>
      <c r="DR304" s="26">
        <v>3.3</v>
      </c>
      <c r="DS304" s="26">
        <v>3.359</v>
      </c>
      <c r="DU304" s="35">
        <v>43913</v>
      </c>
      <c r="DV304" s="26">
        <v>6.25</v>
      </c>
      <c r="DW304" s="26">
        <v>6.05</v>
      </c>
      <c r="DX304" s="26">
        <v>6.138</v>
      </c>
      <c r="DZ304" s="35">
        <v>43913</v>
      </c>
      <c r="EA304" s="26">
        <v>12.7</v>
      </c>
      <c r="EB304" s="26">
        <v>12.6</v>
      </c>
      <c r="EC304" s="26">
        <v>12.65</v>
      </c>
    </row>
    <row r="305" ht="16.8" spans="3:133">
      <c r="C305" s="5" t="str" cm="1">
        <f t="array" ref="C305">_xlfn.IFS(MONTH(D305)&lt;4,1,MONTH(D305)&lt;7,2,MONTH(D305)&lt;10,3,MONTH(D305)&gt;9,4)&amp;"Q"&amp;RIGHT(YEAR(D305),2)</f>
        <v>2Q24</v>
      </c>
      <c r="D305" s="2">
        <f t="shared" si="140"/>
        <v>45473</v>
      </c>
      <c r="E305" s="58">
        <v>45460</v>
      </c>
      <c r="F305" s="26">
        <v>1.69</v>
      </c>
      <c r="G305" s="26">
        <v>3.31</v>
      </c>
      <c r="H305" s="26">
        <v>6.668</v>
      </c>
      <c r="I305" s="28">
        <f t="shared" si="141"/>
        <v>0.0528125</v>
      </c>
      <c r="J305" s="28">
        <f t="shared" si="137"/>
        <v>0.05171875</v>
      </c>
      <c r="K305" s="28">
        <f t="shared" si="138"/>
        <v>0.05209375</v>
      </c>
      <c r="M305" s="36">
        <f t="shared" si="143"/>
        <v>-0.00588235294117645</v>
      </c>
      <c r="N305" s="36">
        <f t="shared" si="144"/>
        <v>-0.0287356321839081</v>
      </c>
      <c r="O305" s="36">
        <f t="shared" si="145"/>
        <v>-0.050561797752809</v>
      </c>
      <c r="P305" s="36">
        <f t="shared" si="146"/>
        <v>-0.00600600600600598</v>
      </c>
      <c r="Q305" s="36">
        <f t="shared" si="147"/>
        <v>-0.023598820058997</v>
      </c>
      <c r="R305" s="36">
        <f t="shared" si="148"/>
        <v>-0.0488505747126436</v>
      </c>
      <c r="S305" s="36">
        <f t="shared" si="150"/>
        <v>-0.00655542312276514</v>
      </c>
      <c r="T305" s="36">
        <f t="shared" si="151"/>
        <v>-0.0235759261971006</v>
      </c>
      <c r="U305" s="36">
        <f t="shared" si="152"/>
        <v>-0.0302501454333916</v>
      </c>
      <c r="BA305" s="25">
        <f t="shared" si="153"/>
        <v>45460</v>
      </c>
      <c r="BB305" s="28">
        <f t="shared" si="153"/>
        <v>1.69</v>
      </c>
      <c r="BC305" s="28">
        <f t="shared" si="139"/>
        <v>2.15</v>
      </c>
      <c r="BD305" s="28">
        <f t="shared" si="142"/>
        <v>3.31</v>
      </c>
      <c r="BE305" s="28">
        <f t="shared" si="134"/>
        <v>4.22</v>
      </c>
      <c r="BF305" s="28">
        <f t="shared" si="149"/>
        <v>6.668</v>
      </c>
      <c r="BG305" s="28">
        <f t="shared" si="132"/>
        <v>7.575</v>
      </c>
      <c r="BH305" s="28">
        <f t="shared" ref="BH305:BI406" si="154">INDEX($AM:$AQ,MATCH($D305,$AK:$AK,0),MATCH(BH$25,$AM$26:$AQ$26,0))</f>
        <v>7.95</v>
      </c>
      <c r="BI305" s="28">
        <f t="shared" si="130"/>
        <v>7.2</v>
      </c>
      <c r="CC305" s="25"/>
      <c r="CD305" s="29"/>
      <c r="CE305" s="29"/>
      <c r="DP305" s="35">
        <v>43914</v>
      </c>
      <c r="DQ305" s="26">
        <v>3.5</v>
      </c>
      <c r="DR305" s="26">
        <v>3.3</v>
      </c>
      <c r="DS305" s="26">
        <v>3.345</v>
      </c>
      <c r="DU305" s="35">
        <v>43914</v>
      </c>
      <c r="DV305" s="26">
        <v>6.25</v>
      </c>
      <c r="DW305" s="26">
        <v>6.05</v>
      </c>
      <c r="DX305" s="26">
        <v>6.131</v>
      </c>
      <c r="DZ305" s="35">
        <v>43914</v>
      </c>
      <c r="EA305" s="26">
        <v>12.7</v>
      </c>
      <c r="EB305" s="26">
        <v>12.6</v>
      </c>
      <c r="EC305" s="26">
        <v>12.65</v>
      </c>
    </row>
    <row r="306" ht="16.8" spans="3:133">
      <c r="C306" s="5" t="str" cm="1">
        <f t="array" ref="C306">_xlfn.IFS(MONTH(D306)&lt;4,1,MONTH(D306)&lt;7,2,MONTH(D306)&lt;10,3,MONTH(D306)&gt;9,4)&amp;"Q"&amp;RIGHT(YEAR(D306),2)</f>
        <v>2Q24</v>
      </c>
      <c r="D306" s="2">
        <f t="shared" si="140"/>
        <v>45473</v>
      </c>
      <c r="E306" s="25">
        <f t="shared" ref="E306:E369" si="155">E305+7</f>
        <v>45467</v>
      </c>
      <c r="F306" s="26">
        <v>1.69</v>
      </c>
      <c r="G306" s="26">
        <v>3.3</v>
      </c>
      <c r="H306" s="26">
        <v>6.624</v>
      </c>
      <c r="I306" s="28">
        <f t="shared" si="141"/>
        <v>0.0528125</v>
      </c>
      <c r="J306" s="28">
        <f t="shared" si="137"/>
        <v>0.0515625</v>
      </c>
      <c r="K306" s="28">
        <f t="shared" si="138"/>
        <v>0.05175</v>
      </c>
      <c r="M306" s="36">
        <f t="shared" si="143"/>
        <v>0</v>
      </c>
      <c r="N306" s="36">
        <f t="shared" si="144"/>
        <v>-0.00588235294117645</v>
      </c>
      <c r="O306" s="36">
        <f t="shared" si="145"/>
        <v>-0.0287356321839081</v>
      </c>
      <c r="P306" s="36">
        <f t="shared" si="146"/>
        <v>-0.00302114803625386</v>
      </c>
      <c r="Q306" s="36">
        <f t="shared" si="147"/>
        <v>-0.00900900900900914</v>
      </c>
      <c r="R306" s="36">
        <f t="shared" si="148"/>
        <v>-0.0265486725663717</v>
      </c>
      <c r="S306" s="36">
        <f t="shared" si="150"/>
        <v>-0.00659868026394728</v>
      </c>
      <c r="T306" s="36">
        <f t="shared" si="151"/>
        <v>-0.0131108462455304</v>
      </c>
      <c r="U306" s="36">
        <f t="shared" si="152"/>
        <v>-0.0300190364621468</v>
      </c>
      <c r="BA306" s="25">
        <f t="shared" si="153"/>
        <v>45467</v>
      </c>
      <c r="BB306" s="28">
        <f t="shared" si="153"/>
        <v>1.69</v>
      </c>
      <c r="BC306" s="28">
        <f t="shared" si="139"/>
        <v>2.15</v>
      </c>
      <c r="BD306" s="28">
        <f t="shared" si="142"/>
        <v>3.3</v>
      </c>
      <c r="BE306" s="28">
        <f t="shared" si="134"/>
        <v>4.22</v>
      </c>
      <c r="BF306" s="28">
        <f t="shared" si="149"/>
        <v>6.624</v>
      </c>
      <c r="BG306" s="28">
        <f t="shared" si="132"/>
        <v>7.575</v>
      </c>
      <c r="BH306" s="28">
        <f t="shared" si="154"/>
        <v>7.95</v>
      </c>
      <c r="BI306" s="28">
        <f t="shared" si="130"/>
        <v>7.2</v>
      </c>
      <c r="BJ306" s="36">
        <f t="shared" ref="BJ306:BJ344" si="156">BF306/BF305-1</f>
        <v>-0.00659868026394728</v>
      </c>
      <c r="CC306" s="25"/>
      <c r="CD306" s="29"/>
      <c r="CE306" s="29"/>
      <c r="DP306" s="35">
        <v>43915</v>
      </c>
      <c r="DQ306" s="26">
        <v>3.5</v>
      </c>
      <c r="DR306" s="26">
        <v>3.3</v>
      </c>
      <c r="DS306" s="26">
        <v>3.345</v>
      </c>
      <c r="DU306" s="35">
        <v>43915</v>
      </c>
      <c r="DV306" s="26">
        <v>6.25</v>
      </c>
      <c r="DW306" s="26">
        <v>6.05</v>
      </c>
      <c r="DX306" s="26">
        <v>6.131</v>
      </c>
      <c r="DZ306" s="35">
        <v>43915</v>
      </c>
      <c r="EA306" s="26">
        <v>12.7</v>
      </c>
      <c r="EB306" s="26">
        <v>12.6</v>
      </c>
      <c r="EC306" s="26">
        <v>12.65</v>
      </c>
    </row>
    <row r="307" ht="16.8" spans="3:133">
      <c r="C307" s="5" t="str" cm="1">
        <f t="array" ref="C307">_xlfn.IFS(MONTH(D307)&lt;4,1,MONTH(D307)&lt;7,2,MONTH(D307)&lt;10,3,MONTH(D307)&gt;9,4)&amp;"Q"&amp;RIGHT(YEAR(D307),2)</f>
        <v>3Q24</v>
      </c>
      <c r="D307" s="2">
        <f t="shared" si="140"/>
        <v>45504</v>
      </c>
      <c r="E307" s="25">
        <f t="shared" si="155"/>
        <v>45474</v>
      </c>
      <c r="F307" s="26">
        <v>1.69</v>
      </c>
      <c r="G307" s="26">
        <v>3.29</v>
      </c>
      <c r="H307" s="26">
        <v>6.624</v>
      </c>
      <c r="I307" s="28">
        <f t="shared" si="141"/>
        <v>0.0528125</v>
      </c>
      <c r="J307" s="28">
        <f t="shared" si="137"/>
        <v>0.05140625</v>
      </c>
      <c r="K307" s="28">
        <f t="shared" si="138"/>
        <v>0.05175</v>
      </c>
      <c r="M307" s="36">
        <f t="shared" si="143"/>
        <v>0</v>
      </c>
      <c r="N307" s="36">
        <f t="shared" si="144"/>
        <v>0</v>
      </c>
      <c r="O307" s="36">
        <f t="shared" si="145"/>
        <v>-0.00588235294117645</v>
      </c>
      <c r="P307" s="36">
        <f t="shared" si="146"/>
        <v>-0.00303030303030294</v>
      </c>
      <c r="Q307" s="36">
        <f t="shared" si="147"/>
        <v>-0.00604229607250761</v>
      </c>
      <c r="R307" s="36">
        <f t="shared" si="148"/>
        <v>-0.0120120120120121</v>
      </c>
      <c r="S307" s="36">
        <f t="shared" si="150"/>
        <v>0</v>
      </c>
      <c r="T307" s="36">
        <f t="shared" si="151"/>
        <v>-0.00659868026394728</v>
      </c>
      <c r="U307" s="36">
        <f t="shared" si="152"/>
        <v>-0.0131108462455304</v>
      </c>
      <c r="BA307" s="25">
        <f t="shared" si="153"/>
        <v>45474</v>
      </c>
      <c r="BB307" s="28">
        <f t="shared" si="153"/>
        <v>1.69</v>
      </c>
      <c r="BC307" s="28">
        <f t="shared" si="139"/>
        <v>2.15</v>
      </c>
      <c r="BD307" s="28">
        <f t="shared" si="142"/>
        <v>3.29</v>
      </c>
      <c r="BE307" s="28">
        <f t="shared" si="134"/>
        <v>4.22</v>
      </c>
      <c r="BF307" s="28">
        <f t="shared" si="149"/>
        <v>6.624</v>
      </c>
      <c r="BG307" s="28">
        <f t="shared" si="132"/>
        <v>7.575</v>
      </c>
      <c r="BH307" s="28">
        <f t="shared" si="154"/>
        <v>7.95</v>
      </c>
      <c r="BI307" s="28">
        <f t="shared" si="130"/>
        <v>7.2</v>
      </c>
      <c r="BJ307" s="36">
        <f t="shared" si="156"/>
        <v>0</v>
      </c>
      <c r="DP307" s="35">
        <v>43916</v>
      </c>
      <c r="DQ307" s="26">
        <v>3.5</v>
      </c>
      <c r="DR307" s="26">
        <v>3.3</v>
      </c>
      <c r="DS307" s="26">
        <v>3.359</v>
      </c>
      <c r="DU307" s="35">
        <v>43916</v>
      </c>
      <c r="DV307" s="26">
        <v>6.25</v>
      </c>
      <c r="DW307" s="26">
        <v>6.05</v>
      </c>
      <c r="DX307" s="26">
        <v>6.138</v>
      </c>
      <c r="DZ307" s="35">
        <v>43916</v>
      </c>
      <c r="EA307" s="26">
        <v>12.7</v>
      </c>
      <c r="EB307" s="26">
        <v>12.6</v>
      </c>
      <c r="EC307" s="26">
        <v>12.65</v>
      </c>
    </row>
    <row r="308" ht="16.8" spans="3:133">
      <c r="C308" s="5" t="str" cm="1">
        <f t="array" ref="C308">_xlfn.IFS(MONTH(D308)&lt;4,1,MONTH(D308)&lt;7,2,MONTH(D308)&lt;10,3,MONTH(D308)&gt;9,4)&amp;"Q"&amp;RIGHT(YEAR(D308),2)</f>
        <v>3Q24</v>
      </c>
      <c r="D308" s="2">
        <f t="shared" si="140"/>
        <v>45504</v>
      </c>
      <c r="E308" s="25">
        <f t="shared" si="155"/>
        <v>45481</v>
      </c>
      <c r="F308" s="26">
        <v>1.69</v>
      </c>
      <c r="G308" s="26">
        <v>3.29</v>
      </c>
      <c r="H308" s="26">
        <v>6.59</v>
      </c>
      <c r="I308" s="28">
        <f t="shared" si="141"/>
        <v>0.0528125</v>
      </c>
      <c r="J308" s="28">
        <f t="shared" si="137"/>
        <v>0.05140625</v>
      </c>
      <c r="K308" s="28">
        <f t="shared" si="138"/>
        <v>0.051484375</v>
      </c>
      <c r="M308" s="36">
        <f t="shared" si="143"/>
        <v>0</v>
      </c>
      <c r="N308" s="36">
        <f t="shared" si="144"/>
        <v>0</v>
      </c>
      <c r="O308" s="36">
        <f t="shared" si="145"/>
        <v>0</v>
      </c>
      <c r="P308" s="36">
        <f t="shared" si="146"/>
        <v>0</v>
      </c>
      <c r="Q308" s="36">
        <f t="shared" si="147"/>
        <v>-0.00303030303030294</v>
      </c>
      <c r="R308" s="36">
        <f t="shared" si="148"/>
        <v>-0.00604229607250761</v>
      </c>
      <c r="S308" s="36">
        <f t="shared" si="150"/>
        <v>-0.00513285024154586</v>
      </c>
      <c r="T308" s="36">
        <f t="shared" si="151"/>
        <v>-0.00513285024154586</v>
      </c>
      <c r="U308" s="36">
        <f t="shared" si="152"/>
        <v>-0.0116976604679064</v>
      </c>
      <c r="BA308" s="25">
        <f t="shared" si="153"/>
        <v>45481</v>
      </c>
      <c r="BB308" s="28">
        <f t="shared" si="153"/>
        <v>1.69</v>
      </c>
      <c r="BC308" s="28">
        <f t="shared" si="139"/>
        <v>2.15</v>
      </c>
      <c r="BD308" s="28">
        <f t="shared" si="142"/>
        <v>3.29</v>
      </c>
      <c r="BE308" s="28">
        <f t="shared" si="134"/>
        <v>4.22</v>
      </c>
      <c r="BF308" s="28">
        <f t="shared" si="149"/>
        <v>6.59</v>
      </c>
      <c r="BG308" s="28">
        <f t="shared" si="132"/>
        <v>7.575</v>
      </c>
      <c r="BH308" s="28">
        <f t="shared" si="154"/>
        <v>7.95</v>
      </c>
      <c r="BI308" s="28">
        <f t="shared" si="130"/>
        <v>7.2</v>
      </c>
      <c r="BJ308" s="36">
        <f t="shared" si="156"/>
        <v>-0.00513285024154586</v>
      </c>
      <c r="DP308" s="35">
        <v>43917</v>
      </c>
      <c r="DQ308" s="26">
        <v>3.5</v>
      </c>
      <c r="DR308" s="26">
        <v>3.3</v>
      </c>
      <c r="DS308" s="26">
        <v>3.375</v>
      </c>
      <c r="DU308" s="35">
        <v>43917</v>
      </c>
      <c r="DV308" s="26">
        <v>6.25</v>
      </c>
      <c r="DW308" s="26">
        <v>6.05</v>
      </c>
      <c r="DX308" s="26">
        <v>6.15</v>
      </c>
      <c r="DZ308" s="35">
        <v>43917</v>
      </c>
      <c r="EA308" s="26">
        <v>12.75</v>
      </c>
      <c r="EB308" s="26">
        <v>12.65</v>
      </c>
      <c r="EC308" s="26">
        <v>12.7</v>
      </c>
    </row>
    <row r="309" ht="16.8" spans="3:133">
      <c r="C309" s="5" t="str" cm="1">
        <f t="array" ref="C309">_xlfn.IFS(MONTH(D309)&lt;4,1,MONTH(D309)&lt;7,2,MONTH(D309)&lt;10,3,MONTH(D309)&gt;9,4)&amp;"Q"&amp;RIGHT(YEAR(D309),2)</f>
        <v>3Q24</v>
      </c>
      <c r="D309" s="2">
        <f t="shared" si="140"/>
        <v>45504</v>
      </c>
      <c r="E309" s="25">
        <f t="shared" si="155"/>
        <v>45488</v>
      </c>
      <c r="F309" s="26">
        <v>1.68</v>
      </c>
      <c r="G309" s="26">
        <v>3.27</v>
      </c>
      <c r="H309" s="26">
        <v>6.57</v>
      </c>
      <c r="I309" s="28">
        <f t="shared" si="141"/>
        <v>0.0525</v>
      </c>
      <c r="J309" s="28">
        <f t="shared" si="137"/>
        <v>0.05109375</v>
      </c>
      <c r="K309" s="28">
        <f t="shared" si="138"/>
        <v>0.051328125</v>
      </c>
      <c r="M309" s="36">
        <f t="shared" si="143"/>
        <v>-0.00591715976331364</v>
      </c>
      <c r="N309" s="36">
        <f t="shared" si="144"/>
        <v>-0.00591715976331364</v>
      </c>
      <c r="O309" s="36">
        <f t="shared" si="145"/>
        <v>-0.00591715976331364</v>
      </c>
      <c r="P309" s="36">
        <f t="shared" si="146"/>
        <v>-0.00607902735562316</v>
      </c>
      <c r="Q309" s="36">
        <f t="shared" si="147"/>
        <v>-0.00607902735562316</v>
      </c>
      <c r="R309" s="36">
        <f t="shared" si="148"/>
        <v>-0.00909090909090904</v>
      </c>
      <c r="S309" s="36">
        <f t="shared" si="150"/>
        <v>-0.0030349013657055</v>
      </c>
      <c r="T309" s="36">
        <f t="shared" si="151"/>
        <v>-0.00815217391304335</v>
      </c>
      <c r="U309" s="36">
        <f t="shared" si="152"/>
        <v>-0.00815217391304335</v>
      </c>
      <c r="BA309" s="25">
        <f t="shared" si="153"/>
        <v>45488</v>
      </c>
      <c r="BB309" s="28">
        <f t="shared" si="153"/>
        <v>1.68</v>
      </c>
      <c r="BC309" s="28">
        <f t="shared" si="139"/>
        <v>2.15</v>
      </c>
      <c r="BD309" s="28">
        <f t="shared" si="142"/>
        <v>3.27</v>
      </c>
      <c r="BE309" s="28">
        <f t="shared" si="134"/>
        <v>4.22</v>
      </c>
      <c r="BF309" s="28">
        <f t="shared" si="149"/>
        <v>6.57</v>
      </c>
      <c r="BG309" s="28">
        <f t="shared" si="132"/>
        <v>7.575</v>
      </c>
      <c r="BH309" s="28">
        <f t="shared" si="154"/>
        <v>7.95</v>
      </c>
      <c r="BI309" s="28">
        <f t="shared" si="130"/>
        <v>7.2</v>
      </c>
      <c r="BJ309" s="36">
        <f t="shared" si="156"/>
        <v>-0.0030349013657055</v>
      </c>
      <c r="DP309" s="35">
        <v>43920</v>
      </c>
      <c r="DQ309" s="26">
        <v>3.5</v>
      </c>
      <c r="DR309" s="26">
        <v>3.3</v>
      </c>
      <c r="DS309" s="26">
        <v>3.379</v>
      </c>
      <c r="DU309" s="35">
        <v>43920</v>
      </c>
      <c r="DV309" s="26">
        <v>6.25</v>
      </c>
      <c r="DW309" s="26">
        <v>6.05</v>
      </c>
      <c r="DX309" s="26">
        <v>6.15</v>
      </c>
      <c r="DZ309" s="35">
        <v>43920</v>
      </c>
      <c r="EA309" s="26">
        <v>12.75</v>
      </c>
      <c r="EB309" s="26">
        <v>12.65</v>
      </c>
      <c r="EC309" s="26">
        <v>12.7</v>
      </c>
    </row>
    <row r="310" ht="16.8" spans="3:133">
      <c r="C310" s="5" t="str" cm="1">
        <f t="array" ref="C310">_xlfn.IFS(MONTH(D310)&lt;4,1,MONTH(D310)&lt;7,2,MONTH(D310)&lt;10,3,MONTH(D310)&gt;9,4)&amp;"Q"&amp;RIGHT(YEAR(D310),2)</f>
        <v>3Q24</v>
      </c>
      <c r="D310" s="2">
        <f t="shared" si="140"/>
        <v>45504</v>
      </c>
      <c r="E310" s="25">
        <f t="shared" si="155"/>
        <v>45495</v>
      </c>
      <c r="F310" s="26">
        <v>1.68</v>
      </c>
      <c r="G310" s="26">
        <v>3.25</v>
      </c>
      <c r="H310" s="26">
        <v>6.56</v>
      </c>
      <c r="I310" s="28">
        <f t="shared" si="141"/>
        <v>0.0525</v>
      </c>
      <c r="J310" s="28">
        <f t="shared" si="137"/>
        <v>0.05078125</v>
      </c>
      <c r="K310" s="28">
        <f t="shared" si="138"/>
        <v>0.05125</v>
      </c>
      <c r="M310" s="36">
        <f t="shared" si="143"/>
        <v>0</v>
      </c>
      <c r="N310" s="36">
        <f t="shared" si="144"/>
        <v>-0.00591715976331364</v>
      </c>
      <c r="O310" s="36">
        <f t="shared" si="145"/>
        <v>-0.00591715976331364</v>
      </c>
      <c r="P310" s="36">
        <f t="shared" si="146"/>
        <v>-0.00611620795107037</v>
      </c>
      <c r="Q310" s="36">
        <f t="shared" si="147"/>
        <v>-0.0121580547112462</v>
      </c>
      <c r="R310" s="36">
        <f t="shared" si="148"/>
        <v>-0.0121580547112462</v>
      </c>
      <c r="S310" s="36">
        <f t="shared" si="150"/>
        <v>-0.00152207001522076</v>
      </c>
      <c r="T310" s="36">
        <f t="shared" si="151"/>
        <v>-0.00455235204855842</v>
      </c>
      <c r="U310" s="36">
        <f t="shared" si="152"/>
        <v>-0.00966183574879231</v>
      </c>
      <c r="BA310" s="25">
        <f t="shared" si="153"/>
        <v>45495</v>
      </c>
      <c r="BB310" s="28">
        <f t="shared" si="153"/>
        <v>1.68</v>
      </c>
      <c r="BC310" s="28">
        <f t="shared" si="139"/>
        <v>2.15</v>
      </c>
      <c r="BD310" s="28">
        <f t="shared" si="142"/>
        <v>3.25</v>
      </c>
      <c r="BE310" s="28">
        <f t="shared" si="134"/>
        <v>4.22</v>
      </c>
      <c r="BF310" s="28">
        <f t="shared" si="149"/>
        <v>6.56</v>
      </c>
      <c r="BG310" s="28">
        <f t="shared" si="132"/>
        <v>7.575</v>
      </c>
      <c r="BH310" s="28">
        <f t="shared" si="154"/>
        <v>7.95</v>
      </c>
      <c r="BI310" s="28">
        <f t="shared" si="130"/>
        <v>7.2</v>
      </c>
      <c r="BJ310" s="36">
        <f t="shared" si="156"/>
        <v>-0.00152207001522076</v>
      </c>
      <c r="DP310" s="35">
        <v>43921</v>
      </c>
      <c r="DQ310" s="26">
        <v>3.5</v>
      </c>
      <c r="DR310" s="26">
        <v>3.3</v>
      </c>
      <c r="DS310" s="26">
        <v>3.392</v>
      </c>
      <c r="DU310" s="35">
        <v>43921</v>
      </c>
      <c r="DV310" s="26">
        <v>6.25</v>
      </c>
      <c r="DW310" s="26">
        <v>6.05</v>
      </c>
      <c r="DX310" s="26">
        <v>6.15</v>
      </c>
      <c r="DZ310" s="35">
        <v>43921</v>
      </c>
      <c r="EA310" s="26">
        <v>12.75</v>
      </c>
      <c r="EB310" s="26">
        <v>12.65</v>
      </c>
      <c r="EC310" s="26">
        <v>12.7</v>
      </c>
    </row>
    <row r="311" ht="16.8" spans="3:133">
      <c r="C311" s="5" t="str" cm="1">
        <f t="array" ref="C311">_xlfn.IFS(MONTH(D311)&lt;4,1,MONTH(D311)&lt;7,2,MONTH(D311)&lt;10,3,MONTH(D311)&gt;9,4)&amp;"Q"&amp;RIGHT(YEAR(D311),2)</f>
        <v>3Q24</v>
      </c>
      <c r="D311" s="2">
        <f t="shared" si="140"/>
        <v>45504</v>
      </c>
      <c r="E311" s="25">
        <f t="shared" si="155"/>
        <v>45502</v>
      </c>
      <c r="F311" s="26">
        <v>1.68</v>
      </c>
      <c r="G311" s="26">
        <v>3.25</v>
      </c>
      <c r="H311" s="26">
        <v>6.56</v>
      </c>
      <c r="I311" s="28">
        <f t="shared" si="141"/>
        <v>0.0525</v>
      </c>
      <c r="J311" s="28">
        <f t="shared" si="137"/>
        <v>0.05078125</v>
      </c>
      <c r="K311" s="28">
        <f t="shared" si="138"/>
        <v>0.05125</v>
      </c>
      <c r="M311" s="36">
        <f t="shared" si="143"/>
        <v>0</v>
      </c>
      <c r="N311" s="36">
        <f t="shared" si="144"/>
        <v>0</v>
      </c>
      <c r="O311" s="36">
        <f t="shared" si="145"/>
        <v>-0.00591715976331364</v>
      </c>
      <c r="P311" s="36">
        <f t="shared" si="146"/>
        <v>0</v>
      </c>
      <c r="Q311" s="36">
        <f t="shared" si="147"/>
        <v>-0.00611620795107037</v>
      </c>
      <c r="R311" s="36">
        <f t="shared" si="148"/>
        <v>-0.0121580547112462</v>
      </c>
      <c r="S311" s="36">
        <f t="shared" si="150"/>
        <v>0</v>
      </c>
      <c r="T311" s="36">
        <f t="shared" si="151"/>
        <v>-0.00152207001522076</v>
      </c>
      <c r="U311" s="36">
        <f t="shared" si="152"/>
        <v>-0.00455235204855842</v>
      </c>
      <c r="BA311" s="25">
        <f t="shared" si="153"/>
        <v>45502</v>
      </c>
      <c r="BB311" s="28">
        <f t="shared" si="153"/>
        <v>1.68</v>
      </c>
      <c r="BC311" s="28">
        <f t="shared" si="139"/>
        <v>2.15</v>
      </c>
      <c r="BD311" s="28">
        <f t="shared" si="142"/>
        <v>3.25</v>
      </c>
      <c r="BE311" s="28">
        <f t="shared" si="134"/>
        <v>4.22</v>
      </c>
      <c r="BF311" s="28">
        <f t="shared" si="149"/>
        <v>6.56</v>
      </c>
      <c r="BG311" s="28">
        <f t="shared" si="132"/>
        <v>7.575</v>
      </c>
      <c r="BH311" s="28">
        <f t="shared" si="154"/>
        <v>7.95</v>
      </c>
      <c r="BI311" s="28">
        <f t="shared" si="154"/>
        <v>7.2</v>
      </c>
      <c r="BJ311" s="36">
        <f t="shared" si="156"/>
        <v>0</v>
      </c>
      <c r="DP311" s="35">
        <v>43922</v>
      </c>
      <c r="DQ311" s="26">
        <v>3.55</v>
      </c>
      <c r="DR311" s="26">
        <v>3.3</v>
      </c>
      <c r="DS311" s="26">
        <v>3.412</v>
      </c>
      <c r="DU311" s="35">
        <v>43922</v>
      </c>
      <c r="DV311" s="26">
        <v>6.25</v>
      </c>
      <c r="DW311" s="26">
        <v>6.05</v>
      </c>
      <c r="DX311" s="26">
        <v>6.15</v>
      </c>
      <c r="DZ311" s="35">
        <v>43922</v>
      </c>
      <c r="EA311" s="26">
        <v>12.75</v>
      </c>
      <c r="EB311" s="26">
        <v>12.65</v>
      </c>
      <c r="EC311" s="26">
        <v>12.7</v>
      </c>
    </row>
    <row r="312" ht="16.8" spans="3:133">
      <c r="C312" s="5" t="str" cm="1">
        <f t="array" ref="C312">_xlfn.IFS(MONTH(D312)&lt;4,1,MONTH(D312)&lt;7,2,MONTH(D312)&lt;10,3,MONTH(D312)&gt;9,4)&amp;"Q"&amp;RIGHT(YEAR(D312),2)</f>
        <v>3Q24</v>
      </c>
      <c r="D312" s="2">
        <f t="shared" si="140"/>
        <v>45535</v>
      </c>
      <c r="E312" s="25">
        <f t="shared" si="155"/>
        <v>45509</v>
      </c>
      <c r="F312" s="26">
        <v>1.67</v>
      </c>
      <c r="G312" s="26">
        <v>3.29</v>
      </c>
      <c r="H312" s="26">
        <v>6.54</v>
      </c>
      <c r="I312" s="28">
        <f t="shared" si="141"/>
        <v>0.0521875</v>
      </c>
      <c r="J312" s="28">
        <f t="shared" si="137"/>
        <v>0.05140625</v>
      </c>
      <c r="K312" s="28">
        <f t="shared" si="138"/>
        <v>0.05109375</v>
      </c>
      <c r="M312" s="36">
        <f t="shared" si="143"/>
        <v>-0.00595238095238093</v>
      </c>
      <c r="N312" s="36">
        <f t="shared" si="144"/>
        <v>-0.00595238095238093</v>
      </c>
      <c r="O312" s="36">
        <f t="shared" si="145"/>
        <v>-0.00595238095238093</v>
      </c>
      <c r="P312" s="36">
        <f t="shared" si="146"/>
        <v>0.0123076923076924</v>
      </c>
      <c r="Q312" s="36">
        <f t="shared" si="147"/>
        <v>0.0123076923076924</v>
      </c>
      <c r="R312" s="36">
        <f t="shared" si="148"/>
        <v>0.00611620795107037</v>
      </c>
      <c r="S312" s="36">
        <f t="shared" si="150"/>
        <v>-0.00304878048780477</v>
      </c>
      <c r="T312" s="36">
        <f t="shared" si="151"/>
        <v>-0.00304878048780477</v>
      </c>
      <c r="U312" s="36">
        <f t="shared" si="152"/>
        <v>-0.00456621004566216</v>
      </c>
      <c r="BA312" s="25">
        <f t="shared" si="153"/>
        <v>45509</v>
      </c>
      <c r="BB312" s="28">
        <f t="shared" si="153"/>
        <v>1.67</v>
      </c>
      <c r="BC312" s="28">
        <f t="shared" si="139"/>
        <v>2.07</v>
      </c>
      <c r="BD312" s="28">
        <f t="shared" si="142"/>
        <v>3.29</v>
      </c>
      <c r="BE312" s="28">
        <f t="shared" si="134"/>
        <v>4.15</v>
      </c>
      <c r="BF312" s="28">
        <f t="shared" si="149"/>
        <v>6.54</v>
      </c>
      <c r="BG312" s="28">
        <f t="shared" si="132"/>
        <v>7.27</v>
      </c>
      <c r="BH312" s="28">
        <f t="shared" si="154"/>
        <v>7.65</v>
      </c>
      <c r="BI312" s="28">
        <f t="shared" si="154"/>
        <v>6.89</v>
      </c>
      <c r="BJ312" s="36">
        <f t="shared" si="156"/>
        <v>-0.00304878048780477</v>
      </c>
      <c r="DP312" s="35">
        <v>43923</v>
      </c>
      <c r="DQ312" s="26">
        <v>3.55</v>
      </c>
      <c r="DR312" s="26">
        <v>3.3</v>
      </c>
      <c r="DS312" s="26">
        <v>3.412</v>
      </c>
      <c r="DU312" s="35">
        <v>43923</v>
      </c>
      <c r="DV312" s="26">
        <v>6.25</v>
      </c>
      <c r="DW312" s="26">
        <v>6.05</v>
      </c>
      <c r="DX312" s="26">
        <v>6.15</v>
      </c>
      <c r="DZ312" s="35">
        <v>43923</v>
      </c>
      <c r="EA312" s="26">
        <v>12.75</v>
      </c>
      <c r="EB312" s="26">
        <v>12.65</v>
      </c>
      <c r="EC312" s="26">
        <v>12.7</v>
      </c>
    </row>
    <row r="313" ht="16.8" spans="3:133">
      <c r="C313" s="5" t="str" cm="1">
        <f t="array" ref="C313">_xlfn.IFS(MONTH(D313)&lt;4,1,MONTH(D313)&lt;7,2,MONTH(D313)&lt;10,3,MONTH(D313)&gt;9,4)&amp;"Q"&amp;RIGHT(YEAR(D313),2)</f>
        <v>3Q24</v>
      </c>
      <c r="D313" s="2">
        <f t="shared" si="140"/>
        <v>45535</v>
      </c>
      <c r="E313" s="25">
        <f t="shared" si="155"/>
        <v>45516</v>
      </c>
      <c r="F313" s="26">
        <v>1.67</v>
      </c>
      <c r="G313" s="26">
        <v>3.27</v>
      </c>
      <c r="H313" s="26">
        <v>6.53</v>
      </c>
      <c r="I313" s="28">
        <f t="shared" si="141"/>
        <v>0.0521875</v>
      </c>
      <c r="J313" s="28">
        <f t="shared" si="137"/>
        <v>0.05109375</v>
      </c>
      <c r="K313" s="28">
        <f t="shared" si="138"/>
        <v>0.051015625</v>
      </c>
      <c r="M313" s="36">
        <f t="shared" si="143"/>
        <v>0</v>
      </c>
      <c r="N313" s="36">
        <f t="shared" si="144"/>
        <v>-0.00595238095238093</v>
      </c>
      <c r="O313" s="36">
        <f t="shared" si="145"/>
        <v>-0.00595238095238093</v>
      </c>
      <c r="P313" s="36">
        <f t="shared" si="146"/>
        <v>-0.00607902735562316</v>
      </c>
      <c r="Q313" s="36">
        <f t="shared" si="147"/>
        <v>0.00615384615384618</v>
      </c>
      <c r="R313" s="36">
        <f t="shared" si="148"/>
        <v>0.00615384615384618</v>
      </c>
      <c r="S313" s="36">
        <f t="shared" si="150"/>
        <v>-0.00152905198776754</v>
      </c>
      <c r="T313" s="36">
        <f t="shared" si="151"/>
        <v>-0.00457317073170727</v>
      </c>
      <c r="U313" s="36">
        <f t="shared" si="152"/>
        <v>-0.00457317073170727</v>
      </c>
      <c r="BA313" s="25">
        <f t="shared" ref="BA313:BB328" si="157">E313</f>
        <v>45516</v>
      </c>
      <c r="BB313" s="28">
        <f t="shared" si="157"/>
        <v>1.67</v>
      </c>
      <c r="BC313" s="28">
        <f t="shared" si="139"/>
        <v>2.07</v>
      </c>
      <c r="BD313" s="28">
        <f t="shared" si="142"/>
        <v>3.27</v>
      </c>
      <c r="BE313" s="28">
        <f t="shared" si="134"/>
        <v>4.15</v>
      </c>
      <c r="BF313" s="28">
        <f t="shared" si="149"/>
        <v>6.53</v>
      </c>
      <c r="BG313" s="28">
        <f t="shared" si="132"/>
        <v>7.27</v>
      </c>
      <c r="BH313" s="28">
        <f t="shared" si="154"/>
        <v>7.65</v>
      </c>
      <c r="BI313" s="28">
        <f t="shared" si="154"/>
        <v>6.89</v>
      </c>
      <c r="BJ313" s="36">
        <f t="shared" si="156"/>
        <v>-0.00152905198776754</v>
      </c>
      <c r="DP313" s="35">
        <v>43924</v>
      </c>
      <c r="DQ313" s="26">
        <v>3.55</v>
      </c>
      <c r="DR313" s="26">
        <v>3.3</v>
      </c>
      <c r="DS313" s="26">
        <v>3.418</v>
      </c>
      <c r="DU313" s="35">
        <v>43924</v>
      </c>
      <c r="DV313" s="26">
        <v>6.25</v>
      </c>
      <c r="DW313" s="26">
        <v>6.05</v>
      </c>
      <c r="DX313" s="26">
        <v>6.15</v>
      </c>
      <c r="DZ313" s="35">
        <v>43924</v>
      </c>
      <c r="EA313" s="26">
        <v>12.75</v>
      </c>
      <c r="EB313" s="26">
        <v>12.65</v>
      </c>
      <c r="EC313" s="26">
        <v>12.7</v>
      </c>
    </row>
    <row r="314" ht="16.8" spans="3:133">
      <c r="C314" s="5" t="str" cm="1">
        <f t="array" ref="C314">_xlfn.IFS(MONTH(D314)&lt;4,1,MONTH(D314)&lt;7,2,MONTH(D314)&lt;10,3,MONTH(D314)&gt;9,4)&amp;"Q"&amp;RIGHT(YEAR(D314),2)</f>
        <v>3Q24</v>
      </c>
      <c r="D314" s="2">
        <f t="shared" si="140"/>
        <v>45535</v>
      </c>
      <c r="E314" s="25">
        <f t="shared" si="155"/>
        <v>45523</v>
      </c>
      <c r="F314" s="26">
        <v>1.64</v>
      </c>
      <c r="G314" s="26">
        <v>3.23</v>
      </c>
      <c r="H314" s="26">
        <v>6.53</v>
      </c>
      <c r="I314" s="28">
        <f t="shared" si="141"/>
        <v>0.05125</v>
      </c>
      <c r="J314" s="28">
        <f t="shared" si="137"/>
        <v>0.05046875</v>
      </c>
      <c r="K314" s="28">
        <f t="shared" si="138"/>
        <v>0.051015625</v>
      </c>
      <c r="M314" s="36">
        <f t="shared" si="143"/>
        <v>-0.0179640718562875</v>
      </c>
      <c r="N314" s="36">
        <f t="shared" si="144"/>
        <v>-0.0179640718562875</v>
      </c>
      <c r="O314" s="36">
        <f t="shared" si="145"/>
        <v>-0.0238095238095238</v>
      </c>
      <c r="P314" s="36">
        <f t="shared" si="146"/>
        <v>-0.0122324159021406</v>
      </c>
      <c r="Q314" s="36">
        <f t="shared" si="147"/>
        <v>-0.0182370820668694</v>
      </c>
      <c r="R314" s="36">
        <f t="shared" si="148"/>
        <v>-0.00615384615384618</v>
      </c>
      <c r="S314" s="36">
        <f t="shared" si="150"/>
        <v>0</v>
      </c>
      <c r="T314" s="36">
        <f t="shared" si="151"/>
        <v>-0.00152905198776754</v>
      </c>
      <c r="U314" s="36">
        <f t="shared" si="152"/>
        <v>-0.00457317073170727</v>
      </c>
      <c r="BA314" s="25">
        <f t="shared" si="157"/>
        <v>45523</v>
      </c>
      <c r="BB314" s="28">
        <f t="shared" si="157"/>
        <v>1.64</v>
      </c>
      <c r="BC314" s="28">
        <f t="shared" si="139"/>
        <v>2.07</v>
      </c>
      <c r="BD314" s="28">
        <f t="shared" si="142"/>
        <v>3.23</v>
      </c>
      <c r="BE314" s="28">
        <f t="shared" si="134"/>
        <v>4.15</v>
      </c>
      <c r="BF314" s="28">
        <f t="shared" si="149"/>
        <v>6.53</v>
      </c>
      <c r="BG314" s="28">
        <f t="shared" si="132"/>
        <v>7.27</v>
      </c>
      <c r="BH314" s="28">
        <f t="shared" si="154"/>
        <v>7.65</v>
      </c>
      <c r="BI314" s="28">
        <f t="shared" si="154"/>
        <v>6.89</v>
      </c>
      <c r="BJ314" s="36">
        <f t="shared" si="156"/>
        <v>0</v>
      </c>
      <c r="DP314" s="35">
        <v>43927</v>
      </c>
      <c r="DQ314" s="26">
        <v>3.55</v>
      </c>
      <c r="DR314" s="26">
        <v>3.3</v>
      </c>
      <c r="DS314" s="26">
        <v>3.418</v>
      </c>
      <c r="DU314" s="35">
        <v>43927</v>
      </c>
      <c r="DV314" s="26">
        <v>6.25</v>
      </c>
      <c r="DW314" s="26">
        <v>6.05</v>
      </c>
      <c r="DX314" s="26">
        <v>6.146</v>
      </c>
      <c r="DZ314" s="35">
        <v>43927</v>
      </c>
      <c r="EA314" s="26">
        <v>12.75</v>
      </c>
      <c r="EB314" s="26">
        <v>12.65</v>
      </c>
      <c r="EC314" s="26">
        <v>12.7</v>
      </c>
    </row>
    <row r="315" ht="16.8" spans="3:133">
      <c r="C315" s="5" t="str" cm="1">
        <f t="array" ref="C315">_xlfn.IFS(MONTH(D315)&lt;4,1,MONTH(D315)&lt;7,2,MONTH(D315)&lt;10,3,MONTH(D315)&gt;9,4)&amp;"Q"&amp;RIGHT(YEAR(D315),2)</f>
        <v>3Q24</v>
      </c>
      <c r="D315" s="2">
        <f t="shared" si="140"/>
        <v>45535</v>
      </c>
      <c r="E315" s="25">
        <f t="shared" si="155"/>
        <v>45530</v>
      </c>
      <c r="F315" s="26">
        <v>1.64</v>
      </c>
      <c r="G315" s="26">
        <v>3.21</v>
      </c>
      <c r="H315" s="26">
        <v>6.52</v>
      </c>
      <c r="I315" s="28">
        <f t="shared" si="141"/>
        <v>0.05125</v>
      </c>
      <c r="J315" s="28">
        <f t="shared" si="137"/>
        <v>0.05015625</v>
      </c>
      <c r="K315" s="28">
        <f t="shared" si="138"/>
        <v>0.0509375</v>
      </c>
      <c r="M315" s="36">
        <f t="shared" si="143"/>
        <v>0</v>
      </c>
      <c r="N315" s="36">
        <f t="shared" si="144"/>
        <v>-0.0179640718562875</v>
      </c>
      <c r="O315" s="36">
        <f t="shared" si="145"/>
        <v>-0.0179640718562875</v>
      </c>
      <c r="P315" s="36">
        <f t="shared" si="146"/>
        <v>-0.00619195046439625</v>
      </c>
      <c r="Q315" s="36">
        <f t="shared" si="147"/>
        <v>-0.018348623853211</v>
      </c>
      <c r="R315" s="36">
        <f t="shared" si="148"/>
        <v>-0.0243161094224924</v>
      </c>
      <c r="S315" s="36">
        <f t="shared" si="150"/>
        <v>-0.00153139356814713</v>
      </c>
      <c r="T315" s="36">
        <f t="shared" si="151"/>
        <v>-0.00153139356814713</v>
      </c>
      <c r="U315" s="36">
        <f t="shared" si="152"/>
        <v>-0.00305810397553519</v>
      </c>
      <c r="BA315" s="25">
        <f t="shared" si="157"/>
        <v>45530</v>
      </c>
      <c r="BB315" s="28">
        <f t="shared" si="157"/>
        <v>1.64</v>
      </c>
      <c r="BC315" s="28">
        <f t="shared" si="139"/>
        <v>2.07</v>
      </c>
      <c r="BD315" s="28">
        <f t="shared" si="142"/>
        <v>3.21</v>
      </c>
      <c r="BE315" s="28">
        <f t="shared" si="134"/>
        <v>4.15</v>
      </c>
      <c r="BF315" s="28">
        <f t="shared" si="149"/>
        <v>6.52</v>
      </c>
      <c r="BG315" s="28">
        <f t="shared" si="132"/>
        <v>7.27</v>
      </c>
      <c r="BH315" s="28">
        <f t="shared" si="154"/>
        <v>7.65</v>
      </c>
      <c r="BI315" s="28">
        <f t="shared" si="154"/>
        <v>6.89</v>
      </c>
      <c r="BJ315" s="36">
        <f t="shared" si="156"/>
        <v>-0.00153139356814713</v>
      </c>
      <c r="DP315" s="35">
        <v>43928</v>
      </c>
      <c r="DQ315" s="26">
        <v>3.55</v>
      </c>
      <c r="DR315" s="26">
        <v>3.3</v>
      </c>
      <c r="DS315" s="26">
        <v>3.418</v>
      </c>
      <c r="DU315" s="35">
        <v>43928</v>
      </c>
      <c r="DV315" s="26">
        <v>6.25</v>
      </c>
      <c r="DW315" s="26">
        <v>6.05</v>
      </c>
      <c r="DX315" s="26">
        <v>6.146</v>
      </c>
      <c r="DZ315" s="35">
        <v>43928</v>
      </c>
      <c r="EA315" s="26">
        <v>12.75</v>
      </c>
      <c r="EB315" s="26">
        <v>12.65</v>
      </c>
      <c r="EC315" s="26">
        <v>12.7</v>
      </c>
    </row>
    <row r="316" ht="16.8" spans="3:133">
      <c r="C316" s="5" t="str" cm="1">
        <f t="array" ref="C316">_xlfn.IFS(MONTH(D316)&lt;4,1,MONTH(D316)&lt;7,2,MONTH(D316)&lt;10,3,MONTH(D316)&gt;9,4)&amp;"Q"&amp;RIGHT(YEAR(D316),2)</f>
        <v>3Q24</v>
      </c>
      <c r="D316" s="2">
        <f t="shared" si="140"/>
        <v>45565</v>
      </c>
      <c r="E316" s="25">
        <f t="shared" si="155"/>
        <v>45537</v>
      </c>
      <c r="F316" s="26">
        <v>1.6</v>
      </c>
      <c r="G316" s="26">
        <v>3.19</v>
      </c>
      <c r="H316" s="26">
        <v>6.52</v>
      </c>
      <c r="I316" s="28">
        <f t="shared" si="141"/>
        <v>0.05</v>
      </c>
      <c r="J316" s="28">
        <f t="shared" si="137"/>
        <v>0.04984375</v>
      </c>
      <c r="K316" s="28">
        <f t="shared" si="138"/>
        <v>0.0509375</v>
      </c>
      <c r="M316" s="36">
        <f t="shared" si="143"/>
        <v>-0.0243902439024389</v>
      </c>
      <c r="N316" s="36">
        <f t="shared" si="144"/>
        <v>-0.0243902439024389</v>
      </c>
      <c r="O316" s="36">
        <f t="shared" si="145"/>
        <v>-0.0419161676646705</v>
      </c>
      <c r="P316" s="36">
        <f t="shared" si="146"/>
        <v>-0.00623052959501558</v>
      </c>
      <c r="Q316" s="36">
        <f t="shared" si="147"/>
        <v>-0.0123839009287926</v>
      </c>
      <c r="R316" s="36">
        <f t="shared" si="148"/>
        <v>-0.0244648318042814</v>
      </c>
      <c r="S316" s="36">
        <f t="shared" si="150"/>
        <v>0</v>
      </c>
      <c r="T316" s="36">
        <f t="shared" si="151"/>
        <v>-0.00153139356814713</v>
      </c>
      <c r="U316" s="36">
        <f t="shared" si="152"/>
        <v>-0.00153139356814713</v>
      </c>
      <c r="BA316" s="25">
        <f t="shared" si="157"/>
        <v>45537</v>
      </c>
      <c r="BB316" s="28">
        <f t="shared" si="157"/>
        <v>1.6</v>
      </c>
      <c r="BC316" s="28">
        <f t="shared" si="139"/>
        <v>1.86</v>
      </c>
      <c r="BD316" s="28">
        <f t="shared" si="142"/>
        <v>3.19</v>
      </c>
      <c r="BE316" s="28">
        <f t="shared" si="134"/>
        <v>3.92</v>
      </c>
      <c r="BF316" s="28">
        <f t="shared" si="149"/>
        <v>6.52</v>
      </c>
      <c r="BG316" s="28">
        <f t="shared" si="132"/>
        <v>6.625</v>
      </c>
      <c r="BH316" s="28">
        <f t="shared" si="154"/>
        <v>7.02</v>
      </c>
      <c r="BI316" s="28">
        <f t="shared" si="154"/>
        <v>6.23</v>
      </c>
      <c r="BJ316" s="36">
        <f t="shared" si="156"/>
        <v>0</v>
      </c>
      <c r="DP316" s="35">
        <v>43929</v>
      </c>
      <c r="DQ316" s="26">
        <v>3.55</v>
      </c>
      <c r="DR316" s="26">
        <v>3.3</v>
      </c>
      <c r="DS316" s="26">
        <v>3.418</v>
      </c>
      <c r="DU316" s="35">
        <v>43929</v>
      </c>
      <c r="DV316" s="26">
        <v>6.25</v>
      </c>
      <c r="DW316" s="26">
        <v>6.05</v>
      </c>
      <c r="DX316" s="26">
        <v>6.146</v>
      </c>
      <c r="DZ316" s="35">
        <v>43929</v>
      </c>
      <c r="EA316" s="26">
        <v>13</v>
      </c>
      <c r="EB316" s="26">
        <v>12.8</v>
      </c>
      <c r="EC316" s="26">
        <v>12.9</v>
      </c>
    </row>
    <row r="317" ht="16.8" spans="3:133">
      <c r="C317" s="5" t="str" cm="1">
        <f t="array" ref="C317">_xlfn.IFS(MONTH(D317)&lt;4,1,MONTH(D317)&lt;7,2,MONTH(D317)&lt;10,3,MONTH(D317)&gt;9,4)&amp;"Q"&amp;RIGHT(YEAR(D317),2)</f>
        <v>3Q24</v>
      </c>
      <c r="D317" s="2">
        <f t="shared" si="140"/>
        <v>45565</v>
      </c>
      <c r="E317" s="25">
        <f t="shared" si="155"/>
        <v>45544</v>
      </c>
      <c r="F317" s="26">
        <v>1.52</v>
      </c>
      <c r="G317" s="26">
        <v>3.08</v>
      </c>
      <c r="H317" s="26">
        <v>6.32</v>
      </c>
      <c r="I317" s="28">
        <f t="shared" si="141"/>
        <v>0.0475</v>
      </c>
      <c r="J317" s="28">
        <f t="shared" si="137"/>
        <v>0.048125</v>
      </c>
      <c r="K317" s="28">
        <f t="shared" si="138"/>
        <v>0.049375</v>
      </c>
      <c r="M317" s="36">
        <f t="shared" si="143"/>
        <v>-0.05</v>
      </c>
      <c r="N317" s="36">
        <f t="shared" si="144"/>
        <v>-0.073170731707317</v>
      </c>
      <c r="O317" s="36">
        <f t="shared" si="145"/>
        <v>-0.073170731707317</v>
      </c>
      <c r="P317" s="36">
        <f t="shared" si="146"/>
        <v>-0.0344827586206896</v>
      </c>
      <c r="Q317" s="36">
        <f t="shared" si="147"/>
        <v>-0.0404984423676013</v>
      </c>
      <c r="R317" s="36">
        <f t="shared" si="148"/>
        <v>-0.0464396284829721</v>
      </c>
      <c r="S317" s="36">
        <f t="shared" si="150"/>
        <v>-0.0306748466257668</v>
      </c>
      <c r="T317" s="36">
        <f t="shared" si="151"/>
        <v>-0.0306748466257668</v>
      </c>
      <c r="U317" s="36">
        <f t="shared" si="152"/>
        <v>-0.0321592649310872</v>
      </c>
      <c r="BA317" s="25">
        <f t="shared" si="157"/>
        <v>45544</v>
      </c>
      <c r="BB317" s="28">
        <f t="shared" si="157"/>
        <v>1.52</v>
      </c>
      <c r="BC317" s="28">
        <f t="shared" si="139"/>
        <v>1.86</v>
      </c>
      <c r="BD317" s="28">
        <f t="shared" si="142"/>
        <v>3.08</v>
      </c>
      <c r="BE317" s="28">
        <f t="shared" si="134"/>
        <v>3.92</v>
      </c>
      <c r="BF317" s="28">
        <f t="shared" si="149"/>
        <v>6.32</v>
      </c>
      <c r="BG317" s="28">
        <f t="shared" si="132"/>
        <v>6.625</v>
      </c>
      <c r="BH317" s="28">
        <f t="shared" si="154"/>
        <v>7.02</v>
      </c>
      <c r="BI317" s="28">
        <f t="shared" si="154"/>
        <v>6.23</v>
      </c>
      <c r="BJ317" s="36">
        <f t="shared" si="156"/>
        <v>-0.0306748466257668</v>
      </c>
      <c r="DP317" s="35">
        <v>43930</v>
      </c>
      <c r="DQ317" s="26">
        <v>3.55</v>
      </c>
      <c r="DR317" s="26">
        <v>3.3</v>
      </c>
      <c r="DS317" s="26">
        <v>3.418</v>
      </c>
      <c r="DU317" s="35">
        <v>43930</v>
      </c>
      <c r="DV317" s="26">
        <v>6.25</v>
      </c>
      <c r="DW317" s="26">
        <v>6.05</v>
      </c>
      <c r="DX317" s="26">
        <v>6.146</v>
      </c>
      <c r="DZ317" s="35">
        <v>43930</v>
      </c>
      <c r="EA317" s="26">
        <v>13.2</v>
      </c>
      <c r="EB317" s="26">
        <v>12.9</v>
      </c>
      <c r="EC317" s="26">
        <v>13</v>
      </c>
    </row>
    <row r="318" ht="16.8" spans="3:133">
      <c r="C318" s="5" t="str" cm="1">
        <f t="array" ref="C318">_xlfn.IFS(MONTH(D318)&lt;4,1,MONTH(D318)&lt;7,2,MONTH(D318)&lt;10,3,MONTH(D318)&gt;9,4)&amp;"Q"&amp;RIGHT(YEAR(D318),2)</f>
        <v>3Q24</v>
      </c>
      <c r="D318" s="2">
        <f t="shared" si="140"/>
        <v>45565</v>
      </c>
      <c r="E318" s="25">
        <f t="shared" si="155"/>
        <v>45551</v>
      </c>
      <c r="F318" s="26">
        <v>1.43</v>
      </c>
      <c r="G318" s="26">
        <v>2.82</v>
      </c>
      <c r="H318" s="26">
        <v>6.3</v>
      </c>
      <c r="I318" s="28">
        <f t="shared" si="141"/>
        <v>0.0446875</v>
      </c>
      <c r="J318" s="28">
        <f t="shared" si="137"/>
        <v>0.0440625</v>
      </c>
      <c r="K318" s="28">
        <f t="shared" si="138"/>
        <v>0.04921875</v>
      </c>
      <c r="M318" s="36">
        <f t="shared" si="143"/>
        <v>-0.0592105263157895</v>
      </c>
      <c r="N318" s="36">
        <f t="shared" si="144"/>
        <v>-0.10625</v>
      </c>
      <c r="O318" s="36">
        <f t="shared" si="145"/>
        <v>-0.128048780487805</v>
      </c>
      <c r="P318" s="36">
        <f t="shared" si="146"/>
        <v>-0.0844155844155845</v>
      </c>
      <c r="Q318" s="36">
        <f t="shared" si="147"/>
        <v>-0.115987460815047</v>
      </c>
      <c r="R318" s="36">
        <f t="shared" si="148"/>
        <v>-0.121495327102804</v>
      </c>
      <c r="S318" s="36">
        <f t="shared" si="150"/>
        <v>-0.00316455696202544</v>
      </c>
      <c r="T318" s="36">
        <f t="shared" si="151"/>
        <v>-0.0337423312883435</v>
      </c>
      <c r="U318" s="36">
        <f t="shared" si="152"/>
        <v>-0.0337423312883435</v>
      </c>
      <c r="BA318" s="25">
        <f t="shared" si="157"/>
        <v>45551</v>
      </c>
      <c r="BB318" s="28">
        <f t="shared" si="157"/>
        <v>1.43</v>
      </c>
      <c r="BC318" s="28">
        <f t="shared" si="139"/>
        <v>1.86</v>
      </c>
      <c r="BD318" s="28">
        <f t="shared" si="142"/>
        <v>2.82</v>
      </c>
      <c r="BE318" s="28">
        <f t="shared" si="134"/>
        <v>3.92</v>
      </c>
      <c r="BF318" s="28">
        <f t="shared" si="149"/>
        <v>6.3</v>
      </c>
      <c r="BG318" s="28">
        <f t="shared" si="132"/>
        <v>6.625</v>
      </c>
      <c r="BH318" s="28">
        <f t="shared" si="154"/>
        <v>7.02</v>
      </c>
      <c r="BI318" s="28">
        <f t="shared" si="154"/>
        <v>6.23</v>
      </c>
      <c r="BJ318" s="36">
        <f t="shared" si="156"/>
        <v>-0.00316455696202544</v>
      </c>
      <c r="DP318" s="35">
        <v>43931</v>
      </c>
      <c r="DQ318" s="26">
        <v>3.6</v>
      </c>
      <c r="DR318" s="26">
        <v>3.3</v>
      </c>
      <c r="DS318" s="26">
        <v>3.438</v>
      </c>
      <c r="DU318" s="35">
        <v>43931</v>
      </c>
      <c r="DV318" s="26">
        <v>6.3</v>
      </c>
      <c r="DW318" s="26">
        <v>6.05</v>
      </c>
      <c r="DX318" s="26">
        <v>6.158</v>
      </c>
      <c r="DZ318" s="35">
        <v>43931</v>
      </c>
      <c r="EA318" s="26">
        <v>13.5</v>
      </c>
      <c r="EB318" s="26">
        <v>13.2</v>
      </c>
      <c r="EC318" s="26">
        <v>13.3</v>
      </c>
    </row>
    <row r="319" ht="16.8" spans="3:133">
      <c r="C319" s="5" t="str" cm="1">
        <f t="array" ref="C319">_xlfn.IFS(MONTH(D319)&lt;4,1,MONTH(D319)&lt;7,2,MONTH(D319)&lt;10,3,MONTH(D319)&gt;9,4)&amp;"Q"&amp;RIGHT(YEAR(D319),2)</f>
        <v>3Q24</v>
      </c>
      <c r="D319" s="2">
        <f t="shared" si="140"/>
        <v>45565</v>
      </c>
      <c r="E319" s="25">
        <f t="shared" si="155"/>
        <v>45558</v>
      </c>
      <c r="F319" s="26">
        <v>1.38</v>
      </c>
      <c r="G319" s="26">
        <v>2.71</v>
      </c>
      <c r="H319" s="26">
        <v>6.3</v>
      </c>
      <c r="I319" s="28">
        <f t="shared" si="141"/>
        <v>0.043125</v>
      </c>
      <c r="J319" s="28">
        <f t="shared" si="137"/>
        <v>0.04234375</v>
      </c>
      <c r="K319" s="28">
        <f t="shared" si="138"/>
        <v>0.04921875</v>
      </c>
      <c r="M319" s="36">
        <f t="shared" si="143"/>
        <v>-0.034965034965035</v>
      </c>
      <c r="N319" s="36">
        <f t="shared" si="144"/>
        <v>-0.0921052631578948</v>
      </c>
      <c r="O319" s="36">
        <f t="shared" si="145"/>
        <v>-0.1375</v>
      </c>
      <c r="P319" s="36">
        <f t="shared" si="146"/>
        <v>-0.0390070921985816</v>
      </c>
      <c r="Q319" s="36">
        <f t="shared" si="147"/>
        <v>-0.12012987012987</v>
      </c>
      <c r="R319" s="36">
        <f t="shared" si="148"/>
        <v>-0.150470219435737</v>
      </c>
      <c r="S319" s="36">
        <f t="shared" si="150"/>
        <v>0</v>
      </c>
      <c r="T319" s="36">
        <f t="shared" si="151"/>
        <v>-0.00316455696202544</v>
      </c>
      <c r="U319" s="36">
        <f t="shared" si="152"/>
        <v>-0.0337423312883435</v>
      </c>
      <c r="BA319" s="25">
        <f t="shared" si="157"/>
        <v>45558</v>
      </c>
      <c r="BB319" s="28">
        <f t="shared" si="157"/>
        <v>1.38</v>
      </c>
      <c r="BC319" s="28">
        <f t="shared" si="139"/>
        <v>1.86</v>
      </c>
      <c r="BD319" s="28">
        <f t="shared" si="142"/>
        <v>2.71</v>
      </c>
      <c r="BE319" s="28">
        <f t="shared" si="134"/>
        <v>3.92</v>
      </c>
      <c r="BF319" s="28">
        <f t="shared" si="149"/>
        <v>6.3</v>
      </c>
      <c r="BG319" s="28">
        <f t="shared" si="132"/>
        <v>6.625</v>
      </c>
      <c r="BH319" s="28">
        <f t="shared" si="154"/>
        <v>7.02</v>
      </c>
      <c r="BI319" s="28">
        <f t="shared" si="154"/>
        <v>6.23</v>
      </c>
      <c r="BJ319" s="36">
        <f t="shared" si="156"/>
        <v>0</v>
      </c>
      <c r="DP319" s="35">
        <v>43934</v>
      </c>
      <c r="DQ319" s="26">
        <v>3.6</v>
      </c>
      <c r="DR319" s="26">
        <v>3.3</v>
      </c>
      <c r="DS319" s="26">
        <v>3.438</v>
      </c>
      <c r="DU319" s="35">
        <v>43934</v>
      </c>
      <c r="DV319" s="26">
        <v>6.3</v>
      </c>
      <c r="DW319" s="26">
        <v>6.05</v>
      </c>
      <c r="DX319" s="26">
        <v>6.158</v>
      </c>
      <c r="DZ319" s="35">
        <v>43934</v>
      </c>
      <c r="EA319" s="26">
        <v>13.5</v>
      </c>
      <c r="EB319" s="26">
        <v>13.2</v>
      </c>
      <c r="EC319" s="26">
        <v>13.32</v>
      </c>
    </row>
    <row r="320" ht="16.8" spans="3:133">
      <c r="C320" s="5" t="str" cm="1">
        <f t="array" ref="C320">_xlfn.IFS(MONTH(D320)&lt;4,1,MONTH(D320)&lt;7,2,MONTH(D320)&lt;10,3,MONTH(D320)&gt;9,4)&amp;"Q"&amp;RIGHT(YEAR(D320),2)</f>
        <v>3Q24</v>
      </c>
      <c r="D320" s="2">
        <f t="shared" si="140"/>
        <v>45565</v>
      </c>
      <c r="E320" s="25">
        <f t="shared" si="155"/>
        <v>45565</v>
      </c>
      <c r="F320" s="26">
        <v>1.31</v>
      </c>
      <c r="G320" s="26">
        <v>2.61</v>
      </c>
      <c r="H320" s="26">
        <v>6.05</v>
      </c>
      <c r="I320" s="28">
        <f t="shared" si="141"/>
        <v>0.0409375</v>
      </c>
      <c r="J320" s="28">
        <f t="shared" si="137"/>
        <v>0.04078125</v>
      </c>
      <c r="K320" s="28">
        <f t="shared" si="138"/>
        <v>0.047265625</v>
      </c>
      <c r="M320" s="36">
        <f t="shared" si="143"/>
        <v>-0.0507246376811593</v>
      </c>
      <c r="N320" s="36">
        <f t="shared" si="144"/>
        <v>-0.0839160839160838</v>
      </c>
      <c r="O320" s="36">
        <f t="shared" si="145"/>
        <v>-0.138157894736842</v>
      </c>
      <c r="P320" s="36">
        <f t="shared" si="146"/>
        <v>-0.0369003690036901</v>
      </c>
      <c r="Q320" s="36">
        <f t="shared" si="147"/>
        <v>-0.0744680851063829</v>
      </c>
      <c r="R320" s="36">
        <f t="shared" si="148"/>
        <v>-0.152597402597403</v>
      </c>
      <c r="S320" s="36">
        <f t="shared" si="150"/>
        <v>-0.0396825396825397</v>
      </c>
      <c r="T320" s="36">
        <f t="shared" si="151"/>
        <v>-0.0396825396825397</v>
      </c>
      <c r="U320" s="36">
        <f t="shared" si="152"/>
        <v>-0.0427215189873419</v>
      </c>
      <c r="BA320" s="25">
        <f t="shared" si="157"/>
        <v>45565</v>
      </c>
      <c r="BB320" s="28">
        <f t="shared" si="157"/>
        <v>1.31</v>
      </c>
      <c r="BC320" s="28">
        <f t="shared" si="139"/>
        <v>1.86</v>
      </c>
      <c r="BD320" s="28">
        <f t="shared" si="142"/>
        <v>2.61</v>
      </c>
      <c r="BE320" s="28">
        <f t="shared" si="134"/>
        <v>3.92</v>
      </c>
      <c r="BF320" s="28">
        <f t="shared" si="149"/>
        <v>6.05</v>
      </c>
      <c r="BG320" s="28">
        <f t="shared" ref="BG320:BG383" si="158">AVERAGE(BH320:BI320)</f>
        <v>6.625</v>
      </c>
      <c r="BH320" s="28">
        <f t="shared" si="154"/>
        <v>7.02</v>
      </c>
      <c r="BI320" s="28">
        <f t="shared" si="154"/>
        <v>6.23</v>
      </c>
      <c r="BJ320" s="36">
        <f t="shared" si="156"/>
        <v>-0.0396825396825397</v>
      </c>
      <c r="DP320" s="35">
        <v>43935</v>
      </c>
      <c r="DQ320" s="26">
        <v>3.6</v>
      </c>
      <c r="DR320" s="26">
        <v>3.3</v>
      </c>
      <c r="DS320" s="26">
        <v>3.432</v>
      </c>
      <c r="DU320" s="35">
        <v>43935</v>
      </c>
      <c r="DV320" s="26">
        <v>6.3</v>
      </c>
      <c r="DW320" s="26">
        <v>6.05</v>
      </c>
      <c r="DX320" s="26">
        <v>6.158</v>
      </c>
      <c r="DZ320" s="35">
        <v>43935</v>
      </c>
      <c r="EA320" s="26">
        <v>13.5</v>
      </c>
      <c r="EB320" s="26">
        <v>13.3</v>
      </c>
      <c r="EC320" s="26">
        <v>13.4</v>
      </c>
    </row>
    <row r="321" ht="16.8" spans="3:133">
      <c r="C321" s="5" t="str" cm="1">
        <f t="array" ref="C321">_xlfn.IFS(MONTH(D321)&lt;4,1,MONTH(D321)&lt;7,2,MONTH(D321)&lt;10,3,MONTH(D321)&gt;9,4)&amp;"Q"&amp;RIGHT(YEAR(D321),2)</f>
        <v>4Q24</v>
      </c>
      <c r="D321" s="2">
        <f t="shared" si="140"/>
        <v>45596</v>
      </c>
      <c r="E321" s="25">
        <f t="shared" si="155"/>
        <v>45572</v>
      </c>
      <c r="F321" s="26">
        <v>1.3</v>
      </c>
      <c r="G321" s="26">
        <v>2.6</v>
      </c>
      <c r="H321" s="26">
        <v>6.01</v>
      </c>
      <c r="I321" s="28">
        <f t="shared" si="141"/>
        <v>0.040625</v>
      </c>
      <c r="J321" s="28">
        <f t="shared" si="137"/>
        <v>0.040625</v>
      </c>
      <c r="K321" s="28">
        <f t="shared" si="138"/>
        <v>0.046953125</v>
      </c>
      <c r="M321" s="36">
        <f t="shared" si="143"/>
        <v>-0.00763358778625955</v>
      </c>
      <c r="N321" s="36">
        <f t="shared" si="144"/>
        <v>-0.0579710144927535</v>
      </c>
      <c r="O321" s="36">
        <f t="shared" si="145"/>
        <v>-0.0909090909090908</v>
      </c>
      <c r="P321" s="36">
        <f t="shared" si="146"/>
        <v>-0.00383141762452099</v>
      </c>
      <c r="Q321" s="36">
        <f t="shared" si="147"/>
        <v>-0.040590405904059</v>
      </c>
      <c r="R321" s="36">
        <f t="shared" si="148"/>
        <v>-0.078014184397163</v>
      </c>
      <c r="S321" s="36">
        <f t="shared" si="150"/>
        <v>-0.00661157024793391</v>
      </c>
      <c r="T321" s="36">
        <f t="shared" si="151"/>
        <v>-0.0460317460317461</v>
      </c>
      <c r="U321" s="36">
        <f t="shared" si="152"/>
        <v>-0.0460317460317461</v>
      </c>
      <c r="BA321" s="25">
        <f t="shared" si="157"/>
        <v>45572</v>
      </c>
      <c r="BB321" s="28">
        <f t="shared" si="157"/>
        <v>1.3</v>
      </c>
      <c r="BC321" s="28">
        <f t="shared" si="139"/>
        <v>1.74</v>
      </c>
      <c r="BD321" s="28">
        <f t="shared" si="142"/>
        <v>2.6</v>
      </c>
      <c r="BE321" s="28">
        <f t="shared" si="134"/>
        <v>3.72</v>
      </c>
      <c r="BF321" s="28">
        <f t="shared" si="149"/>
        <v>6.01</v>
      </c>
      <c r="BG321" s="28">
        <f t="shared" si="158"/>
        <v>6.35</v>
      </c>
      <c r="BH321" s="28">
        <f t="shared" si="154"/>
        <v>6.73</v>
      </c>
      <c r="BI321" s="28">
        <f t="shared" si="154"/>
        <v>5.97</v>
      </c>
      <c r="BJ321" s="36">
        <f t="shared" si="156"/>
        <v>-0.00661157024793391</v>
      </c>
      <c r="DP321" s="35">
        <v>43936</v>
      </c>
      <c r="DQ321" s="26">
        <v>3.6</v>
      </c>
      <c r="DR321" s="26">
        <v>3.3</v>
      </c>
      <c r="DS321" s="26">
        <v>3.424</v>
      </c>
      <c r="DU321" s="35">
        <v>43936</v>
      </c>
      <c r="DV321" s="26">
        <v>6.3</v>
      </c>
      <c r="DW321" s="26">
        <v>6.05</v>
      </c>
      <c r="DX321" s="26">
        <v>6.15</v>
      </c>
      <c r="DZ321" s="35">
        <v>43936</v>
      </c>
      <c r="EA321" s="26">
        <v>13.5</v>
      </c>
      <c r="EB321" s="26">
        <v>13.4</v>
      </c>
      <c r="EC321" s="26">
        <v>13.45</v>
      </c>
    </row>
    <row r="322" ht="16.8" spans="3:133">
      <c r="C322" s="5" t="str" cm="1">
        <f t="array" ref="C322">_xlfn.IFS(MONTH(D322)&lt;4,1,MONTH(D322)&lt;7,2,MONTH(D322)&lt;10,3,MONTH(D322)&gt;9,4)&amp;"Q"&amp;RIGHT(YEAR(D322),2)</f>
        <v>4Q24</v>
      </c>
      <c r="D322" s="2">
        <f t="shared" si="140"/>
        <v>45596</v>
      </c>
      <c r="E322" s="25">
        <f t="shared" si="155"/>
        <v>45579</v>
      </c>
      <c r="F322" s="26">
        <v>1.29</v>
      </c>
      <c r="G322" s="26">
        <v>2.5</v>
      </c>
      <c r="H322" s="26">
        <v>6</v>
      </c>
      <c r="I322" s="28">
        <f t="shared" si="141"/>
        <v>0.0403125</v>
      </c>
      <c r="J322" s="28">
        <f t="shared" si="137"/>
        <v>0.0390625</v>
      </c>
      <c r="K322" s="28">
        <f t="shared" si="138"/>
        <v>0.046875</v>
      </c>
      <c r="M322" s="36">
        <f t="shared" si="143"/>
        <v>-0.00769230769230766</v>
      </c>
      <c r="N322" s="36">
        <f t="shared" si="144"/>
        <v>-0.0152671755725191</v>
      </c>
      <c r="O322" s="36">
        <f t="shared" si="145"/>
        <v>-0.0652173913043478</v>
      </c>
      <c r="P322" s="36">
        <f t="shared" si="146"/>
        <v>-0.0384615384615385</v>
      </c>
      <c r="Q322" s="36">
        <f t="shared" si="147"/>
        <v>-0.0421455938697317</v>
      </c>
      <c r="R322" s="36">
        <f t="shared" si="148"/>
        <v>-0.077490774907749</v>
      </c>
      <c r="S322" s="36">
        <f t="shared" si="150"/>
        <v>-0.00166389351081531</v>
      </c>
      <c r="T322" s="36">
        <f t="shared" si="151"/>
        <v>-0.00826446280991733</v>
      </c>
      <c r="U322" s="36">
        <f t="shared" si="152"/>
        <v>-0.0476190476190476</v>
      </c>
      <c r="BA322" s="25">
        <f t="shared" si="157"/>
        <v>45579</v>
      </c>
      <c r="BB322" s="28">
        <f t="shared" si="157"/>
        <v>1.29</v>
      </c>
      <c r="BC322" s="28">
        <f t="shared" si="139"/>
        <v>1.74</v>
      </c>
      <c r="BD322" s="28">
        <f t="shared" si="142"/>
        <v>2.5</v>
      </c>
      <c r="BE322" s="28">
        <f t="shared" si="134"/>
        <v>3.72</v>
      </c>
      <c r="BF322" s="28">
        <f t="shared" si="149"/>
        <v>6</v>
      </c>
      <c r="BG322" s="28">
        <f t="shared" si="158"/>
        <v>6.35</v>
      </c>
      <c r="BH322" s="28">
        <f t="shared" si="154"/>
        <v>6.73</v>
      </c>
      <c r="BI322" s="28">
        <f t="shared" si="154"/>
        <v>5.97</v>
      </c>
      <c r="BJ322" s="36">
        <f t="shared" si="156"/>
        <v>-0.00166389351081531</v>
      </c>
      <c r="DP322" s="35">
        <v>43937</v>
      </c>
      <c r="DQ322" s="26">
        <v>3.6</v>
      </c>
      <c r="DR322" s="26">
        <v>3.3</v>
      </c>
      <c r="DS322" s="26">
        <v>3.42</v>
      </c>
      <c r="DU322" s="35">
        <v>43937</v>
      </c>
      <c r="DV322" s="26">
        <v>6.3</v>
      </c>
      <c r="DW322" s="26">
        <v>6.05</v>
      </c>
      <c r="DX322" s="26">
        <v>6.146</v>
      </c>
      <c r="DZ322" s="35">
        <v>43937</v>
      </c>
      <c r="EA322" s="26">
        <v>13.5</v>
      </c>
      <c r="EB322" s="26">
        <v>13.4</v>
      </c>
      <c r="EC322" s="26">
        <v>13.45</v>
      </c>
    </row>
    <row r="323" ht="16.8" spans="3:133">
      <c r="C323" s="5" t="str" cm="1">
        <f t="array" ref="C323">_xlfn.IFS(MONTH(D323)&lt;4,1,MONTH(D323)&lt;7,2,MONTH(D323)&lt;10,3,MONTH(D323)&gt;9,4)&amp;"Q"&amp;RIGHT(YEAR(D323),2)</f>
        <v>4Q24</v>
      </c>
      <c r="D323" s="2">
        <f t="shared" si="140"/>
        <v>45596</v>
      </c>
      <c r="E323" s="25">
        <f t="shared" si="155"/>
        <v>45586</v>
      </c>
      <c r="F323" s="26">
        <v>1.28</v>
      </c>
      <c r="G323" s="26">
        <v>2.49</v>
      </c>
      <c r="H323" s="26">
        <v>5.93</v>
      </c>
      <c r="I323" s="28">
        <f t="shared" si="141"/>
        <v>0.04</v>
      </c>
      <c r="J323" s="28">
        <f t="shared" si="137"/>
        <v>0.03890625</v>
      </c>
      <c r="K323" s="28">
        <f t="shared" si="138"/>
        <v>0.046328125</v>
      </c>
      <c r="M323" s="36">
        <f t="shared" si="143"/>
        <v>-0.00775193798449614</v>
      </c>
      <c r="N323" s="36">
        <f t="shared" si="144"/>
        <v>-0.0153846153846154</v>
      </c>
      <c r="O323" s="36">
        <f t="shared" si="145"/>
        <v>-0.0229007633587787</v>
      </c>
      <c r="P323" s="36">
        <f t="shared" si="146"/>
        <v>-0.00399999999999989</v>
      </c>
      <c r="Q323" s="36">
        <f t="shared" si="147"/>
        <v>-0.0423076923076923</v>
      </c>
      <c r="R323" s="36">
        <f t="shared" si="148"/>
        <v>-0.0459770114942527</v>
      </c>
      <c r="S323" s="36">
        <f t="shared" si="150"/>
        <v>-0.0116666666666667</v>
      </c>
      <c r="T323" s="36">
        <f t="shared" si="151"/>
        <v>-0.0133111480865225</v>
      </c>
      <c r="U323" s="36">
        <f t="shared" si="152"/>
        <v>-0.0198347107438017</v>
      </c>
      <c r="BA323" s="25">
        <f t="shared" si="157"/>
        <v>45586</v>
      </c>
      <c r="BB323" s="28">
        <f t="shared" si="157"/>
        <v>1.28</v>
      </c>
      <c r="BC323" s="28">
        <f t="shared" si="139"/>
        <v>1.74</v>
      </c>
      <c r="BD323" s="28">
        <f t="shared" si="142"/>
        <v>2.49</v>
      </c>
      <c r="BE323" s="28">
        <f t="shared" si="134"/>
        <v>3.72</v>
      </c>
      <c r="BF323" s="28">
        <f t="shared" si="149"/>
        <v>5.93</v>
      </c>
      <c r="BG323" s="28">
        <f t="shared" si="158"/>
        <v>6.35</v>
      </c>
      <c r="BH323" s="28">
        <f t="shared" si="154"/>
        <v>6.73</v>
      </c>
      <c r="BI323" s="28">
        <f t="shared" si="154"/>
        <v>5.97</v>
      </c>
      <c r="BJ323" s="36">
        <f t="shared" si="156"/>
        <v>-0.0116666666666667</v>
      </c>
      <c r="DP323" s="35">
        <v>43938</v>
      </c>
      <c r="DQ323" s="26">
        <v>3.6</v>
      </c>
      <c r="DR323" s="26">
        <v>3.3</v>
      </c>
      <c r="DS323" s="26">
        <v>3.416</v>
      </c>
      <c r="DU323" s="35">
        <v>43938</v>
      </c>
      <c r="DV323" s="26">
        <v>6.3</v>
      </c>
      <c r="DW323" s="26">
        <v>6.05</v>
      </c>
      <c r="DX323" s="26">
        <v>6.142</v>
      </c>
      <c r="DZ323" s="35">
        <v>43938</v>
      </c>
      <c r="EA323" s="26">
        <v>13.6</v>
      </c>
      <c r="EB323" s="26">
        <v>13.5</v>
      </c>
      <c r="EC323" s="26">
        <v>13.55</v>
      </c>
    </row>
    <row r="324" ht="16.8" spans="3:133">
      <c r="C324" s="5" t="str" cm="1">
        <f t="array" ref="C324">_xlfn.IFS(MONTH(D324)&lt;4,1,MONTH(D324)&lt;7,2,MONTH(D324)&lt;10,3,MONTH(D324)&gt;9,4)&amp;"Q"&amp;RIGHT(YEAR(D324),2)</f>
        <v>4Q24</v>
      </c>
      <c r="D324" s="2">
        <f t="shared" si="140"/>
        <v>45596</v>
      </c>
      <c r="E324" s="25">
        <f t="shared" si="155"/>
        <v>45593</v>
      </c>
      <c r="F324" s="26">
        <v>1.23</v>
      </c>
      <c r="G324" s="26">
        <v>2.45</v>
      </c>
      <c r="H324" s="26">
        <v>5.72</v>
      </c>
      <c r="I324" s="28">
        <f t="shared" si="141"/>
        <v>0.0384375</v>
      </c>
      <c r="J324" s="28">
        <f t="shared" si="137"/>
        <v>0.03828125</v>
      </c>
      <c r="K324" s="28">
        <f t="shared" si="138"/>
        <v>0.0446875</v>
      </c>
      <c r="M324" s="36">
        <f t="shared" si="143"/>
        <v>-0.0390625</v>
      </c>
      <c r="N324" s="36">
        <f t="shared" si="144"/>
        <v>-0.0465116279069768</v>
      </c>
      <c r="O324" s="36">
        <f t="shared" si="145"/>
        <v>-0.0538461538461539</v>
      </c>
      <c r="P324" s="36">
        <f t="shared" si="146"/>
        <v>-0.0160642570281124</v>
      </c>
      <c r="Q324" s="36">
        <f t="shared" si="147"/>
        <v>-0.0199999999999999</v>
      </c>
      <c r="R324" s="36">
        <f t="shared" si="148"/>
        <v>-0.0576923076923077</v>
      </c>
      <c r="S324" s="36">
        <f t="shared" si="150"/>
        <v>-0.0354131534569984</v>
      </c>
      <c r="T324" s="36">
        <f t="shared" si="151"/>
        <v>-0.0466666666666667</v>
      </c>
      <c r="U324" s="36">
        <f t="shared" si="152"/>
        <v>-0.0482529118136439</v>
      </c>
      <c r="BA324" s="25">
        <f t="shared" si="157"/>
        <v>45593</v>
      </c>
      <c r="BB324" s="28">
        <f t="shared" si="157"/>
        <v>1.23</v>
      </c>
      <c r="BC324" s="28">
        <f t="shared" si="139"/>
        <v>1.74</v>
      </c>
      <c r="BD324" s="28">
        <f t="shared" si="142"/>
        <v>2.45</v>
      </c>
      <c r="BE324" s="28">
        <f t="shared" si="134"/>
        <v>3.72</v>
      </c>
      <c r="BF324" s="28">
        <f t="shared" si="149"/>
        <v>5.72</v>
      </c>
      <c r="BG324" s="28">
        <f t="shared" si="158"/>
        <v>6.35</v>
      </c>
      <c r="BH324" s="28">
        <f t="shared" si="154"/>
        <v>6.73</v>
      </c>
      <c r="BI324" s="28">
        <f t="shared" si="154"/>
        <v>5.97</v>
      </c>
      <c r="BJ324" s="36">
        <f t="shared" si="156"/>
        <v>-0.0354131534569984</v>
      </c>
      <c r="DP324" s="35">
        <v>43941</v>
      </c>
      <c r="DQ324" s="26">
        <v>3.5</v>
      </c>
      <c r="DR324" s="26">
        <v>3.3</v>
      </c>
      <c r="DS324" s="26">
        <v>3.391</v>
      </c>
      <c r="DU324" s="35">
        <v>43941</v>
      </c>
      <c r="DV324" s="26">
        <v>6.3</v>
      </c>
      <c r="DW324" s="26">
        <v>6.05</v>
      </c>
      <c r="DX324" s="26">
        <v>6.158</v>
      </c>
      <c r="DZ324" s="35">
        <v>43941</v>
      </c>
      <c r="EA324" s="26">
        <v>13.8</v>
      </c>
      <c r="EB324" s="26">
        <v>13.7</v>
      </c>
      <c r="EC324" s="26">
        <v>13.75</v>
      </c>
    </row>
    <row r="325" ht="16.8" spans="3:133">
      <c r="C325" s="5" t="str" cm="1">
        <f t="array" ref="C325">_xlfn.IFS(MONTH(D325)&lt;4,1,MONTH(D325)&lt;7,2,MONTH(D325)&lt;10,3,MONTH(D325)&gt;9,4)&amp;"Q"&amp;RIGHT(YEAR(D325),2)</f>
        <v>4Q24</v>
      </c>
      <c r="D325" s="2">
        <f t="shared" si="140"/>
        <v>45626</v>
      </c>
      <c r="E325" s="25">
        <f t="shared" si="155"/>
        <v>45600</v>
      </c>
      <c r="F325" s="26">
        <v>1.2</v>
      </c>
      <c r="G325" s="26">
        <v>2.38</v>
      </c>
      <c r="H325" s="26">
        <v>5.21</v>
      </c>
      <c r="I325" s="28">
        <f t="shared" si="141"/>
        <v>0.0375</v>
      </c>
      <c r="J325" s="28">
        <f t="shared" si="137"/>
        <v>0.0371875</v>
      </c>
      <c r="K325" s="28">
        <f t="shared" si="138"/>
        <v>0.040703125</v>
      </c>
      <c r="M325" s="36">
        <f t="shared" si="143"/>
        <v>-0.024390243902439</v>
      </c>
      <c r="N325" s="36">
        <f t="shared" si="144"/>
        <v>-0.0625</v>
      </c>
      <c r="O325" s="36">
        <f t="shared" si="145"/>
        <v>-0.0697674418604651</v>
      </c>
      <c r="P325" s="36">
        <f t="shared" si="146"/>
        <v>-0.0285714285714287</v>
      </c>
      <c r="Q325" s="36">
        <f t="shared" si="147"/>
        <v>-0.0441767068273093</v>
      </c>
      <c r="R325" s="36">
        <f t="shared" si="148"/>
        <v>-0.048</v>
      </c>
      <c r="S325" s="36">
        <f t="shared" si="150"/>
        <v>-0.0891608391608392</v>
      </c>
      <c r="T325" s="36">
        <f t="shared" si="151"/>
        <v>-0.12141652613828</v>
      </c>
      <c r="U325" s="36">
        <f t="shared" si="152"/>
        <v>-0.131666666666667</v>
      </c>
      <c r="AV325" s="36"/>
      <c r="BA325" s="25">
        <f t="shared" si="157"/>
        <v>45600</v>
      </c>
      <c r="BB325" s="28">
        <f t="shared" si="157"/>
        <v>1.2</v>
      </c>
      <c r="BC325" s="28">
        <f t="shared" si="139"/>
        <v>1.5</v>
      </c>
      <c r="BD325" s="28">
        <f t="shared" si="142"/>
        <v>2.38</v>
      </c>
      <c r="BE325" s="28">
        <f t="shared" si="134"/>
        <v>3.09</v>
      </c>
      <c r="BF325" s="28">
        <f t="shared" si="149"/>
        <v>5.21</v>
      </c>
      <c r="BG325" s="28">
        <f t="shared" si="158"/>
        <v>5.34</v>
      </c>
      <c r="BH325" s="28">
        <f t="shared" si="154"/>
        <v>5.6</v>
      </c>
      <c r="BI325" s="28">
        <f t="shared" si="154"/>
        <v>5.08</v>
      </c>
      <c r="BJ325" s="36">
        <f t="shared" si="156"/>
        <v>-0.0891608391608392</v>
      </c>
      <c r="DP325" s="35">
        <v>43942</v>
      </c>
      <c r="DQ325" s="26">
        <v>3.45</v>
      </c>
      <c r="DR325" s="26">
        <v>3.3</v>
      </c>
      <c r="DS325" s="26">
        <v>3.371</v>
      </c>
      <c r="DU325" s="35">
        <v>43942</v>
      </c>
      <c r="DV325" s="26">
        <v>6.25</v>
      </c>
      <c r="DW325" s="26">
        <v>6.05</v>
      </c>
      <c r="DX325" s="26">
        <v>6.138</v>
      </c>
      <c r="DZ325" s="35">
        <v>43942</v>
      </c>
      <c r="EA325" s="26">
        <v>14</v>
      </c>
      <c r="EB325" s="26">
        <v>13.9</v>
      </c>
      <c r="EC325" s="26">
        <v>13.95</v>
      </c>
    </row>
    <row r="326" ht="16.8" spans="3:133">
      <c r="C326" s="5" t="str" cm="1">
        <f t="array" ref="C326">_xlfn.IFS(MONTH(D326)&lt;4,1,MONTH(D326)&lt;7,2,MONTH(D326)&lt;10,3,MONTH(D326)&gt;9,4)&amp;"Q"&amp;RIGHT(YEAR(D326),2)</f>
        <v>4Q24</v>
      </c>
      <c r="D326" s="2">
        <f t="shared" si="140"/>
        <v>45626</v>
      </c>
      <c r="E326" s="25">
        <f t="shared" si="155"/>
        <v>45607</v>
      </c>
      <c r="F326" s="26">
        <v>1.2</v>
      </c>
      <c r="G326" s="26">
        <v>2.4</v>
      </c>
      <c r="H326" s="26">
        <v>5.17</v>
      </c>
      <c r="I326" s="28">
        <f t="shared" si="141"/>
        <v>0.0375</v>
      </c>
      <c r="J326" s="28">
        <f t="shared" si="137"/>
        <v>0.0375</v>
      </c>
      <c r="K326" s="28">
        <f t="shared" si="138"/>
        <v>0.040390625</v>
      </c>
      <c r="M326" s="36">
        <f t="shared" si="143"/>
        <v>0</v>
      </c>
      <c r="N326" s="36">
        <f t="shared" si="144"/>
        <v>-0.024390243902439</v>
      </c>
      <c r="O326" s="36">
        <f t="shared" si="145"/>
        <v>-0.0625</v>
      </c>
      <c r="P326" s="36">
        <f t="shared" si="146"/>
        <v>0.00840336134453779</v>
      </c>
      <c r="Q326" s="36">
        <f t="shared" si="147"/>
        <v>-0.0204081632653063</v>
      </c>
      <c r="R326" s="36">
        <f t="shared" si="148"/>
        <v>-0.0361445783132531</v>
      </c>
      <c r="S326" s="36">
        <f t="shared" si="150"/>
        <v>-0.00767754318618041</v>
      </c>
      <c r="T326" s="36">
        <f t="shared" si="151"/>
        <v>-0.0961538461538461</v>
      </c>
      <c r="U326" s="36">
        <f t="shared" si="152"/>
        <v>-0.128161888701518</v>
      </c>
      <c r="BA326" s="25">
        <f t="shared" si="157"/>
        <v>45607</v>
      </c>
      <c r="BB326" s="28">
        <f t="shared" si="157"/>
        <v>1.2</v>
      </c>
      <c r="BC326" s="28">
        <f t="shared" si="139"/>
        <v>1.5</v>
      </c>
      <c r="BD326" s="28">
        <f t="shared" si="142"/>
        <v>2.4</v>
      </c>
      <c r="BE326" s="28">
        <f t="shared" si="134"/>
        <v>3.09</v>
      </c>
      <c r="BF326" s="28">
        <f t="shared" si="149"/>
        <v>5.17</v>
      </c>
      <c r="BG326" s="28">
        <f t="shared" si="158"/>
        <v>5.34</v>
      </c>
      <c r="BH326" s="28">
        <f t="shared" si="154"/>
        <v>5.6</v>
      </c>
      <c r="BI326" s="28">
        <f t="shared" si="154"/>
        <v>5.08</v>
      </c>
      <c r="BJ326" s="36">
        <f t="shared" si="156"/>
        <v>-0.00767754318618041</v>
      </c>
      <c r="DP326" s="35">
        <v>43943</v>
      </c>
      <c r="DQ326" s="26">
        <v>3.45</v>
      </c>
      <c r="DR326" s="26">
        <v>3.3</v>
      </c>
      <c r="DS326" s="26">
        <v>3.365</v>
      </c>
      <c r="DU326" s="35">
        <v>43943</v>
      </c>
      <c r="DV326" s="26">
        <v>6.25</v>
      </c>
      <c r="DW326" s="26">
        <v>6.05</v>
      </c>
      <c r="DX326" s="26">
        <v>6.135</v>
      </c>
      <c r="DZ326" s="35">
        <v>43943</v>
      </c>
      <c r="EA326" s="26">
        <v>14</v>
      </c>
      <c r="EB326" s="26">
        <v>13.9</v>
      </c>
      <c r="EC326" s="26">
        <v>13.97</v>
      </c>
    </row>
    <row r="327" ht="16.8" spans="3:133">
      <c r="C327" s="5" t="str" cm="1">
        <f t="array" ref="C327">_xlfn.IFS(MONTH(D327)&lt;4,1,MONTH(D327)&lt;7,2,MONTH(D327)&lt;10,3,MONTH(D327)&gt;9,4)&amp;"Q"&amp;RIGHT(YEAR(D327),2)</f>
        <v>4Q24</v>
      </c>
      <c r="D327" s="2">
        <f t="shared" si="140"/>
        <v>45626</v>
      </c>
      <c r="E327" s="25">
        <f t="shared" si="155"/>
        <v>45614</v>
      </c>
      <c r="F327" s="26">
        <v>1.2</v>
      </c>
      <c r="G327" s="26">
        <v>2.38</v>
      </c>
      <c r="H327" s="26">
        <v>5.14</v>
      </c>
      <c r="I327" s="28">
        <f t="shared" si="141"/>
        <v>0.0375</v>
      </c>
      <c r="J327" s="28">
        <f t="shared" si="137"/>
        <v>0.0371875</v>
      </c>
      <c r="K327" s="28">
        <f t="shared" si="138"/>
        <v>0.04015625</v>
      </c>
      <c r="M327" s="36">
        <f t="shared" si="143"/>
        <v>0</v>
      </c>
      <c r="N327" s="36">
        <f t="shared" si="144"/>
        <v>0</v>
      </c>
      <c r="O327" s="36">
        <f t="shared" si="145"/>
        <v>-0.024390243902439</v>
      </c>
      <c r="P327" s="36">
        <f t="shared" si="146"/>
        <v>-0.0083333333333333</v>
      </c>
      <c r="Q327" s="36">
        <f t="shared" si="147"/>
        <v>0</v>
      </c>
      <c r="R327" s="36">
        <f t="shared" si="148"/>
        <v>-0.0285714285714287</v>
      </c>
      <c r="S327" s="36">
        <f t="shared" si="150"/>
        <v>-0.00580270793036752</v>
      </c>
      <c r="T327" s="36">
        <f t="shared" si="151"/>
        <v>-0.0134357005758158</v>
      </c>
      <c r="U327" s="36">
        <f t="shared" si="152"/>
        <v>-0.101398601398601</v>
      </c>
      <c r="BA327" s="25">
        <f t="shared" si="157"/>
        <v>45614</v>
      </c>
      <c r="BB327" s="28">
        <f t="shared" si="157"/>
        <v>1.2</v>
      </c>
      <c r="BC327" s="28">
        <f t="shared" si="139"/>
        <v>1.5</v>
      </c>
      <c r="BD327" s="28">
        <f t="shared" si="142"/>
        <v>2.38</v>
      </c>
      <c r="BE327" s="28">
        <f t="shared" si="134"/>
        <v>3.09</v>
      </c>
      <c r="BF327" s="28">
        <f t="shared" si="149"/>
        <v>5.14</v>
      </c>
      <c r="BG327" s="28">
        <f t="shared" si="158"/>
        <v>5.34</v>
      </c>
      <c r="BH327" s="28">
        <f t="shared" si="154"/>
        <v>5.6</v>
      </c>
      <c r="BI327" s="28">
        <f t="shared" si="154"/>
        <v>5.08</v>
      </c>
      <c r="BJ327" s="36">
        <f t="shared" si="156"/>
        <v>-0.00580270793036752</v>
      </c>
      <c r="DP327" s="35">
        <v>43944</v>
      </c>
      <c r="DQ327" s="26">
        <v>3.45</v>
      </c>
      <c r="DR327" s="26">
        <v>3.3</v>
      </c>
      <c r="DS327" s="26">
        <v>3.351</v>
      </c>
      <c r="DU327" s="35">
        <v>43944</v>
      </c>
      <c r="DV327" s="26">
        <v>6.25</v>
      </c>
      <c r="DW327" s="26">
        <v>6.05</v>
      </c>
      <c r="DX327" s="26">
        <v>6.131</v>
      </c>
      <c r="DZ327" s="35">
        <v>43944</v>
      </c>
      <c r="EA327" s="26">
        <v>14.2</v>
      </c>
      <c r="EB327" s="26">
        <v>14</v>
      </c>
      <c r="EC327" s="26">
        <v>14.1</v>
      </c>
    </row>
    <row r="328" ht="16.8" spans="3:133">
      <c r="C328" s="5" t="str" cm="1">
        <f t="array" ref="C328">_xlfn.IFS(MONTH(D328)&lt;4,1,MONTH(D328)&lt;7,2,MONTH(D328)&lt;10,3,MONTH(D328)&gt;9,4)&amp;"Q"&amp;RIGHT(YEAR(D328),2)</f>
        <v>4Q24</v>
      </c>
      <c r="D328" s="2">
        <f t="shared" si="140"/>
        <v>45626</v>
      </c>
      <c r="E328" s="25">
        <f t="shared" si="155"/>
        <v>45621</v>
      </c>
      <c r="F328" s="26">
        <v>1.2</v>
      </c>
      <c r="G328" s="26">
        <v>2.4</v>
      </c>
      <c r="H328" s="26">
        <v>5.13</v>
      </c>
      <c r="I328" s="28">
        <f t="shared" si="141"/>
        <v>0.0375</v>
      </c>
      <c r="J328" s="28">
        <f t="shared" si="137"/>
        <v>0.0375</v>
      </c>
      <c r="K328" s="28">
        <f t="shared" si="138"/>
        <v>0.040078125</v>
      </c>
      <c r="M328" s="36">
        <f t="shared" si="143"/>
        <v>0</v>
      </c>
      <c r="N328" s="36">
        <f t="shared" si="144"/>
        <v>0</v>
      </c>
      <c r="O328" s="36">
        <f t="shared" si="145"/>
        <v>0</v>
      </c>
      <c r="P328" s="36">
        <f t="shared" si="146"/>
        <v>0.00840336134453779</v>
      </c>
      <c r="Q328" s="36">
        <f t="shared" si="147"/>
        <v>0</v>
      </c>
      <c r="R328" s="36">
        <f t="shared" si="148"/>
        <v>0.00840336134453779</v>
      </c>
      <c r="S328" s="36">
        <f t="shared" si="150"/>
        <v>-0.00194552529182879</v>
      </c>
      <c r="T328" s="36">
        <f t="shared" si="151"/>
        <v>-0.00773694390715673</v>
      </c>
      <c r="U328" s="36">
        <f t="shared" si="152"/>
        <v>-0.0153550863723608</v>
      </c>
      <c r="BA328" s="25">
        <f t="shared" si="157"/>
        <v>45621</v>
      </c>
      <c r="BB328" s="28">
        <f t="shared" si="157"/>
        <v>1.2</v>
      </c>
      <c r="BC328" s="28">
        <f t="shared" si="139"/>
        <v>1.5</v>
      </c>
      <c r="BD328" s="28">
        <f t="shared" si="142"/>
        <v>2.4</v>
      </c>
      <c r="BE328" s="28">
        <f t="shared" si="134"/>
        <v>3.09</v>
      </c>
      <c r="BF328" s="28">
        <f t="shared" si="149"/>
        <v>5.13</v>
      </c>
      <c r="BG328" s="28">
        <f t="shared" si="158"/>
        <v>5.34</v>
      </c>
      <c r="BH328" s="28">
        <f t="shared" si="154"/>
        <v>5.6</v>
      </c>
      <c r="BI328" s="28">
        <f t="shared" si="154"/>
        <v>5.08</v>
      </c>
      <c r="BJ328" s="36">
        <f t="shared" si="156"/>
        <v>-0.00194552529182879</v>
      </c>
      <c r="DP328" s="35">
        <v>43945</v>
      </c>
      <c r="DQ328" s="26">
        <v>3.4</v>
      </c>
      <c r="DR328" s="26">
        <v>3.3</v>
      </c>
      <c r="DS328" s="26">
        <v>3.345</v>
      </c>
      <c r="DU328" s="35">
        <v>43945</v>
      </c>
      <c r="DV328" s="26">
        <v>6.25</v>
      </c>
      <c r="DW328" s="26">
        <v>6.05</v>
      </c>
      <c r="DX328" s="26">
        <v>6.118</v>
      </c>
      <c r="DZ328" s="35">
        <v>43945</v>
      </c>
      <c r="EA328" s="26">
        <v>14.2</v>
      </c>
      <c r="EB328" s="26">
        <v>14</v>
      </c>
      <c r="EC328" s="26">
        <v>14.1</v>
      </c>
    </row>
    <row r="329" ht="16.8" spans="3:133">
      <c r="C329" s="5" t="str" cm="1">
        <f t="array" ref="C329">_xlfn.IFS(MONTH(D329)&lt;4,1,MONTH(D329)&lt;7,2,MONTH(D329)&lt;10,3,MONTH(D329)&gt;9,4)&amp;"Q"&amp;RIGHT(YEAR(D329),2)</f>
        <v>4Q24</v>
      </c>
      <c r="D329" s="2">
        <f t="shared" si="140"/>
        <v>45657</v>
      </c>
      <c r="E329" s="25">
        <f t="shared" si="155"/>
        <v>45628</v>
      </c>
      <c r="F329" s="26">
        <v>1.2</v>
      </c>
      <c r="G329" s="26">
        <v>2.39</v>
      </c>
      <c r="H329" s="26">
        <v>5.11</v>
      </c>
      <c r="I329" s="28">
        <f t="shared" si="141"/>
        <v>0.0375</v>
      </c>
      <c r="J329" s="28">
        <f t="shared" si="137"/>
        <v>0.03734375</v>
      </c>
      <c r="K329" s="28">
        <f t="shared" si="138"/>
        <v>0.039921875</v>
      </c>
      <c r="M329" s="36">
        <f t="shared" si="143"/>
        <v>0</v>
      </c>
      <c r="N329" s="36">
        <f t="shared" si="144"/>
        <v>0</v>
      </c>
      <c r="O329" s="36">
        <f t="shared" si="145"/>
        <v>0</v>
      </c>
      <c r="P329" s="36">
        <f t="shared" si="146"/>
        <v>-0.00416666666666654</v>
      </c>
      <c r="Q329" s="36">
        <f t="shared" si="147"/>
        <v>0.00420168067226911</v>
      </c>
      <c r="R329" s="36">
        <f t="shared" si="148"/>
        <v>-0.00416666666666654</v>
      </c>
      <c r="S329" s="36">
        <f t="shared" si="150"/>
        <v>-0.00389863547758273</v>
      </c>
      <c r="T329" s="36">
        <f t="shared" si="151"/>
        <v>-0.00583657587548625</v>
      </c>
      <c r="U329" s="36">
        <f t="shared" si="152"/>
        <v>-0.0116054158607349</v>
      </c>
      <c r="BA329" s="25">
        <f t="shared" ref="BA329:BB344" si="159">E329</f>
        <v>45628</v>
      </c>
      <c r="BB329" s="28">
        <f t="shared" si="159"/>
        <v>1.2</v>
      </c>
      <c r="BC329" s="28">
        <f t="shared" si="139"/>
        <v>1.49</v>
      </c>
      <c r="BD329" s="28">
        <f t="shared" si="142"/>
        <v>2.39</v>
      </c>
      <c r="BE329" s="28">
        <f t="shared" si="134"/>
        <v>2.6</v>
      </c>
      <c r="BF329" s="28">
        <f t="shared" si="149"/>
        <v>5.11</v>
      </c>
      <c r="BG329" s="28">
        <f t="shared" si="158"/>
        <v>4.91</v>
      </c>
      <c r="BH329" s="28">
        <f t="shared" si="154"/>
        <v>5.09</v>
      </c>
      <c r="BI329" s="28">
        <f t="shared" si="154"/>
        <v>4.73</v>
      </c>
      <c r="BJ329" s="36">
        <f t="shared" si="156"/>
        <v>-0.00389863547758273</v>
      </c>
      <c r="DP329" s="35">
        <v>43948</v>
      </c>
      <c r="DQ329" s="26">
        <v>3.4</v>
      </c>
      <c r="DR329" s="26">
        <v>3.3</v>
      </c>
      <c r="DS329" s="26">
        <v>3.345</v>
      </c>
      <c r="DU329" s="35">
        <v>43948</v>
      </c>
      <c r="DV329" s="26">
        <v>6.25</v>
      </c>
      <c r="DW329" s="26">
        <v>6.05</v>
      </c>
      <c r="DX329" s="26">
        <v>6.118</v>
      </c>
      <c r="DZ329" s="35">
        <v>43948</v>
      </c>
      <c r="EA329" s="26">
        <v>14.4</v>
      </c>
      <c r="EB329" s="26">
        <v>14.3</v>
      </c>
      <c r="EC329" s="26">
        <v>14.35</v>
      </c>
    </row>
    <row r="330" ht="16.8" spans="3:133">
      <c r="C330" s="5" t="str" cm="1">
        <f t="array" ref="C330">_xlfn.IFS(MONTH(D330)&lt;4,1,MONTH(D330)&lt;7,2,MONTH(D330)&lt;10,3,MONTH(D330)&gt;9,4)&amp;"Q"&amp;RIGHT(YEAR(D330),2)</f>
        <v>4Q24</v>
      </c>
      <c r="D330" s="2">
        <f t="shared" si="140"/>
        <v>45657</v>
      </c>
      <c r="E330" s="25">
        <f t="shared" si="155"/>
        <v>45635</v>
      </c>
      <c r="F330" s="26">
        <v>1.21</v>
      </c>
      <c r="G330" s="26">
        <v>2.44</v>
      </c>
      <c r="H330" s="26">
        <v>5.08</v>
      </c>
      <c r="I330" s="28">
        <f t="shared" si="141"/>
        <v>0.0378125</v>
      </c>
      <c r="J330" s="28">
        <f t="shared" si="137"/>
        <v>0.038125</v>
      </c>
      <c r="K330" s="28">
        <f t="shared" si="138"/>
        <v>0.0396875</v>
      </c>
      <c r="M330" s="36">
        <f t="shared" si="143"/>
        <v>0.0083333333333333</v>
      </c>
      <c r="N330" s="36">
        <f t="shared" si="144"/>
        <v>0.0083333333333333</v>
      </c>
      <c r="O330" s="36">
        <f t="shared" si="145"/>
        <v>0.0083333333333333</v>
      </c>
      <c r="P330" s="36">
        <f t="shared" si="146"/>
        <v>0.0209205020920502</v>
      </c>
      <c r="Q330" s="36">
        <f t="shared" si="147"/>
        <v>0.0166666666666666</v>
      </c>
      <c r="R330" s="36">
        <f t="shared" si="148"/>
        <v>0.0252100840336136</v>
      </c>
      <c r="S330" s="36">
        <f t="shared" si="150"/>
        <v>-0.0058708414872799</v>
      </c>
      <c r="T330" s="36">
        <f t="shared" si="151"/>
        <v>-0.00974658869395706</v>
      </c>
      <c r="U330" s="36">
        <f t="shared" si="152"/>
        <v>-0.0116731517509727</v>
      </c>
      <c r="BA330" s="25">
        <f t="shared" si="159"/>
        <v>45635</v>
      </c>
      <c r="BB330" s="28">
        <f t="shared" si="159"/>
        <v>1.21</v>
      </c>
      <c r="BC330" s="28">
        <f t="shared" si="139"/>
        <v>1.49</v>
      </c>
      <c r="BD330" s="28">
        <f t="shared" si="142"/>
        <v>2.44</v>
      </c>
      <c r="BE330" s="28">
        <f t="shared" si="134"/>
        <v>2.6</v>
      </c>
      <c r="BF330" s="28">
        <f t="shared" si="149"/>
        <v>5.08</v>
      </c>
      <c r="BG330" s="28">
        <f t="shared" si="158"/>
        <v>4.91</v>
      </c>
      <c r="BH330" s="28">
        <f t="shared" si="154"/>
        <v>5.09</v>
      </c>
      <c r="BI330" s="28">
        <f t="shared" si="154"/>
        <v>4.73</v>
      </c>
      <c r="BJ330" s="36">
        <f t="shared" si="156"/>
        <v>-0.0058708414872799</v>
      </c>
      <c r="DP330" s="35">
        <v>43949</v>
      </c>
      <c r="DQ330" s="26">
        <v>3.4</v>
      </c>
      <c r="DR330" s="26">
        <v>3.3</v>
      </c>
      <c r="DS330" s="26">
        <v>3.341</v>
      </c>
      <c r="DU330" s="35">
        <v>43949</v>
      </c>
      <c r="DV330" s="26">
        <v>6.25</v>
      </c>
      <c r="DW330" s="26">
        <v>6.05</v>
      </c>
      <c r="DX330" s="26">
        <v>6.118</v>
      </c>
      <c r="DZ330" s="35">
        <v>43949</v>
      </c>
      <c r="EA330" s="26">
        <v>14.55</v>
      </c>
      <c r="EB330" s="26">
        <v>14.45</v>
      </c>
      <c r="EC330" s="26">
        <v>14.5</v>
      </c>
    </row>
    <row r="331" ht="16.8" spans="3:133">
      <c r="C331" s="5" t="str" cm="1">
        <f t="array" ref="C331">_xlfn.IFS(MONTH(D331)&lt;4,1,MONTH(D331)&lt;7,2,MONTH(D331)&lt;10,3,MONTH(D331)&gt;9,4)&amp;"Q"&amp;RIGHT(YEAR(D331),2)</f>
        <v>4Q24</v>
      </c>
      <c r="D331" s="2">
        <f t="shared" si="140"/>
        <v>45657</v>
      </c>
      <c r="E331" s="25">
        <f t="shared" si="155"/>
        <v>45642</v>
      </c>
      <c r="F331" s="26">
        <v>1.19</v>
      </c>
      <c r="G331" s="26">
        <v>2.49</v>
      </c>
      <c r="H331" s="26">
        <v>5.07</v>
      </c>
      <c r="I331" s="28">
        <f t="shared" si="141"/>
        <v>0.0371875</v>
      </c>
      <c r="J331" s="28">
        <f t="shared" si="137"/>
        <v>0.03890625</v>
      </c>
      <c r="K331" s="28">
        <f t="shared" si="138"/>
        <v>0.039609375</v>
      </c>
      <c r="M331" s="36">
        <f t="shared" si="143"/>
        <v>-0.0165289256198348</v>
      </c>
      <c r="N331" s="36">
        <f t="shared" si="144"/>
        <v>-0.0083333333333333</v>
      </c>
      <c r="O331" s="36">
        <f t="shared" si="145"/>
        <v>-0.0083333333333333</v>
      </c>
      <c r="P331" s="36">
        <f t="shared" si="146"/>
        <v>0.0204918032786887</v>
      </c>
      <c r="Q331" s="36">
        <f t="shared" si="147"/>
        <v>0.0418410041841004</v>
      </c>
      <c r="R331" s="36">
        <f t="shared" si="148"/>
        <v>0.0375000000000001</v>
      </c>
      <c r="S331" s="36">
        <f t="shared" si="150"/>
        <v>-0.00196850393700787</v>
      </c>
      <c r="T331" s="36">
        <f t="shared" si="151"/>
        <v>-0.00782778864970646</v>
      </c>
      <c r="U331" s="36">
        <f t="shared" si="152"/>
        <v>-0.0116959064327484</v>
      </c>
      <c r="AU331" s="36"/>
      <c r="BA331" s="25">
        <f t="shared" si="159"/>
        <v>45642</v>
      </c>
      <c r="BB331" s="28">
        <f t="shared" si="159"/>
        <v>1.19</v>
      </c>
      <c r="BC331" s="28">
        <f t="shared" si="139"/>
        <v>1.49</v>
      </c>
      <c r="BD331" s="28">
        <f t="shared" si="142"/>
        <v>2.49</v>
      </c>
      <c r="BE331" s="28">
        <f t="shared" si="134"/>
        <v>2.6</v>
      </c>
      <c r="BF331" s="28">
        <f t="shared" si="149"/>
        <v>5.07</v>
      </c>
      <c r="BG331" s="28">
        <f t="shared" si="158"/>
        <v>4.91</v>
      </c>
      <c r="BH331" s="28">
        <f t="shared" si="154"/>
        <v>5.09</v>
      </c>
      <c r="BI331" s="28">
        <f t="shared" si="154"/>
        <v>4.73</v>
      </c>
      <c r="BJ331" s="36">
        <f t="shared" si="156"/>
        <v>-0.00196850393700787</v>
      </c>
      <c r="DP331" s="35">
        <v>43950</v>
      </c>
      <c r="DQ331" s="26">
        <v>3.4</v>
      </c>
      <c r="DR331" s="26">
        <v>3.25</v>
      </c>
      <c r="DS331" s="26">
        <v>3.329</v>
      </c>
      <c r="DU331" s="35">
        <v>43950</v>
      </c>
      <c r="DV331" s="26">
        <v>6.25</v>
      </c>
      <c r="DW331" s="26">
        <v>6.05</v>
      </c>
      <c r="DX331" s="26">
        <v>6.118</v>
      </c>
      <c r="DZ331" s="35">
        <v>43950</v>
      </c>
      <c r="EA331" s="26">
        <v>14.7</v>
      </c>
      <c r="EB331" s="26">
        <v>14.5</v>
      </c>
      <c r="EC331" s="26">
        <v>14.6</v>
      </c>
    </row>
    <row r="332" ht="16.8" spans="3:133">
      <c r="C332" s="5" t="str" cm="1">
        <f t="array" ref="C332">_xlfn.IFS(MONTH(D332)&lt;4,1,MONTH(D332)&lt;7,2,MONTH(D332)&lt;10,3,MONTH(D332)&gt;9,4)&amp;"Q"&amp;RIGHT(YEAR(D332),2)</f>
        <v>4Q24</v>
      </c>
      <c r="D332" s="2">
        <f t="shared" si="140"/>
        <v>45657</v>
      </c>
      <c r="E332" s="25">
        <f t="shared" si="155"/>
        <v>45649</v>
      </c>
      <c r="F332" s="26">
        <v>1.19</v>
      </c>
      <c r="G332" s="26">
        <v>2.48</v>
      </c>
      <c r="H332" s="26">
        <v>5.06</v>
      </c>
      <c r="I332" s="28">
        <f t="shared" si="141"/>
        <v>0.0371875</v>
      </c>
      <c r="J332" s="28">
        <f t="shared" si="137"/>
        <v>0.03875</v>
      </c>
      <c r="K332" s="28">
        <f t="shared" si="138"/>
        <v>0.03953125</v>
      </c>
      <c r="M332" s="36">
        <f t="shared" si="143"/>
        <v>0</v>
      </c>
      <c r="N332" s="36">
        <f t="shared" si="144"/>
        <v>-0.0165289256198348</v>
      </c>
      <c r="O332" s="36">
        <f t="shared" si="145"/>
        <v>-0.0083333333333333</v>
      </c>
      <c r="P332" s="36">
        <f t="shared" si="146"/>
        <v>-0.00401606425702816</v>
      </c>
      <c r="Q332" s="36">
        <f t="shared" si="147"/>
        <v>0.0163934426229508</v>
      </c>
      <c r="R332" s="36">
        <f t="shared" si="148"/>
        <v>0.0376569037656904</v>
      </c>
      <c r="S332" s="36">
        <f t="shared" si="150"/>
        <v>-0.00197238658777132</v>
      </c>
      <c r="T332" s="36">
        <f t="shared" si="151"/>
        <v>-0.00393700787401585</v>
      </c>
      <c r="U332" s="36">
        <f t="shared" si="152"/>
        <v>-0.00978473581213324</v>
      </c>
      <c r="AU332" s="36"/>
      <c r="BA332" s="25">
        <f t="shared" si="159"/>
        <v>45649</v>
      </c>
      <c r="BB332" s="28">
        <f t="shared" si="159"/>
        <v>1.19</v>
      </c>
      <c r="BC332" s="28">
        <f t="shared" si="139"/>
        <v>1.49</v>
      </c>
      <c r="BD332" s="28">
        <f t="shared" si="142"/>
        <v>2.48</v>
      </c>
      <c r="BE332" s="28">
        <f t="shared" si="134"/>
        <v>2.6</v>
      </c>
      <c r="BF332" s="28">
        <f t="shared" si="149"/>
        <v>5.06</v>
      </c>
      <c r="BG332" s="28">
        <f t="shared" si="158"/>
        <v>4.91</v>
      </c>
      <c r="BH332" s="28">
        <f t="shared" si="154"/>
        <v>5.09</v>
      </c>
      <c r="BI332" s="28">
        <f t="shared" si="154"/>
        <v>4.73</v>
      </c>
      <c r="BJ332" s="36">
        <f t="shared" si="156"/>
        <v>-0.00197238658777132</v>
      </c>
      <c r="DP332" s="35">
        <v>43951</v>
      </c>
      <c r="DQ332" s="26">
        <v>3.4</v>
      </c>
      <c r="DR332" s="26">
        <v>3.25</v>
      </c>
      <c r="DS332" s="26">
        <v>3.325</v>
      </c>
      <c r="DU332" s="35">
        <v>43951</v>
      </c>
      <c r="DV332" s="26">
        <v>6.25</v>
      </c>
      <c r="DW332" s="26">
        <v>6.05</v>
      </c>
      <c r="DX332" s="26">
        <v>6.118</v>
      </c>
      <c r="DZ332" s="35">
        <v>43951</v>
      </c>
      <c r="EA332" s="26">
        <v>14.7</v>
      </c>
      <c r="EB332" s="26">
        <v>14.6</v>
      </c>
      <c r="EC332" s="26">
        <v>14.65</v>
      </c>
    </row>
    <row r="333" ht="16.8" spans="3:133">
      <c r="C333" s="5" t="str" cm="1">
        <f t="array" ref="C333">_xlfn.IFS(MONTH(D333)&lt;4,1,MONTH(D333)&lt;7,2,MONTH(D333)&lt;10,3,MONTH(D333)&gt;9,4)&amp;"Q"&amp;RIGHT(YEAR(D333),2)</f>
        <v>4Q24</v>
      </c>
      <c r="D333" s="2">
        <f t="shared" si="140"/>
        <v>45657</v>
      </c>
      <c r="E333" s="25">
        <f t="shared" si="155"/>
        <v>45656</v>
      </c>
      <c r="F333" s="26">
        <v>1.19</v>
      </c>
      <c r="G333" s="26">
        <v>2.44</v>
      </c>
      <c r="H333" s="26">
        <v>5.09</v>
      </c>
      <c r="I333" s="28">
        <f t="shared" si="141"/>
        <v>0.0371875</v>
      </c>
      <c r="J333" s="28">
        <f t="shared" si="137"/>
        <v>0.038125</v>
      </c>
      <c r="K333" s="28">
        <f t="shared" si="138"/>
        <v>0.039765625</v>
      </c>
      <c r="M333" s="36">
        <f t="shared" si="143"/>
        <v>0</v>
      </c>
      <c r="N333" s="36">
        <f t="shared" si="144"/>
        <v>0</v>
      </c>
      <c r="O333" s="36">
        <f t="shared" si="145"/>
        <v>-0.0165289256198348</v>
      </c>
      <c r="P333" s="36">
        <f t="shared" si="146"/>
        <v>-0.0161290322580645</v>
      </c>
      <c r="Q333" s="36">
        <f t="shared" si="147"/>
        <v>-0.0200803212851407</v>
      </c>
      <c r="R333" s="36">
        <f t="shared" si="148"/>
        <v>0</v>
      </c>
      <c r="S333" s="36">
        <f t="shared" si="150"/>
        <v>0.00592885375494068</v>
      </c>
      <c r="T333" s="36">
        <f t="shared" si="151"/>
        <v>0.00394477317554243</v>
      </c>
      <c r="U333" s="36">
        <f t="shared" si="152"/>
        <v>0.00196850393700787</v>
      </c>
      <c r="BA333" s="25">
        <f t="shared" si="159"/>
        <v>45656</v>
      </c>
      <c r="BB333" s="28">
        <f t="shared" si="159"/>
        <v>1.19</v>
      </c>
      <c r="BC333" s="28">
        <f t="shared" si="139"/>
        <v>1.49</v>
      </c>
      <c r="BD333" s="28">
        <f t="shared" si="142"/>
        <v>2.44</v>
      </c>
      <c r="BE333" s="28">
        <f t="shared" si="134"/>
        <v>2.6</v>
      </c>
      <c r="BF333" s="28">
        <f t="shared" si="149"/>
        <v>5.09</v>
      </c>
      <c r="BG333" s="28">
        <f t="shared" si="158"/>
        <v>4.91</v>
      </c>
      <c r="BH333" s="28">
        <f t="shared" si="154"/>
        <v>5.09</v>
      </c>
      <c r="BI333" s="28">
        <f t="shared" si="154"/>
        <v>4.73</v>
      </c>
      <c r="BJ333" s="36">
        <f t="shared" si="156"/>
        <v>0.00592885375494068</v>
      </c>
      <c r="DP333" s="35">
        <v>43955</v>
      </c>
      <c r="DQ333" s="26">
        <v>3.4</v>
      </c>
      <c r="DR333" s="26">
        <v>3.25</v>
      </c>
      <c r="DS333" s="26">
        <v>3.321</v>
      </c>
      <c r="DU333" s="35">
        <v>43955</v>
      </c>
      <c r="DV333" s="26">
        <v>6.25</v>
      </c>
      <c r="DW333" s="26">
        <v>6.05</v>
      </c>
      <c r="DX333" s="26">
        <v>6.118</v>
      </c>
      <c r="DZ333" s="35">
        <v>43955</v>
      </c>
      <c r="EA333" s="26">
        <v>14.7</v>
      </c>
      <c r="EB333" s="26">
        <v>14.6</v>
      </c>
      <c r="EC333" s="26">
        <v>14.65</v>
      </c>
    </row>
    <row r="334" ht="16.8" spans="3:133">
      <c r="C334" s="5" t="str" cm="1">
        <f t="array" ref="C334">_xlfn.IFS(MONTH(D334)&lt;4,1,MONTH(D334)&lt;7,2,MONTH(D334)&lt;10,3,MONTH(D334)&gt;9,4)&amp;"Q"&amp;RIGHT(YEAR(D334),2)</f>
        <v>1Q25</v>
      </c>
      <c r="D334" s="2">
        <f t="shared" si="140"/>
        <v>45688</v>
      </c>
      <c r="E334" s="25">
        <f t="shared" si="155"/>
        <v>45663</v>
      </c>
      <c r="F334" s="26">
        <v>1.19</v>
      </c>
      <c r="G334" s="26">
        <v>2.43</v>
      </c>
      <c r="H334" s="26">
        <v>5.07</v>
      </c>
      <c r="I334" s="28">
        <f t="shared" si="141"/>
        <v>0.0371875</v>
      </c>
      <c r="J334" s="28">
        <f t="shared" si="137"/>
        <v>0.03796875</v>
      </c>
      <c r="K334" s="28">
        <f t="shared" si="138"/>
        <v>0.039609375</v>
      </c>
      <c r="M334" s="36">
        <f t="shared" si="143"/>
        <v>0</v>
      </c>
      <c r="N334" s="36">
        <f t="shared" si="144"/>
        <v>0</v>
      </c>
      <c r="O334" s="36">
        <f t="shared" si="145"/>
        <v>0</v>
      </c>
      <c r="P334" s="36">
        <f t="shared" si="146"/>
        <v>-0.00409836065573765</v>
      </c>
      <c r="Q334" s="36">
        <f t="shared" si="147"/>
        <v>-0.0201612903225806</v>
      </c>
      <c r="R334" s="36">
        <f t="shared" si="148"/>
        <v>-0.0240963855421686</v>
      </c>
      <c r="S334" s="36">
        <f t="shared" si="150"/>
        <v>-0.00392927308447932</v>
      </c>
      <c r="T334" s="36">
        <f t="shared" si="151"/>
        <v>0.00197628458498045</v>
      </c>
      <c r="U334" s="36">
        <f t="shared" si="152"/>
        <v>0</v>
      </c>
      <c r="BA334" s="25">
        <f t="shared" si="159"/>
        <v>45663</v>
      </c>
      <c r="BB334" s="28">
        <f t="shared" si="159"/>
        <v>1.19</v>
      </c>
      <c r="BC334" s="28">
        <f t="shared" si="139"/>
        <v>1.54</v>
      </c>
      <c r="BD334" s="28">
        <f t="shared" si="142"/>
        <v>2.43</v>
      </c>
      <c r="BE334" s="28">
        <f t="shared" si="134"/>
        <v>2.52</v>
      </c>
      <c r="BF334" s="28">
        <f t="shared" si="149"/>
        <v>5.07</v>
      </c>
      <c r="BG334" s="28">
        <f t="shared" si="158"/>
        <v>4.68</v>
      </c>
      <c r="BH334" s="28">
        <f t="shared" si="154"/>
        <v>4.8</v>
      </c>
      <c r="BI334" s="28">
        <f t="shared" si="154"/>
        <v>4.56</v>
      </c>
      <c r="BJ334" s="36">
        <f t="shared" si="156"/>
        <v>-0.00392927308447932</v>
      </c>
      <c r="DP334" s="35">
        <v>43956</v>
      </c>
      <c r="DQ334" s="26">
        <v>3.4</v>
      </c>
      <c r="DR334" s="26">
        <v>3.25</v>
      </c>
      <c r="DS334" s="26">
        <v>3.31</v>
      </c>
      <c r="DU334" s="35">
        <v>43956</v>
      </c>
      <c r="DV334" s="26">
        <v>6.25</v>
      </c>
      <c r="DW334" s="26">
        <v>6.05</v>
      </c>
      <c r="DX334" s="26">
        <v>6.118</v>
      </c>
      <c r="DZ334" s="35">
        <v>43956</v>
      </c>
      <c r="EA334" s="26">
        <v>14.9</v>
      </c>
      <c r="EB334" s="26">
        <v>14.7</v>
      </c>
      <c r="EC334" s="26">
        <v>14.8</v>
      </c>
    </row>
    <row r="335" ht="16.8" spans="3:133">
      <c r="C335" s="5" t="str" cm="1">
        <f t="array" ref="C335">_xlfn.IFS(MONTH(D335)&lt;4,1,MONTH(D335)&lt;7,2,MONTH(D335)&lt;10,3,MONTH(D335)&gt;9,4)&amp;"Q"&amp;RIGHT(YEAR(D335),2)</f>
        <v>1Q25</v>
      </c>
      <c r="D335" s="2">
        <f t="shared" si="140"/>
        <v>45688</v>
      </c>
      <c r="E335" s="25">
        <f t="shared" si="155"/>
        <v>45670</v>
      </c>
      <c r="F335" s="26">
        <v>1.18</v>
      </c>
      <c r="G335" s="26">
        <v>2.42</v>
      </c>
      <c r="H335" s="26">
        <v>5.06</v>
      </c>
      <c r="I335" s="28">
        <f t="shared" si="141"/>
        <v>0.036875</v>
      </c>
      <c r="J335" s="28">
        <f t="shared" si="137"/>
        <v>0.0378125</v>
      </c>
      <c r="K335" s="28">
        <f t="shared" si="138"/>
        <v>0.03953125</v>
      </c>
      <c r="M335" s="36">
        <f t="shared" si="143"/>
        <v>-0.00840336134453779</v>
      </c>
      <c r="N335" s="36">
        <f t="shared" si="144"/>
        <v>-0.00840336134453779</v>
      </c>
      <c r="O335" s="36">
        <f t="shared" si="145"/>
        <v>-0.00840336134453779</v>
      </c>
      <c r="P335" s="36">
        <f t="shared" si="146"/>
        <v>-0.00411522633744865</v>
      </c>
      <c r="Q335" s="36">
        <f t="shared" si="147"/>
        <v>-0.00819672131147542</v>
      </c>
      <c r="R335" s="36">
        <f t="shared" si="148"/>
        <v>-0.0241935483870968</v>
      </c>
      <c r="S335" s="36">
        <f t="shared" si="150"/>
        <v>-0.00197238658777132</v>
      </c>
      <c r="T335" s="36">
        <f t="shared" si="151"/>
        <v>-0.0058939096267191</v>
      </c>
      <c r="U335" s="36">
        <f t="shared" si="152"/>
        <v>0</v>
      </c>
      <c r="BA335" s="25">
        <f t="shared" si="159"/>
        <v>45670</v>
      </c>
      <c r="BB335" s="28">
        <f t="shared" si="159"/>
        <v>1.18</v>
      </c>
      <c r="BC335" s="28">
        <f t="shared" si="139"/>
        <v>1.54</v>
      </c>
      <c r="BD335" s="28">
        <f t="shared" si="142"/>
        <v>2.42</v>
      </c>
      <c r="BE335" s="28">
        <f t="shared" si="134"/>
        <v>2.52</v>
      </c>
      <c r="BF335" s="28">
        <f t="shared" si="149"/>
        <v>5.06</v>
      </c>
      <c r="BG335" s="28">
        <f t="shared" si="158"/>
        <v>4.68</v>
      </c>
      <c r="BH335" s="28">
        <f t="shared" si="154"/>
        <v>4.8</v>
      </c>
      <c r="BI335" s="28">
        <f t="shared" si="154"/>
        <v>4.56</v>
      </c>
      <c r="BJ335" s="36">
        <f t="shared" si="156"/>
        <v>-0.00197238658777132</v>
      </c>
      <c r="DP335" s="35">
        <v>43957</v>
      </c>
      <c r="DQ335" s="26">
        <v>3.4</v>
      </c>
      <c r="DR335" s="26">
        <v>3.25</v>
      </c>
      <c r="DS335" s="26">
        <v>3.31</v>
      </c>
      <c r="DU335" s="35">
        <v>43957</v>
      </c>
      <c r="DV335" s="26">
        <v>6.25</v>
      </c>
      <c r="DW335" s="26">
        <v>6.05</v>
      </c>
      <c r="DX335" s="26">
        <v>6.118</v>
      </c>
      <c r="DZ335" s="35">
        <v>43957</v>
      </c>
      <c r="EA335" s="26">
        <v>15.1</v>
      </c>
      <c r="EB335" s="26">
        <v>14.9</v>
      </c>
      <c r="EC335" s="26">
        <v>15</v>
      </c>
    </row>
    <row r="336" ht="16.8" spans="3:133">
      <c r="C336" s="5" t="str" cm="1">
        <f t="array" ref="C336">_xlfn.IFS(MONTH(D336)&lt;4,1,MONTH(D336)&lt;7,2,MONTH(D336)&lt;10,3,MONTH(D336)&gt;9,4)&amp;"Q"&amp;RIGHT(YEAR(D336),2)</f>
        <v>1Q25</v>
      </c>
      <c r="D336" s="2">
        <f t="shared" si="140"/>
        <v>45688</v>
      </c>
      <c r="E336" s="25">
        <f t="shared" si="155"/>
        <v>45677</v>
      </c>
      <c r="F336" s="26">
        <v>1.18</v>
      </c>
      <c r="G336" s="26">
        <v>2.41</v>
      </c>
      <c r="H336" s="26">
        <v>5.01</v>
      </c>
      <c r="I336" s="28">
        <f t="shared" si="141"/>
        <v>0.036875</v>
      </c>
      <c r="J336" s="28">
        <f t="shared" si="137"/>
        <v>0.03765625</v>
      </c>
      <c r="K336" s="28">
        <f t="shared" si="138"/>
        <v>0.039140625</v>
      </c>
      <c r="M336" s="36">
        <f t="shared" si="143"/>
        <v>0</v>
      </c>
      <c r="N336" s="36">
        <f t="shared" si="144"/>
        <v>-0.00840336134453779</v>
      </c>
      <c r="O336" s="36">
        <f t="shared" si="145"/>
        <v>-0.00840336134453779</v>
      </c>
      <c r="P336" s="36">
        <f t="shared" si="146"/>
        <v>-0.00413223140495855</v>
      </c>
      <c r="Q336" s="36">
        <f t="shared" si="147"/>
        <v>-0.00823045267489708</v>
      </c>
      <c r="R336" s="36">
        <f t="shared" si="148"/>
        <v>-0.0122950819672131</v>
      </c>
      <c r="S336" s="36">
        <f t="shared" si="150"/>
        <v>-0.00988142292490113</v>
      </c>
      <c r="T336" s="36">
        <f t="shared" si="151"/>
        <v>-0.0118343195266273</v>
      </c>
      <c r="U336" s="36">
        <f t="shared" si="152"/>
        <v>-0.0157170923379175</v>
      </c>
      <c r="BA336" s="25">
        <f t="shared" si="159"/>
        <v>45677</v>
      </c>
      <c r="BB336" s="28">
        <f t="shared" si="159"/>
        <v>1.18</v>
      </c>
      <c r="BC336" s="28">
        <f t="shared" si="139"/>
        <v>1.54</v>
      </c>
      <c r="BD336" s="28">
        <f t="shared" si="142"/>
        <v>2.41</v>
      </c>
      <c r="BE336" s="28">
        <f t="shared" si="134"/>
        <v>2.52</v>
      </c>
      <c r="BF336" s="28">
        <f t="shared" si="149"/>
        <v>5.01</v>
      </c>
      <c r="BG336" s="28">
        <f t="shared" si="158"/>
        <v>4.68</v>
      </c>
      <c r="BH336" s="28">
        <f t="shared" si="154"/>
        <v>4.8</v>
      </c>
      <c r="BI336" s="28">
        <f t="shared" si="154"/>
        <v>4.56</v>
      </c>
      <c r="BJ336" s="36">
        <f t="shared" si="156"/>
        <v>-0.00988142292490113</v>
      </c>
      <c r="DP336" s="35">
        <v>43958</v>
      </c>
      <c r="DQ336" s="26">
        <v>3.4</v>
      </c>
      <c r="DR336" s="26">
        <v>3.2</v>
      </c>
      <c r="DS336" s="26">
        <v>3.3</v>
      </c>
      <c r="DU336" s="35">
        <v>43958</v>
      </c>
      <c r="DV336" s="26">
        <v>6.25</v>
      </c>
      <c r="DW336" s="26">
        <v>6.05</v>
      </c>
      <c r="DX336" s="26">
        <v>6.118</v>
      </c>
      <c r="DZ336" s="35">
        <v>43958</v>
      </c>
      <c r="EA336" s="26">
        <v>15.3</v>
      </c>
      <c r="EB336" s="26">
        <v>15</v>
      </c>
      <c r="EC336" s="26">
        <v>15.2</v>
      </c>
    </row>
    <row r="337" ht="16.8" spans="3:133">
      <c r="C337" s="5" t="str" cm="1">
        <f t="array" ref="C337">_xlfn.IFS(MONTH(D337)&lt;4,1,MONTH(D337)&lt;7,2,MONTH(D337)&lt;10,3,MONTH(D337)&gt;9,4)&amp;"Q"&amp;RIGHT(YEAR(D337),2)</f>
        <v>1Q25</v>
      </c>
      <c r="D337" s="2">
        <f t="shared" si="140"/>
        <v>45688</v>
      </c>
      <c r="E337" s="25">
        <f t="shared" si="155"/>
        <v>45684</v>
      </c>
      <c r="F337" s="26">
        <v>1.18</v>
      </c>
      <c r="G337" s="26">
        <v>2.4</v>
      </c>
      <c r="H337" s="26">
        <v>5</v>
      </c>
      <c r="I337" s="28">
        <f t="shared" si="141"/>
        <v>0.036875</v>
      </c>
      <c r="J337" s="28">
        <f t="shared" si="137"/>
        <v>0.0375</v>
      </c>
      <c r="K337" s="28">
        <f t="shared" si="138"/>
        <v>0.0390625</v>
      </c>
      <c r="M337" s="36">
        <f t="shared" si="143"/>
        <v>0</v>
      </c>
      <c r="N337" s="36">
        <f t="shared" si="144"/>
        <v>0</v>
      </c>
      <c r="O337" s="36">
        <f t="shared" si="145"/>
        <v>-0.00840336134453779</v>
      </c>
      <c r="P337" s="36">
        <f t="shared" si="146"/>
        <v>-0.00414937759336109</v>
      </c>
      <c r="Q337" s="36">
        <f t="shared" si="147"/>
        <v>-0.00826446280991733</v>
      </c>
      <c r="R337" s="36">
        <f t="shared" si="148"/>
        <v>-0.0123456790123457</v>
      </c>
      <c r="S337" s="36">
        <f t="shared" si="150"/>
        <v>-0.00199600798403188</v>
      </c>
      <c r="T337" s="36">
        <f t="shared" si="151"/>
        <v>-0.0118577075098814</v>
      </c>
      <c r="U337" s="36">
        <f t="shared" si="152"/>
        <v>-0.0138067061143985</v>
      </c>
      <c r="BA337" s="25">
        <f t="shared" si="159"/>
        <v>45684</v>
      </c>
      <c r="BB337" s="28">
        <f t="shared" si="159"/>
        <v>1.18</v>
      </c>
      <c r="BC337" s="28">
        <f t="shared" si="139"/>
        <v>1.54</v>
      </c>
      <c r="BD337" s="28">
        <f t="shared" si="142"/>
        <v>2.4</v>
      </c>
      <c r="BE337" s="28">
        <f t="shared" si="134"/>
        <v>2.52</v>
      </c>
      <c r="BF337" s="28">
        <f t="shared" si="149"/>
        <v>5</v>
      </c>
      <c r="BG337" s="28">
        <f t="shared" si="158"/>
        <v>4.68</v>
      </c>
      <c r="BH337" s="28">
        <f t="shared" si="154"/>
        <v>4.8</v>
      </c>
      <c r="BI337" s="28">
        <f t="shared" si="154"/>
        <v>4.56</v>
      </c>
      <c r="BJ337" s="36">
        <f t="shared" si="156"/>
        <v>-0.00199600798403188</v>
      </c>
      <c r="DP337" s="35">
        <v>43959</v>
      </c>
      <c r="DQ337" s="26">
        <v>3.4</v>
      </c>
      <c r="DR337" s="26">
        <v>3.2</v>
      </c>
      <c r="DS337" s="26">
        <v>3.293</v>
      </c>
      <c r="DU337" s="35">
        <v>43959</v>
      </c>
      <c r="DV337" s="26">
        <v>6.25</v>
      </c>
      <c r="DW337" s="26">
        <v>6.05</v>
      </c>
      <c r="DX337" s="26">
        <v>6.118</v>
      </c>
      <c r="DZ337" s="35">
        <v>43959</v>
      </c>
      <c r="EA337" s="26">
        <v>15.3</v>
      </c>
      <c r="EB337" s="26">
        <v>15</v>
      </c>
      <c r="EC337" s="26">
        <v>15.25</v>
      </c>
    </row>
    <row r="338" ht="16.8" spans="3:133">
      <c r="C338" s="5" t="str" cm="1">
        <f t="array" ref="C338">_xlfn.IFS(MONTH(D338)&lt;4,1,MONTH(D338)&lt;7,2,MONTH(D338)&lt;10,3,MONTH(D338)&gt;9,4)&amp;"Q"&amp;RIGHT(YEAR(D338),2)</f>
        <v>1Q25</v>
      </c>
      <c r="D338" s="2">
        <f t="shared" si="140"/>
        <v>45716</v>
      </c>
      <c r="E338" s="25">
        <f t="shared" si="155"/>
        <v>45691</v>
      </c>
      <c r="F338" s="26">
        <v>1.18</v>
      </c>
      <c r="G338" s="26">
        <v>2.4</v>
      </c>
      <c r="H338" s="26">
        <v>5</v>
      </c>
      <c r="I338" s="28">
        <f t="shared" si="141"/>
        <v>0.036875</v>
      </c>
      <c r="J338" s="28">
        <f t="shared" si="137"/>
        <v>0.0375</v>
      </c>
      <c r="K338" s="28">
        <f t="shared" si="138"/>
        <v>0.0390625</v>
      </c>
      <c r="M338" s="36">
        <f t="shared" si="143"/>
        <v>0</v>
      </c>
      <c r="N338" s="36">
        <f t="shared" si="144"/>
        <v>0</v>
      </c>
      <c r="O338" s="36">
        <f t="shared" si="145"/>
        <v>0</v>
      </c>
      <c r="P338" s="36">
        <f t="shared" si="146"/>
        <v>0</v>
      </c>
      <c r="Q338" s="36">
        <f t="shared" si="147"/>
        <v>-0.00414937759336109</v>
      </c>
      <c r="R338" s="36">
        <f t="shared" si="148"/>
        <v>-0.00826446280991733</v>
      </c>
      <c r="S338" s="36">
        <f t="shared" si="150"/>
        <v>0</v>
      </c>
      <c r="T338" s="36">
        <f t="shared" si="151"/>
        <v>-0.00199600798403188</v>
      </c>
      <c r="U338" s="36">
        <f t="shared" si="152"/>
        <v>-0.0118577075098814</v>
      </c>
      <c r="BA338" s="25">
        <f t="shared" si="159"/>
        <v>45691</v>
      </c>
      <c r="BB338" s="28">
        <f t="shared" si="159"/>
        <v>1.18</v>
      </c>
      <c r="BC338" s="28">
        <f t="shared" si="139"/>
        <v>1.6</v>
      </c>
      <c r="BD338" s="28">
        <f t="shared" si="142"/>
        <v>2.4</v>
      </c>
      <c r="BE338" s="28">
        <f t="shared" ref="BE338:BE401" si="160">INDEX($AM:$AQ,MATCH($D338,$AK:$AK,0),MATCH(BD$25,$AM$26:$AQ$26,0))</f>
        <v>2.47</v>
      </c>
      <c r="BF338" s="28">
        <f t="shared" si="149"/>
        <v>5</v>
      </c>
      <c r="BG338" s="28">
        <f t="shared" si="158"/>
        <v>4.64</v>
      </c>
      <c r="BH338" s="28">
        <f t="shared" si="154"/>
        <v>4.78</v>
      </c>
      <c r="BI338" s="28">
        <f t="shared" si="154"/>
        <v>4.5</v>
      </c>
      <c r="BJ338" s="36">
        <f t="shared" si="156"/>
        <v>0</v>
      </c>
      <c r="DP338" s="35">
        <v>43962</v>
      </c>
      <c r="DQ338" s="26">
        <v>3.4</v>
      </c>
      <c r="DR338" s="26">
        <v>3.2</v>
      </c>
      <c r="DS338" s="26">
        <v>3.293</v>
      </c>
      <c r="DU338" s="35">
        <v>43962</v>
      </c>
      <c r="DV338" s="26">
        <v>6.25</v>
      </c>
      <c r="DW338" s="26">
        <v>6.05</v>
      </c>
      <c r="DX338" s="26">
        <v>6.118</v>
      </c>
      <c r="DZ338" s="35">
        <v>43962</v>
      </c>
      <c r="EA338" s="26">
        <v>15.3</v>
      </c>
      <c r="EB338" s="26">
        <v>15</v>
      </c>
      <c r="EC338" s="26">
        <v>15.25</v>
      </c>
    </row>
    <row r="339" ht="16.8" spans="3:133">
      <c r="C339" s="5" t="str" cm="1">
        <f t="array" ref="C339">_xlfn.IFS(MONTH(D339)&lt;4,1,MONTH(D339)&lt;7,2,MONTH(D339)&lt;10,3,MONTH(D339)&gt;9,4)&amp;"Q"&amp;RIGHT(YEAR(D339),2)</f>
        <v>1Q25</v>
      </c>
      <c r="D339" s="2">
        <f t="shared" si="140"/>
        <v>45716</v>
      </c>
      <c r="E339" s="25">
        <f t="shared" si="155"/>
        <v>45698</v>
      </c>
      <c r="F339" s="26">
        <v>1.18</v>
      </c>
      <c r="G339" s="26">
        <v>2.4</v>
      </c>
      <c r="H339" s="26">
        <v>5</v>
      </c>
      <c r="I339" s="28">
        <f t="shared" si="141"/>
        <v>0.036875</v>
      </c>
      <c r="J339" s="28">
        <f t="shared" si="137"/>
        <v>0.0375</v>
      </c>
      <c r="K339" s="28">
        <f t="shared" si="138"/>
        <v>0.0390625</v>
      </c>
      <c r="M339" s="36">
        <f t="shared" si="143"/>
        <v>0</v>
      </c>
      <c r="N339" s="36">
        <f t="shared" si="144"/>
        <v>0</v>
      </c>
      <c r="O339" s="36">
        <f t="shared" si="145"/>
        <v>0</v>
      </c>
      <c r="P339" s="36">
        <f t="shared" si="146"/>
        <v>0</v>
      </c>
      <c r="Q339" s="36">
        <f t="shared" si="147"/>
        <v>0</v>
      </c>
      <c r="R339" s="36">
        <f t="shared" si="148"/>
        <v>-0.00414937759336109</v>
      </c>
      <c r="S339" s="36">
        <f t="shared" si="150"/>
        <v>0</v>
      </c>
      <c r="T339" s="36">
        <f t="shared" si="151"/>
        <v>0</v>
      </c>
      <c r="U339" s="36">
        <f t="shared" si="152"/>
        <v>-0.00199600798403188</v>
      </c>
      <c r="BA339" s="25">
        <f t="shared" si="159"/>
        <v>45698</v>
      </c>
      <c r="BB339" s="28">
        <f t="shared" si="159"/>
        <v>1.18</v>
      </c>
      <c r="BC339" s="28">
        <f t="shared" si="139"/>
        <v>1.6</v>
      </c>
      <c r="BD339" s="28">
        <f t="shared" si="142"/>
        <v>2.4</v>
      </c>
      <c r="BE339" s="28">
        <f t="shared" si="160"/>
        <v>2.47</v>
      </c>
      <c r="BF339" s="28">
        <f t="shared" si="149"/>
        <v>5</v>
      </c>
      <c r="BG339" s="28">
        <f t="shared" si="158"/>
        <v>4.64</v>
      </c>
      <c r="BH339" s="28">
        <f t="shared" si="154"/>
        <v>4.78</v>
      </c>
      <c r="BI339" s="28">
        <f t="shared" si="154"/>
        <v>4.5</v>
      </c>
      <c r="BJ339" s="36">
        <f t="shared" si="156"/>
        <v>0</v>
      </c>
      <c r="DP339" s="35">
        <v>43963</v>
      </c>
      <c r="DQ339" s="26">
        <v>3.4</v>
      </c>
      <c r="DR339" s="26">
        <v>3.2</v>
      </c>
      <c r="DS339" s="26">
        <v>3.293</v>
      </c>
      <c r="DU339" s="35">
        <v>43963</v>
      </c>
      <c r="DV339" s="26">
        <v>6.25</v>
      </c>
      <c r="DW339" s="26">
        <v>6.05</v>
      </c>
      <c r="DX339" s="26">
        <v>6.118</v>
      </c>
      <c r="DZ339" s="35">
        <v>43963</v>
      </c>
      <c r="EA339" s="26">
        <v>15.3</v>
      </c>
      <c r="EB339" s="26">
        <v>15</v>
      </c>
      <c r="EC339" s="26">
        <v>15.25</v>
      </c>
    </row>
    <row r="340" ht="16.8" spans="3:133">
      <c r="C340" s="5" t="str" cm="1">
        <f t="array" ref="C340">_xlfn.IFS(MONTH(D340)&lt;4,1,MONTH(D340)&lt;7,2,MONTH(D340)&lt;10,3,MONTH(D340)&gt;9,4)&amp;"Q"&amp;RIGHT(YEAR(D340),2)</f>
        <v>1Q25</v>
      </c>
      <c r="D340" s="2">
        <f t="shared" si="140"/>
        <v>45716</v>
      </c>
      <c r="E340" s="25">
        <f t="shared" si="155"/>
        <v>45705</v>
      </c>
      <c r="F340" s="26">
        <v>1.18</v>
      </c>
      <c r="G340" s="26">
        <v>2.43</v>
      </c>
      <c r="H340" s="26">
        <v>4.97</v>
      </c>
      <c r="I340" s="28">
        <f t="shared" si="141"/>
        <v>0.036875</v>
      </c>
      <c r="J340" s="28">
        <f t="shared" si="137"/>
        <v>0.03796875</v>
      </c>
      <c r="K340" s="28">
        <f t="shared" si="138"/>
        <v>0.038828125</v>
      </c>
      <c r="M340" s="36">
        <f t="shared" si="143"/>
        <v>0</v>
      </c>
      <c r="N340" s="36">
        <f t="shared" si="144"/>
        <v>0</v>
      </c>
      <c r="O340" s="36">
        <f t="shared" si="145"/>
        <v>0</v>
      </c>
      <c r="P340" s="36">
        <f t="shared" si="146"/>
        <v>0.0125000000000002</v>
      </c>
      <c r="Q340" s="36">
        <f t="shared" si="147"/>
        <v>0.0125000000000002</v>
      </c>
      <c r="R340" s="36">
        <f t="shared" si="148"/>
        <v>0.0125000000000002</v>
      </c>
      <c r="S340" s="36">
        <f t="shared" si="150"/>
        <v>-0.00600000000000001</v>
      </c>
      <c r="T340" s="36">
        <f t="shared" si="151"/>
        <v>-0.00600000000000001</v>
      </c>
      <c r="U340" s="36">
        <f t="shared" si="152"/>
        <v>-0.00600000000000001</v>
      </c>
      <c r="BA340" s="25">
        <f t="shared" si="159"/>
        <v>45705</v>
      </c>
      <c r="BB340" s="28">
        <f t="shared" si="159"/>
        <v>1.18</v>
      </c>
      <c r="BC340" s="28">
        <f t="shared" si="139"/>
        <v>1.6</v>
      </c>
      <c r="BD340" s="28">
        <f t="shared" si="142"/>
        <v>2.43</v>
      </c>
      <c r="BE340" s="28">
        <f t="shared" si="160"/>
        <v>2.47</v>
      </c>
      <c r="BF340" s="28">
        <f t="shared" si="149"/>
        <v>4.97</v>
      </c>
      <c r="BG340" s="28">
        <f t="shared" si="158"/>
        <v>4.64</v>
      </c>
      <c r="BH340" s="28">
        <f t="shared" si="154"/>
        <v>4.78</v>
      </c>
      <c r="BI340" s="28">
        <f t="shared" si="154"/>
        <v>4.5</v>
      </c>
      <c r="BJ340" s="36">
        <f t="shared" si="156"/>
        <v>-0.00600000000000001</v>
      </c>
      <c r="DP340" s="35">
        <v>43964</v>
      </c>
      <c r="DQ340" s="26">
        <v>3.4</v>
      </c>
      <c r="DR340" s="26">
        <v>3.2</v>
      </c>
      <c r="DS340" s="26">
        <v>3.317</v>
      </c>
      <c r="DU340" s="35">
        <v>43964</v>
      </c>
      <c r="DV340" s="26">
        <v>6.25</v>
      </c>
      <c r="DW340" s="26">
        <v>6.05</v>
      </c>
      <c r="DX340" s="26">
        <v>6.118</v>
      </c>
      <c r="DZ340" s="35">
        <v>43964</v>
      </c>
      <c r="EA340" s="26">
        <v>15.4</v>
      </c>
      <c r="EB340" s="26">
        <v>15.25</v>
      </c>
      <c r="EC340" s="26">
        <v>15.3</v>
      </c>
    </row>
    <row r="341" ht="16.8" spans="3:133">
      <c r="C341" s="5" t="str" cm="1">
        <f t="array" ref="C341">_xlfn.IFS(MONTH(D341)&lt;4,1,MONTH(D341)&lt;7,2,MONTH(D341)&lt;10,3,MONTH(D341)&gt;9,4)&amp;"Q"&amp;RIGHT(YEAR(D341),2)</f>
        <v>1Q25</v>
      </c>
      <c r="D341" s="2">
        <f t="shared" si="140"/>
        <v>45716</v>
      </c>
      <c r="E341" s="25">
        <f t="shared" si="155"/>
        <v>45712</v>
      </c>
      <c r="F341" s="26">
        <v>1.19</v>
      </c>
      <c r="G341" s="26">
        <v>2.42</v>
      </c>
      <c r="H341" s="26">
        <v>4.96</v>
      </c>
      <c r="I341" s="28">
        <f t="shared" si="141"/>
        <v>0.0371875</v>
      </c>
      <c r="J341" s="28">
        <f t="shared" si="137"/>
        <v>0.0378125</v>
      </c>
      <c r="K341" s="28">
        <f t="shared" si="138"/>
        <v>0.03875</v>
      </c>
      <c r="M341" s="36">
        <f t="shared" si="143"/>
        <v>0.00847457627118642</v>
      </c>
      <c r="N341" s="36">
        <f t="shared" si="144"/>
        <v>0.00847457627118642</v>
      </c>
      <c r="O341" s="36">
        <f t="shared" si="145"/>
        <v>0.00847457627118642</v>
      </c>
      <c r="P341" s="36">
        <f t="shared" si="146"/>
        <v>-0.00411522633744865</v>
      </c>
      <c r="Q341" s="36">
        <f t="shared" si="147"/>
        <v>0.0083333333333333</v>
      </c>
      <c r="R341" s="36">
        <f t="shared" si="148"/>
        <v>0.0083333333333333</v>
      </c>
      <c r="S341" s="36">
        <f t="shared" si="150"/>
        <v>-0.00201207243460755</v>
      </c>
      <c r="T341" s="36">
        <f t="shared" si="151"/>
        <v>-0.00800000000000001</v>
      </c>
      <c r="U341" s="36">
        <f t="shared" si="152"/>
        <v>-0.00800000000000001</v>
      </c>
      <c r="BA341" s="25">
        <f t="shared" si="159"/>
        <v>45712</v>
      </c>
      <c r="BB341" s="28">
        <f t="shared" si="159"/>
        <v>1.19</v>
      </c>
      <c r="BC341" s="28">
        <f t="shared" si="139"/>
        <v>1.6</v>
      </c>
      <c r="BD341" s="28">
        <f t="shared" si="142"/>
        <v>2.42</v>
      </c>
      <c r="BE341" s="28">
        <f t="shared" si="160"/>
        <v>2.47</v>
      </c>
      <c r="BF341" s="28">
        <f t="shared" si="149"/>
        <v>4.96</v>
      </c>
      <c r="BG341" s="28">
        <f t="shared" si="158"/>
        <v>4.64</v>
      </c>
      <c r="BH341" s="28">
        <f t="shared" si="154"/>
        <v>4.78</v>
      </c>
      <c r="BI341" s="28">
        <f t="shared" si="154"/>
        <v>4.5</v>
      </c>
      <c r="BJ341" s="36">
        <f t="shared" si="156"/>
        <v>-0.00201207243460755</v>
      </c>
      <c r="DP341" s="35">
        <v>43965</v>
      </c>
      <c r="DQ341" s="26">
        <v>3.4</v>
      </c>
      <c r="DR341" s="26">
        <v>3.2</v>
      </c>
      <c r="DS341" s="26">
        <v>3.323</v>
      </c>
      <c r="DU341" s="35">
        <v>43965</v>
      </c>
      <c r="DV341" s="26">
        <v>6.25</v>
      </c>
      <c r="DW341" s="26">
        <v>6.05</v>
      </c>
      <c r="DX341" s="26">
        <v>6.118</v>
      </c>
      <c r="DZ341" s="35">
        <v>43965</v>
      </c>
      <c r="EA341" s="26">
        <v>15.5</v>
      </c>
      <c r="EB341" s="26">
        <v>15.3</v>
      </c>
      <c r="EC341" s="26">
        <v>15.4</v>
      </c>
    </row>
    <row r="342" ht="16.8" spans="3:133">
      <c r="C342" s="5" t="str" cm="1">
        <f t="array" ref="C342">_xlfn.IFS(MONTH(D342)&lt;4,1,MONTH(D342)&lt;7,2,MONTH(D342)&lt;10,3,MONTH(D342)&gt;9,4)&amp;"Q"&amp;RIGHT(YEAR(D342),2)</f>
        <v>1Q25</v>
      </c>
      <c r="D342" s="2">
        <f t="shared" si="140"/>
        <v>45747</v>
      </c>
      <c r="E342" s="25">
        <f t="shared" si="155"/>
        <v>45719</v>
      </c>
      <c r="F342" s="26">
        <v>1.21</v>
      </c>
      <c r="G342" s="26">
        <v>2.44</v>
      </c>
      <c r="H342" s="26">
        <v>4.97</v>
      </c>
      <c r="I342" s="28">
        <f t="shared" si="141"/>
        <v>0.0378125</v>
      </c>
      <c r="J342" s="28">
        <f t="shared" si="137"/>
        <v>0.038125</v>
      </c>
      <c r="K342" s="28">
        <f t="shared" si="138"/>
        <v>0.038828125</v>
      </c>
      <c r="M342" s="36">
        <f t="shared" si="143"/>
        <v>0.0168067226890756</v>
      </c>
      <c r="N342" s="36">
        <f t="shared" si="144"/>
        <v>0.0254237288135593</v>
      </c>
      <c r="O342" s="36">
        <f t="shared" si="145"/>
        <v>0.0254237288135593</v>
      </c>
      <c r="P342" s="36">
        <f t="shared" si="146"/>
        <v>0.00826446280991733</v>
      </c>
      <c r="Q342" s="36">
        <f t="shared" si="147"/>
        <v>0.00411522633744843</v>
      </c>
      <c r="R342" s="36">
        <f t="shared" si="148"/>
        <v>0.0166666666666666</v>
      </c>
      <c r="S342" s="36">
        <f t="shared" si="150"/>
        <v>0.00201612903225801</v>
      </c>
      <c r="T342" s="36">
        <f t="shared" si="151"/>
        <v>0</v>
      </c>
      <c r="U342" s="36">
        <f t="shared" si="152"/>
        <v>-0.00600000000000001</v>
      </c>
      <c r="BA342" s="25">
        <f t="shared" si="159"/>
        <v>45719</v>
      </c>
      <c r="BB342" s="28">
        <f t="shared" si="159"/>
        <v>1.21</v>
      </c>
      <c r="BC342" s="28">
        <f t="shared" si="139"/>
        <v>1.8</v>
      </c>
      <c r="BD342" s="28">
        <f t="shared" si="142"/>
        <v>2.44</v>
      </c>
      <c r="BE342" s="28">
        <f t="shared" si="160"/>
        <v>2.72</v>
      </c>
      <c r="BF342" s="28">
        <f t="shared" si="149"/>
        <v>4.97</v>
      </c>
      <c r="BG342" s="28">
        <f t="shared" si="158"/>
        <v>5.03</v>
      </c>
      <c r="BH342" s="28">
        <f t="shared" si="154"/>
        <v>5.23</v>
      </c>
      <c r="BI342" s="28">
        <f t="shared" si="154"/>
        <v>4.83</v>
      </c>
      <c r="BJ342" s="36">
        <f t="shared" si="156"/>
        <v>0.00201612903225801</v>
      </c>
      <c r="DP342" s="35">
        <v>43966</v>
      </c>
      <c r="DQ342" s="26">
        <v>3.4</v>
      </c>
      <c r="DR342" s="26">
        <v>3.2</v>
      </c>
      <c r="DS342" s="26">
        <v>3.317</v>
      </c>
      <c r="DU342" s="35">
        <v>43966</v>
      </c>
      <c r="DV342" s="26">
        <v>6.25</v>
      </c>
      <c r="DW342" s="26">
        <v>6.05</v>
      </c>
      <c r="DX342" s="26">
        <v>6.112</v>
      </c>
      <c r="DZ342" s="35">
        <v>43966</v>
      </c>
      <c r="EA342" s="26">
        <v>15.5</v>
      </c>
      <c r="EB342" s="26">
        <v>15.3</v>
      </c>
      <c r="EC342" s="26">
        <v>15.4</v>
      </c>
    </row>
    <row r="343" ht="16.8" spans="3:133">
      <c r="C343" s="5" t="str" cm="1">
        <f t="array" ref="C343">_xlfn.IFS(MONTH(D343)&lt;4,1,MONTH(D343)&lt;7,2,MONTH(D343)&lt;10,3,MONTH(D343)&gt;9,4)&amp;"Q"&amp;RIGHT(YEAR(D343),2)</f>
        <v>1Q25</v>
      </c>
      <c r="D343" s="2">
        <f t="shared" si="140"/>
        <v>45747</v>
      </c>
      <c r="E343" s="25">
        <f t="shared" si="155"/>
        <v>45726</v>
      </c>
      <c r="F343" s="26">
        <v>1.28</v>
      </c>
      <c r="G343" s="26">
        <v>2.5</v>
      </c>
      <c r="H343" s="26">
        <v>4.98</v>
      </c>
      <c r="I343" s="28">
        <f t="shared" si="141"/>
        <v>0.04</v>
      </c>
      <c r="J343" s="28">
        <f t="shared" si="137"/>
        <v>0.0390625</v>
      </c>
      <c r="K343" s="28">
        <f t="shared" si="138"/>
        <v>0.03890625</v>
      </c>
      <c r="M343" s="36">
        <f t="shared" si="143"/>
        <v>0.0578512396694215</v>
      </c>
      <c r="N343" s="36">
        <f t="shared" si="144"/>
        <v>0.0756302521008405</v>
      </c>
      <c r="O343" s="36">
        <f t="shared" si="145"/>
        <v>0.0847457627118644</v>
      </c>
      <c r="P343" s="36">
        <f t="shared" si="146"/>
        <v>0.0245901639344261</v>
      </c>
      <c r="Q343" s="36">
        <f t="shared" si="147"/>
        <v>0.0330578512396695</v>
      </c>
      <c r="R343" s="36">
        <f t="shared" si="148"/>
        <v>0.0288065843621399</v>
      </c>
      <c r="S343" s="36">
        <f t="shared" si="150"/>
        <v>0.00201207243460777</v>
      </c>
      <c r="T343" s="36">
        <f t="shared" si="151"/>
        <v>0.00403225806451624</v>
      </c>
      <c r="U343" s="36">
        <f t="shared" si="152"/>
        <v>0.00201207243460777</v>
      </c>
      <c r="BA343" s="25">
        <f t="shared" si="159"/>
        <v>45726</v>
      </c>
      <c r="BB343" s="28">
        <f t="shared" si="159"/>
        <v>1.28</v>
      </c>
      <c r="BC343" s="28">
        <f t="shared" si="139"/>
        <v>1.8</v>
      </c>
      <c r="BD343" s="28">
        <f t="shared" si="142"/>
        <v>2.5</v>
      </c>
      <c r="BE343" s="28">
        <f t="shared" si="160"/>
        <v>2.72</v>
      </c>
      <c r="BF343" s="28">
        <f t="shared" si="149"/>
        <v>4.98</v>
      </c>
      <c r="BG343" s="28">
        <f t="shared" si="158"/>
        <v>5.03</v>
      </c>
      <c r="BH343" s="28">
        <f t="shared" si="154"/>
        <v>5.23</v>
      </c>
      <c r="BI343" s="28">
        <f t="shared" si="154"/>
        <v>4.83</v>
      </c>
      <c r="BJ343" s="36">
        <f t="shared" si="156"/>
        <v>0.00201207243460777</v>
      </c>
      <c r="DP343" s="35">
        <v>43969</v>
      </c>
      <c r="DQ343" s="26">
        <v>3.4</v>
      </c>
      <c r="DR343" s="26">
        <v>3.2</v>
      </c>
      <c r="DS343" s="26">
        <v>3.31</v>
      </c>
      <c r="DU343" s="35">
        <v>43969</v>
      </c>
      <c r="DV343" s="26">
        <v>6.25</v>
      </c>
      <c r="DW343" s="26">
        <v>6.05</v>
      </c>
      <c r="DX343" s="26">
        <v>6.108</v>
      </c>
      <c r="DZ343" s="35">
        <v>43969</v>
      </c>
      <c r="EA343" s="26">
        <v>15.5</v>
      </c>
      <c r="EB343" s="26">
        <v>15.3</v>
      </c>
      <c r="EC343" s="26">
        <v>15.4</v>
      </c>
    </row>
    <row r="344" ht="16.8" spans="3:133">
      <c r="C344" s="5" t="str" cm="1">
        <f t="array" ref="C344">_xlfn.IFS(MONTH(D344)&lt;4,1,MONTH(D344)&lt;7,2,MONTH(D344)&lt;10,3,MONTH(D344)&gt;9,4)&amp;"Q"&amp;RIGHT(YEAR(D344),2)</f>
        <v>1Q25</v>
      </c>
      <c r="D344" s="2">
        <f t="shared" si="140"/>
        <v>45747</v>
      </c>
      <c r="E344" s="25">
        <f t="shared" si="155"/>
        <v>45733</v>
      </c>
      <c r="F344" s="26">
        <v>1.36</v>
      </c>
      <c r="G344" s="26">
        <v>2.58</v>
      </c>
      <c r="H344" s="26">
        <v>5.05</v>
      </c>
      <c r="I344" s="28">
        <f t="shared" si="141"/>
        <v>0.0425</v>
      </c>
      <c r="J344" s="28">
        <f t="shared" si="137"/>
        <v>0.0403125</v>
      </c>
      <c r="K344" s="28">
        <f t="shared" si="138"/>
        <v>0.039453125</v>
      </c>
      <c r="M344" s="36">
        <f t="shared" si="143"/>
        <v>0.0625</v>
      </c>
      <c r="N344" s="36">
        <f t="shared" si="144"/>
        <v>0.12396694214876</v>
      </c>
      <c r="O344" s="36">
        <f t="shared" si="145"/>
        <v>0.142857142857143</v>
      </c>
      <c r="P344" s="36">
        <f t="shared" si="146"/>
        <v>0.032</v>
      </c>
      <c r="Q344" s="36">
        <f t="shared" si="147"/>
        <v>0.0573770491803278</v>
      </c>
      <c r="R344" s="36">
        <f t="shared" si="148"/>
        <v>0.0661157024793388</v>
      </c>
      <c r="S344" s="36">
        <f t="shared" si="150"/>
        <v>0.0140562248995983</v>
      </c>
      <c r="T344" s="36">
        <f t="shared" si="151"/>
        <v>0.0160965794768613</v>
      </c>
      <c r="U344" s="36">
        <f t="shared" si="152"/>
        <v>0.0181451612903225</v>
      </c>
      <c r="BA344" s="25">
        <f t="shared" si="159"/>
        <v>45733</v>
      </c>
      <c r="BB344" s="28">
        <f t="shared" si="159"/>
        <v>1.36</v>
      </c>
      <c r="BC344" s="28">
        <f t="shared" si="139"/>
        <v>1.8</v>
      </c>
      <c r="BD344" s="28">
        <f t="shared" si="142"/>
        <v>2.58</v>
      </c>
      <c r="BE344" s="28">
        <f t="shared" si="160"/>
        <v>2.72</v>
      </c>
      <c r="BF344" s="28">
        <f t="shared" si="149"/>
        <v>5.05</v>
      </c>
      <c r="BG344" s="28">
        <f t="shared" si="158"/>
        <v>5.03</v>
      </c>
      <c r="BH344" s="28">
        <f t="shared" si="154"/>
        <v>5.23</v>
      </c>
      <c r="BI344" s="28">
        <f t="shared" si="154"/>
        <v>4.83</v>
      </c>
      <c r="BJ344" s="36">
        <f t="shared" si="156"/>
        <v>0.0140562248995983</v>
      </c>
      <c r="DP344" s="35">
        <v>43970</v>
      </c>
      <c r="DQ344" s="26">
        <v>3.4</v>
      </c>
      <c r="DR344" s="26">
        <v>3.2</v>
      </c>
      <c r="DS344" s="26">
        <v>3.307</v>
      </c>
      <c r="DU344" s="35">
        <v>43970</v>
      </c>
      <c r="DV344" s="26">
        <v>6.25</v>
      </c>
      <c r="DW344" s="26">
        <v>6.05</v>
      </c>
      <c r="DX344" s="26">
        <v>6.101</v>
      </c>
      <c r="DZ344" s="35">
        <v>43970</v>
      </c>
      <c r="EA344" s="26">
        <v>15.55</v>
      </c>
      <c r="EB344" s="26">
        <v>15.45</v>
      </c>
      <c r="EC344" s="26">
        <v>15.5</v>
      </c>
    </row>
    <row r="345" ht="16.8" spans="3:133">
      <c r="C345" s="5" t="str" cm="1">
        <f t="array" ref="C345">_xlfn.IFS(MONTH(D345)&lt;4,1,MONTH(D345)&lt;7,2,MONTH(D345)&lt;10,3,MONTH(D345)&gt;9,4)&amp;"Q"&amp;RIGHT(YEAR(D345),2)</f>
        <v>1Q25</v>
      </c>
      <c r="D345" s="2">
        <f t="shared" si="140"/>
        <v>45747</v>
      </c>
      <c r="E345" s="25">
        <f t="shared" si="155"/>
        <v>45740</v>
      </c>
      <c r="F345" s="26">
        <v>1.44</v>
      </c>
      <c r="G345" s="26">
        <v>2.72</v>
      </c>
      <c r="H345" s="26">
        <v>5.11</v>
      </c>
      <c r="I345" s="28">
        <f t="shared" si="141"/>
        <v>0.045</v>
      </c>
      <c r="J345" s="28">
        <f t="shared" si="137"/>
        <v>0.0425</v>
      </c>
      <c r="K345" s="28">
        <f t="shared" si="138"/>
        <v>0.039921875</v>
      </c>
      <c r="M345" s="36">
        <f t="shared" si="143"/>
        <v>0.0588235294117645</v>
      </c>
      <c r="N345" s="36">
        <f t="shared" si="144"/>
        <v>0.125</v>
      </c>
      <c r="O345" s="36">
        <f t="shared" si="145"/>
        <v>0.190082644628099</v>
      </c>
      <c r="P345" s="36">
        <f t="shared" si="146"/>
        <v>0.054263565891473</v>
      </c>
      <c r="Q345" s="36">
        <f t="shared" si="147"/>
        <v>0.0880000000000001</v>
      </c>
      <c r="R345" s="36">
        <f t="shared" si="148"/>
        <v>0.114754098360656</v>
      </c>
      <c r="S345" s="36">
        <f t="shared" si="150"/>
        <v>0.0118811881188119</v>
      </c>
      <c r="T345" s="36">
        <f t="shared" si="151"/>
        <v>0.0261044176706826</v>
      </c>
      <c r="U345" s="36">
        <f t="shared" si="152"/>
        <v>0.0281690140845072</v>
      </c>
      <c r="BA345" s="25">
        <f t="shared" ref="BA345:BB360" si="161">E345</f>
        <v>45740</v>
      </c>
      <c r="BB345" s="28">
        <f t="shared" si="161"/>
        <v>1.44</v>
      </c>
      <c r="BC345" s="28">
        <f t="shared" si="139"/>
        <v>1.8</v>
      </c>
      <c r="BD345" s="28">
        <f t="shared" si="142"/>
        <v>2.72</v>
      </c>
      <c r="BE345" s="28">
        <f t="shared" si="160"/>
        <v>2.72</v>
      </c>
      <c r="BF345" s="28">
        <f t="shared" si="149"/>
        <v>5.11</v>
      </c>
      <c r="BG345" s="28">
        <f t="shared" si="158"/>
        <v>5.03</v>
      </c>
      <c r="BH345" s="28">
        <f t="shared" si="154"/>
        <v>5.23</v>
      </c>
      <c r="BI345" s="28">
        <f t="shared" si="154"/>
        <v>4.83</v>
      </c>
      <c r="BJ345" s="36">
        <f t="shared" ref="BJ345:BJ406" si="162">BF345/BF344-1</f>
        <v>0.0118811881188119</v>
      </c>
      <c r="DP345" s="35">
        <v>43971</v>
      </c>
      <c r="DQ345" s="26">
        <v>3.4</v>
      </c>
      <c r="DR345" s="26">
        <v>3.2</v>
      </c>
      <c r="DS345" s="26">
        <v>3.3</v>
      </c>
      <c r="DU345" s="35">
        <v>43971</v>
      </c>
      <c r="DV345" s="26">
        <v>6.25</v>
      </c>
      <c r="DW345" s="26">
        <v>6.05</v>
      </c>
      <c r="DX345" s="26">
        <v>6.095</v>
      </c>
      <c r="DZ345" s="35">
        <v>43971</v>
      </c>
      <c r="EA345" s="26">
        <v>15.8</v>
      </c>
      <c r="EB345" s="26">
        <v>15.6</v>
      </c>
      <c r="EC345" s="26">
        <v>15.7</v>
      </c>
    </row>
    <row r="346" ht="16.8" spans="3:133">
      <c r="C346" s="5" t="str" cm="1">
        <f t="array" ref="C346">_xlfn.IFS(MONTH(D346)&lt;4,1,MONTH(D346)&lt;7,2,MONTH(D346)&lt;10,3,MONTH(D346)&gt;9,4)&amp;"Q"&amp;RIGHT(YEAR(D346),2)</f>
        <v>1Q25</v>
      </c>
      <c r="D346" s="2">
        <f t="shared" si="140"/>
        <v>45747</v>
      </c>
      <c r="E346" s="25">
        <f t="shared" si="155"/>
        <v>45747</v>
      </c>
      <c r="F346" s="26">
        <v>1.48</v>
      </c>
      <c r="G346" s="26">
        <v>2.78</v>
      </c>
      <c r="H346" s="26">
        <v>5.17</v>
      </c>
      <c r="I346" s="28">
        <f t="shared" si="141"/>
        <v>0.04625</v>
      </c>
      <c r="J346" s="28">
        <f t="shared" si="137"/>
        <v>0.0434375</v>
      </c>
      <c r="K346" s="28">
        <f t="shared" si="138"/>
        <v>0.040390625</v>
      </c>
      <c r="M346" s="36">
        <f t="shared" si="143"/>
        <v>0.0277777777777779</v>
      </c>
      <c r="N346" s="36">
        <f t="shared" si="144"/>
        <v>0.088235294117647</v>
      </c>
      <c r="O346" s="36">
        <f t="shared" si="145"/>
        <v>0.15625</v>
      </c>
      <c r="P346" s="36">
        <f t="shared" si="146"/>
        <v>0.0220588235294117</v>
      </c>
      <c r="Q346" s="36">
        <f t="shared" si="147"/>
        <v>0.0775193798449612</v>
      </c>
      <c r="R346" s="36">
        <f t="shared" si="148"/>
        <v>0.112</v>
      </c>
      <c r="S346" s="36">
        <f t="shared" si="150"/>
        <v>0.0117416829745596</v>
      </c>
      <c r="T346" s="36">
        <f t="shared" si="151"/>
        <v>0.0237623762376238</v>
      </c>
      <c r="U346" s="36">
        <f t="shared" si="152"/>
        <v>0.0381526104417669</v>
      </c>
      <c r="BA346" s="25">
        <f t="shared" si="161"/>
        <v>45747</v>
      </c>
      <c r="BB346" s="28">
        <f t="shared" si="161"/>
        <v>1.48</v>
      </c>
      <c r="BC346" s="28">
        <f t="shared" si="139"/>
        <v>1.8</v>
      </c>
      <c r="BD346" s="28">
        <f t="shared" si="142"/>
        <v>2.78</v>
      </c>
      <c r="BE346" s="28">
        <f t="shared" si="160"/>
        <v>2.72</v>
      </c>
      <c r="BF346" s="28">
        <f t="shared" si="149"/>
        <v>5.17</v>
      </c>
      <c r="BG346" s="28">
        <f t="shared" si="158"/>
        <v>5.03</v>
      </c>
      <c r="BH346" s="28">
        <f t="shared" si="154"/>
        <v>5.23</v>
      </c>
      <c r="BI346" s="28">
        <f t="shared" si="154"/>
        <v>4.83</v>
      </c>
      <c r="BJ346" s="36">
        <f t="shared" si="162"/>
        <v>0.0117416829745596</v>
      </c>
      <c r="DP346" s="35">
        <v>43972</v>
      </c>
      <c r="DQ346" s="26">
        <v>3.4</v>
      </c>
      <c r="DR346" s="26">
        <v>3.2</v>
      </c>
      <c r="DS346" s="26">
        <v>3.3</v>
      </c>
      <c r="DU346" s="35">
        <v>43972</v>
      </c>
      <c r="DV346" s="26">
        <v>6.25</v>
      </c>
      <c r="DW346" s="26">
        <v>6.05</v>
      </c>
      <c r="DX346" s="26">
        <v>6.095</v>
      </c>
      <c r="DZ346" s="35">
        <v>43972</v>
      </c>
      <c r="EA346" s="26">
        <v>15.8</v>
      </c>
      <c r="EB346" s="26">
        <v>15.6</v>
      </c>
      <c r="EC346" s="26">
        <v>15.7</v>
      </c>
    </row>
    <row r="347" ht="16.8" spans="3:133">
      <c r="C347" s="5" t="str" cm="1">
        <f t="array" ref="C347">_xlfn.IFS(MONTH(D347)&lt;4,1,MONTH(D347)&lt;7,2,MONTH(D347)&lt;10,3,MONTH(D347)&gt;9,4)&amp;"Q"&amp;RIGHT(YEAR(D347),2)</f>
        <v>2Q25</v>
      </c>
      <c r="D347" s="2">
        <f t="shared" si="140"/>
        <v>45777</v>
      </c>
      <c r="E347" s="25">
        <f t="shared" si="155"/>
        <v>45754</v>
      </c>
      <c r="F347" s="26">
        <v>1.48</v>
      </c>
      <c r="G347" s="26">
        <v>2.78</v>
      </c>
      <c r="H347" s="26">
        <v>5.17</v>
      </c>
      <c r="I347" s="28">
        <f t="shared" si="141"/>
        <v>0.04625</v>
      </c>
      <c r="J347" s="28">
        <f t="shared" ref="J347:J406" si="163">G347/512*8</f>
        <v>0.0434375</v>
      </c>
      <c r="K347" s="28">
        <f t="shared" ref="K347:K406" si="164">H347/1024*8</f>
        <v>0.040390625</v>
      </c>
      <c r="M347" s="36">
        <f t="shared" si="143"/>
        <v>0</v>
      </c>
      <c r="N347" s="36">
        <f t="shared" si="144"/>
        <v>0.0277777777777779</v>
      </c>
      <c r="O347" s="36">
        <f t="shared" si="145"/>
        <v>0.088235294117647</v>
      </c>
      <c r="P347" s="36">
        <f t="shared" si="146"/>
        <v>0</v>
      </c>
      <c r="Q347" s="36">
        <f t="shared" si="147"/>
        <v>0.0220588235294117</v>
      </c>
      <c r="R347" s="36">
        <f t="shared" si="148"/>
        <v>0.0775193798449612</v>
      </c>
      <c r="S347" s="36">
        <f t="shared" si="150"/>
        <v>0</v>
      </c>
      <c r="T347" s="36">
        <f t="shared" si="151"/>
        <v>0.0117416829745596</v>
      </c>
      <c r="U347" s="36">
        <f t="shared" si="152"/>
        <v>0.0237623762376238</v>
      </c>
      <c r="BA347" s="25">
        <f t="shared" si="161"/>
        <v>45754</v>
      </c>
      <c r="BB347" s="28">
        <f t="shared" si="161"/>
        <v>1.48</v>
      </c>
      <c r="BC347" s="28">
        <f t="shared" ref="BC347:BC406" si="165">INDEX($AM:$AQ,MATCH($D347,$AK:$AK,0),MATCH(BB$25,$AM$26:$AQ$26,0))</f>
        <v>2.06</v>
      </c>
      <c r="BD347" s="28">
        <f t="shared" si="142"/>
        <v>2.78</v>
      </c>
      <c r="BE347" s="28">
        <f t="shared" si="160"/>
        <v>2.99</v>
      </c>
      <c r="BF347" s="28">
        <f t="shared" si="149"/>
        <v>5.17</v>
      </c>
      <c r="BG347" s="28">
        <f t="shared" si="158"/>
        <v>5.505</v>
      </c>
      <c r="BH347" s="28">
        <f t="shared" si="154"/>
        <v>5.72</v>
      </c>
      <c r="BI347" s="28">
        <f t="shared" si="154"/>
        <v>5.29</v>
      </c>
      <c r="BJ347" s="36">
        <f t="shared" si="162"/>
        <v>0</v>
      </c>
      <c r="DP347" s="35">
        <v>43973</v>
      </c>
      <c r="DQ347" s="26">
        <v>3.4</v>
      </c>
      <c r="DR347" s="26">
        <v>3.2</v>
      </c>
      <c r="DS347" s="26">
        <v>3.293</v>
      </c>
      <c r="DU347" s="35">
        <v>43973</v>
      </c>
      <c r="DV347" s="26">
        <v>6.25</v>
      </c>
      <c r="DW347" s="26">
        <v>6</v>
      </c>
      <c r="DX347" s="26">
        <v>6.088</v>
      </c>
      <c r="DZ347" s="35">
        <v>43973</v>
      </c>
      <c r="EA347" s="26">
        <v>15.9</v>
      </c>
      <c r="EB347" s="26">
        <v>15.7</v>
      </c>
      <c r="EC347" s="26">
        <v>15.8</v>
      </c>
    </row>
    <row r="348" ht="16.8" spans="3:133">
      <c r="C348" s="5" t="str" cm="1">
        <f t="array" ref="C348">_xlfn.IFS(MONTH(D348)&lt;4,1,MONTH(D348)&lt;7,2,MONTH(D348)&lt;10,3,MONTH(D348)&gt;9,4)&amp;"Q"&amp;RIGHT(YEAR(D348),2)</f>
        <v>2Q25</v>
      </c>
      <c r="D348" s="2">
        <f t="shared" ref="D348:D406" si="166">EOMONTH(E348,0)</f>
        <v>45777</v>
      </c>
      <c r="E348" s="25">
        <f t="shared" si="155"/>
        <v>45761</v>
      </c>
      <c r="F348" s="26">
        <v>1.49</v>
      </c>
      <c r="G348" s="26">
        <v>2.77</v>
      </c>
      <c r="H348" s="26">
        <v>5.16</v>
      </c>
      <c r="I348" s="28">
        <f t="shared" ref="I348:I406" si="167">F348/256*8</f>
        <v>0.0465625</v>
      </c>
      <c r="J348" s="28">
        <f t="shared" si="163"/>
        <v>0.04328125</v>
      </c>
      <c r="K348" s="28">
        <f t="shared" si="164"/>
        <v>0.0403125</v>
      </c>
      <c r="M348" s="36">
        <f t="shared" si="143"/>
        <v>0.0067567567567568</v>
      </c>
      <c r="N348" s="36">
        <f t="shared" si="144"/>
        <v>0.0067567567567568</v>
      </c>
      <c r="O348" s="36">
        <f t="shared" si="145"/>
        <v>0.0347222222222223</v>
      </c>
      <c r="P348" s="36">
        <f t="shared" si="146"/>
        <v>-0.00359712230215825</v>
      </c>
      <c r="Q348" s="36">
        <f t="shared" si="147"/>
        <v>-0.00359712230215825</v>
      </c>
      <c r="R348" s="36">
        <f t="shared" si="148"/>
        <v>0.0183823529411764</v>
      </c>
      <c r="S348" s="36">
        <f t="shared" si="150"/>
        <v>-0.0019342359767891</v>
      </c>
      <c r="T348" s="36">
        <f t="shared" si="151"/>
        <v>-0.0019342359767891</v>
      </c>
      <c r="U348" s="36">
        <f t="shared" si="152"/>
        <v>0.00978473581213302</v>
      </c>
      <c r="BA348" s="25">
        <f t="shared" si="161"/>
        <v>45761</v>
      </c>
      <c r="BB348" s="28">
        <f t="shared" si="161"/>
        <v>1.49</v>
      </c>
      <c r="BC348" s="28">
        <f t="shared" si="165"/>
        <v>2.06</v>
      </c>
      <c r="BD348" s="28">
        <f t="shared" ref="BD348:BD406" si="168">G348</f>
        <v>2.77</v>
      </c>
      <c r="BE348" s="28">
        <f t="shared" si="160"/>
        <v>2.99</v>
      </c>
      <c r="BF348" s="28">
        <f t="shared" si="149"/>
        <v>5.16</v>
      </c>
      <c r="BG348" s="28">
        <f t="shared" si="158"/>
        <v>5.505</v>
      </c>
      <c r="BH348" s="28">
        <f t="shared" si="154"/>
        <v>5.72</v>
      </c>
      <c r="BI348" s="28">
        <f t="shared" si="154"/>
        <v>5.29</v>
      </c>
      <c r="BJ348" s="36">
        <f t="shared" si="162"/>
        <v>-0.0019342359767891</v>
      </c>
      <c r="DP348" s="35">
        <v>43976</v>
      </c>
      <c r="DQ348" s="26">
        <v>3.4</v>
      </c>
      <c r="DR348" s="26">
        <v>3.2</v>
      </c>
      <c r="DS348" s="26">
        <v>3.287</v>
      </c>
      <c r="DU348" s="35">
        <v>43976</v>
      </c>
      <c r="DV348" s="26">
        <v>6.25</v>
      </c>
      <c r="DW348" s="26">
        <v>6</v>
      </c>
      <c r="DX348" s="26">
        <v>6.088</v>
      </c>
      <c r="DZ348" s="35">
        <v>43976</v>
      </c>
      <c r="EA348" s="26">
        <v>15.9</v>
      </c>
      <c r="EB348" s="26">
        <v>15.7</v>
      </c>
      <c r="EC348" s="26">
        <v>15.8</v>
      </c>
    </row>
    <row r="349" ht="16.8" spans="3:133">
      <c r="C349" s="5" t="str" cm="1">
        <f t="array" ref="C349">_xlfn.IFS(MONTH(D349)&lt;4,1,MONTH(D349)&lt;7,2,MONTH(D349)&lt;10,3,MONTH(D349)&gt;9,4)&amp;"Q"&amp;RIGHT(YEAR(D349),2)</f>
        <v>2Q25</v>
      </c>
      <c r="D349" s="2">
        <f t="shared" si="166"/>
        <v>45777</v>
      </c>
      <c r="E349" s="25">
        <f t="shared" si="155"/>
        <v>45768</v>
      </c>
      <c r="F349" s="26">
        <v>1.49</v>
      </c>
      <c r="G349" s="26">
        <v>2.76</v>
      </c>
      <c r="H349" s="26">
        <v>5.18</v>
      </c>
      <c r="I349" s="28">
        <f t="shared" si="167"/>
        <v>0.0465625</v>
      </c>
      <c r="J349" s="28">
        <f t="shared" si="163"/>
        <v>0.043125</v>
      </c>
      <c r="K349" s="28">
        <f t="shared" si="164"/>
        <v>0.04046875</v>
      </c>
      <c r="M349" s="36">
        <f t="shared" ref="M349:M406" si="169">$F349/$F348-1</f>
        <v>0</v>
      </c>
      <c r="N349" s="36">
        <f t="shared" si="144"/>
        <v>0.0067567567567568</v>
      </c>
      <c r="O349" s="36">
        <f t="shared" si="145"/>
        <v>0.0067567567567568</v>
      </c>
      <c r="P349" s="36">
        <f t="shared" si="146"/>
        <v>-0.00361010830324915</v>
      </c>
      <c r="Q349" s="36">
        <f t="shared" si="147"/>
        <v>-0.0071942446043165</v>
      </c>
      <c r="R349" s="36">
        <f t="shared" si="148"/>
        <v>-0.0071942446043165</v>
      </c>
      <c r="S349" s="36">
        <f t="shared" si="150"/>
        <v>0.00387596899224807</v>
      </c>
      <c r="T349" s="36">
        <f t="shared" si="151"/>
        <v>0.0019342359767891</v>
      </c>
      <c r="U349" s="36">
        <f t="shared" si="152"/>
        <v>0.0019342359767891</v>
      </c>
      <c r="BA349" s="25">
        <f t="shared" si="161"/>
        <v>45768</v>
      </c>
      <c r="BB349" s="28">
        <f t="shared" si="161"/>
        <v>1.49</v>
      </c>
      <c r="BC349" s="28">
        <f t="shared" si="165"/>
        <v>2.06</v>
      </c>
      <c r="BD349" s="28">
        <f t="shared" si="168"/>
        <v>2.76</v>
      </c>
      <c r="BE349" s="28">
        <f t="shared" si="160"/>
        <v>2.99</v>
      </c>
      <c r="BF349" s="28">
        <f t="shared" si="149"/>
        <v>5.18</v>
      </c>
      <c r="BG349" s="28">
        <f t="shared" si="158"/>
        <v>5.505</v>
      </c>
      <c r="BH349" s="28">
        <f t="shared" si="154"/>
        <v>5.72</v>
      </c>
      <c r="BI349" s="28">
        <f t="shared" si="154"/>
        <v>5.29</v>
      </c>
      <c r="BJ349" s="36">
        <f t="shared" si="162"/>
        <v>0.00387596899224807</v>
      </c>
      <c r="DP349" s="35">
        <v>43977</v>
      </c>
      <c r="DQ349" s="26">
        <v>3.4</v>
      </c>
      <c r="DR349" s="26">
        <v>3.2</v>
      </c>
      <c r="DS349" s="26">
        <v>3.287</v>
      </c>
      <c r="DU349" s="35">
        <v>43977</v>
      </c>
      <c r="DV349" s="26">
        <v>6.25</v>
      </c>
      <c r="DW349" s="26">
        <v>6</v>
      </c>
      <c r="DX349" s="26">
        <v>6.088</v>
      </c>
      <c r="DZ349" s="35">
        <v>43977</v>
      </c>
      <c r="EA349" s="26">
        <v>15.9</v>
      </c>
      <c r="EB349" s="26">
        <v>15.7</v>
      </c>
      <c r="EC349" s="26">
        <v>15.8</v>
      </c>
    </row>
    <row r="350" ht="16.8" spans="3:133">
      <c r="C350" s="5" t="str" cm="1">
        <f t="array" ref="C350">_xlfn.IFS(MONTH(D350)&lt;4,1,MONTH(D350)&lt;7,2,MONTH(D350)&lt;10,3,MONTH(D350)&gt;9,4)&amp;"Q"&amp;RIGHT(YEAR(D350),2)</f>
        <v>2Q25</v>
      </c>
      <c r="D350" s="2">
        <f t="shared" si="166"/>
        <v>45777</v>
      </c>
      <c r="E350" s="25">
        <f t="shared" si="155"/>
        <v>45775</v>
      </c>
      <c r="F350" s="26">
        <v>1.49</v>
      </c>
      <c r="G350" s="26">
        <v>2.75</v>
      </c>
      <c r="H350" s="26">
        <v>5.17</v>
      </c>
      <c r="I350" s="28">
        <f t="shared" si="167"/>
        <v>0.0465625</v>
      </c>
      <c r="J350" s="28">
        <f t="shared" si="163"/>
        <v>0.04296875</v>
      </c>
      <c r="K350" s="28">
        <f t="shared" si="164"/>
        <v>0.040390625</v>
      </c>
      <c r="M350" s="36">
        <f t="shared" si="169"/>
        <v>0</v>
      </c>
      <c r="N350" s="36">
        <f t="shared" si="144"/>
        <v>0</v>
      </c>
      <c r="O350" s="36">
        <f t="shared" si="145"/>
        <v>0.0067567567567568</v>
      </c>
      <c r="P350" s="36">
        <f t="shared" si="146"/>
        <v>-0.00362318840579701</v>
      </c>
      <c r="Q350" s="36">
        <f t="shared" si="147"/>
        <v>-0.00722021660649819</v>
      </c>
      <c r="R350" s="36">
        <f t="shared" si="148"/>
        <v>-0.0107913669064748</v>
      </c>
      <c r="S350" s="36">
        <f t="shared" si="150"/>
        <v>-0.00193050193050193</v>
      </c>
      <c r="T350" s="36">
        <f t="shared" si="151"/>
        <v>0.00193798449612403</v>
      </c>
      <c r="U350" s="36">
        <f t="shared" si="152"/>
        <v>0</v>
      </c>
      <c r="BA350" s="25">
        <f t="shared" si="161"/>
        <v>45775</v>
      </c>
      <c r="BB350" s="28">
        <f t="shared" si="161"/>
        <v>1.49</v>
      </c>
      <c r="BC350" s="28">
        <f t="shared" si="165"/>
        <v>2.06</v>
      </c>
      <c r="BD350" s="28">
        <f t="shared" si="168"/>
        <v>2.75</v>
      </c>
      <c r="BE350" s="28">
        <f t="shared" si="160"/>
        <v>2.99</v>
      </c>
      <c r="BF350" s="28">
        <f t="shared" si="149"/>
        <v>5.17</v>
      </c>
      <c r="BG350" s="28">
        <f t="shared" si="158"/>
        <v>5.505</v>
      </c>
      <c r="BH350" s="28">
        <f t="shared" si="154"/>
        <v>5.72</v>
      </c>
      <c r="BI350" s="28">
        <f t="shared" si="154"/>
        <v>5.29</v>
      </c>
      <c r="BJ350" s="36">
        <f t="shared" si="162"/>
        <v>-0.00193050193050193</v>
      </c>
      <c r="DP350" s="35">
        <v>43978</v>
      </c>
      <c r="DQ350" s="26">
        <v>3.4</v>
      </c>
      <c r="DR350" s="26">
        <v>3.2</v>
      </c>
      <c r="DS350" s="26">
        <v>3.287</v>
      </c>
      <c r="DU350" s="35">
        <v>43978</v>
      </c>
      <c r="DV350" s="26">
        <v>6.25</v>
      </c>
      <c r="DW350" s="26">
        <v>6</v>
      </c>
      <c r="DX350" s="26">
        <v>6.088</v>
      </c>
      <c r="DZ350" s="35">
        <v>43978</v>
      </c>
      <c r="EA350" s="26">
        <v>15.9</v>
      </c>
      <c r="EB350" s="26">
        <v>15.7</v>
      </c>
      <c r="EC350" s="26">
        <v>15.8</v>
      </c>
    </row>
    <row r="351" ht="16.8" spans="3:133">
      <c r="C351" s="5" t="str" cm="1">
        <f t="array" ref="C351">_xlfn.IFS(MONTH(D351)&lt;4,1,MONTH(D351)&lt;7,2,MONTH(D351)&lt;10,3,MONTH(D351)&gt;9,4)&amp;"Q"&amp;RIGHT(YEAR(D351),2)</f>
        <v>2Q25</v>
      </c>
      <c r="D351" s="2">
        <f t="shared" si="166"/>
        <v>45808</v>
      </c>
      <c r="E351" s="25">
        <f t="shared" si="155"/>
        <v>45782</v>
      </c>
      <c r="F351" s="26">
        <v>1.49</v>
      </c>
      <c r="G351" s="26">
        <v>2.74</v>
      </c>
      <c r="H351" s="26">
        <v>5.16</v>
      </c>
      <c r="I351" s="28">
        <f t="shared" si="167"/>
        <v>0.0465625</v>
      </c>
      <c r="J351" s="28">
        <f t="shared" si="163"/>
        <v>0.0428125</v>
      </c>
      <c r="K351" s="28">
        <f t="shared" si="164"/>
        <v>0.0403125</v>
      </c>
      <c r="M351" s="36">
        <f t="shared" si="169"/>
        <v>0</v>
      </c>
      <c r="N351" s="36">
        <f t="shared" ref="N351:N406" si="170">$F351/$F349-1</f>
        <v>0</v>
      </c>
      <c r="O351" s="36">
        <f t="shared" ref="O351:O406" si="171">$F351/$F348-1</f>
        <v>0</v>
      </c>
      <c r="P351" s="36">
        <f t="shared" ref="P351:P406" si="172">$G351/$G350-1</f>
        <v>-0.00363636363636355</v>
      </c>
      <c r="Q351" s="36">
        <f t="shared" ref="Q351:Q406" si="173">$G351/$G349-1</f>
        <v>-0.00724637681159401</v>
      </c>
      <c r="R351" s="36">
        <f t="shared" ref="R351:R406" si="174">$G351/$G348-1</f>
        <v>-0.0108303249097472</v>
      </c>
      <c r="S351" s="36">
        <f t="shared" si="150"/>
        <v>-0.0019342359767891</v>
      </c>
      <c r="T351" s="36">
        <f t="shared" si="151"/>
        <v>-0.00386100386100374</v>
      </c>
      <c r="U351" s="36">
        <f t="shared" si="152"/>
        <v>0</v>
      </c>
      <c r="BA351" s="25">
        <f t="shared" si="161"/>
        <v>45782</v>
      </c>
      <c r="BB351" s="28">
        <f t="shared" si="161"/>
        <v>1.49</v>
      </c>
      <c r="BC351" s="28">
        <f t="shared" si="165"/>
        <v>2.18</v>
      </c>
      <c r="BD351" s="28">
        <f t="shared" si="168"/>
        <v>2.74</v>
      </c>
      <c r="BE351" s="28">
        <f t="shared" si="160"/>
        <v>3.07</v>
      </c>
      <c r="BF351" s="28">
        <f t="shared" si="149"/>
        <v>5.16</v>
      </c>
      <c r="BG351" s="28">
        <f t="shared" si="158"/>
        <v>5.61</v>
      </c>
      <c r="BH351" s="28">
        <f t="shared" si="154"/>
        <v>5.85</v>
      </c>
      <c r="BI351" s="28">
        <f t="shared" si="154"/>
        <v>5.37</v>
      </c>
      <c r="BJ351" s="36">
        <f t="shared" si="162"/>
        <v>-0.0019342359767891</v>
      </c>
      <c r="DP351" s="35">
        <v>43979</v>
      </c>
      <c r="DQ351" s="26">
        <v>3.4</v>
      </c>
      <c r="DR351" s="26">
        <v>3.2</v>
      </c>
      <c r="DS351" s="26">
        <v>3.287</v>
      </c>
      <c r="DU351" s="35">
        <v>43979</v>
      </c>
      <c r="DV351" s="26">
        <v>6.25</v>
      </c>
      <c r="DW351" s="26">
        <v>6</v>
      </c>
      <c r="DX351" s="26">
        <v>6.088</v>
      </c>
      <c r="DZ351" s="35">
        <v>43979</v>
      </c>
      <c r="EA351" s="26">
        <v>15.9</v>
      </c>
      <c r="EB351" s="26">
        <v>15.7</v>
      </c>
      <c r="EC351" s="26">
        <v>15.8</v>
      </c>
    </row>
    <row r="352" ht="16.8" spans="3:133">
      <c r="C352" s="5" t="str" cm="1">
        <f t="array" ref="C352">_xlfn.IFS(MONTH(D352)&lt;4,1,MONTH(D352)&lt;7,2,MONTH(D352)&lt;10,3,MONTH(D352)&gt;9,4)&amp;"Q"&amp;RIGHT(YEAR(D352),2)</f>
        <v>2Q25</v>
      </c>
      <c r="D352" s="2">
        <f t="shared" si="166"/>
        <v>45808</v>
      </c>
      <c r="E352" s="25">
        <f t="shared" si="155"/>
        <v>45789</v>
      </c>
      <c r="F352" s="26">
        <v>1.49</v>
      </c>
      <c r="G352" s="26">
        <v>2.74</v>
      </c>
      <c r="H352" s="26">
        <v>5.15</v>
      </c>
      <c r="I352" s="28">
        <f t="shared" si="167"/>
        <v>0.0465625</v>
      </c>
      <c r="J352" s="28">
        <f t="shared" si="163"/>
        <v>0.0428125</v>
      </c>
      <c r="K352" s="28">
        <f t="shared" si="164"/>
        <v>0.040234375</v>
      </c>
      <c r="M352" s="36">
        <f t="shared" si="169"/>
        <v>0</v>
      </c>
      <c r="N352" s="36">
        <f t="shared" si="170"/>
        <v>0</v>
      </c>
      <c r="O352" s="36">
        <f t="shared" si="171"/>
        <v>0</v>
      </c>
      <c r="P352" s="36">
        <f t="shared" si="172"/>
        <v>0</v>
      </c>
      <c r="Q352" s="36">
        <f t="shared" si="173"/>
        <v>-0.00363636363636355</v>
      </c>
      <c r="R352" s="36">
        <f t="shared" si="174"/>
        <v>-0.00724637681159401</v>
      </c>
      <c r="S352" s="36">
        <f t="shared" si="150"/>
        <v>-0.00193798449612403</v>
      </c>
      <c r="T352" s="36">
        <f t="shared" si="151"/>
        <v>-0.0038684719535782</v>
      </c>
      <c r="U352" s="36">
        <f t="shared" si="152"/>
        <v>-0.00579150579150567</v>
      </c>
      <c r="BA352" s="25">
        <f t="shared" si="161"/>
        <v>45789</v>
      </c>
      <c r="BB352" s="28">
        <f t="shared" si="161"/>
        <v>1.49</v>
      </c>
      <c r="BC352" s="28">
        <f t="shared" si="165"/>
        <v>2.18</v>
      </c>
      <c r="BD352" s="28">
        <f t="shared" si="168"/>
        <v>2.74</v>
      </c>
      <c r="BE352" s="28">
        <f t="shared" si="160"/>
        <v>3.07</v>
      </c>
      <c r="BF352" s="28">
        <f t="shared" si="149"/>
        <v>5.15</v>
      </c>
      <c r="BG352" s="28">
        <f t="shared" si="158"/>
        <v>5.61</v>
      </c>
      <c r="BH352" s="28">
        <f t="shared" si="154"/>
        <v>5.85</v>
      </c>
      <c r="BI352" s="28">
        <f t="shared" si="154"/>
        <v>5.37</v>
      </c>
      <c r="BJ352" s="36">
        <f t="shared" si="162"/>
        <v>-0.00193798449612403</v>
      </c>
      <c r="DP352" s="35">
        <v>43980</v>
      </c>
      <c r="DQ352" s="26">
        <v>3.4</v>
      </c>
      <c r="DR352" s="26">
        <v>3.2</v>
      </c>
      <c r="DS352" s="26">
        <v>3.28</v>
      </c>
      <c r="DU352" s="35">
        <v>43980</v>
      </c>
      <c r="DV352" s="26">
        <v>6.25</v>
      </c>
      <c r="DW352" s="26">
        <v>6</v>
      </c>
      <c r="DX352" s="26">
        <v>6.088</v>
      </c>
      <c r="DZ352" s="35">
        <v>43980</v>
      </c>
      <c r="EA352" s="26">
        <v>15.9</v>
      </c>
      <c r="EB352" s="26">
        <v>15.7</v>
      </c>
      <c r="EC352" s="26">
        <v>15.8</v>
      </c>
    </row>
    <row r="353" ht="16.8" spans="3:133">
      <c r="C353" s="5" t="str" cm="1">
        <f t="array" ref="C353">_xlfn.IFS(MONTH(D353)&lt;4,1,MONTH(D353)&lt;7,2,MONTH(D353)&lt;10,3,MONTH(D353)&gt;9,4)&amp;"Q"&amp;RIGHT(YEAR(D353),2)</f>
        <v>2Q25</v>
      </c>
      <c r="D353" s="2">
        <f t="shared" si="166"/>
        <v>45808</v>
      </c>
      <c r="E353" s="25">
        <f t="shared" si="155"/>
        <v>45796</v>
      </c>
      <c r="F353" s="26">
        <v>1.51</v>
      </c>
      <c r="G353" s="26">
        <v>2.73</v>
      </c>
      <c r="H353" s="26">
        <v>5.15</v>
      </c>
      <c r="I353" s="28">
        <f t="shared" si="167"/>
        <v>0.0471875</v>
      </c>
      <c r="J353" s="28">
        <f t="shared" si="163"/>
        <v>0.04265625</v>
      </c>
      <c r="K353" s="28">
        <f t="shared" si="164"/>
        <v>0.040234375</v>
      </c>
      <c r="M353" s="36">
        <f t="shared" si="169"/>
        <v>0.0134228187919463</v>
      </c>
      <c r="N353" s="36">
        <f t="shared" si="170"/>
        <v>0.0134228187919463</v>
      </c>
      <c r="O353" s="36">
        <f t="shared" si="171"/>
        <v>0.0134228187919463</v>
      </c>
      <c r="P353" s="36">
        <f t="shared" si="172"/>
        <v>-0.0036496350364964</v>
      </c>
      <c r="Q353" s="36">
        <f t="shared" si="173"/>
        <v>-0.0036496350364964</v>
      </c>
      <c r="R353" s="36">
        <f t="shared" si="174"/>
        <v>-0.00727272727272732</v>
      </c>
      <c r="S353" s="36">
        <f t="shared" si="150"/>
        <v>0</v>
      </c>
      <c r="T353" s="36">
        <f t="shared" si="151"/>
        <v>-0.00193798449612403</v>
      </c>
      <c r="U353" s="36">
        <f t="shared" si="152"/>
        <v>-0.0038684719535782</v>
      </c>
      <c r="BA353" s="25">
        <f t="shared" si="161"/>
        <v>45796</v>
      </c>
      <c r="BB353" s="28">
        <f t="shared" si="161"/>
        <v>1.51</v>
      </c>
      <c r="BC353" s="28">
        <f t="shared" si="165"/>
        <v>2.18</v>
      </c>
      <c r="BD353" s="28">
        <f t="shared" si="168"/>
        <v>2.73</v>
      </c>
      <c r="BE353" s="28">
        <f t="shared" si="160"/>
        <v>3.07</v>
      </c>
      <c r="BF353" s="28">
        <f t="shared" si="149"/>
        <v>5.15</v>
      </c>
      <c r="BG353" s="28">
        <f t="shared" si="158"/>
        <v>5.61</v>
      </c>
      <c r="BH353" s="28">
        <f t="shared" si="154"/>
        <v>5.85</v>
      </c>
      <c r="BI353" s="28">
        <f t="shared" si="154"/>
        <v>5.37</v>
      </c>
      <c r="BJ353" s="36">
        <f t="shared" si="162"/>
        <v>0</v>
      </c>
      <c r="DP353" s="35">
        <v>43983</v>
      </c>
      <c r="DQ353" s="26">
        <v>3.4</v>
      </c>
      <c r="DR353" s="26">
        <v>3.2</v>
      </c>
      <c r="DS353" s="26">
        <v>3.287</v>
      </c>
      <c r="DU353" s="35">
        <v>43983</v>
      </c>
      <c r="DV353" s="26">
        <v>6.25</v>
      </c>
      <c r="DW353" s="26">
        <v>6</v>
      </c>
      <c r="DX353" s="26">
        <v>6.088</v>
      </c>
      <c r="DZ353" s="35">
        <v>43983</v>
      </c>
      <c r="EA353" s="26">
        <v>16</v>
      </c>
      <c r="EB353" s="26">
        <v>15.8</v>
      </c>
      <c r="EC353" s="26">
        <v>15.9</v>
      </c>
    </row>
    <row r="354" ht="16.8" spans="3:133">
      <c r="C354" s="5" t="str" cm="1">
        <f t="array" ref="C354">_xlfn.IFS(MONTH(D354)&lt;4,1,MONTH(D354)&lt;7,2,MONTH(D354)&lt;10,3,MONTH(D354)&gt;9,4)&amp;"Q"&amp;RIGHT(YEAR(D354),2)</f>
        <v>2Q25</v>
      </c>
      <c r="D354" s="2">
        <f t="shared" si="166"/>
        <v>45808</v>
      </c>
      <c r="E354" s="25">
        <f t="shared" si="155"/>
        <v>45803</v>
      </c>
      <c r="F354" s="26">
        <v>1.5</v>
      </c>
      <c r="G354" s="26">
        <v>2.73</v>
      </c>
      <c r="H354" s="26">
        <v>5.14</v>
      </c>
      <c r="I354" s="28">
        <f t="shared" si="167"/>
        <v>0.046875</v>
      </c>
      <c r="J354" s="28">
        <f t="shared" si="163"/>
        <v>0.04265625</v>
      </c>
      <c r="K354" s="28">
        <f t="shared" si="164"/>
        <v>0.04015625</v>
      </c>
      <c r="M354" s="36">
        <f t="shared" si="169"/>
        <v>-0.00662251655629142</v>
      </c>
      <c r="N354" s="36">
        <f t="shared" si="170"/>
        <v>0.00671140939597326</v>
      </c>
      <c r="O354" s="36">
        <f t="shared" si="171"/>
        <v>0.00671140939597326</v>
      </c>
      <c r="P354" s="36">
        <f t="shared" si="172"/>
        <v>0</v>
      </c>
      <c r="Q354" s="36">
        <f t="shared" si="173"/>
        <v>-0.0036496350364964</v>
      </c>
      <c r="R354" s="36">
        <f t="shared" si="174"/>
        <v>-0.0036496350364964</v>
      </c>
      <c r="S354" s="36">
        <f t="shared" si="150"/>
        <v>-0.00194174757281562</v>
      </c>
      <c r="T354" s="36">
        <f t="shared" si="151"/>
        <v>-0.00194174757281562</v>
      </c>
      <c r="U354" s="36">
        <f t="shared" si="152"/>
        <v>-0.00387596899224818</v>
      </c>
      <c r="BA354" s="25">
        <f t="shared" si="161"/>
        <v>45803</v>
      </c>
      <c r="BB354" s="28">
        <f t="shared" si="161"/>
        <v>1.5</v>
      </c>
      <c r="BC354" s="28">
        <f t="shared" si="165"/>
        <v>2.18</v>
      </c>
      <c r="BD354" s="28">
        <f t="shared" si="168"/>
        <v>2.73</v>
      </c>
      <c r="BE354" s="28">
        <f t="shared" si="160"/>
        <v>3.07</v>
      </c>
      <c r="BF354" s="28">
        <f t="shared" si="149"/>
        <v>5.14</v>
      </c>
      <c r="BG354" s="28">
        <f t="shared" si="158"/>
        <v>5.61</v>
      </c>
      <c r="BH354" s="28">
        <f t="shared" si="154"/>
        <v>5.85</v>
      </c>
      <c r="BI354" s="28">
        <f t="shared" si="154"/>
        <v>5.37</v>
      </c>
      <c r="BJ354" s="36">
        <f t="shared" si="162"/>
        <v>-0.00194174757281562</v>
      </c>
      <c r="DP354" s="35">
        <v>43984</v>
      </c>
      <c r="DQ354" s="26">
        <v>3.4</v>
      </c>
      <c r="DR354" s="26">
        <v>3.2</v>
      </c>
      <c r="DS354" s="26">
        <v>3.287</v>
      </c>
      <c r="DU354" s="35">
        <v>43984</v>
      </c>
      <c r="DV354" s="26">
        <v>6.25</v>
      </c>
      <c r="DW354" s="26">
        <v>6</v>
      </c>
      <c r="DX354" s="26">
        <v>6.088</v>
      </c>
      <c r="DZ354" s="35">
        <v>43984</v>
      </c>
      <c r="EA354" s="26">
        <v>16</v>
      </c>
      <c r="EB354" s="26">
        <v>15.8</v>
      </c>
      <c r="EC354" s="26">
        <v>15.9</v>
      </c>
    </row>
    <row r="355" ht="16.8" spans="3:133">
      <c r="C355" s="5" t="str" cm="1">
        <f t="array" ref="C355">_xlfn.IFS(MONTH(D355)&lt;4,1,MONTH(D355)&lt;7,2,MONTH(D355)&lt;10,3,MONTH(D355)&gt;9,4)&amp;"Q"&amp;RIGHT(YEAR(D355),2)</f>
        <v>2Q25</v>
      </c>
      <c r="D355" s="2">
        <f t="shared" si="166"/>
        <v>45838</v>
      </c>
      <c r="E355" s="25">
        <f t="shared" si="155"/>
        <v>45810</v>
      </c>
      <c r="F355" s="26">
        <v>1.5</v>
      </c>
      <c r="G355" s="26">
        <v>2.71</v>
      </c>
      <c r="H355" s="26">
        <v>5.13</v>
      </c>
      <c r="I355" s="28">
        <f t="shared" si="167"/>
        <v>0.046875</v>
      </c>
      <c r="J355" s="28">
        <f t="shared" si="163"/>
        <v>0.04234375</v>
      </c>
      <c r="K355" s="28">
        <f t="shared" si="164"/>
        <v>0.040078125</v>
      </c>
      <c r="M355" s="36">
        <f t="shared" si="169"/>
        <v>0</v>
      </c>
      <c r="N355" s="36">
        <f t="shared" si="170"/>
        <v>-0.00662251655629142</v>
      </c>
      <c r="O355" s="36">
        <f t="shared" si="171"/>
        <v>0.00671140939597326</v>
      </c>
      <c r="P355" s="36">
        <f t="shared" si="172"/>
        <v>-0.0073260073260073</v>
      </c>
      <c r="Q355" s="36">
        <f t="shared" si="173"/>
        <v>-0.0073260073260073</v>
      </c>
      <c r="R355" s="36">
        <f t="shared" si="174"/>
        <v>-0.0109489051094891</v>
      </c>
      <c r="S355" s="36">
        <f t="shared" si="150"/>
        <v>-0.00194552529182879</v>
      </c>
      <c r="T355" s="36">
        <f t="shared" si="151"/>
        <v>-0.00388349514563113</v>
      </c>
      <c r="U355" s="36">
        <f t="shared" si="152"/>
        <v>-0.00388349514563113</v>
      </c>
      <c r="BA355" s="25">
        <f t="shared" si="161"/>
        <v>45810</v>
      </c>
      <c r="BB355" s="28">
        <f t="shared" si="161"/>
        <v>1.5</v>
      </c>
      <c r="BC355" s="28">
        <f t="shared" si="165"/>
        <v>2.37</v>
      </c>
      <c r="BD355" s="28">
        <f t="shared" si="168"/>
        <v>2.71</v>
      </c>
      <c r="BE355" s="28">
        <f t="shared" si="160"/>
        <v>3.13</v>
      </c>
      <c r="BF355" s="28">
        <f t="shared" ref="BF355:BF406" si="175">H355</f>
        <v>5.13</v>
      </c>
      <c r="BG355" s="28">
        <f t="shared" si="158"/>
        <v>5.68</v>
      </c>
      <c r="BH355" s="28">
        <f t="shared" si="154"/>
        <v>5.91</v>
      </c>
      <c r="BI355" s="28">
        <f t="shared" si="154"/>
        <v>5.45</v>
      </c>
      <c r="BJ355" s="36">
        <f t="shared" si="162"/>
        <v>-0.00194552529182879</v>
      </c>
      <c r="DP355" s="35">
        <v>43985</v>
      </c>
      <c r="DQ355" s="26">
        <v>3.4</v>
      </c>
      <c r="DR355" s="26">
        <v>3.2</v>
      </c>
      <c r="DS355" s="26">
        <v>3.28</v>
      </c>
      <c r="DU355" s="35">
        <v>43985</v>
      </c>
      <c r="DV355" s="26">
        <v>6.25</v>
      </c>
      <c r="DW355" s="26">
        <v>6</v>
      </c>
      <c r="DX355" s="26">
        <v>6.088</v>
      </c>
      <c r="DZ355" s="35">
        <v>43985</v>
      </c>
      <c r="EA355" s="26">
        <v>16.1</v>
      </c>
      <c r="EB355" s="26">
        <v>15.9</v>
      </c>
      <c r="EC355" s="26">
        <v>16</v>
      </c>
    </row>
    <row r="356" ht="16.8" spans="3:133">
      <c r="C356" s="5" t="str" cm="1">
        <f t="array" ref="C356">_xlfn.IFS(MONTH(D356)&lt;4,1,MONTH(D356)&lt;7,2,MONTH(D356)&lt;10,3,MONTH(D356)&gt;9,4)&amp;"Q"&amp;RIGHT(YEAR(D356),2)</f>
        <v>2Q25</v>
      </c>
      <c r="D356" s="2">
        <f t="shared" si="166"/>
        <v>45838</v>
      </c>
      <c r="E356" s="25">
        <f t="shared" si="155"/>
        <v>45817</v>
      </c>
      <c r="F356" s="26">
        <v>1.5</v>
      </c>
      <c r="G356" s="26">
        <v>2.71</v>
      </c>
      <c r="H356" s="26">
        <v>5.11</v>
      </c>
      <c r="I356" s="28">
        <f t="shared" si="167"/>
        <v>0.046875</v>
      </c>
      <c r="J356" s="28">
        <f t="shared" si="163"/>
        <v>0.04234375</v>
      </c>
      <c r="K356" s="28">
        <f t="shared" si="164"/>
        <v>0.039921875</v>
      </c>
      <c r="M356" s="36">
        <f t="shared" si="169"/>
        <v>0</v>
      </c>
      <c r="N356" s="36">
        <f t="shared" si="170"/>
        <v>0</v>
      </c>
      <c r="O356" s="36">
        <f t="shared" si="171"/>
        <v>-0.00662251655629142</v>
      </c>
      <c r="P356" s="36">
        <f t="shared" si="172"/>
        <v>0</v>
      </c>
      <c r="Q356" s="36">
        <f t="shared" si="173"/>
        <v>-0.0073260073260073</v>
      </c>
      <c r="R356" s="36">
        <f t="shared" si="174"/>
        <v>-0.0073260073260073</v>
      </c>
      <c r="S356" s="36">
        <f t="shared" ref="S356:S406" si="176">$H356/$H355-1</f>
        <v>-0.00389863547758273</v>
      </c>
      <c r="T356" s="36">
        <f t="shared" si="151"/>
        <v>-0.00583657587548625</v>
      </c>
      <c r="U356" s="36">
        <f t="shared" si="152"/>
        <v>-0.00776699029126215</v>
      </c>
      <c r="BA356" s="25">
        <f t="shared" si="161"/>
        <v>45817</v>
      </c>
      <c r="BB356" s="28">
        <f t="shared" si="161"/>
        <v>1.5</v>
      </c>
      <c r="BC356" s="28">
        <f t="shared" si="165"/>
        <v>2.37</v>
      </c>
      <c r="BD356" s="28">
        <f t="shared" si="168"/>
        <v>2.71</v>
      </c>
      <c r="BE356" s="28">
        <f t="shared" si="160"/>
        <v>3.13</v>
      </c>
      <c r="BF356" s="28">
        <f t="shared" si="175"/>
        <v>5.11</v>
      </c>
      <c r="BG356" s="28">
        <f t="shared" si="158"/>
        <v>5.68</v>
      </c>
      <c r="BH356" s="28">
        <f t="shared" si="154"/>
        <v>5.91</v>
      </c>
      <c r="BI356" s="28">
        <f t="shared" si="154"/>
        <v>5.45</v>
      </c>
      <c r="BJ356" s="36">
        <f t="shared" si="162"/>
        <v>-0.00389863547758273</v>
      </c>
      <c r="DP356" s="35">
        <v>43986</v>
      </c>
      <c r="DQ356" s="26">
        <v>3.4</v>
      </c>
      <c r="DR356" s="26">
        <v>3.2</v>
      </c>
      <c r="DS356" s="26">
        <v>3.273</v>
      </c>
      <c r="DU356" s="35">
        <v>43986</v>
      </c>
      <c r="DV356" s="26">
        <v>6.25</v>
      </c>
      <c r="DW356" s="26">
        <v>6</v>
      </c>
      <c r="DX356" s="26">
        <v>6.088</v>
      </c>
      <c r="DZ356" s="35">
        <v>43986</v>
      </c>
      <c r="EA356" s="26">
        <v>16.1</v>
      </c>
      <c r="EB356" s="26">
        <v>15.9</v>
      </c>
      <c r="EC356" s="26">
        <v>16</v>
      </c>
    </row>
    <row r="357" ht="16.8" spans="3:133">
      <c r="C357" s="5" t="str" cm="1">
        <f t="array" ref="C357">_xlfn.IFS(MONTH(D357)&lt;4,1,MONTH(D357)&lt;7,2,MONTH(D357)&lt;10,3,MONTH(D357)&gt;9,4)&amp;"Q"&amp;RIGHT(YEAR(D357),2)</f>
        <v>2Q25</v>
      </c>
      <c r="D357" s="2">
        <f t="shared" si="166"/>
        <v>45838</v>
      </c>
      <c r="E357" s="25">
        <f t="shared" si="155"/>
        <v>45824</v>
      </c>
      <c r="F357" s="26">
        <v>1.49</v>
      </c>
      <c r="G357" s="26">
        <v>2.69</v>
      </c>
      <c r="H357" s="26">
        <v>5.08</v>
      </c>
      <c r="I357" s="28">
        <f t="shared" si="167"/>
        <v>0.0465625</v>
      </c>
      <c r="J357" s="28">
        <f t="shared" si="163"/>
        <v>0.04203125</v>
      </c>
      <c r="K357" s="28">
        <f t="shared" si="164"/>
        <v>0.0396875</v>
      </c>
      <c r="M357" s="36">
        <f t="shared" si="169"/>
        <v>-0.00666666666666671</v>
      </c>
      <c r="N357" s="36">
        <f t="shared" si="170"/>
        <v>-0.00666666666666671</v>
      </c>
      <c r="O357" s="36">
        <f t="shared" si="171"/>
        <v>-0.00666666666666671</v>
      </c>
      <c r="P357" s="36">
        <f t="shared" si="172"/>
        <v>-0.00738007380073802</v>
      </c>
      <c r="Q357" s="36">
        <f t="shared" si="173"/>
        <v>-0.00738007380073802</v>
      </c>
      <c r="R357" s="36">
        <f t="shared" si="174"/>
        <v>-0.0146520146520147</v>
      </c>
      <c r="S357" s="36">
        <f t="shared" si="176"/>
        <v>-0.0058708414872799</v>
      </c>
      <c r="T357" s="36">
        <f t="shared" ref="T357:T406" si="177">$H357/$H355-1</f>
        <v>-0.00974658869395706</v>
      </c>
      <c r="U357" s="36">
        <f t="shared" si="152"/>
        <v>-0.0116731517509727</v>
      </c>
      <c r="BA357" s="25">
        <f t="shared" si="161"/>
        <v>45824</v>
      </c>
      <c r="BB357" s="28">
        <f t="shared" si="161"/>
        <v>1.49</v>
      </c>
      <c r="BC357" s="28">
        <f t="shared" si="165"/>
        <v>2.37</v>
      </c>
      <c r="BD357" s="28">
        <f t="shared" si="168"/>
        <v>2.69</v>
      </c>
      <c r="BE357" s="28">
        <f t="shared" si="160"/>
        <v>3.13</v>
      </c>
      <c r="BF357" s="28">
        <f t="shared" si="175"/>
        <v>5.08</v>
      </c>
      <c r="BG357" s="28">
        <f t="shared" si="158"/>
        <v>5.68</v>
      </c>
      <c r="BH357" s="28">
        <f t="shared" si="154"/>
        <v>5.91</v>
      </c>
      <c r="BI357" s="28">
        <f t="shared" si="154"/>
        <v>5.45</v>
      </c>
      <c r="BJ357" s="36">
        <f t="shared" si="162"/>
        <v>-0.0058708414872799</v>
      </c>
      <c r="DP357" s="35">
        <v>43987</v>
      </c>
      <c r="DQ357" s="26">
        <v>3.4</v>
      </c>
      <c r="DR357" s="26">
        <v>3.2</v>
      </c>
      <c r="DS357" s="26">
        <v>3.28</v>
      </c>
      <c r="DU357" s="35">
        <v>43987</v>
      </c>
      <c r="DV357" s="26">
        <v>6.2</v>
      </c>
      <c r="DW357" s="26">
        <v>6</v>
      </c>
      <c r="DX357" s="26">
        <v>6.081</v>
      </c>
      <c r="DZ357" s="35">
        <v>43987</v>
      </c>
      <c r="EA357" s="26">
        <v>16.1</v>
      </c>
      <c r="EB357" s="26">
        <v>16</v>
      </c>
      <c r="EC357" s="26">
        <v>16.05</v>
      </c>
    </row>
    <row r="358" ht="16.8" spans="3:133">
      <c r="C358" s="5" t="str" cm="1">
        <f t="array" ref="C358">_xlfn.IFS(MONTH(D358)&lt;4,1,MONTH(D358)&lt;7,2,MONTH(D358)&lt;10,3,MONTH(D358)&gt;9,4)&amp;"Q"&amp;RIGHT(YEAR(D358),2)</f>
        <v>2Q25</v>
      </c>
      <c r="D358" s="2">
        <f t="shared" si="166"/>
        <v>45838</v>
      </c>
      <c r="E358" s="25">
        <f t="shared" si="155"/>
        <v>45831</v>
      </c>
      <c r="F358" s="26">
        <v>1.49</v>
      </c>
      <c r="G358" s="26">
        <v>2.68</v>
      </c>
      <c r="H358" s="26">
        <v>5.07</v>
      </c>
      <c r="I358" s="28">
        <f t="shared" si="167"/>
        <v>0.0465625</v>
      </c>
      <c r="J358" s="28">
        <f t="shared" si="163"/>
        <v>0.041875</v>
      </c>
      <c r="K358" s="28">
        <f t="shared" si="164"/>
        <v>0.039609375</v>
      </c>
      <c r="M358" s="36">
        <f t="shared" si="169"/>
        <v>0</v>
      </c>
      <c r="N358" s="36">
        <f t="shared" si="170"/>
        <v>-0.00666666666666671</v>
      </c>
      <c r="O358" s="36">
        <f t="shared" si="171"/>
        <v>-0.00666666666666671</v>
      </c>
      <c r="P358" s="36">
        <f t="shared" si="172"/>
        <v>-0.00371747211895901</v>
      </c>
      <c r="Q358" s="36">
        <f t="shared" si="173"/>
        <v>-0.011070110701107</v>
      </c>
      <c r="R358" s="36">
        <f t="shared" si="174"/>
        <v>-0.011070110701107</v>
      </c>
      <c r="S358" s="36">
        <f t="shared" si="176"/>
        <v>-0.00196850393700787</v>
      </c>
      <c r="T358" s="36">
        <f t="shared" si="177"/>
        <v>-0.00782778864970646</v>
      </c>
      <c r="U358" s="36">
        <f t="shared" ref="U358:U406" si="178">$H358/$H355-1</f>
        <v>-0.0116959064327484</v>
      </c>
      <c r="BA358" s="25">
        <f t="shared" si="161"/>
        <v>45831</v>
      </c>
      <c r="BB358" s="28">
        <f t="shared" si="161"/>
        <v>1.49</v>
      </c>
      <c r="BC358" s="28">
        <f t="shared" si="165"/>
        <v>2.37</v>
      </c>
      <c r="BD358" s="28">
        <f t="shared" si="168"/>
        <v>2.68</v>
      </c>
      <c r="BE358" s="28">
        <f t="shared" si="160"/>
        <v>3.13</v>
      </c>
      <c r="BF358" s="28">
        <f t="shared" si="175"/>
        <v>5.07</v>
      </c>
      <c r="BG358" s="28">
        <f t="shared" si="158"/>
        <v>5.68</v>
      </c>
      <c r="BH358" s="28">
        <f t="shared" si="154"/>
        <v>5.91</v>
      </c>
      <c r="BI358" s="28">
        <f t="shared" si="154"/>
        <v>5.45</v>
      </c>
      <c r="BJ358" s="36">
        <f t="shared" si="162"/>
        <v>-0.00196850393700787</v>
      </c>
      <c r="DP358" s="35">
        <v>43990</v>
      </c>
      <c r="DQ358" s="26">
        <v>3.4</v>
      </c>
      <c r="DR358" s="26">
        <v>3.2</v>
      </c>
      <c r="DS358" s="26">
        <v>3.28</v>
      </c>
      <c r="DU358" s="35">
        <v>43990</v>
      </c>
      <c r="DV358" s="26">
        <v>6.2</v>
      </c>
      <c r="DW358" s="26">
        <v>6</v>
      </c>
      <c r="DX358" s="26">
        <v>6.081</v>
      </c>
      <c r="DZ358" s="35">
        <v>43990</v>
      </c>
      <c r="EA358" s="26">
        <v>16.1</v>
      </c>
      <c r="EB358" s="26">
        <v>16</v>
      </c>
      <c r="EC358" s="26">
        <v>16.05</v>
      </c>
    </row>
    <row r="359" ht="16.8" spans="3:133">
      <c r="C359" s="5" t="str" cm="1">
        <f t="array" ref="C359">_xlfn.IFS(MONTH(D359)&lt;4,1,MONTH(D359)&lt;7,2,MONTH(D359)&lt;10,3,MONTH(D359)&gt;9,4)&amp;"Q"&amp;RIGHT(YEAR(D359),2)</f>
        <v>2Q25</v>
      </c>
      <c r="D359" s="2">
        <f t="shared" si="166"/>
        <v>45838</v>
      </c>
      <c r="E359" s="25">
        <f t="shared" si="155"/>
        <v>45838</v>
      </c>
      <c r="F359" s="26">
        <v>1.5</v>
      </c>
      <c r="G359" s="26">
        <v>2.68</v>
      </c>
      <c r="H359" s="26">
        <v>5.06</v>
      </c>
      <c r="I359" s="28">
        <f t="shared" si="167"/>
        <v>0.046875</v>
      </c>
      <c r="J359" s="28">
        <f t="shared" si="163"/>
        <v>0.041875</v>
      </c>
      <c r="K359" s="28">
        <f t="shared" si="164"/>
        <v>0.03953125</v>
      </c>
      <c r="M359" s="36">
        <f t="shared" si="169"/>
        <v>0.00671140939597326</v>
      </c>
      <c r="N359" s="36">
        <f t="shared" si="170"/>
        <v>0.00671140939597326</v>
      </c>
      <c r="O359" s="36">
        <f t="shared" si="171"/>
        <v>0</v>
      </c>
      <c r="P359" s="36">
        <f t="shared" si="172"/>
        <v>0</v>
      </c>
      <c r="Q359" s="36">
        <f t="shared" si="173"/>
        <v>-0.00371747211895901</v>
      </c>
      <c r="R359" s="36">
        <f t="shared" si="174"/>
        <v>-0.011070110701107</v>
      </c>
      <c r="S359" s="36">
        <f t="shared" si="176"/>
        <v>-0.00197238658777132</v>
      </c>
      <c r="T359" s="36">
        <f t="shared" si="177"/>
        <v>-0.00393700787401585</v>
      </c>
      <c r="U359" s="36">
        <f t="shared" si="178"/>
        <v>-0.00978473581213324</v>
      </c>
      <c r="BA359" s="25">
        <f t="shared" si="161"/>
        <v>45838</v>
      </c>
      <c r="BB359" s="28">
        <f t="shared" si="161"/>
        <v>1.5</v>
      </c>
      <c r="BC359" s="28">
        <f t="shared" si="165"/>
        <v>2.37</v>
      </c>
      <c r="BD359" s="28">
        <f t="shared" si="168"/>
        <v>2.68</v>
      </c>
      <c r="BE359" s="28">
        <f t="shared" si="160"/>
        <v>3.13</v>
      </c>
      <c r="BF359" s="28">
        <f t="shared" si="175"/>
        <v>5.06</v>
      </c>
      <c r="BG359" s="28">
        <f t="shared" si="158"/>
        <v>5.68</v>
      </c>
      <c r="BH359" s="28">
        <f t="shared" si="154"/>
        <v>5.91</v>
      </c>
      <c r="BI359" s="28">
        <f t="shared" si="154"/>
        <v>5.45</v>
      </c>
      <c r="BJ359" s="36">
        <f t="shared" si="162"/>
        <v>-0.00197238658777132</v>
      </c>
      <c r="DP359" s="35">
        <v>43991</v>
      </c>
      <c r="DQ359" s="26">
        <v>3.4</v>
      </c>
      <c r="DR359" s="26">
        <v>3.2</v>
      </c>
      <c r="DS359" s="26">
        <v>3.28</v>
      </c>
      <c r="DU359" s="35">
        <v>43991</v>
      </c>
      <c r="DV359" s="26">
        <v>6.2</v>
      </c>
      <c r="DW359" s="26">
        <v>6</v>
      </c>
      <c r="DX359" s="26">
        <v>6.077</v>
      </c>
      <c r="DZ359" s="35">
        <v>43991</v>
      </c>
      <c r="EA359" s="26">
        <v>16.15</v>
      </c>
      <c r="EB359" s="26">
        <v>16</v>
      </c>
      <c r="EC359" s="26">
        <v>16.1</v>
      </c>
    </row>
    <row r="360" ht="16.8" spans="3:133">
      <c r="C360" s="5" t="str" cm="1">
        <f t="array" ref="C360">_xlfn.IFS(MONTH(D360)&lt;4,1,MONTH(D360)&lt;7,2,MONTH(D360)&lt;10,3,MONTH(D360)&gt;9,4)&amp;"Q"&amp;RIGHT(YEAR(D360),2)</f>
        <v>3Q25</v>
      </c>
      <c r="D360" s="2">
        <f t="shared" si="166"/>
        <v>45869</v>
      </c>
      <c r="E360" s="25">
        <f t="shared" si="155"/>
        <v>45845</v>
      </c>
      <c r="F360" s="26">
        <v>1.5</v>
      </c>
      <c r="G360" s="26">
        <v>2.68</v>
      </c>
      <c r="H360" s="26">
        <v>5.06</v>
      </c>
      <c r="I360" s="28">
        <f t="shared" si="167"/>
        <v>0.046875</v>
      </c>
      <c r="J360" s="28">
        <f t="shared" si="163"/>
        <v>0.041875</v>
      </c>
      <c r="K360" s="28">
        <f t="shared" si="164"/>
        <v>0.03953125</v>
      </c>
      <c r="M360" s="36">
        <f t="shared" si="169"/>
        <v>0</v>
      </c>
      <c r="N360" s="36">
        <f t="shared" si="170"/>
        <v>0.00671140939597326</v>
      </c>
      <c r="O360" s="36">
        <f t="shared" si="171"/>
        <v>0.00671140939597326</v>
      </c>
      <c r="P360" s="36">
        <f t="shared" si="172"/>
        <v>0</v>
      </c>
      <c r="Q360" s="36">
        <f t="shared" si="173"/>
        <v>0</v>
      </c>
      <c r="R360" s="36">
        <f t="shared" si="174"/>
        <v>-0.00371747211895901</v>
      </c>
      <c r="S360" s="36">
        <f t="shared" si="176"/>
        <v>0</v>
      </c>
      <c r="T360" s="36">
        <f t="shared" si="177"/>
        <v>-0.00197238658777132</v>
      </c>
      <c r="U360" s="36">
        <f t="shared" si="178"/>
        <v>-0.00393700787401585</v>
      </c>
      <c r="BA360" s="25">
        <f t="shared" si="161"/>
        <v>45845</v>
      </c>
      <c r="BB360" s="28">
        <f t="shared" si="161"/>
        <v>1.5</v>
      </c>
      <c r="BC360" s="28">
        <f t="shared" si="165"/>
        <v>2.56</v>
      </c>
      <c r="BD360" s="28">
        <f t="shared" si="168"/>
        <v>2.68</v>
      </c>
      <c r="BE360" s="28">
        <f t="shared" si="160"/>
        <v>3.26</v>
      </c>
      <c r="BF360" s="28">
        <f t="shared" si="175"/>
        <v>5.06</v>
      </c>
      <c r="BG360" s="28">
        <f t="shared" si="158"/>
        <v>5.79</v>
      </c>
      <c r="BH360" s="28">
        <f t="shared" si="154"/>
        <v>5.9</v>
      </c>
      <c r="BI360" s="28">
        <f t="shared" si="154"/>
        <v>5.68</v>
      </c>
      <c r="BJ360" s="36">
        <f t="shared" si="162"/>
        <v>0</v>
      </c>
      <c r="DP360" s="35">
        <v>43992</v>
      </c>
      <c r="DQ360" s="26">
        <v>3.4</v>
      </c>
      <c r="DR360" s="26">
        <v>3.2</v>
      </c>
      <c r="DS360" s="26">
        <v>3.28</v>
      </c>
      <c r="DU360" s="35">
        <v>43992</v>
      </c>
      <c r="DV360" s="26">
        <v>6.2</v>
      </c>
      <c r="DW360" s="26">
        <v>6</v>
      </c>
      <c r="DX360" s="26">
        <v>6.077</v>
      </c>
      <c r="DZ360" s="35">
        <v>43992</v>
      </c>
      <c r="EA360" s="26">
        <v>16.15</v>
      </c>
      <c r="EB360" s="26">
        <v>16</v>
      </c>
      <c r="EC360" s="26">
        <v>16.1</v>
      </c>
    </row>
    <row r="361" ht="16.8" spans="3:133">
      <c r="C361" s="5" t="str" cm="1">
        <f t="array" ref="C361">_xlfn.IFS(MONTH(D361)&lt;4,1,MONTH(D361)&lt;7,2,MONTH(D361)&lt;10,3,MONTH(D361)&gt;9,4)&amp;"Q"&amp;RIGHT(YEAR(D361),2)</f>
        <v>3Q25</v>
      </c>
      <c r="D361" s="2">
        <f t="shared" si="166"/>
        <v>45869</v>
      </c>
      <c r="E361" s="25">
        <f t="shared" si="155"/>
        <v>45852</v>
      </c>
      <c r="F361" s="26">
        <v>1.5</v>
      </c>
      <c r="G361" s="26">
        <v>2.67</v>
      </c>
      <c r="H361" s="26">
        <v>5.05</v>
      </c>
      <c r="I361" s="28">
        <f t="shared" si="167"/>
        <v>0.046875</v>
      </c>
      <c r="J361" s="28">
        <f t="shared" si="163"/>
        <v>0.04171875</v>
      </c>
      <c r="K361" s="28">
        <f t="shared" si="164"/>
        <v>0.039453125</v>
      </c>
      <c r="M361" s="36">
        <f t="shared" si="169"/>
        <v>0</v>
      </c>
      <c r="N361" s="36">
        <f t="shared" si="170"/>
        <v>0</v>
      </c>
      <c r="O361" s="36">
        <f t="shared" si="171"/>
        <v>0.00671140939597326</v>
      </c>
      <c r="P361" s="36">
        <f t="shared" si="172"/>
        <v>-0.00373134328358216</v>
      </c>
      <c r="Q361" s="36">
        <f t="shared" si="173"/>
        <v>-0.00373134328358216</v>
      </c>
      <c r="R361" s="36">
        <f t="shared" si="174"/>
        <v>-0.00373134328358216</v>
      </c>
      <c r="S361" s="36">
        <f t="shared" si="176"/>
        <v>-0.00197628458498023</v>
      </c>
      <c r="T361" s="36">
        <f t="shared" si="177"/>
        <v>-0.00197628458498023</v>
      </c>
      <c r="U361" s="36">
        <f t="shared" si="178"/>
        <v>-0.00394477317554254</v>
      </c>
      <c r="BA361" s="25">
        <f t="shared" ref="BA361:BB376" si="179">E361</f>
        <v>45852</v>
      </c>
      <c r="BB361" s="28">
        <f t="shared" si="179"/>
        <v>1.5</v>
      </c>
      <c r="BC361" s="28">
        <f t="shared" si="165"/>
        <v>2.56</v>
      </c>
      <c r="BD361" s="28">
        <f t="shared" si="168"/>
        <v>2.67</v>
      </c>
      <c r="BE361" s="28">
        <f t="shared" si="160"/>
        <v>3.26</v>
      </c>
      <c r="BF361" s="28">
        <f t="shared" si="175"/>
        <v>5.05</v>
      </c>
      <c r="BG361" s="28">
        <f t="shared" si="158"/>
        <v>5.79</v>
      </c>
      <c r="BH361" s="28">
        <f t="shared" si="154"/>
        <v>5.9</v>
      </c>
      <c r="BI361" s="28">
        <f t="shared" si="154"/>
        <v>5.68</v>
      </c>
      <c r="BJ361" s="36">
        <f t="shared" si="162"/>
        <v>-0.00197628458498023</v>
      </c>
      <c r="DP361" s="35">
        <v>43993</v>
      </c>
      <c r="DQ361" s="26">
        <v>3.4</v>
      </c>
      <c r="DR361" s="26">
        <v>3.2</v>
      </c>
      <c r="DS361" s="26">
        <v>3.28</v>
      </c>
      <c r="DU361" s="35">
        <v>43993</v>
      </c>
      <c r="DV361" s="26">
        <v>6.2</v>
      </c>
      <c r="DW361" s="26">
        <v>6</v>
      </c>
      <c r="DX361" s="26">
        <v>6.077</v>
      </c>
      <c r="DZ361" s="35">
        <v>43993</v>
      </c>
      <c r="EA361" s="26">
        <v>16.15</v>
      </c>
      <c r="EB361" s="26">
        <v>16</v>
      </c>
      <c r="EC361" s="26">
        <v>16.1</v>
      </c>
    </row>
    <row r="362" ht="16.8" spans="3:133">
      <c r="C362" s="5" t="str" cm="1">
        <f t="array" ref="C362">_xlfn.IFS(MONTH(D362)&lt;4,1,MONTH(D362)&lt;7,2,MONTH(D362)&lt;10,3,MONTH(D362)&gt;9,4)&amp;"Q"&amp;RIGHT(YEAR(D362),2)</f>
        <v>3Q25</v>
      </c>
      <c r="D362" s="2">
        <f t="shared" si="166"/>
        <v>45869</v>
      </c>
      <c r="E362" s="25">
        <f t="shared" si="155"/>
        <v>45859</v>
      </c>
      <c r="F362" s="26">
        <v>1.51</v>
      </c>
      <c r="G362" s="26">
        <v>2.7</v>
      </c>
      <c r="H362" s="26">
        <v>5.06</v>
      </c>
      <c r="I362" s="28">
        <f t="shared" si="167"/>
        <v>0.0471875</v>
      </c>
      <c r="J362" s="28">
        <f t="shared" si="163"/>
        <v>0.0421875</v>
      </c>
      <c r="K362" s="28">
        <f t="shared" si="164"/>
        <v>0.03953125</v>
      </c>
      <c r="M362" s="36">
        <f t="shared" si="169"/>
        <v>0.0066666666666666</v>
      </c>
      <c r="N362" s="36">
        <f t="shared" si="170"/>
        <v>0.0066666666666666</v>
      </c>
      <c r="O362" s="36">
        <f t="shared" si="171"/>
        <v>0.0066666666666666</v>
      </c>
      <c r="P362" s="36">
        <f t="shared" si="172"/>
        <v>0.0112359550561798</v>
      </c>
      <c r="Q362" s="36">
        <f t="shared" si="173"/>
        <v>0.00746268656716409</v>
      </c>
      <c r="R362" s="36">
        <f t="shared" si="174"/>
        <v>0.00746268656716409</v>
      </c>
      <c r="S362" s="36">
        <f t="shared" si="176"/>
        <v>0.00198019801980198</v>
      </c>
      <c r="T362" s="36">
        <f t="shared" si="177"/>
        <v>0</v>
      </c>
      <c r="U362" s="36">
        <f t="shared" si="178"/>
        <v>0</v>
      </c>
      <c r="BA362" s="25">
        <f t="shared" si="179"/>
        <v>45859</v>
      </c>
      <c r="BB362" s="28">
        <f t="shared" si="179"/>
        <v>1.51</v>
      </c>
      <c r="BC362" s="28">
        <f t="shared" si="165"/>
        <v>2.56</v>
      </c>
      <c r="BD362" s="28">
        <f t="shared" si="168"/>
        <v>2.7</v>
      </c>
      <c r="BE362" s="28">
        <f t="shared" si="160"/>
        <v>3.26</v>
      </c>
      <c r="BF362" s="28">
        <f t="shared" si="175"/>
        <v>5.06</v>
      </c>
      <c r="BG362" s="28">
        <f t="shared" si="158"/>
        <v>5.79</v>
      </c>
      <c r="BH362" s="28">
        <f t="shared" si="154"/>
        <v>5.9</v>
      </c>
      <c r="BI362" s="28">
        <f t="shared" si="154"/>
        <v>5.68</v>
      </c>
      <c r="BJ362" s="36">
        <f t="shared" si="162"/>
        <v>0.00198019801980198</v>
      </c>
      <c r="DP362" s="35">
        <v>43994</v>
      </c>
      <c r="DQ362" s="26">
        <v>3.4</v>
      </c>
      <c r="DR362" s="26">
        <v>3.2</v>
      </c>
      <c r="DS362" s="26">
        <v>3.267</v>
      </c>
      <c r="DU362" s="35">
        <v>43994</v>
      </c>
      <c r="DV362" s="26">
        <v>6.2</v>
      </c>
      <c r="DW362" s="26">
        <v>6</v>
      </c>
      <c r="DX362" s="26">
        <v>6.065</v>
      </c>
      <c r="DZ362" s="35">
        <v>43994</v>
      </c>
      <c r="EA362" s="26">
        <v>16.15</v>
      </c>
      <c r="EB362" s="26">
        <v>16</v>
      </c>
      <c r="EC362" s="26">
        <v>16.12</v>
      </c>
    </row>
    <row r="363" ht="16.8" spans="3:133">
      <c r="C363" s="5" t="str" cm="1">
        <f t="array" ref="C363">_xlfn.IFS(MONTH(D363)&lt;4,1,MONTH(D363)&lt;7,2,MONTH(D363)&lt;10,3,MONTH(D363)&gt;9,4)&amp;"Q"&amp;RIGHT(YEAR(D363),2)</f>
        <v>3Q25</v>
      </c>
      <c r="D363" s="2">
        <f t="shared" si="166"/>
        <v>45869</v>
      </c>
      <c r="E363" s="25">
        <f t="shared" si="155"/>
        <v>45866</v>
      </c>
      <c r="F363" s="26">
        <v>1.51</v>
      </c>
      <c r="G363" s="26">
        <v>2.72</v>
      </c>
      <c r="H363" s="26">
        <v>5.12</v>
      </c>
      <c r="I363" s="28">
        <f t="shared" si="167"/>
        <v>0.0471875</v>
      </c>
      <c r="J363" s="28">
        <f t="shared" si="163"/>
        <v>0.0425</v>
      </c>
      <c r="K363" s="28">
        <f t="shared" si="164"/>
        <v>0.04</v>
      </c>
      <c r="M363" s="36">
        <f t="shared" si="169"/>
        <v>0</v>
      </c>
      <c r="N363" s="36">
        <f t="shared" si="170"/>
        <v>0.0066666666666666</v>
      </c>
      <c r="O363" s="36">
        <f t="shared" si="171"/>
        <v>0.0066666666666666</v>
      </c>
      <c r="P363" s="36">
        <f t="shared" si="172"/>
        <v>0.00740740740740731</v>
      </c>
      <c r="Q363" s="36">
        <f t="shared" si="173"/>
        <v>0.0187265917602997</v>
      </c>
      <c r="R363" s="36">
        <f t="shared" si="174"/>
        <v>0.0149253731343284</v>
      </c>
      <c r="S363" s="36">
        <f t="shared" si="176"/>
        <v>0.0118577075098816</v>
      </c>
      <c r="T363" s="36">
        <f t="shared" si="177"/>
        <v>0.0138613861386139</v>
      </c>
      <c r="U363" s="36">
        <f t="shared" si="178"/>
        <v>0.0118577075098816</v>
      </c>
      <c r="BA363" s="25">
        <f t="shared" si="179"/>
        <v>45866</v>
      </c>
      <c r="BB363" s="28">
        <f t="shared" si="179"/>
        <v>1.51</v>
      </c>
      <c r="BC363" s="28">
        <f t="shared" si="165"/>
        <v>2.56</v>
      </c>
      <c r="BD363" s="28">
        <f t="shared" si="168"/>
        <v>2.72</v>
      </c>
      <c r="BE363" s="28">
        <f t="shared" si="160"/>
        <v>3.26</v>
      </c>
      <c r="BF363" s="28">
        <f t="shared" si="175"/>
        <v>5.12</v>
      </c>
      <c r="BG363" s="28">
        <f t="shared" si="158"/>
        <v>5.79</v>
      </c>
      <c r="BH363" s="28">
        <f t="shared" si="154"/>
        <v>5.9</v>
      </c>
      <c r="BI363" s="28">
        <f t="shared" si="154"/>
        <v>5.68</v>
      </c>
      <c r="BJ363" s="36">
        <f t="shared" si="162"/>
        <v>0.0118577075098816</v>
      </c>
      <c r="DP363" s="35">
        <v>43997</v>
      </c>
      <c r="DQ363" s="26">
        <v>3.4</v>
      </c>
      <c r="DR363" s="26">
        <v>3.2</v>
      </c>
      <c r="DS363" s="26">
        <v>3.253</v>
      </c>
      <c r="DU363" s="35">
        <v>43997</v>
      </c>
      <c r="DV363" s="26">
        <v>6.2</v>
      </c>
      <c r="DW363" s="26">
        <v>6</v>
      </c>
      <c r="DX363" s="26">
        <v>6.058</v>
      </c>
      <c r="DZ363" s="35">
        <v>43997</v>
      </c>
      <c r="EA363" s="26">
        <v>16.15</v>
      </c>
      <c r="EB363" s="26">
        <v>16</v>
      </c>
      <c r="EC363" s="26">
        <v>16.14</v>
      </c>
    </row>
    <row r="364" ht="16.8" spans="3:133">
      <c r="C364" s="5" t="str" cm="1">
        <f t="array" ref="C364">_xlfn.IFS(MONTH(D364)&lt;4,1,MONTH(D364)&lt;7,2,MONTH(D364)&lt;10,3,MONTH(D364)&gt;9,4)&amp;"Q"&amp;RIGHT(YEAR(D364),2)</f>
        <v>3Q25</v>
      </c>
      <c r="D364" s="2">
        <f t="shared" si="166"/>
        <v>45900</v>
      </c>
      <c r="E364" s="25">
        <f t="shared" si="155"/>
        <v>45873</v>
      </c>
      <c r="F364" s="26">
        <v>1.54</v>
      </c>
      <c r="G364" s="26">
        <v>2.78</v>
      </c>
      <c r="H364" s="26">
        <v>5.12</v>
      </c>
      <c r="I364" s="28">
        <f t="shared" si="167"/>
        <v>0.048125</v>
      </c>
      <c r="J364" s="28">
        <f t="shared" si="163"/>
        <v>0.0434375</v>
      </c>
      <c r="K364" s="28">
        <f t="shared" si="164"/>
        <v>0.04</v>
      </c>
      <c r="M364" s="36">
        <f t="shared" si="169"/>
        <v>0.0198675496688743</v>
      </c>
      <c r="N364" s="36">
        <f t="shared" si="170"/>
        <v>0.0198675496688743</v>
      </c>
      <c r="O364" s="36">
        <f t="shared" si="171"/>
        <v>0.0266666666666666</v>
      </c>
      <c r="P364" s="36">
        <f t="shared" si="172"/>
        <v>0.0220588235294117</v>
      </c>
      <c r="Q364" s="36">
        <f t="shared" si="173"/>
        <v>0.0296296296296295</v>
      </c>
      <c r="R364" s="36">
        <f t="shared" si="174"/>
        <v>0.0411985018726591</v>
      </c>
      <c r="S364" s="36">
        <f t="shared" si="176"/>
        <v>0</v>
      </c>
      <c r="T364" s="36">
        <f t="shared" si="177"/>
        <v>0.0118577075098816</v>
      </c>
      <c r="U364" s="36">
        <f t="shared" si="178"/>
        <v>0.0138613861386139</v>
      </c>
      <c r="BA364" s="25">
        <f t="shared" si="179"/>
        <v>45873</v>
      </c>
      <c r="BB364" s="28">
        <f t="shared" si="179"/>
        <v>1.54</v>
      </c>
      <c r="BC364" s="28">
        <f t="shared" si="165"/>
        <v>2.68</v>
      </c>
      <c r="BD364" s="28">
        <f t="shared" si="168"/>
        <v>2.78</v>
      </c>
      <c r="BE364" s="28">
        <f t="shared" si="160"/>
        <v>3.37</v>
      </c>
      <c r="BF364" s="28">
        <f t="shared" si="175"/>
        <v>5.12</v>
      </c>
      <c r="BG364" s="28">
        <f t="shared" si="158"/>
        <v>5.855</v>
      </c>
      <c r="BH364" s="28">
        <f t="shared" si="154"/>
        <v>5.94</v>
      </c>
      <c r="BI364" s="28">
        <f t="shared" si="154"/>
        <v>5.77</v>
      </c>
      <c r="BJ364" s="36">
        <f t="shared" si="162"/>
        <v>0</v>
      </c>
      <c r="DP364" s="35">
        <v>43998</v>
      </c>
      <c r="DQ364" s="26">
        <v>3.4</v>
      </c>
      <c r="DR364" s="26">
        <v>3.18</v>
      </c>
      <c r="DS364" s="26">
        <v>3.233</v>
      </c>
      <c r="DU364" s="35">
        <v>43998</v>
      </c>
      <c r="DV364" s="26">
        <v>6.2</v>
      </c>
      <c r="DW364" s="26">
        <v>6</v>
      </c>
      <c r="DX364" s="26">
        <v>6.051</v>
      </c>
      <c r="DZ364" s="35">
        <v>43998</v>
      </c>
      <c r="EA364" s="26">
        <v>16.15</v>
      </c>
      <c r="EB364" s="26">
        <v>16</v>
      </c>
      <c r="EC364" s="26">
        <v>16.13</v>
      </c>
    </row>
    <row r="365" ht="16.8" spans="3:133">
      <c r="C365" s="5" t="str" cm="1">
        <f t="array" ref="C365">_xlfn.IFS(MONTH(D365)&lt;4,1,MONTH(D365)&lt;7,2,MONTH(D365)&lt;10,3,MONTH(D365)&gt;9,4)&amp;"Q"&amp;RIGHT(YEAR(D365),2)</f>
        <v>3Q25</v>
      </c>
      <c r="D365" s="2">
        <f t="shared" si="166"/>
        <v>45900</v>
      </c>
      <c r="E365" s="25">
        <f t="shared" si="155"/>
        <v>45880</v>
      </c>
      <c r="F365" s="26">
        <v>1.55</v>
      </c>
      <c r="G365" s="26">
        <v>2.81</v>
      </c>
      <c r="H365" s="26">
        <v>5.1</v>
      </c>
      <c r="I365" s="28">
        <f t="shared" si="167"/>
        <v>0.0484375</v>
      </c>
      <c r="J365" s="28">
        <f t="shared" si="163"/>
        <v>0.04390625</v>
      </c>
      <c r="K365" s="28">
        <f t="shared" si="164"/>
        <v>0.03984375</v>
      </c>
      <c r="M365" s="36">
        <f t="shared" si="169"/>
        <v>0.00649350649350655</v>
      </c>
      <c r="N365" s="36">
        <f t="shared" si="170"/>
        <v>0.0264900662251655</v>
      </c>
      <c r="O365" s="36">
        <f t="shared" si="171"/>
        <v>0.0264900662251655</v>
      </c>
      <c r="P365" s="36">
        <f t="shared" si="172"/>
        <v>0.010791366906475</v>
      </c>
      <c r="Q365" s="36">
        <f t="shared" si="173"/>
        <v>0.0330882352941175</v>
      </c>
      <c r="R365" s="36">
        <f t="shared" si="174"/>
        <v>0.0407407407407407</v>
      </c>
      <c r="S365" s="36">
        <f t="shared" si="176"/>
        <v>-0.00390625000000011</v>
      </c>
      <c r="T365" s="36">
        <f t="shared" si="177"/>
        <v>-0.00390625000000011</v>
      </c>
      <c r="U365" s="36">
        <f t="shared" si="178"/>
        <v>0.0079051383399209</v>
      </c>
      <c r="BA365" s="25">
        <f t="shared" si="179"/>
        <v>45880</v>
      </c>
      <c r="BB365" s="28">
        <f t="shared" si="179"/>
        <v>1.55</v>
      </c>
      <c r="BC365" s="28">
        <f t="shared" si="165"/>
        <v>2.68</v>
      </c>
      <c r="BD365" s="28">
        <f t="shared" si="168"/>
        <v>2.81</v>
      </c>
      <c r="BE365" s="28">
        <f t="shared" si="160"/>
        <v>3.37</v>
      </c>
      <c r="BF365" s="28">
        <f t="shared" si="175"/>
        <v>5.1</v>
      </c>
      <c r="BG365" s="28">
        <f t="shared" si="158"/>
        <v>5.855</v>
      </c>
      <c r="BH365" s="28">
        <f t="shared" si="154"/>
        <v>5.94</v>
      </c>
      <c r="BI365" s="28">
        <f t="shared" si="154"/>
        <v>5.77</v>
      </c>
      <c r="BJ365" s="36">
        <f t="shared" si="162"/>
        <v>-0.00390625000000011</v>
      </c>
      <c r="DP365" s="35">
        <v>43999</v>
      </c>
      <c r="DQ365" s="26">
        <v>3.4</v>
      </c>
      <c r="DR365" s="26">
        <v>3.18</v>
      </c>
      <c r="DS365" s="26">
        <v>3.233</v>
      </c>
      <c r="DU365" s="35">
        <v>43999</v>
      </c>
      <c r="DV365" s="26">
        <v>6.2</v>
      </c>
      <c r="DW365" s="26">
        <v>6</v>
      </c>
      <c r="DX365" s="26">
        <v>6.058</v>
      </c>
      <c r="DZ365" s="35">
        <v>43999</v>
      </c>
      <c r="EA365" s="26">
        <v>16.2</v>
      </c>
      <c r="EB365" s="26">
        <v>16</v>
      </c>
      <c r="EC365" s="26">
        <v>16.15</v>
      </c>
    </row>
    <row r="366" ht="16.8" spans="3:133">
      <c r="C366" s="5" t="str" cm="1">
        <f t="array" ref="C366">_xlfn.IFS(MONTH(D366)&lt;4,1,MONTH(D366)&lt;7,2,MONTH(D366)&lt;10,3,MONTH(D366)&gt;9,4)&amp;"Q"&amp;RIGHT(YEAR(D366),2)</f>
        <v>3Q25</v>
      </c>
      <c r="D366" s="2">
        <f t="shared" si="166"/>
        <v>45900</v>
      </c>
      <c r="E366" s="25">
        <f t="shared" si="155"/>
        <v>45887</v>
      </c>
      <c r="F366" s="26">
        <v>1.56</v>
      </c>
      <c r="G366" s="26">
        <v>2.8</v>
      </c>
      <c r="H366" s="26">
        <v>5.1</v>
      </c>
      <c r="I366" s="28">
        <f t="shared" si="167"/>
        <v>0.04875</v>
      </c>
      <c r="J366" s="28">
        <f t="shared" si="163"/>
        <v>0.04375</v>
      </c>
      <c r="K366" s="28">
        <f t="shared" si="164"/>
        <v>0.03984375</v>
      </c>
      <c r="M366" s="36">
        <f t="shared" si="169"/>
        <v>0.00645161290322571</v>
      </c>
      <c r="N366" s="36">
        <f t="shared" si="170"/>
        <v>0.0129870129870131</v>
      </c>
      <c r="O366" s="36">
        <f t="shared" si="171"/>
        <v>0.0331125827814569</v>
      </c>
      <c r="P366" s="36">
        <f t="shared" si="172"/>
        <v>-0.00355871886121006</v>
      </c>
      <c r="Q366" s="36">
        <f t="shared" si="173"/>
        <v>0.0071942446043165</v>
      </c>
      <c r="R366" s="36">
        <f t="shared" si="174"/>
        <v>0.0294117647058822</v>
      </c>
      <c r="S366" s="36">
        <f t="shared" si="176"/>
        <v>0</v>
      </c>
      <c r="T366" s="36">
        <f t="shared" si="177"/>
        <v>-0.00390625000000011</v>
      </c>
      <c r="U366" s="36">
        <f t="shared" si="178"/>
        <v>-0.00390625000000011</v>
      </c>
      <c r="BA366" s="25">
        <f t="shared" si="179"/>
        <v>45887</v>
      </c>
      <c r="BB366" s="28">
        <f t="shared" si="179"/>
        <v>1.56</v>
      </c>
      <c r="BC366" s="28">
        <f t="shared" si="165"/>
        <v>2.68</v>
      </c>
      <c r="BD366" s="28">
        <f t="shared" si="168"/>
        <v>2.8</v>
      </c>
      <c r="BE366" s="28">
        <f t="shared" si="160"/>
        <v>3.37</v>
      </c>
      <c r="BF366" s="28">
        <f t="shared" si="175"/>
        <v>5.1</v>
      </c>
      <c r="BG366" s="28">
        <f t="shared" si="158"/>
        <v>5.855</v>
      </c>
      <c r="BH366" s="28">
        <f t="shared" si="154"/>
        <v>5.94</v>
      </c>
      <c r="BI366" s="28">
        <f t="shared" si="154"/>
        <v>5.77</v>
      </c>
      <c r="BJ366" s="36">
        <f t="shared" si="162"/>
        <v>0</v>
      </c>
      <c r="DP366" s="35">
        <v>44000</v>
      </c>
      <c r="DQ366" s="26">
        <v>3.4</v>
      </c>
      <c r="DR366" s="26">
        <v>3.18</v>
      </c>
      <c r="DS366" s="26">
        <v>3.233</v>
      </c>
      <c r="DU366" s="35">
        <v>44000</v>
      </c>
      <c r="DV366" s="26">
        <v>6.2</v>
      </c>
      <c r="DW366" s="26">
        <v>6</v>
      </c>
      <c r="DX366" s="26">
        <v>6.062</v>
      </c>
      <c r="DZ366" s="35">
        <v>44000</v>
      </c>
      <c r="EA366" s="26">
        <v>16.2</v>
      </c>
      <c r="EB366" s="26">
        <v>16</v>
      </c>
      <c r="EC366" s="26">
        <v>16.15</v>
      </c>
    </row>
    <row r="367" ht="16.8" spans="3:133">
      <c r="C367" s="5" t="str" cm="1">
        <f t="array" ref="C367">_xlfn.IFS(MONTH(D367)&lt;4,1,MONTH(D367)&lt;7,2,MONTH(D367)&lt;10,3,MONTH(D367)&gt;9,4)&amp;"Q"&amp;RIGHT(YEAR(D367),2)</f>
        <v>3Q25</v>
      </c>
      <c r="D367" s="2">
        <f t="shared" si="166"/>
        <v>45900</v>
      </c>
      <c r="E367" s="25">
        <f t="shared" si="155"/>
        <v>45894</v>
      </c>
      <c r="F367" s="26">
        <v>1.56</v>
      </c>
      <c r="G367" s="26">
        <v>2.8</v>
      </c>
      <c r="H367" s="26">
        <v>5.1</v>
      </c>
      <c r="I367" s="28">
        <f t="shared" si="167"/>
        <v>0.04875</v>
      </c>
      <c r="J367" s="28">
        <f t="shared" si="163"/>
        <v>0.04375</v>
      </c>
      <c r="K367" s="28">
        <f t="shared" si="164"/>
        <v>0.03984375</v>
      </c>
      <c r="M367" s="36">
        <f t="shared" si="169"/>
        <v>0</v>
      </c>
      <c r="N367" s="36">
        <f t="shared" si="170"/>
        <v>0.00645161290322571</v>
      </c>
      <c r="O367" s="36">
        <f t="shared" si="171"/>
        <v>0.0129870129870131</v>
      </c>
      <c r="P367" s="36">
        <f t="shared" si="172"/>
        <v>0</v>
      </c>
      <c r="Q367" s="36">
        <f t="shared" si="173"/>
        <v>-0.00355871886121006</v>
      </c>
      <c r="R367" s="36">
        <f t="shared" si="174"/>
        <v>0.0071942446043165</v>
      </c>
      <c r="S367" s="36">
        <f t="shared" si="176"/>
        <v>0</v>
      </c>
      <c r="T367" s="36">
        <f t="shared" si="177"/>
        <v>0</v>
      </c>
      <c r="U367" s="36">
        <f t="shared" si="178"/>
        <v>-0.00390625000000011</v>
      </c>
      <c r="BA367" s="25">
        <f t="shared" si="179"/>
        <v>45894</v>
      </c>
      <c r="BB367" s="28">
        <f t="shared" si="179"/>
        <v>1.56</v>
      </c>
      <c r="BC367" s="28">
        <f t="shared" si="165"/>
        <v>2.68</v>
      </c>
      <c r="BD367" s="28">
        <f t="shared" si="168"/>
        <v>2.8</v>
      </c>
      <c r="BE367" s="28">
        <f t="shared" si="160"/>
        <v>3.37</v>
      </c>
      <c r="BF367" s="28">
        <f t="shared" si="175"/>
        <v>5.1</v>
      </c>
      <c r="BG367" s="28">
        <f t="shared" si="158"/>
        <v>5.855</v>
      </c>
      <c r="BH367" s="28">
        <f t="shared" si="154"/>
        <v>5.94</v>
      </c>
      <c r="BI367" s="28">
        <f t="shared" si="154"/>
        <v>5.77</v>
      </c>
      <c r="BJ367" s="36">
        <f t="shared" si="162"/>
        <v>0</v>
      </c>
      <c r="DP367" s="35">
        <v>44001</v>
      </c>
      <c r="DQ367" s="26">
        <v>3.4</v>
      </c>
      <c r="DR367" s="26">
        <v>3.18</v>
      </c>
      <c r="DS367" s="26">
        <v>3.237</v>
      </c>
      <c r="DU367" s="35">
        <v>44001</v>
      </c>
      <c r="DV367" s="26">
        <v>6.2</v>
      </c>
      <c r="DW367" s="26">
        <v>6</v>
      </c>
      <c r="DX367" s="26">
        <v>6.068</v>
      </c>
      <c r="DZ367" s="35">
        <v>44001</v>
      </c>
      <c r="EA367" s="26">
        <v>16.25</v>
      </c>
      <c r="EB367" s="26">
        <v>16</v>
      </c>
      <c r="EC367" s="26">
        <v>16.2</v>
      </c>
    </row>
    <row r="368" ht="16.8" spans="3:133">
      <c r="C368" s="5" t="str" cm="1">
        <f t="array" ref="C368">_xlfn.IFS(MONTH(D368)&lt;4,1,MONTH(D368)&lt;7,2,MONTH(D368)&lt;10,3,MONTH(D368)&gt;9,4)&amp;"Q"&amp;RIGHT(YEAR(D368),2)</f>
        <v>3Q25</v>
      </c>
      <c r="D368" s="2">
        <f t="shared" si="166"/>
        <v>45930</v>
      </c>
      <c r="E368" s="25">
        <f t="shared" si="155"/>
        <v>45901</v>
      </c>
      <c r="F368" s="26">
        <v>1.56</v>
      </c>
      <c r="G368" s="26">
        <v>2.8</v>
      </c>
      <c r="H368" s="26">
        <v>5.09</v>
      </c>
      <c r="I368" s="28">
        <f t="shared" si="167"/>
        <v>0.04875</v>
      </c>
      <c r="J368" s="28">
        <f t="shared" si="163"/>
        <v>0.04375</v>
      </c>
      <c r="K368" s="28">
        <f t="shared" si="164"/>
        <v>0.039765625</v>
      </c>
      <c r="M368" s="36">
        <f t="shared" si="169"/>
        <v>0</v>
      </c>
      <c r="N368" s="36">
        <f t="shared" si="170"/>
        <v>0</v>
      </c>
      <c r="O368" s="36">
        <f t="shared" si="171"/>
        <v>0.00645161290322571</v>
      </c>
      <c r="P368" s="36">
        <f t="shared" si="172"/>
        <v>0</v>
      </c>
      <c r="Q368" s="36">
        <f t="shared" si="173"/>
        <v>0</v>
      </c>
      <c r="R368" s="36">
        <f t="shared" si="174"/>
        <v>-0.00355871886121006</v>
      </c>
      <c r="S368" s="36">
        <f t="shared" si="176"/>
        <v>-0.00196078431372548</v>
      </c>
      <c r="T368" s="36">
        <f t="shared" si="177"/>
        <v>-0.00196078431372548</v>
      </c>
      <c r="U368" s="36">
        <f t="shared" si="178"/>
        <v>-0.00196078431372548</v>
      </c>
      <c r="BA368" s="25">
        <f t="shared" si="179"/>
        <v>45901</v>
      </c>
      <c r="BB368" s="28">
        <f t="shared" si="179"/>
        <v>1.56</v>
      </c>
      <c r="BC368" s="28">
        <f t="shared" si="165"/>
        <v>2.81</v>
      </c>
      <c r="BD368" s="28">
        <f t="shared" si="168"/>
        <v>2.8</v>
      </c>
      <c r="BE368" s="28">
        <f t="shared" si="160"/>
        <v>3.48</v>
      </c>
      <c r="BF368" s="28">
        <f t="shared" si="175"/>
        <v>5.09</v>
      </c>
      <c r="BG368" s="28">
        <f t="shared" si="158"/>
        <v>5.98</v>
      </c>
      <c r="BH368" s="28">
        <f t="shared" si="154"/>
        <v>6.06</v>
      </c>
      <c r="BI368" s="28">
        <f t="shared" si="154"/>
        <v>5.9</v>
      </c>
      <c r="BJ368" s="36">
        <f t="shared" si="162"/>
        <v>-0.00196078431372548</v>
      </c>
      <c r="DP368" s="35">
        <v>44004</v>
      </c>
      <c r="DQ368" s="26">
        <v>3.4</v>
      </c>
      <c r="DR368" s="26">
        <v>3.15</v>
      </c>
      <c r="DS368" s="26">
        <v>3.223</v>
      </c>
      <c r="DU368" s="35">
        <v>44004</v>
      </c>
      <c r="DV368" s="26">
        <v>6.2</v>
      </c>
      <c r="DW368" s="26">
        <v>6</v>
      </c>
      <c r="DX368" s="26">
        <v>6.076</v>
      </c>
      <c r="DZ368" s="35">
        <v>44004</v>
      </c>
      <c r="EA368" s="26">
        <v>16.35</v>
      </c>
      <c r="EB368" s="26">
        <v>16.2</v>
      </c>
      <c r="EC368" s="26">
        <v>16.3</v>
      </c>
    </row>
    <row r="369" ht="16.8" spans="3:133">
      <c r="C369" s="5" t="str" cm="1">
        <f t="array" ref="C369">_xlfn.IFS(MONTH(D369)&lt;4,1,MONTH(D369)&lt;7,2,MONTH(D369)&lt;10,3,MONTH(D369)&gt;9,4)&amp;"Q"&amp;RIGHT(YEAR(D369),2)</f>
        <v>3Q25</v>
      </c>
      <c r="D369" s="2">
        <f t="shared" si="166"/>
        <v>45930</v>
      </c>
      <c r="E369" s="25">
        <f t="shared" si="155"/>
        <v>45908</v>
      </c>
      <c r="F369" s="26">
        <v>1.56</v>
      </c>
      <c r="G369" s="26">
        <v>2.84</v>
      </c>
      <c r="H369" s="26">
        <v>5.07</v>
      </c>
      <c r="I369" s="28">
        <f t="shared" si="167"/>
        <v>0.04875</v>
      </c>
      <c r="J369" s="28">
        <f t="shared" si="163"/>
        <v>0.044375</v>
      </c>
      <c r="K369" s="28">
        <f t="shared" si="164"/>
        <v>0.039609375</v>
      </c>
      <c r="M369" s="36">
        <f t="shared" si="169"/>
        <v>0</v>
      </c>
      <c r="N369" s="36">
        <f t="shared" si="170"/>
        <v>0</v>
      </c>
      <c r="O369" s="36">
        <f t="shared" si="171"/>
        <v>0</v>
      </c>
      <c r="P369" s="36">
        <f t="shared" si="172"/>
        <v>0.0142857142857142</v>
      </c>
      <c r="Q369" s="36">
        <f t="shared" si="173"/>
        <v>0.0142857142857142</v>
      </c>
      <c r="R369" s="36">
        <f t="shared" si="174"/>
        <v>0.0142857142857142</v>
      </c>
      <c r="S369" s="36">
        <f t="shared" si="176"/>
        <v>-0.00392927308447932</v>
      </c>
      <c r="T369" s="36">
        <f t="shared" si="177"/>
        <v>-0.00588235294117634</v>
      </c>
      <c r="U369" s="36">
        <f t="shared" si="178"/>
        <v>-0.00588235294117634</v>
      </c>
      <c r="BA369" s="25">
        <f t="shared" si="179"/>
        <v>45908</v>
      </c>
      <c r="BB369" s="28">
        <f t="shared" si="179"/>
        <v>1.56</v>
      </c>
      <c r="BC369" s="28">
        <f t="shared" si="165"/>
        <v>2.81</v>
      </c>
      <c r="BD369" s="28">
        <f t="shared" si="168"/>
        <v>2.84</v>
      </c>
      <c r="BE369" s="28">
        <f t="shared" si="160"/>
        <v>3.48</v>
      </c>
      <c r="BF369" s="28">
        <f t="shared" si="175"/>
        <v>5.07</v>
      </c>
      <c r="BG369" s="28">
        <f t="shared" si="158"/>
        <v>5.98</v>
      </c>
      <c r="BH369" s="28">
        <f t="shared" si="154"/>
        <v>6.06</v>
      </c>
      <c r="BI369" s="28">
        <f t="shared" si="154"/>
        <v>5.9</v>
      </c>
      <c r="BJ369" s="36">
        <f t="shared" si="162"/>
        <v>-0.00392927308447932</v>
      </c>
      <c r="DP369" s="35">
        <v>44005</v>
      </c>
      <c r="DQ369" s="26">
        <v>3.4</v>
      </c>
      <c r="DR369" s="26">
        <v>3.15</v>
      </c>
      <c r="DS369" s="26">
        <v>3.22</v>
      </c>
      <c r="DU369" s="35">
        <v>44005</v>
      </c>
      <c r="DV369" s="26">
        <v>6.2</v>
      </c>
      <c r="DW369" s="26">
        <v>6</v>
      </c>
      <c r="DX369" s="26">
        <v>6.076</v>
      </c>
      <c r="DZ369" s="35">
        <v>44005</v>
      </c>
      <c r="EA369" s="26">
        <v>16.35</v>
      </c>
      <c r="EB369" s="26">
        <v>16.2</v>
      </c>
      <c r="EC369" s="26">
        <v>16.33</v>
      </c>
    </row>
    <row r="370" ht="16.8" spans="3:133">
      <c r="C370" s="5" t="str" cm="1">
        <f t="array" ref="C370">_xlfn.IFS(MONTH(D370)&lt;4,1,MONTH(D370)&lt;7,2,MONTH(D370)&lt;10,3,MONTH(D370)&gt;9,4)&amp;"Q"&amp;RIGHT(YEAR(D370),2)</f>
        <v>3Q25</v>
      </c>
      <c r="D370" s="2">
        <f t="shared" si="166"/>
        <v>45930</v>
      </c>
      <c r="E370" s="25">
        <f t="shared" ref="E370:E391" si="180">E369+7</f>
        <v>45915</v>
      </c>
      <c r="F370" s="26">
        <v>1.56</v>
      </c>
      <c r="G370" s="26">
        <v>2.86</v>
      </c>
      <c r="H370" s="26">
        <v>5.07</v>
      </c>
      <c r="I370" s="28">
        <f t="shared" si="167"/>
        <v>0.04875</v>
      </c>
      <c r="J370" s="28">
        <f t="shared" si="163"/>
        <v>0.0446875</v>
      </c>
      <c r="K370" s="28">
        <f t="shared" si="164"/>
        <v>0.039609375</v>
      </c>
      <c r="M370" s="36">
        <f t="shared" si="169"/>
        <v>0</v>
      </c>
      <c r="N370" s="36">
        <f t="shared" si="170"/>
        <v>0</v>
      </c>
      <c r="O370" s="36">
        <f t="shared" si="171"/>
        <v>0</v>
      </c>
      <c r="P370" s="36">
        <f t="shared" si="172"/>
        <v>0.00704225352112675</v>
      </c>
      <c r="Q370" s="36">
        <f t="shared" si="173"/>
        <v>0.0214285714285714</v>
      </c>
      <c r="R370" s="36">
        <f t="shared" si="174"/>
        <v>0.0214285714285714</v>
      </c>
      <c r="S370" s="36">
        <f t="shared" si="176"/>
        <v>0</v>
      </c>
      <c r="T370" s="36">
        <f t="shared" si="177"/>
        <v>-0.00392927308447932</v>
      </c>
      <c r="U370" s="36">
        <f t="shared" si="178"/>
        <v>-0.00588235294117634</v>
      </c>
      <c r="BA370" s="25">
        <f t="shared" si="179"/>
        <v>45915</v>
      </c>
      <c r="BB370" s="28">
        <f t="shared" si="179"/>
        <v>1.56</v>
      </c>
      <c r="BC370" s="28">
        <f t="shared" si="165"/>
        <v>2.81</v>
      </c>
      <c r="BD370" s="28">
        <f t="shared" si="168"/>
        <v>2.86</v>
      </c>
      <c r="BE370" s="28">
        <f t="shared" si="160"/>
        <v>3.48</v>
      </c>
      <c r="BF370" s="28">
        <f t="shared" si="175"/>
        <v>5.07</v>
      </c>
      <c r="BG370" s="28">
        <f t="shared" si="158"/>
        <v>5.98</v>
      </c>
      <c r="BH370" s="28">
        <f t="shared" si="154"/>
        <v>6.06</v>
      </c>
      <c r="BI370" s="28">
        <f t="shared" si="154"/>
        <v>5.9</v>
      </c>
      <c r="BJ370" s="36">
        <f t="shared" si="162"/>
        <v>0</v>
      </c>
      <c r="DP370" s="35">
        <v>44006</v>
      </c>
      <c r="DQ370" s="26">
        <v>3.4</v>
      </c>
      <c r="DR370" s="26">
        <v>3.15</v>
      </c>
      <c r="DS370" s="26">
        <v>3.213</v>
      </c>
      <c r="DU370" s="35">
        <v>44006</v>
      </c>
      <c r="DV370" s="26">
        <v>6.2</v>
      </c>
      <c r="DW370" s="26">
        <v>6</v>
      </c>
      <c r="DX370" s="26">
        <v>6.065</v>
      </c>
      <c r="DZ370" s="35">
        <v>44006</v>
      </c>
      <c r="EA370" s="26">
        <v>16.5</v>
      </c>
      <c r="EB370" s="26">
        <v>16.3</v>
      </c>
      <c r="EC370" s="26">
        <v>16.4</v>
      </c>
    </row>
    <row r="371" ht="16.8" spans="3:133">
      <c r="C371" s="5" t="str" cm="1">
        <f t="array" ref="C371">_xlfn.IFS(MONTH(D371)&lt;4,1,MONTH(D371)&lt;7,2,MONTH(D371)&lt;10,3,MONTH(D371)&gt;9,4)&amp;"Q"&amp;RIGHT(YEAR(D371),2)</f>
        <v>3Q25</v>
      </c>
      <c r="D371" s="2">
        <f t="shared" si="166"/>
        <v>45930</v>
      </c>
      <c r="E371" s="25">
        <f t="shared" si="180"/>
        <v>45922</v>
      </c>
      <c r="F371" s="26">
        <v>1.66</v>
      </c>
      <c r="G371" s="26">
        <v>2.96</v>
      </c>
      <c r="H371" s="26">
        <v>5.29</v>
      </c>
      <c r="I371" s="28">
        <f t="shared" si="167"/>
        <v>0.051875</v>
      </c>
      <c r="J371" s="28">
        <f t="shared" si="163"/>
        <v>0.04625</v>
      </c>
      <c r="K371" s="28">
        <f t="shared" si="164"/>
        <v>0.041328125</v>
      </c>
      <c r="M371" s="36">
        <f t="shared" si="169"/>
        <v>0.0641025641025641</v>
      </c>
      <c r="N371" s="36">
        <f t="shared" si="170"/>
        <v>0.0641025641025641</v>
      </c>
      <c r="O371" s="36">
        <f t="shared" si="171"/>
        <v>0.0641025641025641</v>
      </c>
      <c r="P371" s="36">
        <f t="shared" si="172"/>
        <v>0.034965034965035</v>
      </c>
      <c r="Q371" s="36">
        <f t="shared" si="173"/>
        <v>0.0422535211267605</v>
      </c>
      <c r="R371" s="36">
        <f t="shared" si="174"/>
        <v>0.0571428571428572</v>
      </c>
      <c r="S371" s="36">
        <f t="shared" si="176"/>
        <v>0.0433925049309665</v>
      </c>
      <c r="T371" s="36">
        <f t="shared" si="177"/>
        <v>0.0433925049309665</v>
      </c>
      <c r="U371" s="36">
        <f t="shared" si="178"/>
        <v>0.0392927308447937</v>
      </c>
      <c r="BA371" s="25">
        <f t="shared" si="179"/>
        <v>45922</v>
      </c>
      <c r="BB371" s="28">
        <f t="shared" si="179"/>
        <v>1.66</v>
      </c>
      <c r="BC371" s="28">
        <f t="shared" si="165"/>
        <v>2.81</v>
      </c>
      <c r="BD371" s="28">
        <f t="shared" si="168"/>
        <v>2.96</v>
      </c>
      <c r="BE371" s="28">
        <f t="shared" si="160"/>
        <v>3.48</v>
      </c>
      <c r="BF371" s="28">
        <f t="shared" si="175"/>
        <v>5.29</v>
      </c>
      <c r="BG371" s="28">
        <f t="shared" si="158"/>
        <v>5.98</v>
      </c>
      <c r="BH371" s="28">
        <f t="shared" si="154"/>
        <v>6.06</v>
      </c>
      <c r="BI371" s="28">
        <f t="shared" si="154"/>
        <v>5.9</v>
      </c>
      <c r="BJ371" s="36">
        <f t="shared" si="162"/>
        <v>0.0433925049309665</v>
      </c>
      <c r="DP371" s="35">
        <v>44011</v>
      </c>
      <c r="DQ371" s="26">
        <v>3.4</v>
      </c>
      <c r="DR371" s="26">
        <v>3.15</v>
      </c>
      <c r="DS371" s="26">
        <v>3.21</v>
      </c>
      <c r="DU371" s="35">
        <v>44011</v>
      </c>
      <c r="DV371" s="26">
        <v>6.2</v>
      </c>
      <c r="DW371" s="26">
        <v>6</v>
      </c>
      <c r="DX371" s="26">
        <v>6.057</v>
      </c>
      <c r="DZ371" s="35">
        <v>44011</v>
      </c>
      <c r="EA371" s="26">
        <v>16.5</v>
      </c>
      <c r="EB371" s="26">
        <v>16.3</v>
      </c>
      <c r="EC371" s="26">
        <v>16.45</v>
      </c>
    </row>
    <row r="372" ht="16.8" spans="3:133">
      <c r="C372" s="5" t="str" cm="1">
        <f t="array" ref="C372">_xlfn.IFS(MONTH(D372)&lt;4,1,MONTH(D372)&lt;7,2,MONTH(D372)&lt;10,3,MONTH(D372)&gt;9,4)&amp;"Q"&amp;RIGHT(YEAR(D372),2)</f>
        <v>3Q25</v>
      </c>
      <c r="D372" s="2">
        <f t="shared" si="166"/>
        <v>45930</v>
      </c>
      <c r="E372" s="25">
        <f t="shared" si="180"/>
        <v>45929</v>
      </c>
      <c r="F372" s="26">
        <v>1.74</v>
      </c>
      <c r="G372" s="26">
        <v>3.12</v>
      </c>
      <c r="H372" s="26">
        <v>5.58</v>
      </c>
      <c r="I372" s="28">
        <f t="shared" si="167"/>
        <v>0.054375</v>
      </c>
      <c r="J372" s="28">
        <f t="shared" si="163"/>
        <v>0.04875</v>
      </c>
      <c r="K372" s="28">
        <f t="shared" si="164"/>
        <v>0.04359375</v>
      </c>
      <c r="M372" s="36">
        <f t="shared" si="169"/>
        <v>0.0481927710843375</v>
      </c>
      <c r="N372" s="36">
        <f t="shared" si="170"/>
        <v>0.115384615384615</v>
      </c>
      <c r="O372" s="36">
        <f t="shared" si="171"/>
        <v>0.115384615384615</v>
      </c>
      <c r="P372" s="36">
        <f t="shared" si="172"/>
        <v>0.0540540540540542</v>
      </c>
      <c r="Q372" s="36">
        <f t="shared" si="173"/>
        <v>0.0909090909090911</v>
      </c>
      <c r="R372" s="36">
        <f t="shared" si="174"/>
        <v>0.0985915492957747</v>
      </c>
      <c r="S372" s="36">
        <f t="shared" si="176"/>
        <v>0.0548204158790171</v>
      </c>
      <c r="T372" s="36">
        <f t="shared" si="177"/>
        <v>0.100591715976331</v>
      </c>
      <c r="U372" s="36">
        <f t="shared" si="178"/>
        <v>0.100591715976331</v>
      </c>
      <c r="BA372" s="25">
        <f t="shared" si="179"/>
        <v>45929</v>
      </c>
      <c r="BB372" s="28">
        <f t="shared" si="179"/>
        <v>1.74</v>
      </c>
      <c r="BC372" s="28">
        <f t="shared" si="165"/>
        <v>2.81</v>
      </c>
      <c r="BD372" s="28">
        <f t="shared" si="168"/>
        <v>3.12</v>
      </c>
      <c r="BE372" s="28">
        <f t="shared" si="160"/>
        <v>3.48</v>
      </c>
      <c r="BF372" s="28">
        <f t="shared" si="175"/>
        <v>5.58</v>
      </c>
      <c r="BG372" s="28">
        <f t="shared" si="158"/>
        <v>5.98</v>
      </c>
      <c r="BH372" s="28">
        <f t="shared" si="154"/>
        <v>6.06</v>
      </c>
      <c r="BI372" s="28">
        <f t="shared" si="154"/>
        <v>5.9</v>
      </c>
      <c r="BJ372" s="36">
        <f t="shared" si="162"/>
        <v>0.0548204158790171</v>
      </c>
      <c r="DP372" s="35">
        <v>44012</v>
      </c>
      <c r="DQ372" s="26">
        <v>3.3</v>
      </c>
      <c r="DR372" s="26">
        <v>3.15</v>
      </c>
      <c r="DS372" s="26">
        <v>3.203</v>
      </c>
      <c r="DU372" s="35">
        <v>44012</v>
      </c>
      <c r="DV372" s="26">
        <v>6.2</v>
      </c>
      <c r="DW372" s="26">
        <v>6</v>
      </c>
      <c r="DX372" s="26">
        <v>6.057</v>
      </c>
      <c r="DZ372" s="35">
        <v>44012</v>
      </c>
      <c r="EA372" s="26">
        <v>16.5</v>
      </c>
      <c r="EB372" s="26">
        <v>16.3</v>
      </c>
      <c r="EC372" s="26">
        <v>16.45</v>
      </c>
    </row>
    <row r="373" ht="16.8" spans="3:133">
      <c r="C373" s="5" t="str" cm="1">
        <f t="array" ref="C373">_xlfn.IFS(MONTH(D373)&lt;4,1,MONTH(D373)&lt;7,2,MONTH(D373)&lt;10,3,MONTH(D373)&gt;9,4)&amp;"Q"&amp;RIGHT(YEAR(D373),2)</f>
        <v>4Q25</v>
      </c>
      <c r="D373" s="2">
        <f t="shared" si="166"/>
        <v>45961</v>
      </c>
      <c r="E373" s="25">
        <f t="shared" si="180"/>
        <v>45936</v>
      </c>
      <c r="F373" s="26">
        <v>1.86</v>
      </c>
      <c r="G373" s="26">
        <v>3.46</v>
      </c>
      <c r="H373" s="26">
        <v>5.83</v>
      </c>
      <c r="I373" s="28">
        <f t="shared" si="167"/>
        <v>0.058125</v>
      </c>
      <c r="J373" s="28">
        <f t="shared" si="163"/>
        <v>0.0540625</v>
      </c>
      <c r="K373" s="28">
        <f t="shared" si="164"/>
        <v>0.045546875</v>
      </c>
      <c r="M373" s="36">
        <f t="shared" si="169"/>
        <v>0.0689655172413794</v>
      </c>
      <c r="N373" s="36">
        <f t="shared" si="170"/>
        <v>0.120481927710844</v>
      </c>
      <c r="O373" s="36">
        <f t="shared" si="171"/>
        <v>0.192307692307692</v>
      </c>
      <c r="P373" s="36">
        <f t="shared" si="172"/>
        <v>0.108974358974359</v>
      </c>
      <c r="Q373" s="36">
        <f t="shared" si="173"/>
        <v>0.168918918918919</v>
      </c>
      <c r="R373" s="36">
        <f t="shared" si="174"/>
        <v>0.20979020979021</v>
      </c>
      <c r="S373" s="36">
        <f t="shared" si="176"/>
        <v>0.0448028673835126</v>
      </c>
      <c r="T373" s="36">
        <f t="shared" si="177"/>
        <v>0.102079395085066</v>
      </c>
      <c r="U373" s="36">
        <f t="shared" si="178"/>
        <v>0.149901380670611</v>
      </c>
      <c r="BA373" s="25">
        <f t="shared" si="179"/>
        <v>45936</v>
      </c>
      <c r="BB373" s="28">
        <f t="shared" si="179"/>
        <v>1.86</v>
      </c>
      <c r="BC373" s="28">
        <f t="shared" si="165"/>
        <v>3.61</v>
      </c>
      <c r="BD373" s="28">
        <f t="shared" si="168"/>
        <v>3.46</v>
      </c>
      <c r="BE373" s="28">
        <f t="shared" si="160"/>
        <v>5.12</v>
      </c>
      <c r="BF373" s="28">
        <f t="shared" si="175"/>
        <v>5.83</v>
      </c>
      <c r="BG373" s="28">
        <f t="shared" si="158"/>
        <v>7.82</v>
      </c>
      <c r="BH373" s="28">
        <f t="shared" si="154"/>
        <v>8.12</v>
      </c>
      <c r="BI373" s="28">
        <f t="shared" si="154"/>
        <v>7.52</v>
      </c>
      <c r="BJ373" s="36">
        <f t="shared" si="162"/>
        <v>0.0448028673835126</v>
      </c>
      <c r="DP373" s="35">
        <v>44013</v>
      </c>
      <c r="DQ373" s="26">
        <v>3.3</v>
      </c>
      <c r="DR373" s="26">
        <v>3.15</v>
      </c>
      <c r="DS373" s="26">
        <v>3.197</v>
      </c>
      <c r="DU373" s="35">
        <v>44013</v>
      </c>
      <c r="DV373" s="26">
        <v>6.2</v>
      </c>
      <c r="DW373" s="26">
        <v>6</v>
      </c>
      <c r="DX373" s="26">
        <v>6.038</v>
      </c>
      <c r="DZ373" s="35">
        <v>44013</v>
      </c>
      <c r="EA373" s="26">
        <v>16.6</v>
      </c>
      <c r="EB373" s="26">
        <v>16.4</v>
      </c>
      <c r="EC373" s="26">
        <v>16.5</v>
      </c>
    </row>
    <row r="374" ht="16.8" spans="3:133">
      <c r="C374" s="5" t="str" cm="1">
        <f t="array" ref="C374">_xlfn.IFS(MONTH(D374)&lt;4,1,MONTH(D374)&lt;7,2,MONTH(D374)&lt;10,3,MONTH(D374)&gt;9,4)&amp;"Q"&amp;RIGHT(YEAR(D374),2)</f>
        <v>4Q25</v>
      </c>
      <c r="D374" s="2">
        <f t="shared" si="166"/>
        <v>45961</v>
      </c>
      <c r="E374" s="25">
        <f t="shared" si="180"/>
        <v>45943</v>
      </c>
      <c r="F374" s="26">
        <v>1.86</v>
      </c>
      <c r="G374" s="26">
        <v>3.58</v>
      </c>
      <c r="H374" s="26">
        <v>5.97</v>
      </c>
      <c r="I374" s="28">
        <f t="shared" si="167"/>
        <v>0.058125</v>
      </c>
      <c r="J374" s="28">
        <f t="shared" si="163"/>
        <v>0.0559375</v>
      </c>
      <c r="K374" s="28">
        <f t="shared" si="164"/>
        <v>0.046640625</v>
      </c>
      <c r="M374" s="36">
        <f t="shared" si="169"/>
        <v>0</v>
      </c>
      <c r="N374" s="36">
        <f t="shared" si="170"/>
        <v>0.0689655172413794</v>
      </c>
      <c r="O374" s="36">
        <f t="shared" si="171"/>
        <v>0.120481927710844</v>
      </c>
      <c r="P374" s="36">
        <f t="shared" si="172"/>
        <v>0.0346820809248556</v>
      </c>
      <c r="Q374" s="36">
        <f t="shared" si="173"/>
        <v>0.147435897435897</v>
      </c>
      <c r="R374" s="36">
        <f t="shared" si="174"/>
        <v>0.209459459459459</v>
      </c>
      <c r="S374" s="36">
        <f t="shared" si="176"/>
        <v>0.0240137221269296</v>
      </c>
      <c r="T374" s="36">
        <f t="shared" si="177"/>
        <v>0.0698924731182795</v>
      </c>
      <c r="U374" s="36">
        <f t="shared" si="178"/>
        <v>0.128544423440454</v>
      </c>
      <c r="BA374" s="25">
        <f t="shared" si="179"/>
        <v>45943</v>
      </c>
      <c r="BB374" s="28">
        <f t="shared" si="179"/>
        <v>1.86</v>
      </c>
      <c r="BC374" s="28">
        <f t="shared" si="165"/>
        <v>3.61</v>
      </c>
      <c r="BD374" s="28">
        <f t="shared" si="168"/>
        <v>3.58</v>
      </c>
      <c r="BE374" s="28">
        <f t="shared" si="160"/>
        <v>5.12</v>
      </c>
      <c r="BF374" s="28">
        <f t="shared" si="175"/>
        <v>5.97</v>
      </c>
      <c r="BG374" s="28">
        <f t="shared" si="158"/>
        <v>7.82</v>
      </c>
      <c r="BH374" s="28">
        <f t="shared" si="154"/>
        <v>8.12</v>
      </c>
      <c r="BI374" s="28">
        <f t="shared" si="154"/>
        <v>7.52</v>
      </c>
      <c r="BJ374" s="36">
        <f t="shared" si="162"/>
        <v>0.0240137221269296</v>
      </c>
      <c r="DP374" s="35">
        <v>44014</v>
      </c>
      <c r="DQ374" s="26">
        <v>3.3</v>
      </c>
      <c r="DR374" s="26">
        <v>3.15</v>
      </c>
      <c r="DS374" s="26">
        <v>3.193</v>
      </c>
      <c r="DU374" s="35">
        <v>44014</v>
      </c>
      <c r="DV374" s="26">
        <v>6.2</v>
      </c>
      <c r="DW374" s="26">
        <v>6</v>
      </c>
      <c r="DX374" s="26">
        <v>6.038</v>
      </c>
      <c r="DZ374" s="35">
        <v>44014</v>
      </c>
      <c r="EA374" s="26">
        <v>16.6</v>
      </c>
      <c r="EB374" s="26">
        <v>16.4</v>
      </c>
      <c r="EC374" s="26">
        <v>16.5</v>
      </c>
    </row>
    <row r="375" ht="16.8" spans="3:133">
      <c r="C375" s="5" t="str" cm="1">
        <f t="array" ref="C375">_xlfn.IFS(MONTH(D375)&lt;4,1,MONTH(D375)&lt;7,2,MONTH(D375)&lt;10,3,MONTH(D375)&gt;9,4)&amp;"Q"&amp;RIGHT(YEAR(D375),2)</f>
        <v>4Q25</v>
      </c>
      <c r="D375" s="2">
        <f t="shared" si="166"/>
        <v>45961</v>
      </c>
      <c r="E375" s="25">
        <f t="shared" si="180"/>
        <v>45950</v>
      </c>
      <c r="F375" s="26">
        <v>2.37</v>
      </c>
      <c r="G375" s="26">
        <v>4.58</v>
      </c>
      <c r="H375" s="26">
        <v>6.42</v>
      </c>
      <c r="I375" s="28">
        <f t="shared" si="167"/>
        <v>0.0740625</v>
      </c>
      <c r="J375" s="28">
        <f t="shared" si="163"/>
        <v>0.0715625</v>
      </c>
      <c r="K375" s="28">
        <f t="shared" si="164"/>
        <v>0.05015625</v>
      </c>
      <c r="M375" s="36">
        <f t="shared" si="169"/>
        <v>0.274193548387097</v>
      </c>
      <c r="N375" s="36">
        <f t="shared" si="170"/>
        <v>0.274193548387097</v>
      </c>
      <c r="O375" s="36">
        <f t="shared" si="171"/>
        <v>0.362068965517242</v>
      </c>
      <c r="P375" s="36">
        <f t="shared" si="172"/>
        <v>0.279329608938548</v>
      </c>
      <c r="Q375" s="36">
        <f t="shared" si="173"/>
        <v>0.323699421965318</v>
      </c>
      <c r="R375" s="36">
        <f t="shared" si="174"/>
        <v>0.467948717948718</v>
      </c>
      <c r="S375" s="36">
        <f t="shared" si="176"/>
        <v>0.0753768844221105</v>
      </c>
      <c r="T375" s="36">
        <f t="shared" si="177"/>
        <v>0.101200686106346</v>
      </c>
      <c r="U375" s="36">
        <f t="shared" si="178"/>
        <v>0.150537634408602</v>
      </c>
      <c r="BA375" s="25">
        <f t="shared" si="179"/>
        <v>45950</v>
      </c>
      <c r="BB375" s="28">
        <f t="shared" si="179"/>
        <v>2.37</v>
      </c>
      <c r="BC375" s="28">
        <f t="shared" si="165"/>
        <v>3.61</v>
      </c>
      <c r="BD375" s="28">
        <f t="shared" si="168"/>
        <v>4.58</v>
      </c>
      <c r="BE375" s="28">
        <f t="shared" si="160"/>
        <v>5.12</v>
      </c>
      <c r="BF375" s="28">
        <f t="shared" si="175"/>
        <v>6.42</v>
      </c>
      <c r="BG375" s="28">
        <f t="shared" si="158"/>
        <v>7.82</v>
      </c>
      <c r="BH375" s="28">
        <f t="shared" si="154"/>
        <v>8.12</v>
      </c>
      <c r="BI375" s="28">
        <f t="shared" si="154"/>
        <v>7.52</v>
      </c>
      <c r="BJ375" s="36">
        <f t="shared" si="162"/>
        <v>0.0753768844221105</v>
      </c>
      <c r="DP375" s="35">
        <v>44015</v>
      </c>
      <c r="DQ375" s="26">
        <v>3.3</v>
      </c>
      <c r="DR375" s="26">
        <v>3.15</v>
      </c>
      <c r="DS375" s="26">
        <v>3.187</v>
      </c>
      <c r="DU375" s="35">
        <v>44015</v>
      </c>
      <c r="DV375" s="26">
        <v>6.2</v>
      </c>
      <c r="DW375" s="26">
        <v>6</v>
      </c>
      <c r="DX375" s="26">
        <v>6.032</v>
      </c>
      <c r="DZ375" s="35">
        <v>44015</v>
      </c>
      <c r="EA375" s="26">
        <v>16.6</v>
      </c>
      <c r="EB375" s="26">
        <v>16.4</v>
      </c>
      <c r="EC375" s="26">
        <v>16.5</v>
      </c>
    </row>
    <row r="376" ht="16.8" spans="3:133">
      <c r="C376" s="5" t="str" cm="1">
        <f t="array" ref="C376">_xlfn.IFS(MONTH(D376)&lt;4,1,MONTH(D376)&lt;7,2,MONTH(D376)&lt;10,3,MONTH(D376)&gt;9,4)&amp;"Q"&amp;RIGHT(YEAR(D376),2)</f>
        <v>4Q25</v>
      </c>
      <c r="D376" s="2">
        <f t="shared" si="166"/>
        <v>45961</v>
      </c>
      <c r="E376" s="25">
        <f t="shared" si="180"/>
        <v>45957</v>
      </c>
      <c r="F376" s="26">
        <v>2.49</v>
      </c>
      <c r="G376" s="26">
        <v>4.83</v>
      </c>
      <c r="H376" s="26">
        <v>6.67</v>
      </c>
      <c r="I376" s="28">
        <f t="shared" si="167"/>
        <v>0.0778125</v>
      </c>
      <c r="J376" s="28">
        <f t="shared" si="163"/>
        <v>0.07546875</v>
      </c>
      <c r="K376" s="28">
        <f t="shared" si="164"/>
        <v>0.052109375</v>
      </c>
      <c r="M376" s="36">
        <f t="shared" si="169"/>
        <v>0.0506329113924051</v>
      </c>
      <c r="N376" s="36">
        <f t="shared" si="170"/>
        <v>0.338709677419355</v>
      </c>
      <c r="O376" s="36">
        <f t="shared" si="171"/>
        <v>0.338709677419355</v>
      </c>
      <c r="P376" s="36">
        <f t="shared" si="172"/>
        <v>0.054585152838428</v>
      </c>
      <c r="Q376" s="36">
        <f t="shared" si="173"/>
        <v>0.349162011173184</v>
      </c>
      <c r="R376" s="36">
        <f t="shared" si="174"/>
        <v>0.395953757225433</v>
      </c>
      <c r="S376" s="36">
        <f t="shared" si="176"/>
        <v>0.0389408099688473</v>
      </c>
      <c r="T376" s="36">
        <f t="shared" si="177"/>
        <v>0.117252931323283</v>
      </c>
      <c r="U376" s="36">
        <f t="shared" si="178"/>
        <v>0.144082332761578</v>
      </c>
      <c r="BA376" s="25">
        <f t="shared" si="179"/>
        <v>45957</v>
      </c>
      <c r="BB376" s="28">
        <f t="shared" si="179"/>
        <v>2.49</v>
      </c>
      <c r="BC376" s="28">
        <f t="shared" si="165"/>
        <v>3.61</v>
      </c>
      <c r="BD376" s="28">
        <f t="shared" si="168"/>
        <v>4.83</v>
      </c>
      <c r="BE376" s="28">
        <f t="shared" si="160"/>
        <v>5.12</v>
      </c>
      <c r="BF376" s="28">
        <f t="shared" si="175"/>
        <v>6.67</v>
      </c>
      <c r="BG376" s="28">
        <f t="shared" si="158"/>
        <v>7.82</v>
      </c>
      <c r="BH376" s="28">
        <f t="shared" si="154"/>
        <v>8.12</v>
      </c>
      <c r="BI376" s="28">
        <f t="shared" si="154"/>
        <v>7.52</v>
      </c>
      <c r="BJ376" s="36">
        <f t="shared" si="162"/>
        <v>0.0389408099688473</v>
      </c>
      <c r="DP376" s="35">
        <v>44018</v>
      </c>
      <c r="DQ376" s="26">
        <v>3.3</v>
      </c>
      <c r="DR376" s="26">
        <v>3.15</v>
      </c>
      <c r="DS376" s="26">
        <v>3.173</v>
      </c>
      <c r="DU376" s="35">
        <v>44018</v>
      </c>
      <c r="DV376" s="26">
        <v>6.2</v>
      </c>
      <c r="DW376" s="26">
        <v>6</v>
      </c>
      <c r="DX376" s="26">
        <v>6.024</v>
      </c>
      <c r="DZ376" s="35">
        <v>44018</v>
      </c>
      <c r="EA376" s="26">
        <v>16.6</v>
      </c>
      <c r="EB376" s="26">
        <v>16.4</v>
      </c>
      <c r="EC376" s="26">
        <v>16.45</v>
      </c>
    </row>
    <row r="377" ht="16.8" spans="3:133">
      <c r="C377" s="5" t="str" cm="1">
        <f t="array" ref="C377">_xlfn.IFS(MONTH(D377)&lt;4,1,MONTH(D377)&lt;7,2,MONTH(D377)&lt;10,3,MONTH(D377)&gt;9,4)&amp;"Q"&amp;RIGHT(YEAR(D377),2)</f>
        <v>4Q25</v>
      </c>
      <c r="D377" s="2">
        <f t="shared" si="166"/>
        <v>45991</v>
      </c>
      <c r="E377" s="25">
        <f t="shared" si="180"/>
        <v>45964</v>
      </c>
      <c r="F377" s="26">
        <v>2.99</v>
      </c>
      <c r="G377" s="26">
        <v>5.51</v>
      </c>
      <c r="H377" s="26">
        <v>7.53</v>
      </c>
      <c r="I377" s="28">
        <f t="shared" si="167"/>
        <v>0.0934375</v>
      </c>
      <c r="J377" s="28">
        <f t="shared" si="163"/>
        <v>0.08609375</v>
      </c>
      <c r="K377" s="28">
        <f t="shared" si="164"/>
        <v>0.058828125</v>
      </c>
      <c r="M377" s="36">
        <f t="shared" si="169"/>
        <v>0.200803212851406</v>
      </c>
      <c r="N377" s="36">
        <f t="shared" si="170"/>
        <v>0.261603375527426</v>
      </c>
      <c r="O377" s="36">
        <f t="shared" si="171"/>
        <v>0.60752688172043</v>
      </c>
      <c r="P377" s="36">
        <f t="shared" si="172"/>
        <v>0.140786749482402</v>
      </c>
      <c r="Q377" s="36">
        <f t="shared" si="173"/>
        <v>0.203056768558952</v>
      </c>
      <c r="R377" s="36">
        <f t="shared" si="174"/>
        <v>0.539106145251397</v>
      </c>
      <c r="S377" s="36">
        <f t="shared" si="176"/>
        <v>0.128935532233883</v>
      </c>
      <c r="T377" s="36">
        <f t="shared" si="177"/>
        <v>0.172897196261682</v>
      </c>
      <c r="U377" s="36">
        <f t="shared" si="178"/>
        <v>0.261306532663317</v>
      </c>
      <c r="BA377" s="25">
        <f t="shared" ref="BA377:BB392" si="181">E377</f>
        <v>45964</v>
      </c>
      <c r="BB377" s="28">
        <f t="shared" si="181"/>
        <v>2.99</v>
      </c>
      <c r="BC377" s="28">
        <f t="shared" si="165"/>
        <v>4.88</v>
      </c>
      <c r="BD377" s="28">
        <f t="shared" si="168"/>
        <v>5.51</v>
      </c>
      <c r="BE377" s="28">
        <f t="shared" si="160"/>
        <v>8.48</v>
      </c>
      <c r="BF377" s="28">
        <f t="shared" si="175"/>
        <v>7.53</v>
      </c>
      <c r="BG377" s="28">
        <f t="shared" si="158"/>
        <v>12.435</v>
      </c>
      <c r="BH377" s="28">
        <f t="shared" si="154"/>
        <v>13.09</v>
      </c>
      <c r="BI377" s="28">
        <f t="shared" si="154"/>
        <v>11.78</v>
      </c>
      <c r="BJ377" s="36">
        <f t="shared" si="162"/>
        <v>0.128935532233883</v>
      </c>
      <c r="DP377" s="35">
        <v>44019</v>
      </c>
      <c r="DQ377" s="26">
        <v>3.3</v>
      </c>
      <c r="DR377" s="26">
        <v>3.15</v>
      </c>
      <c r="DS377" s="26">
        <v>3.167</v>
      </c>
      <c r="DU377" s="35">
        <v>44019</v>
      </c>
      <c r="DV377" s="26">
        <v>6.2</v>
      </c>
      <c r="DW377" s="26">
        <v>6</v>
      </c>
      <c r="DX377" s="26">
        <v>6.018</v>
      </c>
      <c r="DZ377" s="35">
        <v>44019</v>
      </c>
      <c r="EA377" s="26">
        <v>16.6</v>
      </c>
      <c r="EB377" s="26">
        <v>16.4</v>
      </c>
      <c r="EC377" s="26">
        <v>16.45</v>
      </c>
    </row>
    <row r="378" ht="16.8" spans="3:133">
      <c r="C378" s="5" t="str" cm="1">
        <f t="array" ref="C378">_xlfn.IFS(MONTH(D378)&lt;4,1,MONTH(D378)&lt;7,2,MONTH(D378)&lt;10,3,MONTH(D378)&gt;9,4)&amp;"Q"&amp;RIGHT(YEAR(D378),2)</f>
        <v>4Q25</v>
      </c>
      <c r="D378" s="2">
        <f t="shared" si="166"/>
        <v>45991</v>
      </c>
      <c r="E378" s="25">
        <f t="shared" si="180"/>
        <v>45971</v>
      </c>
      <c r="F378" s="26">
        <v>3.44</v>
      </c>
      <c r="G378" s="26">
        <v>6.46</v>
      </c>
      <c r="H378" s="26">
        <v>8.47</v>
      </c>
      <c r="I378" s="28">
        <f t="shared" si="167"/>
        <v>0.1075</v>
      </c>
      <c r="J378" s="28">
        <f t="shared" si="163"/>
        <v>0.1009375</v>
      </c>
      <c r="K378" s="28">
        <f t="shared" si="164"/>
        <v>0.066171875</v>
      </c>
      <c r="M378" s="36">
        <f t="shared" si="169"/>
        <v>0.150501672240803</v>
      </c>
      <c r="N378" s="36">
        <f t="shared" si="170"/>
        <v>0.381526104417671</v>
      </c>
      <c r="O378" s="36">
        <f t="shared" si="171"/>
        <v>0.451476793248945</v>
      </c>
      <c r="P378" s="36">
        <f t="shared" si="172"/>
        <v>0.172413793103448</v>
      </c>
      <c r="Q378" s="36">
        <f t="shared" si="173"/>
        <v>0.337474120082816</v>
      </c>
      <c r="R378" s="36">
        <f t="shared" si="174"/>
        <v>0.410480349344978</v>
      </c>
      <c r="S378" s="36">
        <f t="shared" si="176"/>
        <v>0.124833997343958</v>
      </c>
      <c r="T378" s="36">
        <f t="shared" si="177"/>
        <v>0.269865067466267</v>
      </c>
      <c r="U378" s="36">
        <f t="shared" si="178"/>
        <v>0.319314641744548</v>
      </c>
      <c r="BA378" s="25">
        <f t="shared" si="181"/>
        <v>45971</v>
      </c>
      <c r="BB378" s="28">
        <f t="shared" si="181"/>
        <v>3.44</v>
      </c>
      <c r="BC378" s="28">
        <f t="shared" si="165"/>
        <v>4.88</v>
      </c>
      <c r="BD378" s="28">
        <f t="shared" si="168"/>
        <v>6.46</v>
      </c>
      <c r="BE378" s="28">
        <f t="shared" si="160"/>
        <v>8.48</v>
      </c>
      <c r="BF378" s="28">
        <f t="shared" si="175"/>
        <v>8.47</v>
      </c>
      <c r="BG378" s="28">
        <f t="shared" si="158"/>
        <v>12.435</v>
      </c>
      <c r="BH378" s="28">
        <f t="shared" si="154"/>
        <v>13.09</v>
      </c>
      <c r="BI378" s="28">
        <f t="shared" si="154"/>
        <v>11.78</v>
      </c>
      <c r="BJ378" s="36">
        <f t="shared" si="162"/>
        <v>0.124833997343958</v>
      </c>
      <c r="DP378" s="35">
        <v>44020</v>
      </c>
      <c r="DQ378" s="26">
        <v>3.3</v>
      </c>
      <c r="DR378" s="26">
        <v>3.1</v>
      </c>
      <c r="DS378" s="26">
        <v>3.16</v>
      </c>
      <c r="DU378" s="35">
        <v>44020</v>
      </c>
      <c r="DV378" s="26">
        <v>6.2</v>
      </c>
      <c r="DW378" s="26">
        <v>5.95</v>
      </c>
      <c r="DX378" s="26">
        <v>6.012</v>
      </c>
      <c r="DZ378" s="35">
        <v>44020</v>
      </c>
      <c r="EA378" s="26">
        <v>16.6</v>
      </c>
      <c r="EB378" s="26">
        <v>16.4</v>
      </c>
      <c r="EC378" s="26">
        <v>16.45</v>
      </c>
    </row>
    <row r="379" ht="16.8" spans="3:133">
      <c r="C379" s="5" t="str" cm="1">
        <f t="array" ref="C379">_xlfn.IFS(MONTH(D379)&lt;4,1,MONTH(D379)&lt;7,2,MONTH(D379)&lt;10,3,MONTH(D379)&gt;9,4)&amp;"Q"&amp;RIGHT(YEAR(D379),2)</f>
        <v>4Q25</v>
      </c>
      <c r="D379" s="2">
        <f t="shared" si="166"/>
        <v>45991</v>
      </c>
      <c r="E379" s="25">
        <f t="shared" si="180"/>
        <v>45978</v>
      </c>
      <c r="F379" s="26">
        <v>4.18</v>
      </c>
      <c r="G379" s="26">
        <v>7.42</v>
      </c>
      <c r="H379" s="26">
        <v>9.92</v>
      </c>
      <c r="I379" s="28">
        <f t="shared" si="167"/>
        <v>0.130625</v>
      </c>
      <c r="J379" s="28">
        <f t="shared" si="163"/>
        <v>0.1159375</v>
      </c>
      <c r="K379" s="28">
        <f t="shared" si="164"/>
        <v>0.0775</v>
      </c>
      <c r="M379" s="36">
        <f t="shared" si="169"/>
        <v>0.215116279069767</v>
      </c>
      <c r="N379" s="36">
        <f t="shared" si="170"/>
        <v>0.397993311036789</v>
      </c>
      <c r="O379" s="36">
        <f t="shared" si="171"/>
        <v>0.678714859437751</v>
      </c>
      <c r="P379" s="36">
        <f t="shared" si="172"/>
        <v>0.148606811145511</v>
      </c>
      <c r="Q379" s="36">
        <f t="shared" si="173"/>
        <v>0.346642468239565</v>
      </c>
      <c r="R379" s="36">
        <f t="shared" si="174"/>
        <v>0.536231884057971</v>
      </c>
      <c r="S379" s="36">
        <f t="shared" si="176"/>
        <v>0.171192443919717</v>
      </c>
      <c r="T379" s="36">
        <f t="shared" si="177"/>
        <v>0.317397078353254</v>
      </c>
      <c r="U379" s="36">
        <f t="shared" si="178"/>
        <v>0.487256371814093</v>
      </c>
      <c r="BA379" s="25">
        <f t="shared" si="181"/>
        <v>45978</v>
      </c>
      <c r="BB379" s="28">
        <f t="shared" si="181"/>
        <v>4.18</v>
      </c>
      <c r="BC379" s="28">
        <f t="shared" si="165"/>
        <v>4.88</v>
      </c>
      <c r="BD379" s="28">
        <f t="shared" si="168"/>
        <v>7.42</v>
      </c>
      <c r="BE379" s="28">
        <f t="shared" si="160"/>
        <v>8.48</v>
      </c>
      <c r="BF379" s="28">
        <f t="shared" si="175"/>
        <v>9.92</v>
      </c>
      <c r="BG379" s="28">
        <f t="shared" si="158"/>
        <v>12.435</v>
      </c>
      <c r="BH379" s="28">
        <f t="shared" si="154"/>
        <v>13.09</v>
      </c>
      <c r="BI379" s="28">
        <f t="shared" si="154"/>
        <v>11.78</v>
      </c>
      <c r="BJ379" s="36">
        <f t="shared" si="162"/>
        <v>0.171192443919717</v>
      </c>
      <c r="DP379" s="35">
        <v>44021</v>
      </c>
      <c r="DQ379" s="26">
        <v>3.3</v>
      </c>
      <c r="DR379" s="26">
        <v>3.1</v>
      </c>
      <c r="DS379" s="26">
        <v>3.157</v>
      </c>
      <c r="DU379" s="35">
        <v>44021</v>
      </c>
      <c r="DV379" s="26">
        <v>6.2</v>
      </c>
      <c r="DW379" s="26">
        <v>5.95</v>
      </c>
      <c r="DX379" s="26">
        <v>6.008</v>
      </c>
      <c r="DZ379" s="35">
        <v>44021</v>
      </c>
      <c r="EA379" s="26">
        <v>16.6</v>
      </c>
      <c r="EB379" s="26">
        <v>16.4</v>
      </c>
      <c r="EC379" s="26">
        <v>16.45</v>
      </c>
    </row>
    <row r="380" ht="16.8" spans="3:133">
      <c r="C380" s="5" t="str" cm="1">
        <f t="array" ref="C380">_xlfn.IFS(MONTH(D380)&lt;4,1,MONTH(D380)&lt;7,2,MONTH(D380)&lt;10,3,MONTH(D380)&gt;9,4)&amp;"Q"&amp;RIGHT(YEAR(D380),2)</f>
        <v>4Q25</v>
      </c>
      <c r="D380" s="2">
        <f t="shared" si="166"/>
        <v>45991</v>
      </c>
      <c r="E380" s="25">
        <f t="shared" si="180"/>
        <v>45985</v>
      </c>
      <c r="F380" s="26">
        <v>5.19</v>
      </c>
      <c r="G380" s="26">
        <v>9.07</v>
      </c>
      <c r="H380" s="26">
        <v>12.43</v>
      </c>
      <c r="I380" s="28">
        <f t="shared" si="167"/>
        <v>0.1621875</v>
      </c>
      <c r="J380" s="28">
        <f t="shared" si="163"/>
        <v>0.14171875</v>
      </c>
      <c r="K380" s="28">
        <f t="shared" si="164"/>
        <v>0.097109375</v>
      </c>
      <c r="M380" s="36">
        <f t="shared" si="169"/>
        <v>0.241626794258373</v>
      </c>
      <c r="N380" s="36">
        <f t="shared" si="170"/>
        <v>0.508720930232558</v>
      </c>
      <c r="O380" s="36">
        <f t="shared" si="171"/>
        <v>0.735785953177257</v>
      </c>
      <c r="P380" s="36">
        <f t="shared" si="172"/>
        <v>0.222371967654987</v>
      </c>
      <c r="Q380" s="36">
        <f t="shared" si="173"/>
        <v>0.404024767801858</v>
      </c>
      <c r="R380" s="36">
        <f t="shared" si="174"/>
        <v>0.646098003629764</v>
      </c>
      <c r="S380" s="36">
        <f t="shared" si="176"/>
        <v>0.253024193548387</v>
      </c>
      <c r="T380" s="36">
        <f t="shared" si="177"/>
        <v>0.467532467532467</v>
      </c>
      <c r="U380" s="36">
        <f t="shared" si="178"/>
        <v>0.650730411686587</v>
      </c>
      <c r="BA380" s="25">
        <f t="shared" si="181"/>
        <v>45985</v>
      </c>
      <c r="BB380" s="28">
        <f t="shared" si="181"/>
        <v>5.19</v>
      </c>
      <c r="BC380" s="28">
        <f t="shared" si="165"/>
        <v>4.88</v>
      </c>
      <c r="BD380" s="28">
        <f t="shared" si="168"/>
        <v>9.07</v>
      </c>
      <c r="BE380" s="28">
        <f t="shared" si="160"/>
        <v>8.48</v>
      </c>
      <c r="BF380" s="28">
        <f t="shared" si="175"/>
        <v>12.43</v>
      </c>
      <c r="BG380" s="28">
        <f t="shared" si="158"/>
        <v>12.435</v>
      </c>
      <c r="BH380" s="28">
        <f t="shared" si="154"/>
        <v>13.09</v>
      </c>
      <c r="BI380" s="28">
        <f t="shared" si="154"/>
        <v>11.78</v>
      </c>
      <c r="BJ380" s="36">
        <f t="shared" si="162"/>
        <v>0.253024193548387</v>
      </c>
      <c r="DP380" s="35">
        <v>44022</v>
      </c>
      <c r="DQ380" s="26">
        <v>3.3</v>
      </c>
      <c r="DR380" s="26">
        <v>3.1</v>
      </c>
      <c r="DS380" s="26">
        <v>3.143</v>
      </c>
      <c r="DU380" s="35">
        <v>44022</v>
      </c>
      <c r="DV380" s="26">
        <v>6.2</v>
      </c>
      <c r="DW380" s="26">
        <v>5.95</v>
      </c>
      <c r="DX380" s="26">
        <v>5.995</v>
      </c>
      <c r="DZ380" s="35">
        <v>44022</v>
      </c>
      <c r="EA380" s="26">
        <v>16.6</v>
      </c>
      <c r="EB380" s="26">
        <v>16.45</v>
      </c>
      <c r="EC380" s="26">
        <v>16.5</v>
      </c>
    </row>
    <row r="381" ht="16.8" spans="3:133">
      <c r="C381" s="5" t="str" cm="1">
        <f t="array" ref="C381">_xlfn.IFS(MONTH(D381)&lt;4,1,MONTH(D381)&lt;7,2,MONTH(D381)&lt;10,3,MONTH(D381)&gt;9,4)&amp;"Q"&amp;RIGHT(YEAR(D381),2)</f>
        <v>4Q25</v>
      </c>
      <c r="D381" s="2">
        <f t="shared" si="166"/>
        <v>46022</v>
      </c>
      <c r="E381" s="25">
        <f t="shared" si="180"/>
        <v>45992</v>
      </c>
      <c r="F381" s="26">
        <v>5.19</v>
      </c>
      <c r="G381" s="26">
        <v>9.61</v>
      </c>
      <c r="H381" s="26">
        <v>12.63</v>
      </c>
      <c r="I381" s="28">
        <f t="shared" si="167"/>
        <v>0.1621875</v>
      </c>
      <c r="J381" s="28">
        <f t="shared" si="163"/>
        <v>0.15015625</v>
      </c>
      <c r="K381" s="28">
        <f t="shared" si="164"/>
        <v>0.098671875</v>
      </c>
      <c r="M381" s="36">
        <f t="shared" si="169"/>
        <v>0</v>
      </c>
      <c r="N381" s="36">
        <f t="shared" si="170"/>
        <v>0.241626794258373</v>
      </c>
      <c r="O381" s="36">
        <f t="shared" si="171"/>
        <v>0.508720930232558</v>
      </c>
      <c r="P381" s="36">
        <f t="shared" si="172"/>
        <v>0.0595369349503858</v>
      </c>
      <c r="Q381" s="36">
        <f t="shared" si="173"/>
        <v>0.295148247978437</v>
      </c>
      <c r="R381" s="36">
        <f t="shared" si="174"/>
        <v>0.487616099071207</v>
      </c>
      <c r="S381" s="36">
        <f t="shared" si="176"/>
        <v>0.0160901045856798</v>
      </c>
      <c r="T381" s="36">
        <f t="shared" si="177"/>
        <v>0.273185483870968</v>
      </c>
      <c r="U381" s="36">
        <f t="shared" si="178"/>
        <v>0.491145218417946</v>
      </c>
      <c r="BA381" s="25">
        <f t="shared" si="181"/>
        <v>45992</v>
      </c>
      <c r="BB381" s="28">
        <f t="shared" si="181"/>
        <v>5.19</v>
      </c>
      <c r="BC381" s="28">
        <f t="shared" si="165"/>
        <v>6.76</v>
      </c>
      <c r="BD381" s="28">
        <f t="shared" si="168"/>
        <v>9.61</v>
      </c>
      <c r="BE381" s="28">
        <f t="shared" si="160"/>
        <v>12.16</v>
      </c>
      <c r="BF381" s="28">
        <f t="shared" si="175"/>
        <v>12.63</v>
      </c>
      <c r="BG381" s="28">
        <f t="shared" si="158"/>
        <v>16.37</v>
      </c>
      <c r="BH381" s="28">
        <f t="shared" si="154"/>
        <v>16.95</v>
      </c>
      <c r="BI381" s="28">
        <f t="shared" si="154"/>
        <v>15.79</v>
      </c>
      <c r="BJ381" s="36">
        <f t="shared" si="162"/>
        <v>0.0160901045856798</v>
      </c>
      <c r="DP381" s="35">
        <v>44025</v>
      </c>
      <c r="DQ381" s="26">
        <v>3.3</v>
      </c>
      <c r="DR381" s="26">
        <v>3.1</v>
      </c>
      <c r="DS381" s="26">
        <v>3.137</v>
      </c>
      <c r="DU381" s="35">
        <v>44025</v>
      </c>
      <c r="DV381" s="26">
        <v>6.2</v>
      </c>
      <c r="DW381" s="26">
        <v>5.95</v>
      </c>
      <c r="DX381" s="26">
        <v>5.995</v>
      </c>
      <c r="DZ381" s="35">
        <v>44025</v>
      </c>
      <c r="EA381" s="26">
        <v>16.6</v>
      </c>
      <c r="EB381" s="26">
        <v>16.45</v>
      </c>
      <c r="EC381" s="26">
        <v>16.5</v>
      </c>
    </row>
    <row r="382" ht="16.8" spans="3:133">
      <c r="C382" s="5" t="str" cm="1">
        <f t="array" ref="C382">_xlfn.IFS(MONTH(D382)&lt;4,1,MONTH(D382)&lt;7,2,MONTH(D382)&lt;10,3,MONTH(D382)&gt;9,4)&amp;"Q"&amp;RIGHT(YEAR(D382),2)</f>
        <v>4Q25</v>
      </c>
      <c r="D382" s="2">
        <f t="shared" si="166"/>
        <v>46022</v>
      </c>
      <c r="E382" s="25">
        <f t="shared" si="180"/>
        <v>45999</v>
      </c>
      <c r="F382" s="26">
        <v>5.19</v>
      </c>
      <c r="G382" s="26">
        <v>9.63</v>
      </c>
      <c r="H382" s="26">
        <v>12.64</v>
      </c>
      <c r="I382" s="28">
        <f t="shared" si="167"/>
        <v>0.1621875</v>
      </c>
      <c r="J382" s="28">
        <f t="shared" si="163"/>
        <v>0.15046875</v>
      </c>
      <c r="K382" s="28">
        <f t="shared" si="164"/>
        <v>0.09875</v>
      </c>
      <c r="M382" s="36">
        <f t="shared" si="169"/>
        <v>0</v>
      </c>
      <c r="N382" s="36">
        <f t="shared" si="170"/>
        <v>0</v>
      </c>
      <c r="O382" s="36">
        <f t="shared" si="171"/>
        <v>0.241626794258373</v>
      </c>
      <c r="P382" s="36">
        <f t="shared" si="172"/>
        <v>0.00208116545265358</v>
      </c>
      <c r="Q382" s="36">
        <f t="shared" si="173"/>
        <v>0.061742006615215</v>
      </c>
      <c r="R382" s="36">
        <f t="shared" si="174"/>
        <v>0.297843665768194</v>
      </c>
      <c r="S382" s="36">
        <f t="shared" si="176"/>
        <v>0.000791765637371267</v>
      </c>
      <c r="T382" s="36">
        <f t="shared" si="177"/>
        <v>0.0168946098149638</v>
      </c>
      <c r="U382" s="36">
        <f t="shared" si="178"/>
        <v>0.274193548387097</v>
      </c>
      <c r="BA382" s="25">
        <f t="shared" si="181"/>
        <v>45999</v>
      </c>
      <c r="BB382" s="28">
        <f t="shared" si="181"/>
        <v>5.19</v>
      </c>
      <c r="BC382" s="28">
        <f t="shared" si="165"/>
        <v>6.76</v>
      </c>
      <c r="BD382" s="28">
        <f t="shared" si="168"/>
        <v>9.63</v>
      </c>
      <c r="BE382" s="28">
        <f t="shared" si="160"/>
        <v>12.16</v>
      </c>
      <c r="BF382" s="28">
        <f t="shared" si="175"/>
        <v>12.64</v>
      </c>
      <c r="BG382" s="28">
        <f t="shared" si="158"/>
        <v>16.37</v>
      </c>
      <c r="BH382" s="28">
        <f t="shared" si="154"/>
        <v>16.95</v>
      </c>
      <c r="BI382" s="28">
        <f t="shared" si="154"/>
        <v>15.79</v>
      </c>
      <c r="BJ382" s="36">
        <f t="shared" si="162"/>
        <v>0.000791765637371267</v>
      </c>
      <c r="DP382" s="35">
        <v>44026</v>
      </c>
      <c r="DQ382" s="26">
        <v>3.3</v>
      </c>
      <c r="DR382" s="26">
        <v>3.1</v>
      </c>
      <c r="DS382" s="26">
        <v>3.133</v>
      </c>
      <c r="DU382" s="35">
        <v>44026</v>
      </c>
      <c r="DV382" s="26">
        <v>6.2</v>
      </c>
      <c r="DW382" s="26">
        <v>5.95</v>
      </c>
      <c r="DX382" s="26">
        <v>5.995</v>
      </c>
      <c r="DZ382" s="35">
        <v>44026</v>
      </c>
      <c r="EA382" s="26">
        <v>16.6</v>
      </c>
      <c r="EB382" s="26">
        <v>16.45</v>
      </c>
      <c r="EC382" s="26">
        <v>16.5</v>
      </c>
    </row>
    <row r="383" ht="16.8" spans="3:133">
      <c r="C383" s="5" t="str" cm="1">
        <f t="array" ref="C383">_xlfn.IFS(MONTH(D383)&lt;4,1,MONTH(D383)&lt;7,2,MONTH(D383)&lt;10,3,MONTH(D383)&gt;9,4)&amp;"Q"&amp;RIGHT(YEAR(D383),2)</f>
        <v>4Q25</v>
      </c>
      <c r="D383" s="2">
        <f t="shared" si="166"/>
        <v>46022</v>
      </c>
      <c r="E383" s="25">
        <f t="shared" si="180"/>
        <v>46006</v>
      </c>
      <c r="F383" s="26">
        <v>5.19</v>
      </c>
      <c r="G383" s="26">
        <v>9.62</v>
      </c>
      <c r="H383" s="26">
        <v>12.63</v>
      </c>
      <c r="I383" s="28">
        <f t="shared" si="167"/>
        <v>0.1621875</v>
      </c>
      <c r="J383" s="28">
        <f t="shared" si="163"/>
        <v>0.1503125</v>
      </c>
      <c r="K383" s="28">
        <f t="shared" si="164"/>
        <v>0.098671875</v>
      </c>
      <c r="M383" s="36">
        <f t="shared" si="169"/>
        <v>0</v>
      </c>
      <c r="N383" s="36">
        <f t="shared" si="170"/>
        <v>0</v>
      </c>
      <c r="O383" s="36">
        <f t="shared" si="171"/>
        <v>0</v>
      </c>
      <c r="P383" s="36">
        <f t="shared" si="172"/>
        <v>-0.00103842159916945</v>
      </c>
      <c r="Q383" s="36">
        <f t="shared" si="173"/>
        <v>0.00104058272632668</v>
      </c>
      <c r="R383" s="36">
        <f t="shared" si="174"/>
        <v>0.0606394707828004</v>
      </c>
      <c r="S383" s="36">
        <f t="shared" si="176"/>
        <v>-0.000791139240506333</v>
      </c>
      <c r="T383" s="36">
        <f t="shared" si="177"/>
        <v>0</v>
      </c>
      <c r="U383" s="36">
        <f t="shared" si="178"/>
        <v>0.0160901045856798</v>
      </c>
      <c r="BA383" s="25">
        <f t="shared" si="181"/>
        <v>46006</v>
      </c>
      <c r="BB383" s="28">
        <f t="shared" si="181"/>
        <v>5.19</v>
      </c>
      <c r="BC383" s="28">
        <f t="shared" si="165"/>
        <v>6.76</v>
      </c>
      <c r="BD383" s="28">
        <f t="shared" si="168"/>
        <v>9.62</v>
      </c>
      <c r="BE383" s="28">
        <f t="shared" si="160"/>
        <v>12.16</v>
      </c>
      <c r="BF383" s="28">
        <f t="shared" si="175"/>
        <v>12.63</v>
      </c>
      <c r="BG383" s="28">
        <f t="shared" si="158"/>
        <v>16.37</v>
      </c>
      <c r="BH383" s="28">
        <f t="shared" si="154"/>
        <v>16.95</v>
      </c>
      <c r="BI383" s="28">
        <f t="shared" si="154"/>
        <v>15.79</v>
      </c>
      <c r="BJ383" s="36">
        <f t="shared" si="162"/>
        <v>-0.000791139240506333</v>
      </c>
      <c r="DP383" s="35">
        <v>44027</v>
      </c>
      <c r="DQ383" s="26">
        <v>3.3</v>
      </c>
      <c r="DR383" s="26">
        <v>3.1</v>
      </c>
      <c r="DS383" s="26">
        <v>3.13</v>
      </c>
      <c r="DU383" s="35">
        <v>44027</v>
      </c>
      <c r="DV383" s="26">
        <v>6.2</v>
      </c>
      <c r="DW383" s="26">
        <v>5.95</v>
      </c>
      <c r="DX383" s="26">
        <v>5.989</v>
      </c>
      <c r="DZ383" s="35">
        <v>44027</v>
      </c>
      <c r="EA383" s="26">
        <v>16.6</v>
      </c>
      <c r="EB383" s="26">
        <v>16.45</v>
      </c>
      <c r="EC383" s="26">
        <v>16.5</v>
      </c>
    </row>
    <row r="384" ht="16.8" spans="3:133">
      <c r="C384" s="5" t="str" cm="1">
        <f t="array" ref="C384">_xlfn.IFS(MONTH(D384)&lt;4,1,MONTH(D384)&lt;7,2,MONTH(D384)&lt;10,3,MONTH(D384)&gt;9,4)&amp;"Q"&amp;RIGHT(YEAR(D384),2)</f>
        <v>4Q25</v>
      </c>
      <c r="D384" s="2">
        <f t="shared" si="166"/>
        <v>46022</v>
      </c>
      <c r="E384" s="25">
        <f t="shared" si="180"/>
        <v>46013</v>
      </c>
      <c r="F384" s="26">
        <v>6.04</v>
      </c>
      <c r="G384" s="26">
        <v>11.52</v>
      </c>
      <c r="H384" s="26">
        <v>14.68</v>
      </c>
      <c r="I384" s="28">
        <f t="shared" si="167"/>
        <v>0.18875</v>
      </c>
      <c r="J384" s="28">
        <f t="shared" si="163"/>
        <v>0.18</v>
      </c>
      <c r="K384" s="28">
        <f t="shared" si="164"/>
        <v>0.1146875</v>
      </c>
      <c r="M384" s="36">
        <f t="shared" si="169"/>
        <v>0.163776493256262</v>
      </c>
      <c r="N384" s="36">
        <f t="shared" si="170"/>
        <v>0.163776493256262</v>
      </c>
      <c r="O384" s="36">
        <f t="shared" si="171"/>
        <v>0.163776493256262</v>
      </c>
      <c r="P384" s="36">
        <f t="shared" si="172"/>
        <v>0.197505197505198</v>
      </c>
      <c r="Q384" s="36">
        <f t="shared" si="173"/>
        <v>0.196261682242991</v>
      </c>
      <c r="R384" s="36">
        <f t="shared" si="174"/>
        <v>0.198751300728408</v>
      </c>
      <c r="S384" s="36">
        <f t="shared" si="176"/>
        <v>0.162311955661124</v>
      </c>
      <c r="T384" s="36">
        <f t="shared" si="177"/>
        <v>0.161392405063291</v>
      </c>
      <c r="U384" s="36">
        <f t="shared" si="178"/>
        <v>0.162311955661124</v>
      </c>
      <c r="BA384" s="25">
        <f t="shared" si="181"/>
        <v>46013</v>
      </c>
      <c r="BB384" s="28">
        <f t="shared" si="181"/>
        <v>6.04</v>
      </c>
      <c r="BC384" s="28">
        <f t="shared" si="165"/>
        <v>6.76</v>
      </c>
      <c r="BD384" s="28">
        <f t="shared" si="168"/>
        <v>11.52</v>
      </c>
      <c r="BE384" s="28">
        <f t="shared" si="160"/>
        <v>12.16</v>
      </c>
      <c r="BF384" s="28">
        <f t="shared" si="175"/>
        <v>14.68</v>
      </c>
      <c r="BG384" s="28">
        <f t="shared" ref="BG384:BG406" si="182">AVERAGE(BH384:BI384)</f>
        <v>16.37</v>
      </c>
      <c r="BH384" s="28">
        <f t="shared" si="154"/>
        <v>16.95</v>
      </c>
      <c r="BI384" s="28">
        <f t="shared" si="154"/>
        <v>15.79</v>
      </c>
      <c r="BJ384" s="36">
        <f t="shared" si="162"/>
        <v>0.162311955661124</v>
      </c>
      <c r="DP384" s="35">
        <v>44028</v>
      </c>
      <c r="DQ384" s="26">
        <v>3.3</v>
      </c>
      <c r="DR384" s="26">
        <v>3.1</v>
      </c>
      <c r="DS384" s="26">
        <v>3.13</v>
      </c>
      <c r="DU384" s="35">
        <v>44028</v>
      </c>
      <c r="DV384" s="26">
        <v>6.2</v>
      </c>
      <c r="DW384" s="26">
        <v>5.95</v>
      </c>
      <c r="DX384" s="26">
        <v>5.989</v>
      </c>
      <c r="DZ384" s="35">
        <v>44028</v>
      </c>
      <c r="EA384" s="26">
        <v>16.6</v>
      </c>
      <c r="EB384" s="26">
        <v>16.45</v>
      </c>
      <c r="EC384" s="26">
        <v>16.5</v>
      </c>
    </row>
    <row r="385" ht="16.8" spans="3:133">
      <c r="C385" s="5" t="str" cm="1">
        <f t="array" ref="C385">_xlfn.IFS(MONTH(D385)&lt;4,1,MONTH(D385)&lt;7,2,MONTH(D385)&lt;10,3,MONTH(D385)&gt;9,4)&amp;"Q"&amp;RIGHT(YEAR(D385),2)</f>
        <v>4Q25</v>
      </c>
      <c r="D385" s="2">
        <f t="shared" si="166"/>
        <v>46022</v>
      </c>
      <c r="E385" s="25">
        <f t="shared" si="180"/>
        <v>46020</v>
      </c>
      <c r="F385" s="26">
        <v>6.87</v>
      </c>
      <c r="G385" s="26">
        <v>13.06</v>
      </c>
      <c r="H385" s="26">
        <v>16.67</v>
      </c>
      <c r="I385" s="28">
        <f t="shared" si="167"/>
        <v>0.2146875</v>
      </c>
      <c r="J385" s="28">
        <f t="shared" si="163"/>
        <v>0.2040625</v>
      </c>
      <c r="K385" s="28">
        <f t="shared" si="164"/>
        <v>0.130234375</v>
      </c>
      <c r="M385" s="36">
        <f t="shared" si="169"/>
        <v>0.137417218543046</v>
      </c>
      <c r="N385" s="36">
        <f t="shared" si="170"/>
        <v>0.323699421965318</v>
      </c>
      <c r="O385" s="36">
        <f t="shared" si="171"/>
        <v>0.323699421965318</v>
      </c>
      <c r="P385" s="36">
        <f t="shared" si="172"/>
        <v>0.133680555555556</v>
      </c>
      <c r="Q385" s="36">
        <f t="shared" si="173"/>
        <v>0.357588357588358</v>
      </c>
      <c r="R385" s="36">
        <f t="shared" si="174"/>
        <v>0.356178608515057</v>
      </c>
      <c r="S385" s="36">
        <f t="shared" si="176"/>
        <v>0.135558583106267</v>
      </c>
      <c r="T385" s="36">
        <f t="shared" si="177"/>
        <v>0.319873317498021</v>
      </c>
      <c r="U385" s="36">
        <f t="shared" si="178"/>
        <v>0.318829113924051</v>
      </c>
      <c r="BA385" s="25">
        <f t="shared" si="181"/>
        <v>46020</v>
      </c>
      <c r="BB385" s="28">
        <f t="shared" si="181"/>
        <v>6.87</v>
      </c>
      <c r="BC385" s="28">
        <f t="shared" si="165"/>
        <v>6.76</v>
      </c>
      <c r="BD385" s="28">
        <f t="shared" si="168"/>
        <v>13.06</v>
      </c>
      <c r="BE385" s="28">
        <f t="shared" si="160"/>
        <v>12.16</v>
      </c>
      <c r="BF385" s="28">
        <f t="shared" si="175"/>
        <v>16.67</v>
      </c>
      <c r="BG385" s="28">
        <f t="shared" si="182"/>
        <v>16.37</v>
      </c>
      <c r="BH385" s="28">
        <f t="shared" si="154"/>
        <v>16.95</v>
      </c>
      <c r="BI385" s="28">
        <f t="shared" si="154"/>
        <v>15.79</v>
      </c>
      <c r="BJ385" s="36">
        <f t="shared" si="162"/>
        <v>0.135558583106267</v>
      </c>
      <c r="DP385" s="35">
        <v>44029</v>
      </c>
      <c r="DQ385" s="26">
        <v>3.3</v>
      </c>
      <c r="DR385" s="26">
        <v>3.05</v>
      </c>
      <c r="DS385" s="26">
        <v>3.117</v>
      </c>
      <c r="DU385" s="35">
        <v>44029</v>
      </c>
      <c r="DV385" s="26">
        <v>6.2</v>
      </c>
      <c r="DW385" s="26">
        <v>5.9</v>
      </c>
      <c r="DX385" s="26">
        <v>5.982</v>
      </c>
      <c r="DZ385" s="35">
        <v>44029</v>
      </c>
      <c r="EA385" s="26">
        <v>16.6</v>
      </c>
      <c r="EB385" s="26">
        <v>16.45</v>
      </c>
      <c r="EC385" s="26">
        <v>16.5</v>
      </c>
    </row>
    <row r="386" ht="16.8" spans="3:133">
      <c r="C386" s="5" t="str" cm="1">
        <f t="array" ref="C386">_xlfn.IFS(MONTH(D386)&lt;4,1,MONTH(D386)&lt;7,2,MONTH(D386)&lt;10,3,MONTH(D386)&gt;9,4)&amp;"Q"&amp;RIGHT(YEAR(D386),2)</f>
        <v>1Q26</v>
      </c>
      <c r="D386" s="2">
        <f t="shared" si="166"/>
        <v>46053</v>
      </c>
      <c r="E386" s="25">
        <f t="shared" si="180"/>
        <v>46027</v>
      </c>
      <c r="F386" s="26">
        <v>6.97</v>
      </c>
      <c r="G386" s="26">
        <v>13.72</v>
      </c>
      <c r="H386" s="26">
        <v>17.08</v>
      </c>
      <c r="I386" s="28">
        <f t="shared" si="167"/>
        <v>0.2178125</v>
      </c>
      <c r="J386" s="28">
        <f t="shared" si="163"/>
        <v>0.214375</v>
      </c>
      <c r="K386" s="28">
        <f t="shared" si="164"/>
        <v>0.1334375</v>
      </c>
      <c r="M386" s="36">
        <f t="shared" si="169"/>
        <v>0.0145560407569141</v>
      </c>
      <c r="N386" s="36">
        <f t="shared" si="170"/>
        <v>0.153973509933775</v>
      </c>
      <c r="O386" s="36">
        <f t="shared" si="171"/>
        <v>0.342967244701349</v>
      </c>
      <c r="P386" s="36">
        <f t="shared" si="172"/>
        <v>0.0505359877488514</v>
      </c>
      <c r="Q386" s="36">
        <f t="shared" si="173"/>
        <v>0.190972222222222</v>
      </c>
      <c r="R386" s="36">
        <f t="shared" si="174"/>
        <v>0.426195426195426</v>
      </c>
      <c r="S386" s="36">
        <f t="shared" si="176"/>
        <v>0.0245950809838031</v>
      </c>
      <c r="T386" s="36">
        <f t="shared" si="177"/>
        <v>0.163487738419619</v>
      </c>
      <c r="U386" s="36">
        <f t="shared" si="178"/>
        <v>0.352335708630245</v>
      </c>
      <c r="BA386" s="25">
        <f t="shared" si="181"/>
        <v>46027</v>
      </c>
      <c r="BB386" s="28">
        <f t="shared" si="181"/>
        <v>6.97</v>
      </c>
      <c r="BC386" s="28">
        <f t="shared" si="165"/>
        <v>8.94</v>
      </c>
      <c r="BD386" s="28">
        <f t="shared" si="168"/>
        <v>13.72</v>
      </c>
      <c r="BE386" s="28">
        <f t="shared" si="160"/>
        <v>16.14</v>
      </c>
      <c r="BF386" s="28">
        <f t="shared" si="175"/>
        <v>17.08</v>
      </c>
      <c r="BG386" s="28">
        <f t="shared" si="182"/>
        <v>21.15</v>
      </c>
      <c r="BH386" s="28">
        <f t="shared" si="154"/>
        <v>21.7</v>
      </c>
      <c r="BI386" s="28">
        <f t="shared" si="154"/>
        <v>20.6</v>
      </c>
      <c r="BJ386" s="36">
        <f t="shared" si="162"/>
        <v>0.0245950809838031</v>
      </c>
      <c r="DP386" s="35">
        <v>44032</v>
      </c>
      <c r="DQ386" s="26">
        <v>3.3</v>
      </c>
      <c r="DR386" s="26">
        <v>3.05</v>
      </c>
      <c r="DS386" s="26">
        <v>3.103</v>
      </c>
      <c r="DU386" s="35">
        <v>44032</v>
      </c>
      <c r="DV386" s="26">
        <v>6.2</v>
      </c>
      <c r="DW386" s="26">
        <v>5.9</v>
      </c>
      <c r="DX386" s="26">
        <v>6.001</v>
      </c>
      <c r="DZ386" s="35">
        <v>44032</v>
      </c>
      <c r="EA386" s="26">
        <v>16.6</v>
      </c>
      <c r="EB386" s="26">
        <v>16.45</v>
      </c>
      <c r="EC386" s="26">
        <v>16.5</v>
      </c>
    </row>
    <row r="387" ht="16.8" spans="3:133">
      <c r="C387" s="5" t="str" cm="1">
        <f t="array" ref="C387">_xlfn.IFS(MONTH(D387)&lt;4,1,MONTH(D387)&lt;7,2,MONTH(D387)&lt;10,3,MONTH(D387)&gt;9,4)&amp;"Q"&amp;RIGHT(YEAR(D387),2)</f>
        <v>1Q26</v>
      </c>
      <c r="D387" s="2">
        <f t="shared" si="166"/>
        <v>46053</v>
      </c>
      <c r="E387" s="25">
        <f t="shared" si="180"/>
        <v>46034</v>
      </c>
      <c r="F387" s="26">
        <v>6.97</v>
      </c>
      <c r="G387" s="26">
        <v>15.05</v>
      </c>
      <c r="H387" s="26">
        <v>17.92</v>
      </c>
      <c r="I387" s="28">
        <f t="shared" si="167"/>
        <v>0.2178125</v>
      </c>
      <c r="J387" s="28">
        <f t="shared" si="163"/>
        <v>0.23515625</v>
      </c>
      <c r="K387" s="28">
        <f t="shared" si="164"/>
        <v>0.14</v>
      </c>
      <c r="M387" s="36">
        <f t="shared" si="169"/>
        <v>0</v>
      </c>
      <c r="N387" s="36">
        <f t="shared" si="170"/>
        <v>0.0145560407569141</v>
      </c>
      <c r="O387" s="36">
        <f t="shared" si="171"/>
        <v>0.153973509933775</v>
      </c>
      <c r="P387" s="36">
        <f t="shared" si="172"/>
        <v>0.096938775510204</v>
      </c>
      <c r="Q387" s="36">
        <f t="shared" si="173"/>
        <v>0.152373660030628</v>
      </c>
      <c r="R387" s="36">
        <f t="shared" si="174"/>
        <v>0.306423611111111</v>
      </c>
      <c r="S387" s="36">
        <f t="shared" si="176"/>
        <v>0.0491803278688527</v>
      </c>
      <c r="T387" s="36">
        <f t="shared" si="177"/>
        <v>0.0749850029994001</v>
      </c>
      <c r="U387" s="36">
        <f t="shared" si="178"/>
        <v>0.220708446866485</v>
      </c>
      <c r="BA387" s="25">
        <f t="shared" si="181"/>
        <v>46034</v>
      </c>
      <c r="BB387" s="28">
        <f t="shared" si="181"/>
        <v>6.97</v>
      </c>
      <c r="BC387" s="28">
        <f t="shared" si="165"/>
        <v>8.94</v>
      </c>
      <c r="BD387" s="28">
        <f t="shared" si="168"/>
        <v>15.05</v>
      </c>
      <c r="BE387" s="28">
        <f t="shared" si="160"/>
        <v>16.14</v>
      </c>
      <c r="BF387" s="28">
        <f t="shared" si="175"/>
        <v>17.92</v>
      </c>
      <c r="BG387" s="28">
        <f t="shared" si="182"/>
        <v>21.15</v>
      </c>
      <c r="BH387" s="28">
        <f t="shared" si="154"/>
        <v>21.7</v>
      </c>
      <c r="BI387" s="28">
        <f t="shared" si="154"/>
        <v>20.6</v>
      </c>
      <c r="BJ387" s="36">
        <f t="shared" si="162"/>
        <v>0.0491803278688527</v>
      </c>
      <c r="DP387" s="35">
        <v>44033</v>
      </c>
      <c r="DQ387" s="26">
        <v>3.3</v>
      </c>
      <c r="DR387" s="26">
        <v>3.05</v>
      </c>
      <c r="DS387" s="26">
        <v>3.097</v>
      </c>
      <c r="DU387" s="35">
        <v>44033</v>
      </c>
      <c r="DV387" s="26">
        <v>6.2</v>
      </c>
      <c r="DW387" s="26">
        <v>5.9</v>
      </c>
      <c r="DX387" s="26">
        <v>5.993</v>
      </c>
      <c r="DZ387" s="35">
        <v>44033</v>
      </c>
      <c r="EA387" s="26">
        <v>16.6</v>
      </c>
      <c r="EB387" s="26">
        <v>16.45</v>
      </c>
      <c r="EC387" s="26">
        <v>16.5</v>
      </c>
    </row>
    <row r="388" ht="16.8" spans="3:133">
      <c r="C388" s="5" t="str" cm="1">
        <f t="array" ref="C388">_xlfn.IFS(MONTH(D388)&lt;4,1,MONTH(D388)&lt;7,2,MONTH(D388)&lt;10,3,MONTH(D388)&gt;9,4)&amp;"Q"&amp;RIGHT(YEAR(D388),2)</f>
        <v>1Q26</v>
      </c>
      <c r="D388" s="2">
        <f t="shared" si="166"/>
        <v>46053</v>
      </c>
      <c r="E388" s="25">
        <f t="shared" si="180"/>
        <v>46041</v>
      </c>
      <c r="F388" s="26">
        <v>7.57</v>
      </c>
      <c r="G388" s="26">
        <v>15.45</v>
      </c>
      <c r="H388" s="26">
        <v>18.42</v>
      </c>
      <c r="I388" s="28">
        <f t="shared" si="167"/>
        <v>0.2365625</v>
      </c>
      <c r="J388" s="28">
        <f t="shared" si="163"/>
        <v>0.24140625</v>
      </c>
      <c r="K388" s="28">
        <f t="shared" si="164"/>
        <v>0.14390625</v>
      </c>
      <c r="M388" s="36">
        <f t="shared" si="169"/>
        <v>0.0860832137733143</v>
      </c>
      <c r="N388" s="36">
        <f t="shared" si="170"/>
        <v>0.0860832137733143</v>
      </c>
      <c r="O388" s="36">
        <f t="shared" si="171"/>
        <v>0.101892285298399</v>
      </c>
      <c r="P388" s="36">
        <f t="shared" si="172"/>
        <v>0.0265780730897009</v>
      </c>
      <c r="Q388" s="36">
        <f t="shared" si="173"/>
        <v>0.126093294460641</v>
      </c>
      <c r="R388" s="36">
        <f t="shared" si="174"/>
        <v>0.183001531393568</v>
      </c>
      <c r="S388" s="36">
        <f t="shared" si="176"/>
        <v>0.0279017857142858</v>
      </c>
      <c r="T388" s="36">
        <f t="shared" si="177"/>
        <v>0.0784543325526934</v>
      </c>
      <c r="U388" s="36">
        <f t="shared" si="178"/>
        <v>0.10497900419916</v>
      </c>
      <c r="BA388" s="25">
        <f t="shared" si="181"/>
        <v>46041</v>
      </c>
      <c r="BB388" s="28">
        <f t="shared" si="181"/>
        <v>7.57</v>
      </c>
      <c r="BC388" s="28">
        <f t="shared" si="165"/>
        <v>8.94</v>
      </c>
      <c r="BD388" s="28">
        <f t="shared" si="168"/>
        <v>15.45</v>
      </c>
      <c r="BE388" s="28">
        <f t="shared" si="160"/>
        <v>16.14</v>
      </c>
      <c r="BF388" s="28">
        <f t="shared" si="175"/>
        <v>18.42</v>
      </c>
      <c r="BG388" s="28">
        <f t="shared" si="182"/>
        <v>21.15</v>
      </c>
      <c r="BH388" s="28">
        <f t="shared" si="154"/>
        <v>21.7</v>
      </c>
      <c r="BI388" s="28">
        <f t="shared" si="154"/>
        <v>20.6</v>
      </c>
      <c r="BJ388" s="36">
        <f t="shared" si="162"/>
        <v>0.0279017857142858</v>
      </c>
      <c r="DP388" s="35">
        <v>44034</v>
      </c>
      <c r="DQ388" s="26">
        <v>3.3</v>
      </c>
      <c r="DR388" s="26">
        <v>3</v>
      </c>
      <c r="DS388" s="26">
        <v>3.083</v>
      </c>
      <c r="DU388" s="35">
        <v>44034</v>
      </c>
      <c r="DV388" s="26">
        <v>6.2</v>
      </c>
      <c r="DW388" s="26">
        <v>5.9</v>
      </c>
      <c r="DX388" s="26">
        <v>6.001</v>
      </c>
      <c r="DZ388" s="35">
        <v>44034</v>
      </c>
      <c r="EA388" s="26">
        <v>16.6</v>
      </c>
      <c r="EB388" s="26">
        <v>16.45</v>
      </c>
      <c r="EC388" s="26">
        <v>16.5</v>
      </c>
    </row>
    <row r="389" ht="16.8" spans="3:133">
      <c r="C389" s="5" t="str" cm="1">
        <f t="array" ref="C389">_xlfn.IFS(MONTH(D389)&lt;4,1,MONTH(D389)&lt;7,2,MONTH(D389)&lt;10,3,MONTH(D389)&gt;9,4)&amp;"Q"&amp;RIGHT(YEAR(D389),2)</f>
        <v>1Q26</v>
      </c>
      <c r="D389" s="2">
        <f t="shared" si="166"/>
        <v>46053</v>
      </c>
      <c r="E389" s="25">
        <f t="shared" si="180"/>
        <v>46048</v>
      </c>
      <c r="F389" s="26">
        <v>7.57</v>
      </c>
      <c r="G389" s="26">
        <v>16.31</v>
      </c>
      <c r="H389" s="26">
        <v>19.5</v>
      </c>
      <c r="I389" s="28">
        <f t="shared" si="167"/>
        <v>0.2365625</v>
      </c>
      <c r="J389" s="28">
        <f t="shared" si="163"/>
        <v>0.25484375</v>
      </c>
      <c r="K389" s="28">
        <f t="shared" si="164"/>
        <v>0.15234375</v>
      </c>
      <c r="M389" s="36">
        <f t="shared" si="169"/>
        <v>0</v>
      </c>
      <c r="N389" s="36">
        <f t="shared" si="170"/>
        <v>0.0860832137733143</v>
      </c>
      <c r="O389" s="36">
        <f t="shared" si="171"/>
        <v>0.0860832137733143</v>
      </c>
      <c r="P389" s="36">
        <f t="shared" si="172"/>
        <v>0.055663430420712</v>
      </c>
      <c r="Q389" s="36">
        <f t="shared" si="173"/>
        <v>0.0837209302325581</v>
      </c>
      <c r="R389" s="36">
        <f t="shared" si="174"/>
        <v>0.188775510204082</v>
      </c>
      <c r="S389" s="36">
        <f t="shared" si="176"/>
        <v>0.058631921824104</v>
      </c>
      <c r="T389" s="36">
        <f t="shared" si="177"/>
        <v>0.0881696428571428</v>
      </c>
      <c r="U389" s="36">
        <f t="shared" si="178"/>
        <v>0.141686182669789</v>
      </c>
      <c r="AN389" s="36"/>
      <c r="AO389" s="36"/>
      <c r="BA389" s="25">
        <f t="shared" si="181"/>
        <v>46048</v>
      </c>
      <c r="BB389" s="28">
        <f t="shared" si="181"/>
        <v>7.57</v>
      </c>
      <c r="BC389" s="28">
        <f t="shared" si="165"/>
        <v>8.94</v>
      </c>
      <c r="BD389" s="28">
        <f t="shared" si="168"/>
        <v>16.31</v>
      </c>
      <c r="BE389" s="28">
        <f t="shared" si="160"/>
        <v>16.14</v>
      </c>
      <c r="BF389" s="28">
        <f t="shared" si="175"/>
        <v>19.5</v>
      </c>
      <c r="BG389" s="28">
        <f t="shared" si="182"/>
        <v>21.15</v>
      </c>
      <c r="BH389" s="28">
        <f t="shared" si="154"/>
        <v>21.7</v>
      </c>
      <c r="BI389" s="28">
        <f t="shared" si="154"/>
        <v>20.6</v>
      </c>
      <c r="BJ389" s="36">
        <f t="shared" si="162"/>
        <v>0.058631921824104</v>
      </c>
      <c r="DP389" s="35">
        <v>44035</v>
      </c>
      <c r="DQ389" s="26">
        <v>3.3</v>
      </c>
      <c r="DR389" s="26">
        <v>3</v>
      </c>
      <c r="DS389" s="26">
        <v>3.073</v>
      </c>
      <c r="DU389" s="35">
        <v>44035</v>
      </c>
      <c r="DV389" s="26">
        <v>6.1</v>
      </c>
      <c r="DW389" s="26">
        <v>5.9</v>
      </c>
      <c r="DX389" s="26">
        <v>5.988</v>
      </c>
      <c r="DZ389" s="35">
        <v>44035</v>
      </c>
      <c r="EA389" s="26">
        <v>16.6</v>
      </c>
      <c r="EB389" s="26">
        <v>16.45</v>
      </c>
      <c r="EC389" s="26">
        <v>16.5</v>
      </c>
    </row>
    <row r="390" ht="16.8" spans="3:133">
      <c r="C390" s="5" t="str" cm="1">
        <f t="array" ref="C390">_xlfn.IFS(MONTH(D390)&lt;4,1,MONTH(D390)&lt;7,2,MONTH(D390)&lt;10,3,MONTH(D390)&gt;9,4)&amp;"Q"&amp;RIGHT(YEAR(D390),2)</f>
        <v>1Q26</v>
      </c>
      <c r="D390" s="2">
        <f t="shared" si="166"/>
        <v>46081</v>
      </c>
      <c r="E390" s="25">
        <f t="shared" si="180"/>
        <v>46055</v>
      </c>
      <c r="F390" s="26">
        <v>8.75</v>
      </c>
      <c r="G390" s="26">
        <v>17.72</v>
      </c>
      <c r="H390" s="26">
        <v>21.17</v>
      </c>
      <c r="I390" s="28">
        <f t="shared" si="167"/>
        <v>0.2734375</v>
      </c>
      <c r="J390" s="28">
        <f t="shared" si="163"/>
        <v>0.276875</v>
      </c>
      <c r="K390" s="28">
        <f t="shared" si="164"/>
        <v>0.165390625</v>
      </c>
      <c r="M390" s="36">
        <f t="shared" si="169"/>
        <v>0.155878467635403</v>
      </c>
      <c r="N390" s="36">
        <f t="shared" si="170"/>
        <v>0.155878467635403</v>
      </c>
      <c r="O390" s="36">
        <f t="shared" si="171"/>
        <v>0.255380200860832</v>
      </c>
      <c r="P390" s="36">
        <f t="shared" si="172"/>
        <v>0.0864500306560392</v>
      </c>
      <c r="Q390" s="36">
        <f t="shared" si="173"/>
        <v>0.146925566343042</v>
      </c>
      <c r="R390" s="36">
        <f t="shared" si="174"/>
        <v>0.177408637873754</v>
      </c>
      <c r="S390" s="36">
        <f t="shared" si="176"/>
        <v>0.0856410256410258</v>
      </c>
      <c r="T390" s="36">
        <f t="shared" si="177"/>
        <v>0.149294245385451</v>
      </c>
      <c r="U390" s="36">
        <f t="shared" si="178"/>
        <v>0.181361607142857</v>
      </c>
      <c r="AN390" s="36"/>
      <c r="AO390" s="36"/>
      <c r="BA390" s="25">
        <f t="shared" si="181"/>
        <v>46055</v>
      </c>
      <c r="BB390" s="28">
        <f t="shared" si="181"/>
        <v>8.75</v>
      </c>
      <c r="BC390" s="28">
        <f t="shared" si="165"/>
        <v>10.68</v>
      </c>
      <c r="BD390" s="28">
        <f t="shared" si="168"/>
        <v>17.72</v>
      </c>
      <c r="BE390" s="28">
        <f t="shared" si="160"/>
        <v>19.98</v>
      </c>
      <c r="BF390" s="28">
        <f t="shared" si="175"/>
        <v>21.17</v>
      </c>
      <c r="BG390" s="28">
        <f t="shared" si="182"/>
        <v>24.565</v>
      </c>
      <c r="BH390" s="28">
        <f t="shared" si="154"/>
        <v>25.07</v>
      </c>
      <c r="BI390" s="28">
        <f t="shared" si="154"/>
        <v>24.06</v>
      </c>
      <c r="BJ390" s="36">
        <f t="shared" si="162"/>
        <v>0.0856410256410258</v>
      </c>
      <c r="DP390" s="35">
        <v>44036</v>
      </c>
      <c r="DQ390" s="26">
        <v>3.15</v>
      </c>
      <c r="DR390" s="26">
        <v>3</v>
      </c>
      <c r="DS390" s="26">
        <v>3.067</v>
      </c>
      <c r="DU390" s="35">
        <v>44036</v>
      </c>
      <c r="DV390" s="26">
        <v>6.1</v>
      </c>
      <c r="DW390" s="26">
        <v>5.9</v>
      </c>
      <c r="DX390" s="26">
        <v>5.969</v>
      </c>
      <c r="DZ390" s="35">
        <v>44036</v>
      </c>
      <c r="EA390" s="26">
        <v>16.6</v>
      </c>
      <c r="EB390" s="26">
        <v>16.45</v>
      </c>
      <c r="EC390" s="26">
        <v>16.5</v>
      </c>
    </row>
    <row r="391" ht="16.8" spans="3:133">
      <c r="C391" s="5" t="str" cm="1">
        <f t="array" ref="C391">_xlfn.IFS(MONTH(D391)&lt;4,1,MONTH(D391)&lt;7,2,MONTH(D391)&lt;10,3,MONTH(D391)&gt;9,4)&amp;"Q"&amp;RIGHT(YEAR(D391),2)</f>
        <v>1Q26</v>
      </c>
      <c r="D391" s="2">
        <f t="shared" si="166"/>
        <v>46081</v>
      </c>
      <c r="E391" s="25">
        <f t="shared" si="180"/>
        <v>46062</v>
      </c>
      <c r="F391" s="26">
        <v>8.75</v>
      </c>
      <c r="G391" s="26">
        <v>17.95</v>
      </c>
      <c r="H391" s="26">
        <v>21.54</v>
      </c>
      <c r="I391" s="28">
        <f t="shared" si="167"/>
        <v>0.2734375</v>
      </c>
      <c r="J391" s="28">
        <f t="shared" si="163"/>
        <v>0.28046875</v>
      </c>
      <c r="K391" s="28">
        <f t="shared" si="164"/>
        <v>0.16828125</v>
      </c>
      <c r="M391" s="36">
        <f t="shared" si="169"/>
        <v>0</v>
      </c>
      <c r="N391" s="36">
        <f t="shared" si="170"/>
        <v>0.155878467635403</v>
      </c>
      <c r="O391" s="36">
        <f t="shared" si="171"/>
        <v>0.155878467635403</v>
      </c>
      <c r="P391" s="36">
        <f t="shared" si="172"/>
        <v>0.0129796839729119</v>
      </c>
      <c r="Q391" s="36">
        <f t="shared" si="173"/>
        <v>0.100551808706315</v>
      </c>
      <c r="R391" s="36">
        <f t="shared" si="174"/>
        <v>0.161812297734628</v>
      </c>
      <c r="S391" s="36">
        <f t="shared" si="176"/>
        <v>0.0174775625885686</v>
      </c>
      <c r="T391" s="36">
        <f t="shared" si="177"/>
        <v>0.104615384615385</v>
      </c>
      <c r="U391" s="36">
        <f t="shared" si="178"/>
        <v>0.169381107491857</v>
      </c>
      <c r="AN391" s="36"/>
      <c r="AO391" s="36"/>
      <c r="BA391" s="25">
        <f t="shared" si="181"/>
        <v>46062</v>
      </c>
      <c r="BB391" s="28">
        <f t="shared" si="181"/>
        <v>8.75</v>
      </c>
      <c r="BC391" s="28">
        <f t="shared" si="165"/>
        <v>10.68</v>
      </c>
      <c r="BD391" s="28">
        <f t="shared" si="168"/>
        <v>17.95</v>
      </c>
      <c r="BE391" s="28">
        <f t="shared" si="160"/>
        <v>19.98</v>
      </c>
      <c r="BF391" s="28">
        <f t="shared" si="175"/>
        <v>21.54</v>
      </c>
      <c r="BG391" s="28">
        <f t="shared" si="182"/>
        <v>24.565</v>
      </c>
      <c r="BH391" s="28">
        <f t="shared" si="154"/>
        <v>25.07</v>
      </c>
      <c r="BI391" s="28">
        <f t="shared" si="154"/>
        <v>24.06</v>
      </c>
      <c r="BJ391" s="36">
        <f t="shared" si="162"/>
        <v>0.0174775625885686</v>
      </c>
      <c r="DP391" s="35">
        <v>44039</v>
      </c>
      <c r="DQ391" s="26">
        <v>3.15</v>
      </c>
      <c r="DR391" s="26">
        <v>3</v>
      </c>
      <c r="DS391" s="26">
        <v>3.067</v>
      </c>
      <c r="DU391" s="35">
        <v>44039</v>
      </c>
      <c r="DV391" s="26">
        <v>6.1</v>
      </c>
      <c r="DW391" s="26">
        <v>5.9</v>
      </c>
      <c r="DX391" s="26">
        <v>5.957</v>
      </c>
      <c r="DZ391" s="35">
        <v>44039</v>
      </c>
      <c r="EA391" s="26">
        <v>16.6</v>
      </c>
      <c r="EB391" s="26">
        <v>16.45</v>
      </c>
      <c r="EC391" s="26">
        <v>16.5</v>
      </c>
    </row>
    <row r="392" ht="16.8" spans="3:133">
      <c r="C392" s="5" t="str" cm="1">
        <f t="array" ref="C392">_xlfn.IFS(MONTH(D392)&lt;4,1,MONTH(D392)&lt;7,2,MONTH(D392)&lt;10,3,MONTH(D392)&gt;9,4)&amp;"Q"&amp;RIGHT(YEAR(D392),2)</f>
        <v>1Q26</v>
      </c>
      <c r="D392" s="2">
        <f t="shared" si="166"/>
        <v>46081</v>
      </c>
      <c r="E392" s="25">
        <f>E391+14</f>
        <v>46076</v>
      </c>
      <c r="F392" s="26">
        <v>8.75</v>
      </c>
      <c r="G392" s="26">
        <v>17.95</v>
      </c>
      <c r="H392" s="26">
        <v>21.54</v>
      </c>
      <c r="I392" s="28">
        <f t="shared" si="167"/>
        <v>0.2734375</v>
      </c>
      <c r="J392" s="28">
        <f t="shared" si="163"/>
        <v>0.28046875</v>
      </c>
      <c r="K392" s="28">
        <f t="shared" si="164"/>
        <v>0.16828125</v>
      </c>
      <c r="M392" s="36">
        <f t="shared" si="169"/>
        <v>0</v>
      </c>
      <c r="N392" s="36">
        <f t="shared" si="170"/>
        <v>0</v>
      </c>
      <c r="O392" s="36">
        <f t="shared" si="171"/>
        <v>0.155878467635403</v>
      </c>
      <c r="P392" s="36">
        <f t="shared" si="172"/>
        <v>0</v>
      </c>
      <c r="Q392" s="36">
        <f t="shared" si="173"/>
        <v>0.0129796839729119</v>
      </c>
      <c r="R392" s="36">
        <f t="shared" si="174"/>
        <v>0.100551808706315</v>
      </c>
      <c r="S392" s="36">
        <f t="shared" si="176"/>
        <v>0</v>
      </c>
      <c r="T392" s="36">
        <f t="shared" si="177"/>
        <v>0.0174775625885686</v>
      </c>
      <c r="U392" s="36">
        <f t="shared" si="178"/>
        <v>0.104615384615385</v>
      </c>
      <c r="AN392" s="36"/>
      <c r="AO392" s="36"/>
      <c r="BA392" s="25">
        <f t="shared" si="181"/>
        <v>46076</v>
      </c>
      <c r="BB392" s="28">
        <f t="shared" si="181"/>
        <v>8.75</v>
      </c>
      <c r="BC392" s="28">
        <f t="shared" si="165"/>
        <v>10.68</v>
      </c>
      <c r="BD392" s="28">
        <f t="shared" si="168"/>
        <v>17.95</v>
      </c>
      <c r="BE392" s="28">
        <f t="shared" si="160"/>
        <v>19.98</v>
      </c>
      <c r="BF392" s="28">
        <f t="shared" si="175"/>
        <v>21.54</v>
      </c>
      <c r="BG392" s="28">
        <f t="shared" si="182"/>
        <v>24.565</v>
      </c>
      <c r="BH392" s="28">
        <f t="shared" si="154"/>
        <v>25.07</v>
      </c>
      <c r="BI392" s="28">
        <f t="shared" si="154"/>
        <v>24.06</v>
      </c>
      <c r="BJ392" s="36">
        <f t="shared" si="162"/>
        <v>0</v>
      </c>
      <c r="DP392" s="35">
        <v>44040</v>
      </c>
      <c r="DQ392" s="26">
        <v>3.15</v>
      </c>
      <c r="DR392" s="26">
        <v>3</v>
      </c>
      <c r="DS392" s="26">
        <v>3.06</v>
      </c>
      <c r="DU392" s="35">
        <v>44040</v>
      </c>
      <c r="DV392" s="26">
        <v>6.1</v>
      </c>
      <c r="DW392" s="26">
        <v>5.9</v>
      </c>
      <c r="DX392" s="26">
        <v>5.949</v>
      </c>
      <c r="DZ392" s="35">
        <v>44040</v>
      </c>
      <c r="EA392" s="26">
        <v>16.6</v>
      </c>
      <c r="EB392" s="26">
        <v>16.45</v>
      </c>
      <c r="EC392" s="26">
        <v>16.5</v>
      </c>
    </row>
    <row r="393" ht="16.8" spans="3:133">
      <c r="C393" s="5" t="str" cm="1">
        <f t="array" ref="C393">_xlfn.IFS(MONTH(D393)&lt;4,1,MONTH(D393)&lt;7,2,MONTH(D393)&lt;10,3,MONTH(D393)&gt;9,4)&amp;"Q"&amp;RIGHT(YEAR(D393),2)</f>
        <v>1Q26</v>
      </c>
      <c r="D393" s="2">
        <f t="shared" si="166"/>
        <v>46112</v>
      </c>
      <c r="E393" s="25">
        <f>E392+7</f>
        <v>46083</v>
      </c>
      <c r="F393" s="26">
        <v>10.14</v>
      </c>
      <c r="G393" s="26">
        <v>20.59</v>
      </c>
      <c r="H393" s="26">
        <v>24.42</v>
      </c>
      <c r="I393" s="28">
        <f t="shared" si="167"/>
        <v>0.316875</v>
      </c>
      <c r="J393" s="28">
        <f t="shared" si="163"/>
        <v>0.32171875</v>
      </c>
      <c r="K393" s="28">
        <f t="shared" si="164"/>
        <v>0.19078125</v>
      </c>
      <c r="M393" s="36">
        <f t="shared" si="169"/>
        <v>0.158857142857143</v>
      </c>
      <c r="N393" s="36">
        <f t="shared" si="170"/>
        <v>0.158857142857143</v>
      </c>
      <c r="O393" s="36">
        <f t="shared" si="171"/>
        <v>0.158857142857143</v>
      </c>
      <c r="P393" s="36">
        <f t="shared" si="172"/>
        <v>0.147075208913649</v>
      </c>
      <c r="Q393" s="36">
        <f t="shared" si="173"/>
        <v>0.147075208913649</v>
      </c>
      <c r="R393" s="36">
        <f t="shared" si="174"/>
        <v>0.16196388261851</v>
      </c>
      <c r="S393" s="36">
        <f t="shared" si="176"/>
        <v>0.133704735376045</v>
      </c>
      <c r="T393" s="36">
        <f t="shared" si="177"/>
        <v>0.133704735376045</v>
      </c>
      <c r="U393" s="36">
        <f t="shared" si="178"/>
        <v>0.153519130845536</v>
      </c>
      <c r="AN393" s="36"/>
      <c r="AO393" s="36"/>
      <c r="BA393" s="25">
        <f t="shared" ref="BA393:BB406" si="183">E393</f>
        <v>46083</v>
      </c>
      <c r="BB393" s="28">
        <f t="shared" si="183"/>
        <v>10.14</v>
      </c>
      <c r="BC393" s="28">
        <f t="shared" si="165"/>
        <v>13.82</v>
      </c>
      <c r="BD393" s="28">
        <f t="shared" si="168"/>
        <v>20.59</v>
      </c>
      <c r="BE393" s="28">
        <f t="shared" si="160"/>
        <v>23.69</v>
      </c>
      <c r="BF393" s="28">
        <f t="shared" si="175"/>
        <v>24.42</v>
      </c>
      <c r="BG393" s="28">
        <f t="shared" si="182"/>
        <v>28.89</v>
      </c>
      <c r="BH393" s="28">
        <f t="shared" si="154"/>
        <v>29.02</v>
      </c>
      <c r="BI393" s="28">
        <f t="shared" si="154"/>
        <v>28.76</v>
      </c>
      <c r="BJ393" s="36">
        <f t="shared" si="162"/>
        <v>0.133704735376045</v>
      </c>
      <c r="DP393" s="35">
        <v>44041</v>
      </c>
      <c r="DQ393" s="26">
        <v>3.15</v>
      </c>
      <c r="DR393" s="26">
        <v>3</v>
      </c>
      <c r="DS393" s="26">
        <v>3.057</v>
      </c>
      <c r="DU393" s="35">
        <v>44041</v>
      </c>
      <c r="DV393" s="26">
        <v>6.1</v>
      </c>
      <c r="DW393" s="26">
        <v>5.9</v>
      </c>
      <c r="DX393" s="26">
        <v>5.949</v>
      </c>
      <c r="DZ393" s="35">
        <v>44041</v>
      </c>
      <c r="EA393" s="26">
        <v>16.6</v>
      </c>
      <c r="EB393" s="26">
        <v>16.45</v>
      </c>
      <c r="EC393" s="26">
        <v>16.5</v>
      </c>
    </row>
    <row r="394" ht="16.8" spans="3:133">
      <c r="C394" s="5" t="str" cm="1">
        <f t="array" ref="C394">_xlfn.IFS(MONTH(D394)&lt;4,1,MONTH(D394)&lt;7,2,MONTH(D394)&lt;10,3,MONTH(D394)&gt;9,4)&amp;"Q"&amp;RIGHT(YEAR(D394),2)</f>
        <v>1Q26</v>
      </c>
      <c r="D394" s="2">
        <f t="shared" si="166"/>
        <v>46112</v>
      </c>
      <c r="E394" s="25">
        <f>E393+7</f>
        <v>46090</v>
      </c>
      <c r="F394" s="26">
        <v>11.24</v>
      </c>
      <c r="G394" s="26">
        <v>23.13</v>
      </c>
      <c r="H394" s="26">
        <v>27.75</v>
      </c>
      <c r="I394" s="28">
        <f t="shared" si="167"/>
        <v>0.35125</v>
      </c>
      <c r="J394" s="28">
        <f t="shared" si="163"/>
        <v>0.36140625</v>
      </c>
      <c r="K394" s="28">
        <f t="shared" si="164"/>
        <v>0.216796875</v>
      </c>
      <c r="M394" s="36">
        <f t="shared" si="169"/>
        <v>0.108481262327416</v>
      </c>
      <c r="N394" s="36">
        <f t="shared" si="170"/>
        <v>0.284571428571429</v>
      </c>
      <c r="O394" s="36">
        <f t="shared" si="171"/>
        <v>0.284571428571429</v>
      </c>
      <c r="P394" s="36">
        <f t="shared" si="172"/>
        <v>0.123360854783876</v>
      </c>
      <c r="Q394" s="36">
        <f t="shared" si="173"/>
        <v>0.28857938718663</v>
      </c>
      <c r="R394" s="36">
        <f t="shared" si="174"/>
        <v>0.28857938718663</v>
      </c>
      <c r="S394" s="36">
        <f t="shared" si="176"/>
        <v>0.136363636363636</v>
      </c>
      <c r="T394" s="36">
        <f t="shared" si="177"/>
        <v>0.288300835654596</v>
      </c>
      <c r="U394" s="36">
        <f t="shared" si="178"/>
        <v>0.288300835654596</v>
      </c>
      <c r="AN394" s="36"/>
      <c r="AO394" s="36"/>
      <c r="BA394" s="25">
        <f t="shared" si="183"/>
        <v>46090</v>
      </c>
      <c r="BB394" s="28">
        <f t="shared" si="183"/>
        <v>11.24</v>
      </c>
      <c r="BC394" s="28">
        <f t="shared" si="165"/>
        <v>13.82</v>
      </c>
      <c r="BD394" s="28">
        <f t="shared" si="168"/>
        <v>23.13</v>
      </c>
      <c r="BE394" s="28">
        <f t="shared" si="160"/>
        <v>23.69</v>
      </c>
      <c r="BF394" s="28">
        <f t="shared" si="175"/>
        <v>27.75</v>
      </c>
      <c r="BG394" s="28">
        <f t="shared" si="182"/>
        <v>28.89</v>
      </c>
      <c r="BH394" s="28">
        <f t="shared" si="154"/>
        <v>29.02</v>
      </c>
      <c r="BI394" s="28">
        <f t="shared" si="154"/>
        <v>28.76</v>
      </c>
      <c r="BJ394" s="36">
        <f t="shared" si="162"/>
        <v>0.136363636363636</v>
      </c>
      <c r="DP394" s="35">
        <v>44042</v>
      </c>
      <c r="DQ394" s="26">
        <v>3.15</v>
      </c>
      <c r="DR394" s="26">
        <v>3</v>
      </c>
      <c r="DS394" s="26">
        <v>3.053</v>
      </c>
      <c r="DU394" s="35">
        <v>44042</v>
      </c>
      <c r="DV394" s="26">
        <v>6.1</v>
      </c>
      <c r="DW394" s="26">
        <v>5.9</v>
      </c>
      <c r="DX394" s="26">
        <v>5.949</v>
      </c>
      <c r="DZ394" s="35">
        <v>44042</v>
      </c>
      <c r="EA394" s="26">
        <v>16.6</v>
      </c>
      <c r="EB394" s="26">
        <v>16.45</v>
      </c>
      <c r="EC394" s="26">
        <v>16.5</v>
      </c>
    </row>
    <row r="395" ht="16.8" spans="3:133">
      <c r="C395" s="5" t="str" cm="1">
        <f t="array" ref="C395">_xlfn.IFS(MONTH(D395)&lt;4,1,MONTH(D395)&lt;7,2,MONTH(D395)&lt;10,3,MONTH(D395)&gt;9,4)&amp;"Q"&amp;RIGHT(YEAR(D395),2)</f>
        <v>1Q26</v>
      </c>
      <c r="D395" s="2">
        <f t="shared" si="166"/>
        <v>46112</v>
      </c>
      <c r="E395" s="25">
        <f>E394+7</f>
        <v>46097</v>
      </c>
      <c r="F395" s="26">
        <v>11.24</v>
      </c>
      <c r="G395" s="26">
        <v>23</v>
      </c>
      <c r="H395" s="26">
        <v>28.17</v>
      </c>
      <c r="I395" s="28">
        <f t="shared" si="167"/>
        <v>0.35125</v>
      </c>
      <c r="J395" s="28">
        <f t="shared" si="163"/>
        <v>0.359375</v>
      </c>
      <c r="K395" s="28">
        <f t="shared" si="164"/>
        <v>0.220078125</v>
      </c>
      <c r="M395" s="36">
        <f t="shared" si="169"/>
        <v>0</v>
      </c>
      <c r="N395" s="36">
        <f t="shared" si="170"/>
        <v>0.108481262327416</v>
      </c>
      <c r="O395" s="36">
        <f t="shared" si="171"/>
        <v>0.284571428571429</v>
      </c>
      <c r="P395" s="36">
        <f t="shared" si="172"/>
        <v>-0.0056204063986165</v>
      </c>
      <c r="Q395" s="36">
        <f t="shared" si="173"/>
        <v>0.117047110247693</v>
      </c>
      <c r="R395" s="36">
        <f t="shared" si="174"/>
        <v>0.28133704735376</v>
      </c>
      <c r="S395" s="36">
        <f t="shared" si="176"/>
        <v>0.0151351351351352</v>
      </c>
      <c r="T395" s="36">
        <f t="shared" si="177"/>
        <v>0.153562653562654</v>
      </c>
      <c r="U395" s="36">
        <f t="shared" si="178"/>
        <v>0.307799442896936</v>
      </c>
      <c r="AN395" s="36"/>
      <c r="AO395" s="36"/>
      <c r="BA395" s="25">
        <f t="shared" si="183"/>
        <v>46097</v>
      </c>
      <c r="BB395" s="28">
        <f t="shared" si="183"/>
        <v>11.24</v>
      </c>
      <c r="BC395" s="28">
        <f t="shared" si="165"/>
        <v>13.82</v>
      </c>
      <c r="BD395" s="28">
        <f t="shared" si="168"/>
        <v>23</v>
      </c>
      <c r="BE395" s="28">
        <f t="shared" si="160"/>
        <v>23.69</v>
      </c>
      <c r="BF395" s="28">
        <f t="shared" si="175"/>
        <v>28.17</v>
      </c>
      <c r="BG395" s="28">
        <f t="shared" si="182"/>
        <v>28.89</v>
      </c>
      <c r="BH395" s="28">
        <f t="shared" si="154"/>
        <v>29.02</v>
      </c>
      <c r="BI395" s="28">
        <f t="shared" si="154"/>
        <v>28.76</v>
      </c>
      <c r="BJ395" s="36">
        <f t="shared" si="162"/>
        <v>0.0151351351351352</v>
      </c>
      <c r="DP395" s="35">
        <v>44043</v>
      </c>
      <c r="DQ395" s="26">
        <v>3.15</v>
      </c>
      <c r="DR395" s="26">
        <v>3</v>
      </c>
      <c r="DS395" s="26">
        <v>3.04</v>
      </c>
      <c r="DU395" s="35">
        <v>44043</v>
      </c>
      <c r="DV395" s="26">
        <v>6.1</v>
      </c>
      <c r="DW395" s="26">
        <v>5.9</v>
      </c>
      <c r="DX395" s="26">
        <v>5.943</v>
      </c>
      <c r="DZ395" s="35">
        <v>44043</v>
      </c>
      <c r="EA395" s="26">
        <v>16.6</v>
      </c>
      <c r="EB395" s="26">
        <v>16.45</v>
      </c>
      <c r="EC395" s="26">
        <v>16.5</v>
      </c>
    </row>
    <row r="396" ht="16.8" spans="3:133">
      <c r="C396" s="5" t="str" cm="1">
        <f t="array" ref="C396">_xlfn.IFS(MONTH(D396)&lt;4,1,MONTH(D396)&lt;7,2,MONTH(D396)&lt;10,3,MONTH(D396)&gt;9,4)&amp;"Q"&amp;RIGHT(YEAR(D396),2)</f>
        <v>1Q26</v>
      </c>
      <c r="D396" s="2">
        <f t="shared" si="166"/>
        <v>46112</v>
      </c>
      <c r="E396" s="25">
        <f>E395+7</f>
        <v>46104</v>
      </c>
      <c r="F396" s="26">
        <v>11.24</v>
      </c>
      <c r="G396" s="26">
        <v>22.83</v>
      </c>
      <c r="H396" s="26">
        <v>27.92</v>
      </c>
      <c r="I396" s="28">
        <f t="shared" si="167"/>
        <v>0.35125</v>
      </c>
      <c r="J396" s="28">
        <f t="shared" si="163"/>
        <v>0.35671875</v>
      </c>
      <c r="K396" s="28">
        <f t="shared" si="164"/>
        <v>0.218125</v>
      </c>
      <c r="M396" s="36">
        <f t="shared" si="169"/>
        <v>0</v>
      </c>
      <c r="N396" s="36">
        <f t="shared" si="170"/>
        <v>0</v>
      </c>
      <c r="O396" s="36">
        <f t="shared" si="171"/>
        <v>0.108481262327416</v>
      </c>
      <c r="P396" s="36">
        <f t="shared" si="172"/>
        <v>-0.0073913043478262</v>
      </c>
      <c r="Q396" s="36">
        <f t="shared" si="173"/>
        <v>-0.012970168612192</v>
      </c>
      <c r="R396" s="36">
        <f t="shared" si="174"/>
        <v>0.108790675084993</v>
      </c>
      <c r="S396" s="36">
        <f t="shared" si="176"/>
        <v>-0.00887468938587155</v>
      </c>
      <c r="T396" s="36">
        <f t="shared" si="177"/>
        <v>0.00612612612612629</v>
      </c>
      <c r="U396" s="36">
        <f t="shared" si="178"/>
        <v>0.143325143325143</v>
      </c>
      <c r="AN396" s="36"/>
      <c r="AO396" s="36"/>
      <c r="BA396" s="25">
        <f t="shared" si="183"/>
        <v>46104</v>
      </c>
      <c r="BB396" s="28">
        <f t="shared" si="183"/>
        <v>11.24</v>
      </c>
      <c r="BC396" s="28">
        <f t="shared" si="165"/>
        <v>13.82</v>
      </c>
      <c r="BD396" s="28">
        <f t="shared" si="168"/>
        <v>22.83</v>
      </c>
      <c r="BE396" s="28">
        <f t="shared" si="160"/>
        <v>23.69</v>
      </c>
      <c r="BF396" s="28">
        <f t="shared" si="175"/>
        <v>27.92</v>
      </c>
      <c r="BG396" s="28">
        <f t="shared" si="182"/>
        <v>28.89</v>
      </c>
      <c r="BH396" s="28">
        <f t="shared" si="154"/>
        <v>29.02</v>
      </c>
      <c r="BI396" s="28">
        <f t="shared" si="154"/>
        <v>28.76</v>
      </c>
      <c r="BJ396" s="36">
        <f t="shared" si="162"/>
        <v>-0.00887468938587155</v>
      </c>
      <c r="DP396" s="35">
        <v>44046</v>
      </c>
      <c r="DQ396" s="26">
        <v>3.15</v>
      </c>
      <c r="DR396" s="26">
        <v>3</v>
      </c>
      <c r="DS396" s="26">
        <v>3.033</v>
      </c>
      <c r="DU396" s="35">
        <v>44046</v>
      </c>
      <c r="DV396" s="26">
        <v>6.1</v>
      </c>
      <c r="DW396" s="26">
        <v>5.9</v>
      </c>
      <c r="DX396" s="26">
        <v>5.939</v>
      </c>
      <c r="DZ396" s="35">
        <v>44046</v>
      </c>
      <c r="EA396" s="26">
        <v>16.6</v>
      </c>
      <c r="EB396" s="26">
        <v>16.45</v>
      </c>
      <c r="EC396" s="26">
        <v>16.5</v>
      </c>
    </row>
    <row r="397" ht="16.8" spans="3:133">
      <c r="C397" s="5" t="str" cm="1">
        <f t="array" ref="C397">_xlfn.IFS(MONTH(D397)&lt;4,1,MONTH(D397)&lt;7,2,MONTH(D397)&lt;10,3,MONTH(D397)&gt;9,4)&amp;"Q"&amp;RIGHT(YEAR(D397),2)</f>
        <v>1Q26</v>
      </c>
      <c r="D397" s="2">
        <f t="shared" si="166"/>
        <v>46112</v>
      </c>
      <c r="E397" s="25">
        <f>E396+7</f>
        <v>46111</v>
      </c>
      <c r="F397" s="26">
        <v>10.92</v>
      </c>
      <c r="G397" s="26">
        <v>22.16</v>
      </c>
      <c r="H397" s="26">
        <v>27.17</v>
      </c>
      <c r="I397" s="28">
        <f t="shared" si="167"/>
        <v>0.34125</v>
      </c>
      <c r="J397" s="28">
        <f t="shared" si="163"/>
        <v>0.34625</v>
      </c>
      <c r="K397" s="28">
        <f t="shared" si="164"/>
        <v>0.212265625</v>
      </c>
      <c r="M397" s="36">
        <f t="shared" si="169"/>
        <v>-0.0284697508896797</v>
      </c>
      <c r="N397" s="36">
        <f t="shared" si="170"/>
        <v>-0.0284697508896797</v>
      </c>
      <c r="O397" s="36">
        <f t="shared" si="171"/>
        <v>-0.0284697508896797</v>
      </c>
      <c r="P397" s="36">
        <f t="shared" si="172"/>
        <v>-0.029347349978099</v>
      </c>
      <c r="Q397" s="36">
        <f t="shared" si="173"/>
        <v>-0.0365217391304348</v>
      </c>
      <c r="R397" s="36">
        <f t="shared" si="174"/>
        <v>-0.041936878512754</v>
      </c>
      <c r="S397" s="36">
        <f t="shared" si="176"/>
        <v>-0.0268624641833811</v>
      </c>
      <c r="T397" s="36">
        <f t="shared" si="177"/>
        <v>-0.035498757543486</v>
      </c>
      <c r="U397" s="36">
        <f t="shared" si="178"/>
        <v>-0.0209009009009008</v>
      </c>
      <c r="AN397" s="36"/>
      <c r="AO397" s="36"/>
      <c r="BA397" s="25">
        <f t="shared" si="183"/>
        <v>46111</v>
      </c>
      <c r="BB397" s="28">
        <f t="shared" si="183"/>
        <v>10.92</v>
      </c>
      <c r="BC397" s="28">
        <f t="shared" si="165"/>
        <v>13.82</v>
      </c>
      <c r="BD397" s="28">
        <f t="shared" si="168"/>
        <v>22.16</v>
      </c>
      <c r="BE397" s="28">
        <f t="shared" si="160"/>
        <v>23.69</v>
      </c>
      <c r="BF397" s="28">
        <f t="shared" si="175"/>
        <v>27.17</v>
      </c>
      <c r="BG397" s="28">
        <f t="shared" si="182"/>
        <v>28.89</v>
      </c>
      <c r="BH397" s="28">
        <f t="shared" si="154"/>
        <v>29.02</v>
      </c>
      <c r="BI397" s="28">
        <f t="shared" si="154"/>
        <v>28.76</v>
      </c>
      <c r="BJ397" s="36">
        <f t="shared" si="162"/>
        <v>-0.0268624641833811</v>
      </c>
      <c r="DP397" s="35">
        <v>44047</v>
      </c>
      <c r="DQ397" s="26">
        <v>3.15</v>
      </c>
      <c r="DR397" s="26">
        <v>3</v>
      </c>
      <c r="DS397" s="26">
        <v>3.03</v>
      </c>
      <c r="DU397" s="35">
        <v>44047</v>
      </c>
      <c r="DV397" s="26">
        <v>6.1</v>
      </c>
      <c r="DW397" s="26">
        <v>5.9</v>
      </c>
      <c r="DX397" s="26">
        <v>5.935</v>
      </c>
      <c r="DZ397" s="35">
        <v>44047</v>
      </c>
      <c r="EA397" s="26">
        <v>16.6</v>
      </c>
      <c r="EB397" s="26">
        <v>16.45</v>
      </c>
      <c r="EC397" s="26">
        <v>16.5</v>
      </c>
    </row>
    <row r="398" ht="16.8" spans="3:133">
      <c r="C398" s="5" t="str" cm="1">
        <f t="array" ref="C398">_xlfn.IFS(MONTH(D398)&lt;4,1,MONTH(D398)&lt;7,2,MONTH(D398)&lt;10,3,MONTH(D398)&gt;9,4)&amp;"Q"&amp;RIGHT(YEAR(D398),2)</f>
        <v>2Q26</v>
      </c>
      <c r="D398" s="2">
        <f t="shared" si="166"/>
        <v>46142</v>
      </c>
      <c r="E398" s="25">
        <f>E397+8</f>
        <v>46119</v>
      </c>
      <c r="F398" s="26">
        <v>10.92</v>
      </c>
      <c r="G398" s="26">
        <v>21.68</v>
      </c>
      <c r="H398" s="26">
        <v>26.67</v>
      </c>
      <c r="I398" s="28">
        <f t="shared" si="167"/>
        <v>0.34125</v>
      </c>
      <c r="J398" s="28">
        <f t="shared" si="163"/>
        <v>0.33875</v>
      </c>
      <c r="K398" s="28">
        <f t="shared" si="164"/>
        <v>0.208359375</v>
      </c>
      <c r="M398" s="36">
        <f t="shared" si="169"/>
        <v>0</v>
      </c>
      <c r="N398" s="36">
        <f t="shared" si="170"/>
        <v>-0.0284697508896797</v>
      </c>
      <c r="O398" s="36">
        <f t="shared" si="171"/>
        <v>-0.0284697508896797</v>
      </c>
      <c r="P398" s="36">
        <f t="shared" si="172"/>
        <v>-0.0216606498194946</v>
      </c>
      <c r="Q398" s="36">
        <f t="shared" si="173"/>
        <v>-0.0503723171265877</v>
      </c>
      <c r="R398" s="36">
        <f t="shared" si="174"/>
        <v>-0.0573913043478261</v>
      </c>
      <c r="S398" s="36">
        <f t="shared" si="176"/>
        <v>-0.0184026499815974</v>
      </c>
      <c r="T398" s="36">
        <f t="shared" si="177"/>
        <v>-0.0447707736389685</v>
      </c>
      <c r="U398" s="36">
        <f t="shared" si="178"/>
        <v>-0.053248136315229</v>
      </c>
      <c r="AN398" s="36"/>
      <c r="AO398" s="36"/>
      <c r="BA398" s="25">
        <f t="shared" si="183"/>
        <v>46119</v>
      </c>
      <c r="BB398" s="28">
        <f t="shared" si="183"/>
        <v>10.92</v>
      </c>
      <c r="BC398" s="28">
        <f t="shared" si="165"/>
        <v>14.91</v>
      </c>
      <c r="BD398" s="28">
        <f t="shared" si="168"/>
        <v>21.68</v>
      </c>
      <c r="BE398" s="28">
        <f t="shared" si="160"/>
        <v>24.87</v>
      </c>
      <c r="BF398" s="28">
        <f t="shared" si="175"/>
        <v>26.67</v>
      </c>
      <c r="BG398" s="28">
        <f t="shared" si="182"/>
        <v>30.225</v>
      </c>
      <c r="BH398" s="28">
        <f t="shared" si="154"/>
        <v>30.7</v>
      </c>
      <c r="BI398" s="28">
        <f t="shared" si="154"/>
        <v>29.75</v>
      </c>
      <c r="BJ398" s="36">
        <f t="shared" si="162"/>
        <v>-0.0184026499815974</v>
      </c>
      <c r="DP398" s="35">
        <v>44048</v>
      </c>
      <c r="DQ398" s="26">
        <v>3.15</v>
      </c>
      <c r="DR398" s="26">
        <v>3</v>
      </c>
      <c r="DS398" s="26">
        <v>3.023</v>
      </c>
      <c r="DU398" s="35">
        <v>44048</v>
      </c>
      <c r="DV398" s="26">
        <v>6.1</v>
      </c>
      <c r="DW398" s="26">
        <v>5.9</v>
      </c>
      <c r="DX398" s="26">
        <v>5.932</v>
      </c>
      <c r="DZ398" s="35">
        <v>44048</v>
      </c>
      <c r="EA398" s="26">
        <v>16.6</v>
      </c>
      <c r="EB398" s="26">
        <v>16.45</v>
      </c>
      <c r="EC398" s="26">
        <v>16.5</v>
      </c>
    </row>
    <row r="399" ht="16.8" spans="3:133">
      <c r="C399" s="5" t="str" cm="1">
        <f t="array" ref="C399">_xlfn.IFS(MONTH(D399)&lt;4,1,MONTH(D399)&lt;7,2,MONTH(D399)&lt;10,3,MONTH(D399)&gt;9,4)&amp;"Q"&amp;RIGHT(YEAR(D399),2)</f>
        <v>2Q26</v>
      </c>
      <c r="D399" s="2">
        <f t="shared" si="166"/>
        <v>46142</v>
      </c>
      <c r="E399" s="25">
        <f>E398+6</f>
        <v>46125</v>
      </c>
      <c r="F399" s="26">
        <v>10.49</v>
      </c>
      <c r="G399" s="26">
        <v>21</v>
      </c>
      <c r="H399" s="26">
        <v>25.75</v>
      </c>
      <c r="I399" s="28">
        <f t="shared" si="167"/>
        <v>0.3278125</v>
      </c>
      <c r="J399" s="28">
        <f t="shared" si="163"/>
        <v>0.328125</v>
      </c>
      <c r="K399" s="28">
        <f t="shared" si="164"/>
        <v>0.201171875</v>
      </c>
      <c r="M399" s="36">
        <f t="shared" si="169"/>
        <v>-0.0393772893772893</v>
      </c>
      <c r="N399" s="36">
        <f t="shared" si="170"/>
        <v>-0.0393772893772893</v>
      </c>
      <c r="O399" s="36">
        <f t="shared" si="171"/>
        <v>-0.0667259786476868</v>
      </c>
      <c r="P399" s="36">
        <f t="shared" si="172"/>
        <v>-0.0313653136531366</v>
      </c>
      <c r="Q399" s="36">
        <f t="shared" si="173"/>
        <v>-0.0523465703971119</v>
      </c>
      <c r="R399" s="36">
        <f t="shared" si="174"/>
        <v>-0.0801576872536136</v>
      </c>
      <c r="S399" s="36">
        <f t="shared" si="176"/>
        <v>-0.0344956880389952</v>
      </c>
      <c r="T399" s="36">
        <f t="shared" si="177"/>
        <v>-0.0522635259477365</v>
      </c>
      <c r="U399" s="36">
        <f t="shared" si="178"/>
        <v>-0.0777220630372494</v>
      </c>
      <c r="AN399" s="36"/>
      <c r="AO399" s="36"/>
      <c r="BA399" s="25">
        <f t="shared" si="183"/>
        <v>46125</v>
      </c>
      <c r="BB399" s="28">
        <f t="shared" si="183"/>
        <v>10.49</v>
      </c>
      <c r="BC399" s="28">
        <f t="shared" si="165"/>
        <v>14.91</v>
      </c>
      <c r="BD399" s="28">
        <f t="shared" si="168"/>
        <v>21</v>
      </c>
      <c r="BE399" s="28">
        <f t="shared" si="160"/>
        <v>24.87</v>
      </c>
      <c r="BF399" s="28">
        <f t="shared" si="175"/>
        <v>25.75</v>
      </c>
      <c r="BG399" s="28">
        <f t="shared" si="182"/>
        <v>30.225</v>
      </c>
      <c r="BH399" s="28">
        <f t="shared" si="154"/>
        <v>30.7</v>
      </c>
      <c r="BI399" s="28">
        <f t="shared" si="154"/>
        <v>29.75</v>
      </c>
      <c r="BJ399" s="36">
        <f t="shared" si="162"/>
        <v>-0.0344956880389952</v>
      </c>
      <c r="DP399" s="35">
        <v>44049</v>
      </c>
      <c r="DQ399" s="26">
        <v>3.1</v>
      </c>
      <c r="DR399" s="26">
        <v>2.98</v>
      </c>
      <c r="DS399" s="26">
        <v>3.01</v>
      </c>
      <c r="DU399" s="35">
        <v>44049</v>
      </c>
      <c r="DV399" s="26">
        <v>6.05</v>
      </c>
      <c r="DW399" s="26">
        <v>5.85</v>
      </c>
      <c r="DX399" s="26">
        <v>5.919</v>
      </c>
      <c r="DZ399" s="35">
        <v>44049</v>
      </c>
      <c r="EA399" s="26">
        <v>16.6</v>
      </c>
      <c r="EB399" s="26">
        <v>16.45</v>
      </c>
      <c r="EC399" s="26">
        <v>16.5</v>
      </c>
    </row>
    <row r="400" ht="16.8" spans="3:133">
      <c r="C400" s="5" t="str" cm="1">
        <f t="array" ref="C400">_xlfn.IFS(MONTH(D400)&lt;4,1,MONTH(D400)&lt;7,2,MONTH(D400)&lt;10,3,MONTH(D400)&gt;9,4)&amp;"Q"&amp;RIGHT(YEAR(D400),2)</f>
        <v>2Q26</v>
      </c>
      <c r="D400" s="2">
        <f t="shared" si="166"/>
        <v>46142</v>
      </c>
      <c r="E400" s="25">
        <f t="shared" ref="E400:E406" si="184">E399+7</f>
        <v>46132</v>
      </c>
      <c r="F400" s="26">
        <v>10.48</v>
      </c>
      <c r="G400" s="26">
        <v>20.97</v>
      </c>
      <c r="H400" s="26">
        <v>25.58</v>
      </c>
      <c r="I400" s="28">
        <f t="shared" si="167"/>
        <v>0.3275</v>
      </c>
      <c r="J400" s="28">
        <f t="shared" si="163"/>
        <v>0.32765625</v>
      </c>
      <c r="K400" s="28">
        <f t="shared" si="164"/>
        <v>0.19984375</v>
      </c>
      <c r="M400" s="36">
        <f t="shared" si="169"/>
        <v>-0.000953288846520461</v>
      </c>
      <c r="N400" s="36">
        <f t="shared" si="170"/>
        <v>-0.0402930402930403</v>
      </c>
      <c r="O400" s="36">
        <f t="shared" si="171"/>
        <v>-0.0402930402930403</v>
      </c>
      <c r="P400" s="36">
        <f t="shared" si="172"/>
        <v>-0.00142857142857145</v>
      </c>
      <c r="Q400" s="36">
        <f t="shared" si="173"/>
        <v>-0.0327490774907749</v>
      </c>
      <c r="R400" s="36">
        <f t="shared" si="174"/>
        <v>-0.0537003610108304</v>
      </c>
      <c r="S400" s="36">
        <f t="shared" si="176"/>
        <v>-0.00660194174757289</v>
      </c>
      <c r="T400" s="36">
        <f t="shared" si="177"/>
        <v>-0.0408698912635922</v>
      </c>
      <c r="U400" s="36">
        <f t="shared" si="178"/>
        <v>-0.0585204269414797</v>
      </c>
      <c r="AN400" s="36"/>
      <c r="AO400" s="36"/>
      <c r="BA400" s="25">
        <f t="shared" si="183"/>
        <v>46132</v>
      </c>
      <c r="BB400" s="28">
        <f t="shared" si="183"/>
        <v>10.48</v>
      </c>
      <c r="BC400" s="28">
        <f t="shared" si="165"/>
        <v>14.91</v>
      </c>
      <c r="BD400" s="28">
        <f t="shared" si="168"/>
        <v>20.97</v>
      </c>
      <c r="BE400" s="28">
        <f t="shared" si="160"/>
        <v>24.87</v>
      </c>
      <c r="BF400" s="28">
        <f t="shared" si="175"/>
        <v>25.58</v>
      </c>
      <c r="BG400" s="28">
        <f t="shared" si="182"/>
        <v>30.225</v>
      </c>
      <c r="BH400" s="28">
        <f t="shared" si="154"/>
        <v>30.7</v>
      </c>
      <c r="BI400" s="28">
        <f t="shared" si="154"/>
        <v>29.75</v>
      </c>
      <c r="BJ400" s="36">
        <f t="shared" si="162"/>
        <v>-0.00660194174757289</v>
      </c>
      <c r="DP400" s="35">
        <v>44050</v>
      </c>
      <c r="DQ400" s="26">
        <v>3.1</v>
      </c>
      <c r="DR400" s="26">
        <v>2.98</v>
      </c>
      <c r="DS400" s="26">
        <v>3.007</v>
      </c>
      <c r="DU400" s="35">
        <v>44050</v>
      </c>
      <c r="DV400" s="26">
        <v>6.05</v>
      </c>
      <c r="DW400" s="26">
        <v>5.85</v>
      </c>
      <c r="DX400" s="26">
        <v>5.915</v>
      </c>
      <c r="DZ400" s="35">
        <v>44050</v>
      </c>
      <c r="EA400" s="26">
        <v>16.6</v>
      </c>
      <c r="EB400" s="26">
        <v>16.45</v>
      </c>
      <c r="EC400" s="26">
        <v>16.5</v>
      </c>
    </row>
    <row r="401" ht="16.8" spans="3:133">
      <c r="C401" s="5" t="str" cm="1">
        <f t="array" ref="C401">_xlfn.IFS(MONTH(D401)&lt;4,1,MONTH(D401)&lt;7,2,MONTH(D401)&lt;10,3,MONTH(D401)&gt;9,4)&amp;"Q"&amp;RIGHT(YEAR(D401),2)</f>
        <v>2Q26</v>
      </c>
      <c r="D401" s="2">
        <f t="shared" si="166"/>
        <v>46142</v>
      </c>
      <c r="E401" s="25">
        <f t="shared" si="184"/>
        <v>46139</v>
      </c>
      <c r="F401" s="26">
        <v>10.48</v>
      </c>
      <c r="G401" s="26">
        <v>20.59</v>
      </c>
      <c r="H401" s="26">
        <v>25.17</v>
      </c>
      <c r="I401" s="28">
        <f t="shared" si="167"/>
        <v>0.3275</v>
      </c>
      <c r="J401" s="28">
        <f t="shared" si="163"/>
        <v>0.32171875</v>
      </c>
      <c r="K401" s="28">
        <f t="shared" si="164"/>
        <v>0.196640625</v>
      </c>
      <c r="M401" s="36">
        <f t="shared" si="169"/>
        <v>0</v>
      </c>
      <c r="N401" s="36">
        <f t="shared" si="170"/>
        <v>-0.000953288846520461</v>
      </c>
      <c r="O401" s="36">
        <f t="shared" si="171"/>
        <v>-0.0402930402930403</v>
      </c>
      <c r="P401" s="36">
        <f t="shared" si="172"/>
        <v>-0.0181211254172627</v>
      </c>
      <c r="Q401" s="36">
        <f t="shared" si="173"/>
        <v>-0.0195238095238095</v>
      </c>
      <c r="R401" s="36">
        <f t="shared" si="174"/>
        <v>-0.0502767527675276</v>
      </c>
      <c r="S401" s="36">
        <f t="shared" si="176"/>
        <v>-0.0160281469898357</v>
      </c>
      <c r="T401" s="36">
        <f t="shared" si="177"/>
        <v>-0.0225242718446601</v>
      </c>
      <c r="U401" s="36">
        <f t="shared" si="178"/>
        <v>-0.0562429696287964</v>
      </c>
      <c r="AN401" s="36"/>
      <c r="AO401" s="36"/>
      <c r="BA401" s="25">
        <f t="shared" si="183"/>
        <v>46139</v>
      </c>
      <c r="BB401" s="28">
        <f t="shared" si="183"/>
        <v>10.48</v>
      </c>
      <c r="BC401" s="28">
        <f t="shared" si="165"/>
        <v>14.91</v>
      </c>
      <c r="BD401" s="28">
        <f t="shared" si="168"/>
        <v>20.59</v>
      </c>
      <c r="BE401" s="28">
        <f t="shared" si="160"/>
        <v>24.87</v>
      </c>
      <c r="BF401" s="28">
        <f t="shared" si="175"/>
        <v>25.17</v>
      </c>
      <c r="BG401" s="28">
        <f t="shared" si="182"/>
        <v>30.225</v>
      </c>
      <c r="BH401" s="28">
        <f t="shared" si="154"/>
        <v>30.7</v>
      </c>
      <c r="BI401" s="28">
        <f t="shared" si="154"/>
        <v>29.75</v>
      </c>
      <c r="BJ401" s="36">
        <f t="shared" si="162"/>
        <v>-0.0160281469898357</v>
      </c>
      <c r="DP401" s="35">
        <v>44053</v>
      </c>
      <c r="DQ401" s="26">
        <v>3.1</v>
      </c>
      <c r="DR401" s="26">
        <v>2.98</v>
      </c>
      <c r="DS401" s="26">
        <v>3.003</v>
      </c>
      <c r="DU401" s="35">
        <v>44053</v>
      </c>
      <c r="DV401" s="26">
        <v>6.05</v>
      </c>
      <c r="DW401" s="26">
        <v>5.85</v>
      </c>
      <c r="DX401" s="26">
        <v>5.912</v>
      </c>
      <c r="DZ401" s="35">
        <v>44053</v>
      </c>
      <c r="EA401" s="26">
        <v>16.6</v>
      </c>
      <c r="EB401" s="26">
        <v>16.45</v>
      </c>
      <c r="EC401" s="26">
        <v>16.5</v>
      </c>
    </row>
    <row r="402" ht="16.8" spans="3:133">
      <c r="C402" s="5" t="str" cm="1">
        <f t="array" ref="C402">_xlfn.IFS(MONTH(D402)&lt;4,1,MONTH(D402)&lt;7,2,MONTH(D402)&lt;10,3,MONTH(D402)&gt;9,4)&amp;"Q"&amp;RIGHT(YEAR(D402),2)</f>
        <v>2Q26</v>
      </c>
      <c r="D402" s="2">
        <f t="shared" si="166"/>
        <v>46173</v>
      </c>
      <c r="E402" s="25">
        <f t="shared" si="184"/>
        <v>46146</v>
      </c>
      <c r="F402" s="26">
        <v>10.48</v>
      </c>
      <c r="G402" s="26">
        <v>20.47</v>
      </c>
      <c r="H402" s="26">
        <v>24.88</v>
      </c>
      <c r="I402" s="28">
        <f t="shared" si="167"/>
        <v>0.3275</v>
      </c>
      <c r="J402" s="28">
        <f t="shared" si="163"/>
        <v>0.31984375</v>
      </c>
      <c r="K402" s="28">
        <f t="shared" si="164"/>
        <v>0.194375</v>
      </c>
      <c r="M402" s="36">
        <f t="shared" si="169"/>
        <v>0</v>
      </c>
      <c r="N402" s="36">
        <f t="shared" si="170"/>
        <v>0</v>
      </c>
      <c r="O402" s="36">
        <f t="shared" si="171"/>
        <v>-0.000953288846520461</v>
      </c>
      <c r="P402" s="36">
        <f t="shared" si="172"/>
        <v>-0.00582807187955325</v>
      </c>
      <c r="Q402" s="36">
        <f t="shared" si="173"/>
        <v>-0.0238435860753458</v>
      </c>
      <c r="R402" s="36">
        <f t="shared" si="174"/>
        <v>-0.0252380952380953</v>
      </c>
      <c r="S402" s="36">
        <f t="shared" si="176"/>
        <v>-0.0115216527612237</v>
      </c>
      <c r="T402" s="36">
        <f t="shared" si="177"/>
        <v>-0.0273651290070367</v>
      </c>
      <c r="U402" s="36">
        <f t="shared" si="178"/>
        <v>-0.0337864077669904</v>
      </c>
      <c r="AN402" s="36"/>
      <c r="AO402" s="36"/>
      <c r="BA402" s="25">
        <f t="shared" si="183"/>
        <v>46146</v>
      </c>
      <c r="BB402" s="28">
        <f t="shared" si="183"/>
        <v>10.48</v>
      </c>
      <c r="BC402" s="28">
        <f t="shared" si="165"/>
        <v>15.39</v>
      </c>
      <c r="BD402" s="28">
        <f t="shared" si="168"/>
        <v>20.47</v>
      </c>
      <c r="BE402" s="28">
        <f t="shared" ref="BE402:BE406" si="185">INDEX($AM:$AQ,MATCH($D402,$AK:$AK,0),MATCH(BD$25,$AM$26:$AQ$26,0))</f>
        <v>25.46</v>
      </c>
      <c r="BF402" s="28">
        <f t="shared" si="175"/>
        <v>24.88</v>
      </c>
      <c r="BG402" s="28">
        <f t="shared" si="182"/>
        <v>30.765</v>
      </c>
      <c r="BH402" s="28">
        <f t="shared" si="154"/>
        <v>31.26</v>
      </c>
      <c r="BI402" s="28">
        <f t="shared" si="154"/>
        <v>30.27</v>
      </c>
      <c r="BJ402" s="36">
        <f t="shared" si="162"/>
        <v>-0.0115216527612237</v>
      </c>
      <c r="DP402" s="35">
        <v>44054</v>
      </c>
      <c r="DQ402" s="26">
        <v>3.1</v>
      </c>
      <c r="DR402" s="26">
        <v>2.98</v>
      </c>
      <c r="DS402" s="26">
        <v>3.003</v>
      </c>
      <c r="DU402" s="35">
        <v>44054</v>
      </c>
      <c r="DV402" s="26">
        <v>6.05</v>
      </c>
      <c r="DW402" s="26">
        <v>5.85</v>
      </c>
      <c r="DX402" s="26">
        <v>5.912</v>
      </c>
      <c r="DZ402" s="35">
        <v>44054</v>
      </c>
      <c r="EA402" s="26">
        <v>16.6</v>
      </c>
      <c r="EB402" s="26">
        <v>16.45</v>
      </c>
      <c r="EC402" s="26">
        <v>16.5</v>
      </c>
    </row>
    <row r="403" ht="16.8" spans="3:133">
      <c r="C403" s="5" t="str" cm="1">
        <f t="array" ref="C403">_xlfn.IFS(MONTH(D403)&lt;4,1,MONTH(D403)&lt;7,2,MONTH(D403)&lt;10,3,MONTH(D403)&gt;9,4)&amp;"Q"&amp;RIGHT(YEAR(D403),2)</f>
        <v>2Q26</v>
      </c>
      <c r="D403" s="2">
        <f t="shared" si="166"/>
        <v>46173</v>
      </c>
      <c r="E403" s="25">
        <f t="shared" si="184"/>
        <v>46153</v>
      </c>
      <c r="F403" s="26">
        <v>10.48</v>
      </c>
      <c r="G403" s="26">
        <v>20.54</v>
      </c>
      <c r="H403" s="26">
        <v>25.04</v>
      </c>
      <c r="I403" s="28">
        <f t="shared" si="167"/>
        <v>0.3275</v>
      </c>
      <c r="J403" s="28">
        <f t="shared" si="163"/>
        <v>0.3209375</v>
      </c>
      <c r="K403" s="28">
        <f t="shared" si="164"/>
        <v>0.195625</v>
      </c>
      <c r="M403" s="36">
        <f t="shared" si="169"/>
        <v>0</v>
      </c>
      <c r="N403" s="36">
        <f t="shared" si="170"/>
        <v>0</v>
      </c>
      <c r="O403" s="36">
        <f t="shared" si="171"/>
        <v>0</v>
      </c>
      <c r="P403" s="36">
        <f t="shared" si="172"/>
        <v>0.00341963849535909</v>
      </c>
      <c r="Q403" s="36">
        <f t="shared" si="173"/>
        <v>-0.00242836328314722</v>
      </c>
      <c r="R403" s="36">
        <f t="shared" si="174"/>
        <v>-0.0205054840247973</v>
      </c>
      <c r="S403" s="36">
        <f t="shared" si="176"/>
        <v>0.00643086816720251</v>
      </c>
      <c r="T403" s="36">
        <f t="shared" si="177"/>
        <v>-0.00516487882399697</v>
      </c>
      <c r="U403" s="36">
        <f t="shared" si="178"/>
        <v>-0.0211102423768569</v>
      </c>
      <c r="AN403" s="36"/>
      <c r="AO403" s="36"/>
      <c r="BA403" s="25">
        <f t="shared" si="183"/>
        <v>46153</v>
      </c>
      <c r="BB403" s="28">
        <f t="shared" si="183"/>
        <v>10.48</v>
      </c>
      <c r="BC403" s="28">
        <f t="shared" si="165"/>
        <v>15.39</v>
      </c>
      <c r="BD403" s="28">
        <f t="shared" si="168"/>
        <v>20.54</v>
      </c>
      <c r="BE403" s="28">
        <f t="shared" si="185"/>
        <v>25.46</v>
      </c>
      <c r="BF403" s="28">
        <f t="shared" si="175"/>
        <v>25.04</v>
      </c>
      <c r="BG403" s="28">
        <f t="shared" si="182"/>
        <v>30.765</v>
      </c>
      <c r="BH403" s="28">
        <f t="shared" si="154"/>
        <v>31.26</v>
      </c>
      <c r="BI403" s="28">
        <f t="shared" si="154"/>
        <v>30.27</v>
      </c>
      <c r="BJ403" s="36">
        <f t="shared" si="162"/>
        <v>0.00643086816720251</v>
      </c>
      <c r="DP403" s="35">
        <v>44055</v>
      </c>
      <c r="DQ403" s="26">
        <v>3.1</v>
      </c>
      <c r="DR403" s="26">
        <v>2.98</v>
      </c>
      <c r="DS403" s="26">
        <v>2.997</v>
      </c>
      <c r="DU403" s="35">
        <v>44055</v>
      </c>
      <c r="DV403" s="26">
        <v>6.05</v>
      </c>
      <c r="DW403" s="26">
        <v>5.85</v>
      </c>
      <c r="DX403" s="26">
        <v>5.912</v>
      </c>
      <c r="DZ403" s="35">
        <v>44055</v>
      </c>
      <c r="EA403" s="26">
        <v>16.6</v>
      </c>
      <c r="EB403" s="26">
        <v>16.45</v>
      </c>
      <c r="EC403" s="26">
        <v>16.5</v>
      </c>
    </row>
    <row r="404" ht="16.8" spans="3:133">
      <c r="C404" s="5" t="str" cm="1">
        <f t="array" ref="C404">_xlfn.IFS(MONTH(D404)&lt;4,1,MONTH(D404)&lt;7,2,MONTH(D404)&lt;10,3,MONTH(D404)&gt;9,4)&amp;"Q"&amp;RIGHT(YEAR(D404),2)</f>
        <v>2Q26</v>
      </c>
      <c r="D404" s="2">
        <f t="shared" si="166"/>
        <v>46173</v>
      </c>
      <c r="E404" s="25">
        <f t="shared" si="184"/>
        <v>46160</v>
      </c>
      <c r="F404" s="26">
        <v>10.48</v>
      </c>
      <c r="G404" s="26">
        <v>20.71</v>
      </c>
      <c r="H404" s="26">
        <v>25.29</v>
      </c>
      <c r="I404" s="28">
        <f t="shared" si="167"/>
        <v>0.3275</v>
      </c>
      <c r="J404" s="28">
        <f t="shared" si="163"/>
        <v>0.32359375</v>
      </c>
      <c r="K404" s="28">
        <f t="shared" si="164"/>
        <v>0.197578125</v>
      </c>
      <c r="M404" s="36">
        <f t="shared" si="169"/>
        <v>0</v>
      </c>
      <c r="N404" s="36">
        <f t="shared" si="170"/>
        <v>0</v>
      </c>
      <c r="O404" s="36">
        <f t="shared" si="171"/>
        <v>0</v>
      </c>
      <c r="P404" s="36">
        <f t="shared" si="172"/>
        <v>0.0082765335929893</v>
      </c>
      <c r="Q404" s="36">
        <f t="shared" si="173"/>
        <v>0.0117244748412311</v>
      </c>
      <c r="R404" s="36">
        <f t="shared" si="174"/>
        <v>0.00582807187955314</v>
      </c>
      <c r="S404" s="36">
        <f t="shared" si="176"/>
        <v>0.00998402555910549</v>
      </c>
      <c r="T404" s="36">
        <f t="shared" si="177"/>
        <v>0.0164790996784565</v>
      </c>
      <c r="U404" s="36">
        <f t="shared" si="178"/>
        <v>0.00476758045292014</v>
      </c>
      <c r="AN404" s="36"/>
      <c r="AO404" s="36"/>
      <c r="BA404" s="25">
        <f t="shared" si="183"/>
        <v>46160</v>
      </c>
      <c r="BB404" s="28">
        <f t="shared" si="183"/>
        <v>10.48</v>
      </c>
      <c r="BC404" s="28">
        <f t="shared" si="165"/>
        <v>15.39</v>
      </c>
      <c r="BD404" s="28">
        <f t="shared" si="168"/>
        <v>20.71</v>
      </c>
      <c r="BE404" s="28">
        <f t="shared" si="185"/>
        <v>25.46</v>
      </c>
      <c r="BF404" s="28">
        <f t="shared" si="175"/>
        <v>25.29</v>
      </c>
      <c r="BG404" s="28">
        <f t="shared" si="182"/>
        <v>30.765</v>
      </c>
      <c r="BH404" s="28">
        <f t="shared" si="154"/>
        <v>31.26</v>
      </c>
      <c r="BI404" s="28">
        <f t="shared" si="154"/>
        <v>30.27</v>
      </c>
      <c r="BJ404" s="36">
        <f t="shared" si="162"/>
        <v>0.00998402555910549</v>
      </c>
      <c r="DP404" s="35">
        <v>44056</v>
      </c>
      <c r="DQ404" s="26">
        <v>3.1</v>
      </c>
      <c r="DR404" s="26">
        <v>2.97</v>
      </c>
      <c r="DS404" s="26">
        <v>2.99</v>
      </c>
      <c r="DU404" s="35">
        <v>44056</v>
      </c>
      <c r="DV404" s="26">
        <v>6.05</v>
      </c>
      <c r="DW404" s="26">
        <v>5.85</v>
      </c>
      <c r="DX404" s="26">
        <v>5.912</v>
      </c>
      <c r="DZ404" s="35">
        <v>44056</v>
      </c>
      <c r="EA404" s="26">
        <v>16.6</v>
      </c>
      <c r="EB404" s="26">
        <v>16.45</v>
      </c>
      <c r="EC404" s="26">
        <v>16.5</v>
      </c>
    </row>
    <row r="405" ht="16.8" spans="3:133">
      <c r="C405" s="5" t="str" cm="1">
        <f t="array" ref="C405">_xlfn.IFS(MONTH(D405)&lt;4,1,MONTH(D405)&lt;7,2,MONTH(D405)&lt;10,3,MONTH(D405)&gt;9,4)&amp;"Q"&amp;RIGHT(YEAR(D405),2)</f>
        <v>2Q26</v>
      </c>
      <c r="D405" s="2">
        <f t="shared" si="166"/>
        <v>46173</v>
      </c>
      <c r="E405" s="25">
        <f t="shared" si="184"/>
        <v>46167</v>
      </c>
      <c r="F405" s="26">
        <v>10.48</v>
      </c>
      <c r="G405" s="26">
        <v>20.64</v>
      </c>
      <c r="H405" s="26">
        <v>25.21</v>
      </c>
      <c r="I405" s="28">
        <f t="shared" si="167"/>
        <v>0.3275</v>
      </c>
      <c r="J405" s="28">
        <f t="shared" si="163"/>
        <v>0.3225</v>
      </c>
      <c r="K405" s="28">
        <f t="shared" si="164"/>
        <v>0.196953125</v>
      </c>
      <c r="M405" s="36">
        <f t="shared" si="169"/>
        <v>0</v>
      </c>
      <c r="N405" s="36">
        <f t="shared" si="170"/>
        <v>0</v>
      </c>
      <c r="O405" s="36">
        <f t="shared" si="171"/>
        <v>0</v>
      </c>
      <c r="P405" s="36">
        <f t="shared" si="172"/>
        <v>-0.00338000965717045</v>
      </c>
      <c r="Q405" s="36">
        <f t="shared" si="173"/>
        <v>0.0048685491723468</v>
      </c>
      <c r="R405" s="36">
        <f t="shared" si="174"/>
        <v>0.0083048363458722</v>
      </c>
      <c r="S405" s="36">
        <f t="shared" si="176"/>
        <v>-0.00316330565440881</v>
      </c>
      <c r="T405" s="36">
        <f t="shared" si="177"/>
        <v>0.00678913738019182</v>
      </c>
      <c r="U405" s="36">
        <f t="shared" si="178"/>
        <v>0.0132636655948555</v>
      </c>
      <c r="AN405" s="36"/>
      <c r="AO405" s="36"/>
      <c r="BA405" s="25">
        <f t="shared" si="183"/>
        <v>46167</v>
      </c>
      <c r="BB405" s="28">
        <f t="shared" si="183"/>
        <v>10.48</v>
      </c>
      <c r="BC405" s="28">
        <f t="shared" si="165"/>
        <v>15.39</v>
      </c>
      <c r="BD405" s="28">
        <f t="shared" si="168"/>
        <v>20.64</v>
      </c>
      <c r="BE405" s="28">
        <f t="shared" si="185"/>
        <v>25.46</v>
      </c>
      <c r="BF405" s="28">
        <f t="shared" si="175"/>
        <v>25.21</v>
      </c>
      <c r="BG405" s="28">
        <f t="shared" si="182"/>
        <v>30.765</v>
      </c>
      <c r="BH405" s="28">
        <f t="shared" si="154"/>
        <v>31.26</v>
      </c>
      <c r="BI405" s="28">
        <f t="shared" si="154"/>
        <v>30.27</v>
      </c>
      <c r="BJ405" s="36">
        <f t="shared" si="162"/>
        <v>-0.00316330565440881</v>
      </c>
      <c r="DP405" s="35">
        <v>44057</v>
      </c>
      <c r="DQ405" s="26">
        <v>3.1</v>
      </c>
      <c r="DR405" s="26">
        <v>2.95</v>
      </c>
      <c r="DS405" s="26">
        <v>2.983</v>
      </c>
      <c r="DU405" s="35">
        <v>44057</v>
      </c>
      <c r="DV405" s="26">
        <v>6.05</v>
      </c>
      <c r="DW405" s="26">
        <v>5.85</v>
      </c>
      <c r="DX405" s="26">
        <v>5.908</v>
      </c>
      <c r="DZ405" s="35">
        <v>44057</v>
      </c>
      <c r="EA405" s="26">
        <v>16.6</v>
      </c>
      <c r="EB405" s="26">
        <v>16.45</v>
      </c>
      <c r="EC405" s="26">
        <v>16.5</v>
      </c>
    </row>
    <row r="406" ht="16.8" spans="3:133">
      <c r="C406" s="5" t="str" cm="1">
        <f t="array" ref="C406">_xlfn.IFS(MONTH(D406)&lt;4,1,MONTH(D406)&lt;7,2,MONTH(D406)&lt;10,3,MONTH(D406)&gt;9,4)&amp;"Q"&amp;RIGHT(YEAR(D406),2)</f>
        <v>2Q26</v>
      </c>
      <c r="D406" s="2">
        <f t="shared" si="166"/>
        <v>46203</v>
      </c>
      <c r="E406" s="25">
        <f t="shared" si="184"/>
        <v>46174</v>
      </c>
      <c r="F406" s="26">
        <v>10.48</v>
      </c>
      <c r="G406" s="26">
        <v>20.68</v>
      </c>
      <c r="H406" s="26">
        <v>25.31</v>
      </c>
      <c r="I406" s="28">
        <f t="shared" si="167"/>
        <v>0.3275</v>
      </c>
      <c r="J406" s="28">
        <f t="shared" si="163"/>
        <v>0.323125</v>
      </c>
      <c r="K406" s="28">
        <f t="shared" si="164"/>
        <v>0.197734375</v>
      </c>
      <c r="M406" s="36">
        <f t="shared" si="169"/>
        <v>0</v>
      </c>
      <c r="N406" s="36">
        <f t="shared" si="170"/>
        <v>0</v>
      </c>
      <c r="O406" s="36">
        <f t="shared" si="171"/>
        <v>0</v>
      </c>
      <c r="P406" s="36">
        <f t="shared" si="172"/>
        <v>0.00193798449612403</v>
      </c>
      <c r="Q406" s="36">
        <f t="shared" si="173"/>
        <v>-0.00144857556735878</v>
      </c>
      <c r="R406" s="36">
        <f t="shared" si="174"/>
        <v>0.00681596884128544</v>
      </c>
      <c r="S406" s="36">
        <f t="shared" si="176"/>
        <v>0.00396667988893284</v>
      </c>
      <c r="T406" s="36">
        <f t="shared" si="177"/>
        <v>0.000790826413602286</v>
      </c>
      <c r="U406" s="36">
        <f t="shared" si="178"/>
        <v>0.0107827476038338</v>
      </c>
      <c r="AN406" s="36"/>
      <c r="AO406" s="36"/>
      <c r="BA406" s="25">
        <f t="shared" si="183"/>
        <v>46174</v>
      </c>
      <c r="BB406" s="28">
        <f t="shared" si="183"/>
        <v>10.48</v>
      </c>
      <c r="BC406" s="28" t="e">
        <f t="shared" si="165"/>
        <v>#N/A</v>
      </c>
      <c r="BD406" s="28">
        <f t="shared" si="168"/>
        <v>20.68</v>
      </c>
      <c r="BE406" s="28" t="e">
        <f t="shared" si="185"/>
        <v>#N/A</v>
      </c>
      <c r="BF406" s="28">
        <f t="shared" si="175"/>
        <v>25.31</v>
      </c>
      <c r="BG406" s="28" t="e">
        <f t="shared" si="182"/>
        <v>#N/A</v>
      </c>
      <c r="BH406" s="28" t="e">
        <f t="shared" si="154"/>
        <v>#N/A</v>
      </c>
      <c r="BI406" s="28" t="e">
        <f t="shared" si="154"/>
        <v>#N/A</v>
      </c>
      <c r="BJ406" s="36">
        <f t="shared" si="162"/>
        <v>0.00396667988893284</v>
      </c>
      <c r="DP406" s="35">
        <v>44060</v>
      </c>
      <c r="DQ406" s="26">
        <v>3.1</v>
      </c>
      <c r="DR406" s="26">
        <v>2.95</v>
      </c>
      <c r="DS406" s="26">
        <v>2.983</v>
      </c>
      <c r="DU406" s="35">
        <v>44060</v>
      </c>
      <c r="DV406" s="26">
        <v>6.05</v>
      </c>
      <c r="DW406" s="26">
        <v>5.85</v>
      </c>
      <c r="DX406" s="26">
        <v>5.908</v>
      </c>
      <c r="DZ406" s="35">
        <v>44060</v>
      </c>
      <c r="EA406" s="26">
        <v>16.6</v>
      </c>
      <c r="EB406" s="26">
        <v>16.45</v>
      </c>
      <c r="EC406" s="26">
        <v>16.5</v>
      </c>
    </row>
    <row r="407" spans="3:133">
      <c r="DP407" s="35">
        <v>44061</v>
      </c>
      <c r="DQ407" s="26">
        <v>3.1</v>
      </c>
      <c r="DR407" s="26">
        <v>2.95</v>
      </c>
      <c r="DS407" s="26">
        <v>2.98</v>
      </c>
      <c r="DU407" s="35">
        <v>44061</v>
      </c>
      <c r="DV407" s="26">
        <v>6.05</v>
      </c>
      <c r="DW407" s="26">
        <v>5.85</v>
      </c>
      <c r="DX407" s="26">
        <v>5.908</v>
      </c>
      <c r="DZ407" s="35">
        <v>44061</v>
      </c>
      <c r="EA407" s="26">
        <v>16.6</v>
      </c>
      <c r="EB407" s="26">
        <v>16.45</v>
      </c>
      <c r="EC407" s="26">
        <v>16.5</v>
      </c>
    </row>
    <row r="408" spans="3:133">
      <c r="G408" s="36"/>
      <c r="H408" s="36"/>
      <c r="DP408" s="35">
        <v>44062</v>
      </c>
      <c r="DQ408" s="26">
        <v>3.1</v>
      </c>
      <c r="DR408" s="26">
        <v>2.95</v>
      </c>
      <c r="DS408" s="26">
        <v>2.98</v>
      </c>
      <c r="DU408" s="35">
        <v>44062</v>
      </c>
      <c r="DV408" s="26">
        <v>6.05</v>
      </c>
      <c r="DW408" s="26">
        <v>5.85</v>
      </c>
      <c r="DX408" s="26">
        <v>5.908</v>
      </c>
      <c r="DZ408" s="35">
        <v>44062</v>
      </c>
      <c r="EA408" s="26">
        <v>16.6</v>
      </c>
      <c r="EB408" s="26">
        <v>16.45</v>
      </c>
      <c r="EC408" s="26">
        <v>16.5</v>
      </c>
    </row>
    <row r="409" spans="3:133">
      <c r="DP409" s="35">
        <v>44063</v>
      </c>
      <c r="DQ409" s="26">
        <v>3.1</v>
      </c>
      <c r="DR409" s="26">
        <v>2.95</v>
      </c>
      <c r="DS409" s="26">
        <v>2.98</v>
      </c>
      <c r="DU409" s="35">
        <v>44063</v>
      </c>
      <c r="DV409" s="26">
        <v>6.05</v>
      </c>
      <c r="DW409" s="26">
        <v>5.85</v>
      </c>
      <c r="DX409" s="26">
        <v>5.908</v>
      </c>
      <c r="DZ409" s="35">
        <v>44063</v>
      </c>
      <c r="EA409" s="26">
        <v>16.6</v>
      </c>
      <c r="EB409" s="26">
        <v>16.45</v>
      </c>
      <c r="EC409" s="26">
        <v>16.5</v>
      </c>
    </row>
    <row r="410" spans="3:133">
      <c r="DP410" s="35">
        <v>44064</v>
      </c>
      <c r="DQ410" s="26">
        <v>3.1</v>
      </c>
      <c r="DR410" s="26">
        <v>2.95</v>
      </c>
      <c r="DS410" s="26">
        <v>2.98</v>
      </c>
      <c r="DU410" s="35">
        <v>44064</v>
      </c>
      <c r="DV410" s="26">
        <v>6.05</v>
      </c>
      <c r="DW410" s="26">
        <v>5.85</v>
      </c>
      <c r="DX410" s="26">
        <v>5.908</v>
      </c>
      <c r="DZ410" s="35">
        <v>44064</v>
      </c>
      <c r="EA410" s="26">
        <v>16.6</v>
      </c>
      <c r="EB410" s="26">
        <v>16.45</v>
      </c>
      <c r="EC410" s="26">
        <v>16.5</v>
      </c>
    </row>
    <row r="411" spans="3:133">
      <c r="DP411" s="35">
        <v>44067</v>
      </c>
      <c r="DQ411" s="26">
        <v>3.1</v>
      </c>
      <c r="DR411" s="26">
        <v>2.9</v>
      </c>
      <c r="DS411" s="26">
        <v>2.967</v>
      </c>
      <c r="DU411" s="35">
        <v>44067</v>
      </c>
      <c r="DV411" s="26">
        <v>6.05</v>
      </c>
      <c r="DW411" s="26">
        <v>5.85</v>
      </c>
      <c r="DX411" s="26">
        <v>5.904</v>
      </c>
      <c r="DZ411" s="35">
        <v>44067</v>
      </c>
      <c r="EA411" s="26">
        <v>16.6</v>
      </c>
      <c r="EB411" s="26">
        <v>16.45</v>
      </c>
      <c r="EC411" s="26">
        <v>16.5</v>
      </c>
    </row>
    <row r="412" spans="3:133">
      <c r="DP412" s="35">
        <v>44068</v>
      </c>
      <c r="DQ412" s="26">
        <v>3.1</v>
      </c>
      <c r="DR412" s="26">
        <v>2.9</v>
      </c>
      <c r="DS412" s="26">
        <v>2.96</v>
      </c>
      <c r="DU412" s="35">
        <v>44068</v>
      </c>
      <c r="DV412" s="26">
        <v>6.05</v>
      </c>
      <c r="DW412" s="26">
        <v>5.85</v>
      </c>
      <c r="DX412" s="26">
        <v>5.9</v>
      </c>
      <c r="DZ412" s="35">
        <v>44068</v>
      </c>
      <c r="EA412" s="26">
        <v>16.6</v>
      </c>
      <c r="EB412" s="26">
        <v>16.45</v>
      </c>
      <c r="EC412" s="26">
        <v>16.5</v>
      </c>
    </row>
    <row r="413" spans="3:133">
      <c r="DP413" s="35">
        <v>44069</v>
      </c>
      <c r="DQ413" s="26">
        <v>3.1</v>
      </c>
      <c r="DR413" s="26">
        <v>2.9</v>
      </c>
      <c r="DS413" s="26">
        <v>2.96</v>
      </c>
      <c r="DU413" s="35">
        <v>44069</v>
      </c>
      <c r="DV413" s="26">
        <v>6.05</v>
      </c>
      <c r="DW413" s="26">
        <v>5.85</v>
      </c>
      <c r="DX413" s="26">
        <v>5.9</v>
      </c>
      <c r="DZ413" s="35">
        <v>44069</v>
      </c>
      <c r="EA413" s="26">
        <v>16.6</v>
      </c>
      <c r="EB413" s="26">
        <v>16.45</v>
      </c>
      <c r="EC413" s="26">
        <v>16.5</v>
      </c>
    </row>
    <row r="414" spans="3:133">
      <c r="DP414" s="35">
        <v>44070</v>
      </c>
      <c r="DQ414" s="26">
        <v>3.1</v>
      </c>
      <c r="DR414" s="26">
        <v>2.9</v>
      </c>
      <c r="DS414" s="26">
        <v>2.957</v>
      </c>
      <c r="DU414" s="35">
        <v>44070</v>
      </c>
      <c r="DV414" s="26">
        <v>6.05</v>
      </c>
      <c r="DW414" s="26">
        <v>5.8</v>
      </c>
      <c r="DX414" s="26">
        <v>5.874</v>
      </c>
      <c r="DZ414" s="35">
        <v>44070</v>
      </c>
      <c r="EA414" s="26">
        <v>16.6</v>
      </c>
      <c r="EB414" s="26">
        <v>16.45</v>
      </c>
      <c r="EC414" s="26">
        <v>16.5</v>
      </c>
    </row>
    <row r="415" spans="3:133">
      <c r="DP415" s="35">
        <v>44071</v>
      </c>
      <c r="DQ415" s="26">
        <v>3.1</v>
      </c>
      <c r="DR415" s="26">
        <v>2.9</v>
      </c>
      <c r="DS415" s="26">
        <v>2.943</v>
      </c>
      <c r="DU415" s="35">
        <v>44071</v>
      </c>
      <c r="DV415" s="26">
        <v>6.05</v>
      </c>
      <c r="DW415" s="26">
        <v>5.8</v>
      </c>
      <c r="DX415" s="26">
        <v>5.868</v>
      </c>
      <c r="DZ415" s="35">
        <v>44071</v>
      </c>
      <c r="EA415" s="26">
        <v>16.6</v>
      </c>
      <c r="EB415" s="26">
        <v>16.45</v>
      </c>
      <c r="EC415" s="26">
        <v>16.5</v>
      </c>
    </row>
    <row r="416" spans="3:133">
      <c r="DP416" s="35">
        <v>44074</v>
      </c>
      <c r="DQ416" s="26">
        <v>3.1</v>
      </c>
      <c r="DR416" s="26">
        <v>2.9</v>
      </c>
      <c r="DS416" s="26">
        <v>2.94</v>
      </c>
      <c r="DU416" s="35">
        <v>44074</v>
      </c>
      <c r="DV416" s="26">
        <v>6.05</v>
      </c>
      <c r="DW416" s="26">
        <v>5.8</v>
      </c>
      <c r="DX416" s="26">
        <v>5.864</v>
      </c>
      <c r="DZ416" s="35">
        <v>44074</v>
      </c>
      <c r="EA416" s="26">
        <v>16.6</v>
      </c>
      <c r="EB416" s="26">
        <v>16.45</v>
      </c>
      <c r="EC416" s="26">
        <v>16.5</v>
      </c>
    </row>
    <row r="417" spans="120:133">
      <c r="DP417" s="35">
        <v>44075</v>
      </c>
      <c r="DQ417" s="26">
        <v>3.1</v>
      </c>
      <c r="DR417" s="26">
        <v>2.9</v>
      </c>
      <c r="DS417" s="26">
        <v>2.933</v>
      </c>
      <c r="DU417" s="35">
        <v>44075</v>
      </c>
      <c r="DV417" s="26">
        <v>6.05</v>
      </c>
      <c r="DW417" s="26">
        <v>5.8</v>
      </c>
      <c r="DX417" s="26">
        <v>5.858</v>
      </c>
      <c r="DZ417" s="35">
        <v>44075</v>
      </c>
      <c r="EA417" s="26">
        <v>16.6</v>
      </c>
      <c r="EB417" s="26">
        <v>16.45</v>
      </c>
      <c r="EC417" s="26">
        <v>16.5</v>
      </c>
    </row>
    <row r="418" spans="120:133">
      <c r="DP418" s="35">
        <v>44076</v>
      </c>
      <c r="DQ418" s="26">
        <v>3.1</v>
      </c>
      <c r="DR418" s="26">
        <v>2.9</v>
      </c>
      <c r="DS418" s="26">
        <v>2.94</v>
      </c>
      <c r="DU418" s="35">
        <v>44076</v>
      </c>
      <c r="DV418" s="26">
        <v>6.05</v>
      </c>
      <c r="DW418" s="26">
        <v>5.8</v>
      </c>
      <c r="DX418" s="26">
        <v>5.858</v>
      </c>
      <c r="DZ418" s="35">
        <v>44076</v>
      </c>
      <c r="EA418" s="26">
        <v>16.6</v>
      </c>
      <c r="EB418" s="26">
        <v>16.45</v>
      </c>
      <c r="EC418" s="26">
        <v>16.5</v>
      </c>
    </row>
    <row r="419" spans="120:133">
      <c r="DP419" s="35">
        <v>44077</v>
      </c>
      <c r="DQ419" s="26">
        <v>3.1</v>
      </c>
      <c r="DR419" s="26">
        <v>2.9</v>
      </c>
      <c r="DS419" s="26">
        <v>2.933</v>
      </c>
      <c r="DU419" s="35">
        <v>44077</v>
      </c>
      <c r="DV419" s="26">
        <v>6.05</v>
      </c>
      <c r="DW419" s="26">
        <v>5.8</v>
      </c>
      <c r="DX419" s="26">
        <v>5.858</v>
      </c>
      <c r="DZ419" s="35">
        <v>44077</v>
      </c>
      <c r="EA419" s="26">
        <v>16.6</v>
      </c>
      <c r="EB419" s="26">
        <v>16.45</v>
      </c>
      <c r="EC419" s="26">
        <v>16.5</v>
      </c>
    </row>
    <row r="420" spans="120:133">
      <c r="DP420" s="35">
        <v>44078</v>
      </c>
      <c r="DQ420" s="26">
        <v>3.1</v>
      </c>
      <c r="DR420" s="26">
        <v>2.9</v>
      </c>
      <c r="DS420" s="26">
        <v>2.93</v>
      </c>
      <c r="DU420" s="35">
        <v>44078</v>
      </c>
      <c r="DV420" s="26">
        <v>6.05</v>
      </c>
      <c r="DW420" s="26">
        <v>5.8</v>
      </c>
      <c r="DX420" s="26">
        <v>5.852</v>
      </c>
      <c r="DZ420" s="35">
        <v>44078</v>
      </c>
      <c r="EA420" s="26">
        <v>16.6</v>
      </c>
      <c r="EB420" s="26">
        <v>16.45</v>
      </c>
      <c r="EC420" s="26">
        <v>16.55</v>
      </c>
    </row>
    <row r="421" spans="120:133">
      <c r="DP421" s="35">
        <v>44081</v>
      </c>
      <c r="DQ421" s="26">
        <v>3.1</v>
      </c>
      <c r="DR421" s="26">
        <v>2.9</v>
      </c>
      <c r="DS421" s="26">
        <v>2.927</v>
      </c>
      <c r="DU421" s="35">
        <v>44081</v>
      </c>
      <c r="DV421" s="26">
        <v>6.05</v>
      </c>
      <c r="DW421" s="26">
        <v>5.8</v>
      </c>
      <c r="DX421" s="26">
        <v>5.848</v>
      </c>
      <c r="DZ421" s="35">
        <v>44081</v>
      </c>
      <c r="EA421" s="26">
        <v>16.6</v>
      </c>
      <c r="EB421" s="26">
        <v>16.45</v>
      </c>
      <c r="EC421" s="26">
        <v>16.55</v>
      </c>
    </row>
    <row r="422" spans="120:133">
      <c r="DP422" s="35">
        <v>44082</v>
      </c>
      <c r="DQ422" s="26">
        <v>3.1</v>
      </c>
      <c r="DR422" s="26">
        <v>2.9</v>
      </c>
      <c r="DS422" s="26">
        <v>2.933</v>
      </c>
      <c r="DU422" s="35">
        <v>44082</v>
      </c>
      <c r="DV422" s="26">
        <v>6.05</v>
      </c>
      <c r="DW422" s="26">
        <v>5.8</v>
      </c>
      <c r="DX422" s="26">
        <v>5.854</v>
      </c>
      <c r="DZ422" s="35">
        <v>44082</v>
      </c>
      <c r="EA422" s="26">
        <v>16.6</v>
      </c>
      <c r="EB422" s="26">
        <v>16.45</v>
      </c>
      <c r="EC422" s="26">
        <v>16.55</v>
      </c>
    </row>
    <row r="423" spans="120:133">
      <c r="DP423" s="35">
        <v>44083</v>
      </c>
      <c r="DQ423" s="26">
        <v>3.1</v>
      </c>
      <c r="DR423" s="26">
        <v>2.9</v>
      </c>
      <c r="DS423" s="26">
        <v>2.933</v>
      </c>
      <c r="DU423" s="35">
        <v>44083</v>
      </c>
      <c r="DV423" s="26">
        <v>6.05</v>
      </c>
      <c r="DW423" s="26">
        <v>5.8</v>
      </c>
      <c r="DX423" s="26">
        <v>5.854</v>
      </c>
      <c r="DZ423" s="35">
        <v>44083</v>
      </c>
      <c r="EA423" s="26">
        <v>16.6</v>
      </c>
      <c r="EB423" s="26">
        <v>16.45</v>
      </c>
      <c r="EC423" s="26">
        <v>16.55</v>
      </c>
    </row>
    <row r="424" spans="120:133">
      <c r="DP424" s="35">
        <v>44084</v>
      </c>
      <c r="DQ424" s="26">
        <v>3.1</v>
      </c>
      <c r="DR424" s="26">
        <v>2.9</v>
      </c>
      <c r="DS424" s="26">
        <v>2.927</v>
      </c>
      <c r="DU424" s="35">
        <v>44084</v>
      </c>
      <c r="DV424" s="26">
        <v>6.05</v>
      </c>
      <c r="DW424" s="26">
        <v>5.8</v>
      </c>
      <c r="DX424" s="26">
        <v>5.848</v>
      </c>
      <c r="DZ424" s="35">
        <v>44084</v>
      </c>
      <c r="EA424" s="26">
        <v>16.6</v>
      </c>
      <c r="EB424" s="26">
        <v>16.45</v>
      </c>
      <c r="EC424" s="26">
        <v>16.55</v>
      </c>
    </row>
    <row r="425" spans="120:133">
      <c r="DP425" s="35">
        <v>44085</v>
      </c>
      <c r="DQ425" s="26">
        <v>3.1</v>
      </c>
      <c r="DR425" s="26">
        <v>2.9</v>
      </c>
      <c r="DS425" s="26">
        <v>2.923</v>
      </c>
      <c r="DU425" s="35">
        <v>44085</v>
      </c>
      <c r="DV425" s="26">
        <v>6.05</v>
      </c>
      <c r="DW425" s="26">
        <v>5.8</v>
      </c>
      <c r="DX425" s="26">
        <v>5.838</v>
      </c>
      <c r="DZ425" s="35">
        <v>44085</v>
      </c>
      <c r="EA425" s="26">
        <v>16.6</v>
      </c>
      <c r="EB425" s="26">
        <v>16.45</v>
      </c>
      <c r="EC425" s="26">
        <v>16.55</v>
      </c>
    </row>
    <row r="426" spans="120:133">
      <c r="DP426" s="35">
        <v>44088</v>
      </c>
      <c r="DQ426" s="26">
        <v>3.05</v>
      </c>
      <c r="DR426" s="26">
        <v>2.85</v>
      </c>
      <c r="DS426" s="26">
        <v>2.91</v>
      </c>
      <c r="DU426" s="35">
        <v>44088</v>
      </c>
      <c r="DV426" s="26">
        <v>6.05</v>
      </c>
      <c r="DW426" s="26">
        <v>5.8</v>
      </c>
      <c r="DX426" s="26">
        <v>5.83</v>
      </c>
      <c r="DZ426" s="35">
        <v>44088</v>
      </c>
      <c r="EA426" s="26">
        <v>16.6</v>
      </c>
      <c r="EB426" s="26">
        <v>16.45</v>
      </c>
      <c r="EC426" s="26">
        <v>16.55</v>
      </c>
    </row>
    <row r="427" spans="120:133">
      <c r="DP427" s="35">
        <v>44089</v>
      </c>
      <c r="DQ427" s="26">
        <v>3.05</v>
      </c>
      <c r="DR427" s="26">
        <v>2.85</v>
      </c>
      <c r="DS427" s="26">
        <v>2.907</v>
      </c>
      <c r="DU427" s="35">
        <v>44089</v>
      </c>
      <c r="DV427" s="26">
        <v>6.05</v>
      </c>
      <c r="DW427" s="26">
        <v>5.8</v>
      </c>
      <c r="DX427" s="26">
        <v>5.826</v>
      </c>
      <c r="DZ427" s="35">
        <v>44089</v>
      </c>
      <c r="EA427" s="26">
        <v>16.6</v>
      </c>
      <c r="EB427" s="26">
        <v>16.45</v>
      </c>
      <c r="EC427" s="26">
        <v>16.55</v>
      </c>
    </row>
    <row r="428" spans="120:133">
      <c r="DP428" s="35">
        <v>44090</v>
      </c>
      <c r="DQ428" s="26">
        <v>3.05</v>
      </c>
      <c r="DR428" s="26">
        <v>2.85</v>
      </c>
      <c r="DS428" s="26">
        <v>2.907</v>
      </c>
      <c r="DU428" s="35">
        <v>44090</v>
      </c>
      <c r="DV428" s="26">
        <v>6.05</v>
      </c>
      <c r="DW428" s="26">
        <v>5.8</v>
      </c>
      <c r="DX428" s="26">
        <v>5.826</v>
      </c>
      <c r="DZ428" s="35">
        <v>44090</v>
      </c>
      <c r="EA428" s="26">
        <v>16.6</v>
      </c>
      <c r="EB428" s="26">
        <v>16.45</v>
      </c>
      <c r="EC428" s="26">
        <v>16.55</v>
      </c>
    </row>
    <row r="429" spans="120:133">
      <c r="DP429" s="35">
        <v>44091</v>
      </c>
      <c r="DQ429" s="26">
        <v>3.05</v>
      </c>
      <c r="DR429" s="26">
        <v>2.85</v>
      </c>
      <c r="DS429" s="26">
        <v>2.903</v>
      </c>
      <c r="DU429" s="35">
        <v>44091</v>
      </c>
      <c r="DV429" s="26">
        <v>6.05</v>
      </c>
      <c r="DW429" s="26">
        <v>5.8</v>
      </c>
      <c r="DX429" s="26">
        <v>5.82</v>
      </c>
      <c r="DZ429" s="35">
        <v>44091</v>
      </c>
      <c r="EA429" s="26">
        <v>16.6</v>
      </c>
      <c r="EB429" s="26">
        <v>16.45</v>
      </c>
      <c r="EC429" s="26">
        <v>16.55</v>
      </c>
    </row>
    <row r="430" spans="120:133">
      <c r="DP430" s="35">
        <v>44092</v>
      </c>
      <c r="DQ430" s="26">
        <v>3.05</v>
      </c>
      <c r="DR430" s="26">
        <v>2.85</v>
      </c>
      <c r="DS430" s="26">
        <v>2.91</v>
      </c>
      <c r="DU430" s="35">
        <v>44092</v>
      </c>
      <c r="DV430" s="26">
        <v>6.05</v>
      </c>
      <c r="DW430" s="26">
        <v>5.8</v>
      </c>
      <c r="DX430" s="26">
        <v>5.832</v>
      </c>
      <c r="DZ430" s="35">
        <v>44092</v>
      </c>
      <c r="EA430" s="26">
        <v>16.6</v>
      </c>
      <c r="EB430" s="26">
        <v>16.45</v>
      </c>
      <c r="EC430" s="26">
        <v>16.55</v>
      </c>
    </row>
    <row r="431" spans="120:133">
      <c r="DP431" s="35">
        <v>44095</v>
      </c>
      <c r="DQ431" s="26">
        <v>3.05</v>
      </c>
      <c r="DR431" s="26">
        <v>2.85</v>
      </c>
      <c r="DS431" s="26">
        <v>2.917</v>
      </c>
      <c r="DU431" s="35">
        <v>44095</v>
      </c>
      <c r="DV431" s="26">
        <v>6.05</v>
      </c>
      <c r="DW431" s="26">
        <v>5.8</v>
      </c>
      <c r="DX431" s="26">
        <v>5.838</v>
      </c>
      <c r="DZ431" s="35">
        <v>44095</v>
      </c>
      <c r="EA431" s="26">
        <v>16.6</v>
      </c>
      <c r="EB431" s="26">
        <v>16.45</v>
      </c>
      <c r="EC431" s="26">
        <v>16.55</v>
      </c>
    </row>
    <row r="432" spans="120:133">
      <c r="DP432" s="35">
        <v>44096</v>
      </c>
      <c r="DQ432" s="26">
        <v>3.05</v>
      </c>
      <c r="DR432" s="26">
        <v>2.85</v>
      </c>
      <c r="DS432" s="26">
        <v>2.933</v>
      </c>
      <c r="DU432" s="35">
        <v>44096</v>
      </c>
      <c r="DV432" s="26">
        <v>6.05</v>
      </c>
      <c r="DW432" s="26">
        <v>5.8</v>
      </c>
      <c r="DX432" s="26">
        <v>5.842</v>
      </c>
      <c r="DZ432" s="35">
        <v>44096</v>
      </c>
      <c r="EA432" s="26">
        <v>16.7</v>
      </c>
      <c r="EB432" s="26">
        <v>16.55</v>
      </c>
      <c r="EC432" s="26">
        <v>16.6</v>
      </c>
    </row>
    <row r="433" spans="120:133">
      <c r="DP433" s="35">
        <v>44097</v>
      </c>
      <c r="DQ433" s="26">
        <v>3.05</v>
      </c>
      <c r="DR433" s="26">
        <v>2.87</v>
      </c>
      <c r="DS433" s="26">
        <v>2.94</v>
      </c>
      <c r="DU433" s="35">
        <v>44097</v>
      </c>
      <c r="DV433" s="26">
        <v>6.05</v>
      </c>
      <c r="DW433" s="26">
        <v>5.8</v>
      </c>
      <c r="DX433" s="26">
        <v>5.845</v>
      </c>
      <c r="DZ433" s="35">
        <v>44097</v>
      </c>
      <c r="EA433" s="26">
        <v>16.7</v>
      </c>
      <c r="EB433" s="26">
        <v>16.55</v>
      </c>
      <c r="EC433" s="26">
        <v>16.6</v>
      </c>
    </row>
    <row r="434" spans="120:133">
      <c r="DP434" s="35">
        <v>44098</v>
      </c>
      <c r="DQ434" s="26">
        <v>3.05</v>
      </c>
      <c r="DR434" s="26">
        <v>2.87</v>
      </c>
      <c r="DS434" s="26">
        <v>2.943</v>
      </c>
      <c r="DU434" s="35">
        <v>44098</v>
      </c>
      <c r="DV434" s="26">
        <v>6.05</v>
      </c>
      <c r="DW434" s="26">
        <v>5.8</v>
      </c>
      <c r="DX434" s="26">
        <v>5.845</v>
      </c>
      <c r="DZ434" s="35">
        <v>44098</v>
      </c>
      <c r="EA434" s="26">
        <v>16.7</v>
      </c>
      <c r="EB434" s="26">
        <v>16.55</v>
      </c>
      <c r="EC434" s="26">
        <v>16.6</v>
      </c>
    </row>
    <row r="435" spans="120:133">
      <c r="DP435" s="35">
        <v>44099</v>
      </c>
      <c r="DQ435" s="26">
        <v>3.05</v>
      </c>
      <c r="DR435" s="26">
        <v>2.87</v>
      </c>
      <c r="DS435" s="26">
        <v>2.947</v>
      </c>
      <c r="DU435" s="35">
        <v>44099</v>
      </c>
      <c r="DV435" s="26">
        <v>6.05</v>
      </c>
      <c r="DW435" s="26">
        <v>5.8</v>
      </c>
      <c r="DX435" s="26">
        <v>5.845</v>
      </c>
      <c r="DZ435" s="35">
        <v>44099</v>
      </c>
      <c r="EA435" s="26">
        <v>16.7</v>
      </c>
      <c r="EB435" s="26">
        <v>16.55</v>
      </c>
      <c r="EC435" s="26">
        <v>16.6</v>
      </c>
    </row>
    <row r="436" spans="120:133">
      <c r="DP436" s="35">
        <v>44102</v>
      </c>
      <c r="DQ436" s="26">
        <v>3.05</v>
      </c>
      <c r="DR436" s="26">
        <v>2.87</v>
      </c>
      <c r="DS436" s="26">
        <v>2.95</v>
      </c>
      <c r="DU436" s="35">
        <v>44102</v>
      </c>
      <c r="DV436" s="26">
        <v>6.05</v>
      </c>
      <c r="DW436" s="26">
        <v>5.8</v>
      </c>
      <c r="DX436" s="26">
        <v>5.845</v>
      </c>
      <c r="DZ436" s="35">
        <v>44102</v>
      </c>
      <c r="EA436" s="26">
        <v>16.7</v>
      </c>
      <c r="EB436" s="26">
        <v>16.55</v>
      </c>
      <c r="EC436" s="26">
        <v>16.6</v>
      </c>
    </row>
    <row r="437" spans="120:133">
      <c r="DP437" s="35">
        <v>44103</v>
      </c>
      <c r="DQ437" s="26">
        <v>3.05</v>
      </c>
      <c r="DR437" s="26">
        <v>2.87</v>
      </c>
      <c r="DS437" s="26">
        <v>2.953</v>
      </c>
      <c r="DU437" s="35">
        <v>44103</v>
      </c>
      <c r="DV437" s="26">
        <v>6.05</v>
      </c>
      <c r="DW437" s="26">
        <v>5.8</v>
      </c>
      <c r="DX437" s="26">
        <v>5.845</v>
      </c>
      <c r="DZ437" s="35">
        <v>44103</v>
      </c>
      <c r="EA437" s="26">
        <v>16.7</v>
      </c>
      <c r="EB437" s="26">
        <v>16.55</v>
      </c>
      <c r="EC437" s="26">
        <v>16.6</v>
      </c>
    </row>
    <row r="438" spans="120:133">
      <c r="DP438" s="35">
        <v>44104</v>
      </c>
      <c r="DQ438" s="26">
        <v>3.05</v>
      </c>
      <c r="DR438" s="26">
        <v>2.87</v>
      </c>
      <c r="DS438" s="26">
        <v>2.953</v>
      </c>
      <c r="DU438" s="35">
        <v>44104</v>
      </c>
      <c r="DV438" s="26">
        <v>6.05</v>
      </c>
      <c r="DW438" s="26">
        <v>5.8</v>
      </c>
      <c r="DX438" s="26">
        <v>5.845</v>
      </c>
      <c r="DZ438" s="35">
        <v>44104</v>
      </c>
      <c r="EA438" s="26">
        <v>16.7</v>
      </c>
      <c r="EB438" s="26">
        <v>16.55</v>
      </c>
      <c r="EC438" s="26">
        <v>16.6</v>
      </c>
    </row>
    <row r="439" spans="120:133">
      <c r="DP439" s="35">
        <v>44109</v>
      </c>
      <c r="DQ439" s="26">
        <v>3.05</v>
      </c>
      <c r="DR439" s="26">
        <v>2.87</v>
      </c>
      <c r="DS439" s="26">
        <v>2.947</v>
      </c>
      <c r="DU439" s="35">
        <v>44109</v>
      </c>
      <c r="DV439" s="26">
        <v>6.05</v>
      </c>
      <c r="DW439" s="26">
        <v>5.8</v>
      </c>
      <c r="DX439" s="26">
        <v>5.839</v>
      </c>
      <c r="DZ439" s="35">
        <v>44109</v>
      </c>
      <c r="EA439" s="26">
        <v>16.7</v>
      </c>
      <c r="EB439" s="26">
        <v>16.55</v>
      </c>
      <c r="EC439" s="26">
        <v>16.6</v>
      </c>
    </row>
    <row r="440" spans="120:133">
      <c r="DP440" s="35">
        <v>44110</v>
      </c>
      <c r="DQ440" s="26">
        <v>3.05</v>
      </c>
      <c r="DR440" s="26">
        <v>2.87</v>
      </c>
      <c r="DS440" s="26">
        <v>2.947</v>
      </c>
      <c r="DU440" s="35">
        <v>44110</v>
      </c>
      <c r="DV440" s="26">
        <v>6.05</v>
      </c>
      <c r="DW440" s="26">
        <v>5.8</v>
      </c>
      <c r="DX440" s="26">
        <v>5.839</v>
      </c>
      <c r="DZ440" s="35">
        <v>44110</v>
      </c>
      <c r="EA440" s="26">
        <v>16.7</v>
      </c>
      <c r="EB440" s="26">
        <v>16.55</v>
      </c>
      <c r="EC440" s="26">
        <v>16.6</v>
      </c>
    </row>
    <row r="441" spans="120:133">
      <c r="DP441" s="35">
        <v>44111</v>
      </c>
      <c r="DQ441" s="26">
        <v>3.05</v>
      </c>
      <c r="DR441" s="26">
        <v>2.87</v>
      </c>
      <c r="DS441" s="26">
        <v>2.947</v>
      </c>
      <c r="DU441" s="35">
        <v>44111</v>
      </c>
      <c r="DV441" s="26">
        <v>6.05</v>
      </c>
      <c r="DW441" s="26">
        <v>5.8</v>
      </c>
      <c r="DX441" s="26">
        <v>5.835</v>
      </c>
      <c r="DZ441" s="35">
        <v>44111</v>
      </c>
      <c r="EA441" s="26">
        <v>16.7</v>
      </c>
      <c r="EB441" s="26">
        <v>16.55</v>
      </c>
      <c r="EC441" s="26">
        <v>16.6</v>
      </c>
    </row>
    <row r="442" spans="120:133">
      <c r="DP442" s="35">
        <v>44112</v>
      </c>
      <c r="DQ442" s="26">
        <v>3.05</v>
      </c>
      <c r="DR442" s="26">
        <v>2.87</v>
      </c>
      <c r="DS442" s="26">
        <v>2.933</v>
      </c>
      <c r="DU442" s="35">
        <v>44112</v>
      </c>
      <c r="DV442" s="26">
        <v>6.05</v>
      </c>
      <c r="DW442" s="26">
        <v>5.8</v>
      </c>
      <c r="DX442" s="26">
        <v>5.832</v>
      </c>
      <c r="DZ442" s="35">
        <v>44112</v>
      </c>
      <c r="EA442" s="26">
        <v>16.7</v>
      </c>
      <c r="EB442" s="26">
        <v>16.55</v>
      </c>
      <c r="EC442" s="26">
        <v>16.6</v>
      </c>
    </row>
    <row r="443" spans="120:133">
      <c r="DP443" s="35">
        <v>44113</v>
      </c>
      <c r="DQ443" s="26">
        <v>3.05</v>
      </c>
      <c r="DR443" s="26">
        <v>2.87</v>
      </c>
      <c r="DS443" s="26">
        <v>2.933</v>
      </c>
      <c r="DU443" s="35">
        <v>44113</v>
      </c>
      <c r="DV443" s="26">
        <v>6.05</v>
      </c>
      <c r="DW443" s="26">
        <v>5.8</v>
      </c>
      <c r="DX443" s="26">
        <v>5.832</v>
      </c>
      <c r="DZ443" s="35">
        <v>44113</v>
      </c>
      <c r="EA443" s="26">
        <v>16.7</v>
      </c>
      <c r="EB443" s="26">
        <v>16.55</v>
      </c>
      <c r="EC443" s="26">
        <v>16.6</v>
      </c>
    </row>
    <row r="444" spans="120:133">
      <c r="DP444" s="35">
        <v>44116</v>
      </c>
      <c r="DQ444" s="26">
        <v>3.05</v>
      </c>
      <c r="DR444" s="26">
        <v>2.87</v>
      </c>
      <c r="DS444" s="26">
        <v>2.938</v>
      </c>
      <c r="DU444" s="35">
        <v>44116</v>
      </c>
      <c r="DV444" s="26">
        <v>6.05</v>
      </c>
      <c r="DW444" s="26">
        <v>5.8</v>
      </c>
      <c r="DX444" s="26">
        <v>5.877</v>
      </c>
      <c r="DZ444" s="35">
        <v>44116</v>
      </c>
      <c r="EA444" s="26">
        <v>16.7</v>
      </c>
      <c r="EB444" s="26">
        <v>16.55</v>
      </c>
      <c r="EC444" s="26">
        <v>16.6</v>
      </c>
    </row>
    <row r="445" spans="120:133">
      <c r="DP445" s="35">
        <v>44117</v>
      </c>
      <c r="DQ445" s="26">
        <v>3.05</v>
      </c>
      <c r="DR445" s="26">
        <v>2.87</v>
      </c>
      <c r="DS445" s="26">
        <v>2.938</v>
      </c>
      <c r="DU445" s="35">
        <v>44117</v>
      </c>
      <c r="DV445" s="26">
        <v>6.05</v>
      </c>
      <c r="DW445" s="26">
        <v>5.8</v>
      </c>
      <c r="DX445" s="26">
        <v>5.877</v>
      </c>
      <c r="DZ445" s="35">
        <v>44117</v>
      </c>
      <c r="EA445" s="26">
        <v>16.7</v>
      </c>
      <c r="EB445" s="26">
        <v>16.55</v>
      </c>
      <c r="EC445" s="26">
        <v>16.6</v>
      </c>
    </row>
    <row r="446" spans="120:133">
      <c r="DP446" s="35">
        <v>44118</v>
      </c>
      <c r="DQ446" s="26">
        <v>3.05</v>
      </c>
      <c r="DR446" s="26">
        <v>2.87</v>
      </c>
      <c r="DS446" s="26">
        <v>2.938</v>
      </c>
      <c r="DU446" s="35">
        <v>44118</v>
      </c>
      <c r="DV446" s="26">
        <v>6.05</v>
      </c>
      <c r="DW446" s="26">
        <v>5.8</v>
      </c>
      <c r="DX446" s="26">
        <v>5.877</v>
      </c>
      <c r="DZ446" s="35">
        <v>44118</v>
      </c>
      <c r="EA446" s="26">
        <v>16.7</v>
      </c>
      <c r="EB446" s="26">
        <v>16.55</v>
      </c>
      <c r="EC446" s="26">
        <v>16.6</v>
      </c>
    </row>
    <row r="447" spans="120:133">
      <c r="DP447" s="35">
        <v>44119</v>
      </c>
      <c r="DQ447" s="26">
        <v>3.05</v>
      </c>
      <c r="DR447" s="26">
        <v>2.87</v>
      </c>
      <c r="DS447" s="26">
        <v>2.938</v>
      </c>
      <c r="DU447" s="35">
        <v>44119</v>
      </c>
      <c r="DV447" s="26">
        <v>6.05</v>
      </c>
      <c r="DW447" s="26">
        <v>5.8</v>
      </c>
      <c r="DX447" s="26">
        <v>5.877</v>
      </c>
      <c r="DZ447" s="35">
        <v>44119</v>
      </c>
      <c r="EA447" s="26">
        <v>16.7</v>
      </c>
      <c r="EB447" s="26">
        <v>16.55</v>
      </c>
      <c r="EC447" s="26">
        <v>16.6</v>
      </c>
    </row>
    <row r="448" spans="120:133">
      <c r="DP448" s="35">
        <v>44120</v>
      </c>
      <c r="DQ448" s="26">
        <v>3.05</v>
      </c>
      <c r="DR448" s="26">
        <v>2.87</v>
      </c>
      <c r="DS448" s="26">
        <v>2.938</v>
      </c>
      <c r="DU448" s="35">
        <v>44120</v>
      </c>
      <c r="DV448" s="26">
        <v>6.05</v>
      </c>
      <c r="DW448" s="26">
        <v>5.8</v>
      </c>
      <c r="DX448" s="26">
        <v>5.877</v>
      </c>
      <c r="DZ448" s="35">
        <v>44120</v>
      </c>
      <c r="EA448" s="26">
        <v>16.7</v>
      </c>
      <c r="EB448" s="26">
        <v>16.55</v>
      </c>
      <c r="EC448" s="26">
        <v>16.6</v>
      </c>
    </row>
    <row r="449" spans="120:133">
      <c r="DP449" s="35">
        <v>44123</v>
      </c>
      <c r="DQ449" s="26">
        <v>3.05</v>
      </c>
      <c r="DR449" s="26">
        <v>2.9</v>
      </c>
      <c r="DS449" s="26">
        <v>2.956</v>
      </c>
      <c r="DU449" s="35">
        <v>44123</v>
      </c>
      <c r="DV449" s="26">
        <v>6.05</v>
      </c>
      <c r="DW449" s="26">
        <v>5.8</v>
      </c>
      <c r="DX449" s="26">
        <v>5.883</v>
      </c>
      <c r="DZ449" s="35">
        <v>44123</v>
      </c>
      <c r="EA449" s="26">
        <v>16.8</v>
      </c>
      <c r="EB449" s="26">
        <v>16.6</v>
      </c>
      <c r="EC449" s="26">
        <v>16.7</v>
      </c>
    </row>
    <row r="450" spans="120:133">
      <c r="DP450" s="35">
        <v>44124</v>
      </c>
      <c r="DQ450" s="26">
        <v>3.05</v>
      </c>
      <c r="DR450" s="26">
        <v>2.9</v>
      </c>
      <c r="DS450" s="26">
        <v>2.963</v>
      </c>
      <c r="DU450" s="35">
        <v>44124</v>
      </c>
      <c r="DV450" s="26">
        <v>6.05</v>
      </c>
      <c r="DW450" s="26">
        <v>5.8</v>
      </c>
      <c r="DX450" s="26">
        <v>5.891</v>
      </c>
      <c r="DZ450" s="35">
        <v>44124</v>
      </c>
      <c r="EA450" s="26">
        <v>16.8</v>
      </c>
      <c r="EB450" s="26">
        <v>16.6</v>
      </c>
      <c r="EC450" s="26">
        <v>16.7</v>
      </c>
    </row>
    <row r="451" spans="120:133">
      <c r="DP451" s="35">
        <v>44125</v>
      </c>
      <c r="DQ451" s="26">
        <v>3.05</v>
      </c>
      <c r="DR451" s="26">
        <v>2.9</v>
      </c>
      <c r="DS451" s="26">
        <v>2.963</v>
      </c>
      <c r="DU451" s="35">
        <v>44125</v>
      </c>
      <c r="DV451" s="26">
        <v>6.05</v>
      </c>
      <c r="DW451" s="26">
        <v>5.8</v>
      </c>
      <c r="DX451" s="26">
        <v>5.891</v>
      </c>
      <c r="DZ451" s="35">
        <v>44125</v>
      </c>
      <c r="EA451" s="26">
        <v>16.8</v>
      </c>
      <c r="EB451" s="26">
        <v>16.6</v>
      </c>
      <c r="EC451" s="26">
        <v>16.7</v>
      </c>
    </row>
    <row r="452" spans="120:133">
      <c r="DP452" s="35">
        <v>44126</v>
      </c>
      <c r="DQ452" s="26">
        <v>3.05</v>
      </c>
      <c r="DR452" s="26">
        <v>2.9</v>
      </c>
      <c r="DS452" s="26">
        <v>2.963</v>
      </c>
      <c r="DU452" s="35">
        <v>44126</v>
      </c>
      <c r="DV452" s="26">
        <v>6.05</v>
      </c>
      <c r="DW452" s="26">
        <v>5.8</v>
      </c>
      <c r="DX452" s="26">
        <v>5.891</v>
      </c>
      <c r="DZ452" s="35">
        <v>44126</v>
      </c>
      <c r="EA452" s="26">
        <v>16.8</v>
      </c>
      <c r="EB452" s="26">
        <v>16.6</v>
      </c>
      <c r="EC452" s="26">
        <v>16.7</v>
      </c>
    </row>
    <row r="453" spans="120:133">
      <c r="DP453" s="35">
        <v>44127</v>
      </c>
      <c r="DQ453" s="26">
        <v>3.05</v>
      </c>
      <c r="DR453" s="26">
        <v>2.9</v>
      </c>
      <c r="DS453" s="26">
        <v>2.973</v>
      </c>
      <c r="DU453" s="35">
        <v>44127</v>
      </c>
      <c r="DV453" s="26">
        <v>6.05</v>
      </c>
      <c r="DW453" s="26">
        <v>5.8</v>
      </c>
      <c r="DX453" s="26">
        <v>5.891</v>
      </c>
      <c r="DZ453" s="35">
        <v>44127</v>
      </c>
      <c r="EA453" s="26">
        <v>16.8</v>
      </c>
      <c r="EB453" s="26">
        <v>16.6</v>
      </c>
      <c r="EC453" s="26">
        <v>16.7</v>
      </c>
    </row>
    <row r="454" spans="120:133">
      <c r="DP454" s="35">
        <v>44130</v>
      </c>
      <c r="DQ454" s="26">
        <v>3.05</v>
      </c>
      <c r="DR454" s="26">
        <v>2.9</v>
      </c>
      <c r="DS454" s="26">
        <v>2.979</v>
      </c>
      <c r="DU454" s="35">
        <v>44130</v>
      </c>
      <c r="DV454" s="26">
        <v>6.05</v>
      </c>
      <c r="DW454" s="26">
        <v>5.8</v>
      </c>
      <c r="DX454" s="26">
        <v>5.894</v>
      </c>
      <c r="DZ454" s="35">
        <v>44130</v>
      </c>
      <c r="EA454" s="26">
        <v>16.8</v>
      </c>
      <c r="EB454" s="26">
        <v>16.7</v>
      </c>
      <c r="EC454" s="26">
        <v>16.75</v>
      </c>
    </row>
    <row r="455" spans="120:133">
      <c r="DP455" s="35">
        <v>44131</v>
      </c>
      <c r="DQ455" s="26">
        <v>3.05</v>
      </c>
      <c r="DR455" s="26">
        <v>2.9</v>
      </c>
      <c r="DS455" s="26">
        <v>2.973</v>
      </c>
      <c r="DU455" s="35">
        <v>44131</v>
      </c>
      <c r="DV455" s="26">
        <v>6.05</v>
      </c>
      <c r="DW455" s="26">
        <v>5.8</v>
      </c>
      <c r="DX455" s="26">
        <v>5.894</v>
      </c>
      <c r="DZ455" s="35">
        <v>44131</v>
      </c>
      <c r="EA455" s="26">
        <v>16.8</v>
      </c>
      <c r="EB455" s="26">
        <v>16.7</v>
      </c>
      <c r="EC455" s="26">
        <v>16.75</v>
      </c>
    </row>
    <row r="456" spans="120:133">
      <c r="DP456" s="35">
        <v>44132</v>
      </c>
      <c r="DQ456" s="26">
        <v>3.05</v>
      </c>
      <c r="DR456" s="26">
        <v>2.9</v>
      </c>
      <c r="DS456" s="26">
        <v>2.964</v>
      </c>
      <c r="DU456" s="35">
        <v>44132</v>
      </c>
      <c r="DV456" s="26">
        <v>6.05</v>
      </c>
      <c r="DW456" s="26">
        <v>5.8</v>
      </c>
      <c r="DX456" s="26">
        <v>5.891</v>
      </c>
      <c r="DZ456" s="35">
        <v>44132</v>
      </c>
      <c r="EA456" s="26">
        <v>16.8</v>
      </c>
      <c r="EB456" s="26">
        <v>16.7</v>
      </c>
      <c r="EC456" s="26">
        <v>16.75</v>
      </c>
    </row>
    <row r="457" spans="120:133">
      <c r="DP457" s="35">
        <v>44133</v>
      </c>
      <c r="DQ457" s="26">
        <v>3.05</v>
      </c>
      <c r="DR457" s="26">
        <v>2.9</v>
      </c>
      <c r="DS457" s="26">
        <v>2.956</v>
      </c>
      <c r="DU457" s="35">
        <v>44133</v>
      </c>
      <c r="DV457" s="26">
        <v>6.05</v>
      </c>
      <c r="DW457" s="26">
        <v>5.8</v>
      </c>
      <c r="DX457" s="26">
        <v>5.845</v>
      </c>
      <c r="DZ457" s="35">
        <v>44133</v>
      </c>
      <c r="EA457" s="26">
        <v>16.8</v>
      </c>
      <c r="EB457" s="26">
        <v>16.7</v>
      </c>
      <c r="EC457" s="26">
        <v>16.75</v>
      </c>
    </row>
    <row r="458" spans="120:133">
      <c r="DP458" s="35">
        <v>44134</v>
      </c>
      <c r="DQ458" s="26">
        <v>3.05</v>
      </c>
      <c r="DR458" s="26">
        <v>2.9</v>
      </c>
      <c r="DS458" s="26">
        <v>2.95</v>
      </c>
      <c r="DU458" s="35">
        <v>44134</v>
      </c>
      <c r="DV458" s="26">
        <v>6.05</v>
      </c>
      <c r="DW458" s="26">
        <v>5.8</v>
      </c>
      <c r="DX458" s="26">
        <v>5.842</v>
      </c>
      <c r="DZ458" s="35">
        <v>44134</v>
      </c>
      <c r="EA458" s="26">
        <v>16.8</v>
      </c>
      <c r="EB458" s="26">
        <v>16.7</v>
      </c>
      <c r="EC458" s="26">
        <v>16.75</v>
      </c>
    </row>
    <row r="459" spans="120:133">
      <c r="DP459" s="35">
        <v>44137</v>
      </c>
      <c r="DQ459" s="26">
        <v>3.05</v>
      </c>
      <c r="DR459" s="26">
        <v>2.9</v>
      </c>
      <c r="DS459" s="26">
        <v>2.944</v>
      </c>
      <c r="DU459" s="35">
        <v>44137</v>
      </c>
      <c r="DV459" s="26">
        <v>6.05</v>
      </c>
      <c r="DW459" s="26">
        <v>5.8</v>
      </c>
      <c r="DX459" s="26">
        <v>5.842</v>
      </c>
      <c r="DZ459" s="35">
        <v>44137</v>
      </c>
      <c r="EA459" s="26">
        <v>16.8</v>
      </c>
      <c r="EB459" s="26">
        <v>16.7</v>
      </c>
      <c r="EC459" s="26">
        <v>16.75</v>
      </c>
    </row>
    <row r="460" spans="120:133">
      <c r="DP460" s="35">
        <v>44138</v>
      </c>
      <c r="DQ460" s="26">
        <v>3.05</v>
      </c>
      <c r="DR460" s="26">
        <v>2.9</v>
      </c>
      <c r="DS460" s="26">
        <v>2.94</v>
      </c>
      <c r="DU460" s="35">
        <v>44138</v>
      </c>
      <c r="DV460" s="26">
        <v>6.05</v>
      </c>
      <c r="DW460" s="26">
        <v>5.8</v>
      </c>
      <c r="DX460" s="26">
        <v>5.838</v>
      </c>
      <c r="DZ460" s="35">
        <v>44138</v>
      </c>
      <c r="EA460" s="26">
        <v>16.8</v>
      </c>
      <c r="EB460" s="26">
        <v>16.7</v>
      </c>
      <c r="EC460" s="26">
        <v>16.75</v>
      </c>
    </row>
    <row r="461" spans="120:133">
      <c r="DP461" s="35">
        <v>44139</v>
      </c>
      <c r="DQ461" s="26">
        <v>3.05</v>
      </c>
      <c r="DR461" s="26">
        <v>2.9</v>
      </c>
      <c r="DS461" s="26">
        <v>2.936</v>
      </c>
      <c r="DU461" s="35">
        <v>44139</v>
      </c>
      <c r="DV461" s="26">
        <v>6.05</v>
      </c>
      <c r="DW461" s="26">
        <v>5.8</v>
      </c>
      <c r="DX461" s="26">
        <v>5.832</v>
      </c>
      <c r="DZ461" s="35">
        <v>44139</v>
      </c>
      <c r="EA461" s="26">
        <v>16.8</v>
      </c>
      <c r="EB461" s="26">
        <v>16.7</v>
      </c>
      <c r="EC461" s="26">
        <v>16.75</v>
      </c>
    </row>
    <row r="462" spans="120:133">
      <c r="DP462" s="35">
        <v>44140</v>
      </c>
      <c r="DQ462" s="26">
        <v>3.05</v>
      </c>
      <c r="DR462" s="26">
        <v>2.9</v>
      </c>
      <c r="DS462" s="26">
        <v>2.933</v>
      </c>
      <c r="DU462" s="35">
        <v>44140</v>
      </c>
      <c r="DV462" s="26">
        <v>6.05</v>
      </c>
      <c r="DW462" s="26">
        <v>5.8</v>
      </c>
      <c r="DX462" s="26">
        <v>5.828</v>
      </c>
      <c r="DZ462" s="35">
        <v>44140</v>
      </c>
      <c r="EA462" s="26">
        <v>16.8</v>
      </c>
      <c r="EB462" s="26">
        <v>16.7</v>
      </c>
      <c r="EC462" s="26">
        <v>16.75</v>
      </c>
    </row>
    <row r="463" spans="120:133">
      <c r="DP463" s="35">
        <v>44141</v>
      </c>
      <c r="DQ463" s="26">
        <v>3.05</v>
      </c>
      <c r="DR463" s="26">
        <v>2.9</v>
      </c>
      <c r="DS463" s="26">
        <v>2.932</v>
      </c>
      <c r="DU463" s="35">
        <v>44141</v>
      </c>
      <c r="DV463" s="26">
        <v>6.05</v>
      </c>
      <c r="DW463" s="26">
        <v>5.8</v>
      </c>
      <c r="DX463" s="26">
        <v>5.824</v>
      </c>
      <c r="DZ463" s="35">
        <v>44141</v>
      </c>
      <c r="EA463" s="26">
        <v>16.8</v>
      </c>
      <c r="EB463" s="26">
        <v>16.7</v>
      </c>
      <c r="EC463" s="26">
        <v>16.75</v>
      </c>
    </row>
    <row r="464" spans="120:133">
      <c r="DP464" s="35">
        <v>44144</v>
      </c>
      <c r="DQ464" s="26">
        <v>3.05</v>
      </c>
      <c r="DR464" s="26">
        <v>2.9</v>
      </c>
      <c r="DS464" s="26">
        <v>2.931</v>
      </c>
      <c r="DU464" s="35">
        <v>44144</v>
      </c>
      <c r="DV464" s="26">
        <v>6.05</v>
      </c>
      <c r="DW464" s="26">
        <v>5.8</v>
      </c>
      <c r="DX464" s="26">
        <v>5.823</v>
      </c>
      <c r="DZ464" s="35">
        <v>44144</v>
      </c>
      <c r="EA464" s="26">
        <v>16.8</v>
      </c>
      <c r="EB464" s="26">
        <v>16.7</v>
      </c>
      <c r="EC464" s="26">
        <v>16.75</v>
      </c>
    </row>
    <row r="465" spans="120:133">
      <c r="DP465" s="35">
        <v>44145</v>
      </c>
      <c r="DQ465" s="26">
        <v>3.05</v>
      </c>
      <c r="DR465" s="26">
        <v>2.9</v>
      </c>
      <c r="DS465" s="26">
        <v>2.934</v>
      </c>
      <c r="DU465" s="35">
        <v>44145</v>
      </c>
      <c r="DV465" s="26">
        <v>6.05</v>
      </c>
      <c r="DW465" s="26">
        <v>5.8</v>
      </c>
      <c r="DX465" s="26">
        <v>5.82</v>
      </c>
      <c r="DZ465" s="35">
        <v>44145</v>
      </c>
      <c r="EA465" s="26">
        <v>16.8</v>
      </c>
      <c r="EB465" s="26">
        <v>16.7</v>
      </c>
      <c r="EC465" s="26">
        <v>16.75</v>
      </c>
    </row>
    <row r="466" spans="120:133">
      <c r="DP466" s="35">
        <v>44146</v>
      </c>
      <c r="DQ466" s="26">
        <v>3.05</v>
      </c>
      <c r="DR466" s="26">
        <v>2.9</v>
      </c>
      <c r="DS466" s="26">
        <v>2.934</v>
      </c>
      <c r="DU466" s="35">
        <v>44146</v>
      </c>
      <c r="DV466" s="26">
        <v>6.05</v>
      </c>
      <c r="DW466" s="26">
        <v>5.8</v>
      </c>
      <c r="DX466" s="26">
        <v>5.82</v>
      </c>
      <c r="DZ466" s="35">
        <v>44146</v>
      </c>
      <c r="EA466" s="26">
        <v>16.8</v>
      </c>
      <c r="EB466" s="26">
        <v>16.7</v>
      </c>
      <c r="EC466" s="26">
        <v>16.75</v>
      </c>
    </row>
    <row r="467" spans="120:133">
      <c r="DP467" s="35">
        <v>44147</v>
      </c>
      <c r="DQ467" s="26">
        <v>3.05</v>
      </c>
      <c r="DR467" s="26">
        <v>2.9</v>
      </c>
      <c r="DS467" s="26">
        <v>2.928</v>
      </c>
      <c r="DU467" s="35">
        <v>44147</v>
      </c>
      <c r="DV467" s="26">
        <v>6.05</v>
      </c>
      <c r="DW467" s="26">
        <v>5.8</v>
      </c>
      <c r="DX467" s="26">
        <v>5.82</v>
      </c>
      <c r="DZ467" s="35">
        <v>44147</v>
      </c>
      <c r="EA467" s="26">
        <v>16.8</v>
      </c>
      <c r="EB467" s="26">
        <v>16.7</v>
      </c>
      <c r="EC467" s="26">
        <v>16.75</v>
      </c>
    </row>
    <row r="468" spans="120:133">
      <c r="DP468" s="35">
        <v>44148</v>
      </c>
      <c r="DQ468" s="26">
        <v>3.05</v>
      </c>
      <c r="DR468" s="26">
        <v>2.9</v>
      </c>
      <c r="DS468" s="26">
        <v>2.924</v>
      </c>
      <c r="DU468" s="35">
        <v>44148</v>
      </c>
      <c r="DV468" s="26">
        <v>6.05</v>
      </c>
      <c r="DW468" s="26">
        <v>5.8</v>
      </c>
      <c r="DX468" s="26">
        <v>5.82</v>
      </c>
      <c r="DZ468" s="35">
        <v>44148</v>
      </c>
      <c r="EA468" s="26">
        <v>16.8</v>
      </c>
      <c r="EB468" s="26">
        <v>16.7</v>
      </c>
      <c r="EC468" s="26">
        <v>16.75</v>
      </c>
    </row>
    <row r="469" spans="120:133">
      <c r="DP469" s="35">
        <v>44151</v>
      </c>
      <c r="DQ469" s="26">
        <v>3.05</v>
      </c>
      <c r="DR469" s="26">
        <v>2.85</v>
      </c>
      <c r="DS469" s="26">
        <v>2.914</v>
      </c>
      <c r="DU469" s="35">
        <v>44151</v>
      </c>
      <c r="DV469" s="26">
        <v>6.05</v>
      </c>
      <c r="DW469" s="26">
        <v>5.8</v>
      </c>
      <c r="DX469" s="26">
        <v>5.82</v>
      </c>
      <c r="DZ469" s="35">
        <v>44151</v>
      </c>
      <c r="EA469" s="26">
        <v>16.8</v>
      </c>
      <c r="EB469" s="26">
        <v>16.7</v>
      </c>
      <c r="EC469" s="26">
        <v>16.75</v>
      </c>
    </row>
    <row r="470" spans="120:133">
      <c r="DP470" s="35">
        <v>44152</v>
      </c>
      <c r="DQ470" s="26">
        <v>3.05</v>
      </c>
      <c r="DR470" s="26">
        <v>2.85</v>
      </c>
      <c r="DS470" s="26">
        <v>2.914</v>
      </c>
      <c r="DU470" s="35">
        <v>44152</v>
      </c>
      <c r="DV470" s="26">
        <v>6.05</v>
      </c>
      <c r="DW470" s="26">
        <v>5.8</v>
      </c>
      <c r="DX470" s="26">
        <v>5.82</v>
      </c>
      <c r="DZ470" s="35">
        <v>44152</v>
      </c>
      <c r="EA470" s="26">
        <v>16.8</v>
      </c>
      <c r="EB470" s="26">
        <v>16.7</v>
      </c>
      <c r="EC470" s="26">
        <v>16.75</v>
      </c>
    </row>
    <row r="471" spans="120:133">
      <c r="DP471" s="35">
        <v>44153</v>
      </c>
      <c r="DQ471" s="26">
        <v>3</v>
      </c>
      <c r="DR471" s="26">
        <v>2.85</v>
      </c>
      <c r="DS471" s="26">
        <v>2.911</v>
      </c>
      <c r="DU471" s="35">
        <v>44153</v>
      </c>
      <c r="DV471" s="26">
        <v>6.05</v>
      </c>
      <c r="DW471" s="26">
        <v>5.8</v>
      </c>
      <c r="DX471" s="26">
        <v>5.82</v>
      </c>
      <c r="DZ471" s="35">
        <v>44153</v>
      </c>
      <c r="EA471" s="26">
        <v>16.8</v>
      </c>
      <c r="EB471" s="26">
        <v>16.7</v>
      </c>
      <c r="EC471" s="26">
        <v>16.75</v>
      </c>
    </row>
    <row r="472" spans="120:133">
      <c r="DP472" s="35">
        <v>44154</v>
      </c>
      <c r="DQ472" s="26">
        <v>3</v>
      </c>
      <c r="DR472" s="26">
        <v>2.85</v>
      </c>
      <c r="DS472" s="26">
        <v>2.91</v>
      </c>
      <c r="DU472" s="35">
        <v>44154</v>
      </c>
      <c r="DV472" s="26">
        <v>6.05</v>
      </c>
      <c r="DW472" s="26">
        <v>5.8</v>
      </c>
      <c r="DX472" s="26">
        <v>5.814</v>
      </c>
      <c r="DZ472" s="35">
        <v>44154</v>
      </c>
      <c r="EA472" s="26">
        <v>16.8</v>
      </c>
      <c r="EB472" s="26">
        <v>16.7</v>
      </c>
      <c r="EC472" s="26">
        <v>16.75</v>
      </c>
    </row>
    <row r="473" spans="120:133">
      <c r="DP473" s="35">
        <v>44155</v>
      </c>
      <c r="DQ473" s="26">
        <v>3</v>
      </c>
      <c r="DR473" s="26">
        <v>2.85</v>
      </c>
      <c r="DS473" s="26">
        <v>2.907</v>
      </c>
      <c r="DU473" s="35">
        <v>44155</v>
      </c>
      <c r="DV473" s="26">
        <v>6.05</v>
      </c>
      <c r="DW473" s="26">
        <v>5.8</v>
      </c>
      <c r="DX473" s="26">
        <v>5.814</v>
      </c>
      <c r="DZ473" s="35">
        <v>44155</v>
      </c>
      <c r="EA473" s="26">
        <v>16.8</v>
      </c>
      <c r="EB473" s="26">
        <v>16.7</v>
      </c>
      <c r="EC473" s="26">
        <v>16.75</v>
      </c>
    </row>
    <row r="474" spans="120:133">
      <c r="DP474" s="35">
        <v>44158</v>
      </c>
      <c r="DQ474" s="26">
        <v>3</v>
      </c>
      <c r="DR474" s="26">
        <v>2.85</v>
      </c>
      <c r="DS474" s="26">
        <v>2.893</v>
      </c>
      <c r="DU474" s="35">
        <v>44158</v>
      </c>
      <c r="DV474" s="26">
        <v>6.05</v>
      </c>
      <c r="DW474" s="26">
        <v>5.8</v>
      </c>
      <c r="DX474" s="26">
        <v>5.813</v>
      </c>
      <c r="DZ474" s="35">
        <v>44158</v>
      </c>
      <c r="EA474" s="26">
        <v>16.8</v>
      </c>
      <c r="EB474" s="26">
        <v>16.7</v>
      </c>
      <c r="EC474" s="26">
        <v>16.75</v>
      </c>
    </row>
    <row r="475" spans="120:133">
      <c r="DP475" s="35">
        <v>44159</v>
      </c>
      <c r="DQ475" s="26">
        <v>3</v>
      </c>
      <c r="DR475" s="26">
        <v>2.85</v>
      </c>
      <c r="DS475" s="26">
        <v>2.887</v>
      </c>
      <c r="DU475" s="35">
        <v>44159</v>
      </c>
      <c r="DV475" s="26">
        <v>6.05</v>
      </c>
      <c r="DW475" s="26">
        <v>5.8</v>
      </c>
      <c r="DX475" s="26">
        <v>5.813</v>
      </c>
      <c r="DZ475" s="35">
        <v>44159</v>
      </c>
      <c r="EA475" s="26">
        <v>16.8</v>
      </c>
      <c r="EB475" s="26">
        <v>16.7</v>
      </c>
      <c r="EC475" s="26">
        <v>16.75</v>
      </c>
    </row>
    <row r="476" spans="120:133">
      <c r="DP476" s="35">
        <v>44160</v>
      </c>
      <c r="DQ476" s="26">
        <v>3</v>
      </c>
      <c r="DR476" s="26">
        <v>2.85</v>
      </c>
      <c r="DS476" s="26">
        <v>2.883</v>
      </c>
      <c r="DU476" s="35">
        <v>44160</v>
      </c>
      <c r="DV476" s="26">
        <v>6.05</v>
      </c>
      <c r="DW476" s="26">
        <v>5.8</v>
      </c>
      <c r="DX476" s="26">
        <v>5.813</v>
      </c>
      <c r="DZ476" s="35">
        <v>44160</v>
      </c>
      <c r="EA476" s="26">
        <v>16.8</v>
      </c>
      <c r="EB476" s="26">
        <v>16.7</v>
      </c>
      <c r="EC476" s="26">
        <v>16.75</v>
      </c>
    </row>
    <row r="477" spans="120:133">
      <c r="DP477" s="35">
        <v>44161</v>
      </c>
      <c r="DQ477" s="26">
        <v>3</v>
      </c>
      <c r="DR477" s="26">
        <v>2.85</v>
      </c>
      <c r="DS477" s="26">
        <v>2.883</v>
      </c>
      <c r="DU477" s="35">
        <v>44161</v>
      </c>
      <c r="DV477" s="26">
        <v>6.05</v>
      </c>
      <c r="DW477" s="26">
        <v>5.8</v>
      </c>
      <c r="DX477" s="26">
        <v>5.813</v>
      </c>
      <c r="DZ477" s="35">
        <v>44161</v>
      </c>
      <c r="EA477" s="26">
        <v>16.8</v>
      </c>
      <c r="EB477" s="26">
        <v>16.7</v>
      </c>
      <c r="EC477" s="26">
        <v>16.75</v>
      </c>
    </row>
    <row r="478" spans="120:133">
      <c r="DP478" s="35">
        <v>44162</v>
      </c>
      <c r="DQ478" s="26">
        <v>3</v>
      </c>
      <c r="DR478" s="26">
        <v>2.85</v>
      </c>
      <c r="DS478" s="26">
        <v>2.876</v>
      </c>
      <c r="DU478" s="35">
        <v>44162</v>
      </c>
      <c r="DV478" s="26">
        <v>6.05</v>
      </c>
      <c r="DW478" s="26">
        <v>5.8</v>
      </c>
      <c r="DX478" s="26">
        <v>5.813</v>
      </c>
      <c r="DZ478" s="35">
        <v>44162</v>
      </c>
      <c r="EA478" s="26">
        <v>16.8</v>
      </c>
      <c r="EB478" s="26">
        <v>16.7</v>
      </c>
      <c r="EC478" s="26">
        <v>16.75</v>
      </c>
    </row>
    <row r="479" spans="120:133">
      <c r="DP479" s="35">
        <v>44165</v>
      </c>
      <c r="DQ479" s="26">
        <v>3</v>
      </c>
      <c r="DR479" s="26">
        <v>2.85</v>
      </c>
      <c r="DS479" s="26">
        <v>2.883</v>
      </c>
      <c r="DU479" s="35">
        <v>44165</v>
      </c>
      <c r="DV479" s="26">
        <v>6.05</v>
      </c>
      <c r="DW479" s="26">
        <v>5.8</v>
      </c>
      <c r="DX479" s="26">
        <v>5.82</v>
      </c>
      <c r="DZ479" s="35">
        <v>44165</v>
      </c>
      <c r="EA479" s="26">
        <v>16.8</v>
      </c>
      <c r="EB479" s="26">
        <v>16.7</v>
      </c>
      <c r="EC479" s="26">
        <v>16.75</v>
      </c>
    </row>
    <row r="480" spans="120:133">
      <c r="DP480" s="35">
        <v>44166</v>
      </c>
      <c r="DQ480" s="26">
        <v>3</v>
      </c>
      <c r="DR480" s="26">
        <v>2.85</v>
      </c>
      <c r="DS480" s="26">
        <v>2.89</v>
      </c>
      <c r="DU480" s="35">
        <v>44166</v>
      </c>
      <c r="DV480" s="26">
        <v>6.05</v>
      </c>
      <c r="DW480" s="26">
        <v>5.8</v>
      </c>
      <c r="DX480" s="26">
        <v>5.82</v>
      </c>
      <c r="DZ480" s="35">
        <v>44166</v>
      </c>
      <c r="EA480" s="26">
        <v>16.8</v>
      </c>
      <c r="EB480" s="26">
        <v>16.7</v>
      </c>
      <c r="EC480" s="26">
        <v>16.75</v>
      </c>
    </row>
    <row r="481" spans="120:133">
      <c r="DP481" s="35">
        <v>44167</v>
      </c>
      <c r="DQ481" s="26">
        <v>3</v>
      </c>
      <c r="DR481" s="26">
        <v>2.8</v>
      </c>
      <c r="DS481" s="26">
        <v>2.869</v>
      </c>
      <c r="DU481" s="35">
        <v>44167</v>
      </c>
      <c r="DV481" s="26">
        <v>6.05</v>
      </c>
      <c r="DW481" s="26">
        <v>5.8</v>
      </c>
      <c r="DX481" s="26">
        <v>5.82</v>
      </c>
      <c r="DZ481" s="35">
        <v>44167</v>
      </c>
      <c r="EA481" s="26">
        <v>16.8</v>
      </c>
      <c r="EB481" s="26">
        <v>16.7</v>
      </c>
      <c r="EC481" s="26">
        <v>16.75</v>
      </c>
    </row>
    <row r="482" spans="120:133">
      <c r="DP482" s="35">
        <v>44168</v>
      </c>
      <c r="DQ482" s="26">
        <v>3</v>
      </c>
      <c r="DR482" s="26">
        <v>2.8</v>
      </c>
      <c r="DS482" s="26">
        <v>2.866</v>
      </c>
      <c r="DU482" s="35">
        <v>44168</v>
      </c>
      <c r="DV482" s="26">
        <v>6.05</v>
      </c>
      <c r="DW482" s="26">
        <v>5.8</v>
      </c>
      <c r="DX482" s="26">
        <v>5.82</v>
      </c>
      <c r="DZ482" s="35">
        <v>44168</v>
      </c>
      <c r="EA482" s="26">
        <v>16.8</v>
      </c>
      <c r="EB482" s="26">
        <v>16.7</v>
      </c>
      <c r="EC482" s="26">
        <v>16.75</v>
      </c>
    </row>
    <row r="483" spans="120:133">
      <c r="DP483" s="35">
        <v>44169</v>
      </c>
      <c r="DQ483" s="26">
        <v>3</v>
      </c>
      <c r="DR483" s="26">
        <v>2.8</v>
      </c>
      <c r="DS483" s="26">
        <v>2.859</v>
      </c>
      <c r="DU483" s="35">
        <v>44169</v>
      </c>
      <c r="DV483" s="26">
        <v>6.05</v>
      </c>
      <c r="DW483" s="26">
        <v>5.8</v>
      </c>
      <c r="DX483" s="26">
        <v>5.82</v>
      </c>
      <c r="DZ483" s="35">
        <v>44169</v>
      </c>
      <c r="EA483" s="26">
        <v>16.8</v>
      </c>
      <c r="EB483" s="26">
        <v>16.7</v>
      </c>
      <c r="EC483" s="26">
        <v>16.75</v>
      </c>
    </row>
    <row r="484" spans="120:133">
      <c r="DP484" s="35">
        <v>44172</v>
      </c>
      <c r="DQ484" s="26">
        <v>3</v>
      </c>
      <c r="DR484" s="26">
        <v>2.8</v>
      </c>
      <c r="DS484" s="26">
        <v>2.853</v>
      </c>
      <c r="DU484" s="35">
        <v>44172</v>
      </c>
      <c r="DV484" s="26">
        <v>6.05</v>
      </c>
      <c r="DW484" s="26">
        <v>5.8</v>
      </c>
      <c r="DX484" s="26">
        <v>5.82</v>
      </c>
      <c r="DZ484" s="35">
        <v>44172</v>
      </c>
      <c r="EA484" s="26">
        <v>16.8</v>
      </c>
      <c r="EB484" s="26">
        <v>16.7</v>
      </c>
      <c r="EC484" s="26">
        <v>16.75</v>
      </c>
    </row>
    <row r="485" spans="120:133">
      <c r="DP485" s="35">
        <v>44173</v>
      </c>
      <c r="DQ485" s="26">
        <v>3</v>
      </c>
      <c r="DR485" s="26">
        <v>2.8</v>
      </c>
      <c r="DS485" s="26">
        <v>2.853</v>
      </c>
      <c r="DU485" s="35">
        <v>44173</v>
      </c>
      <c r="DV485" s="26">
        <v>6.05</v>
      </c>
      <c r="DW485" s="26">
        <v>5.8</v>
      </c>
      <c r="DX485" s="26">
        <v>5.82</v>
      </c>
      <c r="DZ485" s="35">
        <v>44173</v>
      </c>
      <c r="EA485" s="26">
        <v>16.8</v>
      </c>
      <c r="EB485" s="26">
        <v>16.7</v>
      </c>
      <c r="EC485" s="26">
        <v>16.75</v>
      </c>
    </row>
    <row r="486" spans="120:133">
      <c r="DP486" s="35">
        <v>44174</v>
      </c>
      <c r="DQ486" s="26">
        <v>3</v>
      </c>
      <c r="DR486" s="26">
        <v>2.8</v>
      </c>
      <c r="DS486" s="26">
        <v>2.846</v>
      </c>
      <c r="DU486" s="35">
        <v>44174</v>
      </c>
      <c r="DV486" s="26">
        <v>6.05</v>
      </c>
      <c r="DW486" s="26">
        <v>5.8</v>
      </c>
      <c r="DX486" s="26">
        <v>5.82</v>
      </c>
      <c r="DZ486" s="35">
        <v>44174</v>
      </c>
      <c r="EA486" s="26">
        <v>16.8</v>
      </c>
      <c r="EB486" s="26">
        <v>16.7</v>
      </c>
      <c r="EC486" s="26">
        <v>16.75</v>
      </c>
    </row>
    <row r="487" spans="120:133">
      <c r="DP487" s="35">
        <v>44175</v>
      </c>
      <c r="DQ487" s="26">
        <v>3</v>
      </c>
      <c r="DR487" s="26">
        <v>2.8</v>
      </c>
      <c r="DS487" s="26">
        <v>2.839</v>
      </c>
      <c r="DU487" s="35">
        <v>44175</v>
      </c>
      <c r="DV487" s="26">
        <v>6.05</v>
      </c>
      <c r="DW487" s="26">
        <v>5.78</v>
      </c>
      <c r="DX487" s="26">
        <v>5.807</v>
      </c>
      <c r="DZ487" s="35">
        <v>44175</v>
      </c>
      <c r="EA487" s="26">
        <v>16.8</v>
      </c>
      <c r="EB487" s="26">
        <v>16.7</v>
      </c>
      <c r="EC487" s="26">
        <v>16.75</v>
      </c>
    </row>
    <row r="488" spans="120:133">
      <c r="DP488" s="35">
        <v>44176</v>
      </c>
      <c r="DQ488" s="26">
        <v>3</v>
      </c>
      <c r="DR488" s="26">
        <v>2.8</v>
      </c>
      <c r="DS488" s="26">
        <v>2.843</v>
      </c>
      <c r="DU488" s="35">
        <v>44176</v>
      </c>
      <c r="DV488" s="26">
        <v>6.05</v>
      </c>
      <c r="DW488" s="26">
        <v>5.78</v>
      </c>
      <c r="DX488" s="26">
        <v>5.807</v>
      </c>
      <c r="DZ488" s="35">
        <v>44176</v>
      </c>
      <c r="EA488" s="26">
        <v>16.8</v>
      </c>
      <c r="EB488" s="26">
        <v>16.7</v>
      </c>
      <c r="EC488" s="26">
        <v>16.75</v>
      </c>
    </row>
    <row r="489" spans="120:133">
      <c r="DP489" s="35">
        <v>44179</v>
      </c>
      <c r="DQ489" s="26">
        <v>3</v>
      </c>
      <c r="DR489" s="26">
        <v>2.8</v>
      </c>
      <c r="DS489" s="26">
        <v>2.839</v>
      </c>
      <c r="DU489" s="35">
        <v>44179</v>
      </c>
      <c r="DV489" s="26">
        <v>6.05</v>
      </c>
      <c r="DW489" s="26">
        <v>5.78</v>
      </c>
      <c r="DX489" s="26">
        <v>5.807</v>
      </c>
      <c r="DZ489" s="35">
        <v>44179</v>
      </c>
      <c r="EA489" s="26">
        <v>16.8</v>
      </c>
      <c r="EB489" s="26">
        <v>16.7</v>
      </c>
      <c r="EC489" s="26">
        <v>16.75</v>
      </c>
    </row>
    <row r="490" spans="120:133">
      <c r="DP490" s="35">
        <v>44180</v>
      </c>
      <c r="DQ490" s="26">
        <v>3</v>
      </c>
      <c r="DR490" s="26">
        <v>2.8</v>
      </c>
      <c r="DS490" s="26">
        <v>2.836</v>
      </c>
      <c r="DU490" s="35">
        <v>44180</v>
      </c>
      <c r="DV490" s="26">
        <v>6.05</v>
      </c>
      <c r="DW490" s="26">
        <v>5.78</v>
      </c>
      <c r="DX490" s="26">
        <v>5.807</v>
      </c>
      <c r="DZ490" s="35">
        <v>44180</v>
      </c>
      <c r="EA490" s="26">
        <v>16.8</v>
      </c>
      <c r="EB490" s="26">
        <v>16.7</v>
      </c>
      <c r="EC490" s="26">
        <v>16.75</v>
      </c>
    </row>
    <row r="491" spans="120:133">
      <c r="DP491" s="35">
        <v>44181</v>
      </c>
      <c r="DQ491" s="26">
        <v>3</v>
      </c>
      <c r="DR491" s="26">
        <v>2.8</v>
      </c>
      <c r="DS491" s="26">
        <v>2.836</v>
      </c>
      <c r="DU491" s="35">
        <v>44181</v>
      </c>
      <c r="DV491" s="26">
        <v>6.05</v>
      </c>
      <c r="DW491" s="26">
        <v>5.78</v>
      </c>
      <c r="DX491" s="26">
        <v>5.807</v>
      </c>
      <c r="DZ491" s="35">
        <v>44181</v>
      </c>
      <c r="EA491" s="26">
        <v>16.8</v>
      </c>
      <c r="EB491" s="26">
        <v>16.7</v>
      </c>
      <c r="EC491" s="26">
        <v>16.75</v>
      </c>
    </row>
    <row r="492" spans="120:133">
      <c r="DP492" s="35">
        <v>44182</v>
      </c>
      <c r="DQ492" s="26">
        <v>3</v>
      </c>
      <c r="DR492" s="26">
        <v>2.8</v>
      </c>
      <c r="DS492" s="26">
        <v>2.839</v>
      </c>
      <c r="DU492" s="35">
        <v>44182</v>
      </c>
      <c r="DV492" s="26">
        <v>6.05</v>
      </c>
      <c r="DW492" s="26">
        <v>5.78</v>
      </c>
      <c r="DX492" s="26">
        <v>5.807</v>
      </c>
      <c r="DZ492" s="35">
        <v>44182</v>
      </c>
      <c r="EA492" s="26">
        <v>16.8</v>
      </c>
      <c r="EB492" s="26">
        <v>16.7</v>
      </c>
      <c r="EC492" s="26">
        <v>16.75</v>
      </c>
    </row>
    <row r="493" spans="120:133">
      <c r="DP493" s="35">
        <v>44183</v>
      </c>
      <c r="DQ493" s="26">
        <v>3</v>
      </c>
      <c r="DR493" s="26">
        <v>2.8</v>
      </c>
      <c r="DS493" s="26">
        <v>2.846</v>
      </c>
      <c r="DU493" s="35">
        <v>44183</v>
      </c>
      <c r="DV493" s="26">
        <v>6.05</v>
      </c>
      <c r="DW493" s="26">
        <v>5.78</v>
      </c>
      <c r="DX493" s="26">
        <v>5.807</v>
      </c>
      <c r="DZ493" s="35">
        <v>44183</v>
      </c>
      <c r="EA493" s="26">
        <v>16.8</v>
      </c>
      <c r="EB493" s="26">
        <v>16.7</v>
      </c>
      <c r="EC493" s="26">
        <v>16.75</v>
      </c>
    </row>
    <row r="494" spans="120:133">
      <c r="DP494" s="35">
        <v>44186</v>
      </c>
      <c r="DQ494" s="26">
        <v>3</v>
      </c>
      <c r="DR494" s="26">
        <v>2.8</v>
      </c>
      <c r="DS494" s="26">
        <v>2.843</v>
      </c>
      <c r="DU494" s="35">
        <v>44186</v>
      </c>
      <c r="DV494" s="26">
        <v>6.05</v>
      </c>
      <c r="DW494" s="26">
        <v>5.78</v>
      </c>
      <c r="DX494" s="26">
        <v>5.807</v>
      </c>
      <c r="DZ494" s="35">
        <v>44186</v>
      </c>
      <c r="EA494" s="26">
        <v>16.8</v>
      </c>
      <c r="EB494" s="26">
        <v>16.7</v>
      </c>
      <c r="EC494" s="26">
        <v>16.75</v>
      </c>
    </row>
    <row r="495" spans="120:133">
      <c r="DP495" s="35">
        <v>44187</v>
      </c>
      <c r="DQ495" s="26">
        <v>3</v>
      </c>
      <c r="DR495" s="26">
        <v>2.8</v>
      </c>
      <c r="DS495" s="26">
        <v>2.836</v>
      </c>
      <c r="DU495" s="35">
        <v>44187</v>
      </c>
      <c r="DV495" s="26">
        <v>6.05</v>
      </c>
      <c r="DW495" s="26">
        <v>5.78</v>
      </c>
      <c r="DX495" s="26">
        <v>5.807</v>
      </c>
      <c r="DZ495" s="35">
        <v>44187</v>
      </c>
      <c r="EA495" s="26">
        <v>16.8</v>
      </c>
      <c r="EB495" s="26">
        <v>16.7</v>
      </c>
      <c r="EC495" s="26">
        <v>16.75</v>
      </c>
    </row>
    <row r="496" spans="120:133">
      <c r="DP496" s="35">
        <v>44188</v>
      </c>
      <c r="DQ496" s="26">
        <v>3</v>
      </c>
      <c r="DR496" s="26">
        <v>2.8</v>
      </c>
      <c r="DS496" s="26">
        <v>2.829</v>
      </c>
      <c r="DU496" s="35">
        <v>44188</v>
      </c>
      <c r="DV496" s="26">
        <v>6.05</v>
      </c>
      <c r="DW496" s="26">
        <v>5.78</v>
      </c>
      <c r="DX496" s="26">
        <v>5.807</v>
      </c>
      <c r="DZ496" s="35">
        <v>44188</v>
      </c>
      <c r="EA496" s="26">
        <v>16.8</v>
      </c>
      <c r="EB496" s="26">
        <v>16.7</v>
      </c>
      <c r="EC496" s="26">
        <v>16.75</v>
      </c>
    </row>
    <row r="497" spans="120:133">
      <c r="DP497" s="35">
        <v>44189</v>
      </c>
      <c r="DQ497" s="26">
        <v>3</v>
      </c>
      <c r="DR497" s="26">
        <v>2.78</v>
      </c>
      <c r="DS497" s="26">
        <v>2.823</v>
      </c>
      <c r="DU497" s="35">
        <v>44189</v>
      </c>
      <c r="DV497" s="26">
        <v>6.05</v>
      </c>
      <c r="DW497" s="26">
        <v>5.78</v>
      </c>
      <c r="DX497" s="26">
        <v>5.807</v>
      </c>
      <c r="DZ497" s="35">
        <v>44189</v>
      </c>
      <c r="EA497" s="26">
        <v>16.8</v>
      </c>
      <c r="EB497" s="26">
        <v>16.7</v>
      </c>
      <c r="EC497" s="26">
        <v>16.75</v>
      </c>
    </row>
    <row r="498" spans="120:133">
      <c r="DP498" s="35">
        <v>44190</v>
      </c>
      <c r="DQ498" s="26">
        <v>3</v>
      </c>
      <c r="DR498" s="26">
        <v>2.78</v>
      </c>
      <c r="DS498" s="26">
        <v>2.823</v>
      </c>
      <c r="DU498" s="35">
        <v>44190</v>
      </c>
      <c r="DV498" s="26">
        <v>6</v>
      </c>
      <c r="DW498" s="26">
        <v>5.78</v>
      </c>
      <c r="DX498" s="26">
        <v>5.803</v>
      </c>
      <c r="DZ498" s="35">
        <v>44190</v>
      </c>
      <c r="EA498" s="26">
        <v>16.8</v>
      </c>
      <c r="EB498" s="26">
        <v>16.7</v>
      </c>
      <c r="EC498" s="26">
        <v>16.75</v>
      </c>
    </row>
    <row r="499" spans="120:133">
      <c r="DP499" s="35">
        <v>44193</v>
      </c>
      <c r="DQ499" s="26">
        <v>3</v>
      </c>
      <c r="DR499" s="26">
        <v>2.78</v>
      </c>
      <c r="DS499" s="26">
        <v>2.823</v>
      </c>
      <c r="DU499" s="35">
        <v>44193</v>
      </c>
      <c r="DV499" s="26">
        <v>6</v>
      </c>
      <c r="DW499" s="26">
        <v>5.78</v>
      </c>
      <c r="DX499" s="26">
        <v>5.803</v>
      </c>
      <c r="DZ499" s="35">
        <v>44193</v>
      </c>
      <c r="EA499" s="26">
        <v>16.8</v>
      </c>
      <c r="EB499" s="26">
        <v>16.7</v>
      </c>
      <c r="EC499" s="26">
        <v>16.75</v>
      </c>
    </row>
    <row r="500" spans="120:133">
      <c r="DP500" s="35">
        <v>44194</v>
      </c>
      <c r="DQ500" s="26">
        <v>3</v>
      </c>
      <c r="DR500" s="26">
        <v>2.78</v>
      </c>
      <c r="DS500" s="26">
        <v>2.819</v>
      </c>
      <c r="DU500" s="35">
        <v>44194</v>
      </c>
      <c r="DV500" s="26">
        <v>6</v>
      </c>
      <c r="DW500" s="26">
        <v>5.78</v>
      </c>
      <c r="DX500" s="26">
        <v>5.807</v>
      </c>
      <c r="DZ500" s="35">
        <v>44194</v>
      </c>
      <c r="EA500" s="26">
        <v>16.8</v>
      </c>
      <c r="EB500" s="26">
        <v>16.7</v>
      </c>
      <c r="EC500" s="26">
        <v>16.75</v>
      </c>
    </row>
    <row r="501" spans="120:133">
      <c r="DP501" s="35">
        <v>44195</v>
      </c>
      <c r="DQ501" s="26">
        <v>3</v>
      </c>
      <c r="DR501" s="26">
        <v>2.78</v>
      </c>
      <c r="DS501" s="26">
        <v>2.818</v>
      </c>
      <c r="DU501" s="35">
        <v>44195</v>
      </c>
      <c r="DV501" s="26">
        <v>6</v>
      </c>
      <c r="DW501" s="26">
        <v>5.78</v>
      </c>
      <c r="DX501" s="26">
        <v>5.803</v>
      </c>
      <c r="DZ501" s="35">
        <v>44195</v>
      </c>
      <c r="EA501" s="26">
        <v>16.8</v>
      </c>
      <c r="EB501" s="26">
        <v>16.7</v>
      </c>
      <c r="EC501" s="26">
        <v>16.75</v>
      </c>
    </row>
    <row r="502" spans="120:133">
      <c r="DP502" s="35">
        <v>44196</v>
      </c>
      <c r="DQ502" s="26">
        <v>3</v>
      </c>
      <c r="DR502" s="26">
        <v>2.78</v>
      </c>
      <c r="DS502" s="26">
        <v>2.815</v>
      </c>
      <c r="DU502" s="35">
        <v>44196</v>
      </c>
      <c r="DV502" s="26">
        <v>6</v>
      </c>
      <c r="DW502" s="26">
        <v>5.78</v>
      </c>
      <c r="DX502" s="26">
        <v>5.803</v>
      </c>
      <c r="DZ502" s="35">
        <v>44196</v>
      </c>
      <c r="EA502" s="26">
        <v>16.8</v>
      </c>
      <c r="EB502" s="26">
        <v>16.7</v>
      </c>
      <c r="EC502" s="26">
        <v>16.75</v>
      </c>
    </row>
    <row r="503" spans="120:133">
      <c r="DP503" s="35">
        <v>44200</v>
      </c>
      <c r="DQ503" s="26">
        <v>3</v>
      </c>
      <c r="DR503" s="26">
        <v>2.78</v>
      </c>
      <c r="DS503" s="26">
        <v>2.821</v>
      </c>
      <c r="DU503" s="35">
        <v>44200</v>
      </c>
      <c r="DV503" s="26">
        <v>6</v>
      </c>
      <c r="DW503" s="26">
        <v>5.78</v>
      </c>
      <c r="DX503" s="26">
        <v>5.807</v>
      </c>
      <c r="DZ503" s="35">
        <v>44200</v>
      </c>
      <c r="EA503" s="26">
        <v>16.8</v>
      </c>
      <c r="EB503" s="26">
        <v>16.7</v>
      </c>
      <c r="EC503" s="26">
        <v>16.75</v>
      </c>
    </row>
    <row r="504" spans="120:133">
      <c r="DP504" s="35">
        <v>44201</v>
      </c>
      <c r="DQ504" s="26">
        <v>3</v>
      </c>
      <c r="DR504" s="26">
        <v>2.78</v>
      </c>
      <c r="DS504" s="26">
        <v>2.828</v>
      </c>
      <c r="DU504" s="35">
        <v>44201</v>
      </c>
      <c r="DV504" s="26">
        <v>6</v>
      </c>
      <c r="DW504" s="26">
        <v>5.78</v>
      </c>
      <c r="DX504" s="26">
        <v>5.807</v>
      </c>
      <c r="DZ504" s="35">
        <v>44201</v>
      </c>
      <c r="EA504" s="26">
        <v>16.8</v>
      </c>
      <c r="EB504" s="26">
        <v>16.7</v>
      </c>
      <c r="EC504" s="26">
        <v>16.75</v>
      </c>
    </row>
    <row r="505" spans="120:133">
      <c r="DP505" s="35">
        <v>44202</v>
      </c>
      <c r="DQ505" s="26">
        <v>3</v>
      </c>
      <c r="DR505" s="26">
        <v>2.78</v>
      </c>
      <c r="DS505" s="26">
        <v>2.834</v>
      </c>
      <c r="DU505" s="35">
        <v>44202</v>
      </c>
      <c r="DV505" s="26">
        <v>6</v>
      </c>
      <c r="DW505" s="26">
        <v>5.78</v>
      </c>
      <c r="DX505" s="26">
        <v>5.81</v>
      </c>
      <c r="DZ505" s="35">
        <v>44202</v>
      </c>
      <c r="EA505" s="26">
        <v>16.8</v>
      </c>
      <c r="EB505" s="26">
        <v>16.7</v>
      </c>
      <c r="EC505" s="26">
        <v>16.75</v>
      </c>
    </row>
    <row r="506" spans="120:133">
      <c r="DP506" s="35">
        <v>44203</v>
      </c>
      <c r="DQ506" s="26">
        <v>3</v>
      </c>
      <c r="DR506" s="26">
        <v>2.78</v>
      </c>
      <c r="DS506" s="26">
        <v>2.836</v>
      </c>
      <c r="DU506" s="35">
        <v>44203</v>
      </c>
      <c r="DV506" s="26">
        <v>6</v>
      </c>
      <c r="DW506" s="26">
        <v>5.78</v>
      </c>
      <c r="DX506" s="26">
        <v>5.81</v>
      </c>
      <c r="DZ506" s="35">
        <v>44203</v>
      </c>
      <c r="EA506" s="26">
        <v>16.8</v>
      </c>
      <c r="EB506" s="26">
        <v>16.7</v>
      </c>
      <c r="EC506" s="26">
        <v>16.75</v>
      </c>
    </row>
    <row r="507" spans="120:133">
      <c r="DP507" s="35">
        <v>44204</v>
      </c>
      <c r="DQ507" s="26">
        <v>3</v>
      </c>
      <c r="DR507" s="26">
        <v>2.78</v>
      </c>
      <c r="DS507" s="26">
        <v>2.842</v>
      </c>
      <c r="DU507" s="35">
        <v>44204</v>
      </c>
      <c r="DV507" s="26">
        <v>6</v>
      </c>
      <c r="DW507" s="26">
        <v>5.78</v>
      </c>
      <c r="DX507" s="26">
        <v>5.813</v>
      </c>
      <c r="DZ507" s="35">
        <v>44204</v>
      </c>
      <c r="EA507" s="26">
        <v>16.8</v>
      </c>
      <c r="EB507" s="26">
        <v>16.7</v>
      </c>
      <c r="EC507" s="26">
        <v>16.75</v>
      </c>
    </row>
    <row r="508" spans="120:133">
      <c r="DP508" s="35">
        <v>44207</v>
      </c>
      <c r="DQ508" s="26">
        <v>3</v>
      </c>
      <c r="DR508" s="26">
        <v>2.78</v>
      </c>
      <c r="DS508" s="26">
        <v>2.851</v>
      </c>
      <c r="DU508" s="35">
        <v>44207</v>
      </c>
      <c r="DV508" s="26">
        <v>6</v>
      </c>
      <c r="DW508" s="26">
        <v>5.78</v>
      </c>
      <c r="DX508" s="26">
        <v>5.833</v>
      </c>
      <c r="DZ508" s="35">
        <v>44207</v>
      </c>
      <c r="EA508" s="26">
        <v>17</v>
      </c>
      <c r="EB508" s="26">
        <v>16.8</v>
      </c>
      <c r="EC508" s="26">
        <v>16.9</v>
      </c>
    </row>
    <row r="509" spans="120:133">
      <c r="DP509" s="35">
        <v>44208</v>
      </c>
      <c r="DQ509" s="26">
        <v>3</v>
      </c>
      <c r="DR509" s="26">
        <v>2.78</v>
      </c>
      <c r="DS509" s="26">
        <v>2.851</v>
      </c>
      <c r="DU509" s="35">
        <v>44208</v>
      </c>
      <c r="DV509" s="26">
        <v>6</v>
      </c>
      <c r="DW509" s="26">
        <v>5.78</v>
      </c>
      <c r="DX509" s="26">
        <v>5.833</v>
      </c>
      <c r="DZ509" s="35">
        <v>44208</v>
      </c>
      <c r="EA509" s="26">
        <v>17</v>
      </c>
      <c r="EB509" s="26">
        <v>16.8</v>
      </c>
      <c r="EC509" s="26">
        <v>16.9</v>
      </c>
    </row>
    <row r="510" spans="120:133">
      <c r="DP510" s="35">
        <v>44209</v>
      </c>
      <c r="DQ510" s="26">
        <v>3</v>
      </c>
      <c r="DR510" s="26">
        <v>2.78</v>
      </c>
      <c r="DS510" s="26">
        <v>2.858</v>
      </c>
      <c r="DU510" s="35">
        <v>44209</v>
      </c>
      <c r="DV510" s="26">
        <v>6</v>
      </c>
      <c r="DW510" s="26">
        <v>5.78</v>
      </c>
      <c r="DX510" s="26">
        <v>5.833</v>
      </c>
      <c r="DZ510" s="35">
        <v>44209</v>
      </c>
      <c r="EA510" s="26">
        <v>17</v>
      </c>
      <c r="EB510" s="26">
        <v>16.8</v>
      </c>
      <c r="EC510" s="26">
        <v>16.9</v>
      </c>
    </row>
    <row r="511" spans="120:133">
      <c r="DP511" s="35">
        <v>44210</v>
      </c>
      <c r="DQ511" s="26">
        <v>3</v>
      </c>
      <c r="DR511" s="26">
        <v>2.78</v>
      </c>
      <c r="DS511" s="26">
        <v>2.858</v>
      </c>
      <c r="DU511" s="35">
        <v>44210</v>
      </c>
      <c r="DV511" s="26">
        <v>6</v>
      </c>
      <c r="DW511" s="26">
        <v>5.78</v>
      </c>
      <c r="DX511" s="26">
        <v>5.833</v>
      </c>
      <c r="DZ511" s="35">
        <v>44210</v>
      </c>
      <c r="EA511" s="26">
        <v>17</v>
      </c>
      <c r="EB511" s="26">
        <v>16.8</v>
      </c>
      <c r="EC511" s="26">
        <v>16.9</v>
      </c>
    </row>
    <row r="512" spans="120:133">
      <c r="DP512" s="35">
        <v>44211</v>
      </c>
      <c r="DQ512" s="26">
        <v>3</v>
      </c>
      <c r="DR512" s="26">
        <v>2.78</v>
      </c>
      <c r="DS512" s="26">
        <v>2.865</v>
      </c>
      <c r="DU512" s="35">
        <v>44211</v>
      </c>
      <c r="DV512" s="26">
        <v>6</v>
      </c>
      <c r="DW512" s="26">
        <v>5.78</v>
      </c>
      <c r="DX512" s="26">
        <v>5.84</v>
      </c>
      <c r="DZ512" s="35">
        <v>44211</v>
      </c>
      <c r="EA512" s="26">
        <v>17</v>
      </c>
      <c r="EB512" s="26">
        <v>16.8</v>
      </c>
      <c r="EC512" s="26">
        <v>16.9</v>
      </c>
    </row>
    <row r="513" spans="120:133">
      <c r="DP513" s="35">
        <v>44214</v>
      </c>
      <c r="DQ513" s="26">
        <v>3</v>
      </c>
      <c r="DR513" s="26">
        <v>2.8</v>
      </c>
      <c r="DS513" s="26">
        <v>2.882</v>
      </c>
      <c r="DU513" s="35">
        <v>44214</v>
      </c>
      <c r="DV513" s="26">
        <v>6</v>
      </c>
      <c r="DW513" s="26">
        <v>5.8</v>
      </c>
      <c r="DX513" s="26">
        <v>5.867</v>
      </c>
      <c r="DZ513" s="35">
        <v>44214</v>
      </c>
      <c r="EA513" s="26">
        <v>17</v>
      </c>
      <c r="EB513" s="26">
        <v>16.8</v>
      </c>
      <c r="EC513" s="26">
        <v>16.9</v>
      </c>
    </row>
    <row r="514" spans="120:133">
      <c r="DP514" s="35">
        <v>44215</v>
      </c>
      <c r="DQ514" s="26">
        <v>3</v>
      </c>
      <c r="DR514" s="26">
        <v>2.8</v>
      </c>
      <c r="DS514" s="26">
        <v>2.889</v>
      </c>
      <c r="DU514" s="35">
        <v>44215</v>
      </c>
      <c r="DV514" s="26">
        <v>6</v>
      </c>
      <c r="DW514" s="26">
        <v>5.8</v>
      </c>
      <c r="DX514" s="26">
        <v>5.873</v>
      </c>
      <c r="DZ514" s="35">
        <v>44215</v>
      </c>
      <c r="EA514" s="26">
        <v>17.2</v>
      </c>
      <c r="EB514" s="26">
        <v>16.8</v>
      </c>
      <c r="EC514" s="26">
        <v>17</v>
      </c>
    </row>
    <row r="515" spans="120:133">
      <c r="DP515" s="35">
        <v>44216</v>
      </c>
      <c r="DQ515" s="26">
        <v>3</v>
      </c>
      <c r="DR515" s="26">
        <v>2.8</v>
      </c>
      <c r="DS515" s="26">
        <v>2.889</v>
      </c>
      <c r="DU515" s="35">
        <v>44216</v>
      </c>
      <c r="DV515" s="26">
        <v>6</v>
      </c>
      <c r="DW515" s="26">
        <v>5.8</v>
      </c>
      <c r="DX515" s="26">
        <v>5.873</v>
      </c>
      <c r="DZ515" s="35">
        <v>44216</v>
      </c>
      <c r="EA515" s="26">
        <v>17.2</v>
      </c>
      <c r="EB515" s="26">
        <v>16.8</v>
      </c>
      <c r="EC515" s="26">
        <v>17</v>
      </c>
    </row>
    <row r="516" spans="120:133">
      <c r="DP516" s="35">
        <v>44217</v>
      </c>
      <c r="DQ516" s="26">
        <v>3</v>
      </c>
      <c r="DR516" s="26">
        <v>2.8</v>
      </c>
      <c r="DS516" s="26">
        <v>2.882</v>
      </c>
      <c r="DU516" s="35">
        <v>44217</v>
      </c>
      <c r="DV516" s="26">
        <v>6</v>
      </c>
      <c r="DW516" s="26">
        <v>5.8</v>
      </c>
      <c r="DX516" s="26">
        <v>5.87</v>
      </c>
      <c r="DZ516" s="35">
        <v>44217</v>
      </c>
      <c r="EA516" s="26">
        <v>17.2</v>
      </c>
      <c r="EB516" s="26">
        <v>16.8</v>
      </c>
      <c r="EC516" s="26">
        <v>17</v>
      </c>
    </row>
    <row r="517" spans="120:133">
      <c r="DP517" s="35">
        <v>44218</v>
      </c>
      <c r="DQ517" s="26">
        <v>3</v>
      </c>
      <c r="DR517" s="26">
        <v>2.8</v>
      </c>
      <c r="DS517" s="26">
        <v>2.879</v>
      </c>
      <c r="DU517" s="35">
        <v>44218</v>
      </c>
      <c r="DV517" s="26">
        <v>6</v>
      </c>
      <c r="DW517" s="26">
        <v>5.8</v>
      </c>
      <c r="DX517" s="26">
        <v>5.867</v>
      </c>
      <c r="DZ517" s="35">
        <v>44218</v>
      </c>
      <c r="EA517" s="26">
        <v>17.2</v>
      </c>
      <c r="EB517" s="26">
        <v>16.8</v>
      </c>
      <c r="EC517" s="26">
        <v>17.05</v>
      </c>
    </row>
    <row r="518" spans="120:133">
      <c r="DP518" s="35">
        <v>44221</v>
      </c>
      <c r="DQ518" s="26">
        <v>3</v>
      </c>
      <c r="DR518" s="26">
        <v>2.8</v>
      </c>
      <c r="DS518" s="26">
        <v>2.879</v>
      </c>
      <c r="DU518" s="35">
        <v>44221</v>
      </c>
      <c r="DV518" s="26">
        <v>6</v>
      </c>
      <c r="DW518" s="26">
        <v>5.8</v>
      </c>
      <c r="DX518" s="26">
        <v>5.867</v>
      </c>
      <c r="DZ518" s="35">
        <v>44221</v>
      </c>
      <c r="EA518" s="26">
        <v>17.2</v>
      </c>
      <c r="EB518" s="26">
        <v>16.8</v>
      </c>
      <c r="EC518" s="26">
        <v>17.05</v>
      </c>
    </row>
    <row r="519" spans="120:133">
      <c r="DP519" s="35">
        <v>44222</v>
      </c>
      <c r="DQ519" s="26">
        <v>3</v>
      </c>
      <c r="DR519" s="26">
        <v>2.8</v>
      </c>
      <c r="DS519" s="26">
        <v>2.872</v>
      </c>
      <c r="DU519" s="35">
        <v>44222</v>
      </c>
      <c r="DV519" s="26">
        <v>6</v>
      </c>
      <c r="DW519" s="26">
        <v>5.8</v>
      </c>
      <c r="DX519" s="26">
        <v>5.867</v>
      </c>
      <c r="DZ519" s="35">
        <v>44222</v>
      </c>
      <c r="EA519" s="26">
        <v>17.2</v>
      </c>
      <c r="EB519" s="26">
        <v>16.8</v>
      </c>
      <c r="EC519" s="26">
        <v>17.05</v>
      </c>
    </row>
    <row r="520" spans="120:133">
      <c r="DP520" s="35">
        <v>44223</v>
      </c>
      <c r="DQ520" s="26">
        <v>3</v>
      </c>
      <c r="DR520" s="26">
        <v>2.8</v>
      </c>
      <c r="DS520" s="26">
        <v>2.872</v>
      </c>
      <c r="DU520" s="35">
        <v>44223</v>
      </c>
      <c r="DV520" s="26">
        <v>6</v>
      </c>
      <c r="DW520" s="26">
        <v>5.8</v>
      </c>
      <c r="DX520" s="26">
        <v>5.867</v>
      </c>
      <c r="DZ520" s="35">
        <v>44223</v>
      </c>
      <c r="EA520" s="26">
        <v>17.2</v>
      </c>
      <c r="EB520" s="26">
        <v>16.8</v>
      </c>
      <c r="EC520" s="26">
        <v>17.05</v>
      </c>
    </row>
    <row r="521" spans="120:133">
      <c r="DP521" s="35">
        <v>44224</v>
      </c>
      <c r="DQ521" s="26">
        <v>3</v>
      </c>
      <c r="DR521" s="26">
        <v>2.8</v>
      </c>
      <c r="DS521" s="26">
        <v>2.872</v>
      </c>
      <c r="DU521" s="35">
        <v>44224</v>
      </c>
      <c r="DV521" s="26">
        <v>6</v>
      </c>
      <c r="DW521" s="26">
        <v>5.8</v>
      </c>
      <c r="DX521" s="26">
        <v>5.867</v>
      </c>
      <c r="DZ521" s="35">
        <v>44224</v>
      </c>
      <c r="EA521" s="26">
        <v>17.2</v>
      </c>
      <c r="EB521" s="26">
        <v>16.8</v>
      </c>
      <c r="EC521" s="26">
        <v>17.05</v>
      </c>
    </row>
    <row r="522" spans="120:133">
      <c r="DP522" s="35">
        <v>44225</v>
      </c>
      <c r="DQ522" s="26">
        <v>3</v>
      </c>
      <c r="DR522" s="26">
        <v>2.8</v>
      </c>
      <c r="DS522" s="26">
        <v>2.872</v>
      </c>
      <c r="DU522" s="35">
        <v>44225</v>
      </c>
      <c r="DV522" s="26">
        <v>6</v>
      </c>
      <c r="DW522" s="26">
        <v>5.8</v>
      </c>
      <c r="DX522" s="26">
        <v>5.867</v>
      </c>
      <c r="DZ522" s="35">
        <v>44225</v>
      </c>
      <c r="EA522" s="26">
        <v>17.2</v>
      </c>
      <c r="EB522" s="26">
        <v>16.8</v>
      </c>
      <c r="EC522" s="26">
        <v>17.05</v>
      </c>
    </row>
    <row r="523" spans="120:133">
      <c r="DP523" s="35">
        <v>44228</v>
      </c>
      <c r="DQ523" s="26">
        <v>3</v>
      </c>
      <c r="DR523" s="26">
        <v>2.8</v>
      </c>
      <c r="DS523" s="26">
        <v>2.872</v>
      </c>
      <c r="DU523" s="35">
        <v>44228</v>
      </c>
      <c r="DV523" s="26">
        <v>6</v>
      </c>
      <c r="DW523" s="26">
        <v>5.8</v>
      </c>
      <c r="DX523" s="26">
        <v>5.867</v>
      </c>
      <c r="DZ523" s="35">
        <v>44228</v>
      </c>
      <c r="EA523" s="26">
        <v>17.2</v>
      </c>
      <c r="EB523" s="26">
        <v>16.8</v>
      </c>
      <c r="EC523" s="26">
        <v>17.05</v>
      </c>
    </row>
    <row r="524" spans="120:133">
      <c r="DP524" s="35">
        <v>44229</v>
      </c>
      <c r="DQ524" s="26">
        <v>3</v>
      </c>
      <c r="DR524" s="26">
        <v>2.8</v>
      </c>
      <c r="DS524" s="26">
        <v>2.879</v>
      </c>
      <c r="DU524" s="35">
        <v>44229</v>
      </c>
      <c r="DV524" s="26">
        <v>6</v>
      </c>
      <c r="DW524" s="26">
        <v>5.8</v>
      </c>
      <c r="DX524" s="26">
        <v>5.867</v>
      </c>
      <c r="DZ524" s="35">
        <v>44229</v>
      </c>
      <c r="EA524" s="26">
        <v>17.2</v>
      </c>
      <c r="EB524" s="26">
        <v>16.8</v>
      </c>
      <c r="EC524" s="26">
        <v>17.05</v>
      </c>
    </row>
    <row r="525" spans="120:133">
      <c r="DP525" s="35">
        <v>44230</v>
      </c>
      <c r="DQ525" s="26">
        <v>3</v>
      </c>
      <c r="DR525" s="26">
        <v>2.8</v>
      </c>
      <c r="DS525" s="26">
        <v>2.879</v>
      </c>
      <c r="DU525" s="35">
        <v>44230</v>
      </c>
      <c r="DV525" s="26">
        <v>6</v>
      </c>
      <c r="DW525" s="26">
        <v>5.8</v>
      </c>
      <c r="DX525" s="26">
        <v>5.867</v>
      </c>
      <c r="DZ525" s="35">
        <v>44230</v>
      </c>
      <c r="EA525" s="26">
        <v>17.2</v>
      </c>
      <c r="EB525" s="26">
        <v>16.8</v>
      </c>
      <c r="EC525" s="26">
        <v>17.05</v>
      </c>
    </row>
    <row r="526" spans="120:133">
      <c r="DP526" s="35">
        <v>44231</v>
      </c>
      <c r="DQ526" s="26">
        <v>3</v>
      </c>
      <c r="DR526" s="26">
        <v>2.8</v>
      </c>
      <c r="DS526" s="26">
        <v>2.879</v>
      </c>
      <c r="DU526" s="35">
        <v>44231</v>
      </c>
      <c r="DV526" s="26">
        <v>6</v>
      </c>
      <c r="DW526" s="26">
        <v>5.8</v>
      </c>
      <c r="DX526" s="26">
        <v>5.867</v>
      </c>
      <c r="DZ526" s="35">
        <v>44231</v>
      </c>
      <c r="EA526" s="26">
        <v>17.2</v>
      </c>
      <c r="EB526" s="26">
        <v>16.8</v>
      </c>
      <c r="EC526" s="26">
        <v>17.05</v>
      </c>
    </row>
    <row r="527" spans="120:133">
      <c r="DP527" s="35">
        <v>44232</v>
      </c>
      <c r="DQ527" s="26">
        <v>3</v>
      </c>
      <c r="DR527" s="26">
        <v>2.8</v>
      </c>
      <c r="DS527" s="26">
        <v>2.879</v>
      </c>
      <c r="DU527" s="35">
        <v>44232</v>
      </c>
      <c r="DV527" s="26">
        <v>6</v>
      </c>
      <c r="DW527" s="26">
        <v>5.8</v>
      </c>
      <c r="DX527" s="26">
        <v>5.867</v>
      </c>
      <c r="DZ527" s="35">
        <v>44232</v>
      </c>
      <c r="EA527" s="26">
        <v>17.2</v>
      </c>
      <c r="EB527" s="26">
        <v>16.8</v>
      </c>
      <c r="EC527" s="26">
        <v>17.05</v>
      </c>
    </row>
    <row r="528" spans="120:133">
      <c r="DP528" s="35">
        <v>44235</v>
      </c>
      <c r="DQ528" s="26">
        <v>3</v>
      </c>
      <c r="DR528" s="26">
        <v>2.8</v>
      </c>
      <c r="DS528" s="26">
        <v>2.886</v>
      </c>
      <c r="DU528" s="35">
        <v>44235</v>
      </c>
      <c r="DV528" s="26">
        <v>6</v>
      </c>
      <c r="DW528" s="26">
        <v>5.8</v>
      </c>
      <c r="DX528" s="26">
        <v>5.873</v>
      </c>
      <c r="DZ528" s="35">
        <v>44235</v>
      </c>
      <c r="EA528" s="26">
        <v>17.2</v>
      </c>
      <c r="EB528" s="26">
        <v>16.8</v>
      </c>
      <c r="EC528" s="26">
        <v>17.05</v>
      </c>
    </row>
    <row r="529" spans="120:133">
      <c r="DP529" s="35">
        <v>44236</v>
      </c>
      <c r="DQ529" s="26">
        <v>3</v>
      </c>
      <c r="DR529" s="26">
        <v>2.8</v>
      </c>
      <c r="DS529" s="26">
        <v>2.889</v>
      </c>
      <c r="DU529" s="35">
        <v>44236</v>
      </c>
      <c r="DV529" s="26">
        <v>6</v>
      </c>
      <c r="DW529" s="26">
        <v>5.8</v>
      </c>
      <c r="DX529" s="26">
        <v>5.873</v>
      </c>
      <c r="DZ529" s="35">
        <v>44236</v>
      </c>
      <c r="EA529" s="26">
        <v>17.2</v>
      </c>
      <c r="EB529" s="26">
        <v>16.8</v>
      </c>
      <c r="EC529" s="26">
        <v>17.05</v>
      </c>
    </row>
    <row r="530" spans="120:133">
      <c r="DP530" s="35">
        <v>44237</v>
      </c>
      <c r="DQ530" s="26">
        <v>3</v>
      </c>
      <c r="DR530" s="26">
        <v>2.8</v>
      </c>
      <c r="DS530" s="26">
        <v>2.889</v>
      </c>
      <c r="DU530" s="35">
        <v>44237</v>
      </c>
      <c r="DV530" s="26">
        <v>6</v>
      </c>
      <c r="DW530" s="26">
        <v>5.8</v>
      </c>
      <c r="DX530" s="26">
        <v>5.873</v>
      </c>
      <c r="DZ530" s="35">
        <v>44237</v>
      </c>
      <c r="EA530" s="26">
        <v>17.2</v>
      </c>
      <c r="EB530" s="26">
        <v>16.8</v>
      </c>
      <c r="EC530" s="26">
        <v>17.05</v>
      </c>
    </row>
    <row r="531" spans="120:133">
      <c r="DP531" s="35">
        <v>44244</v>
      </c>
      <c r="DQ531" s="26">
        <v>3</v>
      </c>
      <c r="DR531" s="26">
        <v>2.8</v>
      </c>
      <c r="DS531" s="26">
        <v>2.882</v>
      </c>
      <c r="DU531" s="35">
        <v>44244</v>
      </c>
      <c r="DV531" s="26">
        <v>6</v>
      </c>
      <c r="DW531" s="26">
        <v>5.8</v>
      </c>
      <c r="DX531" s="26">
        <v>5.873</v>
      </c>
      <c r="DZ531" s="35">
        <v>44244</v>
      </c>
      <c r="EA531" s="26">
        <v>17.2</v>
      </c>
      <c r="EB531" s="26">
        <v>16.8</v>
      </c>
      <c r="EC531" s="26">
        <v>17.05</v>
      </c>
    </row>
    <row r="532" spans="120:133">
      <c r="DP532" s="35">
        <v>44245</v>
      </c>
      <c r="DQ532" s="26">
        <v>3</v>
      </c>
      <c r="DR532" s="26">
        <v>2.8</v>
      </c>
      <c r="DS532" s="26">
        <v>2.896</v>
      </c>
      <c r="DU532" s="35">
        <v>44245</v>
      </c>
      <c r="DV532" s="26">
        <v>6</v>
      </c>
      <c r="DW532" s="26">
        <v>5.8</v>
      </c>
      <c r="DX532" s="26">
        <v>5.887</v>
      </c>
      <c r="DZ532" s="35">
        <v>44245</v>
      </c>
      <c r="EA532" s="26">
        <v>17.2</v>
      </c>
      <c r="EB532" s="26">
        <v>17</v>
      </c>
      <c r="EC532" s="26">
        <v>17.1</v>
      </c>
    </row>
    <row r="533" spans="120:133">
      <c r="DP533" s="35">
        <v>44246</v>
      </c>
      <c r="DQ533" s="26">
        <v>3</v>
      </c>
      <c r="DR533" s="26">
        <v>2.8</v>
      </c>
      <c r="DS533" s="26">
        <v>2.904</v>
      </c>
      <c r="DU533" s="35">
        <v>44246</v>
      </c>
      <c r="DV533" s="26">
        <v>6</v>
      </c>
      <c r="DW533" s="26">
        <v>5.8</v>
      </c>
      <c r="DX533" s="26">
        <v>5.887</v>
      </c>
      <c r="DZ533" s="35">
        <v>44246</v>
      </c>
      <c r="EA533" s="26">
        <v>17.2</v>
      </c>
      <c r="EB533" s="26">
        <v>17</v>
      </c>
      <c r="EC533" s="26">
        <v>17.1</v>
      </c>
    </row>
    <row r="534" spans="120:133">
      <c r="DP534" s="35">
        <v>44249</v>
      </c>
      <c r="DQ534" s="26">
        <v>3</v>
      </c>
      <c r="DR534" s="26">
        <v>2.8</v>
      </c>
      <c r="DS534" s="26">
        <v>2.911</v>
      </c>
      <c r="DU534" s="35">
        <v>44249</v>
      </c>
      <c r="DV534" s="26">
        <v>6</v>
      </c>
      <c r="DW534" s="26">
        <v>5.8</v>
      </c>
      <c r="DX534" s="26">
        <v>5.887</v>
      </c>
      <c r="DZ534" s="35">
        <v>44249</v>
      </c>
      <c r="EA534" s="26">
        <v>17.2</v>
      </c>
      <c r="EB534" s="26">
        <v>17</v>
      </c>
      <c r="EC534" s="26">
        <v>17.1</v>
      </c>
    </row>
    <row r="535" spans="120:133">
      <c r="DP535" s="35">
        <v>44250</v>
      </c>
      <c r="DQ535" s="26">
        <v>3</v>
      </c>
      <c r="DR535" s="26">
        <v>2.85</v>
      </c>
      <c r="DS535" s="26">
        <v>2.918</v>
      </c>
      <c r="DU535" s="35">
        <v>44250</v>
      </c>
      <c r="DV535" s="26">
        <v>6</v>
      </c>
      <c r="DW535" s="26">
        <v>5.85</v>
      </c>
      <c r="DX535" s="26">
        <v>5.9</v>
      </c>
      <c r="DZ535" s="35">
        <v>44250</v>
      </c>
      <c r="EA535" s="26">
        <v>17.5</v>
      </c>
      <c r="EB535" s="26">
        <v>17.3</v>
      </c>
      <c r="EC535" s="26">
        <v>17.4</v>
      </c>
    </row>
    <row r="536" spans="120:133">
      <c r="DP536" s="35">
        <v>44251</v>
      </c>
      <c r="DQ536" s="26">
        <v>3</v>
      </c>
      <c r="DR536" s="26">
        <v>2.85</v>
      </c>
      <c r="DS536" s="26">
        <v>2.925</v>
      </c>
      <c r="DU536" s="35">
        <v>44251</v>
      </c>
      <c r="DV536" s="26">
        <v>6</v>
      </c>
      <c r="DW536" s="26">
        <v>5.85</v>
      </c>
      <c r="DX536" s="26">
        <v>5.907</v>
      </c>
      <c r="DZ536" s="35">
        <v>44251</v>
      </c>
      <c r="EA536" s="26">
        <v>17.5</v>
      </c>
      <c r="EB536" s="26">
        <v>17.3</v>
      </c>
      <c r="EC536" s="26">
        <v>17.4</v>
      </c>
    </row>
    <row r="537" spans="120:133">
      <c r="DP537" s="35">
        <v>44252</v>
      </c>
      <c r="DQ537" s="26">
        <v>3</v>
      </c>
      <c r="DR537" s="26">
        <v>2.85</v>
      </c>
      <c r="DS537" s="26">
        <v>2.925</v>
      </c>
      <c r="DU537" s="35">
        <v>44252</v>
      </c>
      <c r="DV537" s="26">
        <v>6</v>
      </c>
      <c r="DW537" s="26">
        <v>5.85</v>
      </c>
      <c r="DX537" s="26">
        <v>5.907</v>
      </c>
      <c r="DZ537" s="35">
        <v>44252</v>
      </c>
      <c r="EA537" s="26">
        <v>17.5</v>
      </c>
      <c r="EB537" s="26">
        <v>17.3</v>
      </c>
      <c r="EC537" s="26">
        <v>17.4</v>
      </c>
    </row>
    <row r="538" spans="120:133">
      <c r="DP538" s="35">
        <v>44253</v>
      </c>
      <c r="DQ538" s="26">
        <v>3</v>
      </c>
      <c r="DR538" s="26">
        <v>2.9</v>
      </c>
      <c r="DS538" s="26">
        <v>2.932</v>
      </c>
      <c r="DU538" s="35">
        <v>44253</v>
      </c>
      <c r="DV538" s="26">
        <v>6</v>
      </c>
      <c r="DW538" s="26">
        <v>5.85</v>
      </c>
      <c r="DX538" s="26">
        <v>5.907</v>
      </c>
      <c r="DZ538" s="35">
        <v>44253</v>
      </c>
      <c r="EA538" s="26">
        <v>17.8</v>
      </c>
      <c r="EB538" s="26">
        <v>17.5</v>
      </c>
      <c r="EC538" s="26">
        <v>17.6</v>
      </c>
    </row>
    <row r="539" spans="120:133">
      <c r="DP539" s="35">
        <v>44256</v>
      </c>
      <c r="DQ539" s="26">
        <v>3</v>
      </c>
      <c r="DR539" s="26">
        <v>2.9</v>
      </c>
      <c r="DS539" s="26">
        <v>2.932</v>
      </c>
      <c r="DU539" s="35">
        <v>44256</v>
      </c>
      <c r="DV539" s="26">
        <v>6</v>
      </c>
      <c r="DW539" s="26">
        <v>5.85</v>
      </c>
      <c r="DX539" s="26">
        <v>5.907</v>
      </c>
      <c r="DZ539" s="35">
        <v>44256</v>
      </c>
      <c r="EA539" s="26">
        <v>18</v>
      </c>
      <c r="EB539" s="26">
        <v>17.7</v>
      </c>
      <c r="EC539" s="26">
        <v>17.8</v>
      </c>
    </row>
    <row r="540" spans="120:133">
      <c r="DP540" s="35">
        <v>44257</v>
      </c>
      <c r="DQ540" s="26">
        <v>3</v>
      </c>
      <c r="DR540" s="26">
        <v>2.9</v>
      </c>
      <c r="DS540" s="26">
        <v>2.932</v>
      </c>
      <c r="DU540" s="35">
        <v>44257</v>
      </c>
      <c r="DV540" s="26">
        <v>6</v>
      </c>
      <c r="DW540" s="26">
        <v>5.85</v>
      </c>
      <c r="DX540" s="26">
        <v>5.907</v>
      </c>
      <c r="DZ540" s="35">
        <v>44257</v>
      </c>
      <c r="EA540" s="26">
        <v>18</v>
      </c>
      <c r="EB540" s="26">
        <v>17.7</v>
      </c>
      <c r="EC540" s="26">
        <v>17.8</v>
      </c>
    </row>
    <row r="541" spans="120:133">
      <c r="DP541" s="35">
        <v>44258</v>
      </c>
      <c r="DQ541" s="26">
        <v>3</v>
      </c>
      <c r="DR541" s="26">
        <v>2.9</v>
      </c>
      <c r="DS541" s="26">
        <v>2.939</v>
      </c>
      <c r="DU541" s="35">
        <v>44258</v>
      </c>
      <c r="DV541" s="26">
        <v>6</v>
      </c>
      <c r="DW541" s="26">
        <v>5.85</v>
      </c>
      <c r="DX541" s="26">
        <v>5.907</v>
      </c>
      <c r="DZ541" s="35">
        <v>44258</v>
      </c>
      <c r="EA541" s="26">
        <v>18.1</v>
      </c>
      <c r="EB541" s="26">
        <v>17.8</v>
      </c>
      <c r="EC541" s="26">
        <v>18</v>
      </c>
    </row>
    <row r="542" spans="120:133">
      <c r="DP542" s="35">
        <v>44259</v>
      </c>
      <c r="DQ542" s="26">
        <v>3</v>
      </c>
      <c r="DR542" s="26">
        <v>2.9</v>
      </c>
      <c r="DS542" s="26">
        <v>2.942</v>
      </c>
      <c r="DU542" s="35">
        <v>44259</v>
      </c>
      <c r="DV542" s="26">
        <v>6</v>
      </c>
      <c r="DW542" s="26">
        <v>5.85</v>
      </c>
      <c r="DX542" s="26">
        <v>5.907</v>
      </c>
      <c r="DZ542" s="35">
        <v>44259</v>
      </c>
      <c r="EA542" s="26">
        <v>18.1</v>
      </c>
      <c r="EB542" s="26">
        <v>17.8</v>
      </c>
      <c r="EC542" s="26">
        <v>18</v>
      </c>
    </row>
    <row r="543" spans="120:133">
      <c r="DP543" s="35">
        <v>44260</v>
      </c>
      <c r="DQ543" s="26">
        <v>3.05</v>
      </c>
      <c r="DR543" s="26">
        <v>2.85</v>
      </c>
      <c r="DS543" s="26">
        <v>2.956</v>
      </c>
      <c r="DU543" s="35">
        <v>44260</v>
      </c>
      <c r="DV543" s="26">
        <v>6</v>
      </c>
      <c r="DW543" s="26">
        <v>5.85</v>
      </c>
      <c r="DX543" s="26">
        <v>5.9</v>
      </c>
      <c r="DZ543" s="35">
        <v>44260</v>
      </c>
      <c r="EA543" s="26">
        <v>18.1</v>
      </c>
      <c r="EB543" s="26">
        <v>17.8</v>
      </c>
      <c r="EC543" s="26">
        <v>18</v>
      </c>
    </row>
    <row r="544" spans="120:133">
      <c r="DP544" s="35">
        <v>44263</v>
      </c>
      <c r="DQ544" s="26">
        <v>3.05</v>
      </c>
      <c r="DR544" s="26">
        <v>2.9</v>
      </c>
      <c r="DS544" s="26">
        <v>2.959</v>
      </c>
      <c r="DU544" s="35">
        <v>44263</v>
      </c>
      <c r="DV544" s="26">
        <v>6</v>
      </c>
      <c r="DW544" s="26">
        <v>5.85</v>
      </c>
      <c r="DX544" s="26">
        <v>5.9</v>
      </c>
      <c r="DZ544" s="35">
        <v>44263</v>
      </c>
      <c r="EA544" s="26">
        <v>18.1</v>
      </c>
      <c r="EB544" s="26">
        <v>17.8</v>
      </c>
      <c r="EC544" s="26">
        <v>18</v>
      </c>
    </row>
    <row r="545" spans="120:133">
      <c r="DP545" s="35">
        <v>44264</v>
      </c>
      <c r="DQ545" s="26">
        <v>3.05</v>
      </c>
      <c r="DR545" s="26">
        <v>2.9</v>
      </c>
      <c r="DS545" s="26">
        <v>2.965</v>
      </c>
      <c r="DU545" s="35">
        <v>44264</v>
      </c>
      <c r="DV545" s="26">
        <v>6</v>
      </c>
      <c r="DW545" s="26">
        <v>5.85</v>
      </c>
      <c r="DX545" s="26">
        <v>5.9</v>
      </c>
      <c r="DZ545" s="35">
        <v>44264</v>
      </c>
      <c r="EA545" s="26">
        <v>18.1</v>
      </c>
      <c r="EB545" s="26">
        <v>17.8</v>
      </c>
      <c r="EC545" s="26">
        <v>18</v>
      </c>
    </row>
    <row r="546" spans="120:133">
      <c r="DP546" s="35">
        <v>44265</v>
      </c>
      <c r="DQ546" s="26">
        <v>3.05</v>
      </c>
      <c r="DR546" s="26">
        <v>2.9</v>
      </c>
      <c r="DS546" s="26">
        <v>2.968</v>
      </c>
      <c r="DU546" s="35">
        <v>44265</v>
      </c>
      <c r="DV546" s="26">
        <v>6</v>
      </c>
      <c r="DW546" s="26">
        <v>5.85</v>
      </c>
      <c r="DX546" s="26">
        <v>5.9</v>
      </c>
      <c r="DZ546" s="35">
        <v>44265</v>
      </c>
      <c r="EA546" s="26">
        <v>18.1</v>
      </c>
      <c r="EB546" s="26">
        <v>17.8</v>
      </c>
      <c r="EC546" s="26">
        <v>18</v>
      </c>
    </row>
    <row r="547" spans="120:133">
      <c r="DP547" s="35">
        <v>44266</v>
      </c>
      <c r="DQ547" s="26">
        <v>3.05</v>
      </c>
      <c r="DR547" s="26">
        <v>2.9</v>
      </c>
      <c r="DS547" s="26">
        <v>2.961</v>
      </c>
      <c r="DU547" s="35">
        <v>44266</v>
      </c>
      <c r="DV547" s="26">
        <v>6</v>
      </c>
      <c r="DW547" s="26">
        <v>5.85</v>
      </c>
      <c r="DX547" s="26">
        <v>5.887</v>
      </c>
      <c r="DZ547" s="35">
        <v>44266</v>
      </c>
      <c r="EA547" s="26">
        <v>18.1</v>
      </c>
      <c r="EB547" s="26">
        <v>17.8</v>
      </c>
      <c r="EC547" s="26">
        <v>18</v>
      </c>
    </row>
    <row r="548" spans="120:133">
      <c r="DP548" s="35">
        <v>44267</v>
      </c>
      <c r="DQ548" s="26">
        <v>3.05</v>
      </c>
      <c r="DR548" s="26">
        <v>2.9</v>
      </c>
      <c r="DS548" s="26">
        <v>2.958</v>
      </c>
      <c r="DU548" s="35">
        <v>44267</v>
      </c>
      <c r="DV548" s="26">
        <v>6</v>
      </c>
      <c r="DW548" s="26">
        <v>5.85</v>
      </c>
      <c r="DX548" s="26">
        <v>5.88</v>
      </c>
      <c r="DZ548" s="35">
        <v>44267</v>
      </c>
      <c r="EA548" s="26">
        <v>18.1</v>
      </c>
      <c r="EB548" s="26">
        <v>17.8</v>
      </c>
      <c r="EC548" s="26">
        <v>18</v>
      </c>
    </row>
    <row r="549" spans="120:133">
      <c r="DP549" s="35">
        <v>44270</v>
      </c>
      <c r="DQ549" s="26">
        <v>3.05</v>
      </c>
      <c r="DR549" s="26">
        <v>2.9</v>
      </c>
      <c r="DS549" s="26">
        <v>2.958</v>
      </c>
      <c r="DU549" s="35">
        <v>44270</v>
      </c>
      <c r="DV549" s="26">
        <v>6</v>
      </c>
      <c r="DW549" s="26">
        <v>5.85</v>
      </c>
      <c r="DX549" s="26">
        <v>5.88</v>
      </c>
      <c r="DZ549" s="35">
        <v>44270</v>
      </c>
      <c r="EA549" s="26">
        <v>18.1</v>
      </c>
      <c r="EB549" s="26">
        <v>17.8</v>
      </c>
      <c r="EC549" s="26">
        <v>18</v>
      </c>
    </row>
    <row r="550" spans="120:133">
      <c r="DP550" s="35">
        <v>44271</v>
      </c>
      <c r="DQ550" s="26">
        <v>3.05</v>
      </c>
      <c r="DR550" s="26">
        <v>2.9</v>
      </c>
      <c r="DS550" s="26">
        <v>2.958</v>
      </c>
      <c r="DU550" s="35">
        <v>44271</v>
      </c>
      <c r="DV550" s="26">
        <v>6</v>
      </c>
      <c r="DW550" s="26">
        <v>5.85</v>
      </c>
      <c r="DX550" s="26">
        <v>5.88</v>
      </c>
      <c r="DZ550" s="35">
        <v>44271</v>
      </c>
      <c r="EA550" s="26">
        <v>18.1</v>
      </c>
      <c r="EB550" s="26">
        <v>17.8</v>
      </c>
      <c r="EC550" s="26">
        <v>18</v>
      </c>
    </row>
    <row r="551" spans="120:133">
      <c r="DP551" s="35">
        <v>44272</v>
      </c>
      <c r="DQ551" s="26">
        <v>3.05</v>
      </c>
      <c r="DR551" s="26">
        <v>2.9</v>
      </c>
      <c r="DS551" s="26">
        <v>2.958</v>
      </c>
      <c r="DU551" s="35">
        <v>44272</v>
      </c>
      <c r="DV551" s="26">
        <v>6</v>
      </c>
      <c r="DW551" s="26">
        <v>5.85</v>
      </c>
      <c r="DX551" s="26">
        <v>5.873</v>
      </c>
      <c r="DZ551" s="35">
        <v>44272</v>
      </c>
      <c r="EA551" s="26">
        <v>18.1</v>
      </c>
      <c r="EB551" s="26">
        <v>17.8</v>
      </c>
      <c r="EC551" s="26">
        <v>18</v>
      </c>
    </row>
    <row r="552" spans="120:133">
      <c r="DP552" s="35">
        <v>44273</v>
      </c>
      <c r="DQ552" s="26">
        <v>3.05</v>
      </c>
      <c r="DR552" s="26">
        <v>2.9</v>
      </c>
      <c r="DS552" s="26">
        <v>2.958</v>
      </c>
      <c r="DU552" s="35">
        <v>44273</v>
      </c>
      <c r="DV552" s="26">
        <v>6</v>
      </c>
      <c r="DW552" s="26">
        <v>5.85</v>
      </c>
      <c r="DX552" s="26">
        <v>5.867</v>
      </c>
      <c r="DZ552" s="35">
        <v>44273</v>
      </c>
      <c r="EA552" s="26">
        <v>18.1</v>
      </c>
      <c r="EB552" s="26">
        <v>17.8</v>
      </c>
      <c r="EC552" s="26">
        <v>18</v>
      </c>
    </row>
    <row r="553" spans="120:133">
      <c r="DP553" s="35">
        <v>44274</v>
      </c>
      <c r="DQ553" s="26">
        <v>3.05</v>
      </c>
      <c r="DR553" s="26">
        <v>2.9</v>
      </c>
      <c r="DS553" s="26">
        <v>2.951</v>
      </c>
      <c r="DU553" s="35">
        <v>44274</v>
      </c>
      <c r="DV553" s="26">
        <v>6</v>
      </c>
      <c r="DW553" s="26">
        <v>5.8</v>
      </c>
      <c r="DX553" s="26">
        <v>5.86</v>
      </c>
      <c r="DZ553" s="35">
        <v>44274</v>
      </c>
      <c r="EA553" s="26">
        <v>18.1</v>
      </c>
      <c r="EB553" s="26">
        <v>18</v>
      </c>
      <c r="EC553" s="26">
        <v>18.05</v>
      </c>
    </row>
    <row r="554" spans="120:133">
      <c r="DP554" s="35">
        <v>44277</v>
      </c>
      <c r="DQ554" s="26">
        <v>3.05</v>
      </c>
      <c r="DR554" s="26">
        <v>2.9</v>
      </c>
      <c r="DS554" s="26">
        <v>2.951</v>
      </c>
      <c r="DU554" s="35">
        <v>44277</v>
      </c>
      <c r="DV554" s="26">
        <v>6</v>
      </c>
      <c r="DW554" s="26">
        <v>5.8</v>
      </c>
      <c r="DX554" s="26">
        <v>5.86</v>
      </c>
      <c r="DZ554" s="35">
        <v>44277</v>
      </c>
      <c r="EA554" s="26">
        <v>18.1</v>
      </c>
      <c r="EB554" s="26">
        <v>18</v>
      </c>
      <c r="EC554" s="26">
        <v>18.05</v>
      </c>
    </row>
    <row r="555" spans="120:133">
      <c r="DP555" s="35">
        <v>44278</v>
      </c>
      <c r="DQ555" s="26">
        <v>3.05</v>
      </c>
      <c r="DR555" s="26">
        <v>2.9</v>
      </c>
      <c r="DS555" s="26">
        <v>2.951</v>
      </c>
      <c r="DU555" s="35">
        <v>44278</v>
      </c>
      <c r="DV555" s="26">
        <v>6</v>
      </c>
      <c r="DW555" s="26">
        <v>5.8</v>
      </c>
      <c r="DX555" s="26">
        <v>5.86</v>
      </c>
      <c r="DZ555" s="35">
        <v>44278</v>
      </c>
      <c r="EA555" s="26">
        <v>18.1</v>
      </c>
      <c r="EB555" s="26">
        <v>18</v>
      </c>
      <c r="EC555" s="26">
        <v>18.05</v>
      </c>
    </row>
    <row r="556" spans="120:133">
      <c r="DP556" s="35">
        <v>44279</v>
      </c>
      <c r="DQ556" s="26">
        <v>3.05</v>
      </c>
      <c r="DR556" s="26">
        <v>2.9</v>
      </c>
      <c r="DS556" s="26">
        <v>2.936</v>
      </c>
      <c r="DU556" s="35">
        <v>44279</v>
      </c>
      <c r="DV556" s="26">
        <v>6</v>
      </c>
      <c r="DW556" s="26">
        <v>5.8</v>
      </c>
      <c r="DX556" s="26">
        <v>5.847</v>
      </c>
      <c r="DZ556" s="35">
        <v>44279</v>
      </c>
      <c r="EA556" s="26">
        <v>18.1</v>
      </c>
      <c r="EB556" s="26">
        <v>18</v>
      </c>
      <c r="EC556" s="26">
        <v>18.05</v>
      </c>
    </row>
    <row r="557" spans="120:133">
      <c r="DP557" s="35">
        <v>44280</v>
      </c>
      <c r="DQ557" s="26">
        <v>3.05</v>
      </c>
      <c r="DR557" s="26">
        <v>2.9</v>
      </c>
      <c r="DS557" s="26">
        <v>2.936</v>
      </c>
      <c r="DU557" s="35">
        <v>44280</v>
      </c>
      <c r="DV557" s="26">
        <v>6</v>
      </c>
      <c r="DW557" s="26">
        <v>5.8</v>
      </c>
      <c r="DX557" s="26">
        <v>5.847</v>
      </c>
      <c r="DZ557" s="35">
        <v>44280</v>
      </c>
      <c r="EA557" s="26">
        <v>18.1</v>
      </c>
      <c r="EB557" s="26">
        <v>18</v>
      </c>
      <c r="EC557" s="26">
        <v>18.05</v>
      </c>
    </row>
    <row r="558" spans="120:133">
      <c r="DP558" s="35">
        <v>44281</v>
      </c>
      <c r="DQ558" s="26">
        <v>3.05</v>
      </c>
      <c r="DR558" s="26">
        <v>2.85</v>
      </c>
      <c r="DS558" s="26">
        <v>2.929</v>
      </c>
      <c r="DU558" s="35">
        <v>44281</v>
      </c>
      <c r="DV558" s="26">
        <v>6</v>
      </c>
      <c r="DW558" s="26">
        <v>5.8</v>
      </c>
      <c r="DX558" s="26">
        <v>5.847</v>
      </c>
      <c r="DZ558" s="35">
        <v>44281</v>
      </c>
      <c r="EA558" s="26">
        <v>18.1</v>
      </c>
      <c r="EB558" s="26">
        <v>18</v>
      </c>
      <c r="EC558" s="26">
        <v>18.05</v>
      </c>
    </row>
    <row r="559" spans="120:133">
      <c r="DP559" s="35">
        <v>44284</v>
      </c>
      <c r="DQ559" s="26">
        <v>3.05</v>
      </c>
      <c r="DR559" s="26">
        <v>2.85</v>
      </c>
      <c r="DS559" s="26">
        <v>2.926</v>
      </c>
      <c r="DU559" s="35">
        <v>44284</v>
      </c>
      <c r="DV559" s="26">
        <v>6</v>
      </c>
      <c r="DW559" s="26">
        <v>5.8</v>
      </c>
      <c r="DX559" s="26">
        <v>5.843</v>
      </c>
      <c r="DZ559" s="35">
        <v>44284</v>
      </c>
      <c r="EA559" s="26">
        <v>18.2</v>
      </c>
      <c r="EB559" s="26">
        <v>18</v>
      </c>
      <c r="EC559" s="26">
        <v>18.1</v>
      </c>
    </row>
    <row r="560" spans="120:133">
      <c r="DP560" s="35">
        <v>44285</v>
      </c>
      <c r="DQ560" s="26">
        <v>3.05</v>
      </c>
      <c r="DR560" s="26">
        <v>2.85</v>
      </c>
      <c r="DS560" s="26">
        <v>2.912</v>
      </c>
      <c r="DU560" s="35">
        <v>44285</v>
      </c>
      <c r="DV560" s="26">
        <v>6</v>
      </c>
      <c r="DW560" s="26">
        <v>5.8</v>
      </c>
      <c r="DX560" s="26">
        <v>5.84</v>
      </c>
      <c r="DZ560" s="35">
        <v>44285</v>
      </c>
      <c r="EA560" s="26">
        <v>18.2</v>
      </c>
      <c r="EB560" s="26">
        <v>18</v>
      </c>
      <c r="EC560" s="26">
        <v>18.1</v>
      </c>
    </row>
    <row r="561" spans="120:133">
      <c r="DP561" s="35">
        <v>44286</v>
      </c>
      <c r="DQ561" s="26">
        <v>3.05</v>
      </c>
      <c r="DR561" s="26">
        <v>2.85</v>
      </c>
      <c r="DS561" s="26">
        <v>2.909</v>
      </c>
      <c r="DU561" s="35">
        <v>44286</v>
      </c>
      <c r="DV561" s="26">
        <v>6</v>
      </c>
      <c r="DW561" s="26">
        <v>5.8</v>
      </c>
      <c r="DX561" s="26">
        <v>5.837</v>
      </c>
      <c r="DZ561" s="35">
        <v>44286</v>
      </c>
      <c r="EA561" s="26">
        <v>18.2</v>
      </c>
      <c r="EB561" s="26">
        <v>18.1</v>
      </c>
      <c r="EC561" s="26">
        <v>18.15</v>
      </c>
    </row>
    <row r="562" spans="120:133">
      <c r="DP562" s="35">
        <v>44287</v>
      </c>
      <c r="DQ562" s="26">
        <v>3.05</v>
      </c>
      <c r="DR562" s="26">
        <v>2.85</v>
      </c>
      <c r="DS562" s="26">
        <v>2.906</v>
      </c>
      <c r="DU562" s="35">
        <v>44287</v>
      </c>
      <c r="DV562" s="26">
        <v>6</v>
      </c>
      <c r="DW562" s="26">
        <v>5.8</v>
      </c>
      <c r="DX562" s="26">
        <v>5.833</v>
      </c>
      <c r="DZ562" s="35">
        <v>44287</v>
      </c>
      <c r="EA562" s="26">
        <v>18.2</v>
      </c>
      <c r="EB562" s="26">
        <v>18.1</v>
      </c>
      <c r="EC562" s="26">
        <v>18.15</v>
      </c>
    </row>
    <row r="563" spans="120:133">
      <c r="DP563" s="35">
        <v>44292</v>
      </c>
      <c r="DQ563" s="26">
        <v>3.05</v>
      </c>
      <c r="DR563" s="26">
        <v>2.85</v>
      </c>
      <c r="DS563" s="26">
        <v>2.908</v>
      </c>
      <c r="DU563" s="35">
        <v>44292</v>
      </c>
      <c r="DV563" s="26">
        <v>6</v>
      </c>
      <c r="DW563" s="26">
        <v>5.8</v>
      </c>
      <c r="DX563" s="26">
        <v>5.835</v>
      </c>
      <c r="DZ563" s="35">
        <v>44292</v>
      </c>
      <c r="EA563" s="26">
        <v>18.2</v>
      </c>
      <c r="EB563" s="26">
        <v>18.1</v>
      </c>
      <c r="EC563" s="26">
        <v>18.15</v>
      </c>
    </row>
    <row r="564" spans="120:133">
      <c r="DP564" s="35">
        <v>44293</v>
      </c>
      <c r="DQ564" s="26">
        <v>3.05</v>
      </c>
      <c r="DR564" s="26">
        <v>2.85</v>
      </c>
      <c r="DS564" s="26">
        <v>2.911</v>
      </c>
      <c r="DU564" s="35">
        <v>44293</v>
      </c>
      <c r="DV564" s="26">
        <v>6</v>
      </c>
      <c r="DW564" s="26">
        <v>5.8</v>
      </c>
      <c r="DX564" s="26">
        <v>5.839</v>
      </c>
      <c r="DZ564" s="35">
        <v>44293</v>
      </c>
      <c r="EA564" s="26">
        <v>18.2</v>
      </c>
      <c r="EB564" s="26">
        <v>18.1</v>
      </c>
      <c r="EC564" s="26">
        <v>18.17</v>
      </c>
    </row>
    <row r="565" spans="120:133">
      <c r="DP565" s="35">
        <v>44294</v>
      </c>
      <c r="DQ565" s="26">
        <v>3.05</v>
      </c>
      <c r="DR565" s="26">
        <v>2.85</v>
      </c>
      <c r="DS565" s="26">
        <v>2.911</v>
      </c>
      <c r="DU565" s="35">
        <v>44294</v>
      </c>
      <c r="DV565" s="26">
        <v>6</v>
      </c>
      <c r="DW565" s="26">
        <v>5.8</v>
      </c>
      <c r="DX565" s="26">
        <v>5.839</v>
      </c>
      <c r="DZ565" s="35">
        <v>44294</v>
      </c>
      <c r="EA565" s="26">
        <v>18.2</v>
      </c>
      <c r="EB565" s="26">
        <v>18.1</v>
      </c>
      <c r="EC565" s="26">
        <v>18.17</v>
      </c>
    </row>
    <row r="566" spans="120:133">
      <c r="DP566" s="35">
        <v>44295</v>
      </c>
      <c r="DQ566" s="26">
        <v>3.05</v>
      </c>
      <c r="DR566" s="26">
        <v>2.85</v>
      </c>
      <c r="DS566" s="26">
        <v>2.905</v>
      </c>
      <c r="DU566" s="35">
        <v>44295</v>
      </c>
      <c r="DV566" s="26">
        <v>6</v>
      </c>
      <c r="DW566" s="26">
        <v>5.8</v>
      </c>
      <c r="DX566" s="26">
        <v>5.839</v>
      </c>
      <c r="DZ566" s="35">
        <v>44295</v>
      </c>
      <c r="EA566" s="26">
        <v>18.2</v>
      </c>
      <c r="EB566" s="26">
        <v>18.1</v>
      </c>
      <c r="EC566" s="26">
        <v>18.17</v>
      </c>
    </row>
    <row r="567" spans="120:133">
      <c r="DP567" s="35">
        <v>44298</v>
      </c>
      <c r="DQ567" s="26">
        <v>3.05</v>
      </c>
      <c r="DR567" s="26">
        <v>2.85</v>
      </c>
      <c r="DS567" s="26">
        <v>2.905</v>
      </c>
      <c r="DU567" s="35">
        <v>44298</v>
      </c>
      <c r="DV567" s="26">
        <v>6</v>
      </c>
      <c r="DW567" s="26">
        <v>5.8</v>
      </c>
      <c r="DX567" s="26">
        <v>5.839</v>
      </c>
      <c r="DZ567" s="35">
        <v>44298</v>
      </c>
      <c r="EA567" s="26">
        <v>18.2</v>
      </c>
      <c r="EB567" s="26">
        <v>18.1</v>
      </c>
      <c r="EC567" s="26">
        <v>18.17</v>
      </c>
    </row>
    <row r="568" spans="120:133">
      <c r="DP568" s="35">
        <v>44299</v>
      </c>
      <c r="DQ568" s="26">
        <v>3.05</v>
      </c>
      <c r="DR568" s="26">
        <v>2.85</v>
      </c>
      <c r="DS568" s="26">
        <v>2.898</v>
      </c>
      <c r="DU568" s="35">
        <v>44299</v>
      </c>
      <c r="DV568" s="26">
        <v>6</v>
      </c>
      <c r="DW568" s="26">
        <v>5.8</v>
      </c>
      <c r="DX568" s="26">
        <v>5.835</v>
      </c>
      <c r="DZ568" s="35">
        <v>44299</v>
      </c>
      <c r="EA568" s="26">
        <v>18.2</v>
      </c>
      <c r="EB568" s="26">
        <v>18.1</v>
      </c>
      <c r="EC568" s="26">
        <v>18.17</v>
      </c>
    </row>
    <row r="569" spans="120:133">
      <c r="DP569" s="35">
        <v>44300</v>
      </c>
      <c r="DQ569" s="26">
        <v>3.05</v>
      </c>
      <c r="DR569" s="26">
        <v>2.85</v>
      </c>
      <c r="DS569" s="26">
        <v>2.891</v>
      </c>
      <c r="DU569" s="35">
        <v>44300</v>
      </c>
      <c r="DV569" s="26">
        <v>6</v>
      </c>
      <c r="DW569" s="26">
        <v>5.8</v>
      </c>
      <c r="DX569" s="26">
        <v>5.835</v>
      </c>
      <c r="DZ569" s="35">
        <v>44300</v>
      </c>
      <c r="EA569" s="26">
        <v>18.2</v>
      </c>
      <c r="EB569" s="26">
        <v>18.1</v>
      </c>
      <c r="EC569" s="26">
        <v>18.17</v>
      </c>
    </row>
    <row r="570" spans="120:133">
      <c r="DP570" s="35">
        <v>44301</v>
      </c>
      <c r="DQ570" s="26">
        <v>3.05</v>
      </c>
      <c r="DR570" s="26">
        <v>2.85</v>
      </c>
      <c r="DS570" s="26">
        <v>2.888</v>
      </c>
      <c r="DU570" s="35">
        <v>44301</v>
      </c>
      <c r="DV570" s="26">
        <v>6</v>
      </c>
      <c r="DW570" s="26">
        <v>5.8</v>
      </c>
      <c r="DX570" s="26">
        <v>5.835</v>
      </c>
      <c r="DZ570" s="35">
        <v>44301</v>
      </c>
      <c r="EA570" s="26">
        <v>18.2</v>
      </c>
      <c r="EB570" s="26">
        <v>18.1</v>
      </c>
      <c r="EC570" s="26">
        <v>18.17</v>
      </c>
    </row>
    <row r="571" spans="120:133">
      <c r="DP571" s="35">
        <v>44302</v>
      </c>
      <c r="DQ571" s="26">
        <v>3.05</v>
      </c>
      <c r="DR571" s="26">
        <v>2.8</v>
      </c>
      <c r="DS571" s="26">
        <v>2.878</v>
      </c>
      <c r="DU571" s="35">
        <v>44302</v>
      </c>
      <c r="DV571" s="26">
        <v>6</v>
      </c>
      <c r="DW571" s="26">
        <v>5.8</v>
      </c>
      <c r="DX571" s="26">
        <v>5.831</v>
      </c>
      <c r="DZ571" s="35">
        <v>44302</v>
      </c>
      <c r="EA571" s="26">
        <v>18.2</v>
      </c>
      <c r="EB571" s="26">
        <v>18.1</v>
      </c>
      <c r="EC571" s="26">
        <v>18.17</v>
      </c>
    </row>
    <row r="572" spans="120:133">
      <c r="DP572" s="35">
        <v>44305</v>
      </c>
      <c r="DQ572" s="26">
        <v>3.05</v>
      </c>
      <c r="DR572" s="26">
        <v>2.8</v>
      </c>
      <c r="DS572" s="26">
        <v>2.874</v>
      </c>
      <c r="DU572" s="35">
        <v>44305</v>
      </c>
      <c r="DV572" s="26">
        <v>6</v>
      </c>
      <c r="DW572" s="26">
        <v>5.8</v>
      </c>
      <c r="DX572" s="26">
        <v>5.831</v>
      </c>
      <c r="DZ572" s="35">
        <v>44305</v>
      </c>
      <c r="EA572" s="26">
        <v>18.2</v>
      </c>
      <c r="EB572" s="26">
        <v>18.1</v>
      </c>
      <c r="EC572" s="26">
        <v>18.17</v>
      </c>
    </row>
    <row r="573" spans="120:133">
      <c r="DP573" s="35">
        <v>44306</v>
      </c>
      <c r="DQ573" s="26">
        <v>3.05</v>
      </c>
      <c r="DR573" s="26">
        <v>2.8</v>
      </c>
      <c r="DS573" s="26">
        <v>2.871</v>
      </c>
      <c r="DU573" s="35">
        <v>44306</v>
      </c>
      <c r="DV573" s="26">
        <v>6</v>
      </c>
      <c r="DW573" s="26">
        <v>5.8</v>
      </c>
      <c r="DX573" s="26">
        <v>5.828</v>
      </c>
      <c r="DZ573" s="35">
        <v>44306</v>
      </c>
      <c r="EA573" s="26">
        <v>18.2</v>
      </c>
      <c r="EB573" s="26">
        <v>18.1</v>
      </c>
      <c r="EC573" s="26">
        <v>18.18</v>
      </c>
    </row>
    <row r="574" spans="120:133">
      <c r="DP574" s="35">
        <v>44307</v>
      </c>
      <c r="DQ574" s="26">
        <v>3.05</v>
      </c>
      <c r="DR574" s="26">
        <v>2.8</v>
      </c>
      <c r="DS574" s="26">
        <v>2.871</v>
      </c>
      <c r="DU574" s="35">
        <v>44307</v>
      </c>
      <c r="DV574" s="26">
        <v>6</v>
      </c>
      <c r="DW574" s="26">
        <v>5.8</v>
      </c>
      <c r="DX574" s="26">
        <v>5.831</v>
      </c>
      <c r="DZ574" s="35">
        <v>44307</v>
      </c>
      <c r="EA574" s="26">
        <v>18.3</v>
      </c>
      <c r="EB574" s="26">
        <v>18.1</v>
      </c>
      <c r="EC574" s="26">
        <v>18.2</v>
      </c>
    </row>
    <row r="575" spans="120:133">
      <c r="DP575" s="35">
        <v>44308</v>
      </c>
      <c r="DQ575" s="26">
        <v>3.05</v>
      </c>
      <c r="DR575" s="26">
        <v>2.8</v>
      </c>
      <c r="DS575" s="26">
        <v>2.871</v>
      </c>
      <c r="DU575" s="35">
        <v>44308</v>
      </c>
      <c r="DV575" s="26">
        <v>6</v>
      </c>
      <c r="DW575" s="26">
        <v>5.8</v>
      </c>
      <c r="DX575" s="26">
        <v>5.831</v>
      </c>
      <c r="DZ575" s="35">
        <v>44308</v>
      </c>
      <c r="EA575" s="26">
        <v>18.3</v>
      </c>
      <c r="EB575" s="26">
        <v>18.1</v>
      </c>
      <c r="EC575" s="26">
        <v>18.2</v>
      </c>
    </row>
    <row r="576" spans="120:133">
      <c r="DP576" s="35">
        <v>44309</v>
      </c>
      <c r="DQ576" s="26">
        <v>3.05</v>
      </c>
      <c r="DR576" s="26">
        <v>2.8</v>
      </c>
      <c r="DS576" s="26">
        <v>2.868</v>
      </c>
      <c r="DU576" s="35">
        <v>44309</v>
      </c>
      <c r="DV576" s="26">
        <v>6</v>
      </c>
      <c r="DW576" s="26">
        <v>5.8</v>
      </c>
      <c r="DX576" s="26">
        <v>5.825</v>
      </c>
      <c r="DZ576" s="35">
        <v>44309</v>
      </c>
      <c r="EA576" s="26">
        <v>18.3</v>
      </c>
      <c r="EB576" s="26">
        <v>18.2</v>
      </c>
      <c r="EC576" s="26">
        <v>18.25</v>
      </c>
    </row>
    <row r="577" spans="120:133">
      <c r="DP577" s="35">
        <v>44312</v>
      </c>
      <c r="DQ577" s="26">
        <v>3.05</v>
      </c>
      <c r="DR577" s="26">
        <v>2.8</v>
      </c>
      <c r="DS577" s="26">
        <v>2.865</v>
      </c>
      <c r="DU577" s="35">
        <v>44312</v>
      </c>
      <c r="DV577" s="26">
        <v>6</v>
      </c>
      <c r="DW577" s="26">
        <v>5.8</v>
      </c>
      <c r="DX577" s="26">
        <v>5.839</v>
      </c>
      <c r="DZ577" s="35">
        <v>44312</v>
      </c>
      <c r="EA577" s="26">
        <v>18.5</v>
      </c>
      <c r="EB577" s="26">
        <v>18.25</v>
      </c>
      <c r="EC577" s="26">
        <v>18.3</v>
      </c>
    </row>
    <row r="578" spans="120:133">
      <c r="DP578" s="35">
        <v>44313</v>
      </c>
      <c r="DQ578" s="26">
        <v>3.05</v>
      </c>
      <c r="DR578" s="26">
        <v>2.8</v>
      </c>
      <c r="DS578" s="26">
        <v>2.865</v>
      </c>
      <c r="DU578" s="35">
        <v>44313</v>
      </c>
      <c r="DV578" s="26">
        <v>6</v>
      </c>
      <c r="DW578" s="26">
        <v>5.8</v>
      </c>
      <c r="DX578" s="26">
        <v>5.839</v>
      </c>
      <c r="DZ578" s="35">
        <v>44313</v>
      </c>
      <c r="EA578" s="26">
        <v>18.5</v>
      </c>
      <c r="EB578" s="26">
        <v>18.25</v>
      </c>
      <c r="EC578" s="26">
        <v>18.3</v>
      </c>
    </row>
    <row r="579" spans="120:133">
      <c r="DP579" s="35">
        <v>44314</v>
      </c>
      <c r="DQ579" s="26">
        <v>3.05</v>
      </c>
      <c r="DR579" s="26">
        <v>2.8</v>
      </c>
      <c r="DS579" s="26">
        <v>2.865</v>
      </c>
      <c r="DU579" s="35">
        <v>44314</v>
      </c>
      <c r="DV579" s="26">
        <v>6</v>
      </c>
      <c r="DW579" s="26">
        <v>5.8</v>
      </c>
      <c r="DX579" s="26">
        <v>5.839</v>
      </c>
      <c r="DZ579" s="35">
        <v>44314</v>
      </c>
      <c r="EA579" s="26">
        <v>18.5</v>
      </c>
      <c r="EB579" s="26">
        <v>18.25</v>
      </c>
      <c r="EC579" s="26">
        <v>18.3</v>
      </c>
    </row>
    <row r="580" spans="120:133">
      <c r="DP580" s="35">
        <v>44315</v>
      </c>
      <c r="DQ580" s="26">
        <v>3.05</v>
      </c>
      <c r="DR580" s="26">
        <v>2.8</v>
      </c>
      <c r="DS580" s="26">
        <v>2.865</v>
      </c>
      <c r="DU580" s="35">
        <v>44315</v>
      </c>
      <c r="DV580" s="26">
        <v>6</v>
      </c>
      <c r="DW580" s="26">
        <v>5.8</v>
      </c>
      <c r="DX580" s="26">
        <v>5.839</v>
      </c>
      <c r="DZ580" s="35">
        <v>44315</v>
      </c>
      <c r="EA580" s="26">
        <v>18.5</v>
      </c>
      <c r="EB580" s="26">
        <v>18.25</v>
      </c>
      <c r="EC580" s="26">
        <v>18.3</v>
      </c>
    </row>
    <row r="581" spans="120:133">
      <c r="DP581" s="35">
        <v>44316</v>
      </c>
      <c r="DQ581" s="26">
        <v>3.05</v>
      </c>
      <c r="DR581" s="26">
        <v>2.8</v>
      </c>
      <c r="DS581" s="26">
        <v>2.865</v>
      </c>
      <c r="DU581" s="35">
        <v>44316</v>
      </c>
      <c r="DV581" s="26">
        <v>6</v>
      </c>
      <c r="DW581" s="26">
        <v>5.8</v>
      </c>
      <c r="DX581" s="26">
        <v>5.839</v>
      </c>
      <c r="DZ581" s="35">
        <v>44316</v>
      </c>
      <c r="EA581" s="26">
        <v>18.5</v>
      </c>
      <c r="EB581" s="26">
        <v>18.25</v>
      </c>
      <c r="EC581" s="26">
        <v>18.3</v>
      </c>
    </row>
    <row r="582" spans="120:133">
      <c r="DP582" s="35">
        <v>44319</v>
      </c>
      <c r="DQ582" s="26">
        <v>3.05</v>
      </c>
      <c r="DR582" s="26">
        <v>2.8</v>
      </c>
      <c r="DS582" s="26">
        <v>2.865</v>
      </c>
      <c r="DU582" s="35">
        <v>44319</v>
      </c>
      <c r="DV582" s="26">
        <v>6</v>
      </c>
      <c r="DW582" s="26">
        <v>5.8</v>
      </c>
      <c r="DX582" s="26">
        <v>5.839</v>
      </c>
      <c r="DZ582" s="35">
        <v>44319</v>
      </c>
      <c r="EA582" s="26">
        <v>18.5</v>
      </c>
      <c r="EB582" s="26">
        <v>18.25</v>
      </c>
      <c r="EC582" s="26">
        <v>18.3</v>
      </c>
    </row>
    <row r="583" spans="120:133">
      <c r="DP583" s="35">
        <v>44320</v>
      </c>
      <c r="DQ583" s="26">
        <v>3.05</v>
      </c>
      <c r="DR583" s="26">
        <v>2.8</v>
      </c>
      <c r="DS583" s="26">
        <v>2.858</v>
      </c>
      <c r="DU583" s="35">
        <v>44320</v>
      </c>
      <c r="DV583" s="26">
        <v>6</v>
      </c>
      <c r="DW583" s="26">
        <v>5.8</v>
      </c>
      <c r="DX583" s="26">
        <v>5.835</v>
      </c>
      <c r="DZ583" s="35">
        <v>44320</v>
      </c>
      <c r="EA583" s="26">
        <v>18.5</v>
      </c>
      <c r="EB583" s="26">
        <v>18.25</v>
      </c>
      <c r="EC583" s="26">
        <v>18.3</v>
      </c>
    </row>
    <row r="584" spans="120:133">
      <c r="DP584" s="35">
        <v>44321</v>
      </c>
      <c r="DQ584" s="26">
        <v>3.05</v>
      </c>
      <c r="DR584" s="26">
        <v>2.8</v>
      </c>
      <c r="DS584" s="26">
        <v>2.858</v>
      </c>
      <c r="DU584" s="35">
        <v>44321</v>
      </c>
      <c r="DV584" s="26">
        <v>6</v>
      </c>
      <c r="DW584" s="26">
        <v>5.8</v>
      </c>
      <c r="DX584" s="26">
        <v>5.835</v>
      </c>
      <c r="DZ584" s="35">
        <v>44321</v>
      </c>
      <c r="EA584" s="26">
        <v>18.5</v>
      </c>
      <c r="EB584" s="26">
        <v>18.25</v>
      </c>
      <c r="EC584" s="26">
        <v>18.3</v>
      </c>
    </row>
    <row r="585" spans="120:133">
      <c r="DP585" s="35">
        <v>44322</v>
      </c>
      <c r="DQ585" s="26">
        <v>3.05</v>
      </c>
      <c r="DR585" s="26">
        <v>2.8</v>
      </c>
      <c r="DS585" s="26">
        <v>2.858</v>
      </c>
      <c r="DU585" s="35">
        <v>44322</v>
      </c>
      <c r="DV585" s="26">
        <v>6</v>
      </c>
      <c r="DW585" s="26">
        <v>5.8</v>
      </c>
      <c r="DX585" s="26">
        <v>5.835</v>
      </c>
      <c r="DZ585" s="35">
        <v>44322</v>
      </c>
      <c r="EA585" s="26">
        <v>18.5</v>
      </c>
      <c r="EB585" s="26">
        <v>18.25</v>
      </c>
      <c r="EC585" s="26">
        <v>18.3</v>
      </c>
    </row>
    <row r="586" spans="120:133">
      <c r="DP586" s="35">
        <v>44323</v>
      </c>
      <c r="DQ586" s="26">
        <v>3.05</v>
      </c>
      <c r="DR586" s="26">
        <v>2.8</v>
      </c>
      <c r="DS586" s="26">
        <v>2.851</v>
      </c>
      <c r="DU586" s="35">
        <v>44323</v>
      </c>
      <c r="DV586" s="26">
        <v>6</v>
      </c>
      <c r="DW586" s="26">
        <v>5.8</v>
      </c>
      <c r="DX586" s="26">
        <v>5.839</v>
      </c>
      <c r="DZ586" s="35">
        <v>44323</v>
      </c>
      <c r="EA586" s="26">
        <v>18.5</v>
      </c>
      <c r="EB586" s="26">
        <v>18.25</v>
      </c>
      <c r="EC586" s="26">
        <v>18.3</v>
      </c>
    </row>
    <row r="587" spans="120:133">
      <c r="DP587" s="35">
        <v>44326</v>
      </c>
      <c r="DQ587" s="26">
        <v>3.05</v>
      </c>
      <c r="DR587" s="26">
        <v>2.8</v>
      </c>
      <c r="DS587" s="26">
        <v>2.851</v>
      </c>
      <c r="DU587" s="35">
        <v>44326</v>
      </c>
      <c r="DV587" s="26">
        <v>6</v>
      </c>
      <c r="DW587" s="26">
        <v>5.8</v>
      </c>
      <c r="DX587" s="26">
        <v>5.839</v>
      </c>
      <c r="DZ587" s="35">
        <v>44326</v>
      </c>
      <c r="EA587" s="26">
        <v>18.5</v>
      </c>
      <c r="EB587" s="26">
        <v>18.25</v>
      </c>
      <c r="EC587" s="26">
        <v>18.3</v>
      </c>
    </row>
    <row r="588" spans="120:133">
      <c r="DP588" s="35">
        <v>44327</v>
      </c>
      <c r="DQ588" s="26">
        <v>3.05</v>
      </c>
      <c r="DR588" s="26">
        <v>2.8</v>
      </c>
      <c r="DS588" s="26">
        <v>2.844</v>
      </c>
      <c r="DU588" s="35">
        <v>44327</v>
      </c>
      <c r="DV588" s="26">
        <v>6</v>
      </c>
      <c r="DW588" s="26">
        <v>5.8</v>
      </c>
      <c r="DX588" s="26">
        <v>5.826</v>
      </c>
      <c r="DZ588" s="35">
        <v>44327</v>
      </c>
      <c r="EA588" s="26">
        <v>18.5</v>
      </c>
      <c r="EB588" s="26">
        <v>18.25</v>
      </c>
      <c r="EC588" s="26">
        <v>18.3</v>
      </c>
    </row>
    <row r="589" spans="120:133">
      <c r="DP589" s="35">
        <v>44328</v>
      </c>
      <c r="DQ589" s="26">
        <v>3.05</v>
      </c>
      <c r="DR589" s="26">
        <v>2.8</v>
      </c>
      <c r="DS589" s="26">
        <v>2.838</v>
      </c>
      <c r="DU589" s="35">
        <v>44328</v>
      </c>
      <c r="DV589" s="26">
        <v>6</v>
      </c>
      <c r="DW589" s="26">
        <v>5.8</v>
      </c>
      <c r="DX589" s="26">
        <v>5.818</v>
      </c>
      <c r="DZ589" s="35">
        <v>44328</v>
      </c>
      <c r="EA589" s="26">
        <v>18.5</v>
      </c>
      <c r="EB589" s="26">
        <v>18.25</v>
      </c>
      <c r="EC589" s="26">
        <v>18.3</v>
      </c>
    </row>
    <row r="590" spans="120:133">
      <c r="DP590" s="35">
        <v>44329</v>
      </c>
      <c r="DQ590" s="26">
        <v>3.05</v>
      </c>
      <c r="DR590" s="26">
        <v>2.8</v>
      </c>
      <c r="DS590" s="26">
        <v>2.835</v>
      </c>
      <c r="DU590" s="35">
        <v>44329</v>
      </c>
      <c r="DV590" s="26">
        <v>6</v>
      </c>
      <c r="DW590" s="26">
        <v>5.8</v>
      </c>
      <c r="DX590" s="26">
        <v>5.818</v>
      </c>
      <c r="DZ590" s="35">
        <v>44329</v>
      </c>
      <c r="EA590" s="26">
        <v>18.5</v>
      </c>
      <c r="EB590" s="26">
        <v>18.25</v>
      </c>
      <c r="EC590" s="26">
        <v>18.3</v>
      </c>
    </row>
    <row r="591" spans="120:133">
      <c r="DP591" s="35">
        <v>44330</v>
      </c>
      <c r="DQ591" s="26">
        <v>3.05</v>
      </c>
      <c r="DR591" s="26">
        <v>2.8</v>
      </c>
      <c r="DS591" s="26">
        <v>2.832</v>
      </c>
      <c r="DU591" s="35">
        <v>44330</v>
      </c>
      <c r="DV591" s="26">
        <v>6</v>
      </c>
      <c r="DW591" s="26">
        <v>5.8</v>
      </c>
      <c r="DX591" s="26">
        <v>5.814</v>
      </c>
      <c r="DZ591" s="35">
        <v>44330</v>
      </c>
      <c r="EA591" s="26">
        <v>18.5</v>
      </c>
      <c r="EB591" s="26">
        <v>18.25</v>
      </c>
      <c r="EC591" s="26">
        <v>18.3</v>
      </c>
    </row>
    <row r="592" spans="120:133">
      <c r="DP592" s="35">
        <v>44333</v>
      </c>
      <c r="DQ592" s="26">
        <v>3.05</v>
      </c>
      <c r="DR592" s="26">
        <v>2.75</v>
      </c>
      <c r="DS592" s="26">
        <v>2.829</v>
      </c>
      <c r="DU592" s="35">
        <v>44333</v>
      </c>
      <c r="DV592" s="26">
        <v>6</v>
      </c>
      <c r="DW592" s="26">
        <v>5.8</v>
      </c>
      <c r="DX592" s="26">
        <v>5.814</v>
      </c>
      <c r="DZ592" s="35">
        <v>44333</v>
      </c>
      <c r="EA592" s="26">
        <v>18.5</v>
      </c>
      <c r="EB592" s="26">
        <v>18.25</v>
      </c>
      <c r="EC592" s="26">
        <v>18.3</v>
      </c>
    </row>
    <row r="593" spans="120:133">
      <c r="DP593" s="35">
        <v>44334</v>
      </c>
      <c r="DQ593" s="26">
        <v>3.05</v>
      </c>
      <c r="DR593" s="26">
        <v>2.75</v>
      </c>
      <c r="DS593" s="26">
        <v>2.815</v>
      </c>
      <c r="DU593" s="35">
        <v>44334</v>
      </c>
      <c r="DV593" s="26">
        <v>6</v>
      </c>
      <c r="DW593" s="26">
        <v>5.8</v>
      </c>
      <c r="DX593" s="26">
        <v>5.814</v>
      </c>
      <c r="DZ593" s="35">
        <v>44334</v>
      </c>
      <c r="EA593" s="26">
        <v>18.5</v>
      </c>
      <c r="EB593" s="26">
        <v>18.25</v>
      </c>
      <c r="EC593" s="26">
        <v>18.3</v>
      </c>
    </row>
    <row r="594" spans="120:133">
      <c r="DP594" s="35">
        <v>44335</v>
      </c>
      <c r="DQ594" s="26">
        <v>3.05</v>
      </c>
      <c r="DR594" s="26">
        <v>2.75</v>
      </c>
      <c r="DS594" s="26">
        <v>2.812</v>
      </c>
      <c r="DU594" s="35">
        <v>44335</v>
      </c>
      <c r="DV594" s="26">
        <v>6</v>
      </c>
      <c r="DW594" s="26">
        <v>5.75</v>
      </c>
      <c r="DX594" s="26">
        <v>5.808</v>
      </c>
      <c r="DZ594" s="35">
        <v>44335</v>
      </c>
      <c r="EA594" s="26">
        <v>18.5</v>
      </c>
      <c r="EB594" s="26">
        <v>18.2</v>
      </c>
      <c r="EC594" s="26">
        <v>18.25</v>
      </c>
    </row>
    <row r="595" spans="120:133">
      <c r="DP595" s="35">
        <v>44336</v>
      </c>
      <c r="DQ595" s="26">
        <v>3.05</v>
      </c>
      <c r="DR595" s="26">
        <v>2.75</v>
      </c>
      <c r="DS595" s="26">
        <v>2.815</v>
      </c>
      <c r="DU595" s="35">
        <v>44336</v>
      </c>
      <c r="DV595" s="26">
        <v>6</v>
      </c>
      <c r="DW595" s="26">
        <v>5.75</v>
      </c>
      <c r="DX595" s="26">
        <v>5.808</v>
      </c>
      <c r="DZ595" s="35">
        <v>44336</v>
      </c>
      <c r="EA595" s="26">
        <v>18.5</v>
      </c>
      <c r="EB595" s="26">
        <v>18.2</v>
      </c>
      <c r="EC595" s="26">
        <v>18.25</v>
      </c>
    </row>
    <row r="596" spans="120:133">
      <c r="DP596" s="35">
        <v>44337</v>
      </c>
      <c r="DQ596" s="26">
        <v>3.05</v>
      </c>
      <c r="DR596" s="26">
        <v>2.8</v>
      </c>
      <c r="DS596" s="26">
        <v>2.844</v>
      </c>
      <c r="DU596" s="35">
        <v>44337</v>
      </c>
      <c r="DV596" s="26">
        <v>6</v>
      </c>
      <c r="DW596" s="26">
        <v>5.75</v>
      </c>
      <c r="DX596" s="26">
        <v>5.808</v>
      </c>
      <c r="DZ596" s="35">
        <v>44337</v>
      </c>
      <c r="EA596" s="26">
        <v>18.5</v>
      </c>
      <c r="EB596" s="26">
        <v>18.2</v>
      </c>
      <c r="EC596" s="26">
        <v>18.25</v>
      </c>
    </row>
    <row r="597" spans="120:133">
      <c r="DP597" s="35">
        <v>44340</v>
      </c>
      <c r="DQ597" s="26">
        <v>3.05</v>
      </c>
      <c r="DR597" s="26">
        <v>2.8</v>
      </c>
      <c r="DS597" s="26">
        <v>2.865</v>
      </c>
      <c r="DU597" s="35">
        <v>44340</v>
      </c>
      <c r="DV597" s="26">
        <v>6</v>
      </c>
      <c r="DW597" s="26">
        <v>5.75</v>
      </c>
      <c r="DX597" s="26">
        <v>5.808</v>
      </c>
      <c r="DZ597" s="35">
        <v>44340</v>
      </c>
      <c r="EA597" s="26">
        <v>18.5</v>
      </c>
      <c r="EB597" s="26">
        <v>18.2</v>
      </c>
      <c r="EC597" s="26">
        <v>18.25</v>
      </c>
    </row>
    <row r="598" spans="120:133">
      <c r="DP598" s="35">
        <v>44341</v>
      </c>
      <c r="DQ598" s="26">
        <v>3.05</v>
      </c>
      <c r="DR598" s="26">
        <v>2.8</v>
      </c>
      <c r="DS598" s="26">
        <v>2.872</v>
      </c>
      <c r="DU598" s="35">
        <v>44341</v>
      </c>
      <c r="DV598" s="26">
        <v>6</v>
      </c>
      <c r="DW598" s="26">
        <v>5.8</v>
      </c>
      <c r="DX598" s="26">
        <v>5.82</v>
      </c>
      <c r="DZ598" s="35">
        <v>44341</v>
      </c>
      <c r="EA598" s="26">
        <v>18.5</v>
      </c>
      <c r="EB598" s="26">
        <v>18.2</v>
      </c>
      <c r="EC598" s="26">
        <v>18.25</v>
      </c>
    </row>
    <row r="599" spans="120:133">
      <c r="DP599" s="35">
        <v>44342</v>
      </c>
      <c r="DQ599" s="26">
        <v>3.05</v>
      </c>
      <c r="DR599" s="26">
        <v>2.8</v>
      </c>
      <c r="DS599" s="26">
        <v>2.879</v>
      </c>
      <c r="DU599" s="35">
        <v>44342</v>
      </c>
      <c r="DV599" s="26">
        <v>6</v>
      </c>
      <c r="DW599" s="26">
        <v>5.8</v>
      </c>
      <c r="DX599" s="26">
        <v>5.82</v>
      </c>
      <c r="DZ599" s="35">
        <v>44342</v>
      </c>
      <c r="EA599" s="26">
        <v>18.5</v>
      </c>
      <c r="EB599" s="26">
        <v>18.2</v>
      </c>
      <c r="EC599" s="26">
        <v>18.25</v>
      </c>
    </row>
    <row r="600" spans="120:133">
      <c r="DP600" s="35">
        <v>44343</v>
      </c>
      <c r="DQ600" s="26">
        <v>3.05</v>
      </c>
      <c r="DR600" s="26">
        <v>2.8</v>
      </c>
      <c r="DS600" s="26">
        <v>2.886</v>
      </c>
      <c r="DU600" s="35">
        <v>44343</v>
      </c>
      <c r="DV600" s="26">
        <v>6</v>
      </c>
      <c r="DW600" s="26">
        <v>5.8</v>
      </c>
      <c r="DX600" s="26">
        <v>5.82</v>
      </c>
      <c r="DZ600" s="35">
        <v>44343</v>
      </c>
      <c r="EA600" s="26">
        <v>18.5</v>
      </c>
      <c r="EB600" s="26">
        <v>18.2</v>
      </c>
      <c r="EC600" s="26">
        <v>18.25</v>
      </c>
    </row>
    <row r="601" spans="120:133">
      <c r="DP601" s="35">
        <v>44344</v>
      </c>
      <c r="DQ601" s="26">
        <v>3.05</v>
      </c>
      <c r="DR601" s="26">
        <v>2.8</v>
      </c>
      <c r="DS601" s="26">
        <v>2.892</v>
      </c>
      <c r="DU601" s="35">
        <v>44344</v>
      </c>
      <c r="DV601" s="26">
        <v>6</v>
      </c>
      <c r="DW601" s="26">
        <v>5.8</v>
      </c>
      <c r="DX601" s="26">
        <v>5.82</v>
      </c>
      <c r="DZ601" s="35">
        <v>44344</v>
      </c>
      <c r="EA601" s="26">
        <v>18.5</v>
      </c>
      <c r="EB601" s="26">
        <v>18.2</v>
      </c>
      <c r="EC601" s="26">
        <v>18.25</v>
      </c>
    </row>
    <row r="602" spans="120:133">
      <c r="DP602" s="35">
        <v>44347</v>
      </c>
      <c r="DQ602" s="26">
        <v>3.05</v>
      </c>
      <c r="DR602" s="26">
        <v>2.85</v>
      </c>
      <c r="DS602" s="26">
        <v>2.898</v>
      </c>
      <c r="DU602" s="35">
        <v>44347</v>
      </c>
      <c r="DV602" s="26">
        <v>6</v>
      </c>
      <c r="DW602" s="26">
        <v>5.8</v>
      </c>
      <c r="DX602" s="26">
        <v>5.82</v>
      </c>
      <c r="DZ602" s="35">
        <v>44347</v>
      </c>
      <c r="EA602" s="26">
        <v>18.5</v>
      </c>
      <c r="EB602" s="26">
        <v>18.2</v>
      </c>
      <c r="EC602" s="26">
        <v>18.25</v>
      </c>
    </row>
    <row r="603" spans="120:133">
      <c r="DP603" s="35">
        <v>44348</v>
      </c>
      <c r="DQ603" s="26">
        <v>3.05</v>
      </c>
      <c r="DR603" s="26">
        <v>2.85</v>
      </c>
      <c r="DS603" s="26">
        <v>2.898</v>
      </c>
      <c r="DU603" s="35">
        <v>44348</v>
      </c>
      <c r="DV603" s="26">
        <v>6</v>
      </c>
      <c r="DW603" s="26">
        <v>5.8</v>
      </c>
      <c r="DX603" s="26">
        <v>5.82</v>
      </c>
      <c r="DZ603" s="35">
        <v>44348</v>
      </c>
      <c r="EA603" s="26">
        <v>18.5</v>
      </c>
      <c r="EB603" s="26">
        <v>18.2</v>
      </c>
      <c r="EC603" s="26">
        <v>18.25</v>
      </c>
    </row>
    <row r="604" spans="120:133">
      <c r="DP604" s="35">
        <v>44349</v>
      </c>
      <c r="DQ604" s="26">
        <v>3.05</v>
      </c>
      <c r="DR604" s="26">
        <v>2.85</v>
      </c>
      <c r="DS604" s="26">
        <v>2.905</v>
      </c>
      <c r="DU604" s="35">
        <v>44349</v>
      </c>
      <c r="DV604" s="26">
        <v>6</v>
      </c>
      <c r="DW604" s="26">
        <v>5.8</v>
      </c>
      <c r="DX604" s="26">
        <v>5.82</v>
      </c>
      <c r="DZ604" s="35">
        <v>44349</v>
      </c>
      <c r="EA604" s="26">
        <v>18.5</v>
      </c>
      <c r="EB604" s="26">
        <v>18.2</v>
      </c>
      <c r="EC604" s="26">
        <v>18.25</v>
      </c>
    </row>
    <row r="605" spans="120:133">
      <c r="DP605" s="35">
        <v>44350</v>
      </c>
      <c r="DQ605" s="26">
        <v>3.05</v>
      </c>
      <c r="DR605" s="26">
        <v>2.85</v>
      </c>
      <c r="DS605" s="26">
        <v>2.908</v>
      </c>
      <c r="DU605" s="35">
        <v>44350</v>
      </c>
      <c r="DV605" s="26">
        <v>6</v>
      </c>
      <c r="DW605" s="26">
        <v>5.8</v>
      </c>
      <c r="DX605" s="26">
        <v>5.828</v>
      </c>
      <c r="DZ605" s="35">
        <v>44350</v>
      </c>
      <c r="EA605" s="26">
        <v>18.5</v>
      </c>
      <c r="EB605" s="26">
        <v>18.2</v>
      </c>
      <c r="EC605" s="26">
        <v>18.25</v>
      </c>
    </row>
    <row r="606" spans="120:133">
      <c r="DP606" s="35">
        <v>44351</v>
      </c>
      <c r="DQ606" s="26">
        <v>3.05</v>
      </c>
      <c r="DR606" s="26">
        <v>2.85</v>
      </c>
      <c r="DS606" s="26">
        <v>2.908</v>
      </c>
      <c r="DU606" s="35">
        <v>44351</v>
      </c>
      <c r="DV606" s="26">
        <v>6</v>
      </c>
      <c r="DW606" s="26">
        <v>5.8</v>
      </c>
      <c r="DX606" s="26">
        <v>5.828</v>
      </c>
      <c r="DZ606" s="35">
        <v>44351</v>
      </c>
      <c r="EA606" s="26">
        <v>18.5</v>
      </c>
      <c r="EB606" s="26">
        <v>18.2</v>
      </c>
      <c r="EC606" s="26">
        <v>18.25</v>
      </c>
    </row>
    <row r="607" spans="120:133">
      <c r="DP607" s="35">
        <v>44354</v>
      </c>
      <c r="DQ607" s="26">
        <v>3.05</v>
      </c>
      <c r="DR607" s="26">
        <v>2.85</v>
      </c>
      <c r="DS607" s="26">
        <v>2.915</v>
      </c>
      <c r="DU607" s="35">
        <v>44354</v>
      </c>
      <c r="DV607" s="26">
        <v>6</v>
      </c>
      <c r="DW607" s="26">
        <v>5.8</v>
      </c>
      <c r="DX607" s="26">
        <v>5.828</v>
      </c>
      <c r="DZ607" s="35">
        <v>44354</v>
      </c>
      <c r="EA607" s="26">
        <v>18.5</v>
      </c>
      <c r="EB607" s="26">
        <v>18.2</v>
      </c>
      <c r="EC607" s="26">
        <v>18.25</v>
      </c>
    </row>
    <row r="608" spans="120:133">
      <c r="DP608" s="35">
        <v>44355</v>
      </c>
      <c r="DQ608" s="26">
        <v>3.05</v>
      </c>
      <c r="DR608" s="26">
        <v>2.85</v>
      </c>
      <c r="DS608" s="26">
        <v>2.915</v>
      </c>
      <c r="DU608" s="35">
        <v>44355</v>
      </c>
      <c r="DV608" s="26">
        <v>6</v>
      </c>
      <c r="DW608" s="26">
        <v>5.8</v>
      </c>
      <c r="DX608" s="26">
        <v>5.832</v>
      </c>
      <c r="DZ608" s="35">
        <v>44355</v>
      </c>
      <c r="EA608" s="26">
        <v>18.5</v>
      </c>
      <c r="EB608" s="26">
        <v>18.3</v>
      </c>
      <c r="EC608" s="26">
        <v>18.4</v>
      </c>
    </row>
    <row r="609" spans="120:133">
      <c r="DP609" s="35">
        <v>44356</v>
      </c>
      <c r="DQ609" s="26">
        <v>3.05</v>
      </c>
      <c r="DR609" s="26">
        <v>2.85</v>
      </c>
      <c r="DS609" s="26">
        <v>2.915</v>
      </c>
      <c r="DU609" s="35">
        <v>44356</v>
      </c>
      <c r="DV609" s="26">
        <v>6</v>
      </c>
      <c r="DW609" s="26">
        <v>5.8</v>
      </c>
      <c r="DX609" s="26">
        <v>5.832</v>
      </c>
      <c r="DZ609" s="35">
        <v>44356</v>
      </c>
      <c r="EA609" s="26">
        <v>18.5</v>
      </c>
      <c r="EB609" s="26">
        <v>18.4</v>
      </c>
      <c r="EC609" s="26">
        <v>18.45</v>
      </c>
    </row>
    <row r="610" spans="120:133">
      <c r="DP610" s="35">
        <v>44357</v>
      </c>
      <c r="DQ610" s="26">
        <v>3.05</v>
      </c>
      <c r="DR610" s="26">
        <v>2.85</v>
      </c>
      <c r="DS610" s="26">
        <v>2.915</v>
      </c>
      <c r="DU610" s="35">
        <v>44357</v>
      </c>
      <c r="DV610" s="26">
        <v>6</v>
      </c>
      <c r="DW610" s="26">
        <v>5.8</v>
      </c>
      <c r="DX610" s="26">
        <v>5.832</v>
      </c>
      <c r="DZ610" s="35">
        <v>44357</v>
      </c>
      <c r="EA610" s="26">
        <v>18.5</v>
      </c>
      <c r="EB610" s="26">
        <v>18.4</v>
      </c>
      <c r="EC610" s="26">
        <v>18.47</v>
      </c>
    </row>
    <row r="611" spans="120:133">
      <c r="DP611" s="35">
        <v>44358</v>
      </c>
      <c r="DQ611" s="26">
        <v>3.05</v>
      </c>
      <c r="DR611" s="26">
        <v>2.85</v>
      </c>
      <c r="DS611" s="26">
        <v>2.915</v>
      </c>
      <c r="DU611" s="35">
        <v>44358</v>
      </c>
      <c r="DV611" s="26">
        <v>6</v>
      </c>
      <c r="DW611" s="26">
        <v>5.8</v>
      </c>
      <c r="DX611" s="26">
        <v>5.832</v>
      </c>
      <c r="DZ611" s="35">
        <v>44358</v>
      </c>
      <c r="EA611" s="26">
        <v>18.6</v>
      </c>
      <c r="EB611" s="26">
        <v>18.45</v>
      </c>
      <c r="EC611" s="26">
        <v>18.5</v>
      </c>
    </row>
    <row r="612" spans="120:133">
      <c r="DP612" s="35">
        <v>44362</v>
      </c>
      <c r="DQ612" s="26">
        <v>3.05</v>
      </c>
      <c r="DR612" s="26">
        <v>2.85</v>
      </c>
      <c r="DS612" s="26">
        <v>2.915</v>
      </c>
      <c r="DU612" s="35">
        <v>44362</v>
      </c>
      <c r="DV612" s="26">
        <v>6</v>
      </c>
      <c r="DW612" s="26">
        <v>5.8</v>
      </c>
      <c r="DX612" s="26">
        <v>5.832</v>
      </c>
      <c r="DZ612" s="35">
        <v>44362</v>
      </c>
      <c r="EA612" s="26">
        <v>18.6</v>
      </c>
      <c r="EB612" s="26">
        <v>18.45</v>
      </c>
      <c r="EC612" s="26">
        <v>18.5</v>
      </c>
    </row>
    <row r="613" spans="120:133">
      <c r="DP613" s="35">
        <v>44363</v>
      </c>
      <c r="DQ613" s="26">
        <v>3.05</v>
      </c>
      <c r="DR613" s="26">
        <v>2.85</v>
      </c>
      <c r="DS613" s="26">
        <v>2.922</v>
      </c>
      <c r="DU613" s="35">
        <v>44363</v>
      </c>
      <c r="DV613" s="26">
        <v>6</v>
      </c>
      <c r="DW613" s="26">
        <v>5.8</v>
      </c>
      <c r="DX613" s="26">
        <v>5.832</v>
      </c>
      <c r="DZ613" s="35">
        <v>44363</v>
      </c>
      <c r="EA613" s="26">
        <v>18.6</v>
      </c>
      <c r="EB613" s="26">
        <v>18.45</v>
      </c>
      <c r="EC613" s="26">
        <v>18.5</v>
      </c>
    </row>
    <row r="614" spans="120:133">
      <c r="DP614" s="35">
        <v>44364</v>
      </c>
      <c r="DQ614" s="26">
        <v>3.05</v>
      </c>
      <c r="DR614" s="26">
        <v>2.85</v>
      </c>
      <c r="DS614" s="26">
        <v>2.922</v>
      </c>
      <c r="DU614" s="35">
        <v>44364</v>
      </c>
      <c r="DV614" s="26">
        <v>6</v>
      </c>
      <c r="DW614" s="26">
        <v>5.8</v>
      </c>
      <c r="DX614" s="26">
        <v>5.832</v>
      </c>
      <c r="DZ614" s="35">
        <v>44364</v>
      </c>
      <c r="EA614" s="26">
        <v>18.6</v>
      </c>
      <c r="EB614" s="26">
        <v>18.45</v>
      </c>
      <c r="EC614" s="26">
        <v>18.5</v>
      </c>
    </row>
    <row r="615" spans="120:133">
      <c r="DP615" s="35">
        <v>44365</v>
      </c>
      <c r="DQ615" s="26">
        <v>3.05</v>
      </c>
      <c r="DR615" s="26">
        <v>2.85</v>
      </c>
      <c r="DS615" s="26">
        <v>2.922</v>
      </c>
      <c r="DU615" s="35">
        <v>44365</v>
      </c>
      <c r="DV615" s="26">
        <v>6</v>
      </c>
      <c r="DW615" s="26">
        <v>5.8</v>
      </c>
      <c r="DX615" s="26">
        <v>5.832</v>
      </c>
      <c r="DZ615" s="35">
        <v>44365</v>
      </c>
      <c r="EA615" s="26">
        <v>18.6</v>
      </c>
      <c r="EB615" s="26">
        <v>18.45</v>
      </c>
      <c r="EC615" s="26">
        <v>18.5</v>
      </c>
    </row>
    <row r="616" spans="120:133">
      <c r="DP616" s="35">
        <v>44368</v>
      </c>
      <c r="DQ616" s="26">
        <v>3.05</v>
      </c>
      <c r="DR616" s="26">
        <v>2.85</v>
      </c>
      <c r="DS616" s="26">
        <v>2.929</v>
      </c>
      <c r="DU616" s="35">
        <v>44368</v>
      </c>
      <c r="DV616" s="26">
        <v>6</v>
      </c>
      <c r="DW616" s="26">
        <v>5.8</v>
      </c>
      <c r="DX616" s="26">
        <v>5.832</v>
      </c>
      <c r="DZ616" s="35">
        <v>44368</v>
      </c>
      <c r="EA616" s="26">
        <v>18.6</v>
      </c>
      <c r="EB616" s="26">
        <v>18.45</v>
      </c>
      <c r="EC616" s="26">
        <v>18.5</v>
      </c>
    </row>
    <row r="617" spans="120:133">
      <c r="DP617" s="35">
        <v>44369</v>
      </c>
      <c r="DQ617" s="26">
        <v>3.05</v>
      </c>
      <c r="DR617" s="26">
        <v>2.85</v>
      </c>
      <c r="DS617" s="26">
        <v>2.936</v>
      </c>
      <c r="DU617" s="35">
        <v>44369</v>
      </c>
      <c r="DV617" s="26">
        <v>6</v>
      </c>
      <c r="DW617" s="26">
        <v>5.8</v>
      </c>
      <c r="DX617" s="26">
        <v>5.832</v>
      </c>
      <c r="DZ617" s="35">
        <v>44369</v>
      </c>
      <c r="EA617" s="26">
        <v>18.6</v>
      </c>
      <c r="EB617" s="26">
        <v>18.45</v>
      </c>
      <c r="EC617" s="26">
        <v>18.5</v>
      </c>
    </row>
    <row r="618" spans="120:133">
      <c r="DP618" s="35">
        <v>44370</v>
      </c>
      <c r="DQ618" s="26">
        <v>3.05</v>
      </c>
      <c r="DR618" s="26">
        <v>2.88</v>
      </c>
      <c r="DS618" s="26">
        <v>2.943</v>
      </c>
      <c r="DU618" s="35">
        <v>44370</v>
      </c>
      <c r="DV618" s="26">
        <v>6</v>
      </c>
      <c r="DW618" s="26">
        <v>5.8</v>
      </c>
      <c r="DX618" s="26">
        <v>5.832</v>
      </c>
      <c r="DZ618" s="35">
        <v>44370</v>
      </c>
      <c r="EA618" s="26">
        <v>18.6</v>
      </c>
      <c r="EB618" s="26">
        <v>18.45</v>
      </c>
      <c r="EC618" s="26">
        <v>18.5</v>
      </c>
    </row>
    <row r="619" spans="120:133">
      <c r="DP619" s="35">
        <v>44371</v>
      </c>
      <c r="DQ619" s="26">
        <v>3.05</v>
      </c>
      <c r="DR619" s="26">
        <v>2.88</v>
      </c>
      <c r="DS619" s="26">
        <v>2.943</v>
      </c>
      <c r="DU619" s="35">
        <v>44371</v>
      </c>
      <c r="DV619" s="26">
        <v>6</v>
      </c>
      <c r="DW619" s="26">
        <v>5.8</v>
      </c>
      <c r="DX619" s="26">
        <v>5.832</v>
      </c>
      <c r="DZ619" s="35">
        <v>44371</v>
      </c>
      <c r="EA619" s="26">
        <v>18.6</v>
      </c>
      <c r="EB619" s="26">
        <v>18.45</v>
      </c>
      <c r="EC619" s="26">
        <v>18.5</v>
      </c>
    </row>
    <row r="620" spans="120:133">
      <c r="DP620" s="35">
        <v>44372</v>
      </c>
      <c r="DQ620" s="26">
        <v>3.05</v>
      </c>
      <c r="DR620" s="26">
        <v>2.88</v>
      </c>
      <c r="DS620" s="26">
        <v>2.952</v>
      </c>
      <c r="DU620" s="35">
        <v>44372</v>
      </c>
      <c r="DV620" s="26">
        <v>6</v>
      </c>
      <c r="DW620" s="26">
        <v>5.8</v>
      </c>
      <c r="DX620" s="26">
        <v>5.853</v>
      </c>
      <c r="DZ620" s="35">
        <v>44372</v>
      </c>
      <c r="EA620" s="26">
        <v>18.6</v>
      </c>
      <c r="EB620" s="26">
        <v>18.45</v>
      </c>
      <c r="EC620" s="26">
        <v>18.5</v>
      </c>
    </row>
    <row r="621" spans="120:133">
      <c r="DP621" s="35">
        <v>44375</v>
      </c>
      <c r="DQ621" s="26">
        <v>3.05</v>
      </c>
      <c r="DR621" s="26">
        <v>2.88</v>
      </c>
      <c r="DS621" s="26">
        <v>2.952</v>
      </c>
      <c r="DU621" s="35">
        <v>44375</v>
      </c>
      <c r="DV621" s="26">
        <v>6</v>
      </c>
      <c r="DW621" s="26">
        <v>5.8</v>
      </c>
      <c r="DX621" s="26">
        <v>5.853</v>
      </c>
      <c r="DZ621" s="35">
        <v>44375</v>
      </c>
      <c r="EA621" s="26">
        <v>18.6</v>
      </c>
      <c r="EB621" s="26">
        <v>18.45</v>
      </c>
      <c r="EC621" s="26">
        <v>18.5</v>
      </c>
    </row>
    <row r="622" spans="120:133">
      <c r="DP622" s="35">
        <v>44376</v>
      </c>
      <c r="DQ622" s="26">
        <v>3.05</v>
      </c>
      <c r="DR622" s="26">
        <v>2.88</v>
      </c>
      <c r="DS622" s="26">
        <v>2.952</v>
      </c>
      <c r="DU622" s="35">
        <v>44376</v>
      </c>
      <c r="DV622" s="26">
        <v>6</v>
      </c>
      <c r="DW622" s="26">
        <v>5.8</v>
      </c>
      <c r="DX622" s="26">
        <v>5.853</v>
      </c>
      <c r="DZ622" s="35">
        <v>44376</v>
      </c>
      <c r="EA622" s="26">
        <v>18.6</v>
      </c>
      <c r="EB622" s="26">
        <v>18.45</v>
      </c>
      <c r="EC622" s="26">
        <v>18.5</v>
      </c>
    </row>
    <row r="623" spans="120:133">
      <c r="DP623" s="35">
        <v>44377</v>
      </c>
      <c r="DQ623" s="26">
        <v>3.05</v>
      </c>
      <c r="DR623" s="26">
        <v>2.88</v>
      </c>
      <c r="DS623" s="26">
        <v>2.959</v>
      </c>
      <c r="DU623" s="35">
        <v>44377</v>
      </c>
      <c r="DV623" s="26">
        <v>6</v>
      </c>
      <c r="DW623" s="26">
        <v>5.8</v>
      </c>
      <c r="DX623" s="26">
        <v>5.853</v>
      </c>
      <c r="DZ623" s="35">
        <v>44377</v>
      </c>
      <c r="EA623" s="26">
        <v>18.6</v>
      </c>
      <c r="EB623" s="26">
        <v>18.45</v>
      </c>
      <c r="EC623" s="26">
        <v>18.5</v>
      </c>
    </row>
    <row r="624" spans="120:133">
      <c r="DP624" s="35">
        <v>44378</v>
      </c>
      <c r="DQ624" s="26">
        <v>3.05</v>
      </c>
      <c r="DR624" s="26">
        <v>2.88</v>
      </c>
      <c r="DS624" s="26">
        <v>2.959</v>
      </c>
      <c r="DU624" s="35">
        <v>44378</v>
      </c>
      <c r="DV624" s="26">
        <v>6</v>
      </c>
      <c r="DW624" s="26">
        <v>5.8</v>
      </c>
      <c r="DX624" s="26">
        <v>5.853</v>
      </c>
      <c r="DZ624" s="35">
        <v>44378</v>
      </c>
      <c r="EA624" s="26">
        <v>18.6</v>
      </c>
      <c r="EB624" s="26">
        <v>18.45</v>
      </c>
      <c r="EC624" s="26">
        <v>18.5</v>
      </c>
    </row>
    <row r="625" spans="120:133">
      <c r="DP625" s="35">
        <v>44379</v>
      </c>
      <c r="DQ625" s="26">
        <v>3.05</v>
      </c>
      <c r="DR625" s="26">
        <v>2.88</v>
      </c>
      <c r="DS625" s="26">
        <v>2.966</v>
      </c>
      <c r="DU625" s="35">
        <v>44379</v>
      </c>
      <c r="DV625" s="26">
        <v>6</v>
      </c>
      <c r="DW625" s="26">
        <v>5.8</v>
      </c>
      <c r="DX625" s="26">
        <v>5.853</v>
      </c>
      <c r="DZ625" s="35">
        <v>44379</v>
      </c>
      <c r="EA625" s="26">
        <v>18.6</v>
      </c>
      <c r="EB625" s="26">
        <v>18.45</v>
      </c>
      <c r="EC625" s="26">
        <v>18.5</v>
      </c>
    </row>
    <row r="626" spans="120:133">
      <c r="DP626" s="35">
        <v>44382</v>
      </c>
      <c r="DQ626" s="26">
        <v>3.05</v>
      </c>
      <c r="DR626" s="26">
        <v>2.9</v>
      </c>
      <c r="DS626" s="26">
        <v>2.973</v>
      </c>
      <c r="DU626" s="35">
        <v>44382</v>
      </c>
      <c r="DV626" s="26">
        <v>6</v>
      </c>
      <c r="DW626" s="26">
        <v>5.8</v>
      </c>
      <c r="DX626" s="26">
        <v>5.871</v>
      </c>
      <c r="DZ626" s="35">
        <v>44382</v>
      </c>
      <c r="EA626" s="26">
        <v>18.6</v>
      </c>
      <c r="EB626" s="26">
        <v>18.5</v>
      </c>
      <c r="EC626" s="26">
        <v>18.55</v>
      </c>
    </row>
    <row r="627" spans="120:133">
      <c r="DP627" s="35">
        <v>44383</v>
      </c>
      <c r="DQ627" s="26">
        <v>3.05</v>
      </c>
      <c r="DR627" s="26">
        <v>2.9</v>
      </c>
      <c r="DS627" s="26">
        <v>2.98</v>
      </c>
      <c r="DU627" s="35">
        <v>44383</v>
      </c>
      <c r="DV627" s="26">
        <v>6</v>
      </c>
      <c r="DW627" s="26">
        <v>5.8</v>
      </c>
      <c r="DX627" s="26">
        <v>5.871</v>
      </c>
      <c r="DZ627" s="35">
        <v>44383</v>
      </c>
      <c r="EA627" s="26">
        <v>18.6</v>
      </c>
      <c r="EB627" s="26">
        <v>18.5</v>
      </c>
      <c r="EC627" s="26">
        <v>18.55</v>
      </c>
    </row>
    <row r="628" spans="120:133">
      <c r="DP628" s="35">
        <v>44384</v>
      </c>
      <c r="DQ628" s="26">
        <v>3.05</v>
      </c>
      <c r="DR628" s="26">
        <v>2.9</v>
      </c>
      <c r="DS628" s="26">
        <v>2.986</v>
      </c>
      <c r="DU628" s="35">
        <v>44384</v>
      </c>
      <c r="DV628" s="26">
        <v>6</v>
      </c>
      <c r="DW628" s="26">
        <v>5.8</v>
      </c>
      <c r="DX628" s="26">
        <v>5.871</v>
      </c>
      <c r="DZ628" s="35">
        <v>44384</v>
      </c>
      <c r="EA628" s="26">
        <v>18.6</v>
      </c>
      <c r="EB628" s="26">
        <v>18.5</v>
      </c>
      <c r="EC628" s="26">
        <v>18.55</v>
      </c>
    </row>
    <row r="629" spans="120:133">
      <c r="DP629" s="35">
        <v>44385</v>
      </c>
      <c r="DQ629" s="26">
        <v>3.05</v>
      </c>
      <c r="DR629" s="26">
        <v>2.9</v>
      </c>
      <c r="DS629" s="26">
        <v>2.986</v>
      </c>
      <c r="DU629" s="35">
        <v>44385</v>
      </c>
      <c r="DV629" s="26">
        <v>6</v>
      </c>
      <c r="DW629" s="26">
        <v>5.8</v>
      </c>
      <c r="DX629" s="26">
        <v>5.871</v>
      </c>
      <c r="DZ629" s="35">
        <v>44385</v>
      </c>
      <c r="EA629" s="26">
        <v>18.6</v>
      </c>
      <c r="EB629" s="26">
        <v>18.5</v>
      </c>
      <c r="EC629" s="26">
        <v>18.55</v>
      </c>
    </row>
    <row r="630" spans="120:133">
      <c r="DP630" s="35">
        <v>44386</v>
      </c>
      <c r="DQ630" s="26">
        <v>3.05</v>
      </c>
      <c r="DR630" s="26">
        <v>2.9</v>
      </c>
      <c r="DS630" s="26">
        <v>2.986</v>
      </c>
      <c r="DU630" s="35">
        <v>44386</v>
      </c>
      <c r="DV630" s="26">
        <v>6</v>
      </c>
      <c r="DW630" s="26">
        <v>5.8</v>
      </c>
      <c r="DX630" s="26">
        <v>5.871</v>
      </c>
      <c r="DZ630" s="35">
        <v>44386</v>
      </c>
      <c r="EA630" s="26">
        <v>18.6</v>
      </c>
      <c r="EB630" s="26">
        <v>18.5</v>
      </c>
      <c r="EC630" s="26">
        <v>18.55</v>
      </c>
    </row>
    <row r="631" spans="120:133">
      <c r="DP631" s="35">
        <v>44389</v>
      </c>
      <c r="DQ631" s="26">
        <v>3.05</v>
      </c>
      <c r="DR631" s="26">
        <v>2.9</v>
      </c>
      <c r="DS631" s="26">
        <v>2.986</v>
      </c>
      <c r="DU631" s="35">
        <v>44389</v>
      </c>
      <c r="DV631" s="26">
        <v>6</v>
      </c>
      <c r="DW631" s="26">
        <v>5.8</v>
      </c>
      <c r="DX631" s="26">
        <v>5.871</v>
      </c>
      <c r="DZ631" s="35">
        <v>44389</v>
      </c>
      <c r="EA631" s="26">
        <v>18.6</v>
      </c>
      <c r="EB631" s="26">
        <v>18.5</v>
      </c>
      <c r="EC631" s="26">
        <v>18.55</v>
      </c>
    </row>
    <row r="632" spans="120:133">
      <c r="DP632" s="35">
        <v>44390</v>
      </c>
      <c r="DQ632" s="26">
        <v>3.05</v>
      </c>
      <c r="DR632" s="26">
        <v>2.9</v>
      </c>
      <c r="DS632" s="26">
        <v>2.986</v>
      </c>
      <c r="DU632" s="35">
        <v>44390</v>
      </c>
      <c r="DV632" s="26">
        <v>6</v>
      </c>
      <c r="DW632" s="26">
        <v>5.8</v>
      </c>
      <c r="DX632" s="26">
        <v>5.871</v>
      </c>
      <c r="DZ632" s="35">
        <v>44390</v>
      </c>
      <c r="EA632" s="26">
        <v>18.6</v>
      </c>
      <c r="EB632" s="26">
        <v>18.5</v>
      </c>
      <c r="EC632" s="26">
        <v>18.55</v>
      </c>
    </row>
    <row r="633" spans="120:133">
      <c r="DP633" s="35">
        <v>44391</v>
      </c>
      <c r="DQ633" s="26">
        <v>3.05</v>
      </c>
      <c r="DR633" s="26">
        <v>2.9</v>
      </c>
      <c r="DS633" s="26">
        <v>2.986</v>
      </c>
      <c r="DU633" s="35">
        <v>44391</v>
      </c>
      <c r="DV633" s="26">
        <v>6</v>
      </c>
      <c r="DW633" s="26">
        <v>5.8</v>
      </c>
      <c r="DX633" s="26">
        <v>5.871</v>
      </c>
      <c r="DZ633" s="35">
        <v>44391</v>
      </c>
      <c r="EA633" s="26">
        <v>18.6</v>
      </c>
      <c r="EB633" s="26">
        <v>18.5</v>
      </c>
      <c r="EC633" s="26">
        <v>18.55</v>
      </c>
    </row>
    <row r="634" spans="120:133">
      <c r="DP634" s="35">
        <v>44392</v>
      </c>
      <c r="DQ634" s="26">
        <v>3.05</v>
      </c>
      <c r="DR634" s="26">
        <v>2.9</v>
      </c>
      <c r="DS634" s="26">
        <v>3</v>
      </c>
      <c r="DU634" s="35">
        <v>44392</v>
      </c>
      <c r="DV634" s="26">
        <v>6</v>
      </c>
      <c r="DW634" s="26">
        <v>5.8</v>
      </c>
      <c r="DX634" s="26">
        <v>5.879</v>
      </c>
      <c r="DZ634" s="35">
        <v>44392</v>
      </c>
      <c r="EA634" s="26">
        <v>18.6</v>
      </c>
      <c r="EB634" s="26">
        <v>18.5</v>
      </c>
      <c r="EC634" s="26">
        <v>18.55</v>
      </c>
    </row>
    <row r="635" spans="120:133">
      <c r="DP635" s="35">
        <v>44393</v>
      </c>
      <c r="DQ635" s="26">
        <v>3.05</v>
      </c>
      <c r="DR635" s="26">
        <v>2.9</v>
      </c>
      <c r="DS635" s="26">
        <v>3.003</v>
      </c>
      <c r="DU635" s="35">
        <v>44393</v>
      </c>
      <c r="DV635" s="26">
        <v>6</v>
      </c>
      <c r="DW635" s="26">
        <v>5.8</v>
      </c>
      <c r="DX635" s="26">
        <v>5.879</v>
      </c>
      <c r="DZ635" s="35">
        <v>44393</v>
      </c>
      <c r="EA635" s="26">
        <v>19</v>
      </c>
      <c r="EB635" s="26">
        <v>18.7</v>
      </c>
      <c r="EC635" s="26">
        <v>18.8</v>
      </c>
    </row>
    <row r="636" spans="120:133">
      <c r="DP636" s="35">
        <v>44396</v>
      </c>
      <c r="DQ636" s="26">
        <v>3.05</v>
      </c>
      <c r="DR636" s="26">
        <v>2.9</v>
      </c>
      <c r="DS636" s="26">
        <v>2.989</v>
      </c>
      <c r="DU636" s="35">
        <v>44396</v>
      </c>
      <c r="DV636" s="26">
        <v>6</v>
      </c>
      <c r="DW636" s="26">
        <v>5.8</v>
      </c>
      <c r="DX636" s="26">
        <v>5.867</v>
      </c>
      <c r="DZ636" s="35">
        <v>44396</v>
      </c>
      <c r="EA636" s="26">
        <v>19</v>
      </c>
      <c r="EB636" s="26">
        <v>18.7</v>
      </c>
      <c r="EC636" s="26">
        <v>18.8</v>
      </c>
    </row>
    <row r="637" spans="120:133">
      <c r="DP637" s="35">
        <v>44397</v>
      </c>
      <c r="DQ637" s="26">
        <v>3.05</v>
      </c>
      <c r="DR637" s="26">
        <v>2.9</v>
      </c>
      <c r="DS637" s="26">
        <v>2.986</v>
      </c>
      <c r="DU637" s="35">
        <v>44397</v>
      </c>
      <c r="DV637" s="26">
        <v>6</v>
      </c>
      <c r="DW637" s="26">
        <v>5.8</v>
      </c>
      <c r="DX637" s="26">
        <v>5.867</v>
      </c>
      <c r="DZ637" s="35">
        <v>44397</v>
      </c>
      <c r="EA637" s="26">
        <v>19</v>
      </c>
      <c r="EB637" s="26">
        <v>18.7</v>
      </c>
      <c r="EC637" s="26">
        <v>18.8</v>
      </c>
    </row>
    <row r="638" spans="120:133">
      <c r="DP638" s="35">
        <v>44398</v>
      </c>
      <c r="DQ638" s="26">
        <v>3.05</v>
      </c>
      <c r="DR638" s="26">
        <v>2.9</v>
      </c>
      <c r="DS638" s="26">
        <v>2.979</v>
      </c>
      <c r="DU638" s="35">
        <v>44398</v>
      </c>
      <c r="DV638" s="26">
        <v>6</v>
      </c>
      <c r="DW638" s="26">
        <v>5.8</v>
      </c>
      <c r="DX638" s="26">
        <v>5.861</v>
      </c>
      <c r="DZ638" s="35">
        <v>44398</v>
      </c>
      <c r="EA638" s="26">
        <v>19</v>
      </c>
      <c r="EB638" s="26">
        <v>18.7</v>
      </c>
      <c r="EC638" s="26">
        <v>18.8</v>
      </c>
    </row>
    <row r="639" spans="120:133">
      <c r="DP639" s="35">
        <v>44399</v>
      </c>
      <c r="DQ639" s="26">
        <v>3.05</v>
      </c>
      <c r="DR639" s="26">
        <v>2.9</v>
      </c>
      <c r="DS639" s="26">
        <v>2.979</v>
      </c>
      <c r="DU639" s="35">
        <v>44399</v>
      </c>
      <c r="DV639" s="26">
        <v>6</v>
      </c>
      <c r="DW639" s="26">
        <v>5.8</v>
      </c>
      <c r="DX639" s="26">
        <v>5.861</v>
      </c>
      <c r="DZ639" s="35">
        <v>44399</v>
      </c>
      <c r="EA639" s="26">
        <v>19</v>
      </c>
      <c r="EB639" s="26">
        <v>18.7</v>
      </c>
      <c r="EC639" s="26">
        <v>18.8</v>
      </c>
    </row>
    <row r="640" spans="120:133">
      <c r="DP640" s="35">
        <v>44400</v>
      </c>
      <c r="DQ640" s="26">
        <v>3.05</v>
      </c>
      <c r="DR640" s="26">
        <v>2.9</v>
      </c>
      <c r="DS640" s="26">
        <v>2.972</v>
      </c>
      <c r="DU640" s="35">
        <v>44400</v>
      </c>
      <c r="DV640" s="26">
        <v>6</v>
      </c>
      <c r="DW640" s="26">
        <v>5.8</v>
      </c>
      <c r="DX640" s="26">
        <v>5.861</v>
      </c>
      <c r="DZ640" s="35">
        <v>44400</v>
      </c>
      <c r="EA640" s="26">
        <v>19</v>
      </c>
      <c r="EB640" s="26">
        <v>18.7</v>
      </c>
      <c r="EC640" s="26">
        <v>18.8</v>
      </c>
    </row>
    <row r="641" spans="120:133">
      <c r="DP641" s="35">
        <v>44403</v>
      </c>
      <c r="DQ641" s="26">
        <v>3.05</v>
      </c>
      <c r="DR641" s="26">
        <v>2.9</v>
      </c>
      <c r="DS641" s="26">
        <v>2.972</v>
      </c>
      <c r="DU641" s="35">
        <v>44403</v>
      </c>
      <c r="DV641" s="26">
        <v>6</v>
      </c>
      <c r="DW641" s="26">
        <v>5.8</v>
      </c>
      <c r="DX641" s="26">
        <v>5.861</v>
      </c>
      <c r="DZ641" s="35">
        <v>44403</v>
      </c>
      <c r="EA641" s="26">
        <v>19</v>
      </c>
      <c r="EB641" s="26">
        <v>18.7</v>
      </c>
      <c r="EC641" s="26">
        <v>18.8</v>
      </c>
    </row>
    <row r="642" spans="120:133">
      <c r="DP642" s="35">
        <v>44404</v>
      </c>
      <c r="DQ642" s="26">
        <v>3.05</v>
      </c>
      <c r="DR642" s="26">
        <v>2.9</v>
      </c>
      <c r="DS642" s="26">
        <v>2.965</v>
      </c>
      <c r="DU642" s="35">
        <v>44404</v>
      </c>
      <c r="DV642" s="26">
        <v>6</v>
      </c>
      <c r="DW642" s="26">
        <v>5.8</v>
      </c>
      <c r="DX642" s="26">
        <v>5.853</v>
      </c>
      <c r="DZ642" s="35">
        <v>44404</v>
      </c>
      <c r="EA642" s="26">
        <v>19</v>
      </c>
      <c r="EB642" s="26">
        <v>18.7</v>
      </c>
      <c r="EC642" s="26">
        <v>18.8</v>
      </c>
    </row>
    <row r="643" spans="120:133">
      <c r="DP643" s="35">
        <v>44405</v>
      </c>
      <c r="DQ643" s="26">
        <v>3.05</v>
      </c>
      <c r="DR643" s="26">
        <v>2.9</v>
      </c>
      <c r="DS643" s="26">
        <v>2.959</v>
      </c>
      <c r="DU643" s="35">
        <v>44405</v>
      </c>
      <c r="DV643" s="26">
        <v>6</v>
      </c>
      <c r="DW643" s="26">
        <v>5.8</v>
      </c>
      <c r="DX643" s="26">
        <v>5.845</v>
      </c>
      <c r="DZ643" s="35">
        <v>44405</v>
      </c>
      <c r="EA643" s="26">
        <v>19</v>
      </c>
      <c r="EB643" s="26">
        <v>18.7</v>
      </c>
      <c r="EC643" s="26">
        <v>18.8</v>
      </c>
    </row>
    <row r="644" spans="120:133">
      <c r="DP644" s="35">
        <v>44406</v>
      </c>
      <c r="DQ644" s="26">
        <v>3.05</v>
      </c>
      <c r="DR644" s="26">
        <v>2.9</v>
      </c>
      <c r="DS644" s="26">
        <v>2.945</v>
      </c>
      <c r="DU644" s="35">
        <v>44406</v>
      </c>
      <c r="DV644" s="26">
        <v>6</v>
      </c>
      <c r="DW644" s="26">
        <v>5.8</v>
      </c>
      <c r="DX644" s="26">
        <v>5.841</v>
      </c>
      <c r="DZ644" s="35">
        <v>44406</v>
      </c>
      <c r="EA644" s="26">
        <v>19</v>
      </c>
      <c r="EB644" s="26">
        <v>18.7</v>
      </c>
      <c r="EC644" s="26">
        <v>18.8</v>
      </c>
    </row>
    <row r="645" spans="120:133">
      <c r="DP645" s="35">
        <v>44407</v>
      </c>
      <c r="DQ645" s="26">
        <v>3.05</v>
      </c>
      <c r="DR645" s="26">
        <v>2.9</v>
      </c>
      <c r="DS645" s="26">
        <v>2.938</v>
      </c>
      <c r="DU645" s="35">
        <v>44407</v>
      </c>
      <c r="DV645" s="26">
        <v>6</v>
      </c>
      <c r="DW645" s="26">
        <v>5.8</v>
      </c>
      <c r="DX645" s="26">
        <v>5.845</v>
      </c>
      <c r="DZ645" s="35">
        <v>44407</v>
      </c>
      <c r="EA645" s="26">
        <v>19.2</v>
      </c>
      <c r="EB645" s="26">
        <v>18.8</v>
      </c>
      <c r="EC645" s="26">
        <v>19</v>
      </c>
    </row>
    <row r="646" spans="120:133">
      <c r="DP646" s="35">
        <v>44410</v>
      </c>
      <c r="DQ646" s="26">
        <v>3.05</v>
      </c>
      <c r="DR646" s="26">
        <v>2.9</v>
      </c>
      <c r="DS646" s="26">
        <v>2.935</v>
      </c>
      <c r="DU646" s="35">
        <v>44410</v>
      </c>
      <c r="DV646" s="26">
        <v>6</v>
      </c>
      <c r="DW646" s="26">
        <v>5.8</v>
      </c>
      <c r="DX646" s="26">
        <v>5.841</v>
      </c>
      <c r="DZ646" s="35">
        <v>44410</v>
      </c>
      <c r="EA646" s="26">
        <v>19.2</v>
      </c>
      <c r="EB646" s="26">
        <v>18.8</v>
      </c>
      <c r="EC646" s="26">
        <v>19</v>
      </c>
    </row>
    <row r="647" spans="120:133">
      <c r="DP647" s="35">
        <v>44411</v>
      </c>
      <c r="DQ647" s="26">
        <v>3.05</v>
      </c>
      <c r="DR647" s="26">
        <v>2.9</v>
      </c>
      <c r="DS647" s="26">
        <v>2.935</v>
      </c>
      <c r="DU647" s="35">
        <v>44411</v>
      </c>
      <c r="DV647" s="26">
        <v>6</v>
      </c>
      <c r="DW647" s="26">
        <v>5.8</v>
      </c>
      <c r="DX647" s="26">
        <v>5.845</v>
      </c>
      <c r="DZ647" s="35">
        <v>44411</v>
      </c>
      <c r="EA647" s="26">
        <v>19.2</v>
      </c>
      <c r="EB647" s="26">
        <v>18.8</v>
      </c>
      <c r="EC647" s="26">
        <v>19.1</v>
      </c>
    </row>
    <row r="648" spans="120:133">
      <c r="DP648" s="35">
        <v>44412</v>
      </c>
      <c r="DQ648" s="26">
        <v>3.05</v>
      </c>
      <c r="DR648" s="26">
        <v>2.9</v>
      </c>
      <c r="DS648" s="26">
        <v>2.938</v>
      </c>
      <c r="DU648" s="35">
        <v>44412</v>
      </c>
      <c r="DV648" s="26">
        <v>6</v>
      </c>
      <c r="DW648" s="26">
        <v>5.8</v>
      </c>
      <c r="DX648" s="26">
        <v>5.853</v>
      </c>
      <c r="DZ648" s="35">
        <v>44412</v>
      </c>
      <c r="EA648" s="26">
        <v>19.2</v>
      </c>
      <c r="EB648" s="26">
        <v>18.8</v>
      </c>
      <c r="EC648" s="26">
        <v>19.15</v>
      </c>
    </row>
    <row r="649" spans="120:133">
      <c r="DP649" s="35">
        <v>44413</v>
      </c>
      <c r="DQ649" s="26">
        <v>3.05</v>
      </c>
      <c r="DR649" s="26">
        <v>2.9</v>
      </c>
      <c r="DS649" s="26">
        <v>2.935</v>
      </c>
      <c r="DU649" s="35">
        <v>44413</v>
      </c>
      <c r="DV649" s="26">
        <v>6</v>
      </c>
      <c r="DW649" s="26">
        <v>5.8</v>
      </c>
      <c r="DX649" s="26">
        <v>5.845</v>
      </c>
      <c r="DZ649" s="35">
        <v>44413</v>
      </c>
      <c r="EA649" s="26">
        <v>19.2</v>
      </c>
      <c r="EB649" s="26">
        <v>18.8</v>
      </c>
      <c r="EC649" s="26">
        <v>19.15</v>
      </c>
    </row>
    <row r="650" spans="120:133">
      <c r="DP650" s="35">
        <v>44414</v>
      </c>
      <c r="DQ650" s="26">
        <v>3.05</v>
      </c>
      <c r="DR650" s="26">
        <v>2.9</v>
      </c>
      <c r="DS650" s="26">
        <v>2.932</v>
      </c>
      <c r="DU650" s="35">
        <v>44414</v>
      </c>
      <c r="DV650" s="26">
        <v>6</v>
      </c>
      <c r="DW650" s="26">
        <v>5.8</v>
      </c>
      <c r="DX650" s="26">
        <v>5.841</v>
      </c>
      <c r="DZ650" s="35">
        <v>44414</v>
      </c>
      <c r="EA650" s="26">
        <v>19.2</v>
      </c>
      <c r="EB650" s="26">
        <v>18.8</v>
      </c>
      <c r="EC650" s="26">
        <v>19.15</v>
      </c>
    </row>
    <row r="651" spans="120:133">
      <c r="DP651" s="35">
        <v>44417</v>
      </c>
      <c r="DQ651" s="26">
        <v>3.05</v>
      </c>
      <c r="DR651" s="26">
        <v>2.9</v>
      </c>
      <c r="DS651" s="26">
        <v>2.923</v>
      </c>
      <c r="DU651" s="35">
        <v>44417</v>
      </c>
      <c r="DV651" s="26">
        <v>6</v>
      </c>
      <c r="DW651" s="26">
        <v>5.8</v>
      </c>
      <c r="DX651" s="26">
        <v>5.836</v>
      </c>
      <c r="DZ651" s="35">
        <v>44417</v>
      </c>
      <c r="EA651" s="26">
        <v>19.3</v>
      </c>
      <c r="EB651" s="26">
        <v>18.8</v>
      </c>
      <c r="EC651" s="26">
        <v>19.2</v>
      </c>
    </row>
    <row r="652" spans="120:133">
      <c r="DP652" s="35">
        <v>44418</v>
      </c>
      <c r="DQ652" s="26">
        <v>3.05</v>
      </c>
      <c r="DR652" s="26">
        <v>2.9</v>
      </c>
      <c r="DS652" s="26">
        <v>2.923</v>
      </c>
      <c r="DU652" s="35">
        <v>44418</v>
      </c>
      <c r="DV652" s="26">
        <v>6</v>
      </c>
      <c r="DW652" s="26">
        <v>5.8</v>
      </c>
      <c r="DX652" s="26">
        <v>5.836</v>
      </c>
      <c r="DZ652" s="35">
        <v>44418</v>
      </c>
      <c r="EA652" s="26">
        <v>19.3</v>
      </c>
      <c r="EB652" s="26">
        <v>18.8</v>
      </c>
      <c r="EC652" s="26">
        <v>19.2</v>
      </c>
    </row>
    <row r="653" spans="120:133">
      <c r="DP653" s="35">
        <v>44419</v>
      </c>
      <c r="DQ653" s="26">
        <v>3.05</v>
      </c>
      <c r="DR653" s="26">
        <v>2.9</v>
      </c>
      <c r="DS653" s="26">
        <v>2.936</v>
      </c>
      <c r="DU653" s="35">
        <v>44419</v>
      </c>
      <c r="DV653" s="26">
        <v>6</v>
      </c>
      <c r="DW653" s="26">
        <v>5.75</v>
      </c>
      <c r="DX653" s="26">
        <v>5.821</v>
      </c>
      <c r="DZ653" s="35">
        <v>44419</v>
      </c>
      <c r="EA653" s="26">
        <v>19.3</v>
      </c>
      <c r="EB653" s="26">
        <v>18.8</v>
      </c>
      <c r="EC653" s="26">
        <v>19.2</v>
      </c>
    </row>
    <row r="654" spans="120:133">
      <c r="DP654" s="35">
        <v>44420</v>
      </c>
      <c r="DQ654" s="26">
        <v>3.05</v>
      </c>
      <c r="DR654" s="26">
        <v>2.9</v>
      </c>
      <c r="DS654" s="26">
        <v>2.939</v>
      </c>
      <c r="DU654" s="35">
        <v>44420</v>
      </c>
      <c r="DV654" s="26">
        <v>6</v>
      </c>
      <c r="DW654" s="26">
        <v>5.75</v>
      </c>
      <c r="DX654" s="26">
        <v>5.826</v>
      </c>
      <c r="DZ654" s="35">
        <v>44420</v>
      </c>
      <c r="EA654" s="26">
        <v>19.3</v>
      </c>
      <c r="EB654" s="26">
        <v>18.8</v>
      </c>
      <c r="EC654" s="26">
        <v>19.2</v>
      </c>
    </row>
    <row r="655" spans="120:133">
      <c r="DP655" s="35">
        <v>44421</v>
      </c>
      <c r="DQ655" s="26">
        <v>3.05</v>
      </c>
      <c r="DR655" s="26">
        <v>2.9</v>
      </c>
      <c r="DS655" s="26">
        <v>2.939</v>
      </c>
      <c r="DU655" s="35">
        <v>44421</v>
      </c>
      <c r="DV655" s="26">
        <v>6</v>
      </c>
      <c r="DW655" s="26">
        <v>5.75</v>
      </c>
      <c r="DX655" s="26">
        <v>5.826</v>
      </c>
      <c r="DZ655" s="35">
        <v>44421</v>
      </c>
      <c r="EA655" s="26">
        <v>19.3</v>
      </c>
      <c r="EB655" s="26">
        <v>18.8</v>
      </c>
      <c r="EC655" s="26">
        <v>19.2</v>
      </c>
    </row>
    <row r="656" spans="120:133">
      <c r="DP656" s="35">
        <v>44424</v>
      </c>
      <c r="DQ656" s="26">
        <v>3.05</v>
      </c>
      <c r="DR656" s="26">
        <v>2.9</v>
      </c>
      <c r="DS656" s="26">
        <v>2.932</v>
      </c>
      <c r="DU656" s="35">
        <v>44424</v>
      </c>
      <c r="DV656" s="26">
        <v>6</v>
      </c>
      <c r="DW656" s="26">
        <v>5.75</v>
      </c>
      <c r="DX656" s="26">
        <v>5.822</v>
      </c>
      <c r="DZ656" s="35">
        <v>44424</v>
      </c>
      <c r="EA656" s="26">
        <v>19.3</v>
      </c>
      <c r="EB656" s="26">
        <v>18.8</v>
      </c>
      <c r="EC656" s="26">
        <v>19.2</v>
      </c>
    </row>
    <row r="657" spans="120:133">
      <c r="DP657" s="35">
        <v>44425</v>
      </c>
      <c r="DQ657" s="26">
        <v>3.05</v>
      </c>
      <c r="DR657" s="26">
        <v>2.9</v>
      </c>
      <c r="DS657" s="26">
        <v>2.939</v>
      </c>
      <c r="DU657" s="35">
        <v>44425</v>
      </c>
      <c r="DV657" s="26">
        <v>6</v>
      </c>
      <c r="DW657" s="26">
        <v>5.75</v>
      </c>
      <c r="DX657" s="26">
        <v>5.811</v>
      </c>
      <c r="DZ657" s="35">
        <v>44425</v>
      </c>
      <c r="EA657" s="26">
        <v>19.3</v>
      </c>
      <c r="EB657" s="26">
        <v>18.8</v>
      </c>
      <c r="EC657" s="26">
        <v>19.2</v>
      </c>
    </row>
    <row r="658" spans="120:133">
      <c r="DP658" s="35">
        <v>44426</v>
      </c>
      <c r="DQ658" s="26">
        <v>3.05</v>
      </c>
      <c r="DR658" s="26">
        <v>2.9</v>
      </c>
      <c r="DS658" s="26">
        <v>2.945</v>
      </c>
      <c r="DU658" s="35">
        <v>44426</v>
      </c>
      <c r="DV658" s="26">
        <v>6</v>
      </c>
      <c r="DW658" s="26">
        <v>5.75</v>
      </c>
      <c r="DX658" s="26">
        <v>5.819</v>
      </c>
      <c r="DZ658" s="35">
        <v>44426</v>
      </c>
      <c r="EA658" s="26">
        <v>19.3</v>
      </c>
      <c r="EB658" s="26">
        <v>18.8</v>
      </c>
      <c r="EC658" s="26">
        <v>19.2</v>
      </c>
    </row>
    <row r="659" spans="120:133">
      <c r="DP659" s="35">
        <v>44427</v>
      </c>
      <c r="DQ659" s="26">
        <v>3.05</v>
      </c>
      <c r="DR659" s="26">
        <v>2.9</v>
      </c>
      <c r="DS659" s="26">
        <v>2.945</v>
      </c>
      <c r="DU659" s="35">
        <v>44427</v>
      </c>
      <c r="DV659" s="26">
        <v>6</v>
      </c>
      <c r="DW659" s="26">
        <v>5.75</v>
      </c>
      <c r="DX659" s="26">
        <v>5.819</v>
      </c>
      <c r="DZ659" s="35">
        <v>44427</v>
      </c>
      <c r="EA659" s="26">
        <v>19.3</v>
      </c>
      <c r="EB659" s="26">
        <v>18.8</v>
      </c>
      <c r="EC659" s="26">
        <v>19.2</v>
      </c>
    </row>
    <row r="660" spans="120:133">
      <c r="DP660" s="35">
        <v>44428</v>
      </c>
      <c r="DQ660" s="26">
        <v>3.05</v>
      </c>
      <c r="DR660" s="26">
        <v>2.9</v>
      </c>
      <c r="DS660" s="26">
        <v>2.945</v>
      </c>
      <c r="DU660" s="35">
        <v>44428</v>
      </c>
      <c r="DV660" s="26">
        <v>6</v>
      </c>
      <c r="DW660" s="26">
        <v>5.75</v>
      </c>
      <c r="DX660" s="26">
        <v>5.819</v>
      </c>
      <c r="DZ660" s="35">
        <v>44428</v>
      </c>
      <c r="EA660" s="26">
        <v>19.3</v>
      </c>
      <c r="EB660" s="26">
        <v>18.8</v>
      </c>
      <c r="EC660" s="26">
        <v>19.2</v>
      </c>
    </row>
    <row r="661" spans="120:133">
      <c r="DP661" s="35">
        <v>44431</v>
      </c>
      <c r="DQ661" s="26">
        <v>3.1</v>
      </c>
      <c r="DR661" s="26">
        <v>2.9</v>
      </c>
      <c r="DS661" s="26">
        <v>2.951</v>
      </c>
      <c r="DU661" s="35">
        <v>44431</v>
      </c>
      <c r="DV661" s="26">
        <v>6</v>
      </c>
      <c r="DW661" s="26">
        <v>5.75</v>
      </c>
      <c r="DX661" s="26">
        <v>5.819</v>
      </c>
      <c r="DZ661" s="35">
        <v>44431</v>
      </c>
      <c r="EA661" s="26">
        <v>19.3</v>
      </c>
      <c r="EB661" s="26">
        <v>18.8</v>
      </c>
      <c r="EC661" s="26">
        <v>19.2</v>
      </c>
    </row>
    <row r="662" spans="120:133">
      <c r="DP662" s="35">
        <v>44432</v>
      </c>
      <c r="DQ662" s="26">
        <v>3.1</v>
      </c>
      <c r="DR662" s="26">
        <v>2.9</v>
      </c>
      <c r="DS662" s="26">
        <v>2.956</v>
      </c>
      <c r="DU662" s="35">
        <v>44432</v>
      </c>
      <c r="DV662" s="26">
        <v>6</v>
      </c>
      <c r="DW662" s="26">
        <v>5.75</v>
      </c>
      <c r="DX662" s="26">
        <v>5.823</v>
      </c>
      <c r="DZ662" s="35">
        <v>44432</v>
      </c>
      <c r="EA662" s="26">
        <v>19.3</v>
      </c>
      <c r="EB662" s="26">
        <v>18.8</v>
      </c>
      <c r="EC662" s="26">
        <v>19.2</v>
      </c>
    </row>
    <row r="663" spans="120:133">
      <c r="DP663" s="35">
        <v>44433</v>
      </c>
      <c r="DQ663" s="26">
        <v>3.1</v>
      </c>
      <c r="DR663" s="26">
        <v>2.9</v>
      </c>
      <c r="DS663" s="26">
        <v>2.971</v>
      </c>
      <c r="DU663" s="35">
        <v>44433</v>
      </c>
      <c r="DV663" s="26">
        <v>6</v>
      </c>
      <c r="DW663" s="26">
        <v>5.75</v>
      </c>
      <c r="DX663" s="26">
        <v>5.829</v>
      </c>
      <c r="DZ663" s="35">
        <v>44433</v>
      </c>
      <c r="EA663" s="26">
        <v>19.3</v>
      </c>
      <c r="EB663" s="26">
        <v>18.8</v>
      </c>
      <c r="EC663" s="26">
        <v>19.2</v>
      </c>
    </row>
    <row r="664" spans="120:133">
      <c r="DP664" s="35">
        <v>44434</v>
      </c>
      <c r="DQ664" s="26">
        <v>3.1</v>
      </c>
      <c r="DR664" s="26">
        <v>2.9</v>
      </c>
      <c r="DS664" s="26">
        <v>2.971</v>
      </c>
      <c r="DU664" s="35">
        <v>44434</v>
      </c>
      <c r="DV664" s="26">
        <v>6</v>
      </c>
      <c r="DW664" s="26">
        <v>5.75</v>
      </c>
      <c r="DX664" s="26">
        <v>5.829</v>
      </c>
      <c r="DZ664" s="35">
        <v>44434</v>
      </c>
      <c r="EA664" s="26">
        <v>19.3</v>
      </c>
      <c r="EB664" s="26">
        <v>18.8</v>
      </c>
      <c r="EC664" s="26">
        <v>19.2</v>
      </c>
    </row>
    <row r="665" spans="120:133">
      <c r="DP665" s="35">
        <v>44435</v>
      </c>
      <c r="DQ665" s="26">
        <v>3.1</v>
      </c>
      <c r="DR665" s="26">
        <v>2.9</v>
      </c>
      <c r="DS665" s="26">
        <v>2.964</v>
      </c>
      <c r="DU665" s="35">
        <v>44435</v>
      </c>
      <c r="DV665" s="26">
        <v>6</v>
      </c>
      <c r="DW665" s="26">
        <v>5.75</v>
      </c>
      <c r="DX665" s="26">
        <v>5.825</v>
      </c>
      <c r="DZ665" s="35">
        <v>44435</v>
      </c>
      <c r="EA665" s="26">
        <v>19.3</v>
      </c>
      <c r="EB665" s="26">
        <v>18.8</v>
      </c>
      <c r="EC665" s="26">
        <v>19.25</v>
      </c>
    </row>
    <row r="666" spans="120:133">
      <c r="DP666" s="35">
        <v>44438</v>
      </c>
      <c r="DQ666" s="26">
        <v>3.1</v>
      </c>
      <c r="DR666" s="26">
        <v>2.9</v>
      </c>
      <c r="DS666" s="26">
        <v>2.956</v>
      </c>
      <c r="DU666" s="35">
        <v>44438</v>
      </c>
      <c r="DV666" s="26">
        <v>6</v>
      </c>
      <c r="DW666" s="26">
        <v>5.75</v>
      </c>
      <c r="DX666" s="26">
        <v>5.813</v>
      </c>
      <c r="DZ666" s="35">
        <v>44438</v>
      </c>
      <c r="EA666" s="26">
        <v>19.3</v>
      </c>
      <c r="EB666" s="26">
        <v>18.8</v>
      </c>
      <c r="EC666" s="26">
        <v>19.25</v>
      </c>
    </row>
    <row r="667" spans="120:133">
      <c r="DP667" s="35">
        <v>44439</v>
      </c>
      <c r="DQ667" s="26">
        <v>3.1</v>
      </c>
      <c r="DR667" s="26">
        <v>2.9</v>
      </c>
      <c r="DS667" s="26">
        <v>2.949</v>
      </c>
      <c r="DU667" s="35">
        <v>44439</v>
      </c>
      <c r="DV667" s="26">
        <v>6</v>
      </c>
      <c r="DW667" s="26">
        <v>5.75</v>
      </c>
      <c r="DX667" s="26">
        <v>5.813</v>
      </c>
      <c r="DZ667" s="35">
        <v>44439</v>
      </c>
      <c r="EA667" s="26">
        <v>19.3</v>
      </c>
      <c r="EB667" s="26">
        <v>18.8</v>
      </c>
      <c r="EC667" s="26">
        <v>19.25</v>
      </c>
    </row>
    <row r="668" spans="120:133">
      <c r="DP668" s="35">
        <v>44440</v>
      </c>
      <c r="DQ668" s="26">
        <v>3.1</v>
      </c>
      <c r="DR668" s="26">
        <v>2.9</v>
      </c>
      <c r="DS668" s="26">
        <v>2.949</v>
      </c>
      <c r="DU668" s="35">
        <v>44440</v>
      </c>
      <c r="DV668" s="26">
        <v>6</v>
      </c>
      <c r="DW668" s="26">
        <v>5.75</v>
      </c>
      <c r="DX668" s="26">
        <v>5.813</v>
      </c>
      <c r="DZ668" s="35">
        <v>44440</v>
      </c>
      <c r="EA668" s="26">
        <v>19.3</v>
      </c>
      <c r="EB668" s="26">
        <v>18.8</v>
      </c>
      <c r="EC668" s="26">
        <v>19.25</v>
      </c>
    </row>
    <row r="669" spans="120:133">
      <c r="DP669" s="35">
        <v>44441</v>
      </c>
      <c r="DQ669" s="26">
        <v>3.1</v>
      </c>
      <c r="DR669" s="26">
        <v>2.9</v>
      </c>
      <c r="DS669" s="26">
        <v>2.949</v>
      </c>
      <c r="DU669" s="35">
        <v>44441</v>
      </c>
      <c r="DV669" s="26">
        <v>6</v>
      </c>
      <c r="DW669" s="26">
        <v>5.75</v>
      </c>
      <c r="DX669" s="26">
        <v>5.813</v>
      </c>
      <c r="DZ669" s="35">
        <v>44441</v>
      </c>
      <c r="EA669" s="26">
        <v>19.3</v>
      </c>
      <c r="EB669" s="26">
        <v>18.8</v>
      </c>
      <c r="EC669" s="26">
        <v>19.25</v>
      </c>
    </row>
    <row r="1621" ht="12.75" customHeight="1"/>
  </sheetData>
  <pageMargins left="0.7" right="0.7" top="0.75" bottom="0.75" header="0.3" footer="0.3"/>
  <pageSetup paperSize="1" scale="96" orientation="portrait"/>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33049b-a200-425b-a895-34ea6c36b315}">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Cover</vt:lpstr>
      <vt:lpstr>N_Summary</vt:lpstr>
      <vt:lpstr>DRAM</vt:lpstr>
      <vt:lpstr>NAND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HOU Edward MarkBsgResAso</dc:creator>
  <cp:lastModifiedBy>龙</cp:lastModifiedBy>
  <dcterms:created xsi:type="dcterms:W3CDTF">2026-06-02T19:51:00Z</dcterms:created>
  <dcterms:modified xsi:type="dcterms:W3CDTF">2026-07-10T07:43:51Z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401b303-ecb1-4a9d-936a-70858c2d9a3e_Enabled">
    <vt:lpwstr>true</vt:lpwstr>
  </property>
  <property fmtid="{D5CDD505-2E9C-101B-9397-08002B2CF9AE}" pid="3" name="MSIP_Label_a401b303-ecb1-4a9d-936a-70858c2d9a3e_SetDate">
    <vt:lpwstr>2026-06-02T11:52:30Z</vt:lpwstr>
  </property>
  <property fmtid="{D5CDD505-2E9C-101B-9397-08002B2CF9AE}" pid="4" name="MSIP_Label_a401b303-ecb1-4a9d-936a-70858c2d9a3e_Method">
    <vt:lpwstr>Privileged</vt:lpwstr>
  </property>
  <property fmtid="{D5CDD505-2E9C-101B-9397-08002B2CF9AE}" pid="5" name="MSIP_Label_a401b303-ecb1-4a9d-936a-70858c2d9a3e_Name">
    <vt:lpwstr>a401b303-ecb1-4a9d-936a-70858c2d9a3e</vt:lpwstr>
  </property>
  <property fmtid="{D5CDD505-2E9C-101B-9397-08002B2CF9AE}" pid="6" name="MSIP_Label_a401b303-ecb1-4a9d-936a-70858c2d9a3e_SiteId">
    <vt:lpwstr>c9a7d621-4bc4-4407-b730-f428e656aa9e</vt:lpwstr>
  </property>
  <property fmtid="{D5CDD505-2E9C-101B-9397-08002B2CF9AE}" pid="7" name="MSIP_Label_a401b303-ecb1-4a9d-936a-70858c2d9a3e_ActionId">
    <vt:lpwstr>c430b2b7-e742-4275-b48f-f0926521043a</vt:lpwstr>
  </property>
  <property fmtid="{D5CDD505-2E9C-101B-9397-08002B2CF9AE}" pid="8" name="MSIP_Label_a401b303-ecb1-4a9d-936a-70858c2d9a3e_ContentBits">
    <vt:lpwstr>0</vt:lpwstr>
  </property>
  <property fmtid="{D5CDD505-2E9C-101B-9397-08002B2CF9AE}" pid="9" name="ICV">
    <vt:lpwstr>011F2FE440FB0C3E3532506A20003557_42</vt:lpwstr>
  </property>
  <property fmtid="{D5CDD505-2E9C-101B-9397-08002B2CF9AE}" pid="10" name="KSOProductBuildVer">
    <vt:lpwstr>2052-12.1.26026.26026</vt:lpwstr>
  </property>
  <property fmtid="{D5CDD505-2E9C-101B-9397-08002B2CF9AE}" pid="11" name="CalculationRule">
    <vt:i4>0</vt:i4>
  </property>
</Properties>
</file>